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8.xml" ContentType="application/vnd.openxmlformats-officedocument.drawing+xml"/>
  <Override PartName="/xl/comments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mc:AlternateContent xmlns:mc="http://schemas.openxmlformats.org/markup-compatibility/2006">
    <mc:Choice Requires="x15">
      <x15ac:absPath xmlns:x15ac="http://schemas.microsoft.com/office/spreadsheetml/2010/11/ac" url="C:\Users\kbasa\Desktop\ECOCALCS_CURRENT\"/>
    </mc:Choice>
  </mc:AlternateContent>
  <xr:revisionPtr revIDLastSave="0" documentId="10_ncr:100000_{587D6C76-2B98-474C-96DE-A03345F688B5}" xr6:coauthVersionLast="31" xr6:coauthVersionMax="31" xr10:uidLastSave="{00000000-0000-0000-0000-000000000000}"/>
  <bookViews>
    <workbookView xWindow="0" yWindow="0" windowWidth="28800" windowHeight="13665" tabRatio="888" activeTab="8" xr2:uid="{00000000-000D-0000-FFFF-FFFF00000000}"/>
  </bookViews>
  <sheets>
    <sheet name="Change Log" sheetId="1" r:id="rId1"/>
    <sheet name="IN-N-OUT" sheetId="46" r:id="rId2"/>
    <sheet name="1-Eng Inputs" sheetId="2" r:id="rId3"/>
    <sheet name="EcoMount Inputs" sheetId="29" r:id="rId4"/>
    <sheet name="BOM Estimate" sheetId="5" r:id="rId5"/>
    <sheet name="2-Inputs" sheetId="3" r:id="rId6"/>
    <sheet name="3-Estimate+Quote" sheetId="48" r:id="rId7"/>
    <sheet name="4-Eng Approval" sheetId="14" r:id="rId8"/>
    <sheet name="factors" sheetId="6" r:id="rId9"/>
    <sheet name="Land Coeffs 10deg" sheetId="11" r:id="rId10"/>
    <sheet name="Land Calcs 10deg (lift)" sheetId="12" r:id="rId11"/>
    <sheet name="Land Calcs 10deg (sliding)" sheetId="13" r:id="rId12"/>
    <sheet name="Land Matrix 10deg (lift)" sheetId="26" r:id="rId13"/>
    <sheet name="Land Coeffs 5deg" sheetId="36" r:id="rId14"/>
    <sheet name="Land Calcs 5deg (lift)" sheetId="40" r:id="rId15"/>
    <sheet name="Land Calcs 5deg (sliding)" sheetId="41" r:id="rId16"/>
    <sheet name="Land Matrix 5deg (lift)" sheetId="43" r:id="rId17"/>
    <sheet name="Port Coeffs" sheetId="16" r:id="rId18"/>
    <sheet name="Port Calcs (lift)" sheetId="17" r:id="rId19"/>
    <sheet name="Port Calcs (sliding)" sheetId="32" r:id="rId20"/>
    <sheet name="Port Matrix (lift)" sheetId="18" r:id="rId21"/>
    <sheet name="5-Report" sheetId="27" r:id="rId22"/>
    <sheet name="5a-Unattached Report" sheetId="30" r:id="rId23"/>
    <sheet name="5b-Attached Report" sheetId="31" r:id="rId24"/>
    <sheet name="5c-Uplift Attach" sheetId="50" r:id="rId25"/>
    <sheet name="6-EcoMount Report" sheetId="28" r:id="rId26"/>
    <sheet name="Area Reduction" sheetId="23" r:id="rId27"/>
    <sheet name="Friction Data" sheetId="22" r:id="rId28"/>
    <sheet name="SEAOC PV2 Calcs" sheetId="7" r:id="rId29"/>
    <sheet name="Seismic Attached Per-Array" sheetId="49" r:id="rId30"/>
    <sheet name="Seismic Calcs (Attached)" sheetId="19" r:id="rId31"/>
    <sheet name="Seismic Calcs (Unattached)" sheetId="20" r:id="rId32"/>
    <sheet name="Seismic Data (Unattached)" sheetId="21" r:id="rId33"/>
    <sheet name="snow load" sheetId="10" r:id="rId34"/>
    <sheet name="Strut Values" sheetId="34" r:id="rId35"/>
    <sheet name="Thermal Sliding Calcs" sheetId="33" r:id="rId36"/>
    <sheet name="Uplift Attachment Calcs" sheetId="35" r:id="rId37"/>
    <sheet name="ZIPS" sheetId="24" r:id="rId38"/>
  </sheets>
  <functionGroups builtInGroupCount="19"/>
  <definedNames>
    <definedName name="_xlnm._FilterDatabase" localSheetId="37" hidden="1">ZIPS!$A$2:$C$41874</definedName>
    <definedName name="_xlnm.Print_Area" localSheetId="6">CHOOSE('3-Estimate+Quote'!$K$2,Print_Quote,Print_Estimate)</definedName>
    <definedName name="_xlnm.Print_Area" localSheetId="22">'5a-Unattached Report'!$A$1:$BJ$53</definedName>
    <definedName name="_xlnm.Print_Area" localSheetId="23">'5b-Attached Report'!$A$1:$BJ$53</definedName>
    <definedName name="_xlnm.Print_Area" localSheetId="24">'5c-Uplift Attach'!$A$1:$AE$58</definedName>
    <definedName name="_xlnm.Print_Area" localSheetId="21">'5-Report'!$A$1:$HD$56</definedName>
    <definedName name="_xlnm.Print_Area" localSheetId="25">'6-EcoMount Report'!$A$1:$BR$39</definedName>
    <definedName name="_xlnm.Print_Area" localSheetId="4">'BOM Estimate'!$A$1:$G$59</definedName>
    <definedName name="_xlnm.Print_Area" localSheetId="12">'Land Matrix 10deg (lift)'!$A$7:$Q$158</definedName>
    <definedName name="_xlnm.Print_Area" localSheetId="16">'Land Matrix 5deg (lift)'!$A$7:$P$158</definedName>
    <definedName name="_xlnm.Print_Area" localSheetId="20">'Port Matrix (lift)'!$A$7:$W$157</definedName>
    <definedName name="Print_Estimate">'3-Estimate+Quote'!$A$1:$E$102</definedName>
    <definedName name="Print_Quote">'3-Estimate+Quote'!$A$1:$E$164</definedName>
    <definedName name="Z_F2CCAFB5_9C02_49AC_87E7_8695C5014AAE_.wvu.Cols" localSheetId="27" hidden="1">'Friction Data'!$E:$E</definedName>
    <definedName name="Z_F2CCAFB5_9C02_49AC_87E7_8695C5014AAE_.wvu.Cols" localSheetId="30" hidden="1">'Seismic Calcs (Attached)'!$E:$N</definedName>
    <definedName name="Z_F2CCAFB5_9C02_49AC_87E7_8695C5014AAE_.wvu.FilterData" localSheetId="37" hidden="1">ZIPS!$A$2:$C$41874</definedName>
    <definedName name="Z_F2CCAFB5_9C02_49AC_87E7_8695C5014AAE_.wvu.PrintArea" localSheetId="6" hidden="1">'3-Estimate+Quote'!$A$1:$E$150</definedName>
    <definedName name="Z_F2CCAFB5_9C02_49AC_87E7_8695C5014AAE_.wvu.PrintArea" localSheetId="7" hidden="1">'4-Eng Approval'!$A$1:$H$55</definedName>
    <definedName name="Z_F2CCAFB5_9C02_49AC_87E7_8695C5014AAE_.wvu.PrintArea" localSheetId="22" hidden="1">'5a-Unattached Report'!#REF!</definedName>
    <definedName name="Z_F2CCAFB5_9C02_49AC_87E7_8695C5014AAE_.wvu.PrintArea" localSheetId="23" hidden="1">'5b-Attached Report'!#REF!</definedName>
    <definedName name="Z_F2CCAFB5_9C02_49AC_87E7_8695C5014AAE_.wvu.PrintArea" localSheetId="21" hidden="1">'5-Report'!$A$1:$H$47</definedName>
    <definedName name="Z_F2CCAFB5_9C02_49AC_87E7_8695C5014AAE_.wvu.PrintArea" localSheetId="4" hidden="1">'BOM Estimate'!$A$1:$G$53</definedName>
    <definedName name="Z_F2CCAFB5_9C02_49AC_87E7_8695C5014AAE_.wvu.PrintArea" localSheetId="31" hidden="1">'Seismic Calcs (Unattached)'!$B$2:$D$409</definedName>
    <definedName name="Z_F2CCAFB5_9C02_49AC_87E7_8695C5014AAE_.wvu.Rows" localSheetId="2" hidden="1">'1-Eng Inputs'!#REF!,'1-Eng Inputs'!$74:$81</definedName>
    <definedName name="Z_F2CCAFB5_9C02_49AC_87E7_8695C5014AAE_.wvu.Rows" localSheetId="5" hidden="1">'2-Inputs'!#REF!</definedName>
    <definedName name="Z_F2CCAFB5_9C02_49AC_87E7_8695C5014AAE_.wvu.Rows" localSheetId="12" hidden="1">'Land Matrix 10deg (lift)'!$12:$12,'Land Matrix 10deg (lift)'!$35:$35,'Land Matrix 10deg (lift)'!#REF!,'Land Matrix 10deg (lift)'!$69:$69,'Land Matrix 10deg (lift)'!$71:$71,'Land Matrix 10deg (lift)'!#REF!,'Land Matrix 10deg (lift)'!#REF!</definedName>
    <definedName name="Z_F2CCAFB5_9C02_49AC_87E7_8695C5014AAE_.wvu.Rows" localSheetId="16" hidden="1">'Land Matrix 5deg (lift)'!$12:$12,'Land Matrix 5deg (lift)'!$35:$35,'Land Matrix 5deg (lift)'!#REF!,'Land Matrix 5deg (lift)'!$69:$69,'Land Matrix 5deg (lift)'!$71:$71,'Land Matrix 5deg (lift)'!#REF!,'Land Matrix 5deg (lift)'!#REF!</definedName>
    <definedName name="Z_F2CCAFB5_9C02_49AC_87E7_8695C5014AAE_.wvu.Rows" localSheetId="20" hidden="1">'Port Matrix (lift)'!$12:$12,'Port Matrix (lift)'!$35:$35,'Port Matrix (lift)'!#REF!,'Port Matrix (lift)'!$69:$69,'Port Matrix (lift)'!$71:$71,'Port Matrix (lift)'!#REF!,'Port Matrix (lift)'!$138:$138</definedName>
  </definedNames>
  <calcPr calcId="179017"/>
  <customWorkbookViews>
    <customWorkbookView name="rick.teachey - Personal View" guid="{F2CCAFB5-9C02-49AC-87E7-8695C5014AAE}" mergeInterval="0" personalView="1" maximized="1" xWindow="-8" yWindow="-8" windowWidth="1936" windowHeight="1056" tabRatio="843" activeSheetId="7"/>
  </customWorkbookViews>
</workbook>
</file>

<file path=xl/calcChain.xml><?xml version="1.0" encoding="utf-8"?>
<calcChain xmlns="http://schemas.openxmlformats.org/spreadsheetml/2006/main">
  <c r="AA67" i="36" l="1"/>
  <c r="B14" i="6"/>
  <c r="C5" i="40" s="1"/>
  <c r="B21" i="3" l="1"/>
  <c r="B1" i="48" l="1"/>
  <c r="B16" i="6"/>
  <c r="B10" i="6"/>
  <c r="B43" i="6"/>
  <c r="GX39" i="27" s="1"/>
  <c r="GX26" i="27" l="1"/>
  <c r="GX13" i="27"/>
  <c r="B41" i="6"/>
  <c r="B42" i="6"/>
  <c r="B11" i="6" s="1"/>
  <c r="B1" i="6"/>
  <c r="Q15" i="2"/>
  <c r="C14" i="46"/>
  <c r="C13" i="46"/>
  <c r="C12" i="46"/>
  <c r="C11" i="46"/>
  <c r="C10" i="46"/>
  <c r="C9" i="46"/>
  <c r="C8" i="46"/>
  <c r="C7" i="46"/>
  <c r="C5" i="46"/>
  <c r="B13" i="6" l="1"/>
  <c r="B15" i="6"/>
  <c r="B9" i="6"/>
  <c r="D4" i="35"/>
  <c r="GX12" i="27" l="1"/>
  <c r="D51" i="3"/>
  <c r="D1" i="6"/>
  <c r="C51" i="3"/>
  <c r="B51" i="3"/>
  <c r="C13" i="3"/>
  <c r="D13" i="3" s="1"/>
  <c r="B13" i="3"/>
  <c r="B22" i="3"/>
  <c r="C22" i="3"/>
  <c r="C21" i="3"/>
  <c r="W46" i="27"/>
  <c r="W44" i="27"/>
  <c r="W45" i="27"/>
  <c r="D46" i="27"/>
  <c r="D45" i="27"/>
  <c r="D44" i="27"/>
  <c r="D43" i="27"/>
  <c r="P29" i="50"/>
  <c r="P28" i="50"/>
  <c r="F12" i="35"/>
  <c r="F11" i="35"/>
  <c r="M22" i="50"/>
  <c r="M23" i="50"/>
  <c r="M24" i="50"/>
  <c r="M25" i="50"/>
  <c r="M26" i="50"/>
  <c r="D8" i="35" l="1"/>
  <c r="C5" i="33"/>
  <c r="C4" i="33"/>
  <c r="D4" i="33"/>
  <c r="D5" i="33"/>
  <c r="B4" i="33"/>
  <c r="B5" i="33"/>
  <c r="D7" i="33"/>
  <c r="C7" i="33"/>
  <c r="B7" i="33"/>
  <c r="B24" i="19"/>
  <c r="M32" i="49"/>
  <c r="K32" i="49"/>
  <c r="K33" i="49" s="1"/>
  <c r="I32" i="49"/>
  <c r="G32" i="49"/>
  <c r="M28" i="49"/>
  <c r="M29" i="49" s="1"/>
  <c r="K28" i="49"/>
  <c r="I28" i="49"/>
  <c r="I29" i="49" s="1"/>
  <c r="G28" i="49"/>
  <c r="G29" i="49" s="1"/>
  <c r="B24" i="49"/>
  <c r="B10" i="49"/>
  <c r="B9" i="49"/>
  <c r="B4" i="49"/>
  <c r="M34" i="49"/>
  <c r="M33" i="49" s="1"/>
  <c r="K34" i="49"/>
  <c r="I34" i="49"/>
  <c r="G34" i="49"/>
  <c r="M30" i="49"/>
  <c r="K30" i="49"/>
  <c r="I30" i="49"/>
  <c r="G30" i="49"/>
  <c r="C34" i="22"/>
  <c r="B11" i="49" l="1"/>
  <c r="B12" i="49" s="1"/>
  <c r="G33" i="49"/>
  <c r="D13" i="33"/>
  <c r="D20" i="33" s="1"/>
  <c r="C13" i="33"/>
  <c r="C20" i="33" s="1"/>
  <c r="B13" i="33"/>
  <c r="B20" i="33" s="1"/>
  <c r="K29" i="49"/>
  <c r="I33" i="49"/>
  <c r="B15" i="49"/>
  <c r="B17" i="49"/>
  <c r="B5" i="49"/>
  <c r="B16" i="49"/>
  <c r="B18" i="49" l="1"/>
  <c r="B19" i="49" l="1"/>
  <c r="B77" i="46" l="1"/>
  <c r="C54" i="46" l="1"/>
  <c r="C52" i="46"/>
  <c r="C6" i="46"/>
  <c r="C4" i="46"/>
  <c r="A126" i="46" l="1"/>
  <c r="B126" i="46"/>
  <c r="C126" i="46"/>
  <c r="F126" i="46"/>
  <c r="E58" i="3"/>
  <c r="G58" i="3" s="1"/>
  <c r="D126" i="46" l="1"/>
  <c r="C37" i="46"/>
  <c r="C38" i="46"/>
  <c r="C39" i="46"/>
  <c r="C36" i="46"/>
  <c r="E97" i="46" l="1"/>
  <c r="E95" i="46"/>
  <c r="E83" i="46"/>
  <c r="F94" i="46"/>
  <c r="F20" i="3"/>
  <c r="F93" i="46" s="1"/>
  <c r="F12" i="3"/>
  <c r="L21" i="3"/>
  <c r="P21" i="3"/>
  <c r="P23" i="3"/>
  <c r="F23" i="3" s="1"/>
  <c r="F98" i="46" s="1"/>
  <c r="P22" i="3"/>
  <c r="P20" i="3"/>
  <c r="F19" i="3" s="1"/>
  <c r="F92" i="46" s="1"/>
  <c r="P19" i="3"/>
  <c r="F18" i="3" s="1"/>
  <c r="F91" i="46" s="1"/>
  <c r="B4" i="2"/>
  <c r="C50" i="46" s="1"/>
  <c r="L20" i="3"/>
  <c r="F11" i="3" s="1"/>
  <c r="L19" i="3"/>
  <c r="F8" i="3" s="1"/>
  <c r="F76" i="46" s="1"/>
  <c r="F80" i="46" l="1"/>
  <c r="Q7" i="2"/>
  <c r="Q8" i="2"/>
  <c r="Q9" i="2"/>
  <c r="Q10" i="2"/>
  <c r="Q11" i="2"/>
  <c r="Q12" i="2"/>
  <c r="Q13" i="2"/>
  <c r="Q14" i="2"/>
  <c r="Q6" i="2"/>
  <c r="A125" i="46"/>
  <c r="B125" i="46"/>
  <c r="C125" i="46"/>
  <c r="F125" i="46"/>
  <c r="F109" i="46"/>
  <c r="F110" i="46"/>
  <c r="F108" i="46"/>
  <c r="F24" i="3"/>
  <c r="F25" i="3"/>
  <c r="F26" i="3"/>
  <c r="F15" i="3"/>
  <c r="F16" i="3"/>
  <c r="F14" i="3"/>
  <c r="F87" i="46"/>
  <c r="F82" i="46"/>
  <c r="F84" i="46"/>
  <c r="F85" i="46"/>
  <c r="F86" i="46"/>
  <c r="F9" i="3"/>
  <c r="F10" i="3"/>
  <c r="F81" i="46" l="1"/>
  <c r="E51" i="3"/>
  <c r="D81" i="46"/>
  <c r="D82" i="46"/>
  <c r="D83" i="46"/>
  <c r="D84" i="46"/>
  <c r="D85" i="46"/>
  <c r="D86" i="46"/>
  <c r="D87" i="46"/>
  <c r="D94" i="46"/>
  <c r="D95" i="46"/>
  <c r="D96" i="46"/>
  <c r="D97" i="46"/>
  <c r="E8" i="3"/>
  <c r="B93" i="46"/>
  <c r="B92" i="46"/>
  <c r="A93" i="46"/>
  <c r="C93" i="46"/>
  <c r="D93" i="46" s="1"/>
  <c r="D22" i="3" l="1"/>
  <c r="F22" i="3"/>
  <c r="F79" i="46" s="1"/>
  <c r="F13" i="3"/>
  <c r="F83" i="46" s="1"/>
  <c r="D21" i="3"/>
  <c r="F21" i="3"/>
  <c r="B123" i="46"/>
  <c r="B121" i="46"/>
  <c r="B119" i="46"/>
  <c r="B118" i="46"/>
  <c r="F117" i="46"/>
  <c r="F118" i="46"/>
  <c r="F119" i="46"/>
  <c r="A123" i="46"/>
  <c r="A121" i="46"/>
  <c r="A119" i="46"/>
  <c r="A118" i="46"/>
  <c r="C23" i="46"/>
  <c r="C17" i="46" l="1"/>
  <c r="C20" i="5"/>
  <c r="V86" i="2"/>
  <c r="V85" i="2"/>
  <c r="Q19" i="2" l="1"/>
  <c r="E57" i="3" l="1"/>
  <c r="G57" i="3" l="1"/>
  <c r="D125" i="46"/>
  <c r="E37" i="48" l="1"/>
  <c r="A37" i="48"/>
  <c r="A42" i="48"/>
  <c r="Q18" i="2" l="1"/>
  <c r="Q17" i="2"/>
  <c r="Q16" i="2"/>
  <c r="AG43" i="27" l="1"/>
  <c r="C26" i="46"/>
  <c r="C22" i="46"/>
  <c r="C19" i="46"/>
  <c r="C65" i="46"/>
  <c r="D32" i="2"/>
  <c r="C35" i="46"/>
  <c r="C62" i="46"/>
  <c r="E20" i="2"/>
  <c r="E19" i="2"/>
  <c r="E18" i="2"/>
  <c r="C24" i="46"/>
  <c r="C21" i="46"/>
  <c r="C20" i="46"/>
  <c r="G65" i="3" l="1"/>
  <c r="E39" i="48" s="1"/>
  <c r="C25" i="46"/>
  <c r="B48" i="3"/>
  <c r="B38" i="3"/>
  <c r="D3" i="35"/>
  <c r="M21" i="50" s="1"/>
  <c r="C44" i="5"/>
  <c r="A44" i="5"/>
  <c r="C32" i="5"/>
  <c r="A32" i="5"/>
  <c r="A20" i="5"/>
  <c r="M11" i="6" l="1"/>
  <c r="L11" i="6"/>
  <c r="D12" i="6" s="1"/>
  <c r="N4" i="6"/>
  <c r="M4" i="6"/>
  <c r="L4" i="6"/>
  <c r="CD5" i="27" l="1"/>
  <c r="B12" i="6" l="1"/>
  <c r="D9" i="32" s="1"/>
  <c r="D63" i="48"/>
  <c r="D60" i="48"/>
  <c r="D59" i="48"/>
  <c r="D58" i="48"/>
  <c r="D57" i="48"/>
  <c r="D56" i="48"/>
  <c r="D55" i="48"/>
  <c r="D54" i="48"/>
  <c r="D53" i="48"/>
  <c r="D52" i="48"/>
  <c r="D51" i="48"/>
  <c r="D50" i="48"/>
  <c r="D49" i="48"/>
  <c r="D48" i="48"/>
  <c r="E42" i="48"/>
  <c r="E41" i="48"/>
  <c r="A41" i="48"/>
  <c r="A40" i="48"/>
  <c r="A39" i="48"/>
  <c r="A9" i="48"/>
  <c r="D7" i="48"/>
  <c r="C7" i="48"/>
  <c r="C6" i="48"/>
  <c r="C5" i="48"/>
  <c r="C2" i="48"/>
  <c r="D6" i="48" s="1"/>
  <c r="F30" i="3" l="1"/>
  <c r="F100" i="46"/>
  <c r="F99" i="46"/>
  <c r="F90" i="46"/>
  <c r="F77" i="46"/>
  <c r="F78" i="46"/>
  <c r="F88" i="46"/>
  <c r="F89" i="46"/>
  <c r="F127" i="46"/>
  <c r="F124" i="46"/>
  <c r="F115" i="46"/>
  <c r="F112" i="46"/>
  <c r="F111" i="46"/>
  <c r="F107" i="46"/>
  <c r="F106" i="46"/>
  <c r="F101" i="46"/>
  <c r="C119" i="46"/>
  <c r="D119" i="46" s="1"/>
  <c r="C121" i="46"/>
  <c r="D121" i="46" s="1"/>
  <c r="A122" i="46"/>
  <c r="B122" i="46"/>
  <c r="C122" i="46"/>
  <c r="D122" i="46" s="1"/>
  <c r="C123" i="46"/>
  <c r="D123" i="46" s="1"/>
  <c r="A124" i="46"/>
  <c r="B124" i="46"/>
  <c r="C124" i="46"/>
  <c r="A127" i="46"/>
  <c r="B127" i="46"/>
  <c r="C127" i="46"/>
  <c r="A128" i="46"/>
  <c r="B128" i="46"/>
  <c r="C128" i="46"/>
  <c r="A129" i="46"/>
  <c r="B129" i="46"/>
  <c r="C129" i="46"/>
  <c r="A76" i="46"/>
  <c r="B76" i="46"/>
  <c r="C76" i="46"/>
  <c r="D76" i="46" s="1"/>
  <c r="A77" i="46"/>
  <c r="C77" i="46"/>
  <c r="D77" i="46" s="1"/>
  <c r="A78" i="46"/>
  <c r="B78" i="46"/>
  <c r="C78" i="46"/>
  <c r="D78" i="46" s="1"/>
  <c r="A79" i="46"/>
  <c r="B79" i="46"/>
  <c r="C79" i="46"/>
  <c r="D79" i="46" s="1"/>
  <c r="A80" i="46"/>
  <c r="B80" i="46"/>
  <c r="C80" i="46"/>
  <c r="D80" i="46" s="1"/>
  <c r="A88" i="46"/>
  <c r="B88" i="46"/>
  <c r="C88" i="46"/>
  <c r="D88" i="46" s="1"/>
  <c r="A89" i="46"/>
  <c r="B89" i="46"/>
  <c r="C89" i="46"/>
  <c r="D89" i="46" s="1"/>
  <c r="A90" i="46"/>
  <c r="B90" i="46"/>
  <c r="C90" i="46"/>
  <c r="D90" i="46" s="1"/>
  <c r="A91" i="46"/>
  <c r="B91" i="46"/>
  <c r="C91" i="46"/>
  <c r="D91" i="46" s="1"/>
  <c r="A98" i="46"/>
  <c r="B98" i="46"/>
  <c r="C98" i="46"/>
  <c r="D98" i="46" s="1"/>
  <c r="A99" i="46"/>
  <c r="B99" i="46"/>
  <c r="C99" i="46"/>
  <c r="D99" i="46" s="1"/>
  <c r="A100" i="46"/>
  <c r="B100" i="46"/>
  <c r="C100" i="46"/>
  <c r="D100" i="46" s="1"/>
  <c r="A101" i="46"/>
  <c r="B101" i="46"/>
  <c r="C101" i="46"/>
  <c r="D101" i="46" s="1"/>
  <c r="A106" i="46"/>
  <c r="B106" i="46"/>
  <c r="C106" i="46"/>
  <c r="D106" i="46" s="1"/>
  <c r="A107" i="46"/>
  <c r="B107" i="46"/>
  <c r="C107" i="46"/>
  <c r="D107" i="46" s="1"/>
  <c r="A109" i="46"/>
  <c r="B109" i="46"/>
  <c r="C109" i="46"/>
  <c r="D109" i="46" s="1"/>
  <c r="A110" i="46"/>
  <c r="B110" i="46"/>
  <c r="C110" i="46"/>
  <c r="D110" i="46" s="1"/>
  <c r="A111" i="46"/>
  <c r="B111" i="46"/>
  <c r="C111" i="46"/>
  <c r="D111" i="46" s="1"/>
  <c r="A112" i="46"/>
  <c r="B112" i="46"/>
  <c r="C112" i="46"/>
  <c r="D112" i="46" s="1"/>
  <c r="A113" i="46"/>
  <c r="B113" i="46"/>
  <c r="C113" i="46"/>
  <c r="D113" i="46" s="1"/>
  <c r="A114" i="46"/>
  <c r="B114" i="46"/>
  <c r="C114" i="46"/>
  <c r="D114" i="46" s="1"/>
  <c r="A115" i="46"/>
  <c r="B115" i="46"/>
  <c r="C115" i="46"/>
  <c r="D115" i="46" s="1"/>
  <c r="A116" i="46"/>
  <c r="B116" i="46"/>
  <c r="C116" i="46"/>
  <c r="D116" i="46" s="1"/>
  <c r="C118" i="46"/>
  <c r="D118" i="46" s="1"/>
  <c r="D75" i="46"/>
  <c r="C75" i="46"/>
  <c r="B75" i="46"/>
  <c r="A75" i="46"/>
  <c r="F29" i="3" l="1"/>
  <c r="F28" i="3"/>
  <c r="F102" i="46" s="1"/>
  <c r="F104" i="46"/>
  <c r="C92" i="46"/>
  <c r="D92" i="46" s="1"/>
  <c r="C120" i="46"/>
  <c r="D120" i="46" s="1"/>
  <c r="D48" i="3"/>
  <c r="C117" i="46" s="1"/>
  <c r="D117" i="46" s="1"/>
  <c r="C48" i="3"/>
  <c r="A117" i="46" s="1"/>
  <c r="A92" i="46" l="1"/>
  <c r="F95" i="46"/>
  <c r="B120" i="46"/>
  <c r="A120" i="46"/>
  <c r="E21" i="3"/>
  <c r="E22" i="3"/>
  <c r="E13" i="3"/>
  <c r="F96" i="46" l="1"/>
  <c r="F97" i="46"/>
  <c r="G13" i="3"/>
  <c r="G22" i="3"/>
  <c r="G21" i="3"/>
  <c r="E59" i="3" l="1"/>
  <c r="E60" i="3"/>
  <c r="E61" i="3"/>
  <c r="G61" i="3" s="1"/>
  <c r="E56" i="3"/>
  <c r="D124" i="46" l="1"/>
  <c r="D129" i="46"/>
  <c r="D128" i="46"/>
  <c r="D127" i="46"/>
  <c r="G56" i="3"/>
  <c r="G59" i="3"/>
  <c r="A103" i="46" l="1"/>
  <c r="E35" i="3"/>
  <c r="E34" i="3"/>
  <c r="A102" i="46"/>
  <c r="B102" i="46"/>
  <c r="F103" i="46" l="1"/>
  <c r="E28" i="3"/>
  <c r="C102" i="46"/>
  <c r="D102" i="46" s="1"/>
  <c r="G34" i="3"/>
  <c r="E29" i="3"/>
  <c r="C103" i="46"/>
  <c r="D103" i="46" s="1"/>
  <c r="E30" i="3"/>
  <c r="C104" i="46"/>
  <c r="D104" i="46" s="1"/>
  <c r="E31" i="3"/>
  <c r="C105" i="46"/>
  <c r="D105" i="46" s="1"/>
  <c r="G35" i="3"/>
  <c r="F31" i="3" l="1"/>
  <c r="F105" i="46" s="1"/>
  <c r="G28" i="3"/>
  <c r="G30" i="3"/>
  <c r="G29" i="3"/>
  <c r="E19" i="3"/>
  <c r="E20" i="3"/>
  <c r="E23" i="3"/>
  <c r="E24" i="3"/>
  <c r="E25" i="3"/>
  <c r="E26" i="3"/>
  <c r="E9" i="3"/>
  <c r="E10" i="3"/>
  <c r="E11" i="3"/>
  <c r="E12" i="3"/>
  <c r="E14" i="3"/>
  <c r="E15" i="3"/>
  <c r="E16" i="3"/>
  <c r="E18" i="3"/>
  <c r="F20" i="5" l="1"/>
  <c r="F44" i="5"/>
  <c r="F32" i="5"/>
  <c r="G24" i="3"/>
  <c r="G15" i="3"/>
  <c r="G25" i="3"/>
  <c r="G20" i="3"/>
  <c r="F129" i="46"/>
  <c r="G16" i="3"/>
  <c r="G12" i="3"/>
  <c r="G10" i="3"/>
  <c r="G23" i="3"/>
  <c r="G11" i="3"/>
  <c r="G9" i="3"/>
  <c r="G14" i="3"/>
  <c r="G19" i="3"/>
  <c r="G18" i="3"/>
  <c r="G26" i="3"/>
  <c r="G31" i="3"/>
  <c r="A6" i="40" l="1"/>
  <c r="C53" i="46" l="1"/>
  <c r="C51" i="46"/>
  <c r="C49" i="46"/>
  <c r="C48" i="46"/>
  <c r="C47" i="46"/>
  <c r="C46" i="46"/>
  <c r="C45" i="46"/>
  <c r="C44" i="46"/>
  <c r="C43" i="46"/>
  <c r="C42" i="46"/>
  <c r="C41" i="46"/>
  <c r="C40" i="46"/>
  <c r="C34" i="46"/>
  <c r="C33" i="46"/>
  <c r="C32" i="46"/>
  <c r="C31" i="46"/>
  <c r="C30" i="46"/>
  <c r="C29" i="46"/>
  <c r="C28" i="46"/>
  <c r="C27" i="46"/>
  <c r="AM30" i="27" l="1"/>
  <c r="AH44" i="27"/>
  <c r="N65" i="16" l="1"/>
  <c r="O52" i="16"/>
  <c r="O53" i="16"/>
  <c r="O54" i="16"/>
  <c r="O55" i="16"/>
  <c r="O56" i="16"/>
  <c r="O57" i="16"/>
  <c r="O58" i="16"/>
  <c r="O59" i="16"/>
  <c r="O60" i="16"/>
  <c r="AA51" i="36"/>
  <c r="AA52" i="36"/>
  <c r="AA53" i="36"/>
  <c r="AA54" i="36"/>
  <c r="AA55" i="36"/>
  <c r="AA56" i="36"/>
  <c r="AA57" i="36"/>
  <c r="AA58" i="36"/>
  <c r="AA59" i="36"/>
  <c r="AA60" i="36"/>
  <c r="AA61" i="36"/>
  <c r="AA62" i="36"/>
  <c r="O49" i="11"/>
  <c r="O50" i="11"/>
  <c r="O51" i="11"/>
  <c r="O52" i="11"/>
  <c r="O53" i="11"/>
  <c r="O54" i="11"/>
  <c r="O55" i="11"/>
  <c r="O56" i="11"/>
  <c r="O57" i="11"/>
  <c r="O58" i="11"/>
  <c r="O59" i="11"/>
  <c r="O60" i="11"/>
  <c r="Z67" i="36"/>
  <c r="N65" i="11"/>
  <c r="Q20" i="11" l="1"/>
  <c r="O65" i="11"/>
  <c r="AD21" i="36"/>
  <c r="Q20" i="16"/>
  <c r="O65" i="16"/>
  <c r="AC21" i="36"/>
  <c r="R20" i="16"/>
  <c r="R20" i="11"/>
  <c r="D4" i="41" l="1"/>
  <c r="E2" i="5" l="1"/>
  <c r="CD24" i="27" l="1"/>
  <c r="CP32" i="27"/>
  <c r="CP31" i="27"/>
  <c r="CP28" i="27"/>
  <c r="CP27" i="27"/>
  <c r="CP24" i="27"/>
  <c r="CP23" i="27"/>
  <c r="CP20" i="27"/>
  <c r="CP19" i="27"/>
  <c r="CP16" i="27"/>
  <c r="CP15" i="27"/>
  <c r="CP12" i="27"/>
  <c r="CP11" i="27"/>
  <c r="DL7" i="27"/>
  <c r="DJ7" i="27"/>
  <c r="DH7" i="27"/>
  <c r="GX14" i="27" l="1"/>
  <c r="E13" i="5"/>
  <c r="G13" i="5" l="1"/>
  <c r="D13" i="5"/>
  <c r="A13" i="5"/>
  <c r="M13" i="5"/>
  <c r="K13" i="5"/>
  <c r="C19" i="5" s="1"/>
  <c r="A37" i="12"/>
  <c r="A31" i="12"/>
  <c r="A26" i="12"/>
  <c r="A21" i="12"/>
  <c r="A16" i="12"/>
  <c r="A11" i="12"/>
  <c r="A6" i="12"/>
  <c r="A32" i="40"/>
  <c r="A27" i="40"/>
  <c r="A22" i="40"/>
  <c r="A17" i="40"/>
  <c r="A12" i="40"/>
  <c r="A7" i="40"/>
  <c r="GC44" i="27" l="1"/>
  <c r="GC31" i="27"/>
  <c r="GC18" i="27"/>
  <c r="F47" i="5"/>
  <c r="C35" i="5"/>
  <c r="C31" i="5"/>
  <c r="A19" i="5"/>
  <c r="C47" i="5"/>
  <c r="A23" i="5"/>
  <c r="F35" i="5"/>
  <c r="A43" i="5"/>
  <c r="C23" i="5"/>
  <c r="F31" i="5"/>
  <c r="A35" i="5"/>
  <c r="A31" i="5"/>
  <c r="F23" i="5"/>
  <c r="F43" i="5"/>
  <c r="C43" i="5"/>
  <c r="F19" i="5"/>
  <c r="A47" i="5"/>
  <c r="A33" i="5"/>
  <c r="A22" i="5"/>
  <c r="C34" i="5"/>
  <c r="A34" i="5"/>
  <c r="C33" i="5"/>
  <c r="C45" i="5"/>
  <c r="A45" i="5"/>
  <c r="A21" i="5"/>
  <c r="C46" i="5"/>
  <c r="C21" i="5"/>
  <c r="A46" i="5"/>
  <c r="C22" i="5"/>
  <c r="F21" i="5"/>
  <c r="F46" i="5"/>
  <c r="F34" i="5"/>
  <c r="F33" i="5"/>
  <c r="F45" i="5"/>
  <c r="F22" i="5"/>
  <c r="E31" i="5"/>
  <c r="A49" i="5"/>
  <c r="A25" i="5"/>
  <c r="A37" i="5"/>
  <c r="B13" i="5"/>
  <c r="E20" i="5"/>
  <c r="E45" i="5"/>
  <c r="E32" i="5"/>
  <c r="E43" i="5"/>
  <c r="E33" i="5"/>
  <c r="E19" i="5"/>
  <c r="E21" i="5"/>
  <c r="E44" i="5"/>
  <c r="E46" i="5"/>
  <c r="E47" i="5"/>
  <c r="E35" i="5"/>
  <c r="E34" i="5"/>
  <c r="E22" i="5"/>
  <c r="E23" i="5"/>
  <c r="D13" i="41"/>
  <c r="D4" i="13"/>
  <c r="D7" i="41"/>
  <c r="W3" i="40" l="1"/>
  <c r="V3" i="40"/>
  <c r="U3" i="40"/>
  <c r="T3" i="40"/>
  <c r="S3" i="40"/>
  <c r="R3" i="40"/>
  <c r="Q3" i="40"/>
  <c r="P3" i="40"/>
  <c r="O3" i="40"/>
  <c r="N3" i="40"/>
  <c r="M3" i="40"/>
  <c r="L3" i="40"/>
  <c r="K3" i="40"/>
  <c r="J3" i="40"/>
  <c r="I3" i="40"/>
  <c r="H3" i="40"/>
  <c r="G3" i="40"/>
  <c r="F3" i="40"/>
  <c r="E3" i="40"/>
  <c r="D3" i="40"/>
  <c r="C3" i="40"/>
  <c r="D4" i="32" l="1"/>
  <c r="D7" i="32"/>
  <c r="D7" i="13"/>
  <c r="A37" i="17"/>
  <c r="A36" i="17"/>
  <c r="A31" i="17"/>
  <c r="A30" i="17"/>
  <c r="A26" i="17"/>
  <c r="A25" i="17"/>
  <c r="A21" i="17"/>
  <c r="A20" i="17"/>
  <c r="A16" i="17"/>
  <c r="A15" i="17"/>
  <c r="A11" i="17"/>
  <c r="A10" i="17"/>
  <c r="A6" i="17"/>
  <c r="A5" i="17"/>
  <c r="A31" i="40"/>
  <c r="A26" i="40"/>
  <c r="A21" i="40"/>
  <c r="A16" i="40"/>
  <c r="A11" i="40"/>
  <c r="V2" i="40"/>
  <c r="W2" i="40"/>
  <c r="S2" i="40"/>
  <c r="T2" i="40"/>
  <c r="U2" i="40"/>
  <c r="C2" i="40"/>
  <c r="D2" i="40"/>
  <c r="E2" i="40"/>
  <c r="F2" i="40"/>
  <c r="G2" i="40"/>
  <c r="H2" i="40"/>
  <c r="I2" i="40"/>
  <c r="J2" i="40"/>
  <c r="K2" i="40"/>
  <c r="L2" i="40"/>
  <c r="M2" i="40"/>
  <c r="N2" i="40"/>
  <c r="O2" i="40"/>
  <c r="P2" i="40"/>
  <c r="Q2" i="40"/>
  <c r="R2" i="40"/>
  <c r="B2" i="40"/>
  <c r="GC43" i="27" l="1"/>
  <c r="GC17" i="27"/>
  <c r="GC30" i="27"/>
  <c r="H88" i="36"/>
  <c r="W93" i="36"/>
  <c r="V93" i="36"/>
  <c r="U93" i="36"/>
  <c r="T93" i="36"/>
  <c r="S93" i="36"/>
  <c r="R93" i="36"/>
  <c r="Q93" i="36"/>
  <c r="P93" i="36"/>
  <c r="O93" i="36"/>
  <c r="N93" i="36"/>
  <c r="M93" i="36"/>
  <c r="L93" i="36"/>
  <c r="K93" i="36"/>
  <c r="J93" i="36"/>
  <c r="I93" i="36"/>
  <c r="H93" i="36"/>
  <c r="G93" i="36"/>
  <c r="F93" i="36"/>
  <c r="E93" i="36"/>
  <c r="D93" i="36"/>
  <c r="W92" i="36"/>
  <c r="V92" i="36"/>
  <c r="U92" i="36"/>
  <c r="T92" i="36"/>
  <c r="S92" i="36"/>
  <c r="R92" i="36"/>
  <c r="Q92" i="36"/>
  <c r="P92" i="36"/>
  <c r="O92" i="36"/>
  <c r="N92" i="36"/>
  <c r="M92" i="36"/>
  <c r="L92" i="36"/>
  <c r="K92" i="36"/>
  <c r="J92" i="36"/>
  <c r="I92" i="36"/>
  <c r="H92" i="36"/>
  <c r="G92" i="36"/>
  <c r="F92" i="36"/>
  <c r="E92" i="36"/>
  <c r="D92" i="36"/>
  <c r="W91" i="36"/>
  <c r="V91" i="36"/>
  <c r="U91" i="36"/>
  <c r="T91" i="36"/>
  <c r="S91" i="36"/>
  <c r="R91" i="36"/>
  <c r="Q91" i="36"/>
  <c r="P91" i="36"/>
  <c r="O91" i="36"/>
  <c r="N91" i="36"/>
  <c r="M91" i="36"/>
  <c r="L91" i="36"/>
  <c r="K91" i="36"/>
  <c r="J91" i="36"/>
  <c r="I91" i="36"/>
  <c r="H91" i="36"/>
  <c r="G91" i="36"/>
  <c r="F91" i="36"/>
  <c r="E91" i="36"/>
  <c r="D91" i="36"/>
  <c r="W90" i="36"/>
  <c r="V90" i="36"/>
  <c r="U90" i="36"/>
  <c r="T90" i="36"/>
  <c r="S90" i="36"/>
  <c r="R90" i="36"/>
  <c r="Q90" i="36"/>
  <c r="P90" i="36"/>
  <c r="O90" i="36"/>
  <c r="N90" i="36"/>
  <c r="M90" i="36"/>
  <c r="L90" i="36"/>
  <c r="K90" i="36"/>
  <c r="J90" i="36"/>
  <c r="I90" i="36"/>
  <c r="H90" i="36"/>
  <c r="G90" i="36"/>
  <c r="F90" i="36"/>
  <c r="E90" i="36"/>
  <c r="D90" i="36"/>
  <c r="W89" i="36"/>
  <c r="V89" i="36"/>
  <c r="U89" i="36"/>
  <c r="T89" i="36"/>
  <c r="S89" i="36"/>
  <c r="R89" i="36"/>
  <c r="Q89" i="36"/>
  <c r="P89" i="36"/>
  <c r="O89" i="36"/>
  <c r="N89" i="36"/>
  <c r="M89" i="36"/>
  <c r="L89" i="36"/>
  <c r="K89" i="36"/>
  <c r="J89" i="36"/>
  <c r="I89" i="36"/>
  <c r="H89" i="36"/>
  <c r="G89" i="36"/>
  <c r="F89" i="36"/>
  <c r="E89" i="36"/>
  <c r="D89" i="36"/>
  <c r="W88" i="36"/>
  <c r="V88" i="36"/>
  <c r="U88" i="36"/>
  <c r="T88" i="36"/>
  <c r="S88" i="36"/>
  <c r="R88" i="36"/>
  <c r="Q88" i="36"/>
  <c r="P88" i="36"/>
  <c r="O88" i="36"/>
  <c r="N88" i="36"/>
  <c r="M88" i="36"/>
  <c r="L88" i="36"/>
  <c r="K88" i="36"/>
  <c r="J88" i="36"/>
  <c r="I88" i="36"/>
  <c r="G88" i="36"/>
  <c r="F88" i="36"/>
  <c r="E88" i="36"/>
  <c r="D88" i="36"/>
  <c r="C93" i="36"/>
  <c r="C92" i="36"/>
  <c r="C91" i="36"/>
  <c r="C90" i="36"/>
  <c r="C89" i="36"/>
  <c r="C88" i="36"/>
  <c r="A36" i="12" l="1"/>
  <c r="A30" i="12"/>
  <c r="A25" i="12"/>
  <c r="A20" i="12"/>
  <c r="A15" i="12"/>
  <c r="A10" i="12"/>
  <c r="B5" i="6"/>
  <c r="CD23" i="27" s="1"/>
  <c r="D6" i="41" l="1"/>
  <c r="D6" i="32"/>
  <c r="D6" i="13"/>
  <c r="A5" i="12"/>
  <c r="D9" i="41" l="1"/>
  <c r="CD11" i="27"/>
  <c r="D1" i="17" l="1"/>
  <c r="E1" i="17"/>
  <c r="F1" i="17"/>
  <c r="G1" i="17"/>
  <c r="C103" i="36"/>
  <c r="C102" i="36"/>
  <c r="C101" i="36"/>
  <c r="C100" i="36"/>
  <c r="C99" i="36"/>
  <c r="C98" i="36"/>
  <c r="G64" i="16"/>
  <c r="F64" i="16"/>
  <c r="G60" i="16"/>
  <c r="F60" i="16"/>
  <c r="G38" i="16"/>
  <c r="F38" i="16"/>
  <c r="G34" i="16"/>
  <c r="F34" i="16"/>
  <c r="D1" i="12"/>
  <c r="E1" i="12"/>
  <c r="F1" i="12"/>
  <c r="G1" i="12"/>
  <c r="F34" i="11"/>
  <c r="G64" i="11"/>
  <c r="F64" i="11"/>
  <c r="G60" i="11"/>
  <c r="F60" i="11"/>
  <c r="G38" i="11"/>
  <c r="F38" i="11"/>
  <c r="G34" i="11"/>
  <c r="BJ5" i="43" l="1"/>
  <c r="A2" i="43"/>
  <c r="D38" i="3" l="1"/>
  <c r="C108" i="46" s="1"/>
  <c r="D108" i="46" s="1"/>
  <c r="B36" i="28" l="1"/>
  <c r="B23" i="29"/>
  <c r="E16" i="28" s="1"/>
  <c r="E31" i="28"/>
  <c r="E27" i="28"/>
  <c r="D42" i="27" l="1"/>
  <c r="D28" i="27"/>
  <c r="CD8" i="27"/>
  <c r="CD7" i="27"/>
  <c r="GX13" i="6"/>
  <c r="EL23" i="27"/>
  <c r="K1" i="17"/>
  <c r="J1" i="17"/>
  <c r="I1" i="17"/>
  <c r="H1" i="17"/>
  <c r="G18" i="14" l="1"/>
  <c r="F22" i="14" s="1"/>
  <c r="G20" i="14"/>
  <c r="G19" i="14"/>
  <c r="G35" i="5" l="1"/>
  <c r="G23" i="5"/>
  <c r="G47" i="5"/>
  <c r="E13" i="34"/>
  <c r="F13" i="34" s="1"/>
  <c r="G13" i="34"/>
  <c r="H13" i="34" s="1"/>
  <c r="G19" i="5" l="1"/>
  <c r="G43" i="5"/>
  <c r="G31" i="5"/>
  <c r="K13" i="34"/>
  <c r="I13" i="34"/>
  <c r="J13" i="34"/>
  <c r="L13" i="34"/>
  <c r="D13" i="32"/>
  <c r="D13" i="13"/>
  <c r="EL21" i="27" l="1"/>
  <c r="D9" i="13" l="1"/>
  <c r="EL25" i="27" s="1"/>
  <c r="X93" i="36"/>
  <c r="X92" i="36"/>
  <c r="X91" i="36"/>
  <c r="X90" i="36"/>
  <c r="X89" i="36"/>
  <c r="X88" i="36"/>
  <c r="Z40" i="36"/>
  <c r="Z41" i="36" s="1"/>
  <c r="AA41" i="36" s="1"/>
  <c r="AC19" i="36"/>
  <c r="Z13" i="36"/>
  <c r="AA13" i="36" s="1"/>
  <c r="A2" i="36"/>
  <c r="GX29" i="27" l="1"/>
  <c r="GX16" i="27"/>
  <c r="GX42" i="27"/>
  <c r="Z39" i="36"/>
  <c r="AA39" i="36" s="1"/>
  <c r="C21" i="36"/>
  <c r="C19" i="36"/>
  <c r="C23" i="36"/>
  <c r="C20" i="36"/>
  <c r="C22" i="36"/>
  <c r="C24" i="36"/>
  <c r="C25" i="36" l="1"/>
  <c r="D14" i="41" s="1"/>
  <c r="AD19" i="36"/>
  <c r="C13" i="36" s="1"/>
  <c r="AA40" i="36"/>
  <c r="X12" i="36" l="1"/>
  <c r="C11" i="36"/>
  <c r="X11" i="36"/>
  <c r="C12" i="36"/>
  <c r="X13" i="36"/>
  <c r="X10" i="36"/>
  <c r="X9" i="36"/>
  <c r="C14" i="36"/>
  <c r="C10" i="36"/>
  <c r="X14" i="36"/>
  <c r="P13" i="36"/>
  <c r="L10" i="36"/>
  <c r="W13" i="36"/>
  <c r="S10" i="36"/>
  <c r="F9" i="36"/>
  <c r="T13" i="36"/>
  <c r="G14" i="36"/>
  <c r="V10" i="36"/>
  <c r="U10" i="36"/>
  <c r="H13" i="36"/>
  <c r="O13" i="36"/>
  <c r="V11" i="36"/>
  <c r="U11" i="36"/>
  <c r="H10" i="36"/>
  <c r="R13" i="36"/>
  <c r="Q14" i="36"/>
  <c r="F10" i="36"/>
  <c r="S9" i="36"/>
  <c r="Q9" i="36"/>
  <c r="D10" i="36"/>
  <c r="I10" i="36"/>
  <c r="S13" i="36"/>
  <c r="N10" i="36"/>
  <c r="M11" i="36"/>
  <c r="E11" i="36"/>
  <c r="U12" i="36"/>
  <c r="T12" i="36"/>
  <c r="P9" i="36"/>
  <c r="R14" i="36"/>
  <c r="G10" i="36"/>
  <c r="L12" i="36"/>
  <c r="H9" i="36"/>
  <c r="S12" i="36"/>
  <c r="J14" i="36"/>
  <c r="F11" i="36"/>
  <c r="L9" i="36"/>
  <c r="D12" i="36"/>
  <c r="K10" i="36"/>
  <c r="K12" i="36"/>
  <c r="V13" i="36"/>
  <c r="R10" i="36"/>
  <c r="U13" i="36"/>
  <c r="Q10" i="36"/>
  <c r="H12" i="36"/>
  <c r="D9" i="36"/>
  <c r="O12" i="36"/>
  <c r="K9" i="36"/>
  <c r="N12" i="36"/>
  <c r="J9" i="36"/>
  <c r="M12" i="36"/>
  <c r="I9" i="36"/>
  <c r="J10" i="36"/>
  <c r="M9" i="36"/>
  <c r="U9" i="36"/>
  <c r="G12" i="36"/>
  <c r="F12" i="36"/>
  <c r="E12" i="36"/>
  <c r="L14" i="36"/>
  <c r="S14" i="36"/>
  <c r="F13" i="36"/>
  <c r="P14" i="36"/>
  <c r="W14" i="36"/>
  <c r="R11" i="36"/>
  <c r="Q11" i="36"/>
  <c r="G13" i="36"/>
  <c r="K13" i="36"/>
  <c r="I14" i="36"/>
  <c r="V12" i="36"/>
  <c r="T14" i="36"/>
  <c r="P11" i="36"/>
  <c r="E9" i="36"/>
  <c r="W11" i="36"/>
  <c r="N13" i="36"/>
  <c r="M13" i="36"/>
  <c r="T11" i="36"/>
  <c r="G9" i="36"/>
  <c r="W9" i="36"/>
  <c r="H11" i="36"/>
  <c r="O11" i="36"/>
  <c r="E13" i="36"/>
  <c r="L11" i="36"/>
  <c r="S11" i="36"/>
  <c r="U14" i="36"/>
  <c r="M10" i="36"/>
  <c r="D13" i="36"/>
  <c r="J13" i="36"/>
  <c r="W12" i="36"/>
  <c r="V9" i="36"/>
  <c r="V14" i="36"/>
  <c r="N11" i="36"/>
  <c r="E10" i="36"/>
  <c r="R9" i="36"/>
  <c r="D14" i="36"/>
  <c r="T10" i="36"/>
  <c r="K14" i="36"/>
  <c r="G11" i="36"/>
  <c r="R12" i="36"/>
  <c r="N9" i="36"/>
  <c r="Q12" i="36"/>
  <c r="H14" i="36"/>
  <c r="D11" i="36"/>
  <c r="O14" i="36"/>
  <c r="K11" i="36"/>
  <c r="N14" i="36"/>
  <c r="J11" i="36"/>
  <c r="M14" i="36"/>
  <c r="I11" i="36"/>
  <c r="J12" i="36"/>
  <c r="I12" i="36"/>
  <c r="P10" i="36"/>
  <c r="W10" i="36"/>
  <c r="F14" i="36"/>
  <c r="E14" i="36"/>
  <c r="O9" i="36"/>
  <c r="L13" i="36"/>
  <c r="O10" i="36"/>
  <c r="Q13" i="36"/>
  <c r="T9" i="36"/>
  <c r="I13" i="36"/>
  <c r="P12" i="36"/>
  <c r="C9" i="36"/>
  <c r="GX38" i="27"/>
  <c r="GX40" i="27" s="1"/>
  <c r="B32" i="23"/>
  <c r="GX25" i="27"/>
  <c r="GX27" i="27" s="1"/>
  <c r="B34" i="23"/>
  <c r="X15" i="36" l="1"/>
  <c r="C15" i="36"/>
  <c r="D15" i="41" s="1"/>
  <c r="D15" i="36"/>
  <c r="U15" i="36"/>
  <c r="P15" i="36"/>
  <c r="F15" i="36"/>
  <c r="O15" i="36"/>
  <c r="G15" i="36"/>
  <c r="N15" i="36"/>
  <c r="H15" i="36"/>
  <c r="M15" i="36"/>
  <c r="T15" i="36"/>
  <c r="J15" i="36"/>
  <c r="V15" i="36"/>
  <c r="R15" i="36"/>
  <c r="Q15" i="36"/>
  <c r="I15" i="36"/>
  <c r="L15" i="36"/>
  <c r="W15" i="36"/>
  <c r="K15" i="36"/>
  <c r="E15" i="36"/>
  <c r="S15" i="36"/>
  <c r="D11" i="13"/>
  <c r="CD9" i="27"/>
  <c r="D11" i="32"/>
  <c r="D11" i="41"/>
  <c r="D6" i="35"/>
  <c r="EL27" i="27" l="1"/>
  <c r="AE23" i="27"/>
  <c r="B25" i="6" l="1"/>
  <c r="F54" i="3" l="1"/>
  <c r="F53" i="3"/>
  <c r="F52" i="3"/>
  <c r="F51" i="3"/>
  <c r="F120" i="46" s="1"/>
  <c r="F44" i="3"/>
  <c r="F114" i="46" s="1"/>
  <c r="E50" i="3"/>
  <c r="E40" i="3"/>
  <c r="C38" i="3"/>
  <c r="A108" i="46" l="1"/>
  <c r="G50" i="3"/>
  <c r="G40" i="3"/>
  <c r="F121" i="46"/>
  <c r="F123" i="46"/>
  <c r="F122" i="46"/>
  <c r="C53" i="2"/>
  <c r="C54" i="2"/>
  <c r="C55" i="2"/>
  <c r="E33" i="28"/>
  <c r="E34" i="28"/>
  <c r="E35" i="28"/>
  <c r="E36" i="28"/>
  <c r="E32" i="28"/>
  <c r="B35" i="28"/>
  <c r="B34" i="28"/>
  <c r="B33" i="28"/>
  <c r="B32" i="28"/>
  <c r="B24" i="29"/>
  <c r="C50" i="2"/>
  <c r="E30" i="28" s="1"/>
  <c r="C49" i="2"/>
  <c r="C48" i="2"/>
  <c r="E28" i="28" s="1"/>
  <c r="E29" i="28" l="1"/>
  <c r="B26" i="29"/>
  <c r="B66" i="29"/>
  <c r="B52" i="29"/>
  <c r="E18" i="28"/>
  <c r="E19" i="28" l="1"/>
  <c r="B25" i="29" l="1"/>
  <c r="B117" i="46" l="1"/>
  <c r="B108" i="46" l="1"/>
  <c r="T19" i="35"/>
  <c r="S19" i="35"/>
  <c r="S21" i="35" s="1"/>
  <c r="S22" i="35" s="1"/>
  <c r="S23" i="35" s="1"/>
  <c r="S18" i="35"/>
  <c r="T18" i="35"/>
  <c r="T21" i="35" l="1"/>
  <c r="T22" i="35" s="1"/>
  <c r="T23" i="35" s="1"/>
  <c r="S20" i="35"/>
  <c r="T20" i="35"/>
  <c r="E49" i="3"/>
  <c r="E52" i="3"/>
  <c r="E53" i="3"/>
  <c r="E54" i="3"/>
  <c r="E39" i="3"/>
  <c r="E41" i="3"/>
  <c r="E42" i="3"/>
  <c r="E43" i="3"/>
  <c r="E44" i="3"/>
  <c r="E45" i="3"/>
  <c r="E46" i="3"/>
  <c r="E48" i="3"/>
  <c r="G39" i="3" l="1"/>
  <c r="G49" i="3"/>
  <c r="F46" i="3"/>
  <c r="F116" i="46" s="1"/>
  <c r="G52" i="3"/>
  <c r="G48" i="3"/>
  <c r="G41" i="3"/>
  <c r="G42" i="3"/>
  <c r="G45" i="3"/>
  <c r="F43" i="3"/>
  <c r="D36" i="48" l="1" a="1"/>
  <c r="D36" i="48" s="1"/>
  <c r="B18" i="48" a="1"/>
  <c r="B18" i="48" s="1"/>
  <c r="D18" i="48" a="1"/>
  <c r="D18" i="48" s="1"/>
  <c r="C14" i="48" a="1"/>
  <c r="C14" i="48" s="1"/>
  <c r="C27" i="48" a="1"/>
  <c r="C27" i="48" s="1"/>
  <c r="B32" i="48" a="1"/>
  <c r="B32" i="48" s="1"/>
  <c r="D15" i="48" a="1"/>
  <c r="D15" i="48" s="1"/>
  <c r="D20" i="48" a="1"/>
  <c r="D20" i="48" s="1"/>
  <c r="C26" i="48" a="1"/>
  <c r="C26" i="48" s="1"/>
  <c r="C31" i="48" a="1"/>
  <c r="C31" i="48" s="1"/>
  <c r="E31" i="48" s="1"/>
  <c r="B27" i="48" a="1"/>
  <c r="B27" i="48" s="1"/>
  <c r="C34" i="48" a="1"/>
  <c r="C34" i="48" s="1"/>
  <c r="A35" i="48" a="1"/>
  <c r="A35" i="48" s="1"/>
  <c r="C35" i="48" a="1"/>
  <c r="C35" i="48" s="1"/>
  <c r="C12" i="48" a="1"/>
  <c r="C12" i="48" s="1"/>
  <c r="B25" i="48" a="1"/>
  <c r="B25" i="48" s="1"/>
  <c r="D34" i="48" a="1"/>
  <c r="D34" i="48" s="1"/>
  <c r="D14" i="48" a="1"/>
  <c r="D14" i="48" s="1"/>
  <c r="B28" i="48" a="1"/>
  <c r="B28" i="48" s="1"/>
  <c r="C19" i="48" a="1"/>
  <c r="C19" i="48" s="1"/>
  <c r="D27" i="48" a="1"/>
  <c r="D27" i="48" s="1"/>
  <c r="B35" i="48" a="1"/>
  <c r="B35" i="48" s="1"/>
  <c r="B31" i="48" a="1"/>
  <c r="B31" i="48" s="1"/>
  <c r="C16" i="48" a="1"/>
  <c r="C16" i="48" s="1"/>
  <c r="C21" i="48" a="1"/>
  <c r="C21" i="48" s="1"/>
  <c r="B13" i="48" a="1"/>
  <c r="B13" i="48" s="1"/>
  <c r="C30" i="48" a="1"/>
  <c r="C30" i="48" s="1"/>
  <c r="E30" i="48" s="1"/>
  <c r="D19" i="48" a="1"/>
  <c r="D19" i="48" s="1"/>
  <c r="B20" i="48" a="1"/>
  <c r="B20" i="48" s="1"/>
  <c r="B16" i="48" a="1"/>
  <c r="B16" i="48" s="1"/>
  <c r="B30" i="48" a="1"/>
  <c r="B30" i="48" s="1"/>
  <c r="B36" i="48" a="1"/>
  <c r="B36" i="48" s="1"/>
  <c r="B19" i="48" a="1"/>
  <c r="B19" i="48" s="1"/>
  <c r="C13" i="48" a="1"/>
  <c r="C13" i="48" s="1"/>
  <c r="C22" i="48" a="1"/>
  <c r="C22" i="48" s="1"/>
  <c r="D23" i="48" a="1"/>
  <c r="D23" i="48" s="1"/>
  <c r="B12" i="48" a="1"/>
  <c r="B12" i="48" s="1"/>
  <c r="C32" i="48" a="1"/>
  <c r="C32" i="48" s="1"/>
  <c r="D12" i="48" a="1"/>
  <c r="D12" i="48" s="1"/>
  <c r="C18" i="48" a="1"/>
  <c r="C18" i="48" s="1"/>
  <c r="E18" i="48" s="1"/>
  <c r="C36" i="48" a="1"/>
  <c r="C36" i="48" s="1"/>
  <c r="E36" i="48" s="1"/>
  <c r="D30" i="48" a="1"/>
  <c r="D30" i="48" s="1"/>
  <c r="D29" i="48" a="1"/>
  <c r="D29" i="48" s="1"/>
  <c r="B15" i="48" a="1"/>
  <c r="B15" i="48" s="1"/>
  <c r="B34" i="48" a="1"/>
  <c r="B34" i="48" s="1"/>
  <c r="D17" i="48" a="1"/>
  <c r="D17" i="48" s="1"/>
  <c r="C15" i="48" a="1"/>
  <c r="C15" i="48" s="1"/>
  <c r="E15" i="48" s="1"/>
  <c r="D24" i="48" a="1"/>
  <c r="D24" i="48" s="1"/>
  <c r="D13" i="48" a="1"/>
  <c r="D13" i="48" s="1"/>
  <c r="B14" i="48" a="1"/>
  <c r="B14" i="48" s="1"/>
  <c r="D31" i="48" a="1"/>
  <c r="D31" i="48" s="1"/>
  <c r="C33" i="48" a="1"/>
  <c r="C33" i="48" s="1"/>
  <c r="D32" i="48" a="1"/>
  <c r="D32" i="48" s="1"/>
  <c r="B33" i="48" a="1"/>
  <c r="B33" i="48" s="1"/>
  <c r="B29" i="48" a="1"/>
  <c r="B29" i="48" s="1"/>
  <c r="C28" i="48" a="1"/>
  <c r="C28" i="48" s="1"/>
  <c r="D21" i="48" a="1"/>
  <c r="D21" i="48" s="1"/>
  <c r="D35" i="48" a="1"/>
  <c r="D35" i="48" s="1"/>
  <c r="B24" i="48" a="1"/>
  <c r="B24" i="48" s="1"/>
  <c r="D28" i="48" a="1"/>
  <c r="D28" i="48" s="1"/>
  <c r="C25" i="48" a="1"/>
  <c r="C25" i="48" s="1"/>
  <c r="D25" i="48" a="1"/>
  <c r="D25" i="48" s="1"/>
  <c r="A36" i="48" a="1"/>
  <c r="A36" i="48" s="1"/>
  <c r="D16" i="48" a="1"/>
  <c r="D16" i="48" s="1"/>
  <c r="C17" i="48" a="1"/>
  <c r="C17" i="48" s="1"/>
  <c r="D33" i="48" a="1"/>
  <c r="D33" i="48" s="1"/>
  <c r="C24" i="48" a="1"/>
  <c r="C24" i="48" s="1"/>
  <c r="C29" i="48" a="1"/>
  <c r="C29" i="48" s="1"/>
  <c r="E29" i="48" s="1"/>
  <c r="B17" i="48" a="1"/>
  <c r="B17" i="48" s="1"/>
  <c r="C20" i="48" a="1"/>
  <c r="C20" i="48" s="1"/>
  <c r="C23" i="48" a="1"/>
  <c r="C23" i="48" s="1"/>
  <c r="E23" i="48" s="1"/>
  <c r="B26" i="48" a="1"/>
  <c r="B26" i="48" s="1"/>
  <c r="D22" i="48" a="1"/>
  <c r="D22" i="48" s="1"/>
  <c r="A34" i="48" a="1"/>
  <c r="A34" i="48" s="1"/>
  <c r="A17" i="48" a="1"/>
  <c r="A17" i="48" s="1"/>
  <c r="A32" i="48" a="1"/>
  <c r="A32" i="48" s="1"/>
  <c r="A18" i="48" a="1"/>
  <c r="A18" i="48" s="1"/>
  <c r="A19" i="48" a="1"/>
  <c r="A19" i="48" s="1"/>
  <c r="A27" i="48" a="1"/>
  <c r="A27" i="48" s="1"/>
  <c r="A13" i="48" a="1"/>
  <c r="A13" i="48" s="1"/>
  <c r="A14" i="48" a="1"/>
  <c r="A14" i="48" s="1"/>
  <c r="A30" i="48" a="1"/>
  <c r="A30" i="48" s="1"/>
  <c r="A29" i="48" a="1"/>
  <c r="A29" i="48" s="1"/>
  <c r="A15" i="48" a="1"/>
  <c r="A15" i="48" s="1"/>
  <c r="A12" i="48" a="1"/>
  <c r="A12" i="48" s="1"/>
  <c r="A24" i="48" a="1"/>
  <c r="A24" i="48" s="1"/>
  <c r="A16" i="48" a="1"/>
  <c r="A16" i="48" s="1"/>
  <c r="A28" i="48" a="1"/>
  <c r="A28" i="48" s="1"/>
  <c r="A33" i="48" a="1"/>
  <c r="A33" i="48" s="1"/>
  <c r="A25" i="48" a="1"/>
  <c r="A25" i="48" s="1"/>
  <c r="A21" i="48" a="1"/>
  <c r="A21" i="48" s="1"/>
  <c r="A31" i="48" a="1"/>
  <c r="A31" i="48" s="1"/>
  <c r="A20" i="48" a="1"/>
  <c r="A20" i="48" s="1"/>
  <c r="A26" i="48" a="1"/>
  <c r="A26" i="48" s="1"/>
  <c r="F128" i="46"/>
  <c r="G60" i="3"/>
  <c r="F113" i="46"/>
  <c r="B23" i="48" a="1"/>
  <c r="B23" i="48" s="1"/>
  <c r="A22" i="48" a="1"/>
  <c r="A22" i="48" s="1"/>
  <c r="B22" i="48" a="1"/>
  <c r="B22" i="48" s="1"/>
  <c r="A23" i="48" a="1"/>
  <c r="A23" i="48" s="1"/>
  <c r="B21" i="48" a="1"/>
  <c r="B21" i="48" s="1"/>
  <c r="G46" i="3"/>
  <c r="E38" i="3"/>
  <c r="D26" i="48" s="1" a="1"/>
  <c r="D26" i="48" s="1"/>
  <c r="G54" i="3"/>
  <c r="G53" i="3"/>
  <c r="G51" i="3"/>
  <c r="G44" i="3"/>
  <c r="G43" i="3"/>
  <c r="E25" i="48" l="1"/>
  <c r="E24" i="48"/>
  <c r="E28" i="48"/>
  <c r="E32" i="48"/>
  <c r="E35" i="48"/>
  <c r="E27" i="48"/>
  <c r="E33" i="48"/>
  <c r="E34" i="48"/>
  <c r="E26" i="48"/>
  <c r="E20" i="48"/>
  <c r="E22" i="48"/>
  <c r="E21" i="48"/>
  <c r="E17" i="48"/>
  <c r="E19" i="48"/>
  <c r="E16" i="48"/>
  <c r="E14" i="48"/>
  <c r="E13" i="48"/>
  <c r="E12" i="48"/>
  <c r="B103" i="46"/>
  <c r="A104" i="46"/>
  <c r="B104" i="46"/>
  <c r="A105" i="46"/>
  <c r="B105" i="46"/>
  <c r="G38" i="3"/>
  <c r="BQ5" i="26"/>
  <c r="CP5" i="18"/>
  <c r="G12" i="34"/>
  <c r="H12" i="34" s="1"/>
  <c r="E12" i="34"/>
  <c r="G11" i="34"/>
  <c r="H11" i="34" s="1"/>
  <c r="K11" i="34" s="1"/>
  <c r="E11" i="34"/>
  <c r="F11" i="34" s="1"/>
  <c r="G10" i="34"/>
  <c r="H10" i="34" s="1"/>
  <c r="E10" i="34"/>
  <c r="G9" i="34"/>
  <c r="H9" i="34" s="1"/>
  <c r="L9" i="34" s="1"/>
  <c r="E9" i="34"/>
  <c r="F9" i="34" s="1"/>
  <c r="G8" i="34"/>
  <c r="H8" i="34" s="1"/>
  <c r="E8" i="34"/>
  <c r="F8" i="34" s="1"/>
  <c r="G7" i="34"/>
  <c r="H7" i="34" s="1"/>
  <c r="E7" i="34"/>
  <c r="V6" i="34"/>
  <c r="W6" i="34" s="1"/>
  <c r="G6" i="34"/>
  <c r="H6" i="34" s="1"/>
  <c r="E6" i="34"/>
  <c r="V5" i="34"/>
  <c r="W5" i="34" s="1"/>
  <c r="E38" i="48" l="1"/>
  <c r="E40" i="48" s="1"/>
  <c r="D9" i="35"/>
  <c r="L11" i="34"/>
  <c r="I11" i="34"/>
  <c r="L8" i="34"/>
  <c r="K8" i="34"/>
  <c r="J8" i="34" s="1"/>
  <c r="I8" i="34"/>
  <c r="I9" i="34"/>
  <c r="K9" i="34"/>
  <c r="J9" i="34" s="1"/>
  <c r="J11" i="34"/>
  <c r="M27" i="50" l="1"/>
  <c r="D11" i="35"/>
  <c r="M28" i="50" s="1"/>
  <c r="C9" i="33"/>
  <c r="D9" i="33"/>
  <c r="B9" i="33"/>
  <c r="D12" i="35"/>
  <c r="D23" i="33" l="1"/>
  <c r="Q2" i="26"/>
  <c r="M29" i="50"/>
  <c r="S2" i="18"/>
  <c r="P2" i="43"/>
  <c r="C22" i="33"/>
  <c r="C41" i="33" s="1"/>
  <c r="D22" i="33"/>
  <c r="D41" i="33" s="1"/>
  <c r="B23" i="33"/>
  <c r="B22" i="33"/>
  <c r="B41" i="33" s="1"/>
  <c r="C23" i="33"/>
  <c r="D12" i="13"/>
  <c r="CD10" i="27"/>
  <c r="D12" i="32"/>
  <c r="D12" i="41"/>
  <c r="E2" i="24"/>
  <c r="B7" i="19" s="1"/>
  <c r="EL28" i="27" l="1"/>
  <c r="F2" i="24"/>
  <c r="J10" i="27" l="1"/>
  <c r="C46" i="2" l="1"/>
  <c r="C10" i="20" l="1"/>
  <c r="C11" i="20" s="1"/>
  <c r="N38" i="16" l="1"/>
  <c r="N37" i="16" s="1"/>
  <c r="O37" i="16" s="1"/>
  <c r="N38" i="11"/>
  <c r="N39" i="11" s="1"/>
  <c r="O39" i="11" s="1"/>
  <c r="N39" i="16" l="1"/>
  <c r="O39" i="16" s="1"/>
  <c r="O38" i="16" s="1"/>
  <c r="R18" i="16" s="1"/>
  <c r="N37" i="11"/>
  <c r="O37" i="11" s="1"/>
  <c r="O38" i="11" s="1"/>
  <c r="O44" i="2"/>
  <c r="R18" i="11" l="1"/>
  <c r="D27" i="2"/>
  <c r="E12" i="22"/>
  <c r="E11" i="22"/>
  <c r="E13" i="22" l="1"/>
  <c r="B11" i="29" l="1"/>
  <c r="B13" i="29"/>
  <c r="B17" i="29" l="1"/>
  <c r="J13" i="27"/>
  <c r="A1" i="50" s="1"/>
  <c r="D10" i="2"/>
  <c r="B9" i="48" s="1"/>
  <c r="N23" i="28"/>
  <c r="N22" i="28"/>
  <c r="N15" i="28"/>
  <c r="B16" i="29"/>
  <c r="B15" i="29"/>
  <c r="N21" i="28" s="1"/>
  <c r="B14" i="29"/>
  <c r="N18" i="28" s="1"/>
  <c r="N17" i="28"/>
  <c r="B12" i="29"/>
  <c r="B10" i="29"/>
  <c r="B35" i="29" s="1"/>
  <c r="B9" i="29"/>
  <c r="N20" i="28" s="1"/>
  <c r="B8" i="29"/>
  <c r="B7" i="29"/>
  <c r="B6" i="29"/>
  <c r="B5" i="29"/>
  <c r="N14" i="28" s="1"/>
  <c r="B2" i="29"/>
  <c r="C9" i="28" s="1"/>
  <c r="B4" i="29"/>
  <c r="B22" i="29" s="1"/>
  <c r="M8" i="29"/>
  <c r="L8" i="29"/>
  <c r="K8" i="29"/>
  <c r="C11" i="28"/>
  <c r="B3" i="29" l="1"/>
  <c r="C10" i="28" s="1"/>
  <c r="L9" i="28" s="1"/>
  <c r="CN4" i="27"/>
  <c r="GB1" i="27"/>
  <c r="AE1" i="27"/>
  <c r="C59" i="2"/>
  <c r="B18" i="29" s="1"/>
  <c r="V15" i="28" s="1"/>
  <c r="A59" i="2"/>
  <c r="AN16" i="28"/>
  <c r="BJ16" i="28"/>
  <c r="AF1" i="31"/>
  <c r="A1" i="31"/>
  <c r="AE1" i="30"/>
  <c r="A1" i="30"/>
  <c r="BI1" i="27"/>
  <c r="N19" i="28"/>
  <c r="B38" i="29"/>
  <c r="B19" i="29"/>
  <c r="N16" i="28"/>
  <c r="N13" i="28"/>
  <c r="B31" i="29"/>
  <c r="AX22" i="28"/>
  <c r="B20" i="29"/>
  <c r="AF33" i="28" s="1"/>
  <c r="AG33" i="28"/>
  <c r="A50" i="29"/>
  <c r="AP33" i="28" s="1"/>
  <c r="AP22" i="28"/>
  <c r="A61" i="29"/>
  <c r="BA27" i="28"/>
  <c r="AY16" i="28"/>
  <c r="N24" i="28"/>
  <c r="AN18" i="28"/>
  <c r="A1" i="28" l="1"/>
  <c r="AM1" i="28" s="1"/>
  <c r="AF32" i="28"/>
  <c r="E20" i="28"/>
  <c r="B21" i="29"/>
  <c r="B48" i="29" s="1"/>
  <c r="AC1" i="28" l="1"/>
  <c r="R1" i="28"/>
  <c r="L1" i="28"/>
  <c r="BI1" i="28"/>
  <c r="AX1" i="28"/>
  <c r="B49" i="29"/>
  <c r="B50" i="29" s="1"/>
  <c r="B51" i="29" s="1"/>
  <c r="B53" i="29" s="1"/>
  <c r="B54" i="29" s="1"/>
  <c r="B60" i="29"/>
  <c r="BA35" i="27" l="1"/>
  <c r="AM36" i="27"/>
  <c r="AM35" i="27"/>
  <c r="AM34" i="27"/>
  <c r="A30" i="31" l="1"/>
  <c r="A29" i="31"/>
  <c r="J27" i="31"/>
  <c r="A27" i="31"/>
  <c r="O26" i="31"/>
  <c r="J26" i="31"/>
  <c r="A26" i="31"/>
  <c r="O25" i="31"/>
  <c r="J25" i="31"/>
  <c r="A25" i="31"/>
  <c r="O24" i="31"/>
  <c r="A24" i="31"/>
  <c r="AI22" i="31"/>
  <c r="O23" i="31"/>
  <c r="A23" i="31"/>
  <c r="AI21" i="31"/>
  <c r="AA22" i="31"/>
  <c r="O22" i="31"/>
  <c r="A22" i="31"/>
  <c r="AA21" i="31"/>
  <c r="O21" i="31"/>
  <c r="A21" i="31"/>
  <c r="AI20" i="31"/>
  <c r="AI19" i="31"/>
  <c r="AI18" i="31"/>
  <c r="K24" i="30"/>
  <c r="K23" i="30"/>
  <c r="K22" i="30"/>
  <c r="K21" i="30"/>
  <c r="K20" i="30"/>
  <c r="K19" i="30"/>
  <c r="R18" i="30"/>
  <c r="K18" i="30"/>
  <c r="K17" i="30"/>
  <c r="K16" i="30"/>
  <c r="Q18" i="16" l="1"/>
  <c r="Q18" i="11"/>
  <c r="B27" i="6"/>
  <c r="B28" i="6" s="1"/>
  <c r="B26" i="6" l="1"/>
  <c r="B29" i="6" s="1"/>
  <c r="CD19" i="27" l="1"/>
  <c r="G22" i="5" l="1"/>
  <c r="G46" i="5"/>
  <c r="G34" i="5"/>
  <c r="AM31" i="27"/>
  <c r="A2" i="18"/>
  <c r="A2" i="26" l="1"/>
  <c r="J7" i="21" l="1"/>
  <c r="H7" i="21"/>
  <c r="F7" i="21"/>
  <c r="B34" i="29" s="1"/>
  <c r="B36" i="29" s="1"/>
  <c r="B37" i="29" s="1"/>
  <c r="B41" i="29" s="1"/>
  <c r="D7" i="21"/>
  <c r="B32" i="29" l="1"/>
  <c r="J3" i="21"/>
  <c r="H3" i="21"/>
  <c r="F3" i="21"/>
  <c r="D3" i="21"/>
  <c r="D5" i="21"/>
  <c r="F5" i="21"/>
  <c r="H5" i="21"/>
  <c r="J5" i="21"/>
  <c r="D9" i="21"/>
  <c r="D8" i="21" s="1"/>
  <c r="F9" i="21"/>
  <c r="F8" i="21" s="1"/>
  <c r="H9" i="21"/>
  <c r="H8" i="21" s="1"/>
  <c r="J9" i="21"/>
  <c r="J8" i="21" s="1"/>
  <c r="AH10" i="28" l="1"/>
  <c r="B42" i="29"/>
  <c r="AH11" i="28" s="1"/>
  <c r="E22" i="28" s="1"/>
  <c r="B44" i="29"/>
  <c r="AH13" i="28" s="1"/>
  <c r="B45" i="29"/>
  <c r="AH14" i="28" s="1"/>
  <c r="B43" i="29"/>
  <c r="AH12" i="28" s="1"/>
  <c r="E21" i="28" s="1"/>
  <c r="D4" i="21"/>
  <c r="J4" i="21"/>
  <c r="H4" i="21"/>
  <c r="F4" i="21"/>
  <c r="E33" i="22" l="1"/>
  <c r="E32" i="22"/>
  <c r="E31" i="22"/>
  <c r="E30" i="22"/>
  <c r="C7" i="20" l="1"/>
  <c r="R20" i="30" s="1"/>
  <c r="J15" i="27" l="1"/>
  <c r="CD20" i="27" l="1"/>
  <c r="CD21" i="27"/>
  <c r="B8" i="6"/>
  <c r="CD12" i="27" s="1"/>
  <c r="CD14" i="27"/>
  <c r="B37" i="6"/>
  <c r="BA36" i="27"/>
  <c r="BA34" i="27"/>
  <c r="BA33" i="27"/>
  <c r="AM42" i="27"/>
  <c r="AM41" i="27"/>
  <c r="AM40" i="27"/>
  <c r="G15" i="14"/>
  <c r="AM39" i="27"/>
  <c r="G14" i="14"/>
  <c r="AM38" i="27"/>
  <c r="C23" i="14"/>
  <c r="AM37" i="27"/>
  <c r="G13" i="14"/>
  <c r="AM33" i="27"/>
  <c r="C22" i="14"/>
  <c r="AM32" i="27"/>
  <c r="EX1" i="27" l="1"/>
  <c r="DT1" i="27"/>
  <c r="CN1" i="27"/>
  <c r="DS1" i="27"/>
  <c r="B38" i="6"/>
  <c r="B39" i="6" s="1"/>
  <c r="J12" i="27"/>
  <c r="J11" i="27"/>
  <c r="F65" i="2"/>
  <c r="GX10" i="27" l="1"/>
  <c r="X4" i="40"/>
  <c r="X9" i="40"/>
  <c r="X14" i="40"/>
  <c r="X19" i="40"/>
  <c r="X24" i="40"/>
  <c r="X29" i="40"/>
  <c r="CD22" i="27"/>
  <c r="Y4" i="40" l="1"/>
  <c r="D8" i="41"/>
  <c r="C24" i="40"/>
  <c r="O19" i="40"/>
  <c r="O20" i="40" s="1"/>
  <c r="O21" i="40" s="1"/>
  <c r="H29" i="40"/>
  <c r="E4" i="40"/>
  <c r="P14" i="40"/>
  <c r="J9" i="40"/>
  <c r="J10" i="40" s="1"/>
  <c r="J11" i="40" s="1"/>
  <c r="U9" i="40"/>
  <c r="S29" i="40"/>
  <c r="F29" i="40"/>
  <c r="D24" i="40"/>
  <c r="M4" i="40"/>
  <c r="D29" i="40"/>
  <c r="R9" i="40"/>
  <c r="E29" i="40"/>
  <c r="P24" i="40"/>
  <c r="O29" i="40"/>
  <c r="O30" i="40" s="1"/>
  <c r="O31" i="40" s="1"/>
  <c r="L9" i="40"/>
  <c r="U4" i="40"/>
  <c r="Q4" i="40"/>
  <c r="Q5" i="40" s="1"/>
  <c r="Q6" i="40" s="1"/>
  <c r="F14" i="40"/>
  <c r="J4" i="40"/>
  <c r="J5" i="40" s="1"/>
  <c r="J6" i="40" s="1"/>
  <c r="C14" i="40"/>
  <c r="W29" i="40"/>
  <c r="U19" i="40"/>
  <c r="U14" i="40"/>
  <c r="J14" i="40"/>
  <c r="J15" i="40" s="1"/>
  <c r="J16" i="40" s="1"/>
  <c r="R29" i="40"/>
  <c r="G14" i="40"/>
  <c r="K4" i="40"/>
  <c r="H4" i="40"/>
  <c r="L4" i="40"/>
  <c r="H24" i="40"/>
  <c r="Q9" i="40"/>
  <c r="Q10" i="40" s="1"/>
  <c r="Q11" i="40" s="1"/>
  <c r="I24" i="40"/>
  <c r="V14" i="40"/>
  <c r="R24" i="40"/>
  <c r="C9" i="40"/>
  <c r="W19" i="40"/>
  <c r="P29" i="40"/>
  <c r="E14" i="40"/>
  <c r="U29" i="40"/>
  <c r="J19" i="40"/>
  <c r="J20" i="40" s="1"/>
  <c r="J21" i="40" s="1"/>
  <c r="O9" i="40"/>
  <c r="O10" i="40" s="1"/>
  <c r="O11" i="40" s="1"/>
  <c r="C19" i="40"/>
  <c r="H9" i="40"/>
  <c r="I14" i="40"/>
  <c r="M14" i="40"/>
  <c r="R4" i="40"/>
  <c r="R19" i="40"/>
  <c r="G19" i="40"/>
  <c r="T29" i="40"/>
  <c r="H19" i="40"/>
  <c r="J24" i="40"/>
  <c r="J25" i="40" s="1"/>
  <c r="J26" i="40" s="1"/>
  <c r="M24" i="40"/>
  <c r="K14" i="40"/>
  <c r="L29" i="40"/>
  <c r="W24" i="40"/>
  <c r="C29" i="40"/>
  <c r="M9" i="40"/>
  <c r="D14" i="40"/>
  <c r="M29" i="40"/>
  <c r="I19" i="40"/>
  <c r="V19" i="40"/>
  <c r="N24" i="40"/>
  <c r="O4" i="40"/>
  <c r="O5" i="40" s="1"/>
  <c r="O6" i="40" s="1"/>
  <c r="T9" i="40"/>
  <c r="T4" i="40"/>
  <c r="F9" i="40"/>
  <c r="Q19" i="40"/>
  <c r="Q20" i="40" s="1"/>
  <c r="Q21" i="40" s="1"/>
  <c r="V29" i="40"/>
  <c r="V24" i="40"/>
  <c r="W4" i="40"/>
  <c r="L19" i="40"/>
  <c r="T14" i="40"/>
  <c r="R14" i="40"/>
  <c r="E24" i="40"/>
  <c r="G9" i="40"/>
  <c r="J29" i="40"/>
  <c r="J30" i="40" s="1"/>
  <c r="J31" i="40" s="1"/>
  <c r="S9" i="40"/>
  <c r="N9" i="40"/>
  <c r="T24" i="40"/>
  <c r="S24" i="40"/>
  <c r="D9" i="40"/>
  <c r="N14" i="40"/>
  <c r="V9" i="40"/>
  <c r="K29" i="40"/>
  <c r="I4" i="40"/>
  <c r="P9" i="40"/>
  <c r="F19" i="40"/>
  <c r="P19" i="40"/>
  <c r="N29" i="40"/>
  <c r="U24" i="40"/>
  <c r="K24" i="40"/>
  <c r="P4" i="40"/>
  <c r="O14" i="40"/>
  <c r="O15" i="40" s="1"/>
  <c r="O16" i="40" s="1"/>
  <c r="M19" i="40"/>
  <c r="L14" i="40"/>
  <c r="S4" i="40"/>
  <c r="I29" i="40"/>
  <c r="F4" i="40"/>
  <c r="H14" i="40"/>
  <c r="K19" i="40"/>
  <c r="Q24" i="40"/>
  <c r="Q25" i="40" s="1"/>
  <c r="Q26" i="40" s="1"/>
  <c r="L24" i="40"/>
  <c r="S14" i="40"/>
  <c r="Q29" i="40"/>
  <c r="Q30" i="40" s="1"/>
  <c r="Q31" i="40" s="1"/>
  <c r="N4" i="40"/>
  <c r="T19" i="40"/>
  <c r="G24" i="40"/>
  <c r="W9" i="40"/>
  <c r="D19" i="40"/>
  <c r="I9" i="40"/>
  <c r="Q14" i="40"/>
  <c r="Q15" i="40" s="1"/>
  <c r="Q16" i="40" s="1"/>
  <c r="F24" i="40"/>
  <c r="G4" i="40"/>
  <c r="V4" i="40"/>
  <c r="C4" i="40"/>
  <c r="S19" i="40"/>
  <c r="G29" i="40"/>
  <c r="D4" i="40"/>
  <c r="K9" i="40"/>
  <c r="O24" i="40"/>
  <c r="O25" i="40" s="1"/>
  <c r="O26" i="40" s="1"/>
  <c r="W14" i="40"/>
  <c r="E19" i="40"/>
  <c r="E9" i="40"/>
  <c r="N19" i="40"/>
  <c r="GX36" i="27"/>
  <c r="GX23" i="27"/>
  <c r="CD25" i="27"/>
  <c r="C30" i="40" l="1"/>
  <c r="C31" i="40" s="1"/>
  <c r="C32" i="40" s="1"/>
  <c r="C10" i="40"/>
  <c r="C11" i="40" s="1"/>
  <c r="C12" i="40" s="1"/>
  <c r="C25" i="40"/>
  <c r="C26" i="40" s="1"/>
  <c r="C27" i="40" s="1"/>
  <c r="C20" i="40"/>
  <c r="C21" i="40" s="1"/>
  <c r="C22" i="40" s="1"/>
  <c r="C15" i="40"/>
  <c r="C16" i="40" s="1"/>
  <c r="C17" i="40" s="1"/>
  <c r="C6" i="40"/>
  <c r="C7" i="40" s="1"/>
  <c r="S20" i="40"/>
  <c r="S21" i="40" s="1"/>
  <c r="S22" i="40" s="1"/>
  <c r="W10" i="40"/>
  <c r="W11" i="40" s="1"/>
  <c r="W12" i="40" s="1"/>
  <c r="K20" i="40"/>
  <c r="K21" i="40" s="1"/>
  <c r="K22" i="40" s="1"/>
  <c r="P5" i="40"/>
  <c r="P6" i="40" s="1"/>
  <c r="P7" i="40" s="1"/>
  <c r="K30" i="40"/>
  <c r="K31" i="40" s="1"/>
  <c r="K32" i="40" s="1"/>
  <c r="V30" i="40"/>
  <c r="V31" i="40" s="1"/>
  <c r="V32" i="40" s="1"/>
  <c r="I20" i="40"/>
  <c r="I21" i="40" s="1"/>
  <c r="I22" i="40" s="1"/>
  <c r="M25" i="40"/>
  <c r="M26" i="40" s="1"/>
  <c r="M27" i="40" s="1"/>
  <c r="AI148" i="43" s="1"/>
  <c r="AI151" i="43" s="1"/>
  <c r="I15" i="40"/>
  <c r="I16" i="40" s="1"/>
  <c r="I17" i="40" s="1"/>
  <c r="W20" i="40"/>
  <c r="W21" i="40" s="1"/>
  <c r="W22" i="40" s="1"/>
  <c r="H5" i="40"/>
  <c r="H6" i="40" s="1"/>
  <c r="H7" i="40" s="1"/>
  <c r="E30" i="40"/>
  <c r="E31" i="40" s="1"/>
  <c r="E32" i="40" s="1"/>
  <c r="H15" i="40"/>
  <c r="H16" i="40" s="1"/>
  <c r="H17" i="40" s="1"/>
  <c r="V10" i="40"/>
  <c r="V11" i="40" s="1"/>
  <c r="V12" i="40" s="1"/>
  <c r="M30" i="40"/>
  <c r="M31" i="40" s="1"/>
  <c r="M32" i="40" s="1"/>
  <c r="H10" i="40"/>
  <c r="H11" i="40" s="1"/>
  <c r="H12" i="40" s="1"/>
  <c r="K5" i="40"/>
  <c r="K6" i="40" s="1"/>
  <c r="K7" i="40" s="1"/>
  <c r="R10" i="40"/>
  <c r="R11" i="40" s="1"/>
  <c r="R12" i="40" s="1"/>
  <c r="P15" i="40"/>
  <c r="P16" i="40" s="1"/>
  <c r="P17" i="40" s="1"/>
  <c r="K25" i="40"/>
  <c r="K26" i="40" s="1"/>
  <c r="K27" i="40" s="1"/>
  <c r="G10" i="40"/>
  <c r="G11" i="40" s="1"/>
  <c r="G12" i="40" s="1"/>
  <c r="E20" i="40"/>
  <c r="E21" i="40" s="1"/>
  <c r="E22" i="40" s="1"/>
  <c r="V5" i="40"/>
  <c r="V6" i="40" s="1"/>
  <c r="V7" i="40" s="1"/>
  <c r="T20" i="40"/>
  <c r="T21" i="40" s="1"/>
  <c r="T22" i="40" s="1"/>
  <c r="F5" i="40"/>
  <c r="F6" i="40" s="1"/>
  <c r="F7" i="40" s="1"/>
  <c r="U25" i="40"/>
  <c r="U26" i="40" s="1"/>
  <c r="U27" i="40" s="1"/>
  <c r="N15" i="40"/>
  <c r="N16" i="40" s="1"/>
  <c r="N17" i="40" s="1"/>
  <c r="E25" i="40"/>
  <c r="E26" i="40" s="1"/>
  <c r="E27" i="40" s="1"/>
  <c r="F10" i="40"/>
  <c r="F11" i="40" s="1"/>
  <c r="F12" i="40" s="1"/>
  <c r="D15" i="40"/>
  <c r="D16" i="40" s="1"/>
  <c r="D17" i="40" s="1"/>
  <c r="H20" i="40"/>
  <c r="H21" i="40" s="1"/>
  <c r="H22" i="40" s="1"/>
  <c r="R25" i="40"/>
  <c r="R26" i="40" s="1"/>
  <c r="R27" i="40" s="1"/>
  <c r="G15" i="40"/>
  <c r="G16" i="40" s="1"/>
  <c r="G17" i="40" s="1"/>
  <c r="F15" i="40"/>
  <c r="F16" i="40" s="1"/>
  <c r="F17" i="40" s="1"/>
  <c r="D30" i="40"/>
  <c r="D31" i="40" s="1"/>
  <c r="D32" i="40" s="1"/>
  <c r="E5" i="40"/>
  <c r="E6" i="40" s="1"/>
  <c r="E7" i="40" s="1"/>
  <c r="G25" i="40"/>
  <c r="G26" i="40" s="1"/>
  <c r="G27" i="40" s="1"/>
  <c r="G5" i="40"/>
  <c r="G6" i="40" s="1"/>
  <c r="G7" i="40" s="1"/>
  <c r="N5" i="40"/>
  <c r="N6" i="40" s="1"/>
  <c r="N7" i="40" s="1"/>
  <c r="I30" i="40"/>
  <c r="I31" i="40" s="1"/>
  <c r="I32" i="40" s="1"/>
  <c r="N30" i="40"/>
  <c r="N31" i="40" s="1"/>
  <c r="N32" i="40" s="1"/>
  <c r="D10" i="40"/>
  <c r="D11" i="40" s="1"/>
  <c r="D12" i="40" s="1"/>
  <c r="R15" i="40"/>
  <c r="R16" i="40" s="1"/>
  <c r="R17" i="40" s="1"/>
  <c r="T5" i="40"/>
  <c r="T6" i="40" s="1"/>
  <c r="T7" i="40" s="1"/>
  <c r="M10" i="40"/>
  <c r="M11" i="40" s="1"/>
  <c r="M12" i="40" s="1"/>
  <c r="T30" i="40"/>
  <c r="T31" i="40" s="1"/>
  <c r="T32" i="40" s="1"/>
  <c r="V15" i="40"/>
  <c r="V16" i="40" s="1"/>
  <c r="V17" i="40" s="1"/>
  <c r="R30" i="40"/>
  <c r="R31" i="40" s="1"/>
  <c r="R32" i="40" s="1"/>
  <c r="M5" i="40"/>
  <c r="M6" i="40" s="1"/>
  <c r="M7" i="40" s="1"/>
  <c r="H30" i="40"/>
  <c r="H31" i="40" s="1"/>
  <c r="H32" i="40" s="1"/>
  <c r="P20" i="40"/>
  <c r="P21" i="40" s="1"/>
  <c r="P22" i="40" s="1"/>
  <c r="T15" i="40"/>
  <c r="T16" i="40" s="1"/>
  <c r="T17" i="40" s="1"/>
  <c r="T10" i="40"/>
  <c r="T11" i="40" s="1"/>
  <c r="T12" i="40" s="1"/>
  <c r="G20" i="40"/>
  <c r="G21" i="40" s="1"/>
  <c r="G22" i="40" s="1"/>
  <c r="I25" i="40"/>
  <c r="I26" i="40" s="1"/>
  <c r="I27" i="40" s="1"/>
  <c r="AI100" i="43" s="1"/>
  <c r="U5" i="40"/>
  <c r="U6" i="40" s="1"/>
  <c r="U7" i="40" s="1"/>
  <c r="D25" i="40"/>
  <c r="D26" i="40" s="1"/>
  <c r="D27" i="40" s="1"/>
  <c r="S15" i="40"/>
  <c r="S16" i="40" s="1"/>
  <c r="S17" i="40" s="1"/>
  <c r="L15" i="40"/>
  <c r="L16" i="40" s="1"/>
  <c r="L17" i="40" s="1"/>
  <c r="F20" i="40"/>
  <c r="F21" i="40" s="1"/>
  <c r="F22" i="40" s="1"/>
  <c r="T25" i="40"/>
  <c r="T26" i="40" s="1"/>
  <c r="T27" i="40" s="1"/>
  <c r="L20" i="40"/>
  <c r="L21" i="40" s="1"/>
  <c r="L22" i="40" s="1"/>
  <c r="W25" i="40"/>
  <c r="W26" i="40" s="1"/>
  <c r="W27" i="40" s="1"/>
  <c r="R20" i="40"/>
  <c r="R21" i="40" s="1"/>
  <c r="R22" i="40" s="1"/>
  <c r="U30" i="40"/>
  <c r="U31" i="40" s="1"/>
  <c r="U32" i="40" s="1"/>
  <c r="U15" i="40"/>
  <c r="U16" i="40" s="1"/>
  <c r="U17" i="40" s="1"/>
  <c r="L10" i="40"/>
  <c r="L11" i="40" s="1"/>
  <c r="L12" i="40" s="1"/>
  <c r="F30" i="40"/>
  <c r="F31" i="40" s="1"/>
  <c r="F32" i="40" s="1"/>
  <c r="N20" i="40"/>
  <c r="N21" i="40" s="1"/>
  <c r="N22" i="40" s="1"/>
  <c r="F25" i="40"/>
  <c r="F26" i="40" s="1"/>
  <c r="F27" i="40" s="1"/>
  <c r="S25" i="40"/>
  <c r="S26" i="40" s="1"/>
  <c r="S27" i="40" s="1"/>
  <c r="I10" i="40"/>
  <c r="I11" i="40" s="1"/>
  <c r="I12" i="40" s="1"/>
  <c r="L25" i="40"/>
  <c r="L26" i="40" s="1"/>
  <c r="L27" i="40" s="1"/>
  <c r="M20" i="40"/>
  <c r="M21" i="40" s="1"/>
  <c r="M22" i="40" s="1"/>
  <c r="P10" i="40"/>
  <c r="P11" i="40" s="1"/>
  <c r="P12" i="40" s="1"/>
  <c r="N10" i="40"/>
  <c r="N11" i="40" s="1"/>
  <c r="N12" i="40" s="1"/>
  <c r="W5" i="40"/>
  <c r="W6" i="40" s="1"/>
  <c r="W7" i="40" s="1"/>
  <c r="N25" i="40"/>
  <c r="N26" i="40" s="1"/>
  <c r="N27" i="40" s="1"/>
  <c r="AI94" i="43" s="1"/>
  <c r="AI97" i="43" s="1"/>
  <c r="AM97" i="43" s="1"/>
  <c r="L30" i="40"/>
  <c r="L31" i="40" s="1"/>
  <c r="L32" i="40" s="1"/>
  <c r="R5" i="40"/>
  <c r="R6" i="40" s="1"/>
  <c r="R7" i="40" s="1"/>
  <c r="E15" i="40"/>
  <c r="E16" i="40" s="1"/>
  <c r="E17" i="40" s="1"/>
  <c r="H25" i="40"/>
  <c r="H26" i="40" s="1"/>
  <c r="H27" i="40" s="1"/>
  <c r="U20" i="40"/>
  <c r="U21" i="40" s="1"/>
  <c r="U22" i="40" s="1"/>
  <c r="S30" i="40"/>
  <c r="S31" i="40" s="1"/>
  <c r="S32" i="40" s="1"/>
  <c r="E10" i="40"/>
  <c r="E11" i="40" s="1"/>
  <c r="E12" i="40" s="1"/>
  <c r="W15" i="40"/>
  <c r="W16" i="40" s="1"/>
  <c r="W17" i="40" s="1"/>
  <c r="S5" i="40"/>
  <c r="S6" i="40" s="1"/>
  <c r="S7" i="40" s="1"/>
  <c r="K10" i="40"/>
  <c r="K11" i="40" s="1"/>
  <c r="K12" i="40" s="1"/>
  <c r="D5" i="40"/>
  <c r="D6" i="40" s="1"/>
  <c r="D7" i="40" s="1"/>
  <c r="AI70" i="43" s="1"/>
  <c r="G30" i="40"/>
  <c r="G31" i="40" s="1"/>
  <c r="G32" i="40" s="1"/>
  <c r="D20" i="40"/>
  <c r="D21" i="40" s="1"/>
  <c r="D22" i="40" s="1"/>
  <c r="I5" i="40"/>
  <c r="I6" i="40" s="1"/>
  <c r="I7" i="40" s="1"/>
  <c r="S10" i="40"/>
  <c r="S11" i="40" s="1"/>
  <c r="S12" i="40" s="1"/>
  <c r="V25" i="40"/>
  <c r="V26" i="40" s="1"/>
  <c r="V27" i="40" s="1"/>
  <c r="V20" i="40"/>
  <c r="V21" i="40" s="1"/>
  <c r="V22" i="40" s="1"/>
  <c r="K15" i="40"/>
  <c r="K16" i="40" s="1"/>
  <c r="K17" i="40" s="1"/>
  <c r="M15" i="40"/>
  <c r="M16" i="40" s="1"/>
  <c r="M17" i="40" s="1"/>
  <c r="P30" i="40"/>
  <c r="P31" i="40" s="1"/>
  <c r="P32" i="40" s="1"/>
  <c r="L5" i="40"/>
  <c r="L6" i="40" s="1"/>
  <c r="L7" i="40" s="1"/>
  <c r="W30" i="40"/>
  <c r="W31" i="40" s="1"/>
  <c r="W32" i="40" s="1"/>
  <c r="P25" i="40"/>
  <c r="P26" i="40" s="1"/>
  <c r="P27" i="40" s="1"/>
  <c r="U10" i="40"/>
  <c r="U11" i="40" s="1"/>
  <c r="U12" i="40" s="1"/>
  <c r="Q22" i="40"/>
  <c r="J7" i="40"/>
  <c r="AK79" i="43" s="1"/>
  <c r="O12" i="40"/>
  <c r="Q32" i="40"/>
  <c r="J22" i="40"/>
  <c r="J17" i="40"/>
  <c r="Q17" i="40"/>
  <c r="O7" i="40"/>
  <c r="Q12" i="40"/>
  <c r="Q27" i="40"/>
  <c r="J32" i="40"/>
  <c r="J12" i="40"/>
  <c r="BA39" i="27"/>
  <c r="BA38" i="27"/>
  <c r="BA37" i="27"/>
  <c r="AI142" i="43" l="1"/>
  <c r="AI145" i="43" s="1"/>
  <c r="AK70" i="43"/>
  <c r="AI139" i="43"/>
  <c r="AI154" i="43" s="1"/>
  <c r="AK43" i="43"/>
  <c r="AK46" i="43"/>
  <c r="AM70" i="43"/>
  <c r="AQ70" i="43" s="1"/>
  <c r="AI79" i="43"/>
  <c r="AI109" i="43"/>
  <c r="AI130" i="43" s="1"/>
  <c r="AI58" i="43"/>
  <c r="AI112" i="43"/>
  <c r="AI127" i="43" s="1"/>
  <c r="AI82" i="43"/>
  <c r="AI85" i="43" s="1"/>
  <c r="AM43" i="43"/>
  <c r="AM58" i="43"/>
  <c r="AO43" i="43"/>
  <c r="AO58" i="43"/>
  <c r="AI88" i="43"/>
  <c r="AI118" i="43"/>
  <c r="Q7" i="40"/>
  <c r="AM46" i="43" s="1"/>
  <c r="O32" i="40"/>
  <c r="O22" i="40"/>
  <c r="J27" i="40"/>
  <c r="AK100" i="43" s="1"/>
  <c r="O17" i="40"/>
  <c r="AK88" i="43" s="1"/>
  <c r="AK91" i="43" s="1"/>
  <c r="AO46" i="43"/>
  <c r="AK82" i="43"/>
  <c r="AK85" i="43" s="1"/>
  <c r="AI13" i="43"/>
  <c r="BF101" i="26"/>
  <c r="BD101" i="26"/>
  <c r="BC101" i="26"/>
  <c r="BF99" i="26"/>
  <c r="BD99" i="26"/>
  <c r="BC99" i="26"/>
  <c r="BF98" i="26"/>
  <c r="BD98" i="26"/>
  <c r="BC98" i="26"/>
  <c r="BF96" i="26"/>
  <c r="BD96" i="26"/>
  <c r="BC96" i="26"/>
  <c r="BF95" i="26"/>
  <c r="BD95" i="26"/>
  <c r="BC95" i="26"/>
  <c r="BF93" i="26"/>
  <c r="BD93" i="26"/>
  <c r="BC93" i="26"/>
  <c r="BF92" i="26"/>
  <c r="BD92" i="26"/>
  <c r="BC92" i="26"/>
  <c r="BF90" i="26"/>
  <c r="BD90" i="26"/>
  <c r="BC90" i="26"/>
  <c r="BF89" i="26"/>
  <c r="BD89" i="26"/>
  <c r="BC89" i="26"/>
  <c r="BF87" i="26"/>
  <c r="BD87" i="26"/>
  <c r="BC87" i="26"/>
  <c r="BF86" i="26"/>
  <c r="BD86" i="26"/>
  <c r="BC86" i="26"/>
  <c r="BF84" i="26"/>
  <c r="BD84" i="26"/>
  <c r="BC84" i="26"/>
  <c r="BF83" i="26"/>
  <c r="BD83" i="26"/>
  <c r="BC83" i="26"/>
  <c r="BF81" i="26"/>
  <c r="BD81" i="26"/>
  <c r="BC81" i="26"/>
  <c r="BF80" i="26"/>
  <c r="BD80" i="26"/>
  <c r="BC80" i="26"/>
  <c r="BF77" i="26"/>
  <c r="BD77" i="26"/>
  <c r="BC77" i="26"/>
  <c r="AO70" i="43" l="1"/>
  <c r="AK124" i="43"/>
  <c r="AI115" i="43"/>
  <c r="AK112" i="43"/>
  <c r="AK115" i="43"/>
  <c r="AI124" i="43"/>
  <c r="AK109" i="43"/>
  <c r="AK130" i="43"/>
  <c r="AK127" i="43"/>
  <c r="AI43" i="43"/>
  <c r="BJ43" i="43" s="1"/>
  <c r="AK58" i="43"/>
  <c r="AK61" i="43" s="1"/>
  <c r="O27" i="40"/>
  <c r="AI46" i="43" s="1"/>
  <c r="BL14" i="26"/>
  <c r="AK94" i="43" l="1"/>
  <c r="AK97" i="43" s="1"/>
  <c r="B7" i="7" l="1"/>
  <c r="E4" i="22"/>
  <c r="E5" i="22"/>
  <c r="E6" i="22"/>
  <c r="E7" i="22"/>
  <c r="E8" i="22"/>
  <c r="E9" i="22"/>
  <c r="E10" i="22"/>
  <c r="E14" i="22"/>
  <c r="E15" i="22"/>
  <c r="E17" i="22"/>
  <c r="E18" i="22"/>
  <c r="E19" i="22"/>
  <c r="E20" i="22"/>
  <c r="E21" i="22"/>
  <c r="E22" i="22"/>
  <c r="E23" i="22"/>
  <c r="E24" i="22"/>
  <c r="E25" i="22"/>
  <c r="E26" i="22"/>
  <c r="E27" i="22"/>
  <c r="E28" i="22"/>
  <c r="B34" i="22"/>
  <c r="D34" i="22"/>
  <c r="C3" i="20"/>
  <c r="R16" i="30" s="1"/>
  <c r="C6" i="20"/>
  <c r="R19" i="30" s="1"/>
  <c r="C20" i="20"/>
  <c r="C22" i="20"/>
  <c r="C26" i="20"/>
  <c r="B62" i="20"/>
  <c r="B63" i="20"/>
  <c r="B65" i="20"/>
  <c r="B66" i="20"/>
  <c r="C71" i="20"/>
  <c r="B75" i="20"/>
  <c r="B76" i="20"/>
  <c r="B78" i="20"/>
  <c r="B79" i="20"/>
  <c r="C84" i="20"/>
  <c r="B88" i="20"/>
  <c r="B89" i="20"/>
  <c r="B91" i="20"/>
  <c r="B92" i="20"/>
  <c r="C97" i="20"/>
  <c r="B101" i="20"/>
  <c r="B102" i="20"/>
  <c r="B104" i="20"/>
  <c r="B105" i="20"/>
  <c r="C110" i="20"/>
  <c r="B114" i="20"/>
  <c r="B115" i="20"/>
  <c r="B117" i="20"/>
  <c r="B118" i="20"/>
  <c r="C123" i="20"/>
  <c r="B127" i="20"/>
  <c r="B128" i="20"/>
  <c r="B130" i="20"/>
  <c r="B131" i="20"/>
  <c r="C136" i="20"/>
  <c r="B140" i="20"/>
  <c r="B141" i="20"/>
  <c r="B143" i="20"/>
  <c r="B144" i="20"/>
  <c r="C149" i="20"/>
  <c r="B153" i="20"/>
  <c r="B154" i="20"/>
  <c r="B156" i="20"/>
  <c r="B157" i="20"/>
  <c r="C162" i="20"/>
  <c r="B166" i="20"/>
  <c r="B167" i="20"/>
  <c r="B169" i="20"/>
  <c r="B170" i="20"/>
  <c r="C175" i="20"/>
  <c r="B179" i="20"/>
  <c r="B180" i="20"/>
  <c r="B182" i="20"/>
  <c r="B183" i="20"/>
  <c r="C188" i="20"/>
  <c r="B192" i="20"/>
  <c r="B193" i="20"/>
  <c r="B195" i="20"/>
  <c r="B196" i="20"/>
  <c r="C201" i="20"/>
  <c r="B205" i="20"/>
  <c r="B206" i="20"/>
  <c r="B208" i="20"/>
  <c r="B209" i="20"/>
  <c r="C214" i="20"/>
  <c r="C227" i="20"/>
  <c r="B231" i="20"/>
  <c r="B232" i="20"/>
  <c r="B234" i="20"/>
  <c r="B235" i="20"/>
  <c r="C240" i="20"/>
  <c r="B244" i="20"/>
  <c r="B245" i="20"/>
  <c r="B247" i="20"/>
  <c r="B248" i="20"/>
  <c r="C253" i="20"/>
  <c r="B257" i="20"/>
  <c r="B258" i="20"/>
  <c r="B260" i="20"/>
  <c r="B261" i="20"/>
  <c r="C266" i="20"/>
  <c r="C279" i="20"/>
  <c r="B283" i="20"/>
  <c r="B284" i="20"/>
  <c r="B286" i="20"/>
  <c r="B287" i="20"/>
  <c r="C292" i="20"/>
  <c r="B296" i="20"/>
  <c r="B297" i="20"/>
  <c r="B299" i="20"/>
  <c r="B300" i="20"/>
  <c r="C305" i="20"/>
  <c r="B309" i="20"/>
  <c r="B310" i="20"/>
  <c r="B312" i="20"/>
  <c r="B313" i="20"/>
  <c r="C318" i="20"/>
  <c r="B322" i="20"/>
  <c r="B323" i="20"/>
  <c r="B325" i="20"/>
  <c r="B326" i="20"/>
  <c r="C331" i="20"/>
  <c r="B335" i="20"/>
  <c r="B336" i="20"/>
  <c r="B338" i="20"/>
  <c r="B339" i="20"/>
  <c r="C344" i="20"/>
  <c r="B348" i="20"/>
  <c r="B349" i="20"/>
  <c r="B351" i="20"/>
  <c r="B352" i="20"/>
  <c r="C357" i="20"/>
  <c r="B361" i="20"/>
  <c r="B362" i="20"/>
  <c r="B364" i="20"/>
  <c r="B365" i="20"/>
  <c r="C370" i="20"/>
  <c r="B374" i="20"/>
  <c r="B375" i="20"/>
  <c r="B377" i="20"/>
  <c r="B378" i="20"/>
  <c r="C383" i="20"/>
  <c r="B387" i="20"/>
  <c r="B388" i="20"/>
  <c r="B390" i="20"/>
  <c r="B391" i="20"/>
  <c r="C396" i="20"/>
  <c r="B400" i="20"/>
  <c r="B401" i="20"/>
  <c r="B403" i="20"/>
  <c r="B404" i="20"/>
  <c r="C409" i="20"/>
  <c r="B4" i="19"/>
  <c r="AU21" i="31"/>
  <c r="G28" i="19"/>
  <c r="I28" i="19"/>
  <c r="K28" i="19"/>
  <c r="M28" i="19"/>
  <c r="G30" i="19"/>
  <c r="I30" i="19"/>
  <c r="K30" i="19"/>
  <c r="M30" i="19"/>
  <c r="G32" i="19"/>
  <c r="I32" i="19"/>
  <c r="K32" i="19"/>
  <c r="M32" i="19"/>
  <c r="G34" i="19"/>
  <c r="I34" i="19"/>
  <c r="K34" i="19"/>
  <c r="M34" i="19"/>
  <c r="A2" i="16"/>
  <c r="N12" i="16"/>
  <c r="O12" i="16" s="1"/>
  <c r="C84" i="16"/>
  <c r="D84" i="16"/>
  <c r="E84" i="16"/>
  <c r="H84" i="16"/>
  <c r="I84" i="16"/>
  <c r="J84" i="16"/>
  <c r="K84" i="16"/>
  <c r="L84" i="16"/>
  <c r="C85" i="16"/>
  <c r="D85" i="16"/>
  <c r="E85" i="16"/>
  <c r="H85" i="16"/>
  <c r="I85" i="16"/>
  <c r="J85" i="16"/>
  <c r="K85" i="16"/>
  <c r="L85" i="16"/>
  <c r="C86" i="16"/>
  <c r="D86" i="16"/>
  <c r="E86" i="16"/>
  <c r="H86" i="16"/>
  <c r="I86" i="16"/>
  <c r="J86" i="16"/>
  <c r="K86" i="16"/>
  <c r="L86" i="16"/>
  <c r="C87" i="16"/>
  <c r="D87" i="16"/>
  <c r="E87" i="16"/>
  <c r="H87" i="16"/>
  <c r="I87" i="16"/>
  <c r="J87" i="16"/>
  <c r="K87" i="16"/>
  <c r="L87" i="16"/>
  <c r="C88" i="16"/>
  <c r="D88" i="16"/>
  <c r="E88" i="16"/>
  <c r="H88" i="16"/>
  <c r="I88" i="16"/>
  <c r="J88" i="16"/>
  <c r="K88" i="16"/>
  <c r="L88" i="16"/>
  <c r="C89" i="16"/>
  <c r="D89" i="16"/>
  <c r="E89" i="16"/>
  <c r="H89" i="16"/>
  <c r="I89" i="16"/>
  <c r="J89" i="16"/>
  <c r="K89" i="16"/>
  <c r="L89" i="16"/>
  <c r="C94" i="16"/>
  <c r="D94" i="16"/>
  <c r="C95" i="16"/>
  <c r="D95" i="16"/>
  <c r="C96" i="16"/>
  <c r="D96" i="16"/>
  <c r="C97" i="16"/>
  <c r="D97" i="16"/>
  <c r="C98" i="16"/>
  <c r="D98" i="16"/>
  <c r="C99" i="16"/>
  <c r="D99" i="16"/>
  <c r="B3" i="14"/>
  <c r="B4" i="14"/>
  <c r="B5" i="14"/>
  <c r="B6" i="14"/>
  <c r="C13" i="14"/>
  <c r="C14" i="14"/>
  <c r="C15" i="14"/>
  <c r="C25" i="14"/>
  <c r="H1" i="12"/>
  <c r="I1" i="12"/>
  <c r="J1" i="12"/>
  <c r="K1" i="12"/>
  <c r="A2" i="11"/>
  <c r="N12" i="11"/>
  <c r="O12" i="11" s="1"/>
  <c r="C84" i="11"/>
  <c r="D84" i="11"/>
  <c r="E84" i="11"/>
  <c r="H84" i="11"/>
  <c r="I84" i="11"/>
  <c r="J84" i="11"/>
  <c r="K84" i="11"/>
  <c r="L84" i="11"/>
  <c r="C85" i="11"/>
  <c r="D85" i="11"/>
  <c r="E85" i="11"/>
  <c r="H85" i="11"/>
  <c r="I85" i="11"/>
  <c r="J85" i="11"/>
  <c r="K85" i="11"/>
  <c r="L85" i="11"/>
  <c r="C86" i="11"/>
  <c r="D86" i="11"/>
  <c r="E86" i="11"/>
  <c r="H86" i="11"/>
  <c r="I86" i="11"/>
  <c r="J86" i="11"/>
  <c r="K86" i="11"/>
  <c r="L86" i="11"/>
  <c r="C87" i="11"/>
  <c r="D87" i="11"/>
  <c r="E87" i="11"/>
  <c r="H87" i="11"/>
  <c r="I87" i="11"/>
  <c r="J87" i="11"/>
  <c r="K87" i="11"/>
  <c r="L87" i="11"/>
  <c r="C88" i="11"/>
  <c r="D88" i="11"/>
  <c r="E88" i="11"/>
  <c r="H88" i="11"/>
  <c r="I88" i="11"/>
  <c r="J88" i="11"/>
  <c r="K88" i="11"/>
  <c r="L88" i="11"/>
  <c r="C89" i="11"/>
  <c r="D89" i="11"/>
  <c r="E89" i="11"/>
  <c r="H89" i="11"/>
  <c r="I89" i="11"/>
  <c r="J89" i="11"/>
  <c r="K89" i="11"/>
  <c r="L89" i="11"/>
  <c r="C94" i="11"/>
  <c r="D94" i="11"/>
  <c r="C95" i="11"/>
  <c r="D95" i="11"/>
  <c r="C96" i="11"/>
  <c r="D96" i="11"/>
  <c r="C97" i="11"/>
  <c r="D97" i="11"/>
  <c r="C98" i="11"/>
  <c r="D98" i="11"/>
  <c r="C99" i="11"/>
  <c r="D99" i="11"/>
  <c r="C14" i="10"/>
  <c r="C15" i="10"/>
  <c r="C17" i="10"/>
  <c r="B2" i="7"/>
  <c r="B4" i="7" s="1"/>
  <c r="B13" i="7"/>
  <c r="B38" i="7"/>
  <c r="B44" i="7"/>
  <c r="H44" i="7"/>
  <c r="N44" i="7" s="1"/>
  <c r="T44" i="7" s="1"/>
  <c r="B45" i="7"/>
  <c r="H45" i="7"/>
  <c r="N45" i="7" s="1"/>
  <c r="T45" i="7" s="1"/>
  <c r="B46" i="7"/>
  <c r="H46" i="7"/>
  <c r="N46" i="7"/>
  <c r="T46" i="7"/>
  <c r="B47" i="7"/>
  <c r="H47" i="7"/>
  <c r="N47" i="7"/>
  <c r="T47" i="7"/>
  <c r="B2" i="6"/>
  <c r="CD13" i="27"/>
  <c r="B17" i="6"/>
  <c r="B20" i="6"/>
  <c r="CD15" i="27"/>
  <c r="A9" i="5"/>
  <c r="B9" i="5"/>
  <c r="C4" i="3"/>
  <c r="C5" i="3"/>
  <c r="C29" i="20"/>
  <c r="C30" i="20" s="1"/>
  <c r="C25" i="10"/>
  <c r="C26" i="10"/>
  <c r="B33" i="23"/>
  <c r="D15" i="33" l="1"/>
  <c r="B15" i="33"/>
  <c r="C15" i="33"/>
  <c r="F84" i="16"/>
  <c r="F88" i="16"/>
  <c r="L10" i="16"/>
  <c r="L13" i="17" s="1"/>
  <c r="E12" i="16"/>
  <c r="E23" i="17" s="1"/>
  <c r="E24" i="17" s="1"/>
  <c r="E25" i="17" s="1"/>
  <c r="E26" i="17" s="1"/>
  <c r="D10" i="16"/>
  <c r="H13" i="16"/>
  <c r="H28" i="17" s="1"/>
  <c r="H29" i="17" s="1"/>
  <c r="F12" i="16"/>
  <c r="G8" i="16"/>
  <c r="K10" i="16"/>
  <c r="K13" i="17" s="1"/>
  <c r="K14" i="17" s="1"/>
  <c r="I12" i="16"/>
  <c r="I23" i="17" s="1"/>
  <c r="I24" i="17" s="1"/>
  <c r="I25" i="17" s="1"/>
  <c r="I26" i="17" s="1"/>
  <c r="L8" i="16"/>
  <c r="L3" i="17" s="1"/>
  <c r="G9" i="16"/>
  <c r="F9" i="16"/>
  <c r="J13" i="16"/>
  <c r="J28" i="17" s="1"/>
  <c r="J29" i="17" s="1"/>
  <c r="I10" i="16"/>
  <c r="I13" i="17" s="1"/>
  <c r="I14" i="17" s="1"/>
  <c r="G10" i="16"/>
  <c r="J8" i="16"/>
  <c r="J3" i="17" s="1"/>
  <c r="J4" i="17" s="1"/>
  <c r="D11" i="16"/>
  <c r="K8" i="16"/>
  <c r="K3" i="17" s="1"/>
  <c r="K4" i="17" s="1"/>
  <c r="L13" i="16"/>
  <c r="L28" i="17" s="1"/>
  <c r="H8" i="16"/>
  <c r="H3" i="17" s="1"/>
  <c r="H4" i="17" s="1"/>
  <c r="G11" i="16"/>
  <c r="D13" i="16"/>
  <c r="K11" i="16"/>
  <c r="E8" i="16"/>
  <c r="H12" i="16"/>
  <c r="H23" i="17" s="1"/>
  <c r="H24" i="17" s="1"/>
  <c r="H25" i="17" s="1"/>
  <c r="H26" i="17" s="1"/>
  <c r="F10" i="16"/>
  <c r="L9" i="16"/>
  <c r="L8" i="17" s="1"/>
  <c r="J9" i="16"/>
  <c r="J8" i="17" s="1"/>
  <c r="J9" i="17" s="1"/>
  <c r="H10" i="16"/>
  <c r="H13" i="17" s="1"/>
  <c r="H14" i="17" s="1"/>
  <c r="F11" i="16"/>
  <c r="E10" i="16"/>
  <c r="K12" i="16"/>
  <c r="K23" i="17" s="1"/>
  <c r="K24" i="17" s="1"/>
  <c r="K25" i="17" s="1"/>
  <c r="K26" i="17" s="1"/>
  <c r="H11" i="16"/>
  <c r="H18" i="17" s="1"/>
  <c r="H19" i="17" s="1"/>
  <c r="J10" i="16"/>
  <c r="K13" i="16"/>
  <c r="K28" i="17" s="1"/>
  <c r="K29" i="17" s="1"/>
  <c r="L12" i="16"/>
  <c r="L23" i="17" s="1"/>
  <c r="D9" i="16"/>
  <c r="J12" i="16"/>
  <c r="J23" i="17" s="1"/>
  <c r="J24" i="17" s="1"/>
  <c r="J25" i="17" s="1"/>
  <c r="J26" i="17" s="1"/>
  <c r="G13" i="16"/>
  <c r="F13" i="16"/>
  <c r="K9" i="16"/>
  <c r="K8" i="17" s="1"/>
  <c r="K9" i="17" s="1"/>
  <c r="K10" i="17" s="1"/>
  <c r="E13" i="16"/>
  <c r="H9" i="16"/>
  <c r="H8" i="17" s="1"/>
  <c r="H9" i="17" s="1"/>
  <c r="L11" i="16"/>
  <c r="L18" i="17" s="1"/>
  <c r="F8" i="16"/>
  <c r="D12" i="16"/>
  <c r="D23" i="17" s="1"/>
  <c r="D24" i="17" s="1"/>
  <c r="D25" i="17" s="1"/>
  <c r="D26" i="17" s="1"/>
  <c r="I9" i="16"/>
  <c r="I8" i="17" s="1"/>
  <c r="I9" i="17" s="1"/>
  <c r="I11" i="16"/>
  <c r="I18" i="17" s="1"/>
  <c r="I19" i="17" s="1"/>
  <c r="I13" i="16"/>
  <c r="I28" i="17" s="1"/>
  <c r="I29" i="17" s="1"/>
  <c r="D8" i="16"/>
  <c r="D3" i="17" s="1"/>
  <c r="D4" i="17" s="1"/>
  <c r="J11" i="16"/>
  <c r="J18" i="17" s="1"/>
  <c r="J19" i="17" s="1"/>
  <c r="G12" i="16"/>
  <c r="E9" i="16"/>
  <c r="E11" i="16"/>
  <c r="I8" i="16"/>
  <c r="I3" i="17" s="1"/>
  <c r="I4" i="17" s="1"/>
  <c r="L13" i="11"/>
  <c r="I8" i="11"/>
  <c r="L10" i="11"/>
  <c r="D9" i="11"/>
  <c r="D8" i="11"/>
  <c r="J9" i="11"/>
  <c r="F12" i="11"/>
  <c r="K11" i="11"/>
  <c r="H10" i="11"/>
  <c r="I13" i="11"/>
  <c r="F13" i="11"/>
  <c r="G10" i="11"/>
  <c r="F9" i="11"/>
  <c r="L8" i="11"/>
  <c r="I9" i="11"/>
  <c r="G13" i="11"/>
  <c r="E12" i="11"/>
  <c r="K13" i="11"/>
  <c r="J11" i="11"/>
  <c r="D11" i="11"/>
  <c r="F10" i="11"/>
  <c r="G11" i="11"/>
  <c r="G9" i="11"/>
  <c r="J13" i="11"/>
  <c r="L11" i="11"/>
  <c r="E10" i="11"/>
  <c r="H11" i="11"/>
  <c r="E11" i="11"/>
  <c r="H13" i="11"/>
  <c r="K9" i="11"/>
  <c r="E9" i="11"/>
  <c r="G12" i="11"/>
  <c r="F11" i="11"/>
  <c r="K8" i="11"/>
  <c r="K10" i="11"/>
  <c r="L9" i="11"/>
  <c r="I10" i="11"/>
  <c r="C8" i="11"/>
  <c r="E8" i="11"/>
  <c r="D34" i="12" s="1"/>
  <c r="D13" i="11"/>
  <c r="I11" i="11"/>
  <c r="I12" i="11"/>
  <c r="K12" i="11"/>
  <c r="D12" i="11"/>
  <c r="H9" i="11"/>
  <c r="H12" i="11"/>
  <c r="L12" i="11"/>
  <c r="J8" i="11"/>
  <c r="G8" i="11"/>
  <c r="E13" i="11"/>
  <c r="J12" i="11"/>
  <c r="D10" i="11"/>
  <c r="F8" i="11"/>
  <c r="H8" i="11"/>
  <c r="J10" i="11"/>
  <c r="G32" i="5"/>
  <c r="G44" i="5"/>
  <c r="G20" i="5"/>
  <c r="AO28" i="43"/>
  <c r="AM22" i="43"/>
  <c r="AI34" i="43"/>
  <c r="AM28" i="43"/>
  <c r="AM16" i="43"/>
  <c r="AM19" i="43" s="1"/>
  <c r="AO16" i="43"/>
  <c r="AI22" i="43"/>
  <c r="AI25" i="43" s="1"/>
  <c r="AK16" i="43"/>
  <c r="AK19" i="43" s="1"/>
  <c r="AK34" i="43"/>
  <c r="AK28" i="43"/>
  <c r="AI28" i="43"/>
  <c r="AI16" i="43"/>
  <c r="AI19" i="43" s="1"/>
  <c r="AO22" i="43"/>
  <c r="AK22" i="43"/>
  <c r="AK25" i="43" s="1"/>
  <c r="G84" i="16"/>
  <c r="G88" i="16"/>
  <c r="G88" i="11"/>
  <c r="G84" i="11"/>
  <c r="F88" i="11"/>
  <c r="F84" i="11"/>
  <c r="D5" i="32"/>
  <c r="D5" i="13"/>
  <c r="D5" i="41"/>
  <c r="CD6" i="27"/>
  <c r="R23" i="30"/>
  <c r="R24" i="30"/>
  <c r="J23" i="31"/>
  <c r="A28" i="31"/>
  <c r="C12" i="16"/>
  <c r="C8" i="16"/>
  <c r="C13" i="16"/>
  <c r="C10" i="16"/>
  <c r="C13" i="17" s="1"/>
  <c r="C14" i="17" s="1"/>
  <c r="J13" i="17"/>
  <c r="J14" i="17" s="1"/>
  <c r="C9" i="16"/>
  <c r="C8" i="17" s="1"/>
  <c r="C9" i="17" s="1"/>
  <c r="C11" i="16"/>
  <c r="C18" i="17" s="1"/>
  <c r="C19" i="17" s="1"/>
  <c r="C8" i="20"/>
  <c r="R21" i="30" s="1"/>
  <c r="CD16" i="27"/>
  <c r="CD17" i="27"/>
  <c r="K33" i="19"/>
  <c r="K29" i="19"/>
  <c r="I33" i="19"/>
  <c r="I29" i="19"/>
  <c r="G33" i="19"/>
  <c r="G29" i="19"/>
  <c r="M33" i="19"/>
  <c r="M29" i="19"/>
  <c r="E34" i="22"/>
  <c r="F34" i="22" s="1"/>
  <c r="C18" i="10"/>
  <c r="C20" i="10" s="1"/>
  <c r="C27" i="10" s="1"/>
  <c r="W47" i="7"/>
  <c r="K46" i="7"/>
  <c r="W46" i="7"/>
  <c r="E46" i="7"/>
  <c r="Q47" i="7"/>
  <c r="B40" i="7"/>
  <c r="K47" i="7"/>
  <c r="Q46" i="7"/>
  <c r="B11" i="7"/>
  <c r="A4" i="23"/>
  <c r="A10" i="23"/>
  <c r="A7" i="23"/>
  <c r="A5" i="23"/>
  <c r="C20" i="16"/>
  <c r="D21" i="16"/>
  <c r="C19" i="16"/>
  <c r="C22" i="16"/>
  <c r="C23" i="16"/>
  <c r="D23" i="16"/>
  <c r="D18" i="16"/>
  <c r="D22" i="16"/>
  <c r="D19" i="16"/>
  <c r="D20" i="16"/>
  <c r="C21" i="16"/>
  <c r="C18" i="16"/>
  <c r="E47" i="7"/>
  <c r="B6" i="7"/>
  <c r="B8" i="7" s="1"/>
  <c r="AU18" i="31" l="1"/>
  <c r="AM43" i="27"/>
  <c r="EL26" i="27" s="1"/>
  <c r="C24" i="16"/>
  <c r="D14" i="32" s="1"/>
  <c r="K18" i="17"/>
  <c r="K19" i="17" s="1"/>
  <c r="K20" i="17" s="1"/>
  <c r="K21" i="17" s="1"/>
  <c r="C15" i="17"/>
  <c r="C16" i="17" s="1"/>
  <c r="H10" i="17"/>
  <c r="H11" i="17" s="1"/>
  <c r="K15" i="17"/>
  <c r="K16" i="17" s="1"/>
  <c r="J5" i="17"/>
  <c r="J6" i="17" s="1"/>
  <c r="J10" i="17"/>
  <c r="J11" i="17" s="1"/>
  <c r="K30" i="17"/>
  <c r="K31" i="17" s="1"/>
  <c r="D5" i="17"/>
  <c r="D6" i="17" s="1"/>
  <c r="H20" i="17"/>
  <c r="H21" i="17" s="1"/>
  <c r="H5" i="17"/>
  <c r="H6" i="17" s="1"/>
  <c r="I15" i="17"/>
  <c r="I16" i="17" s="1"/>
  <c r="C20" i="17"/>
  <c r="C21" i="17" s="1"/>
  <c r="I30" i="17"/>
  <c r="I31" i="17" s="1"/>
  <c r="C10" i="17"/>
  <c r="C11" i="17" s="1"/>
  <c r="H30" i="17"/>
  <c r="H31" i="17" s="1"/>
  <c r="I5" i="17"/>
  <c r="I6" i="17" s="1"/>
  <c r="J30" i="17"/>
  <c r="J31" i="17" s="1"/>
  <c r="J20" i="17"/>
  <c r="J21" i="17" s="1"/>
  <c r="H15" i="17"/>
  <c r="H16" i="17" s="1"/>
  <c r="K5" i="17"/>
  <c r="K6" i="17" s="1"/>
  <c r="I20" i="17"/>
  <c r="I21" i="17" s="1"/>
  <c r="J15" i="17"/>
  <c r="J16" i="17" s="1"/>
  <c r="I10" i="17"/>
  <c r="I11" i="17" s="1"/>
  <c r="BI13" i="18" s="1"/>
  <c r="AM13" i="43"/>
  <c r="AI57" i="43"/>
  <c r="AI56" i="43" s="1"/>
  <c r="BJ56" i="43" s="1"/>
  <c r="AM34" i="43"/>
  <c r="AO34" i="43"/>
  <c r="AQ34" i="43" s="1"/>
  <c r="AO13" i="43"/>
  <c r="AQ13" i="43" s="1"/>
  <c r="AK13" i="43"/>
  <c r="BN58" i="43"/>
  <c r="AQ22" i="43"/>
  <c r="AQ25" i="43"/>
  <c r="BJ127" i="43"/>
  <c r="AO31" i="43"/>
  <c r="AQ31" i="43"/>
  <c r="AQ28" i="43"/>
  <c r="K11" i="17"/>
  <c r="G13" i="17"/>
  <c r="G14" i="17" s="1"/>
  <c r="E13" i="17"/>
  <c r="E14" i="17" s="1"/>
  <c r="F8" i="17"/>
  <c r="F9" i="17" s="1"/>
  <c r="D8" i="17"/>
  <c r="D9" i="17" s="1"/>
  <c r="C3" i="17"/>
  <c r="C4" i="17" s="1"/>
  <c r="D34" i="17"/>
  <c r="D35" i="17" s="1"/>
  <c r="E3" i="17"/>
  <c r="E4" i="17" s="1"/>
  <c r="G8" i="17"/>
  <c r="G9" i="17" s="1"/>
  <c r="E8" i="17"/>
  <c r="E9" i="17" s="1"/>
  <c r="F28" i="17"/>
  <c r="F29" i="17" s="1"/>
  <c r="D28" i="17"/>
  <c r="D29" i="17" s="1"/>
  <c r="F18" i="17"/>
  <c r="F19" i="17" s="1"/>
  <c r="D18" i="17"/>
  <c r="D19" i="17" s="1"/>
  <c r="G28" i="17"/>
  <c r="G29" i="17" s="1"/>
  <c r="E28" i="17"/>
  <c r="E29" i="17" s="1"/>
  <c r="G18" i="17"/>
  <c r="G19" i="17" s="1"/>
  <c r="E18" i="17"/>
  <c r="E19" i="17" s="1"/>
  <c r="C28" i="17"/>
  <c r="C29" i="17" s="1"/>
  <c r="F13" i="17"/>
  <c r="F14" i="17" s="1"/>
  <c r="D13" i="17"/>
  <c r="D14" i="17" s="1"/>
  <c r="C23" i="17"/>
  <c r="C24" i="17" s="1"/>
  <c r="C25" i="17" s="1"/>
  <c r="C26" i="17" s="1"/>
  <c r="AK121" i="43"/>
  <c r="AI121" i="43"/>
  <c r="BJ121" i="43" s="1"/>
  <c r="AK118" i="43"/>
  <c r="AM94" i="43"/>
  <c r="BJ97" i="43"/>
  <c r="AM100" i="43"/>
  <c r="AM82" i="43"/>
  <c r="AI91" i="43"/>
  <c r="BJ91" i="43" s="1"/>
  <c r="AM91" i="43"/>
  <c r="AM88" i="43"/>
  <c r="H14" i="16"/>
  <c r="G23" i="17"/>
  <c r="G24" i="17" s="1"/>
  <c r="G25" i="17" s="1"/>
  <c r="G26" i="17" s="1"/>
  <c r="K14" i="16"/>
  <c r="I14" i="16"/>
  <c r="E34" i="17"/>
  <c r="E35" i="17" s="1"/>
  <c r="D14" i="16"/>
  <c r="F3" i="17"/>
  <c r="F4" i="17" s="1"/>
  <c r="F23" i="17"/>
  <c r="F24" i="17" s="1"/>
  <c r="F25" i="17" s="1"/>
  <c r="F26" i="17" s="1"/>
  <c r="B9" i="19"/>
  <c r="E14" i="16"/>
  <c r="G3" i="17"/>
  <c r="G4" i="17" s="1"/>
  <c r="J14" i="16"/>
  <c r="EL22" i="27"/>
  <c r="EL35" i="27"/>
  <c r="AO25" i="43"/>
  <c r="AO23" i="43" s="1"/>
  <c r="BP23" i="43" s="1"/>
  <c r="L23" i="43" s="1"/>
  <c r="BP22" i="43"/>
  <c r="BP28" i="43"/>
  <c r="AQ19" i="43"/>
  <c r="AO19" i="43"/>
  <c r="AO17" i="43" s="1"/>
  <c r="BP17" i="43" s="1"/>
  <c r="L17" i="43" s="1"/>
  <c r="AQ16" i="43"/>
  <c r="BP16" i="43"/>
  <c r="BJ109" i="43"/>
  <c r="AI108" i="43"/>
  <c r="AI107" i="43" s="1"/>
  <c r="BJ107" i="43" s="1"/>
  <c r="F107" i="43" s="1"/>
  <c r="U107" i="43" s="1"/>
  <c r="U108" i="43" s="1"/>
  <c r="AI110" i="43"/>
  <c r="B42" i="23"/>
  <c r="C14" i="16"/>
  <c r="D15" i="32" s="1"/>
  <c r="C47" i="23"/>
  <c r="B48" i="23"/>
  <c r="B47" i="23"/>
  <c r="C48" i="23"/>
  <c r="C37" i="23"/>
  <c r="B38" i="23"/>
  <c r="C38" i="23"/>
  <c r="B37" i="23"/>
  <c r="B43" i="23"/>
  <c r="C43" i="23"/>
  <c r="C42" i="23"/>
  <c r="I13" i="12"/>
  <c r="L23" i="12"/>
  <c r="DN25" i="27" s="1"/>
  <c r="I28" i="12"/>
  <c r="H18" i="12"/>
  <c r="DH21" i="27" s="1"/>
  <c r="H23" i="12"/>
  <c r="DH25" i="27" s="1"/>
  <c r="C10" i="11"/>
  <c r="K23" i="12"/>
  <c r="DL25" i="27" s="1"/>
  <c r="D18" i="11"/>
  <c r="L13" i="12"/>
  <c r="DN17" i="27" s="1"/>
  <c r="C22" i="11"/>
  <c r="I18" i="12"/>
  <c r="D23" i="12"/>
  <c r="D24" i="12" s="1"/>
  <c r="H13" i="12"/>
  <c r="DH17" i="27" s="1"/>
  <c r="C18" i="11"/>
  <c r="E23" i="12"/>
  <c r="E24" i="12" s="1"/>
  <c r="C20" i="11"/>
  <c r="K13" i="12"/>
  <c r="DL17" i="27" s="1"/>
  <c r="C13" i="11"/>
  <c r="D23" i="11"/>
  <c r="J18" i="12"/>
  <c r="DJ21" i="27" s="1"/>
  <c r="D20" i="11"/>
  <c r="C23" i="11"/>
  <c r="D21" i="11"/>
  <c r="J23" i="12"/>
  <c r="DJ25" i="27" s="1"/>
  <c r="C19" i="11"/>
  <c r="H28" i="12"/>
  <c r="DH29" i="27" s="1"/>
  <c r="K3" i="12"/>
  <c r="C21" i="11"/>
  <c r="L18" i="12"/>
  <c r="DN21" i="27" s="1"/>
  <c r="L8" i="12"/>
  <c r="DN13" i="27" s="1"/>
  <c r="D22" i="11"/>
  <c r="I3" i="12"/>
  <c r="I4" i="12" s="1"/>
  <c r="L3" i="12"/>
  <c r="DN9" i="27" s="1"/>
  <c r="C9" i="11"/>
  <c r="C8" i="12" s="1"/>
  <c r="C9" i="12" s="1"/>
  <c r="K18" i="12"/>
  <c r="J28" i="12"/>
  <c r="DJ29" i="27" s="1"/>
  <c r="D19" i="11"/>
  <c r="K28" i="12"/>
  <c r="DL29" i="27" s="1"/>
  <c r="C12" i="11"/>
  <c r="I23" i="12"/>
  <c r="L28" i="12"/>
  <c r="DN29" i="27" s="1"/>
  <c r="D3" i="12"/>
  <c r="D4" i="12" s="1"/>
  <c r="E3" i="12"/>
  <c r="E4" i="12" s="1"/>
  <c r="J13" i="12"/>
  <c r="C11" i="11"/>
  <c r="C18" i="12" s="1"/>
  <c r="C19" i="12" s="1"/>
  <c r="J3" i="12"/>
  <c r="C9" i="20"/>
  <c r="B10" i="19"/>
  <c r="G34" i="22"/>
  <c r="B20" i="49" s="1"/>
  <c r="B21" i="49" s="1"/>
  <c r="B22" i="49" s="1"/>
  <c r="B25" i="49" s="1"/>
  <c r="C46" i="7"/>
  <c r="C47" i="7"/>
  <c r="B34" i="7"/>
  <c r="B33" i="7"/>
  <c r="I32" i="7"/>
  <c r="C32" i="7"/>
  <c r="I34" i="7"/>
  <c r="C31" i="7"/>
  <c r="I31" i="7"/>
  <c r="I33" i="7"/>
  <c r="B31" i="7"/>
  <c r="C34" i="7"/>
  <c r="B32" i="7"/>
  <c r="C33" i="7"/>
  <c r="B14" i="7"/>
  <c r="B39" i="7" s="1"/>
  <c r="B18" i="7"/>
  <c r="B44" i="23"/>
  <c r="B39" i="23"/>
  <c r="B49" i="23"/>
  <c r="B20" i="19" l="1"/>
  <c r="C8" i="33"/>
  <c r="C14" i="33" s="1"/>
  <c r="C21" i="33" s="1"/>
  <c r="C24" i="33" s="1"/>
  <c r="C43" i="33" s="1"/>
  <c r="CH3" i="43" s="1"/>
  <c r="B8" i="33"/>
  <c r="B14" i="33" s="1"/>
  <c r="B21" i="33" s="1"/>
  <c r="B24" i="33" s="1"/>
  <c r="B43" i="33" s="1"/>
  <c r="CP3" i="26" s="1"/>
  <c r="D8" i="33"/>
  <c r="D14" i="33" s="1"/>
  <c r="D21" i="33" s="1"/>
  <c r="D24" i="33" s="1"/>
  <c r="D43" i="33" s="1"/>
  <c r="DU3" i="18" s="1"/>
  <c r="D61" i="48"/>
  <c r="J28" i="31"/>
  <c r="C13" i="12"/>
  <c r="C14" i="12" s="1"/>
  <c r="C15" i="12" s="1"/>
  <c r="C16" i="12" s="1"/>
  <c r="BJ110" i="43"/>
  <c r="F110" i="43" s="1"/>
  <c r="U110" i="43" s="1"/>
  <c r="U109" i="43" s="1"/>
  <c r="J4" i="12"/>
  <c r="DJ10" i="27" s="1"/>
  <c r="DJ9" i="27"/>
  <c r="DJ17" i="27"/>
  <c r="GX24" i="27" s="1"/>
  <c r="GX22" i="27" s="1"/>
  <c r="K4" i="12"/>
  <c r="DL10" i="27" s="1"/>
  <c r="DL9" i="27"/>
  <c r="DL21" i="27"/>
  <c r="GX37" i="27" s="1"/>
  <c r="GX35" i="27" s="1"/>
  <c r="AO35" i="43"/>
  <c r="AO36" i="43" s="1"/>
  <c r="BP36" i="43" s="1"/>
  <c r="L36" i="43" s="1"/>
  <c r="BJ115" i="43"/>
  <c r="AK116" i="43"/>
  <c r="BL116" i="43" s="1"/>
  <c r="H116" i="43" s="1"/>
  <c r="W116" i="43" s="1"/>
  <c r="AM85" i="43"/>
  <c r="C3" i="12"/>
  <c r="C4" i="12" s="1"/>
  <c r="C5" i="12" s="1"/>
  <c r="C6" i="12" s="1"/>
  <c r="H3" i="12"/>
  <c r="C24" i="11"/>
  <c r="G30" i="17"/>
  <c r="G31" i="17" s="1"/>
  <c r="D36" i="17"/>
  <c r="D37" i="17" s="1"/>
  <c r="AW142" i="18" s="1"/>
  <c r="AW148" i="18" s="1"/>
  <c r="AW151" i="18" s="1"/>
  <c r="G5" i="17"/>
  <c r="G6" i="17" s="1"/>
  <c r="D20" i="17"/>
  <c r="D21" i="17" s="1"/>
  <c r="C5" i="17"/>
  <c r="C6" i="17" s="1"/>
  <c r="D15" i="17"/>
  <c r="D16" i="17" s="1"/>
  <c r="F15" i="17"/>
  <c r="F16" i="17" s="1"/>
  <c r="D30" i="17"/>
  <c r="D31" i="17" s="1"/>
  <c r="F10" i="17"/>
  <c r="F11" i="17" s="1"/>
  <c r="C30" i="17"/>
  <c r="C31" i="17" s="1"/>
  <c r="F30" i="17"/>
  <c r="F31" i="17" s="1"/>
  <c r="E15" i="17"/>
  <c r="E16" i="17" s="1"/>
  <c r="D10" i="17"/>
  <c r="D11" i="17" s="1"/>
  <c r="F5" i="17"/>
  <c r="F6" i="17" s="1"/>
  <c r="E20" i="17"/>
  <c r="E21" i="17" s="1"/>
  <c r="E10" i="17"/>
  <c r="E11" i="17" s="1"/>
  <c r="G15" i="17"/>
  <c r="G16" i="17" s="1"/>
  <c r="F20" i="17"/>
  <c r="F21" i="17" s="1"/>
  <c r="G20" i="17"/>
  <c r="G21" i="17" s="1"/>
  <c r="G10" i="17"/>
  <c r="G11" i="17" s="1"/>
  <c r="E36" i="17"/>
  <c r="E37" i="17" s="1"/>
  <c r="AY70" i="18" s="1"/>
  <c r="E30" i="17"/>
  <c r="E31" i="17" s="1"/>
  <c r="E5" i="17"/>
  <c r="E6" i="17" s="1"/>
  <c r="E25" i="12"/>
  <c r="E26" i="12" s="1"/>
  <c r="D5" i="12"/>
  <c r="D6" i="12" s="1"/>
  <c r="C10" i="12"/>
  <c r="C11" i="12" s="1"/>
  <c r="I5" i="12"/>
  <c r="I6" i="12" s="1"/>
  <c r="E5" i="12"/>
  <c r="E6" i="12" s="1"/>
  <c r="C20" i="12"/>
  <c r="C21" i="12" s="1"/>
  <c r="D25" i="12"/>
  <c r="D26" i="12" s="1"/>
  <c r="BP34" i="43"/>
  <c r="BL127" i="43"/>
  <c r="AO14" i="43"/>
  <c r="BP14" i="43" s="1"/>
  <c r="L14" i="43" s="1"/>
  <c r="FM32" i="27" s="1"/>
  <c r="BP13" i="43"/>
  <c r="AO12" i="43"/>
  <c r="AO11" i="43" s="1"/>
  <c r="BP11" i="43" s="1"/>
  <c r="L11" i="43" s="1"/>
  <c r="AQ43" i="43"/>
  <c r="AQ46" i="43"/>
  <c r="AQ49" i="43"/>
  <c r="AO49" i="43"/>
  <c r="AQ61" i="43"/>
  <c r="AQ58" i="43"/>
  <c r="AQ57" i="43" s="1"/>
  <c r="AQ56" i="43" s="1"/>
  <c r="BR56" i="43" s="1"/>
  <c r="AO61" i="43"/>
  <c r="AO62" i="43" s="1"/>
  <c r="AO63" i="43" s="1"/>
  <c r="BP63" i="43" s="1"/>
  <c r="AQ71" i="43"/>
  <c r="AQ72" i="43" s="1"/>
  <c r="BR72" i="43" s="1"/>
  <c r="BR70" i="43"/>
  <c r="AQ69" i="43"/>
  <c r="AQ68" i="43" s="1"/>
  <c r="BR68" i="43" s="1"/>
  <c r="I8" i="12"/>
  <c r="I9" i="12" s="1"/>
  <c r="F28" i="12"/>
  <c r="F29" i="12" s="1"/>
  <c r="D28" i="12"/>
  <c r="D29" i="12" s="1"/>
  <c r="G18" i="12"/>
  <c r="G19" i="12" s="1"/>
  <c r="E18" i="12"/>
  <c r="E19" i="12" s="1"/>
  <c r="F13" i="12"/>
  <c r="F14" i="12" s="1"/>
  <c r="D13" i="12"/>
  <c r="D14" i="12" s="1"/>
  <c r="G13" i="12"/>
  <c r="G14" i="12" s="1"/>
  <c r="E13" i="12"/>
  <c r="E14" i="12" s="1"/>
  <c r="G28" i="12"/>
  <c r="G29" i="12" s="1"/>
  <c r="E28" i="12"/>
  <c r="E29" i="12" s="1"/>
  <c r="F8" i="12"/>
  <c r="F9" i="12" s="1"/>
  <c r="D8" i="12"/>
  <c r="D9" i="12" s="1"/>
  <c r="G8" i="12"/>
  <c r="G9" i="12" s="1"/>
  <c r="E8" i="12"/>
  <c r="E9" i="12" s="1"/>
  <c r="C23" i="12"/>
  <c r="C24" i="12" s="1"/>
  <c r="J8" i="12"/>
  <c r="F18" i="12"/>
  <c r="F19" i="12" s="1"/>
  <c r="D18" i="12"/>
  <c r="D19" i="12" s="1"/>
  <c r="K8" i="12"/>
  <c r="H8" i="12"/>
  <c r="C28" i="12"/>
  <c r="C29" i="12" s="1"/>
  <c r="AK62" i="43"/>
  <c r="AK63" i="43" s="1"/>
  <c r="BL63" i="43" s="1"/>
  <c r="AI61" i="43"/>
  <c r="BJ61" i="43" s="1"/>
  <c r="BJ58" i="43"/>
  <c r="AI122" i="43"/>
  <c r="BJ122" i="43" s="1"/>
  <c r="F122" i="43" s="1"/>
  <c r="U122" i="43" s="1"/>
  <c r="AI92" i="43"/>
  <c r="BJ92" i="43" s="1"/>
  <c r="F92" i="43" s="1"/>
  <c r="U92" i="43" s="1"/>
  <c r="BJ145" i="43"/>
  <c r="AM61" i="43"/>
  <c r="AM59" i="43" s="1"/>
  <c r="BN59" i="43" s="1"/>
  <c r="J59" i="43" s="1"/>
  <c r="Y59" i="43" s="1"/>
  <c r="BP58" i="43"/>
  <c r="AM57" i="43"/>
  <c r="AM56" i="43" s="1"/>
  <c r="BN56" i="43" s="1"/>
  <c r="J56" i="43" s="1"/>
  <c r="Y56" i="43" s="1"/>
  <c r="Y57" i="43" s="1"/>
  <c r="J14" i="11"/>
  <c r="C14" i="11"/>
  <c r="E14" i="11"/>
  <c r="G14" i="16"/>
  <c r="F14" i="16"/>
  <c r="I14" i="11"/>
  <c r="D14" i="11"/>
  <c r="H14" i="11"/>
  <c r="K14" i="11"/>
  <c r="G23" i="12"/>
  <c r="G24" i="12" s="1"/>
  <c r="G3" i="12"/>
  <c r="G4" i="12" s="1"/>
  <c r="E34" i="12"/>
  <c r="F3" i="12"/>
  <c r="F4" i="12" s="1"/>
  <c r="F23" i="12"/>
  <c r="F24" i="12" s="1"/>
  <c r="F56" i="43"/>
  <c r="BJ57" i="43"/>
  <c r="AA23" i="43"/>
  <c r="FM41" i="27"/>
  <c r="AA17" i="43"/>
  <c r="FM35" i="27"/>
  <c r="AI131" i="43"/>
  <c r="AI132" i="43" s="1"/>
  <c r="BJ132" i="43" s="1"/>
  <c r="BJ130" i="43"/>
  <c r="AK101" i="43"/>
  <c r="AK102" i="43" s="1"/>
  <c r="BL102" i="43" s="1"/>
  <c r="BL100" i="43"/>
  <c r="BJ28" i="43"/>
  <c r="AI31" i="43"/>
  <c r="AI29" i="43" s="1"/>
  <c r="BJ29" i="43" s="1"/>
  <c r="F29" i="43" s="1"/>
  <c r="BJ139" i="43"/>
  <c r="AI138" i="43"/>
  <c r="AI137" i="43" s="1"/>
  <c r="BJ137" i="43" s="1"/>
  <c r="BP31" i="43"/>
  <c r="AO32" i="43"/>
  <c r="BP32" i="43" s="1"/>
  <c r="L32" i="43" s="1"/>
  <c r="AI119" i="43"/>
  <c r="BJ119" i="43" s="1"/>
  <c r="F119" i="43" s="1"/>
  <c r="U119" i="43" s="1"/>
  <c r="BJ118" i="43"/>
  <c r="AK128" i="43"/>
  <c r="BL128" i="43" s="1"/>
  <c r="H128" i="43" s="1"/>
  <c r="W128" i="43" s="1"/>
  <c r="AM101" i="43"/>
  <c r="AM102" i="43" s="1"/>
  <c r="BN102" i="43" s="1"/>
  <c r="BN100" i="43"/>
  <c r="AM31" i="43"/>
  <c r="BL28" i="43"/>
  <c r="AK31" i="43"/>
  <c r="AK29" i="43" s="1"/>
  <c r="BL29" i="43" s="1"/>
  <c r="H29" i="43" s="1"/>
  <c r="AM95" i="43"/>
  <c r="BN95" i="43" s="1"/>
  <c r="J95" i="43" s="1"/>
  <c r="Y95" i="43" s="1"/>
  <c r="BN94" i="43"/>
  <c r="AQ29" i="43"/>
  <c r="BR29" i="43" s="1"/>
  <c r="N29" i="43" s="1"/>
  <c r="BR28" i="43"/>
  <c r="AK35" i="43"/>
  <c r="AK36" i="43" s="1"/>
  <c r="BL36" i="43" s="1"/>
  <c r="BL34" i="43"/>
  <c r="AK119" i="43"/>
  <c r="BL119" i="43" s="1"/>
  <c r="H119" i="43" s="1"/>
  <c r="W119" i="43" s="1"/>
  <c r="BL118" i="43"/>
  <c r="BL112" i="43"/>
  <c r="AK131" i="43"/>
  <c r="AK132" i="43" s="1"/>
  <c r="BL132" i="43" s="1"/>
  <c r="BL130" i="43"/>
  <c r="AK57" i="43"/>
  <c r="AK56" i="43" s="1"/>
  <c r="BL56" i="43" s="1"/>
  <c r="BL58" i="43"/>
  <c r="BJ100" i="43"/>
  <c r="AI101" i="43"/>
  <c r="AI102" i="43" s="1"/>
  <c r="BJ102" i="43" s="1"/>
  <c r="AK92" i="43"/>
  <c r="BL92" i="43" s="1"/>
  <c r="H92" i="43" s="1"/>
  <c r="W92" i="43" s="1"/>
  <c r="BL91" i="43"/>
  <c r="BJ34" i="43"/>
  <c r="AI35" i="43"/>
  <c r="AI36" i="43" s="1"/>
  <c r="BJ36" i="43" s="1"/>
  <c r="AK110" i="43"/>
  <c r="AK108" i="43"/>
  <c r="AK107" i="43" s="1"/>
  <c r="BL109" i="43"/>
  <c r="AK98" i="43"/>
  <c r="BL98" i="43" s="1"/>
  <c r="H98" i="43" s="1"/>
  <c r="W98" i="43" s="1"/>
  <c r="BL97" i="43"/>
  <c r="AQ35" i="43"/>
  <c r="AQ36" i="43" s="1"/>
  <c r="BR36" i="43" s="1"/>
  <c r="BR34" i="43"/>
  <c r="AM92" i="43"/>
  <c r="BN92" i="43" s="1"/>
  <c r="J92" i="43" s="1"/>
  <c r="Y92" i="43" s="1"/>
  <c r="BN91" i="43"/>
  <c r="AQ32" i="43"/>
  <c r="BR32" i="43" s="1"/>
  <c r="N32" i="43" s="1"/>
  <c r="BR31" i="43"/>
  <c r="AI49" i="43"/>
  <c r="AI42" i="43"/>
  <c r="AI41" i="43" s="1"/>
  <c r="BJ41" i="43" s="1"/>
  <c r="BJ112" i="43"/>
  <c r="AI113" i="43"/>
  <c r="BJ113" i="43" s="1"/>
  <c r="F113" i="43" s="1"/>
  <c r="U113" i="43" s="1"/>
  <c r="AM42" i="43"/>
  <c r="AM41" i="43" s="1"/>
  <c r="BN41" i="43" s="1"/>
  <c r="AM49" i="43"/>
  <c r="BN43" i="43"/>
  <c r="AM44" i="43"/>
  <c r="BN44" i="43" s="1"/>
  <c r="J44" i="43" s="1"/>
  <c r="Y44" i="43" s="1"/>
  <c r="AM98" i="43"/>
  <c r="BN98" i="43" s="1"/>
  <c r="J98" i="43" s="1"/>
  <c r="Y98" i="43" s="1"/>
  <c r="BN97" i="43"/>
  <c r="AQ17" i="43"/>
  <c r="BR17" i="43" s="1"/>
  <c r="N17" i="43" s="1"/>
  <c r="BR16" i="43"/>
  <c r="AK95" i="43"/>
  <c r="BL95" i="43" s="1"/>
  <c r="H95" i="43" s="1"/>
  <c r="W95" i="43" s="1"/>
  <c r="BL94" i="43"/>
  <c r="AI78" i="43"/>
  <c r="AI77" i="43" s="1"/>
  <c r="BJ77" i="43" s="1"/>
  <c r="BJ79" i="43"/>
  <c r="AM79" i="43"/>
  <c r="AI80" i="43"/>
  <c r="BJ80" i="43" s="1"/>
  <c r="F80" i="43" s="1"/>
  <c r="U80" i="43" s="1"/>
  <c r="BJ85" i="43"/>
  <c r="AI86" i="43"/>
  <c r="BJ86" i="43" s="1"/>
  <c r="F86" i="43" s="1"/>
  <c r="U86" i="43" s="1"/>
  <c r="BJ22" i="43"/>
  <c r="AI23" i="43"/>
  <c r="BJ23" i="43" s="1"/>
  <c r="F23" i="43" s="1"/>
  <c r="AO20" i="43"/>
  <c r="BP20" i="43" s="1"/>
  <c r="L20" i="43" s="1"/>
  <c r="BP19" i="43"/>
  <c r="BJ94" i="43"/>
  <c r="AI95" i="43"/>
  <c r="BJ95" i="43" s="1"/>
  <c r="F95" i="43" s="1"/>
  <c r="U95" i="43" s="1"/>
  <c r="AI125" i="43"/>
  <c r="BJ125" i="43" s="1"/>
  <c r="F125" i="43" s="1"/>
  <c r="U125" i="43" s="1"/>
  <c r="BJ124" i="43"/>
  <c r="BJ16" i="43"/>
  <c r="AI17" i="43"/>
  <c r="BJ17" i="43" s="1"/>
  <c r="F17" i="43" s="1"/>
  <c r="BL22" i="43"/>
  <c r="AM25" i="43"/>
  <c r="AK23" i="43"/>
  <c r="AI14" i="43"/>
  <c r="BJ14" i="43" s="1"/>
  <c r="F14" i="43" s="1"/>
  <c r="AI12" i="43"/>
  <c r="AI11" i="43" s="1"/>
  <c r="BJ11" i="43" s="1"/>
  <c r="BJ13" i="43"/>
  <c r="AQ20" i="43"/>
  <c r="BR20" i="43" s="1"/>
  <c r="N20" i="43" s="1"/>
  <c r="BR19" i="43"/>
  <c r="BL124" i="43"/>
  <c r="BL16" i="43"/>
  <c r="AK17" i="43"/>
  <c r="BL17" i="43" s="1"/>
  <c r="H17" i="43" s="1"/>
  <c r="BP25" i="43"/>
  <c r="AQ23" i="43"/>
  <c r="BR23" i="43" s="1"/>
  <c r="N23" i="43" s="1"/>
  <c r="AO26" i="43"/>
  <c r="BP26" i="43" s="1"/>
  <c r="L26" i="43" s="1"/>
  <c r="AI128" i="43"/>
  <c r="BJ128" i="43" s="1"/>
  <c r="F128" i="43" s="1"/>
  <c r="U128" i="43" s="1"/>
  <c r="AI98" i="43"/>
  <c r="BJ98" i="43" s="1"/>
  <c r="F98" i="43" s="1"/>
  <c r="U98" i="43" s="1"/>
  <c r="AK12" i="43"/>
  <c r="AK11" i="43" s="1"/>
  <c r="BL11" i="43" s="1"/>
  <c r="BL13" i="43"/>
  <c r="AK14" i="43"/>
  <c r="BL14" i="43" s="1"/>
  <c r="H14" i="43" s="1"/>
  <c r="BJ70" i="43"/>
  <c r="AI71" i="43"/>
  <c r="AI72" i="43" s="1"/>
  <c r="BJ72" i="43" s="1"/>
  <c r="AI69" i="43"/>
  <c r="AI68" i="43" s="1"/>
  <c r="BJ68" i="43" s="1"/>
  <c r="AQ12" i="43"/>
  <c r="AQ11" i="43" s="1"/>
  <c r="BR11" i="43" s="1"/>
  <c r="BR13" i="43"/>
  <c r="AQ14" i="43"/>
  <c r="BR14" i="43" s="1"/>
  <c r="N14" i="43" s="1"/>
  <c r="AO29" i="43"/>
  <c r="BP29" i="43" s="1"/>
  <c r="L29" i="43" s="1"/>
  <c r="BL121" i="43"/>
  <c r="AI116" i="43"/>
  <c r="BJ116" i="43" s="1"/>
  <c r="F116" i="43" s="1"/>
  <c r="U116" i="43" s="1"/>
  <c r="BR22" i="43"/>
  <c r="D10" i="41"/>
  <c r="D10" i="13"/>
  <c r="D10" i="32"/>
  <c r="R22" i="30"/>
  <c r="E53" i="20"/>
  <c r="E68" i="2"/>
  <c r="B59" i="29"/>
  <c r="B61" i="29" s="1"/>
  <c r="BB25" i="28"/>
  <c r="B7" i="23"/>
  <c r="B5" i="23"/>
  <c r="B10" i="23"/>
  <c r="B13" i="23" s="1"/>
  <c r="B11" i="19"/>
  <c r="J29" i="31" s="1"/>
  <c r="C13" i="20"/>
  <c r="C53" i="20"/>
  <c r="AZ35" i="30" s="1"/>
  <c r="C4" i="20"/>
  <c r="R17" i="30" s="1"/>
  <c r="C57" i="20"/>
  <c r="AZ40" i="30" s="1"/>
  <c r="CD18" i="27"/>
  <c r="I47" i="7"/>
  <c r="D47" i="7"/>
  <c r="F47" i="7" s="1"/>
  <c r="G47" i="7" s="1"/>
  <c r="I46" i="7"/>
  <c r="D46" i="7"/>
  <c r="F46" i="7" s="1"/>
  <c r="G46" i="7" s="1"/>
  <c r="C18" i="7"/>
  <c r="C45" i="7"/>
  <c r="C44" i="7"/>
  <c r="D14" i="13" l="1"/>
  <c r="EL29" i="27" s="1"/>
  <c r="D15" i="13"/>
  <c r="EL30" i="27" s="1"/>
  <c r="AI59" i="43"/>
  <c r="BJ59" i="43" s="1"/>
  <c r="F59" i="43" s="1"/>
  <c r="U59" i="43" s="1"/>
  <c r="J5" i="12"/>
  <c r="J6" i="12" s="1"/>
  <c r="DJ12" i="27" s="1"/>
  <c r="K5" i="12"/>
  <c r="DL11" i="27" s="1"/>
  <c r="BL110" i="43"/>
  <c r="H110" i="43" s="1"/>
  <c r="W110" i="43" s="1"/>
  <c r="BP35" i="43"/>
  <c r="J9" i="12"/>
  <c r="DJ14" i="27" s="1"/>
  <c r="DJ13" i="27"/>
  <c r="H4" i="12"/>
  <c r="DH9" i="27"/>
  <c r="GX11" i="27" s="1"/>
  <c r="GX9" i="27" s="1"/>
  <c r="H9" i="12"/>
  <c r="DH14" i="27" s="1"/>
  <c r="DH13" i="27"/>
  <c r="K9" i="12"/>
  <c r="DL14" i="27" s="1"/>
  <c r="DL13" i="27"/>
  <c r="AA14" i="43"/>
  <c r="AA16" i="43" s="1"/>
  <c r="BL23" i="43"/>
  <c r="H23" i="43" s="1"/>
  <c r="AI62" i="43"/>
  <c r="AI63" i="43" s="1"/>
  <c r="BJ63" i="43" s="1"/>
  <c r="F63" i="43" s="1"/>
  <c r="U63" i="43" s="1"/>
  <c r="U62" i="43" s="1"/>
  <c r="BL107" i="43"/>
  <c r="H107" i="43" s="1"/>
  <c r="W107" i="43" s="1"/>
  <c r="W108" i="43" s="1"/>
  <c r="BL115" i="43"/>
  <c r="U56" i="43"/>
  <c r="U57" i="43" s="1"/>
  <c r="AK125" i="43"/>
  <c r="BL125" i="43" s="1"/>
  <c r="H125" i="43" s="1"/>
  <c r="W125" i="43" s="1"/>
  <c r="W127" i="43" s="1"/>
  <c r="AK113" i="43"/>
  <c r="BL113" i="43" s="1"/>
  <c r="H113" i="43" s="1"/>
  <c r="W113" i="43" s="1"/>
  <c r="W115" i="43" s="1"/>
  <c r="F25" i="12"/>
  <c r="F26" i="12" s="1"/>
  <c r="C25" i="12"/>
  <c r="C26" i="12" s="1"/>
  <c r="G15" i="12"/>
  <c r="G16" i="12" s="1"/>
  <c r="AK122" i="43"/>
  <c r="BL122" i="43" s="1"/>
  <c r="H122" i="43" s="1"/>
  <c r="W122" i="43" s="1"/>
  <c r="W121" i="43" s="1"/>
  <c r="F5" i="12"/>
  <c r="F6" i="12" s="1"/>
  <c r="C30" i="12"/>
  <c r="C31" i="12" s="1"/>
  <c r="E10" i="12"/>
  <c r="E11" i="12" s="1"/>
  <c r="D15" i="12"/>
  <c r="D16" i="12" s="1"/>
  <c r="G10" i="12"/>
  <c r="G11" i="12" s="1"/>
  <c r="F15" i="12"/>
  <c r="F16" i="12" s="1"/>
  <c r="G5" i="12"/>
  <c r="G6" i="12" s="1"/>
  <c r="D10" i="12"/>
  <c r="D11" i="12" s="1"/>
  <c r="E20" i="12"/>
  <c r="E21" i="12" s="1"/>
  <c r="F10" i="12"/>
  <c r="F11" i="12" s="1"/>
  <c r="G20" i="12"/>
  <c r="G21" i="12" s="1"/>
  <c r="D20" i="12"/>
  <c r="D21" i="12" s="1"/>
  <c r="E30" i="12"/>
  <c r="E31" i="12" s="1"/>
  <c r="D30" i="12"/>
  <c r="D31" i="12" s="1"/>
  <c r="F20" i="12"/>
  <c r="F21" i="12" s="1"/>
  <c r="G30" i="12"/>
  <c r="G31" i="12" s="1"/>
  <c r="F30" i="12"/>
  <c r="F31" i="12" s="1"/>
  <c r="G25" i="12"/>
  <c r="G26" i="12" s="1"/>
  <c r="E15" i="12"/>
  <c r="E16" i="12" s="1"/>
  <c r="I10" i="12"/>
  <c r="I11" i="12" s="1"/>
  <c r="BP12" i="43"/>
  <c r="BR69" i="43"/>
  <c r="N68" i="43"/>
  <c r="AC68" i="43" s="1"/>
  <c r="AC69" i="43" s="1"/>
  <c r="N72" i="43"/>
  <c r="AC72" i="43" s="1"/>
  <c r="AC71" i="43" s="1"/>
  <c r="BR71" i="43"/>
  <c r="BN61" i="43"/>
  <c r="BL61" i="43"/>
  <c r="AK59" i="43"/>
  <c r="BL59" i="43" s="1"/>
  <c r="H59" i="43" s="1"/>
  <c r="W59" i="43" s="1"/>
  <c r="U121" i="43"/>
  <c r="U124" i="43"/>
  <c r="AO57" i="43"/>
  <c r="AO56" i="43" s="1"/>
  <c r="BP56" i="43" s="1"/>
  <c r="L56" i="43" s="1"/>
  <c r="AA56" i="43" s="1"/>
  <c r="AA57" i="43" s="1"/>
  <c r="AI143" i="43"/>
  <c r="BJ143" i="43" s="1"/>
  <c r="F143" i="43" s="1"/>
  <c r="U143" i="43" s="1"/>
  <c r="AK44" i="43"/>
  <c r="BL44" i="43" s="1"/>
  <c r="H44" i="43" s="1"/>
  <c r="W44" i="43" s="1"/>
  <c r="AK49" i="43"/>
  <c r="BL49" i="43" s="1"/>
  <c r="AQ59" i="43"/>
  <c r="BR59" i="43" s="1"/>
  <c r="N59" i="43" s="1"/>
  <c r="AC59" i="43" s="1"/>
  <c r="BR58" i="43"/>
  <c r="Y58" i="43"/>
  <c r="U118" i="43"/>
  <c r="BR61" i="43"/>
  <c r="AQ62" i="43"/>
  <c r="AQ63" i="43" s="1"/>
  <c r="BR63" i="43" s="1"/>
  <c r="N63" i="43" s="1"/>
  <c r="AC63" i="43" s="1"/>
  <c r="AC62" i="43" s="1"/>
  <c r="AW70" i="18"/>
  <c r="BP61" i="43"/>
  <c r="AO59" i="43"/>
  <c r="BP59" i="43" s="1"/>
  <c r="L59" i="43" s="1"/>
  <c r="AA59" i="43" s="1"/>
  <c r="AM62" i="43"/>
  <c r="AM63" i="43" s="1"/>
  <c r="BN63" i="43" s="1"/>
  <c r="BN62" i="43" s="1"/>
  <c r="BN57" i="43"/>
  <c r="W97" i="43"/>
  <c r="G14" i="11"/>
  <c r="Y94" i="43"/>
  <c r="F14" i="11"/>
  <c r="W118" i="43"/>
  <c r="W29" i="43"/>
  <c r="FG47" i="27"/>
  <c r="U23" i="43"/>
  <c r="FD41" i="27"/>
  <c r="AA36" i="43"/>
  <c r="AA35" i="43" s="1"/>
  <c r="FM53" i="27"/>
  <c r="U29" i="43"/>
  <c r="FD47" i="27"/>
  <c r="AC20" i="43"/>
  <c r="FP38" i="27"/>
  <c r="U17" i="43"/>
  <c r="FD35" i="27"/>
  <c r="AC17" i="43"/>
  <c r="FP35" i="27"/>
  <c r="AC29" i="43"/>
  <c r="FP47" i="27"/>
  <c r="AC14" i="43"/>
  <c r="FP32" i="27"/>
  <c r="U14" i="43"/>
  <c r="FD32" i="27"/>
  <c r="AC32" i="43"/>
  <c r="FP50" i="27"/>
  <c r="AC23" i="43"/>
  <c r="FP41" i="27"/>
  <c r="W14" i="43"/>
  <c r="FG32" i="27"/>
  <c r="U97" i="43"/>
  <c r="H56" i="43"/>
  <c r="W56" i="43" s="1"/>
  <c r="W57" i="43" s="1"/>
  <c r="BL57" i="43"/>
  <c r="W17" i="43"/>
  <c r="FG35" i="27"/>
  <c r="AA11" i="43"/>
  <c r="AA12" i="43" s="1"/>
  <c r="FM29" i="27"/>
  <c r="AA20" i="43"/>
  <c r="AA22" i="43" s="1"/>
  <c r="FM38" i="27"/>
  <c r="AA32" i="43"/>
  <c r="FM50" i="27"/>
  <c r="AA26" i="43"/>
  <c r="FM44" i="27"/>
  <c r="AA29" i="43"/>
  <c r="FM47" i="27"/>
  <c r="AM86" i="43"/>
  <c r="BN86" i="43" s="1"/>
  <c r="J86" i="43" s="1"/>
  <c r="Y86" i="43" s="1"/>
  <c r="BN85" i="43"/>
  <c r="AK78" i="43"/>
  <c r="AK77" i="43" s="1"/>
  <c r="BL77" i="43" s="1"/>
  <c r="BL79" i="43"/>
  <c r="AK80" i="43"/>
  <c r="BL80" i="43" s="1"/>
  <c r="H80" i="43" s="1"/>
  <c r="W80" i="43" s="1"/>
  <c r="AQ42" i="43"/>
  <c r="AQ41" i="43" s="1"/>
  <c r="BR41" i="43" s="1"/>
  <c r="AQ44" i="43"/>
  <c r="BR44" i="43" s="1"/>
  <c r="N44" i="43" s="1"/>
  <c r="AC44" i="43" s="1"/>
  <c r="BR43" i="43"/>
  <c r="BL43" i="43"/>
  <c r="AK42" i="43"/>
  <c r="AK41" i="43" s="1"/>
  <c r="BL41" i="43" s="1"/>
  <c r="Y97" i="43"/>
  <c r="AQ26" i="43"/>
  <c r="BR26" i="43" s="1"/>
  <c r="N26" i="43" s="1"/>
  <c r="BR25" i="43"/>
  <c r="BJ12" i="43"/>
  <c r="F11" i="43"/>
  <c r="BN79" i="43"/>
  <c r="AM78" i="43"/>
  <c r="AM77" i="43" s="1"/>
  <c r="BN77" i="43" s="1"/>
  <c r="AM80" i="43"/>
  <c r="BN80" i="43" s="1"/>
  <c r="J80" i="43" s="1"/>
  <c r="Y80" i="43" s="1"/>
  <c r="BP62" i="43"/>
  <c r="L63" i="43"/>
  <c r="AA63" i="43" s="1"/>
  <c r="AA62" i="43" s="1"/>
  <c r="BL62" i="43"/>
  <c r="H63" i="43"/>
  <c r="W63" i="43" s="1"/>
  <c r="W62" i="43" s="1"/>
  <c r="U94" i="43"/>
  <c r="AI20" i="43"/>
  <c r="BJ20" i="43" s="1"/>
  <c r="F20" i="43" s="1"/>
  <c r="BJ19" i="43"/>
  <c r="BL88" i="43"/>
  <c r="AK89" i="43"/>
  <c r="BL89" i="43" s="1"/>
  <c r="H89" i="43" s="1"/>
  <c r="W89" i="43" s="1"/>
  <c r="W91" i="43" s="1"/>
  <c r="AO47" i="43"/>
  <c r="BP47" i="43" s="1"/>
  <c r="L47" i="43" s="1"/>
  <c r="AA47" i="43" s="1"/>
  <c r="BP46" i="43"/>
  <c r="AM50" i="43"/>
  <c r="AM51" i="43" s="1"/>
  <c r="BN51" i="43" s="1"/>
  <c r="BN49" i="43"/>
  <c r="W94" i="43"/>
  <c r="AM35" i="43"/>
  <c r="AM36" i="43" s="1"/>
  <c r="BN36" i="43" s="1"/>
  <c r="J36" i="43" s="1"/>
  <c r="BN34" i="43"/>
  <c r="BL31" i="43"/>
  <c r="AK32" i="43"/>
  <c r="BL32" i="43" s="1"/>
  <c r="H32" i="43" s="1"/>
  <c r="BJ142" i="43"/>
  <c r="BL101" i="43"/>
  <c r="H102" i="43"/>
  <c r="W102" i="43" s="1"/>
  <c r="W101" i="43" s="1"/>
  <c r="W100" i="43" s="1"/>
  <c r="N11" i="43"/>
  <c r="BR12" i="43"/>
  <c r="BP70" i="43"/>
  <c r="AO71" i="43"/>
  <c r="AO72" i="43" s="1"/>
  <c r="BP72" i="43" s="1"/>
  <c r="AO69" i="43"/>
  <c r="AO68" i="43" s="1"/>
  <c r="BP68" i="43" s="1"/>
  <c r="BL12" i="43"/>
  <c r="H11" i="43"/>
  <c r="BJ25" i="43"/>
  <c r="AI26" i="43"/>
  <c r="BJ26" i="43" s="1"/>
  <c r="F26" i="43" s="1"/>
  <c r="AM89" i="43"/>
  <c r="BN89" i="43" s="1"/>
  <c r="J89" i="43" s="1"/>
  <c r="Y89" i="43" s="1"/>
  <c r="Y91" i="43" s="1"/>
  <c r="BN88" i="43"/>
  <c r="BL82" i="43"/>
  <c r="AK83" i="43"/>
  <c r="BL83" i="43" s="1"/>
  <c r="H83" i="43" s="1"/>
  <c r="W83" i="43" s="1"/>
  <c r="AO50" i="43"/>
  <c r="AO51" i="43" s="1"/>
  <c r="BP51" i="43" s="1"/>
  <c r="BP49" i="43"/>
  <c r="BN42" i="43"/>
  <c r="J41" i="43"/>
  <c r="Y41" i="43" s="1"/>
  <c r="Y42" i="43" s="1"/>
  <c r="Y43" i="43" s="1"/>
  <c r="AI50" i="43"/>
  <c r="AI51" i="43" s="1"/>
  <c r="BJ51" i="43" s="1"/>
  <c r="BJ49" i="43"/>
  <c r="BL131" i="43"/>
  <c r="H132" i="43"/>
  <c r="W132" i="43" s="1"/>
  <c r="W131" i="43" s="1"/>
  <c r="W130" i="43" s="1"/>
  <c r="AM29" i="43"/>
  <c r="BN29" i="43" s="1"/>
  <c r="J29" i="43" s="1"/>
  <c r="BN28" i="43"/>
  <c r="F137" i="43"/>
  <c r="U137" i="43" s="1"/>
  <c r="U138" i="43" s="1"/>
  <c r="BJ138" i="43"/>
  <c r="BL70" i="43"/>
  <c r="AK71" i="43"/>
  <c r="AK72" i="43" s="1"/>
  <c r="BL72" i="43" s="1"/>
  <c r="AK69" i="43"/>
  <c r="AK68" i="43" s="1"/>
  <c r="BL68" i="43" s="1"/>
  <c r="AM12" i="43"/>
  <c r="AM11" i="43" s="1"/>
  <c r="BN11" i="43" s="1"/>
  <c r="AM14" i="43"/>
  <c r="BN14" i="43" s="1"/>
  <c r="J14" i="43" s="1"/>
  <c r="BN13" i="43"/>
  <c r="AK20" i="43"/>
  <c r="BL20" i="43" s="1"/>
  <c r="H20" i="43" s="1"/>
  <c r="BL19" i="43"/>
  <c r="AK26" i="43"/>
  <c r="BL25" i="43"/>
  <c r="AM83" i="43"/>
  <c r="BN83" i="43" s="1"/>
  <c r="J83" i="43" s="1"/>
  <c r="Y83" i="43" s="1"/>
  <c r="BN82" i="43"/>
  <c r="AQ50" i="43"/>
  <c r="AQ51" i="43" s="1"/>
  <c r="BR51" i="43" s="1"/>
  <c r="BR49" i="43"/>
  <c r="U115" i="43"/>
  <c r="BR35" i="43"/>
  <c r="N36" i="43"/>
  <c r="H36" i="43"/>
  <c r="BL35" i="43"/>
  <c r="BJ131" i="43"/>
  <c r="F132" i="43"/>
  <c r="U132" i="43" s="1"/>
  <c r="U131" i="43" s="1"/>
  <c r="U130" i="43" s="1"/>
  <c r="F68" i="43"/>
  <c r="U68" i="43" s="1"/>
  <c r="U69" i="43" s="1"/>
  <c r="BJ69" i="43"/>
  <c r="AM17" i="43"/>
  <c r="BN17" i="43" s="1"/>
  <c r="J17" i="43" s="1"/>
  <c r="BN16" i="43"/>
  <c r="BN22" i="43"/>
  <c r="AM23" i="43"/>
  <c r="BN23" i="43" s="1"/>
  <c r="J23" i="43" s="1"/>
  <c r="U127" i="43"/>
  <c r="BJ78" i="43"/>
  <c r="F77" i="43"/>
  <c r="U77" i="43" s="1"/>
  <c r="U78" i="43" s="1"/>
  <c r="U79" i="43" s="1"/>
  <c r="AO44" i="43"/>
  <c r="BP44" i="43" s="1"/>
  <c r="L44" i="43" s="1"/>
  <c r="AA44" i="43" s="1"/>
  <c r="BP43" i="43"/>
  <c r="AO42" i="43"/>
  <c r="AO41" i="43" s="1"/>
  <c r="BP41" i="43" s="1"/>
  <c r="BJ101" i="43"/>
  <c r="F102" i="43"/>
  <c r="U102" i="43" s="1"/>
  <c r="U101" i="43" s="1"/>
  <c r="U100" i="43" s="1"/>
  <c r="AM32" i="43"/>
  <c r="BN32" i="43" s="1"/>
  <c r="J32" i="43" s="1"/>
  <c r="BN31" i="43"/>
  <c r="AI140" i="43"/>
  <c r="BJ140" i="43" s="1"/>
  <c r="F140" i="43" s="1"/>
  <c r="U140" i="43" s="1"/>
  <c r="F72" i="43"/>
  <c r="U72" i="43" s="1"/>
  <c r="U71" i="43" s="1"/>
  <c r="BJ71" i="43"/>
  <c r="BJ88" i="43"/>
  <c r="AI89" i="43"/>
  <c r="BJ89" i="43" s="1"/>
  <c r="F89" i="43" s="1"/>
  <c r="U89" i="43" s="1"/>
  <c r="U91" i="43" s="1"/>
  <c r="AM47" i="43"/>
  <c r="BN47" i="43" s="1"/>
  <c r="J47" i="43" s="1"/>
  <c r="Y47" i="43" s="1"/>
  <c r="Y46" i="43" s="1"/>
  <c r="BN46" i="43"/>
  <c r="AI44" i="43"/>
  <c r="BJ46" i="43"/>
  <c r="AI47" i="43"/>
  <c r="N56" i="43"/>
  <c r="AC56" i="43" s="1"/>
  <c r="AC57" i="43" s="1"/>
  <c r="BR57" i="43"/>
  <c r="BN70" i="43"/>
  <c r="AM71" i="43"/>
  <c r="AM72" i="43" s="1"/>
  <c r="BN72" i="43" s="1"/>
  <c r="AM69" i="43"/>
  <c r="AM68" i="43" s="1"/>
  <c r="BN68" i="43" s="1"/>
  <c r="BN19" i="43"/>
  <c r="AM20" i="43"/>
  <c r="BN20" i="43" s="1"/>
  <c r="J20" i="43" s="1"/>
  <c r="BN25" i="43"/>
  <c r="AM26" i="43"/>
  <c r="BN26" i="43" s="1"/>
  <c r="J26" i="43" s="1"/>
  <c r="AK86" i="43"/>
  <c r="BL86" i="43" s="1"/>
  <c r="H86" i="43" s="1"/>
  <c r="W86" i="43" s="1"/>
  <c r="BL85" i="43"/>
  <c r="AI83" i="43"/>
  <c r="BJ83" i="43" s="1"/>
  <c r="F83" i="43" s="1"/>
  <c r="U83" i="43" s="1"/>
  <c r="U85" i="43" s="1"/>
  <c r="BJ82" i="43"/>
  <c r="AQ47" i="43"/>
  <c r="BR47" i="43" s="1"/>
  <c r="N47" i="43" s="1"/>
  <c r="AC47" i="43" s="1"/>
  <c r="BR46" i="43"/>
  <c r="F41" i="43"/>
  <c r="BJ42" i="43"/>
  <c r="BJ35" i="43"/>
  <c r="F36" i="43"/>
  <c r="J102" i="43"/>
  <c r="Y102" i="43" s="1"/>
  <c r="Y101" i="43" s="1"/>
  <c r="Y100" i="43" s="1"/>
  <c r="BN101" i="43"/>
  <c r="AI32" i="43"/>
  <c r="BJ32" i="43" s="1"/>
  <c r="F32" i="43" s="1"/>
  <c r="BJ31" i="43"/>
  <c r="U112" i="43"/>
  <c r="A37" i="30"/>
  <c r="D8" i="13"/>
  <c r="D8" i="32"/>
  <c r="D35" i="12"/>
  <c r="B12" i="23"/>
  <c r="B9" i="23"/>
  <c r="B8" i="23"/>
  <c r="B11" i="23"/>
  <c r="B6" i="23"/>
  <c r="C14" i="20"/>
  <c r="V47" i="30" s="1"/>
  <c r="C15" i="20"/>
  <c r="V48" i="30" s="1"/>
  <c r="C16" i="20"/>
  <c r="V49" i="30" s="1"/>
  <c r="C17" i="20"/>
  <c r="V50" i="30" s="1"/>
  <c r="B12" i="19"/>
  <c r="I29" i="12"/>
  <c r="K14" i="12"/>
  <c r="DL18" i="27" s="1"/>
  <c r="BK43" i="18"/>
  <c r="J24" i="12"/>
  <c r="DJ26" i="27" s="1"/>
  <c r="H24" i="12"/>
  <c r="DH26" i="27" s="1"/>
  <c r="E35" i="12"/>
  <c r="AY13" i="18"/>
  <c r="CS13" i="18" s="1"/>
  <c r="I19" i="12"/>
  <c r="AY28" i="18"/>
  <c r="BA28" i="18" s="1"/>
  <c r="CU28" i="18" s="1"/>
  <c r="AY82" i="18"/>
  <c r="CS82" i="18" s="1"/>
  <c r="J29" i="12"/>
  <c r="DJ30" i="27" s="1"/>
  <c r="H19" i="12"/>
  <c r="DH22" i="27" s="1"/>
  <c r="J14" i="12"/>
  <c r="DJ18" i="27" s="1"/>
  <c r="H14" i="12"/>
  <c r="DH18" i="27" s="1"/>
  <c r="BI28" i="18"/>
  <c r="DC28" i="18" s="1"/>
  <c r="H29" i="12"/>
  <c r="DH30" i="27" s="1"/>
  <c r="I24" i="12"/>
  <c r="K19" i="12"/>
  <c r="DL22" i="27" s="1"/>
  <c r="I14" i="12"/>
  <c r="J19" i="12"/>
  <c r="DJ22" i="27" s="1"/>
  <c r="K24" i="12"/>
  <c r="DL26" i="27" s="1"/>
  <c r="J46" i="7"/>
  <c r="L46" i="7" s="1"/>
  <c r="M46" i="7" s="1"/>
  <c r="O46" i="7"/>
  <c r="O47" i="7"/>
  <c r="J47" i="7"/>
  <c r="L47" i="7" s="1"/>
  <c r="M47" i="7" s="1"/>
  <c r="D44" i="7"/>
  <c r="G44" i="7" s="1"/>
  <c r="I44" i="7"/>
  <c r="D45" i="7"/>
  <c r="G45" i="7" s="1"/>
  <c r="I45" i="7"/>
  <c r="E34" i="7"/>
  <c r="G34" i="7" s="1"/>
  <c r="E31" i="7"/>
  <c r="G31" i="7" s="1"/>
  <c r="D33" i="7"/>
  <c r="F33" i="7" s="1"/>
  <c r="H33" i="7" s="1"/>
  <c r="C58" i="7" s="1"/>
  <c r="D32" i="7"/>
  <c r="F32" i="7" s="1"/>
  <c r="H32" i="7" s="1"/>
  <c r="C57" i="7" s="1"/>
  <c r="E33" i="7"/>
  <c r="G33" i="7" s="1"/>
  <c r="D31" i="7"/>
  <c r="F31" i="7" s="1"/>
  <c r="H31" i="7" s="1"/>
  <c r="C56" i="7" s="1"/>
  <c r="D34" i="7"/>
  <c r="F34" i="7" s="1"/>
  <c r="H34" i="7" s="1"/>
  <c r="C59" i="7" s="1"/>
  <c r="E32" i="7"/>
  <c r="G32" i="7" s="1"/>
  <c r="D38" i="23"/>
  <c r="D42" i="23"/>
  <c r="D48" i="23"/>
  <c r="D47" i="23"/>
  <c r="D37" i="23"/>
  <c r="D43" i="23"/>
  <c r="DJ11" i="27" l="1"/>
  <c r="BJ62" i="43"/>
  <c r="K6" i="12"/>
  <c r="DL12" i="27" s="1"/>
  <c r="J10" i="12"/>
  <c r="J11" i="12" s="1"/>
  <c r="DJ16" i="27" s="1"/>
  <c r="H10" i="12"/>
  <c r="DH15" i="27" s="1"/>
  <c r="AA13" i="43"/>
  <c r="K10" i="12"/>
  <c r="K11" i="12" s="1"/>
  <c r="DL16" i="27" s="1"/>
  <c r="W109" i="43"/>
  <c r="H5" i="12"/>
  <c r="DH10" i="27"/>
  <c r="GX15" i="27" s="1"/>
  <c r="BJ47" i="43"/>
  <c r="F47" i="43" s="1"/>
  <c r="U47" i="43" s="1"/>
  <c r="BJ44" i="43"/>
  <c r="F44" i="43" s="1"/>
  <c r="U44" i="43" s="1"/>
  <c r="W23" i="43"/>
  <c r="FG41" i="27"/>
  <c r="BL26" i="43"/>
  <c r="H26" i="43" s="1"/>
  <c r="BP57" i="43"/>
  <c r="U58" i="43"/>
  <c r="W112" i="43"/>
  <c r="G45" i="5"/>
  <c r="G49" i="5" s="1"/>
  <c r="G33" i="5"/>
  <c r="G37" i="5" s="1"/>
  <c r="G21" i="5"/>
  <c r="G25" i="5" s="1"/>
  <c r="U41" i="43"/>
  <c r="U42" i="43" s="1"/>
  <c r="D36" i="12"/>
  <c r="D37" i="12" s="1"/>
  <c r="E36" i="12"/>
  <c r="E37" i="12" s="1"/>
  <c r="H30" i="12"/>
  <c r="I20" i="12"/>
  <c r="I21" i="12" s="1"/>
  <c r="K20" i="12"/>
  <c r="K15" i="12"/>
  <c r="H15" i="12"/>
  <c r="W124" i="43"/>
  <c r="I25" i="12"/>
  <c r="I26" i="12" s="1"/>
  <c r="I30" i="12"/>
  <c r="I31" i="12" s="1"/>
  <c r="K25" i="12"/>
  <c r="J15" i="12"/>
  <c r="H25" i="12"/>
  <c r="J20" i="12"/>
  <c r="H20" i="12"/>
  <c r="J25" i="12"/>
  <c r="I15" i="12"/>
  <c r="I16" i="12" s="1"/>
  <c r="J30" i="12"/>
  <c r="AC70" i="43"/>
  <c r="AK50" i="43"/>
  <c r="AK51" i="43" s="1"/>
  <c r="BL51" i="43" s="1"/>
  <c r="H51" i="43" s="1"/>
  <c r="W51" i="43" s="1"/>
  <c r="W50" i="43" s="1"/>
  <c r="J63" i="43"/>
  <c r="Y63" i="43" s="1"/>
  <c r="Y62" i="43" s="1"/>
  <c r="Y61" i="43" s="1"/>
  <c r="AA46" i="43"/>
  <c r="AA58" i="43"/>
  <c r="AC58" i="43"/>
  <c r="AC61" i="43"/>
  <c r="BJ148" i="43"/>
  <c r="AI146" i="43"/>
  <c r="BJ146" i="43" s="1"/>
  <c r="F146" i="43" s="1"/>
  <c r="U146" i="43" s="1"/>
  <c r="AK47" i="43"/>
  <c r="BL47" i="43" s="1"/>
  <c r="H47" i="43" s="1"/>
  <c r="W47" i="43" s="1"/>
  <c r="W46" i="43" s="1"/>
  <c r="BL46" i="43"/>
  <c r="BR62" i="43"/>
  <c r="AA34" i="43"/>
  <c r="W88" i="43"/>
  <c r="Y85" i="43"/>
  <c r="AA61" i="43"/>
  <c r="AX69" i="18"/>
  <c r="AV69" i="18"/>
  <c r="AX71" i="18"/>
  <c r="AV71" i="18"/>
  <c r="AC22" i="43"/>
  <c r="U16" i="43"/>
  <c r="W16" i="43"/>
  <c r="AC31" i="43"/>
  <c r="AA31" i="43"/>
  <c r="AC19" i="43"/>
  <c r="W58" i="43"/>
  <c r="W61" i="43"/>
  <c r="U61" i="43"/>
  <c r="U70" i="43"/>
  <c r="U36" i="43"/>
  <c r="U35" i="43" s="1"/>
  <c r="FD53" i="27"/>
  <c r="U82" i="43"/>
  <c r="Y32" i="43"/>
  <c r="FJ50" i="27"/>
  <c r="W11" i="43"/>
  <c r="W12" i="43" s="1"/>
  <c r="W13" i="43" s="1"/>
  <c r="FG29" i="27"/>
  <c r="AC26" i="43"/>
  <c r="FP44" i="27"/>
  <c r="Y23" i="43"/>
  <c r="FJ41" i="27"/>
  <c r="Y14" i="43"/>
  <c r="FJ32" i="27"/>
  <c r="Y29" i="43"/>
  <c r="FJ47" i="27"/>
  <c r="U20" i="43"/>
  <c r="U22" i="43" s="1"/>
  <c r="FD38" i="27"/>
  <c r="W36" i="43"/>
  <c r="W35" i="43" s="1"/>
  <c r="FG53" i="27"/>
  <c r="Y20" i="43"/>
  <c r="FJ38" i="27"/>
  <c r="AC36" i="43"/>
  <c r="AC35" i="43" s="1"/>
  <c r="AC34" i="43" s="1"/>
  <c r="FP53" i="27"/>
  <c r="W32" i="43"/>
  <c r="W31" i="43" s="1"/>
  <c r="FG50" i="27"/>
  <c r="AA28" i="43"/>
  <c r="W20" i="43"/>
  <c r="FG38" i="27"/>
  <c r="U32" i="43"/>
  <c r="FD50" i="27"/>
  <c r="Y17" i="43"/>
  <c r="FJ35" i="27"/>
  <c r="AA19" i="43"/>
  <c r="U11" i="43"/>
  <c r="U12" i="43" s="1"/>
  <c r="U13" i="43" s="1"/>
  <c r="FD29" i="27"/>
  <c r="AC16" i="43"/>
  <c r="EL24" i="27"/>
  <c r="Y26" i="43"/>
  <c r="FJ44" i="27"/>
  <c r="U26" i="43"/>
  <c r="U28" i="43" s="1"/>
  <c r="FD44" i="27"/>
  <c r="AC11" i="43"/>
  <c r="AC12" i="43" s="1"/>
  <c r="AC13" i="43" s="1"/>
  <c r="FP29" i="27"/>
  <c r="AA25" i="43"/>
  <c r="Y88" i="43"/>
  <c r="J68" i="43"/>
  <c r="Y68" i="43" s="1"/>
  <c r="Y69" i="43" s="1"/>
  <c r="BN69" i="43"/>
  <c r="N51" i="43"/>
  <c r="AC51" i="43" s="1"/>
  <c r="AC50" i="43" s="1"/>
  <c r="AC49" i="43" s="1"/>
  <c r="BR50" i="43"/>
  <c r="L51" i="43"/>
  <c r="AA51" i="43" s="1"/>
  <c r="AA50" i="43" s="1"/>
  <c r="AA49" i="43" s="1"/>
  <c r="BP50" i="43"/>
  <c r="BN71" i="43"/>
  <c r="J72" i="43"/>
  <c r="Y72" i="43" s="1"/>
  <c r="Y71" i="43" s="1"/>
  <c r="BP42" i="43"/>
  <c r="L41" i="43"/>
  <c r="AA41" i="43" s="1"/>
  <c r="AA42" i="43" s="1"/>
  <c r="AA43" i="43" s="1"/>
  <c r="BN12" i="43"/>
  <c r="J11" i="43"/>
  <c r="W85" i="43"/>
  <c r="BP69" i="43"/>
  <c r="L68" i="43"/>
  <c r="AA68" i="43" s="1"/>
  <c r="AA69" i="43" s="1"/>
  <c r="AI149" i="43"/>
  <c r="BJ149" i="43" s="1"/>
  <c r="F149" i="43" s="1"/>
  <c r="U149" i="43" s="1"/>
  <c r="AC46" i="43"/>
  <c r="BL69" i="43"/>
  <c r="H68" i="43"/>
  <c r="W68" i="43" s="1"/>
  <c r="W69" i="43" s="1"/>
  <c r="L72" i="43"/>
  <c r="AA72" i="43" s="1"/>
  <c r="AA71" i="43" s="1"/>
  <c r="BP71" i="43"/>
  <c r="BR42" i="43"/>
  <c r="N41" i="43"/>
  <c r="AC41" i="43" s="1"/>
  <c r="AC42" i="43" s="1"/>
  <c r="AC43" i="43" s="1"/>
  <c r="BL71" i="43"/>
  <c r="H72" i="43"/>
  <c r="W72" i="43" s="1"/>
  <c r="W71" i="43" s="1"/>
  <c r="J51" i="43"/>
  <c r="Y51" i="43" s="1"/>
  <c r="Y50" i="43" s="1"/>
  <c r="Y49" i="43" s="1"/>
  <c r="BN50" i="43"/>
  <c r="W82" i="43"/>
  <c r="BJ50" i="43"/>
  <c r="F51" i="43"/>
  <c r="U51" i="43" s="1"/>
  <c r="U50" i="43" s="1"/>
  <c r="Y82" i="43"/>
  <c r="U88" i="43"/>
  <c r="J77" i="43"/>
  <c r="Y77" i="43" s="1"/>
  <c r="Y78" i="43" s="1"/>
  <c r="Y79" i="43" s="1"/>
  <c r="BN78" i="43"/>
  <c r="H77" i="43"/>
  <c r="W77" i="43" s="1"/>
  <c r="W78" i="43" s="1"/>
  <c r="W79" i="43" s="1"/>
  <c r="BL78" i="43"/>
  <c r="U139" i="43"/>
  <c r="BN35" i="43"/>
  <c r="BL42" i="43"/>
  <c r="H41" i="43"/>
  <c r="W41" i="43" s="1"/>
  <c r="W42" i="43" s="1"/>
  <c r="W43" i="43" s="1"/>
  <c r="D44" i="23"/>
  <c r="C33" i="23" s="1"/>
  <c r="D16" i="32" s="1"/>
  <c r="D49" i="23"/>
  <c r="C34" i="23" s="1"/>
  <c r="D39" i="23"/>
  <c r="C32" i="23" s="1"/>
  <c r="CQ148" i="18"/>
  <c r="J30" i="31"/>
  <c r="B5" i="19"/>
  <c r="BK13" i="18"/>
  <c r="BJ12" i="18" s="1"/>
  <c r="BL12" i="18" s="1"/>
  <c r="BI43" i="18"/>
  <c r="DC43" i="18" s="1"/>
  <c r="BK28" i="18"/>
  <c r="DE28" i="18" s="1"/>
  <c r="BK31" i="18"/>
  <c r="DE31" i="18" s="1"/>
  <c r="FV45" i="27"/>
  <c r="BA31" i="18"/>
  <c r="BC31" i="18" s="1"/>
  <c r="CW31" i="18" s="1"/>
  <c r="AY79" i="18"/>
  <c r="CS79" i="18" s="1"/>
  <c r="BE43" i="18"/>
  <c r="BG43" i="18"/>
  <c r="BC43" i="18"/>
  <c r="BA43" i="18"/>
  <c r="AY43" i="18"/>
  <c r="BA100" i="18"/>
  <c r="BB101" i="18" s="1"/>
  <c r="BB102" i="18" s="1"/>
  <c r="CV102" i="18" s="1"/>
  <c r="L102" i="18" s="1"/>
  <c r="AW49" i="18"/>
  <c r="BK58" i="18"/>
  <c r="DE58" i="18" s="1"/>
  <c r="BK49" i="18"/>
  <c r="DE49" i="18" s="1"/>
  <c r="BI49" i="18"/>
  <c r="DC49" i="18" s="1"/>
  <c r="BI31" i="18"/>
  <c r="DC31" i="18" s="1"/>
  <c r="AW34" i="18"/>
  <c r="AV35" i="18" s="1"/>
  <c r="CP35" i="18" s="1"/>
  <c r="BG28" i="18"/>
  <c r="DA28" i="18" s="1"/>
  <c r="AY31" i="18"/>
  <c r="AY94" i="18"/>
  <c r="CS70" i="18"/>
  <c r="BA70" i="18"/>
  <c r="BC28" i="18"/>
  <c r="CW28" i="18" s="1"/>
  <c r="BE28" i="18"/>
  <c r="CY28" i="18" s="1"/>
  <c r="CS28" i="18"/>
  <c r="AY46" i="18"/>
  <c r="CS46" i="18" s="1"/>
  <c r="BE46" i="18"/>
  <c r="CY46" i="18" s="1"/>
  <c r="M3" i="17"/>
  <c r="BG46" i="18"/>
  <c r="DA46" i="18" s="1"/>
  <c r="BA46" i="18"/>
  <c r="CU46" i="18" s="1"/>
  <c r="BC46" i="18"/>
  <c r="CW46" i="18" s="1"/>
  <c r="AY16" i="18"/>
  <c r="AW130" i="18"/>
  <c r="CQ142" i="18"/>
  <c r="BA13" i="18"/>
  <c r="AZ12" i="18" s="1"/>
  <c r="AZ11" i="18" s="1"/>
  <c r="M3" i="12"/>
  <c r="BI16" i="18"/>
  <c r="DC16" i="18" s="1"/>
  <c r="BK46" i="18"/>
  <c r="DE46" i="18" s="1"/>
  <c r="BI46" i="18"/>
  <c r="DC46" i="18" s="1"/>
  <c r="AW100" i="18"/>
  <c r="AY130" i="18"/>
  <c r="CQ70" i="18"/>
  <c r="AY88" i="18"/>
  <c r="AY22" i="18"/>
  <c r="AW28" i="18"/>
  <c r="AY124" i="18"/>
  <c r="AW124" i="18"/>
  <c r="BA94" i="18"/>
  <c r="AW94" i="18"/>
  <c r="BI58" i="18"/>
  <c r="DC58" i="18" s="1"/>
  <c r="BK61" i="18"/>
  <c r="DE61" i="18" s="1"/>
  <c r="BI34" i="18"/>
  <c r="DE43" i="18"/>
  <c r="K29" i="12"/>
  <c r="DL30" i="27" s="1"/>
  <c r="BI61" i="18"/>
  <c r="DC61" i="18" s="1"/>
  <c r="AV143" i="18"/>
  <c r="CP143" i="18" s="1"/>
  <c r="F143" i="18" s="1"/>
  <c r="AA143" i="18" s="1"/>
  <c r="AY85" i="18"/>
  <c r="CS85" i="18" s="1"/>
  <c r="AX143" i="18"/>
  <c r="CR143" i="18" s="1"/>
  <c r="H143" i="18" s="1"/>
  <c r="AC143" i="18" s="1"/>
  <c r="P47" i="7"/>
  <c r="R47" i="7" s="1"/>
  <c r="S47" i="7" s="1"/>
  <c r="U47" i="7"/>
  <c r="V47" i="7" s="1"/>
  <c r="X47" i="7" s="1"/>
  <c r="Y47" i="7" s="1"/>
  <c r="P46" i="7"/>
  <c r="R46" i="7" s="1"/>
  <c r="S46" i="7" s="1"/>
  <c r="U46" i="7"/>
  <c r="V46" i="7" s="1"/>
  <c r="X46" i="7" s="1"/>
  <c r="Y46" i="7" s="1"/>
  <c r="O44" i="7"/>
  <c r="J44" i="7"/>
  <c r="M44" i="7" s="1"/>
  <c r="O45" i="7"/>
  <c r="J45" i="7"/>
  <c r="M45" i="7" s="1"/>
  <c r="AK70" i="26" l="1"/>
  <c r="AM70" i="26"/>
  <c r="AO70" i="26" s="1"/>
  <c r="H11" i="12"/>
  <c r="DH16" i="27" s="1"/>
  <c r="DJ15" i="27"/>
  <c r="DL15" i="27"/>
  <c r="AK142" i="26"/>
  <c r="AK154" i="26"/>
  <c r="BR154" i="26" s="1"/>
  <c r="AK139" i="26"/>
  <c r="BR139" i="26" s="1"/>
  <c r="K26" i="12"/>
  <c r="DL28" i="27" s="1"/>
  <c r="DL27" i="27"/>
  <c r="H31" i="12"/>
  <c r="DH32" i="27" s="1"/>
  <c r="DH31" i="27"/>
  <c r="J31" i="12"/>
  <c r="DJ32" i="27" s="1"/>
  <c r="DJ31" i="27"/>
  <c r="H6" i="12"/>
  <c r="DH12" i="27" s="1"/>
  <c r="GX18" i="27" s="1"/>
  <c r="DH11" i="27"/>
  <c r="GX17" i="27" s="1"/>
  <c r="J26" i="12"/>
  <c r="DJ28" i="27" s="1"/>
  <c r="DJ27" i="27"/>
  <c r="H21" i="12"/>
  <c r="DH24" i="27" s="1"/>
  <c r="DH23" i="27"/>
  <c r="H16" i="12"/>
  <c r="DH20" i="27" s="1"/>
  <c r="DH19" i="27"/>
  <c r="J21" i="12"/>
  <c r="DJ24" i="27" s="1"/>
  <c r="DJ23" i="27"/>
  <c r="K16" i="12"/>
  <c r="DL20" i="27" s="1"/>
  <c r="DL19" i="27"/>
  <c r="H26" i="12"/>
  <c r="DH28" i="27" s="1"/>
  <c r="DH27" i="27"/>
  <c r="K21" i="12"/>
  <c r="DL24" i="27" s="1"/>
  <c r="DL23" i="27"/>
  <c r="J16" i="12"/>
  <c r="DJ20" i="27" s="1"/>
  <c r="DJ19" i="27"/>
  <c r="U46" i="43"/>
  <c r="U49" i="43"/>
  <c r="U43" i="43"/>
  <c r="W22" i="43"/>
  <c r="W26" i="43"/>
  <c r="W28" i="43" s="1"/>
  <c r="FG44" i="27"/>
  <c r="M18" i="5"/>
  <c r="M20" i="5"/>
  <c r="M25" i="5"/>
  <c r="M23" i="5"/>
  <c r="M24" i="5"/>
  <c r="M19" i="5"/>
  <c r="K30" i="12"/>
  <c r="D16" i="41"/>
  <c r="D17" i="41" s="1"/>
  <c r="B8" i="16"/>
  <c r="B11" i="16"/>
  <c r="BL50" i="43"/>
  <c r="B18" i="11"/>
  <c r="B9" i="36"/>
  <c r="W49" i="43"/>
  <c r="U145" i="43"/>
  <c r="U142" i="43"/>
  <c r="U148" i="43"/>
  <c r="W19" i="43"/>
  <c r="Y31" i="43"/>
  <c r="Y22" i="43"/>
  <c r="Y28" i="43"/>
  <c r="U34" i="43"/>
  <c r="U31" i="43"/>
  <c r="Y70" i="43"/>
  <c r="Y16" i="43"/>
  <c r="Y19" i="43"/>
  <c r="AC28" i="43"/>
  <c r="AC25" i="43"/>
  <c r="Y36" i="43"/>
  <c r="Y35" i="43" s="1"/>
  <c r="Y34" i="43" s="1"/>
  <c r="FJ53" i="27"/>
  <c r="W34" i="43"/>
  <c r="Y25" i="43"/>
  <c r="U25" i="43"/>
  <c r="U19" i="43"/>
  <c r="Y11" i="43"/>
  <c r="Y12" i="43" s="1"/>
  <c r="Y13" i="43" s="1"/>
  <c r="FJ29" i="27"/>
  <c r="W70" i="43"/>
  <c r="AI152" i="43"/>
  <c r="BJ152" i="43" s="1"/>
  <c r="F152" i="43" s="1"/>
  <c r="U152" i="43" s="1"/>
  <c r="U151" i="43" s="1"/>
  <c r="BJ151" i="43"/>
  <c r="AA70" i="43"/>
  <c r="AZ69" i="18"/>
  <c r="AZ71" i="18"/>
  <c r="B75" i="36"/>
  <c r="B49" i="36"/>
  <c r="B77" i="36"/>
  <c r="B101" i="36"/>
  <c r="B99" i="36"/>
  <c r="B12" i="36"/>
  <c r="B60" i="11"/>
  <c r="B63" i="36"/>
  <c r="B67" i="36"/>
  <c r="B65" i="36"/>
  <c r="B88" i="36"/>
  <c r="B102" i="36"/>
  <c r="B11" i="36"/>
  <c r="B8" i="11"/>
  <c r="B74" i="36"/>
  <c r="B48" i="36"/>
  <c r="B46" i="36"/>
  <c r="B89" i="36"/>
  <c r="B103" i="36"/>
  <c r="B19" i="36"/>
  <c r="B51" i="36"/>
  <c r="B39" i="36"/>
  <c r="B37" i="36"/>
  <c r="B90" i="36"/>
  <c r="B100" i="36"/>
  <c r="B24" i="36"/>
  <c r="B73" i="36"/>
  <c r="B78" i="36"/>
  <c r="B76" i="36"/>
  <c r="B92" i="36"/>
  <c r="B14" i="36"/>
  <c r="B22" i="36"/>
  <c r="D16" i="13"/>
  <c r="B50" i="36"/>
  <c r="B66" i="36"/>
  <c r="B64" i="36"/>
  <c r="B91" i="36"/>
  <c r="B10" i="36"/>
  <c r="B13" i="36"/>
  <c r="B40" i="36"/>
  <c r="B47" i="36"/>
  <c r="B41" i="36"/>
  <c r="B93" i="36"/>
  <c r="B23" i="36"/>
  <c r="B21" i="36"/>
  <c r="B68" i="36"/>
  <c r="B38" i="36"/>
  <c r="B36" i="36"/>
  <c r="B98" i="36"/>
  <c r="B20" i="36"/>
  <c r="AM79" i="26"/>
  <c r="B23" i="16"/>
  <c r="B97" i="16"/>
  <c r="B21" i="16"/>
  <c r="B99" i="16"/>
  <c r="B70" i="16"/>
  <c r="B37" i="16"/>
  <c r="B72" i="16"/>
  <c r="B89" i="16"/>
  <c r="B64" i="16"/>
  <c r="B18" i="16"/>
  <c r="B71" i="16"/>
  <c r="B94" i="16"/>
  <c r="B9" i="16"/>
  <c r="B36" i="16"/>
  <c r="B46" i="16"/>
  <c r="B45" i="16"/>
  <c r="B35" i="16"/>
  <c r="B34" i="16"/>
  <c r="B10" i="16"/>
  <c r="B63" i="16"/>
  <c r="B95" i="16"/>
  <c r="B60" i="16"/>
  <c r="B22" i="16"/>
  <c r="B88" i="16"/>
  <c r="B47" i="16"/>
  <c r="B84" i="16"/>
  <c r="B61" i="16"/>
  <c r="B20" i="16"/>
  <c r="B19" i="16"/>
  <c r="B73" i="16"/>
  <c r="B85" i="16"/>
  <c r="B48" i="16"/>
  <c r="B12" i="16"/>
  <c r="B86" i="16"/>
  <c r="B98" i="16"/>
  <c r="B38" i="16"/>
  <c r="B13" i="16"/>
  <c r="B44" i="16"/>
  <c r="B96" i="16"/>
  <c r="B49" i="16"/>
  <c r="B39" i="16"/>
  <c r="B65" i="16"/>
  <c r="B75" i="16"/>
  <c r="B62" i="16"/>
  <c r="B74" i="16"/>
  <c r="B87" i="16"/>
  <c r="AG101" i="18"/>
  <c r="B88" i="11"/>
  <c r="B19" i="11"/>
  <c r="B38" i="11"/>
  <c r="B65" i="11"/>
  <c r="B36" i="11"/>
  <c r="B72" i="11"/>
  <c r="B12" i="11"/>
  <c r="B10" i="11"/>
  <c r="B96" i="11"/>
  <c r="B73" i="11"/>
  <c r="B13" i="11"/>
  <c r="B62" i="11"/>
  <c r="B34" i="11"/>
  <c r="B71" i="11"/>
  <c r="B22" i="11"/>
  <c r="B11" i="11"/>
  <c r="B37" i="11"/>
  <c r="B61" i="11"/>
  <c r="B99" i="11"/>
  <c r="B74" i="11"/>
  <c r="B47" i="11"/>
  <c r="B75" i="11"/>
  <c r="B70" i="11"/>
  <c r="B97" i="11"/>
  <c r="B9" i="11"/>
  <c r="B45" i="11"/>
  <c r="B98" i="11"/>
  <c r="B89" i="11"/>
  <c r="B23" i="11"/>
  <c r="B85" i="11"/>
  <c r="B84" i="11"/>
  <c r="B86" i="11"/>
  <c r="B48" i="11"/>
  <c r="B49" i="11"/>
  <c r="B20" i="11"/>
  <c r="B95" i="11"/>
  <c r="B46" i="11"/>
  <c r="B39" i="11"/>
  <c r="B44" i="11"/>
  <c r="B35" i="11"/>
  <c r="B87" i="11"/>
  <c r="B63" i="11"/>
  <c r="B94" i="11"/>
  <c r="B21" i="11"/>
  <c r="B64" i="11"/>
  <c r="CQ151" i="18"/>
  <c r="AX149" i="18"/>
  <c r="CR149" i="18" s="1"/>
  <c r="AM82" i="26"/>
  <c r="AM85" i="26"/>
  <c r="J24" i="31"/>
  <c r="BJ11" i="18"/>
  <c r="DD11" i="18" s="1"/>
  <c r="DD12" i="18"/>
  <c r="DF12" i="18" s="1"/>
  <c r="DC13" i="18"/>
  <c r="DE13" i="18"/>
  <c r="CQ34" i="18"/>
  <c r="C21" i="10"/>
  <c r="C28" i="10" s="1"/>
  <c r="C31" i="10" s="1"/>
  <c r="CT11" i="18"/>
  <c r="CU100" i="18"/>
  <c r="CU31" i="18"/>
  <c r="CT12" i="18"/>
  <c r="BE31" i="18"/>
  <c r="CY31" i="18" s="1"/>
  <c r="AZ29" i="18"/>
  <c r="CT29" i="18" s="1"/>
  <c r="BG31" i="18"/>
  <c r="DA31" i="18" s="1"/>
  <c r="FS45" i="27"/>
  <c r="FV48" i="27"/>
  <c r="BJ29" i="18"/>
  <c r="BL29" i="18" s="1"/>
  <c r="CS31" i="18"/>
  <c r="BJ42" i="18"/>
  <c r="BL42" i="18" s="1"/>
  <c r="BJ57" i="18"/>
  <c r="BJ56" i="18" s="1"/>
  <c r="AV36" i="18"/>
  <c r="CP36" i="18" s="1"/>
  <c r="F36" i="18" s="1"/>
  <c r="BB29" i="18"/>
  <c r="CV29" i="18" s="1"/>
  <c r="AX131" i="18"/>
  <c r="CR131" i="18" s="1"/>
  <c r="CS94" i="18"/>
  <c r="AY97" i="18"/>
  <c r="CS97" i="18" s="1"/>
  <c r="BJ47" i="18"/>
  <c r="CU70" i="18"/>
  <c r="BC70" i="18"/>
  <c r="BI70" i="18"/>
  <c r="DC70" i="18" s="1"/>
  <c r="CV101" i="18"/>
  <c r="BE13" i="18"/>
  <c r="CY13" i="18" s="1"/>
  <c r="AY19" i="18"/>
  <c r="CS19" i="18" s="1"/>
  <c r="BA16" i="18"/>
  <c r="BA19" i="18"/>
  <c r="CS16" i="18"/>
  <c r="BG13" i="18"/>
  <c r="DA13" i="18" s="1"/>
  <c r="BC13" i="18"/>
  <c r="BB12" i="18" s="1"/>
  <c r="BH12" i="18" s="1"/>
  <c r="DB12" i="18" s="1"/>
  <c r="CQ130" i="18"/>
  <c r="AV131" i="18"/>
  <c r="CP131" i="18" s="1"/>
  <c r="BJ44" i="18"/>
  <c r="BJ50" i="18"/>
  <c r="CU13" i="18"/>
  <c r="BJ59" i="18"/>
  <c r="BJ62" i="18"/>
  <c r="AY127" i="18"/>
  <c r="CS124" i="18"/>
  <c r="AX72" i="18"/>
  <c r="CR72" i="18" s="1"/>
  <c r="H72" i="18" s="1"/>
  <c r="CR71" i="18"/>
  <c r="AW97" i="18"/>
  <c r="CQ94" i="18"/>
  <c r="CQ28" i="18"/>
  <c r="AW31" i="18"/>
  <c r="CP69" i="18"/>
  <c r="AV68" i="18"/>
  <c r="CP68" i="18" s="1"/>
  <c r="GX41" i="27"/>
  <c r="GX28" i="27"/>
  <c r="CU94" i="18"/>
  <c r="BA97" i="18"/>
  <c r="CS22" i="18"/>
  <c r="AY25" i="18"/>
  <c r="BA25" i="18"/>
  <c r="BA22" i="18"/>
  <c r="CR69" i="18"/>
  <c r="AX68" i="18"/>
  <c r="CS130" i="18"/>
  <c r="AZ131" i="18"/>
  <c r="BK34" i="18"/>
  <c r="DC34" i="18"/>
  <c r="AW127" i="18"/>
  <c r="CQ124" i="18"/>
  <c r="AY91" i="18"/>
  <c r="CS88" i="18"/>
  <c r="AV72" i="18"/>
  <c r="CP72" i="18" s="1"/>
  <c r="F72" i="18" s="1"/>
  <c r="CP71" i="18"/>
  <c r="AV101" i="18"/>
  <c r="CQ100" i="18"/>
  <c r="BK19" i="18"/>
  <c r="DE19" i="18" s="1"/>
  <c r="BI19" i="18"/>
  <c r="BK16" i="18"/>
  <c r="AV149" i="18"/>
  <c r="AQ61" i="26"/>
  <c r="AQ43" i="26"/>
  <c r="AS58" i="26"/>
  <c r="BZ58" i="26" s="1"/>
  <c r="AM16" i="26"/>
  <c r="AO61" i="26"/>
  <c r="AO43" i="26"/>
  <c r="AO58" i="26"/>
  <c r="AO49" i="26"/>
  <c r="AM61" i="26"/>
  <c r="AM49" i="26"/>
  <c r="AM58" i="26"/>
  <c r="AM13" i="26"/>
  <c r="AM43" i="26"/>
  <c r="AQ16" i="26"/>
  <c r="AQ34" i="26"/>
  <c r="AM100" i="26"/>
  <c r="AM34" i="26"/>
  <c r="Z46" i="7"/>
  <c r="B58" i="7" s="1"/>
  <c r="D58" i="7" s="1"/>
  <c r="E58" i="7" s="1"/>
  <c r="Z47" i="7"/>
  <c r="B59" i="7" s="1"/>
  <c r="D59" i="7" s="1"/>
  <c r="E59" i="7" s="1"/>
  <c r="P45" i="7"/>
  <c r="S45" i="7" s="1"/>
  <c r="U45" i="7"/>
  <c r="V45" i="7" s="1"/>
  <c r="Y45" i="7" s="1"/>
  <c r="P44" i="7"/>
  <c r="S44" i="7" s="1"/>
  <c r="U44" i="7"/>
  <c r="V44" i="7" s="1"/>
  <c r="Y44" i="7" s="1"/>
  <c r="AO46" i="26" l="1"/>
  <c r="BV46" i="26" s="1"/>
  <c r="AM130" i="26"/>
  <c r="AN131" i="26" s="1"/>
  <c r="AN132" i="26" s="1"/>
  <c r="AM46" i="26"/>
  <c r="AN47" i="26" s="1"/>
  <c r="AM94" i="26"/>
  <c r="BT94" i="26" s="1"/>
  <c r="AM22" i="26"/>
  <c r="AM25" i="26" s="1"/>
  <c r="AK28" i="26"/>
  <c r="AK31" i="26" s="1"/>
  <c r="AK94" i="26"/>
  <c r="AK97" i="26" s="1"/>
  <c r="W25" i="43"/>
  <c r="AQ22" i="26"/>
  <c r="BX22" i="26" s="1"/>
  <c r="AK148" i="26"/>
  <c r="BR148" i="26" s="1"/>
  <c r="AK22" i="26"/>
  <c r="AK25" i="26" s="1"/>
  <c r="AJ23" i="26" s="1"/>
  <c r="BQ23" i="26" s="1"/>
  <c r="F23" i="26" s="1"/>
  <c r="AK88" i="26"/>
  <c r="BR88" i="26" s="1"/>
  <c r="AK118" i="26"/>
  <c r="BR118" i="26" s="1"/>
  <c r="AO88" i="26"/>
  <c r="BV88" i="26" s="1"/>
  <c r="AM118" i="26"/>
  <c r="BT118" i="26" s="1"/>
  <c r="AM109" i="26"/>
  <c r="BT109" i="26" s="1"/>
  <c r="AK130" i="26"/>
  <c r="AO100" i="26"/>
  <c r="AN101" i="26" s="1"/>
  <c r="AK34" i="26"/>
  <c r="AJ35" i="26" s="1"/>
  <c r="AK100" i="26"/>
  <c r="AJ101" i="26" s="1"/>
  <c r="AO94" i="26"/>
  <c r="BV94" i="26" s="1"/>
  <c r="AM124" i="26"/>
  <c r="BT124" i="26" s="1"/>
  <c r="AM28" i="26"/>
  <c r="AO31" i="26" s="1"/>
  <c r="AK124" i="26"/>
  <c r="BR124" i="26" s="1"/>
  <c r="AM88" i="26"/>
  <c r="BT88" i="26" s="1"/>
  <c r="K31" i="12"/>
  <c r="DL32" i="27" s="1"/>
  <c r="DL31" i="27"/>
  <c r="M31" i="5"/>
  <c r="M29" i="5"/>
  <c r="M30" i="5"/>
  <c r="BJ17" i="18"/>
  <c r="BL17" i="18" s="1"/>
  <c r="D18" i="32"/>
  <c r="D19" i="32" s="1"/>
  <c r="D16" i="33" s="1"/>
  <c r="D17" i="32"/>
  <c r="D18" i="41"/>
  <c r="D19" i="41" s="1"/>
  <c r="C16" i="33" s="1"/>
  <c r="D20" i="41"/>
  <c r="C17" i="33" s="1"/>
  <c r="D18" i="13"/>
  <c r="D19" i="13" s="1"/>
  <c r="B16" i="33" s="1"/>
  <c r="D17" i="13"/>
  <c r="D20" i="13" s="1"/>
  <c r="B17" i="33" s="1"/>
  <c r="AK49" i="26"/>
  <c r="BR49" i="26" s="1"/>
  <c r="AK79" i="26"/>
  <c r="AJ78" i="26" s="1"/>
  <c r="AJ77" i="26" s="1"/>
  <c r="AK61" i="26"/>
  <c r="AL62" i="26" s="1"/>
  <c r="AK109" i="26"/>
  <c r="AJ108" i="26" s="1"/>
  <c r="AS43" i="26"/>
  <c r="BZ43" i="26" s="1"/>
  <c r="AO79" i="26"/>
  <c r="BV79" i="26" s="1"/>
  <c r="AK43" i="26"/>
  <c r="BR43" i="26" s="1"/>
  <c r="AQ13" i="26"/>
  <c r="AS13" i="26" s="1"/>
  <c r="BZ13" i="26" s="1"/>
  <c r="FP30" i="27" s="1"/>
  <c r="AK13" i="26"/>
  <c r="BR13" i="26" s="1"/>
  <c r="AQ58" i="26"/>
  <c r="BX58" i="26" s="1"/>
  <c r="AS61" i="26"/>
  <c r="BZ61" i="26" s="1"/>
  <c r="AS49" i="26"/>
  <c r="BZ49" i="26" s="1"/>
  <c r="AQ49" i="26"/>
  <c r="AP50" i="26" s="1"/>
  <c r="AO85" i="26"/>
  <c r="AK46" i="26"/>
  <c r="BR46" i="26" s="1"/>
  <c r="AK58" i="26"/>
  <c r="AI155" i="43"/>
  <c r="AI156" i="43" s="1"/>
  <c r="BJ156" i="43" s="1"/>
  <c r="BJ154" i="43"/>
  <c r="AK16" i="26"/>
  <c r="AK19" i="26" s="1"/>
  <c r="AK115" i="26"/>
  <c r="BR115" i="26" s="1"/>
  <c r="AK82" i="26"/>
  <c r="AO82" i="26"/>
  <c r="AM115" i="26"/>
  <c r="BT115" i="26" s="1"/>
  <c r="AK112" i="26"/>
  <c r="AK85" i="26"/>
  <c r="AM112" i="26"/>
  <c r="EL31" i="27"/>
  <c r="AJ69" i="26"/>
  <c r="AJ68" i="26" s="1"/>
  <c r="BQ68" i="26" s="1"/>
  <c r="F68" i="26" s="1"/>
  <c r="BB69" i="18"/>
  <c r="BB71" i="18"/>
  <c r="AL155" i="26"/>
  <c r="AL156" i="26" s="1"/>
  <c r="AJ155" i="26"/>
  <c r="AJ156" i="26" s="1"/>
  <c r="BQ156" i="26" s="1"/>
  <c r="T11" i="18"/>
  <c r="AO11" i="18" s="1"/>
  <c r="F68" i="18"/>
  <c r="AA68" i="18" s="1"/>
  <c r="L29" i="18"/>
  <c r="AG29" i="18" s="1"/>
  <c r="AA35" i="18"/>
  <c r="J29" i="18"/>
  <c r="AE29" i="18" s="1"/>
  <c r="AA71" i="18"/>
  <c r="AC71" i="18"/>
  <c r="J11" i="18"/>
  <c r="AE11" i="18" s="1"/>
  <c r="AJ138" i="26"/>
  <c r="AJ137" i="26" s="1"/>
  <c r="AJ140" i="26"/>
  <c r="BQ140" i="26" s="1"/>
  <c r="F140" i="26" s="1"/>
  <c r="AJ71" i="26"/>
  <c r="AJ72" i="26" s="1"/>
  <c r="BQ72" i="26" s="1"/>
  <c r="F72" i="26" s="1"/>
  <c r="AL138" i="26"/>
  <c r="AL137" i="26" s="1"/>
  <c r="AL140" i="26"/>
  <c r="BS140" i="26" s="1"/>
  <c r="H140" i="26" s="1"/>
  <c r="FV30" i="27"/>
  <c r="FS48" i="27"/>
  <c r="BL11" i="18"/>
  <c r="AN57" i="26"/>
  <c r="C30" i="10"/>
  <c r="C32" i="10" s="1"/>
  <c r="B1" i="10" s="1"/>
  <c r="E64" i="2" s="1"/>
  <c r="CR68" i="18"/>
  <c r="BF12" i="18"/>
  <c r="CZ12" i="18" s="1"/>
  <c r="DD29" i="18"/>
  <c r="T29" i="18" s="1"/>
  <c r="FV51" i="27"/>
  <c r="FV33" i="27"/>
  <c r="FS30" i="27"/>
  <c r="BH29" i="18"/>
  <c r="DB29" i="18" s="1"/>
  <c r="DF11" i="18"/>
  <c r="BJ51" i="18"/>
  <c r="BL50" i="18"/>
  <c r="DD42" i="18"/>
  <c r="DF42" i="18" s="1"/>
  <c r="CP149" i="18"/>
  <c r="F149" i="18" s="1"/>
  <c r="AA149" i="18" s="1"/>
  <c r="DD62" i="18"/>
  <c r="DF62" i="18" s="1"/>
  <c r="BL62" i="18"/>
  <c r="DD44" i="18"/>
  <c r="BL44" i="18"/>
  <c r="H149" i="18"/>
  <c r="AC149" i="18" s="1"/>
  <c r="DD47" i="18"/>
  <c r="BL47" i="18"/>
  <c r="BJ41" i="18"/>
  <c r="DD56" i="18"/>
  <c r="BL56" i="18"/>
  <c r="DD59" i="18"/>
  <c r="BL59" i="18"/>
  <c r="DD57" i="18"/>
  <c r="DF57" i="18" s="1"/>
  <c r="BL57" i="18"/>
  <c r="BF29" i="18"/>
  <c r="CZ29" i="18" s="1"/>
  <c r="BD29" i="18"/>
  <c r="CX29" i="18" s="1"/>
  <c r="BJ63" i="18"/>
  <c r="AX132" i="18"/>
  <c r="CR132" i="18" s="1"/>
  <c r="H132" i="18" s="1"/>
  <c r="CW70" i="18"/>
  <c r="BE70" i="18"/>
  <c r="CT69" i="18"/>
  <c r="AZ68" i="18"/>
  <c r="AZ72" i="18"/>
  <c r="CT72" i="18" s="1"/>
  <c r="J72" i="18" s="1"/>
  <c r="CT71" i="18"/>
  <c r="DD50" i="18"/>
  <c r="DF50" i="18" s="1"/>
  <c r="BC16" i="18"/>
  <c r="BG16" i="18"/>
  <c r="DA16" i="18" s="1"/>
  <c r="BE16" i="18"/>
  <c r="CY16" i="18" s="1"/>
  <c r="CU16" i="18"/>
  <c r="AZ17" i="18"/>
  <c r="CT17" i="18" s="1"/>
  <c r="BB11" i="18"/>
  <c r="BH11" i="18" s="1"/>
  <c r="DB11" i="18" s="1"/>
  <c r="R11" i="18" s="1"/>
  <c r="FU29" i="27" s="1"/>
  <c r="CW13" i="18"/>
  <c r="AV132" i="18"/>
  <c r="CP132" i="18" s="1"/>
  <c r="F132" i="18" s="1"/>
  <c r="BD12" i="18"/>
  <c r="CX12" i="18" s="1"/>
  <c r="CV12" i="18"/>
  <c r="AZ14" i="18"/>
  <c r="CU19" i="18"/>
  <c r="BE19" i="18"/>
  <c r="CY19" i="18" s="1"/>
  <c r="BC19" i="18"/>
  <c r="CW19" i="18" s="1"/>
  <c r="BG19" i="18"/>
  <c r="DA19" i="18" s="1"/>
  <c r="AV125" i="18"/>
  <c r="CP125" i="18" s="1"/>
  <c r="CQ127" i="18"/>
  <c r="AX128" i="18"/>
  <c r="CR128" i="18" s="1"/>
  <c r="AV128" i="18"/>
  <c r="CP128" i="18" s="1"/>
  <c r="AX125" i="18"/>
  <c r="CR125" i="18" s="1"/>
  <c r="CT131" i="18"/>
  <c r="AZ132" i="18"/>
  <c r="BG22" i="18"/>
  <c r="DA22" i="18" s="1"/>
  <c r="AZ20" i="18"/>
  <c r="CT20" i="18" s="1"/>
  <c r="AZ23" i="18"/>
  <c r="CT23" i="18" s="1"/>
  <c r="CU22" i="18"/>
  <c r="BE22" i="18"/>
  <c r="CY22" i="18" s="1"/>
  <c r="BC22" i="18"/>
  <c r="BB95" i="18"/>
  <c r="CV95" i="18" s="1"/>
  <c r="CU97" i="18"/>
  <c r="AZ95" i="18"/>
  <c r="CT95" i="18" s="1"/>
  <c r="BB98" i="18"/>
  <c r="CV98" i="18" s="1"/>
  <c r="GX43" i="27"/>
  <c r="DE16" i="18"/>
  <c r="BJ14" i="18"/>
  <c r="CU25" i="18"/>
  <c r="BG25" i="18"/>
  <c r="DA25" i="18" s="1"/>
  <c r="BE25" i="18"/>
  <c r="CY25" i="18" s="1"/>
  <c r="BC25" i="18"/>
  <c r="AW43" i="18"/>
  <c r="DC19" i="18"/>
  <c r="CP101" i="18"/>
  <c r="AV102" i="18"/>
  <c r="CP102" i="18" s="1"/>
  <c r="F102" i="18" s="1"/>
  <c r="CS91" i="18"/>
  <c r="BJ35" i="18"/>
  <c r="BL35" i="18" s="1"/>
  <c r="DE34" i="18"/>
  <c r="BJ32" i="18"/>
  <c r="CS25" i="18"/>
  <c r="AZ26" i="18"/>
  <c r="CT26" i="18" s="1"/>
  <c r="AV95" i="18"/>
  <c r="CP95" i="18" s="1"/>
  <c r="CQ97" i="18"/>
  <c r="AV98" i="18"/>
  <c r="CP98" i="18" s="1"/>
  <c r="AX95" i="18"/>
  <c r="CR95" i="18" s="1"/>
  <c r="AZ125" i="18"/>
  <c r="CT125" i="18" s="1"/>
  <c r="AZ128" i="18"/>
  <c r="CT128" i="18" s="1"/>
  <c r="CS127" i="18"/>
  <c r="GX30" i="27"/>
  <c r="AX29" i="18"/>
  <c r="CR29" i="18" s="1"/>
  <c r="AV32" i="18"/>
  <c r="CP32" i="18" s="1"/>
  <c r="AV29" i="18"/>
  <c r="CP29" i="18" s="1"/>
  <c r="CQ31" i="18"/>
  <c r="BT34" i="26"/>
  <c r="AO34" i="26"/>
  <c r="AN35" i="26" s="1"/>
  <c r="BT79" i="26"/>
  <c r="BV49" i="26"/>
  <c r="BX43" i="26"/>
  <c r="BR70" i="26"/>
  <c r="BR142" i="26"/>
  <c r="AK145" i="26"/>
  <c r="AJ143" i="26" s="1"/>
  <c r="BQ143" i="26" s="1"/>
  <c r="BT100" i="26"/>
  <c r="BX16" i="26"/>
  <c r="AS16" i="26"/>
  <c r="BZ16" i="26" s="1"/>
  <c r="AS19" i="26"/>
  <c r="BZ19" i="26" s="1"/>
  <c r="AQ19" i="26"/>
  <c r="BT58" i="26"/>
  <c r="AN59" i="26"/>
  <c r="BU59" i="26" s="1"/>
  <c r="J59" i="26" s="1"/>
  <c r="BV58" i="26"/>
  <c r="BT82" i="26"/>
  <c r="BX61" i="26"/>
  <c r="BT43" i="26"/>
  <c r="AN42" i="26"/>
  <c r="BT49" i="26"/>
  <c r="AN50" i="26"/>
  <c r="BV43" i="26"/>
  <c r="AP42" i="26"/>
  <c r="BT16" i="26"/>
  <c r="FG33" i="27" s="1"/>
  <c r="AO19" i="26"/>
  <c r="AM19" i="26"/>
  <c r="AO16" i="26"/>
  <c r="BX34" i="26"/>
  <c r="AS34" i="26"/>
  <c r="BZ34" i="26" s="1"/>
  <c r="BT130" i="26"/>
  <c r="BT13" i="26"/>
  <c r="FG30" i="27" s="1"/>
  <c r="AO13" i="26"/>
  <c r="BT61" i="26"/>
  <c r="AN62" i="26"/>
  <c r="BV61" i="26"/>
  <c r="AP62" i="26"/>
  <c r="BT85" i="26"/>
  <c r="Z45" i="7"/>
  <c r="B57" i="7" s="1"/>
  <c r="D57" i="7" s="1"/>
  <c r="E57" i="7" s="1"/>
  <c r="Z44" i="7"/>
  <c r="B56" i="7" s="1"/>
  <c r="D56" i="7" s="1"/>
  <c r="E56" i="7" s="1"/>
  <c r="D28" i="33" l="1"/>
  <c r="D35" i="33"/>
  <c r="B27" i="33"/>
  <c r="B34" i="33"/>
  <c r="B28" i="33"/>
  <c r="B35" i="33"/>
  <c r="C27" i="33"/>
  <c r="C34" i="33"/>
  <c r="C28" i="33"/>
  <c r="C35" i="33"/>
  <c r="BR28" i="26"/>
  <c r="FD45" i="27" s="1"/>
  <c r="AL131" i="26"/>
  <c r="AL132" i="26" s="1"/>
  <c r="BT46" i="26"/>
  <c r="AN44" i="26"/>
  <c r="BU44" i="26" s="1"/>
  <c r="J44" i="26" s="1"/>
  <c r="AO25" i="26"/>
  <c r="BT22" i="26"/>
  <c r="FG39" i="27" s="1"/>
  <c r="AO22" i="26"/>
  <c r="BV22" i="26" s="1"/>
  <c r="FJ39" i="27" s="1"/>
  <c r="BR94" i="26"/>
  <c r="AM97" i="26"/>
  <c r="AL98" i="26" s="1"/>
  <c r="AQ25" i="26"/>
  <c r="AS25" i="26" s="1"/>
  <c r="BZ25" i="26" s="1"/>
  <c r="FP42" i="27" s="1"/>
  <c r="BR22" i="26"/>
  <c r="AO97" i="26"/>
  <c r="AP95" i="26" s="1"/>
  <c r="BW95" i="26" s="1"/>
  <c r="L95" i="26" s="1"/>
  <c r="AA95" i="26" s="1"/>
  <c r="AK121" i="26"/>
  <c r="AJ119" i="26" s="1"/>
  <c r="BQ119" i="26" s="1"/>
  <c r="F119" i="26" s="1"/>
  <c r="U119" i="26" s="1"/>
  <c r="AS22" i="26"/>
  <c r="BZ22" i="26" s="1"/>
  <c r="FP39" i="27" s="1"/>
  <c r="FP33" i="27"/>
  <c r="FP36" i="27"/>
  <c r="AL101" i="26"/>
  <c r="AL102" i="26" s="1"/>
  <c r="AK91" i="26"/>
  <c r="AJ89" i="26" s="1"/>
  <c r="BQ89" i="26" s="1"/>
  <c r="F89" i="26" s="1"/>
  <c r="U89" i="26" s="1"/>
  <c r="AJ98" i="26"/>
  <c r="BQ98" i="26" s="1"/>
  <c r="F98" i="26" s="1"/>
  <c r="BR100" i="26"/>
  <c r="AN108" i="26"/>
  <c r="AN107" i="26" s="1"/>
  <c r="AO91" i="26"/>
  <c r="AP89" i="26" s="1"/>
  <c r="BW89" i="26" s="1"/>
  <c r="L89" i="26" s="1"/>
  <c r="AA89" i="26" s="1"/>
  <c r="AM127" i="26"/>
  <c r="AN125" i="26" s="1"/>
  <c r="BU125" i="26" s="1"/>
  <c r="J125" i="26" s="1"/>
  <c r="AP86" i="26"/>
  <c r="BW86" i="26" s="1"/>
  <c r="L86" i="26" s="1"/>
  <c r="AA86" i="26" s="1"/>
  <c r="AL146" i="26"/>
  <c r="BS146" i="26" s="1"/>
  <c r="H146" i="26" s="1"/>
  <c r="W146" i="26" s="1"/>
  <c r="AM121" i="26"/>
  <c r="AN122" i="26" s="1"/>
  <c r="AO28" i="26"/>
  <c r="AJ146" i="26"/>
  <c r="AN110" i="26"/>
  <c r="BU110" i="26" s="1"/>
  <c r="J110" i="26" s="1"/>
  <c r="AJ131" i="26"/>
  <c r="AJ132" i="26" s="1"/>
  <c r="BR130" i="26"/>
  <c r="AL35" i="26"/>
  <c r="AL36" i="26" s="1"/>
  <c r="BS36" i="26" s="1"/>
  <c r="H36" i="26" s="1"/>
  <c r="BR34" i="26"/>
  <c r="FD51" i="27" s="1"/>
  <c r="AP101" i="26"/>
  <c r="AP102" i="26" s="1"/>
  <c r="BW102" i="26" s="1"/>
  <c r="L102" i="26" s="1"/>
  <c r="F156" i="26"/>
  <c r="U155" i="26" s="1"/>
  <c r="BS156" i="26"/>
  <c r="BS155" i="26" s="1"/>
  <c r="AM31" i="26"/>
  <c r="AL32" i="26" s="1"/>
  <c r="BT28" i="26"/>
  <c r="FG45" i="27" s="1"/>
  <c r="AJ12" i="26"/>
  <c r="AJ11" i="26" s="1"/>
  <c r="BQ11" i="26" s="1"/>
  <c r="F11" i="26" s="1"/>
  <c r="AL12" i="26"/>
  <c r="AL11" i="26" s="1"/>
  <c r="BS11" i="26" s="1"/>
  <c r="H11" i="26" s="1"/>
  <c r="BV100" i="26"/>
  <c r="AL108" i="26"/>
  <c r="AL107" i="26" s="1"/>
  <c r="BS107" i="26" s="1"/>
  <c r="H107" i="26" s="1"/>
  <c r="AL86" i="26"/>
  <c r="BS86" i="26" s="1"/>
  <c r="H86" i="26" s="1"/>
  <c r="AM91" i="26"/>
  <c r="AK127" i="26"/>
  <c r="BR127" i="26" s="1"/>
  <c r="BR79" i="26"/>
  <c r="AP59" i="26"/>
  <c r="BW59" i="26" s="1"/>
  <c r="AL78" i="26"/>
  <c r="AL77" i="26" s="1"/>
  <c r="BS77" i="26" s="1"/>
  <c r="H77" i="26" s="1"/>
  <c r="AR57" i="26"/>
  <c r="AT57" i="26" s="1"/>
  <c r="AJ80" i="26"/>
  <c r="BQ80" i="26" s="1"/>
  <c r="AR62" i="26"/>
  <c r="AT62" i="26" s="1"/>
  <c r="AJ62" i="26"/>
  <c r="AJ63" i="26" s="1"/>
  <c r="BQ63" i="26" s="1"/>
  <c r="F63" i="26" s="1"/>
  <c r="BR61" i="26"/>
  <c r="AJ50" i="26"/>
  <c r="AJ51" i="26" s="1"/>
  <c r="BQ51" i="26" s="1"/>
  <c r="F51" i="26" s="1"/>
  <c r="AL50" i="26"/>
  <c r="AL51" i="26" s="1"/>
  <c r="D21" i="41"/>
  <c r="D22" i="41"/>
  <c r="D20" i="32"/>
  <c r="D22" i="32"/>
  <c r="AJ59" i="26"/>
  <c r="BR109" i="26"/>
  <c r="BR16" i="26"/>
  <c r="AJ110" i="26"/>
  <c r="BQ110" i="26" s="1"/>
  <c r="D22" i="13"/>
  <c r="D23" i="13" s="1"/>
  <c r="AR59" i="26"/>
  <c r="BY59" i="26" s="1"/>
  <c r="N59" i="26" s="1"/>
  <c r="AP57" i="26"/>
  <c r="AP56" i="26" s="1"/>
  <c r="BW56" i="26" s="1"/>
  <c r="L56" i="26" s="1"/>
  <c r="AP83" i="26"/>
  <c r="BW83" i="26" s="1"/>
  <c r="AR42" i="26"/>
  <c r="AT42" i="26" s="1"/>
  <c r="AR50" i="26"/>
  <c r="AT50" i="26" s="1"/>
  <c r="BX49" i="26"/>
  <c r="EL32" i="27"/>
  <c r="AP78" i="26"/>
  <c r="AP77" i="26" s="1"/>
  <c r="BW77" i="26" s="1"/>
  <c r="L77" i="26" s="1"/>
  <c r="AJ42" i="26"/>
  <c r="AJ41" i="26" s="1"/>
  <c r="BQ41" i="26" s="1"/>
  <c r="F41" i="26" s="1"/>
  <c r="AL47" i="26"/>
  <c r="BS47" i="26" s="1"/>
  <c r="H47" i="26" s="1"/>
  <c r="BV85" i="26"/>
  <c r="AJ47" i="26"/>
  <c r="BQ47" i="26" s="1"/>
  <c r="AN78" i="26"/>
  <c r="AN77" i="26" s="1"/>
  <c r="BU77" i="26" s="1"/>
  <c r="J77" i="26" s="1"/>
  <c r="BR82" i="26"/>
  <c r="AN86" i="26"/>
  <c r="BU86" i="26" s="1"/>
  <c r="J86" i="26" s="1"/>
  <c r="AL80" i="26"/>
  <c r="BS80" i="26" s="1"/>
  <c r="H80" i="26" s="1"/>
  <c r="D21" i="13"/>
  <c r="AN113" i="26"/>
  <c r="BU113" i="26" s="1"/>
  <c r="J113" i="26" s="1"/>
  <c r="AJ44" i="26"/>
  <c r="BQ44" i="26" s="1"/>
  <c r="AN83" i="26"/>
  <c r="BU83" i="26" s="1"/>
  <c r="J83" i="26" s="1"/>
  <c r="AL42" i="26"/>
  <c r="AL41" i="26" s="1"/>
  <c r="BS41" i="26" s="1"/>
  <c r="H41" i="26" s="1"/>
  <c r="AL44" i="26"/>
  <c r="BS44" i="26" s="1"/>
  <c r="H44" i="26" s="1"/>
  <c r="BX13" i="26"/>
  <c r="FM30" i="27" s="1"/>
  <c r="AL59" i="26"/>
  <c r="BS59" i="26" s="1"/>
  <c r="H59" i="26" s="1"/>
  <c r="BR58" i="26"/>
  <c r="BR112" i="26"/>
  <c r="AN116" i="26"/>
  <c r="BU116" i="26" s="1"/>
  <c r="J116" i="26" s="1"/>
  <c r="AL57" i="26"/>
  <c r="AL56" i="26" s="1"/>
  <c r="BS56" i="26" s="1"/>
  <c r="H56" i="26" s="1"/>
  <c r="AJ57" i="26"/>
  <c r="AJ56" i="26" s="1"/>
  <c r="BQ56" i="26" s="1"/>
  <c r="F56" i="26" s="1"/>
  <c r="AJ14" i="26"/>
  <c r="AL14" i="26"/>
  <c r="AJ113" i="26"/>
  <c r="BQ113" i="26" s="1"/>
  <c r="AL116" i="26"/>
  <c r="BS116" i="26" s="1"/>
  <c r="H116" i="26" s="1"/>
  <c r="AJ116" i="26"/>
  <c r="BQ116" i="26" s="1"/>
  <c r="AN80" i="26"/>
  <c r="BU80" i="26" s="1"/>
  <c r="J80" i="26" s="1"/>
  <c r="BV82" i="26"/>
  <c r="AP80" i="26"/>
  <c r="BW80" i="26" s="1"/>
  <c r="EL33" i="27"/>
  <c r="BJ155" i="43"/>
  <c r="F156" i="43"/>
  <c r="U156" i="43" s="1"/>
  <c r="U155" i="43" s="1"/>
  <c r="U154" i="43" s="1"/>
  <c r="BR85" i="26"/>
  <c r="AL83" i="26"/>
  <c r="BS83" i="26" s="1"/>
  <c r="H83" i="26" s="1"/>
  <c r="AJ83" i="26"/>
  <c r="BQ83" i="26" s="1"/>
  <c r="AJ86" i="26"/>
  <c r="BQ86" i="26" s="1"/>
  <c r="AL113" i="26"/>
  <c r="BS113" i="26" s="1"/>
  <c r="H113" i="26" s="1"/>
  <c r="BT112" i="26"/>
  <c r="AL110" i="26"/>
  <c r="BS110" i="26" s="1"/>
  <c r="H110" i="26" s="1"/>
  <c r="BD69" i="18"/>
  <c r="BD71" i="18"/>
  <c r="BQ155" i="26"/>
  <c r="FX29" i="27"/>
  <c r="H95" i="18"/>
  <c r="AC95" i="18" s="1"/>
  <c r="J95" i="18"/>
  <c r="AE95" i="18" s="1"/>
  <c r="F128" i="18"/>
  <c r="AA128" i="18" s="1"/>
  <c r="F98" i="18"/>
  <c r="AA98" i="18" s="1"/>
  <c r="H128" i="18"/>
  <c r="AC128" i="18" s="1"/>
  <c r="AC131" i="18"/>
  <c r="AO29" i="18"/>
  <c r="U140" i="26"/>
  <c r="L95" i="18"/>
  <c r="AG95" i="18" s="1"/>
  <c r="AE71" i="18"/>
  <c r="T59" i="18"/>
  <c r="AO59" i="18" s="1"/>
  <c r="T44" i="18"/>
  <c r="AO44" i="18" s="1"/>
  <c r="V11" i="18"/>
  <c r="AQ11" i="18" s="1"/>
  <c r="F95" i="18"/>
  <c r="AA95" i="18" s="1"/>
  <c r="F125" i="18"/>
  <c r="AA125" i="18" s="1"/>
  <c r="J17" i="18"/>
  <c r="AE17" i="18" s="1"/>
  <c r="R29" i="18"/>
  <c r="AM29" i="18" s="1"/>
  <c r="H68" i="18"/>
  <c r="AC68" i="18" s="1"/>
  <c r="F29" i="18"/>
  <c r="AA29" i="18" s="1"/>
  <c r="J128" i="18"/>
  <c r="AE128" i="18" s="1"/>
  <c r="J26" i="18"/>
  <c r="AE26" i="18" s="1"/>
  <c r="AA101" i="18"/>
  <c r="T56" i="18"/>
  <c r="AO56" i="18" s="1"/>
  <c r="W140" i="26"/>
  <c r="U68" i="26"/>
  <c r="F32" i="18"/>
  <c r="AA32" i="18" s="1"/>
  <c r="J125" i="18"/>
  <c r="AE125" i="18" s="1"/>
  <c r="N29" i="18"/>
  <c r="AI29" i="18" s="1"/>
  <c r="H29" i="18"/>
  <c r="AC29" i="18" s="1"/>
  <c r="J23" i="18"/>
  <c r="AE23" i="18" s="1"/>
  <c r="P29" i="18"/>
  <c r="AK29" i="18" s="1"/>
  <c r="L98" i="18"/>
  <c r="AG98" i="18" s="1"/>
  <c r="J20" i="18"/>
  <c r="AE20" i="18" s="1"/>
  <c r="H125" i="18"/>
  <c r="AC125" i="18" s="1"/>
  <c r="AA131" i="18"/>
  <c r="T47" i="18"/>
  <c r="AO47" i="18" s="1"/>
  <c r="U71" i="26"/>
  <c r="F143" i="26"/>
  <c r="AW139" i="18"/>
  <c r="AW145" i="18" s="1"/>
  <c r="AW154" i="18"/>
  <c r="AK151" i="26"/>
  <c r="AL143" i="26"/>
  <c r="BS143" i="26" s="1"/>
  <c r="H143" i="26" s="1"/>
  <c r="U23" i="26"/>
  <c r="BU47" i="26"/>
  <c r="J47" i="26" s="1"/>
  <c r="AM11" i="18"/>
  <c r="DF29" i="18"/>
  <c r="V29" i="18" s="1"/>
  <c r="CT14" i="18"/>
  <c r="CT68" i="18"/>
  <c r="FS39" i="27"/>
  <c r="FS42" i="27"/>
  <c r="FS33" i="27"/>
  <c r="FS36" i="27"/>
  <c r="FV36" i="27"/>
  <c r="BC49" i="18"/>
  <c r="CW49" i="18" s="1"/>
  <c r="BG49" i="18"/>
  <c r="DA49" i="18" s="1"/>
  <c r="BE49" i="18"/>
  <c r="CY49" i="18" s="1"/>
  <c r="BA49" i="18"/>
  <c r="AY49" i="18"/>
  <c r="BS137" i="26"/>
  <c r="H137" i="26" s="1"/>
  <c r="DF59" i="18"/>
  <c r="DF47" i="18"/>
  <c r="DF44" i="18"/>
  <c r="DF56" i="18"/>
  <c r="DD41" i="18"/>
  <c r="BL41" i="18"/>
  <c r="DD32" i="18"/>
  <c r="BL32" i="18"/>
  <c r="DD14" i="18"/>
  <c r="BL14" i="18"/>
  <c r="DD63" i="18"/>
  <c r="T63" i="18" s="1"/>
  <c r="BL63" i="18"/>
  <c r="DD51" i="18"/>
  <c r="T51" i="18" s="1"/>
  <c r="BL51" i="18"/>
  <c r="CV11" i="18"/>
  <c r="BD11" i="18"/>
  <c r="CX11" i="18" s="1"/>
  <c r="BQ71" i="26"/>
  <c r="AR17" i="26"/>
  <c r="CV69" i="18"/>
  <c r="BB68" i="18"/>
  <c r="CV68" i="18" s="1"/>
  <c r="BB72" i="18"/>
  <c r="CV72" i="18" s="1"/>
  <c r="L72" i="18" s="1"/>
  <c r="CV71" i="18"/>
  <c r="CY70" i="18"/>
  <c r="BG70" i="18"/>
  <c r="BF11" i="18"/>
  <c r="CZ11" i="18" s="1"/>
  <c r="BB17" i="18"/>
  <c r="CV17" i="18" s="1"/>
  <c r="CW16" i="18"/>
  <c r="FM33" i="27" s="1"/>
  <c r="BB14" i="18"/>
  <c r="CV14" i="18" s="1"/>
  <c r="AQ28" i="26"/>
  <c r="AS46" i="26"/>
  <c r="BZ46" i="26" s="1"/>
  <c r="AQ46" i="26"/>
  <c r="AW13" i="18"/>
  <c r="AY109" i="18"/>
  <c r="AW109" i="18"/>
  <c r="AW58" i="18"/>
  <c r="BA79" i="18"/>
  <c r="AW79" i="18"/>
  <c r="AW61" i="18"/>
  <c r="DD35" i="18"/>
  <c r="BJ36" i="18"/>
  <c r="CW25" i="18"/>
  <c r="BB26" i="18"/>
  <c r="CV26" i="18" s="1"/>
  <c r="DD17" i="18"/>
  <c r="T17" i="18" s="1"/>
  <c r="AO17" i="18" s="1"/>
  <c r="AW46" i="18"/>
  <c r="AY112" i="18"/>
  <c r="AW16" i="18"/>
  <c r="AW82" i="18"/>
  <c r="AW112" i="18"/>
  <c r="BA82" i="18"/>
  <c r="CW22" i="18"/>
  <c r="FM39" i="27" s="1"/>
  <c r="BB23" i="18"/>
  <c r="CV23" i="18" s="1"/>
  <c r="BB20" i="18"/>
  <c r="CV20" i="18" s="1"/>
  <c r="BA61" i="18"/>
  <c r="AY100" i="18"/>
  <c r="BE61" i="18"/>
  <c r="CY61" i="18" s="1"/>
  <c r="BG61" i="18"/>
  <c r="DA61" i="18" s="1"/>
  <c r="CW43" i="18"/>
  <c r="AY34" i="18"/>
  <c r="AY58" i="18"/>
  <c r="BE58" i="18"/>
  <c r="CY58" i="18" s="1"/>
  <c r="BG58" i="18"/>
  <c r="DA58" i="18" s="1"/>
  <c r="BC58" i="18"/>
  <c r="CW58" i="18" s="1"/>
  <c r="AY61" i="18"/>
  <c r="BA58" i="18"/>
  <c r="CY43" i="18"/>
  <c r="DA43" i="18"/>
  <c r="BC61" i="18"/>
  <c r="CW61" i="18" s="1"/>
  <c r="AW88" i="18"/>
  <c r="BA88" i="18"/>
  <c r="AW22" i="18"/>
  <c r="AY118" i="18"/>
  <c r="AW118" i="18"/>
  <c r="GX31" i="27"/>
  <c r="BI22" i="18"/>
  <c r="GX44" i="27"/>
  <c r="CT132" i="18"/>
  <c r="J132" i="18" s="1"/>
  <c r="BQ69" i="26"/>
  <c r="AN14" i="26"/>
  <c r="AL23" i="26"/>
  <c r="AN12" i="26"/>
  <c r="AN11" i="26" s="1"/>
  <c r="BU11" i="26" s="1"/>
  <c r="J11" i="26" s="1"/>
  <c r="AN17" i="26"/>
  <c r="BU17" i="26" s="1"/>
  <c r="J17" i="26" s="1"/>
  <c r="AR14" i="26"/>
  <c r="AL17" i="26"/>
  <c r="BS17" i="26" s="1"/>
  <c r="H17" i="26" s="1"/>
  <c r="AN36" i="26"/>
  <c r="AP63" i="26"/>
  <c r="BW63" i="26" s="1"/>
  <c r="L63" i="26" s="1"/>
  <c r="AN51" i="26"/>
  <c r="BU51" i="26" s="1"/>
  <c r="J51" i="26" s="1"/>
  <c r="BR97" i="26"/>
  <c r="BR31" i="26"/>
  <c r="FD48" i="27" s="1"/>
  <c r="AJ32" i="26"/>
  <c r="BQ32" i="26" s="1"/>
  <c r="AJ102" i="26"/>
  <c r="BQ102" i="26" s="1"/>
  <c r="F102" i="26" s="1"/>
  <c r="BX19" i="26"/>
  <c r="FM36" i="27" s="1"/>
  <c r="AN102" i="26"/>
  <c r="BU102" i="26" s="1"/>
  <c r="J102" i="26" s="1"/>
  <c r="AL63" i="26"/>
  <c r="AJ36" i="26"/>
  <c r="BQ36" i="26" s="1"/>
  <c r="F36" i="26" s="1"/>
  <c r="BV31" i="26"/>
  <c r="FJ48" i="27" s="1"/>
  <c r="BR25" i="26"/>
  <c r="AL26" i="26"/>
  <c r="AJ26" i="26"/>
  <c r="BQ26" i="26" s="1"/>
  <c r="F26" i="26" s="1"/>
  <c r="AR12" i="26"/>
  <c r="BQ137" i="26"/>
  <c r="F137" i="26" s="1"/>
  <c r="BV16" i="26"/>
  <c r="FJ33" i="27" s="1"/>
  <c r="AP17" i="26"/>
  <c r="BW17" i="26" s="1"/>
  <c r="L17" i="26" s="1"/>
  <c r="AP41" i="26"/>
  <c r="BW41" i="26" s="1"/>
  <c r="L41" i="26" s="1"/>
  <c r="AJ17" i="26"/>
  <c r="BQ17" i="26" s="1"/>
  <c r="F17" i="26" s="1"/>
  <c r="BT25" i="26"/>
  <c r="FG42" i="27" s="1"/>
  <c r="AN63" i="26"/>
  <c r="BU63" i="26" s="1"/>
  <c r="J63" i="26" s="1"/>
  <c r="BV13" i="26"/>
  <c r="FJ30" i="27" s="1"/>
  <c r="AP14" i="26"/>
  <c r="BW14" i="26" s="1"/>
  <c r="L14" i="26" s="1"/>
  <c r="AP12" i="26"/>
  <c r="BT19" i="26"/>
  <c r="FG36" i="27" s="1"/>
  <c r="AN20" i="26"/>
  <c r="BU20" i="26" s="1"/>
  <c r="J20" i="26" s="1"/>
  <c r="AJ29" i="26"/>
  <c r="BQ29" i="26" s="1"/>
  <c r="AN56" i="26"/>
  <c r="BU56" i="26" s="1"/>
  <c r="J56" i="26" s="1"/>
  <c r="BR145" i="26"/>
  <c r="AP51" i="26"/>
  <c r="BW51" i="26" s="1"/>
  <c r="L51" i="26" s="1"/>
  <c r="BV25" i="26"/>
  <c r="FJ42" i="27" s="1"/>
  <c r="AP35" i="26"/>
  <c r="BV34" i="26"/>
  <c r="AR35" i="26"/>
  <c r="AJ107" i="26"/>
  <c r="BV19" i="26"/>
  <c r="FJ36" i="27" s="1"/>
  <c r="AN41" i="26"/>
  <c r="BU41" i="26" s="1"/>
  <c r="J41" i="26" s="1"/>
  <c r="AJ95" i="26"/>
  <c r="BQ95" i="26" s="1"/>
  <c r="F95" i="26" s="1"/>
  <c r="BR19" i="26"/>
  <c r="AL20" i="26"/>
  <c r="BS20" i="26" s="1"/>
  <c r="H20" i="26" s="1"/>
  <c r="AJ20" i="26"/>
  <c r="BQ20" i="26" s="1"/>
  <c r="F20" i="26" s="1"/>
  <c r="C36" i="33" l="1"/>
  <c r="C38" i="33"/>
  <c r="C37" i="33"/>
  <c r="C31" i="33"/>
  <c r="C30" i="33"/>
  <c r="C42" i="33" s="1"/>
  <c r="CH2" i="43" s="1"/>
  <c r="C29" i="33"/>
  <c r="D21" i="32"/>
  <c r="D17" i="33"/>
  <c r="B37" i="33"/>
  <c r="B38" i="33"/>
  <c r="B36" i="33"/>
  <c r="B31" i="33"/>
  <c r="B30" i="33"/>
  <c r="B42" i="33" s="1"/>
  <c r="CP2" i="26" s="1"/>
  <c r="B29" i="33"/>
  <c r="AP20" i="26"/>
  <c r="BW20" i="26" s="1"/>
  <c r="L20" i="26" s="1"/>
  <c r="AN23" i="26"/>
  <c r="BU23" i="26" s="1"/>
  <c r="BR121" i="26"/>
  <c r="AN26" i="26"/>
  <c r="BU26" i="26" s="1"/>
  <c r="AR20" i="26"/>
  <c r="BY20" i="26" s="1"/>
  <c r="N20" i="26" s="1"/>
  <c r="BT97" i="26"/>
  <c r="AL95" i="26"/>
  <c r="BS95" i="26" s="1"/>
  <c r="H95" i="26" s="1"/>
  <c r="AJ122" i="26"/>
  <c r="BQ122" i="26" s="1"/>
  <c r="F122" i="26" s="1"/>
  <c r="U122" i="26" s="1"/>
  <c r="AP23" i="26"/>
  <c r="BW23" i="26" s="1"/>
  <c r="L23" i="26" s="1"/>
  <c r="BX25" i="26"/>
  <c r="FM42" i="27" s="1"/>
  <c r="AN95" i="26"/>
  <c r="BU95" i="26" s="1"/>
  <c r="J95" i="26" s="1"/>
  <c r="BV97" i="26"/>
  <c r="AP98" i="26"/>
  <c r="BW98" i="26" s="1"/>
  <c r="L98" i="26" s="1"/>
  <c r="AA98" i="26" s="1"/>
  <c r="AN98" i="26"/>
  <c r="BU98" i="26" s="1"/>
  <c r="J98" i="26" s="1"/>
  <c r="AJ92" i="26"/>
  <c r="BQ92" i="26" s="1"/>
  <c r="F92" i="26" s="1"/>
  <c r="U92" i="26" s="1"/>
  <c r="AN119" i="26"/>
  <c r="BU119" i="26" s="1"/>
  <c r="J119" i="26" s="1"/>
  <c r="AL29" i="26"/>
  <c r="BS29" i="26" s="1"/>
  <c r="AN32" i="26"/>
  <c r="BU32" i="26" s="1"/>
  <c r="J32" i="26" s="1"/>
  <c r="AR41" i="26"/>
  <c r="AT41" i="26" s="1"/>
  <c r="BT31" i="26"/>
  <c r="FG48" i="27" s="1"/>
  <c r="BV91" i="26"/>
  <c r="AJ125" i="26"/>
  <c r="BQ125" i="26" s="1"/>
  <c r="F125" i="26" s="1"/>
  <c r="U125" i="26" s="1"/>
  <c r="AP92" i="26"/>
  <c r="BW92" i="26" s="1"/>
  <c r="L92" i="26" s="1"/>
  <c r="AA92" i="26" s="1"/>
  <c r="AL122" i="26"/>
  <c r="BS122" i="26" s="1"/>
  <c r="H122" i="26" s="1"/>
  <c r="BT121" i="26"/>
  <c r="AL119" i="26"/>
  <c r="BS119" i="26" s="1"/>
  <c r="H119" i="26" s="1"/>
  <c r="BR91" i="26"/>
  <c r="AN128" i="26"/>
  <c r="BU128" i="26" s="1"/>
  <c r="J128" i="26" s="1"/>
  <c r="AL128" i="26"/>
  <c r="BS128" i="26" s="1"/>
  <c r="H128" i="26" s="1"/>
  <c r="AL125" i="26"/>
  <c r="BS125" i="26" s="1"/>
  <c r="H125" i="26" s="1"/>
  <c r="BT127" i="26"/>
  <c r="AL89" i="26"/>
  <c r="BS89" i="26" s="1"/>
  <c r="H89" i="26" s="1"/>
  <c r="BQ146" i="26"/>
  <c r="F146" i="26" s="1"/>
  <c r="U146" i="26" s="1"/>
  <c r="CQ145" i="18"/>
  <c r="AX146" i="18"/>
  <c r="CR146" i="18" s="1"/>
  <c r="H146" i="18" s="1"/>
  <c r="AC146" i="18" s="1"/>
  <c r="AV146" i="18"/>
  <c r="CP146" i="18" s="1"/>
  <c r="F146" i="18" s="1"/>
  <c r="AA146" i="18" s="1"/>
  <c r="AN29" i="26"/>
  <c r="BU29" i="26" s="1"/>
  <c r="BV28" i="26"/>
  <c r="FJ45" i="27" s="1"/>
  <c r="H156" i="26"/>
  <c r="W155" i="26" s="1"/>
  <c r="AP26" i="26"/>
  <c r="BW26" i="26" s="1"/>
  <c r="L26" i="26" s="1"/>
  <c r="AR63" i="26"/>
  <c r="AT63" i="26" s="1"/>
  <c r="AR51" i="26"/>
  <c r="BY51" i="26" s="1"/>
  <c r="N51" i="26" s="1"/>
  <c r="L80" i="26"/>
  <c r="AA80" i="26" s="1"/>
  <c r="F110" i="26"/>
  <c r="U110" i="26" s="1"/>
  <c r="FC53" i="27"/>
  <c r="F86" i="26"/>
  <c r="U86" i="26" s="1"/>
  <c r="U50" i="26"/>
  <c r="L59" i="26"/>
  <c r="AA59" i="26" s="1"/>
  <c r="F29" i="26"/>
  <c r="FC47" i="27" s="1"/>
  <c r="F83" i="26"/>
  <c r="U83" i="26" s="1"/>
  <c r="F116" i="26"/>
  <c r="U116" i="26" s="1"/>
  <c r="F44" i="26"/>
  <c r="U44" i="26" s="1"/>
  <c r="F47" i="26"/>
  <c r="U47" i="26" s="1"/>
  <c r="F32" i="26"/>
  <c r="FC50" i="27" s="1"/>
  <c r="L83" i="26"/>
  <c r="AA83" i="26" s="1"/>
  <c r="U62" i="26"/>
  <c r="F113" i="26"/>
  <c r="U113" i="26" s="1"/>
  <c r="BS14" i="26"/>
  <c r="H14" i="26" s="1"/>
  <c r="W14" i="26" s="1"/>
  <c r="F80" i="26"/>
  <c r="U80" i="26" s="1"/>
  <c r="BQ14" i="26"/>
  <c r="F14" i="26" s="1"/>
  <c r="U14" i="26" s="1"/>
  <c r="AN92" i="26"/>
  <c r="BU92" i="26" s="1"/>
  <c r="J92" i="26" s="1"/>
  <c r="AN89" i="26"/>
  <c r="BU89" i="26" s="1"/>
  <c r="J89" i="26" s="1"/>
  <c r="AJ152" i="26"/>
  <c r="BQ152" i="26" s="1"/>
  <c r="F152" i="26" s="1"/>
  <c r="BR151" i="26"/>
  <c r="BT91" i="26"/>
  <c r="AL92" i="26"/>
  <c r="BS92" i="26" s="1"/>
  <c r="H92" i="26" s="1"/>
  <c r="BQ50" i="26"/>
  <c r="AJ128" i="26"/>
  <c r="BQ128" i="26" s="1"/>
  <c r="AR56" i="26"/>
  <c r="BY56" i="26" s="1"/>
  <c r="N56" i="26" s="1"/>
  <c r="BQ62" i="26"/>
  <c r="BN6" i="43"/>
  <c r="EL34" i="27"/>
  <c r="AT59" i="26"/>
  <c r="CA59" i="26" s="1"/>
  <c r="P59" i="26" s="1"/>
  <c r="BQ59" i="26"/>
  <c r="F59" i="26" s="1"/>
  <c r="D23" i="41"/>
  <c r="BV5" i="26"/>
  <c r="AL69" i="26"/>
  <c r="AL68" i="26" s="1"/>
  <c r="BH69" i="18"/>
  <c r="BJ69" i="18" s="1"/>
  <c r="BH71" i="18"/>
  <c r="BJ71" i="18" s="1"/>
  <c r="BF69" i="18"/>
  <c r="BF71" i="18"/>
  <c r="AB70" i="18"/>
  <c r="CQ69" i="18" s="1"/>
  <c r="BV6" i="26"/>
  <c r="FX47" i="27"/>
  <c r="BU36" i="26"/>
  <c r="J36" i="26" s="1"/>
  <c r="FU47" i="27"/>
  <c r="AD127" i="18"/>
  <c r="CS126" i="18" s="1"/>
  <c r="AB130" i="18"/>
  <c r="CQ129" i="18" s="1"/>
  <c r="AB127" i="18"/>
  <c r="CQ126" i="18" s="1"/>
  <c r="AC59" i="26"/>
  <c r="V47" i="18"/>
  <c r="AQ47" i="18" s="1"/>
  <c r="W83" i="26"/>
  <c r="J14" i="18"/>
  <c r="AE14" i="18" s="1"/>
  <c r="Y116" i="26"/>
  <c r="W44" i="26"/>
  <c r="Y125" i="26"/>
  <c r="L20" i="18"/>
  <c r="AG20" i="18" s="1"/>
  <c r="L17" i="18"/>
  <c r="AG17" i="18" s="1"/>
  <c r="T14" i="18"/>
  <c r="AO14" i="18" s="1"/>
  <c r="V59" i="18"/>
  <c r="AQ59" i="18" s="1"/>
  <c r="AQ29" i="18"/>
  <c r="W80" i="26"/>
  <c r="U143" i="26"/>
  <c r="L23" i="18"/>
  <c r="AG23" i="18" s="1"/>
  <c r="P11" i="18"/>
  <c r="AK11" i="18" s="1"/>
  <c r="AG71" i="18"/>
  <c r="N11" i="18"/>
  <c r="AI11" i="18" s="1"/>
  <c r="W113" i="26"/>
  <c r="Y80" i="26"/>
  <c r="L68" i="18"/>
  <c r="AG68" i="18" s="1"/>
  <c r="L11" i="18"/>
  <c r="AG11" i="18" s="1"/>
  <c r="T32" i="18"/>
  <c r="AO32" i="18" s="1"/>
  <c r="Y59" i="26"/>
  <c r="W110" i="26"/>
  <c r="AA77" i="26"/>
  <c r="L26" i="18"/>
  <c r="AG26" i="18" s="1"/>
  <c r="AF28" i="18" s="1"/>
  <c r="CU27" i="18" s="1"/>
  <c r="AF27" i="18" s="1"/>
  <c r="W59" i="26"/>
  <c r="Y44" i="26"/>
  <c r="AA41" i="26"/>
  <c r="U95" i="26"/>
  <c r="U137" i="26"/>
  <c r="AO50" i="18"/>
  <c r="T41" i="18"/>
  <c r="AO41" i="18" s="1"/>
  <c r="W116" i="26"/>
  <c r="Y110" i="26"/>
  <c r="Y47" i="26"/>
  <c r="AA56" i="26"/>
  <c r="L14" i="18"/>
  <c r="AG14" i="18" s="1"/>
  <c r="V56" i="18"/>
  <c r="AQ56" i="18" s="1"/>
  <c r="W137" i="26"/>
  <c r="Y86" i="26"/>
  <c r="W47" i="26"/>
  <c r="AE131" i="18"/>
  <c r="AD130" i="18" s="1"/>
  <c r="CS129" i="18" s="1"/>
  <c r="AO62" i="18"/>
  <c r="V44" i="18"/>
  <c r="AQ44" i="18" s="1"/>
  <c r="W86" i="26"/>
  <c r="J68" i="18"/>
  <c r="AE68" i="18" s="1"/>
  <c r="AD70" i="18" s="1"/>
  <c r="Y83" i="26"/>
  <c r="Y113" i="26"/>
  <c r="W143" i="26"/>
  <c r="Y101" i="26"/>
  <c r="AA101" i="26"/>
  <c r="U101" i="26"/>
  <c r="Y62" i="26"/>
  <c r="AA62" i="26"/>
  <c r="Y50" i="26"/>
  <c r="AA50" i="26"/>
  <c r="U11" i="26"/>
  <c r="CQ154" i="18"/>
  <c r="AX155" i="18"/>
  <c r="AV155" i="18"/>
  <c r="AV152" i="18"/>
  <c r="CP152" i="18" s="1"/>
  <c r="F152" i="18" s="1"/>
  <c r="AA152" i="18" s="1"/>
  <c r="AX152" i="18"/>
  <c r="CR152" i="18" s="1"/>
  <c r="H152" i="18" s="1"/>
  <c r="AC152" i="18" s="1"/>
  <c r="AJ149" i="26"/>
  <c r="DD36" i="18"/>
  <c r="T36" i="18" s="1"/>
  <c r="BL36" i="18"/>
  <c r="AL152" i="26"/>
  <c r="BS152" i="26" s="1"/>
  <c r="H152" i="26" s="1"/>
  <c r="AL71" i="26"/>
  <c r="AL72" i="26" s="1"/>
  <c r="U17" i="26"/>
  <c r="AL149" i="26"/>
  <c r="U26" i="26"/>
  <c r="U20" i="26"/>
  <c r="U56" i="26"/>
  <c r="U98" i="26"/>
  <c r="BU107" i="26"/>
  <c r="J107" i="26" s="1"/>
  <c r="BU122" i="26"/>
  <c r="J122" i="26" s="1"/>
  <c r="BS98" i="26"/>
  <c r="H98" i="26" s="1"/>
  <c r="BS23" i="26"/>
  <c r="H23" i="26" s="1"/>
  <c r="FI38" i="27"/>
  <c r="BU14" i="26"/>
  <c r="BY14" i="26"/>
  <c r="N14" i="26" s="1"/>
  <c r="U41" i="26"/>
  <c r="DF35" i="18"/>
  <c r="FI29" i="27"/>
  <c r="BS51" i="26"/>
  <c r="H51" i="26" s="1"/>
  <c r="BS26" i="26"/>
  <c r="H26" i="26" s="1"/>
  <c r="BS138" i="26"/>
  <c r="BS32" i="26"/>
  <c r="H32" i="26" s="1"/>
  <c r="DF17" i="18"/>
  <c r="V17" i="18" s="1"/>
  <c r="DF14" i="18"/>
  <c r="DF51" i="18"/>
  <c r="V51" i="18" s="1"/>
  <c r="DF41" i="18"/>
  <c r="DF63" i="18"/>
  <c r="V63" i="18" s="1"/>
  <c r="DF32" i="18"/>
  <c r="AT14" i="26"/>
  <c r="BQ101" i="26"/>
  <c r="BW101" i="26"/>
  <c r="BQ35" i="26"/>
  <c r="BU101" i="26"/>
  <c r="BW50" i="26"/>
  <c r="BU50" i="26"/>
  <c r="BW62" i="26"/>
  <c r="BW57" i="26"/>
  <c r="BW78" i="26"/>
  <c r="DA70" i="18"/>
  <c r="CX69" i="18"/>
  <c r="BD68" i="18"/>
  <c r="CX68" i="18" s="1"/>
  <c r="BF17" i="18"/>
  <c r="CZ17" i="18" s="1"/>
  <c r="BD72" i="18"/>
  <c r="CX72" i="18" s="1"/>
  <c r="N72" i="18" s="1"/>
  <c r="CX71" i="18"/>
  <c r="BD17" i="18"/>
  <c r="CX17" i="18" s="1"/>
  <c r="BH17" i="18"/>
  <c r="DB17" i="18" s="1"/>
  <c r="BH14" i="18"/>
  <c r="DB14" i="18" s="1"/>
  <c r="BD14" i="18"/>
  <c r="BF14" i="18"/>
  <c r="CZ14" i="18" s="1"/>
  <c r="AS31" i="26"/>
  <c r="BZ31" i="26" s="1"/>
  <c r="FP48" i="27" s="1"/>
  <c r="AS28" i="26"/>
  <c r="AR26" i="26" s="1"/>
  <c r="BX28" i="26"/>
  <c r="FM45" i="27" s="1"/>
  <c r="AQ31" i="26"/>
  <c r="AP47" i="26"/>
  <c r="BW47" i="26" s="1"/>
  <c r="L47" i="26" s="1"/>
  <c r="BX46" i="26"/>
  <c r="AR44" i="26"/>
  <c r="AR47" i="26"/>
  <c r="AP44" i="26"/>
  <c r="AN69" i="26"/>
  <c r="BT70" i="26"/>
  <c r="BK22" i="18"/>
  <c r="DE22" i="18" s="1"/>
  <c r="BI25" i="18"/>
  <c r="DC22" i="18"/>
  <c r="CQ118" i="18"/>
  <c r="AW121" i="18"/>
  <c r="CQ88" i="18"/>
  <c r="AW91" i="18"/>
  <c r="AX89" i="18" s="1"/>
  <c r="CR89" i="18" s="1"/>
  <c r="AX59" i="18"/>
  <c r="CR59" i="18" s="1"/>
  <c r="AZ62" i="18"/>
  <c r="CS61" i="18"/>
  <c r="AZ57" i="18"/>
  <c r="CS58" i="18"/>
  <c r="AZ59" i="18"/>
  <c r="CT59" i="18" s="1"/>
  <c r="BB50" i="18"/>
  <c r="CU49" i="18"/>
  <c r="BB47" i="18"/>
  <c r="AZ42" i="18"/>
  <c r="CS43" i="18"/>
  <c r="AZ44" i="18"/>
  <c r="BD23" i="18"/>
  <c r="CX23" i="18" s="1"/>
  <c r="BH23" i="18"/>
  <c r="DB23" i="18" s="1"/>
  <c r="BF23" i="18"/>
  <c r="CZ23" i="18" s="1"/>
  <c r="BB80" i="18"/>
  <c r="CV80" i="18" s="1"/>
  <c r="CU82" i="18"/>
  <c r="BA85" i="18"/>
  <c r="AZ83" i="18" s="1"/>
  <c r="CT83" i="18" s="1"/>
  <c r="AY115" i="18"/>
  <c r="CS112" i="18"/>
  <c r="BH26" i="18"/>
  <c r="DB26" i="18" s="1"/>
  <c r="BD26" i="18"/>
  <c r="CX26" i="18" s="1"/>
  <c r="BF26" i="18"/>
  <c r="CZ26" i="18" s="1"/>
  <c r="AZ78" i="18"/>
  <c r="BB78" i="18"/>
  <c r="CU79" i="18"/>
  <c r="AZ80" i="18"/>
  <c r="CT80" i="18" s="1"/>
  <c r="AX44" i="18"/>
  <c r="CR44" i="18" s="1"/>
  <c r="AV42" i="18"/>
  <c r="CQ43" i="18"/>
  <c r="AV44" i="18"/>
  <c r="CP44" i="18" s="1"/>
  <c r="AX42" i="18"/>
  <c r="AY121" i="18"/>
  <c r="CS118" i="18"/>
  <c r="AZ50" i="18"/>
  <c r="CS49" i="18"/>
  <c r="AZ47" i="18"/>
  <c r="BA34" i="18"/>
  <c r="AZ32" i="18" s="1"/>
  <c r="CT32" i="18" s="1"/>
  <c r="CS34" i="18"/>
  <c r="FG51" i="27" s="1"/>
  <c r="AX35" i="18"/>
  <c r="AX32" i="18"/>
  <c r="CR32" i="18" s="1"/>
  <c r="CU61" i="18"/>
  <c r="BB62" i="18"/>
  <c r="AW115" i="18"/>
  <c r="CQ112" i="18"/>
  <c r="AX47" i="18"/>
  <c r="AV47" i="18"/>
  <c r="CP47" i="18" s="1"/>
  <c r="CQ46" i="18"/>
  <c r="CQ61" i="18"/>
  <c r="AX62" i="18"/>
  <c r="AV62" i="18"/>
  <c r="CQ58" i="18"/>
  <c r="AV59" i="18"/>
  <c r="CP59" i="18" s="1"/>
  <c r="AV57" i="18"/>
  <c r="AX57" i="18"/>
  <c r="CQ13" i="18"/>
  <c r="FD30" i="27" s="1"/>
  <c r="AX14" i="18"/>
  <c r="AV12" i="18"/>
  <c r="AX12" i="18"/>
  <c r="AV14" i="18"/>
  <c r="CP14" i="18" s="1"/>
  <c r="AX140" i="18"/>
  <c r="CR140" i="18" s="1"/>
  <c r="H140" i="18" s="1"/>
  <c r="AC140" i="18" s="1"/>
  <c r="AX138" i="18"/>
  <c r="AV138" i="18"/>
  <c r="CQ139" i="18"/>
  <c r="AV140" i="18"/>
  <c r="CP140" i="18" s="1"/>
  <c r="F140" i="18" s="1"/>
  <c r="AA140" i="18" s="1"/>
  <c r="AW25" i="18"/>
  <c r="AX23" i="18" s="1"/>
  <c r="CR23" i="18" s="1"/>
  <c r="CQ22" i="18"/>
  <c r="FD39" i="27" s="1"/>
  <c r="AZ101" i="18"/>
  <c r="CS100" i="18"/>
  <c r="AX101" i="18"/>
  <c r="AZ98" i="18"/>
  <c r="CT98" i="18" s="1"/>
  <c r="AX98" i="18"/>
  <c r="CR98" i="18" s="1"/>
  <c r="AW85" i="18"/>
  <c r="AX83" i="18" s="1"/>
  <c r="CR83" i="18" s="1"/>
  <c r="CQ82" i="18"/>
  <c r="CQ49" i="18"/>
  <c r="AX50" i="18"/>
  <c r="AV50" i="18"/>
  <c r="AX110" i="18"/>
  <c r="CQ109" i="18"/>
  <c r="AV108" i="18"/>
  <c r="AX108" i="18"/>
  <c r="AV110" i="18"/>
  <c r="CP110" i="18" s="1"/>
  <c r="CU88" i="18"/>
  <c r="BA91" i="18"/>
  <c r="AZ89" i="18" s="1"/>
  <c r="CT89" i="18" s="1"/>
  <c r="CU58" i="18"/>
  <c r="BB59" i="18"/>
  <c r="BB57" i="18"/>
  <c r="CU43" i="18"/>
  <c r="BB42" i="18"/>
  <c r="BB44" i="18"/>
  <c r="BF20" i="18"/>
  <c r="CZ20" i="18" s="1"/>
  <c r="BD20" i="18"/>
  <c r="CX20" i="18" s="1"/>
  <c r="BH20" i="18"/>
  <c r="DB20" i="18" s="1"/>
  <c r="AW19" i="18"/>
  <c r="AX17" i="18" s="1"/>
  <c r="CQ16" i="18"/>
  <c r="FD33" i="27" s="1"/>
  <c r="CQ79" i="18"/>
  <c r="AX78" i="18"/>
  <c r="AV80" i="18"/>
  <c r="CP80" i="18" s="1"/>
  <c r="AV78" i="18"/>
  <c r="AX80" i="18"/>
  <c r="AZ108" i="18"/>
  <c r="AZ110" i="18"/>
  <c r="CT110" i="18" s="1"/>
  <c r="CS109" i="18"/>
  <c r="BY17" i="26"/>
  <c r="N17" i="26" s="1"/>
  <c r="AT17" i="26"/>
  <c r="BQ57" i="26"/>
  <c r="BQ107" i="26"/>
  <c r="F107" i="26" s="1"/>
  <c r="AP36" i="26"/>
  <c r="BW36" i="26" s="1"/>
  <c r="L36" i="26" s="1"/>
  <c r="AP11" i="26"/>
  <c r="BW11" i="26" s="1"/>
  <c r="BU62" i="26"/>
  <c r="BW42" i="26"/>
  <c r="BQ138" i="26"/>
  <c r="BS102" i="26"/>
  <c r="H102" i="26" s="1"/>
  <c r="AT35" i="26"/>
  <c r="AR36" i="26"/>
  <c r="AT12" i="26"/>
  <c r="AR11" i="26"/>
  <c r="BS63" i="26"/>
  <c r="H63" i="26" s="1"/>
  <c r="BQ77" i="26"/>
  <c r="F77" i="26" s="1"/>
  <c r="AR23" i="26"/>
  <c r="BQ42" i="26"/>
  <c r="D27" i="33" l="1"/>
  <c r="D34" i="33"/>
  <c r="AT20" i="26"/>
  <c r="BY41" i="26"/>
  <c r="N41" i="26" s="1"/>
  <c r="BY63" i="26"/>
  <c r="N63" i="26" s="1"/>
  <c r="AC62" i="26" s="1"/>
  <c r="AB61" i="26" s="1"/>
  <c r="BX60" i="26" s="1"/>
  <c r="AB62" i="26" s="1"/>
  <c r="AT56" i="26"/>
  <c r="AT51" i="26"/>
  <c r="AB142" i="18"/>
  <c r="CQ141" i="18" s="1"/>
  <c r="AV156" i="18"/>
  <c r="CP156" i="18" s="1"/>
  <c r="F156" i="18" s="1"/>
  <c r="AA155" i="18" s="1"/>
  <c r="CP155" i="18"/>
  <c r="AX156" i="18"/>
  <c r="CR156" i="18" s="1"/>
  <c r="H156" i="18" s="1"/>
  <c r="AC155" i="18" s="1"/>
  <c r="CR155" i="18"/>
  <c r="AB151" i="18"/>
  <c r="CQ150" i="18" s="1"/>
  <c r="AB148" i="18"/>
  <c r="AB145" i="18"/>
  <c r="BS149" i="26"/>
  <c r="H149" i="26" s="1"/>
  <c r="W149" i="26" s="1"/>
  <c r="BQ149" i="26"/>
  <c r="F149" i="26" s="1"/>
  <c r="U149" i="26" s="1"/>
  <c r="V145" i="26"/>
  <c r="V142" i="26"/>
  <c r="BR141" i="26" s="1"/>
  <c r="U32" i="26"/>
  <c r="J29" i="26"/>
  <c r="FI47" i="27" s="1"/>
  <c r="L11" i="26"/>
  <c r="FL29" i="27" s="1"/>
  <c r="J23" i="26"/>
  <c r="FI41" i="27" s="1"/>
  <c r="J26" i="26"/>
  <c r="Y26" i="26" s="1"/>
  <c r="F128" i="26"/>
  <c r="U128" i="26" s="1"/>
  <c r="H29" i="26"/>
  <c r="FF47" i="27" s="1"/>
  <c r="J14" i="26"/>
  <c r="FI32" i="27" s="1"/>
  <c r="V139" i="26"/>
  <c r="BR138" i="26" s="1"/>
  <c r="DB71" i="18"/>
  <c r="DD71" i="18" s="1"/>
  <c r="U59" i="26"/>
  <c r="BH68" i="18"/>
  <c r="DB68" i="18" s="1"/>
  <c r="R68" i="18" s="1"/>
  <c r="AM68" i="18" s="1"/>
  <c r="BN5" i="43"/>
  <c r="BU35" i="26"/>
  <c r="DB69" i="18"/>
  <c r="DD69" i="18" s="1"/>
  <c r="BH72" i="18"/>
  <c r="BJ72" i="18" s="1"/>
  <c r="AA14" i="26"/>
  <c r="FL32" i="27"/>
  <c r="Y17" i="26"/>
  <c r="FI35" i="27"/>
  <c r="AA20" i="26"/>
  <c r="FL38" i="27"/>
  <c r="AA26" i="26"/>
  <c r="FL44" i="27"/>
  <c r="AA23" i="26"/>
  <c r="FL41" i="27"/>
  <c r="AA17" i="26"/>
  <c r="FL35" i="27"/>
  <c r="FX35" i="27"/>
  <c r="W17" i="26"/>
  <c r="V16" i="26" s="1"/>
  <c r="BR15" i="26" s="1"/>
  <c r="V17" i="26" s="1"/>
  <c r="FX50" i="27"/>
  <c r="AF70" i="18"/>
  <c r="CU69" i="18" s="1"/>
  <c r="AP58" i="18"/>
  <c r="DE57" i="18" s="1"/>
  <c r="AP46" i="18"/>
  <c r="DE45" i="18" s="1"/>
  <c r="AF22" i="18"/>
  <c r="CU21" i="18" s="1"/>
  <c r="AF21" i="18" s="1"/>
  <c r="X46" i="26"/>
  <c r="BT45" i="26" s="1"/>
  <c r="X47" i="26" s="1"/>
  <c r="AF25" i="18"/>
  <c r="CU24" i="18" s="1"/>
  <c r="AF24" i="18" s="1"/>
  <c r="AF13" i="18"/>
  <c r="CU12" i="18" s="1"/>
  <c r="AF12" i="18" s="1"/>
  <c r="X112" i="26"/>
  <c r="BT111" i="26" s="1"/>
  <c r="X113" i="26" s="1"/>
  <c r="V112" i="26"/>
  <c r="BR111" i="26" s="1"/>
  <c r="V113" i="26" s="1"/>
  <c r="X115" i="26"/>
  <c r="BT114" i="26" s="1"/>
  <c r="X116" i="26" s="1"/>
  <c r="V115" i="26"/>
  <c r="BR114" i="26" s="1"/>
  <c r="V116" i="26" s="1"/>
  <c r="V85" i="26"/>
  <c r="BR84" i="26" s="1"/>
  <c r="V86" i="26" s="1"/>
  <c r="X85" i="26"/>
  <c r="BT84" i="26" s="1"/>
  <c r="X86" i="26" s="1"/>
  <c r="V82" i="26"/>
  <c r="BR81" i="26" s="1"/>
  <c r="V83" i="26" s="1"/>
  <c r="X82" i="26"/>
  <c r="BT81" i="26" s="1"/>
  <c r="X83" i="26" s="1"/>
  <c r="Z85" i="26"/>
  <c r="BV84" i="26" s="1"/>
  <c r="Z86" i="26" s="1"/>
  <c r="Z82" i="26"/>
  <c r="BV81" i="26" s="1"/>
  <c r="Z83" i="26" s="1"/>
  <c r="AF16" i="18"/>
  <c r="CU15" i="18" s="1"/>
  <c r="AF15" i="18" s="1"/>
  <c r="AF19" i="18"/>
  <c r="CU18" i="18" s="1"/>
  <c r="AF18" i="18" s="1"/>
  <c r="R20" i="18"/>
  <c r="AM20" i="18" s="1"/>
  <c r="F59" i="18"/>
  <c r="AA59" i="18" s="1"/>
  <c r="F80" i="18"/>
  <c r="AA80" i="18" s="1"/>
  <c r="F110" i="18"/>
  <c r="AA110" i="18" s="1"/>
  <c r="H23" i="18"/>
  <c r="AC23" i="18" s="1"/>
  <c r="J83" i="18"/>
  <c r="AE83" i="18" s="1"/>
  <c r="N17" i="18"/>
  <c r="AI17" i="18" s="1"/>
  <c r="V32" i="18"/>
  <c r="AQ32" i="18" s="1"/>
  <c r="AP31" i="18" s="1"/>
  <c r="DE30" i="18" s="1"/>
  <c r="AP30" i="18" s="1"/>
  <c r="Y77" i="26"/>
  <c r="Z79" i="26" s="1"/>
  <c r="BV78" i="26" s="1"/>
  <c r="Z80" i="26" s="1"/>
  <c r="Y89" i="26"/>
  <c r="H83" i="18"/>
  <c r="AC83" i="18" s="1"/>
  <c r="W98" i="26"/>
  <c r="Y92" i="26"/>
  <c r="Z61" i="26"/>
  <c r="BV60" i="26" s="1"/>
  <c r="H59" i="18"/>
  <c r="AC59" i="18" s="1"/>
  <c r="AQ62" i="18"/>
  <c r="AP61" i="18" s="1"/>
  <c r="DE60" i="18" s="1"/>
  <c r="L80" i="18"/>
  <c r="AG80" i="18" s="1"/>
  <c r="AI71" i="18"/>
  <c r="V41" i="18"/>
  <c r="AQ41" i="18" s="1"/>
  <c r="AP43" i="18" s="1"/>
  <c r="DE42" i="18" s="1"/>
  <c r="W122" i="26"/>
  <c r="Y119" i="26"/>
  <c r="AE59" i="26"/>
  <c r="Y98" i="26"/>
  <c r="Z100" i="26" s="1"/>
  <c r="BV99" i="26" s="1"/>
  <c r="Z101" i="26" s="1"/>
  <c r="H98" i="18"/>
  <c r="AC98" i="18" s="1"/>
  <c r="H89" i="18"/>
  <c r="AC89" i="18" s="1"/>
  <c r="J98" i="18"/>
  <c r="AE98" i="18" s="1"/>
  <c r="AF97" i="18" s="1"/>
  <c r="CU96" i="18" s="1"/>
  <c r="F47" i="18"/>
  <c r="AA47" i="18" s="1"/>
  <c r="F44" i="18"/>
  <c r="AA44" i="18" s="1"/>
  <c r="P26" i="18"/>
  <c r="AK26" i="18" s="1"/>
  <c r="P23" i="18"/>
  <c r="AK23" i="18" s="1"/>
  <c r="P17" i="18"/>
  <c r="AK17" i="18" s="1"/>
  <c r="AQ50" i="18"/>
  <c r="AP49" i="18" s="1"/>
  <c r="DE48" i="18" s="1"/>
  <c r="W89" i="26"/>
  <c r="V88" i="26" s="1"/>
  <c r="Y122" i="26"/>
  <c r="Y107" i="26"/>
  <c r="CS69" i="18"/>
  <c r="H32" i="18"/>
  <c r="AC32" i="18" s="1"/>
  <c r="J110" i="18"/>
  <c r="AE110" i="18" s="1"/>
  <c r="J32" i="18"/>
  <c r="AE32" i="18" s="1"/>
  <c r="N26" i="18"/>
  <c r="AI26" i="18" s="1"/>
  <c r="R23" i="18"/>
  <c r="AM23" i="18" s="1"/>
  <c r="J59" i="18"/>
  <c r="AE59" i="18" s="1"/>
  <c r="P14" i="18"/>
  <c r="AK14" i="18" s="1"/>
  <c r="V14" i="18"/>
  <c r="AQ14" i="18" s="1"/>
  <c r="W95" i="26"/>
  <c r="W128" i="26"/>
  <c r="Y128" i="26"/>
  <c r="Y56" i="26"/>
  <c r="AC41" i="26"/>
  <c r="N23" i="18"/>
  <c r="AI23" i="18" s="1"/>
  <c r="W92" i="26"/>
  <c r="J89" i="18"/>
  <c r="AE89" i="18" s="1"/>
  <c r="R14" i="18"/>
  <c r="AM14" i="18" s="1"/>
  <c r="N68" i="18"/>
  <c r="AI68" i="18" s="1"/>
  <c r="AQ17" i="18"/>
  <c r="Y95" i="26"/>
  <c r="Y41" i="26"/>
  <c r="V46" i="26"/>
  <c r="BR45" i="26" s="1"/>
  <c r="V47" i="26" s="1"/>
  <c r="R26" i="18"/>
  <c r="AM26" i="18" s="1"/>
  <c r="AC56" i="26"/>
  <c r="AB58" i="26" s="1"/>
  <c r="BX57" i="26" s="1"/>
  <c r="AB59" i="26" s="1"/>
  <c r="N20" i="18"/>
  <c r="AI20" i="18" s="1"/>
  <c r="F14" i="18"/>
  <c r="H44" i="18"/>
  <c r="AC44" i="18" s="1"/>
  <c r="P20" i="18"/>
  <c r="AK20" i="18" s="1"/>
  <c r="J80" i="18"/>
  <c r="AE80" i="18" s="1"/>
  <c r="AA47" i="26"/>
  <c r="Z49" i="26" s="1"/>
  <c r="R17" i="18"/>
  <c r="AM17" i="18" s="1"/>
  <c r="W125" i="26"/>
  <c r="W107" i="26"/>
  <c r="W77" i="26"/>
  <c r="W101" i="26"/>
  <c r="W62" i="26"/>
  <c r="AC50" i="26"/>
  <c r="W50" i="26"/>
  <c r="Y35" i="26"/>
  <c r="BU108" i="26"/>
  <c r="DF36" i="18"/>
  <c r="V36" i="18" s="1"/>
  <c r="CR14" i="18"/>
  <c r="AN68" i="26"/>
  <c r="BU68" i="26" s="1"/>
  <c r="J68" i="26" s="1"/>
  <c r="AN71" i="26"/>
  <c r="AN72" i="26" s="1"/>
  <c r="BU72" i="26" s="1"/>
  <c r="J72" i="26" s="1"/>
  <c r="W11" i="26"/>
  <c r="V13" i="26" s="1"/>
  <c r="BU12" i="26"/>
  <c r="BU57" i="26"/>
  <c r="BU42" i="26"/>
  <c r="U77" i="26"/>
  <c r="U107" i="26"/>
  <c r="U35" i="26"/>
  <c r="Y20" i="26"/>
  <c r="E74" i="2"/>
  <c r="U29" i="26"/>
  <c r="CA14" i="26"/>
  <c r="BY26" i="26"/>
  <c r="CA17" i="26"/>
  <c r="P17" i="26" s="1"/>
  <c r="CA20" i="26"/>
  <c r="P20" i="26" s="1"/>
  <c r="W119" i="26"/>
  <c r="Y11" i="26"/>
  <c r="CR17" i="18"/>
  <c r="CT44" i="18"/>
  <c r="CR47" i="18"/>
  <c r="CT47" i="18"/>
  <c r="CX14" i="18"/>
  <c r="FX32" i="27"/>
  <c r="BU78" i="26"/>
  <c r="FV39" i="27"/>
  <c r="BS50" i="26"/>
  <c r="BS72" i="26"/>
  <c r="H72" i="26" s="1"/>
  <c r="BS68" i="26"/>
  <c r="H68" i="26" s="1"/>
  <c r="AT26" i="26"/>
  <c r="W152" i="26"/>
  <c r="BY57" i="26"/>
  <c r="CA57" i="26" s="1"/>
  <c r="CZ69" i="18"/>
  <c r="BF68" i="18"/>
  <c r="BF72" i="18"/>
  <c r="CZ71" i="18"/>
  <c r="BJ20" i="18"/>
  <c r="AV23" i="18"/>
  <c r="CP23" i="18" s="1"/>
  <c r="AZ35" i="18"/>
  <c r="AZ36" i="18" s="1"/>
  <c r="CT36" i="18" s="1"/>
  <c r="J36" i="18" s="1"/>
  <c r="BY47" i="26"/>
  <c r="N47" i="26" s="1"/>
  <c r="AT47" i="26"/>
  <c r="BX31" i="26"/>
  <c r="FM48" i="27" s="1"/>
  <c r="AP32" i="26"/>
  <c r="BW32" i="26" s="1"/>
  <c r="L32" i="26" s="1"/>
  <c r="AR32" i="26"/>
  <c r="AP29" i="26"/>
  <c r="AQ70" i="26"/>
  <c r="AP69" i="26" s="1"/>
  <c r="AR69" i="26" s="1"/>
  <c r="BV70" i="26"/>
  <c r="BY44" i="26"/>
  <c r="N44" i="26" s="1"/>
  <c r="AT44" i="26"/>
  <c r="BZ28" i="26"/>
  <c r="FP45" i="27" s="1"/>
  <c r="AR29" i="26"/>
  <c r="BW44" i="26"/>
  <c r="L44" i="26" s="1"/>
  <c r="AX119" i="18"/>
  <c r="CR119" i="18" s="1"/>
  <c r="AX113" i="18"/>
  <c r="CR113" i="18" s="1"/>
  <c r="AZ107" i="18"/>
  <c r="CT107" i="18" s="1"/>
  <c r="CT108" i="18"/>
  <c r="CR78" i="18"/>
  <c r="AX77" i="18"/>
  <c r="CQ19" i="18"/>
  <c r="FD36" i="27" s="1"/>
  <c r="AX20" i="18"/>
  <c r="AV20" i="18"/>
  <c r="CP20" i="18" s="1"/>
  <c r="BB56" i="18"/>
  <c r="BH57" i="18"/>
  <c r="DB57" i="18" s="1"/>
  <c r="BF57" i="18"/>
  <c r="CZ57" i="18" s="1"/>
  <c r="BD57" i="18"/>
  <c r="CX57" i="18" s="1"/>
  <c r="CV57" i="18"/>
  <c r="BB89" i="18"/>
  <c r="CV89" i="18" s="1"/>
  <c r="BB92" i="18"/>
  <c r="CV92" i="18" s="1"/>
  <c r="CU91" i="18"/>
  <c r="AZ92" i="18"/>
  <c r="CT92" i="18" s="1"/>
  <c r="CR110" i="18"/>
  <c r="CP12" i="18"/>
  <c r="AV11" i="18"/>
  <c r="CP57" i="18"/>
  <c r="AV56" i="18"/>
  <c r="CR62" i="18"/>
  <c r="AX63" i="18"/>
  <c r="BB63" i="18"/>
  <c r="BF62" i="18"/>
  <c r="CZ62" i="18" s="1"/>
  <c r="BD62" i="18"/>
  <c r="CX62" i="18" s="1"/>
  <c r="BH62" i="18"/>
  <c r="DB62" i="18" s="1"/>
  <c r="CV62" i="18"/>
  <c r="AZ119" i="18"/>
  <c r="CT119" i="18" s="1"/>
  <c r="CS121" i="18"/>
  <c r="AZ122" i="18"/>
  <c r="CT122" i="18" s="1"/>
  <c r="CP42" i="18"/>
  <c r="AV41" i="18"/>
  <c r="BB77" i="18"/>
  <c r="CV77" i="18" s="1"/>
  <c r="CV78" i="18"/>
  <c r="CT57" i="18"/>
  <c r="AZ56" i="18"/>
  <c r="CT56" i="18" s="1"/>
  <c r="CR80" i="18"/>
  <c r="CV44" i="18"/>
  <c r="BD44" i="18"/>
  <c r="CX44" i="18" s="1"/>
  <c r="BF44" i="18"/>
  <c r="CZ44" i="18" s="1"/>
  <c r="BH44" i="18"/>
  <c r="DB44" i="18" s="1"/>
  <c r="BH59" i="18"/>
  <c r="DB59" i="18" s="1"/>
  <c r="CV59" i="18"/>
  <c r="BF59" i="18"/>
  <c r="CZ59" i="18" s="1"/>
  <c r="BD59" i="18"/>
  <c r="CX59" i="18" s="1"/>
  <c r="AX107" i="18"/>
  <c r="CR108" i="18"/>
  <c r="AV51" i="18"/>
  <c r="CP51" i="18" s="1"/>
  <c r="F51" i="18" s="1"/>
  <c r="CP50" i="18"/>
  <c r="AX102" i="18"/>
  <c r="CR101" i="18"/>
  <c r="CR42" i="18"/>
  <c r="AX41" i="18"/>
  <c r="CR41" i="18" s="1"/>
  <c r="CT78" i="18"/>
  <c r="AZ77" i="18"/>
  <c r="CT77" i="18" s="1"/>
  <c r="BB83" i="18"/>
  <c r="CV83" i="18" s="1"/>
  <c r="AZ86" i="18"/>
  <c r="CT86" i="18" s="1"/>
  <c r="CU85" i="18"/>
  <c r="BB86" i="18"/>
  <c r="CV86" i="18" s="1"/>
  <c r="CV50" i="18"/>
  <c r="BH50" i="18"/>
  <c r="DB50" i="18" s="1"/>
  <c r="BF50" i="18"/>
  <c r="CZ50" i="18" s="1"/>
  <c r="BD50" i="18"/>
  <c r="CX50" i="18" s="1"/>
  <c r="BB51" i="18"/>
  <c r="AV89" i="18"/>
  <c r="CP89" i="18" s="1"/>
  <c r="AX92" i="18"/>
  <c r="CR92" i="18" s="1"/>
  <c r="AV92" i="18"/>
  <c r="CP92" i="18" s="1"/>
  <c r="CQ91" i="18"/>
  <c r="AX122" i="18"/>
  <c r="CR122" i="18" s="1"/>
  <c r="CQ121" i="18"/>
  <c r="AV122" i="18"/>
  <c r="CP122" i="18" s="1"/>
  <c r="CP78" i="18"/>
  <c r="AV77" i="18"/>
  <c r="AV17" i="18"/>
  <c r="CP17" i="18" s="1"/>
  <c r="BB41" i="18"/>
  <c r="BD42" i="18"/>
  <c r="CX42" i="18" s="1"/>
  <c r="BH42" i="18"/>
  <c r="DB42" i="18" s="1"/>
  <c r="CV42" i="18"/>
  <c r="BF42" i="18"/>
  <c r="CZ42" i="18" s="1"/>
  <c r="CP108" i="18"/>
  <c r="AV107" i="18"/>
  <c r="CR50" i="18"/>
  <c r="AX51" i="18"/>
  <c r="CR51" i="18" s="1"/>
  <c r="H51" i="18" s="1"/>
  <c r="AV83" i="18"/>
  <c r="CP83" i="18" s="1"/>
  <c r="AX86" i="18"/>
  <c r="CR86" i="18" s="1"/>
  <c r="AV86" i="18"/>
  <c r="CP86" i="18" s="1"/>
  <c r="CQ85" i="18"/>
  <c r="CP138" i="18"/>
  <c r="AV137" i="18"/>
  <c r="AZ51" i="18"/>
  <c r="CT50" i="18"/>
  <c r="AZ41" i="18"/>
  <c r="CT42" i="18"/>
  <c r="AZ63" i="18"/>
  <c r="CT63" i="18" s="1"/>
  <c r="J63" i="18" s="1"/>
  <c r="CT62" i="18"/>
  <c r="BK25" i="18"/>
  <c r="DE25" i="18" s="1"/>
  <c r="DC25" i="18"/>
  <c r="CT101" i="18"/>
  <c r="AZ102" i="18"/>
  <c r="CT102" i="18" s="1"/>
  <c r="J102" i="18" s="1"/>
  <c r="AV26" i="18"/>
  <c r="CP26" i="18" s="1"/>
  <c r="CQ25" i="18"/>
  <c r="FD42" i="27" s="1"/>
  <c r="AX26" i="18"/>
  <c r="CR26" i="18" s="1"/>
  <c r="CR138" i="18"/>
  <c r="AX137" i="18"/>
  <c r="CR137" i="18" s="1"/>
  <c r="CR12" i="18"/>
  <c r="AX11" i="18"/>
  <c r="CR57" i="18"/>
  <c r="AX56" i="18"/>
  <c r="AV63" i="18"/>
  <c r="CP63" i="18" s="1"/>
  <c r="F63" i="18" s="1"/>
  <c r="CP62" i="18"/>
  <c r="AV113" i="18"/>
  <c r="CP113" i="18" s="1"/>
  <c r="AV116" i="18"/>
  <c r="CP116" i="18" s="1"/>
  <c r="CQ115" i="18"/>
  <c r="AX116" i="18"/>
  <c r="CR116" i="18" s="1"/>
  <c r="CR35" i="18"/>
  <c r="AX36" i="18"/>
  <c r="CR36" i="18" s="1"/>
  <c r="H36" i="18" s="1"/>
  <c r="CU34" i="18"/>
  <c r="FJ51" i="27" s="1"/>
  <c r="BC34" i="18"/>
  <c r="BG34" i="18"/>
  <c r="DA34" i="18" s="1"/>
  <c r="BE34" i="18"/>
  <c r="CY34" i="18" s="1"/>
  <c r="FP51" i="27" s="1"/>
  <c r="AZ113" i="18"/>
  <c r="CT113" i="18" s="1"/>
  <c r="AZ116" i="18"/>
  <c r="CT116" i="18" s="1"/>
  <c r="CS115" i="18"/>
  <c r="BF47" i="18"/>
  <c r="CZ47" i="18" s="1"/>
  <c r="BD47" i="18"/>
  <c r="CX47" i="18" s="1"/>
  <c r="CV47" i="18"/>
  <c r="BH47" i="18"/>
  <c r="DB47" i="18" s="1"/>
  <c r="AV119" i="18"/>
  <c r="CP119" i="18" s="1"/>
  <c r="CA56" i="26"/>
  <c r="P56" i="26" s="1"/>
  <c r="BQ78" i="26"/>
  <c r="BQ12" i="26"/>
  <c r="BS101" i="26"/>
  <c r="BW35" i="26"/>
  <c r="BS12" i="26"/>
  <c r="CA51" i="26"/>
  <c r="P51" i="26" s="1"/>
  <c r="BY50" i="26"/>
  <c r="BS62" i="26"/>
  <c r="BY11" i="26"/>
  <c r="AT11" i="26"/>
  <c r="BW12" i="26"/>
  <c r="BQ108" i="26"/>
  <c r="U152" i="26"/>
  <c r="CA41" i="26"/>
  <c r="P41" i="26" s="1"/>
  <c r="BY42" i="26"/>
  <c r="CA42" i="26" s="1"/>
  <c r="BS108" i="26"/>
  <c r="BY62" i="26"/>
  <c r="CA63" i="26"/>
  <c r="P63" i="26" s="1"/>
  <c r="AT36" i="26"/>
  <c r="BY36" i="26"/>
  <c r="N36" i="26" s="1"/>
  <c r="BS35" i="26"/>
  <c r="BS57" i="26"/>
  <c r="BY23" i="26"/>
  <c r="AT23" i="26"/>
  <c r="BS42" i="26"/>
  <c r="BS78" i="26"/>
  <c r="D38" i="33" l="1"/>
  <c r="D37" i="33"/>
  <c r="D36" i="33"/>
  <c r="D30" i="33"/>
  <c r="D42" i="33" s="1"/>
  <c r="DU2" i="18" s="1"/>
  <c r="D29" i="33"/>
  <c r="D31" i="33"/>
  <c r="FI44" i="27"/>
  <c r="AA11" i="26"/>
  <c r="Y23" i="26"/>
  <c r="Z22" i="26" s="1"/>
  <c r="BV21" i="26" s="1"/>
  <c r="Z23" i="26" s="1"/>
  <c r="D67" i="48"/>
  <c r="AB154" i="18"/>
  <c r="CQ153" i="18" s="1"/>
  <c r="CQ144" i="18"/>
  <c r="CQ147" i="18"/>
  <c r="Y29" i="26"/>
  <c r="V151" i="26"/>
  <c r="V148" i="26"/>
  <c r="BR147" i="26" s="1"/>
  <c r="Y14" i="26"/>
  <c r="Z16" i="26" s="1"/>
  <c r="BV15" i="26" s="1"/>
  <c r="Z17" i="26" s="1"/>
  <c r="N23" i="26"/>
  <c r="FO41" i="27" s="1"/>
  <c r="N26" i="26"/>
  <c r="FO44" i="27" s="1"/>
  <c r="P14" i="26"/>
  <c r="FR32" i="27" s="1"/>
  <c r="N11" i="26"/>
  <c r="AC11" i="26" s="1"/>
  <c r="DB72" i="18"/>
  <c r="BJ68" i="18"/>
  <c r="D74" i="2"/>
  <c r="W41" i="26"/>
  <c r="X43" i="26" s="1"/>
  <c r="BT42" i="26" s="1"/>
  <c r="X44" i="26" s="1"/>
  <c r="AN16" i="18"/>
  <c r="DC15" i="18" s="1"/>
  <c r="AN15" i="18" s="1"/>
  <c r="W56" i="26"/>
  <c r="V58" i="26" s="1"/>
  <c r="BR57" i="26" s="1"/>
  <c r="V59" i="26" s="1"/>
  <c r="FU32" i="27"/>
  <c r="FR38" i="27"/>
  <c r="AA14" i="18"/>
  <c r="FC32" i="27"/>
  <c r="Y32" i="26"/>
  <c r="FI50" i="27"/>
  <c r="AC20" i="26"/>
  <c r="FO38" i="27"/>
  <c r="W32" i="26"/>
  <c r="FF50" i="27"/>
  <c r="AC17" i="26"/>
  <c r="FO35" i="27"/>
  <c r="W23" i="26"/>
  <c r="FF41" i="27"/>
  <c r="W26" i="26"/>
  <c r="AC14" i="26"/>
  <c r="FU44" i="27"/>
  <c r="FU35" i="27"/>
  <c r="FU38" i="27"/>
  <c r="FU41" i="27"/>
  <c r="AO35" i="18"/>
  <c r="FX53" i="27"/>
  <c r="W20" i="26"/>
  <c r="V19" i="26" s="1"/>
  <c r="BR18" i="26" s="1"/>
  <c r="V20" i="26" s="1"/>
  <c r="X79" i="26"/>
  <c r="BT78" i="26" s="1"/>
  <c r="X80" i="26" s="1"/>
  <c r="X127" i="26"/>
  <c r="BT126" i="26" s="1"/>
  <c r="X128" i="26" s="1"/>
  <c r="AL28" i="18"/>
  <c r="DA27" i="18" s="1"/>
  <c r="AL27" i="18" s="1"/>
  <c r="V79" i="26"/>
  <c r="BR78" i="26" s="1"/>
  <c r="V80" i="26" s="1"/>
  <c r="V109" i="26"/>
  <c r="BR108" i="26" s="1"/>
  <c r="V110" i="26" s="1"/>
  <c r="Z62" i="26"/>
  <c r="X109" i="26"/>
  <c r="BT108" i="26" s="1"/>
  <c r="X110" i="26" s="1"/>
  <c r="X124" i="26"/>
  <c r="BT123" i="26" s="1"/>
  <c r="X125" i="26" s="1"/>
  <c r="V124" i="26"/>
  <c r="BR123" i="26" s="1"/>
  <c r="V125" i="26" s="1"/>
  <c r="AD97" i="18"/>
  <c r="CS96" i="18" s="1"/>
  <c r="AB97" i="18"/>
  <c r="CQ96" i="18" s="1"/>
  <c r="Z97" i="26"/>
  <c r="BV96" i="26" s="1"/>
  <c r="Z98" i="26" s="1"/>
  <c r="AL25" i="18"/>
  <c r="DA24" i="18" s="1"/>
  <c r="AL24" i="18" s="1"/>
  <c r="AH70" i="18"/>
  <c r="CW69" i="18" s="1"/>
  <c r="V127" i="26"/>
  <c r="BR126" i="26" s="1"/>
  <c r="V128" i="26" s="1"/>
  <c r="AJ22" i="18"/>
  <c r="CY21" i="18" s="1"/>
  <c r="AJ21" i="18" s="1"/>
  <c r="AN13" i="18"/>
  <c r="DC12" i="18" s="1"/>
  <c r="AN12" i="18" s="1"/>
  <c r="Z91" i="26"/>
  <c r="BV90" i="26" s="1"/>
  <c r="Z92" i="26" s="1"/>
  <c r="Z88" i="26"/>
  <c r="BV87" i="26" s="1"/>
  <c r="Z89" i="26" s="1"/>
  <c r="X88" i="26"/>
  <c r="BT87" i="26" s="1"/>
  <c r="X89" i="26" s="1"/>
  <c r="V97" i="26"/>
  <c r="BR96" i="26" s="1"/>
  <c r="V98" i="26" s="1"/>
  <c r="X97" i="26"/>
  <c r="BT96" i="26" s="1"/>
  <c r="X98" i="26" s="1"/>
  <c r="V91" i="26"/>
  <c r="BR90" i="26" s="1"/>
  <c r="V92" i="26" s="1"/>
  <c r="X91" i="26"/>
  <c r="BT90" i="26" s="1"/>
  <c r="X92" i="26" s="1"/>
  <c r="X94" i="26"/>
  <c r="BT93" i="26" s="1"/>
  <c r="X95" i="26" s="1"/>
  <c r="V94" i="26"/>
  <c r="BR93" i="26" s="1"/>
  <c r="V95" i="26" s="1"/>
  <c r="AP13" i="18"/>
  <c r="DE12" i="18" s="1"/>
  <c r="AP12" i="18" s="1"/>
  <c r="AP16" i="18"/>
  <c r="DE15" i="18" s="1"/>
  <c r="AP15" i="18" s="1"/>
  <c r="AB31" i="18"/>
  <c r="CQ30" i="18" s="1"/>
  <c r="AB30" i="18" s="1"/>
  <c r="AD31" i="18"/>
  <c r="CS30" i="18" s="1"/>
  <c r="AD30" i="18" s="1"/>
  <c r="AH25" i="18"/>
  <c r="CW24" i="18" s="1"/>
  <c r="AH24" i="18" s="1"/>
  <c r="AJ25" i="18"/>
  <c r="CY24" i="18" s="1"/>
  <c r="AJ24" i="18" s="1"/>
  <c r="AL16" i="18"/>
  <c r="DA15" i="18" s="1"/>
  <c r="AL15" i="18" s="1"/>
  <c r="AL13" i="18"/>
  <c r="DA12" i="18" s="1"/>
  <c r="AL12" i="18" s="1"/>
  <c r="AL22" i="18"/>
  <c r="DA21" i="18" s="1"/>
  <c r="AL21" i="18" s="1"/>
  <c r="AL19" i="18"/>
  <c r="DA18" i="18" s="1"/>
  <c r="AL18" i="18" s="1"/>
  <c r="Z94" i="26"/>
  <c r="BV93" i="26" s="1"/>
  <c r="Z95" i="26" s="1"/>
  <c r="BR144" i="26"/>
  <c r="AH19" i="18"/>
  <c r="CW18" i="18" s="1"/>
  <c r="AH18" i="18" s="1"/>
  <c r="AJ19" i="18"/>
  <c r="CY18" i="18" s="1"/>
  <c r="AJ18" i="18" s="1"/>
  <c r="Z58" i="26"/>
  <c r="BV57" i="26" s="1"/>
  <c r="Z59" i="26" s="1"/>
  <c r="AJ28" i="18"/>
  <c r="CY27" i="18" s="1"/>
  <c r="AJ27" i="18" s="1"/>
  <c r="AH28" i="18"/>
  <c r="CW27" i="18" s="1"/>
  <c r="AH27" i="18" s="1"/>
  <c r="FF53" i="27"/>
  <c r="F83" i="18"/>
  <c r="AA83" i="18" s="1"/>
  <c r="J56" i="18"/>
  <c r="AE56" i="18" s="1"/>
  <c r="L89" i="18"/>
  <c r="AG89" i="18" s="1"/>
  <c r="P47" i="18"/>
  <c r="AK47" i="18" s="1"/>
  <c r="F26" i="18"/>
  <c r="P59" i="18"/>
  <c r="AK59" i="18" s="1"/>
  <c r="J119" i="18"/>
  <c r="AE119" i="18" s="1"/>
  <c r="AE101" i="18"/>
  <c r="AF100" i="18" s="1"/>
  <c r="CU99" i="18" s="1"/>
  <c r="AC50" i="18"/>
  <c r="F92" i="18"/>
  <c r="AA92" i="18" s="1"/>
  <c r="L86" i="18"/>
  <c r="AG86" i="18" s="1"/>
  <c r="L59" i="18"/>
  <c r="AG59" i="18" s="1"/>
  <c r="H116" i="18"/>
  <c r="AC116" i="18" s="1"/>
  <c r="H92" i="18"/>
  <c r="AC92" i="18" s="1"/>
  <c r="N14" i="18"/>
  <c r="AI14" i="18" s="1"/>
  <c r="H14" i="18"/>
  <c r="FF32" i="27" s="1"/>
  <c r="J116" i="18"/>
  <c r="AE116" i="18" s="1"/>
  <c r="F17" i="18"/>
  <c r="R59" i="18"/>
  <c r="AM59" i="18" s="1"/>
  <c r="CP11" i="18"/>
  <c r="F11" i="18" s="1"/>
  <c r="AE56" i="26"/>
  <c r="AD58" i="26" s="1"/>
  <c r="BZ57" i="26" s="1"/>
  <c r="AD59" i="26" s="1"/>
  <c r="J113" i="18"/>
  <c r="AE113" i="18" s="1"/>
  <c r="F89" i="18"/>
  <c r="AA89" i="18" s="1"/>
  <c r="J86" i="18"/>
  <c r="AE86" i="18" s="1"/>
  <c r="R44" i="18"/>
  <c r="AM44" i="18" s="1"/>
  <c r="L77" i="18"/>
  <c r="AG77" i="18" s="1"/>
  <c r="J47" i="18"/>
  <c r="AE47" i="18" s="1"/>
  <c r="F116" i="18"/>
  <c r="AA116" i="18" s="1"/>
  <c r="AA50" i="18"/>
  <c r="H110" i="18"/>
  <c r="AC110" i="18" s="1"/>
  <c r="J107" i="18"/>
  <c r="AE107" i="18" s="1"/>
  <c r="AC47" i="26"/>
  <c r="AB49" i="26" s="1"/>
  <c r="BX48" i="26" s="1"/>
  <c r="AB50" i="26" s="1"/>
  <c r="H47" i="18"/>
  <c r="AC47" i="18" s="1"/>
  <c r="AB46" i="18" s="1"/>
  <c r="CQ45" i="18" s="1"/>
  <c r="Y68" i="26"/>
  <c r="F119" i="18"/>
  <c r="AA119" i="18" s="1"/>
  <c r="L83" i="18"/>
  <c r="AG83" i="18" s="1"/>
  <c r="AF82" i="18" s="1"/>
  <c r="CU81" i="18" s="1"/>
  <c r="P44" i="18"/>
  <c r="AK44" i="18" s="1"/>
  <c r="AC44" i="26"/>
  <c r="AE41" i="26"/>
  <c r="R47" i="18"/>
  <c r="AM47" i="18" s="1"/>
  <c r="F113" i="18"/>
  <c r="AA113" i="18" s="1"/>
  <c r="F122" i="18"/>
  <c r="AA122" i="18" s="1"/>
  <c r="J77" i="18"/>
  <c r="AE77" i="18" s="1"/>
  <c r="N44" i="18"/>
  <c r="AI44" i="18" s="1"/>
  <c r="J92" i="18"/>
  <c r="AE92" i="18" s="1"/>
  <c r="J44" i="18"/>
  <c r="AE44" i="18" s="1"/>
  <c r="L47" i="18"/>
  <c r="AG47" i="18" s="1"/>
  <c r="AE62" i="18"/>
  <c r="L44" i="18"/>
  <c r="AG44" i="18" s="1"/>
  <c r="F20" i="18"/>
  <c r="H113" i="18"/>
  <c r="AC113" i="18" s="1"/>
  <c r="F23" i="18"/>
  <c r="H17" i="18"/>
  <c r="FF35" i="27" s="1"/>
  <c r="H26" i="18"/>
  <c r="AC26" i="18" s="1"/>
  <c r="F86" i="18"/>
  <c r="AA86" i="18" s="1"/>
  <c r="J122" i="18"/>
  <c r="AE122" i="18" s="1"/>
  <c r="N47" i="18"/>
  <c r="AI47" i="18" s="1"/>
  <c r="AA62" i="18"/>
  <c r="H86" i="18"/>
  <c r="AC86" i="18" s="1"/>
  <c r="H122" i="18"/>
  <c r="AC122" i="18" s="1"/>
  <c r="H41" i="18"/>
  <c r="AC41" i="18" s="1"/>
  <c r="N59" i="18"/>
  <c r="AI59" i="18" s="1"/>
  <c r="H80" i="18"/>
  <c r="AC80" i="18" s="1"/>
  <c r="AD82" i="18" s="1"/>
  <c r="CS81" i="18" s="1"/>
  <c r="L92" i="18"/>
  <c r="AG92" i="18" s="1"/>
  <c r="H119" i="18"/>
  <c r="AC119" i="18" s="1"/>
  <c r="AH22" i="18"/>
  <c r="CW21" i="18" s="1"/>
  <c r="AH21" i="18" s="1"/>
  <c r="AQ35" i="18"/>
  <c r="X100" i="26"/>
  <c r="BT99" i="26" s="1"/>
  <c r="V100" i="26"/>
  <c r="BR99" i="26" s="1"/>
  <c r="V101" i="26" s="1"/>
  <c r="W71" i="26"/>
  <c r="Y71" i="26"/>
  <c r="X61" i="26"/>
  <c r="BT60" i="26" s="1"/>
  <c r="X62" i="26" s="1"/>
  <c r="V61" i="26"/>
  <c r="BR60" i="26" s="1"/>
  <c r="V62" i="26" s="1"/>
  <c r="AE62" i="26"/>
  <c r="AD61" i="26" s="1"/>
  <c r="BZ60" i="26" s="1"/>
  <c r="AD62" i="26" s="1"/>
  <c r="X49" i="26"/>
  <c r="BT48" i="26" s="1"/>
  <c r="X50" i="26" s="1"/>
  <c r="V49" i="26"/>
  <c r="BR48" i="26" s="1"/>
  <c r="V50" i="26" s="1"/>
  <c r="AE50" i="26"/>
  <c r="H137" i="18"/>
  <c r="AC137" i="18" s="1"/>
  <c r="W35" i="26"/>
  <c r="AA35" i="26"/>
  <c r="V154" i="26"/>
  <c r="AP71" i="26"/>
  <c r="Z19" i="26"/>
  <c r="BR87" i="26"/>
  <c r="V89" i="26" s="1"/>
  <c r="X121" i="26"/>
  <c r="V118" i="26"/>
  <c r="X118" i="26"/>
  <c r="BV48" i="26"/>
  <c r="Z50" i="26" s="1"/>
  <c r="V121" i="26"/>
  <c r="W68" i="26"/>
  <c r="AE20" i="26"/>
  <c r="AC26" i="26"/>
  <c r="W29" i="26"/>
  <c r="CA23" i="26"/>
  <c r="CA26" i="26"/>
  <c r="P26" i="26" s="1"/>
  <c r="CA44" i="26"/>
  <c r="P44" i="26" s="1"/>
  <c r="CA47" i="26"/>
  <c r="P47" i="26" s="1"/>
  <c r="CA50" i="26"/>
  <c r="CA62" i="26"/>
  <c r="CT41" i="18"/>
  <c r="CT51" i="18"/>
  <c r="J51" i="18" s="1"/>
  <c r="CR11" i="18"/>
  <c r="H11" i="18" s="1"/>
  <c r="FF29" i="27" s="1"/>
  <c r="BS71" i="26"/>
  <c r="FS51" i="27"/>
  <c r="BS69" i="26"/>
  <c r="FV42" i="27"/>
  <c r="DD68" i="18"/>
  <c r="CR20" i="18"/>
  <c r="DD20" i="18"/>
  <c r="T20" i="18" s="1"/>
  <c r="BL20" i="18"/>
  <c r="CT35" i="18"/>
  <c r="BU71" i="26"/>
  <c r="CZ68" i="18"/>
  <c r="CZ72" i="18"/>
  <c r="P72" i="18" s="1"/>
  <c r="BU69" i="26"/>
  <c r="BW29" i="26"/>
  <c r="L29" i="26" s="1"/>
  <c r="BY29" i="26"/>
  <c r="AT29" i="26"/>
  <c r="AT32" i="26"/>
  <c r="BY32" i="26"/>
  <c r="N32" i="26" s="1"/>
  <c r="BX70" i="26"/>
  <c r="BJ26" i="18"/>
  <c r="BD41" i="18"/>
  <c r="CX41" i="18" s="1"/>
  <c r="CV41" i="18"/>
  <c r="BH41" i="18"/>
  <c r="DB41" i="18" s="1"/>
  <c r="BF41" i="18"/>
  <c r="CZ41" i="18" s="1"/>
  <c r="CP77" i="18"/>
  <c r="CR102" i="18"/>
  <c r="H102" i="18" s="1"/>
  <c r="CR107" i="18"/>
  <c r="BD63" i="18"/>
  <c r="CX63" i="18" s="1"/>
  <c r="N63" i="18" s="1"/>
  <c r="CV63" i="18"/>
  <c r="L63" i="18" s="1"/>
  <c r="BH63" i="18"/>
  <c r="DB63" i="18" s="1"/>
  <c r="R63" i="18" s="1"/>
  <c r="BF63" i="18"/>
  <c r="CZ63" i="18" s="1"/>
  <c r="P63" i="18" s="1"/>
  <c r="CP56" i="18"/>
  <c r="BB35" i="18"/>
  <c r="CW34" i="18"/>
  <c r="FM51" i="27" s="1"/>
  <c r="BD51" i="18"/>
  <c r="CX51" i="18" s="1"/>
  <c r="N51" i="18" s="1"/>
  <c r="BF51" i="18"/>
  <c r="CZ51" i="18" s="1"/>
  <c r="P51" i="18" s="1"/>
  <c r="CV51" i="18"/>
  <c r="L51" i="18" s="1"/>
  <c r="BH51" i="18"/>
  <c r="DB51" i="18" s="1"/>
  <c r="R51" i="18" s="1"/>
  <c r="BB32" i="18"/>
  <c r="CV32" i="18" s="1"/>
  <c r="CP137" i="18"/>
  <c r="CP107" i="18"/>
  <c r="BJ23" i="18"/>
  <c r="CP41" i="18"/>
  <c r="CR63" i="18"/>
  <c r="H63" i="18" s="1"/>
  <c r="CV56" i="18"/>
  <c r="BD56" i="18"/>
  <c r="CX56" i="18" s="1"/>
  <c r="BH56" i="18"/>
  <c r="DB56" i="18" s="1"/>
  <c r="BF56" i="18"/>
  <c r="CZ56" i="18" s="1"/>
  <c r="CR77" i="18"/>
  <c r="CR56" i="18"/>
  <c r="CA11" i="26"/>
  <c r="BY12" i="26"/>
  <c r="CA12" i="26" s="1"/>
  <c r="CA36" i="26"/>
  <c r="P36" i="26" s="1"/>
  <c r="BY35" i="26"/>
  <c r="X16" i="26" l="1"/>
  <c r="Z25" i="26"/>
  <c r="BV24" i="26" s="1"/>
  <c r="Z26" i="26" s="1"/>
  <c r="X13" i="26"/>
  <c r="BT12" i="26" s="1"/>
  <c r="FO29" i="27"/>
  <c r="Z13" i="26"/>
  <c r="BV12" i="26" s="1"/>
  <c r="Z14" i="26" s="1"/>
  <c r="AE14" i="26"/>
  <c r="DD72" i="18"/>
  <c r="T72" i="18" s="1"/>
  <c r="AO71" i="18" s="1"/>
  <c r="R72" i="18"/>
  <c r="AM71" i="18" s="1"/>
  <c r="N29" i="26"/>
  <c r="FO47" i="27" s="1"/>
  <c r="P23" i="26"/>
  <c r="FR41" i="27" s="1"/>
  <c r="P11" i="26"/>
  <c r="FR29" i="27" s="1"/>
  <c r="V43" i="26"/>
  <c r="BR42" i="26" s="1"/>
  <c r="X58" i="26"/>
  <c r="BT57" i="26" s="1"/>
  <c r="X59" i="26" s="1"/>
  <c r="FC29" i="27"/>
  <c r="AA44" i="26"/>
  <c r="Z43" i="26" s="1"/>
  <c r="BV42" i="26" s="1"/>
  <c r="Z44" i="26" s="1"/>
  <c r="X25" i="26"/>
  <c r="BT24" i="26" s="1"/>
  <c r="X26" i="26" s="1"/>
  <c r="AB19" i="26"/>
  <c r="BX18" i="26" s="1"/>
  <c r="AB20" i="26" s="1"/>
  <c r="V25" i="26"/>
  <c r="BR24" i="26" s="1"/>
  <c r="V26" i="26" s="1"/>
  <c r="AB16" i="26"/>
  <c r="BX15" i="26" s="1"/>
  <c r="AB17" i="26" s="1"/>
  <c r="AA23" i="18"/>
  <c r="FC41" i="27"/>
  <c r="AE35" i="18"/>
  <c r="FI53" i="27"/>
  <c r="FF44" i="27"/>
  <c r="AA20" i="18"/>
  <c r="FC38" i="27"/>
  <c r="AA26" i="18"/>
  <c r="AB28" i="18" s="1"/>
  <c r="CQ27" i="18" s="1"/>
  <c r="AB27" i="18" s="1"/>
  <c r="FC44" i="27"/>
  <c r="AA17" i="18"/>
  <c r="FC35" i="27"/>
  <c r="FO32" i="27"/>
  <c r="AE17" i="26"/>
  <c r="AD19" i="26" s="1"/>
  <c r="BZ18" i="26" s="1"/>
  <c r="AD20" i="26" s="1"/>
  <c r="FR35" i="27"/>
  <c r="AA32" i="26"/>
  <c r="Z34" i="26" s="1"/>
  <c r="BV33" i="26" s="1"/>
  <c r="AP34" i="18"/>
  <c r="DE33" i="18" s="1"/>
  <c r="AP33" i="18" s="1"/>
  <c r="AC35" i="18"/>
  <c r="AA11" i="18"/>
  <c r="AC14" i="18"/>
  <c r="X22" i="26"/>
  <c r="BT21" i="26" s="1"/>
  <c r="X23" i="26" s="1"/>
  <c r="X19" i="26"/>
  <c r="BT18" i="26" s="1"/>
  <c r="X20" i="26" s="1"/>
  <c r="AC17" i="18"/>
  <c r="V22" i="26"/>
  <c r="BR21" i="26" s="1"/>
  <c r="E82" i="2"/>
  <c r="AF79" i="18"/>
  <c r="CU78" i="18" s="1"/>
  <c r="AF78" i="18" s="1"/>
  <c r="AJ46" i="18"/>
  <c r="CY45" i="18" s="1"/>
  <c r="AB118" i="18"/>
  <c r="CQ117" i="18" s="1"/>
  <c r="AB112" i="18"/>
  <c r="CQ111" i="18" s="1"/>
  <c r="AN46" i="18"/>
  <c r="DC45" i="18" s="1"/>
  <c r="AF94" i="18"/>
  <c r="CU93" i="18" s="1"/>
  <c r="AD28" i="18"/>
  <c r="CS27" i="18" s="1"/>
  <c r="AD27" i="18" s="1"/>
  <c r="AD25" i="18"/>
  <c r="CS24" i="18" s="1"/>
  <c r="AD24" i="18" s="1"/>
  <c r="AB85" i="18"/>
  <c r="CQ84" i="18" s="1"/>
  <c r="AD85" i="18"/>
  <c r="CS84" i="18" s="1"/>
  <c r="AB88" i="18"/>
  <c r="CQ87" i="18" s="1"/>
  <c r="AL46" i="18"/>
  <c r="DA45" i="18" s="1"/>
  <c r="AB49" i="18"/>
  <c r="CQ48" i="18" s="1"/>
  <c r="AD46" i="18"/>
  <c r="CS45" i="18" s="1"/>
  <c r="AJ13" i="18"/>
  <c r="CY12" i="18" s="1"/>
  <c r="AJ12" i="18" s="1"/>
  <c r="AJ16" i="18"/>
  <c r="CY15" i="18" s="1"/>
  <c r="AJ15" i="18" s="1"/>
  <c r="AH13" i="18"/>
  <c r="CW12" i="18" s="1"/>
  <c r="AH12" i="18" s="1"/>
  <c r="AH16" i="18"/>
  <c r="CW15" i="18" s="1"/>
  <c r="AH15" i="18" s="1"/>
  <c r="AD115" i="18"/>
  <c r="CS114" i="18" s="1"/>
  <c r="AD118" i="18"/>
  <c r="CS117" i="18" s="1"/>
  <c r="AF91" i="18"/>
  <c r="CU90" i="18" s="1"/>
  <c r="AH46" i="18"/>
  <c r="CW45" i="18" s="1"/>
  <c r="AB91" i="18"/>
  <c r="CQ90" i="18" s="1"/>
  <c r="AD94" i="18"/>
  <c r="CS93" i="18" s="1"/>
  <c r="AB94" i="18"/>
  <c r="CQ93" i="18" s="1"/>
  <c r="AD91" i="18"/>
  <c r="CS90" i="18" s="1"/>
  <c r="AD124" i="18"/>
  <c r="CS123" i="18" s="1"/>
  <c r="AD121" i="18"/>
  <c r="CS120" i="18" s="1"/>
  <c r="AD112" i="18"/>
  <c r="CS111" i="18" s="1"/>
  <c r="AB124" i="18"/>
  <c r="CQ123" i="18" s="1"/>
  <c r="AF88" i="18"/>
  <c r="CU87" i="18" s="1"/>
  <c r="AF85" i="18"/>
  <c r="CU84" i="18" s="1"/>
  <c r="P56" i="18"/>
  <c r="AK56" i="18" s="1"/>
  <c r="F56" i="18"/>
  <c r="P41" i="18"/>
  <c r="AK41" i="18" s="1"/>
  <c r="AF46" i="18"/>
  <c r="CU45" i="18" s="1"/>
  <c r="AB121" i="18"/>
  <c r="CQ120" i="18" s="1"/>
  <c r="F107" i="18"/>
  <c r="AA107" i="18" s="1"/>
  <c r="R56" i="18"/>
  <c r="AM56" i="18" s="1"/>
  <c r="AN58" i="18" s="1"/>
  <c r="DC57" i="18" s="1"/>
  <c r="AK62" i="18"/>
  <c r="N56" i="18"/>
  <c r="AI56" i="18" s="1"/>
  <c r="L41" i="18"/>
  <c r="AG41" i="18" s="1"/>
  <c r="AD88" i="18"/>
  <c r="CS87" i="18" s="1"/>
  <c r="AM50" i="18"/>
  <c r="AN49" i="18" s="1"/>
  <c r="DC48" i="18" s="1"/>
  <c r="AM62" i="18"/>
  <c r="AN61" i="18" s="1"/>
  <c r="DC60" i="18" s="1"/>
  <c r="FL47" i="27"/>
  <c r="H20" i="18"/>
  <c r="L56" i="18"/>
  <c r="AG56" i="18" s="1"/>
  <c r="AG50" i="18"/>
  <c r="AG62" i="18"/>
  <c r="N41" i="18"/>
  <c r="AI41" i="18" s="1"/>
  <c r="T68" i="18"/>
  <c r="AO68" i="18" s="1"/>
  <c r="AB115" i="18"/>
  <c r="CQ114" i="18" s="1"/>
  <c r="L32" i="18"/>
  <c r="AG32" i="18" s="1"/>
  <c r="AF31" i="18" s="1"/>
  <c r="CU30" i="18" s="1"/>
  <c r="AF30" i="18" s="1"/>
  <c r="R41" i="18"/>
  <c r="AM41" i="18" s="1"/>
  <c r="AN43" i="18" s="1"/>
  <c r="DC42" i="18" s="1"/>
  <c r="AO20" i="18"/>
  <c r="AN19" i="18" s="1"/>
  <c r="DC18" i="18" s="1"/>
  <c r="AN18" i="18" s="1"/>
  <c r="AC62" i="18"/>
  <c r="AK50" i="18"/>
  <c r="AI62" i="18"/>
  <c r="AK71" i="18"/>
  <c r="AB82" i="18"/>
  <c r="CQ81" i="18" s="1"/>
  <c r="H77" i="18"/>
  <c r="AC77" i="18" s="1"/>
  <c r="AD79" i="18" s="1"/>
  <c r="CS78" i="18" s="1"/>
  <c r="F77" i="18"/>
  <c r="AA77" i="18" s="1"/>
  <c r="AI50" i="18"/>
  <c r="AE47" i="26"/>
  <c r="AD49" i="26" s="1"/>
  <c r="BZ48" i="26" s="1"/>
  <c r="AD50" i="26" s="1"/>
  <c r="H56" i="18"/>
  <c r="AC56" i="18" s="1"/>
  <c r="F41" i="18"/>
  <c r="H107" i="18"/>
  <c r="AC107" i="18" s="1"/>
  <c r="AD109" i="18" s="1"/>
  <c r="CS108" i="18" s="1"/>
  <c r="P68" i="18"/>
  <c r="AK68" i="18" s="1"/>
  <c r="AE50" i="18"/>
  <c r="AC101" i="18"/>
  <c r="J41" i="18"/>
  <c r="AE41" i="18" s="1"/>
  <c r="AE44" i="26"/>
  <c r="X101" i="26"/>
  <c r="F137" i="18"/>
  <c r="AA137" i="18" s="1"/>
  <c r="AB139" i="18" s="1"/>
  <c r="CQ138" i="18" s="1"/>
  <c r="X34" i="26"/>
  <c r="V34" i="26"/>
  <c r="BR33" i="26" s="1"/>
  <c r="V35" i="26" s="1"/>
  <c r="AC35" i="26"/>
  <c r="AB13" i="26"/>
  <c r="BX12" i="26" s="1"/>
  <c r="AB14" i="26" s="1"/>
  <c r="BL23" i="18"/>
  <c r="DD23" i="18"/>
  <c r="T23" i="18" s="1"/>
  <c r="BR150" i="26"/>
  <c r="BR153" i="26"/>
  <c r="X31" i="26"/>
  <c r="X28" i="26"/>
  <c r="BT15" i="26"/>
  <c r="X17" i="26" s="1"/>
  <c r="BT117" i="26"/>
  <c r="X119" i="26" s="1"/>
  <c r="X14" i="26"/>
  <c r="BR12" i="26"/>
  <c r="V14" i="26" s="1"/>
  <c r="BR117" i="26"/>
  <c r="V119" i="26" s="1"/>
  <c r="V31" i="26"/>
  <c r="BT120" i="26"/>
  <c r="X122" i="26" s="1"/>
  <c r="BV18" i="26"/>
  <c r="Z20" i="26" s="1"/>
  <c r="BR120" i="26"/>
  <c r="V122" i="26" s="1"/>
  <c r="V28" i="26"/>
  <c r="X70" i="26"/>
  <c r="V70" i="26"/>
  <c r="AC23" i="26"/>
  <c r="CA32" i="26"/>
  <c r="P32" i="26" s="1"/>
  <c r="CA29" i="26"/>
  <c r="DF20" i="18"/>
  <c r="V20" i="18" s="1"/>
  <c r="DD26" i="18"/>
  <c r="T26" i="18" s="1"/>
  <c r="BL26" i="18"/>
  <c r="CA35" i="26"/>
  <c r="AP72" i="26"/>
  <c r="AR71" i="26"/>
  <c r="AP68" i="26"/>
  <c r="CV35" i="18"/>
  <c r="BD35" i="18"/>
  <c r="CX35" i="18" s="1"/>
  <c r="BB36" i="18"/>
  <c r="CV36" i="18" s="1"/>
  <c r="L36" i="18" s="1"/>
  <c r="BH35" i="18"/>
  <c r="DB35" i="18" s="1"/>
  <c r="BF35" i="18"/>
  <c r="CZ35" i="18" s="1"/>
  <c r="BD32" i="18"/>
  <c r="CX32" i="18" s="1"/>
  <c r="BH32" i="18"/>
  <c r="DB32" i="18" s="1"/>
  <c r="BF32" i="18"/>
  <c r="CZ32" i="18" s="1"/>
  <c r="AE23" i="26" l="1"/>
  <c r="AE11" i="26"/>
  <c r="AD13" i="26" s="1"/>
  <c r="BZ12" i="26" s="1"/>
  <c r="AD14" i="26" s="1"/>
  <c r="D74" i="48"/>
  <c r="P29" i="26"/>
  <c r="FR47" i="27" s="1"/>
  <c r="V44" i="26"/>
  <c r="D82" i="2"/>
  <c r="AA56" i="18"/>
  <c r="AB58" i="18" s="1"/>
  <c r="CQ57" i="18" s="1"/>
  <c r="AB57" i="18" s="1"/>
  <c r="L25" i="5"/>
  <c r="L20" i="5"/>
  <c r="K19" i="5"/>
  <c r="AA41" i="18"/>
  <c r="AB43" i="18" s="1"/>
  <c r="CQ42" i="18" s="1"/>
  <c r="L19" i="5"/>
  <c r="L24" i="5"/>
  <c r="K24" i="5"/>
  <c r="AB43" i="26"/>
  <c r="BX42" i="26" s="1"/>
  <c r="AB44" i="26" s="1"/>
  <c r="Z46" i="26"/>
  <c r="BV45" i="26" s="1"/>
  <c r="Z47" i="26" s="1"/>
  <c r="AB46" i="26"/>
  <c r="BX45" i="26" s="1"/>
  <c r="AB47" i="26" s="1"/>
  <c r="AD34" i="18"/>
  <c r="CS33" i="18" s="1"/>
  <c r="AD33" i="18" s="1"/>
  <c r="AB25" i="18"/>
  <c r="CQ24" i="18" s="1"/>
  <c r="AB24" i="18" s="1"/>
  <c r="FL50" i="27"/>
  <c r="AC20" i="18"/>
  <c r="AB22" i="18" s="1"/>
  <c r="CQ21" i="18" s="1"/>
  <c r="AB21" i="18" s="1"/>
  <c r="FF38" i="27"/>
  <c r="AD16" i="26"/>
  <c r="BZ15" i="26" s="1"/>
  <c r="AD17" i="26" s="1"/>
  <c r="AE26" i="26"/>
  <c r="FR44" i="27"/>
  <c r="AC32" i="26"/>
  <c r="AB34" i="26" s="1"/>
  <c r="BX33" i="26" s="1"/>
  <c r="FX38" i="27"/>
  <c r="AB16" i="18"/>
  <c r="CQ15" i="18" s="1"/>
  <c r="AB15" i="18" s="1"/>
  <c r="AB34" i="18"/>
  <c r="CQ33" i="18" s="1"/>
  <c r="AB33" i="18" s="1"/>
  <c r="E75" i="2"/>
  <c r="AD16" i="18"/>
  <c r="CS15" i="18" s="1"/>
  <c r="AD15" i="18" s="1"/>
  <c r="E83" i="2"/>
  <c r="V23" i="26"/>
  <c r="AA29" i="26"/>
  <c r="Z28" i="26" s="1"/>
  <c r="BV27" i="26" s="1"/>
  <c r="Z29" i="26" s="1"/>
  <c r="AJ61" i="18"/>
  <c r="CY60" i="18" s="1"/>
  <c r="AL49" i="18"/>
  <c r="DA48" i="18" s="1"/>
  <c r="AJ43" i="18"/>
  <c r="CY42" i="18" s="1"/>
  <c r="AH43" i="18"/>
  <c r="CW42" i="18" s="1"/>
  <c r="AB79" i="18"/>
  <c r="CQ78" i="18" s="1"/>
  <c r="AL70" i="18"/>
  <c r="DA69" i="18" s="1"/>
  <c r="AD43" i="26"/>
  <c r="BZ42" i="26" s="1"/>
  <c r="AD44" i="26" s="1"/>
  <c r="AD46" i="26"/>
  <c r="BZ45" i="26" s="1"/>
  <c r="AD47" i="26" s="1"/>
  <c r="AL43" i="18"/>
  <c r="DA42" i="18" s="1"/>
  <c r="AL61" i="18"/>
  <c r="DA60" i="18" s="1"/>
  <c r="AF61" i="18"/>
  <c r="CU60" i="18" s="1"/>
  <c r="AH61" i="18"/>
  <c r="CW60" i="18" s="1"/>
  <c r="AH60" i="18" s="1"/>
  <c r="AB109" i="18"/>
  <c r="CQ108" i="18" s="1"/>
  <c r="AD58" i="18"/>
  <c r="CS57" i="18" s="1"/>
  <c r="AD43" i="18"/>
  <c r="CS42" i="18" s="1"/>
  <c r="AF43" i="18"/>
  <c r="CU42" i="18" s="1"/>
  <c r="AF58" i="18"/>
  <c r="CU57" i="18" s="1"/>
  <c r="AH58" i="18"/>
  <c r="CW57" i="18" s="1"/>
  <c r="AD100" i="18"/>
  <c r="CS99" i="18" s="1"/>
  <c r="AB100" i="18"/>
  <c r="CQ99" i="18" s="1"/>
  <c r="AD49" i="18"/>
  <c r="CS48" i="18" s="1"/>
  <c r="AF49" i="18"/>
  <c r="CU48" i="18" s="1"/>
  <c r="AH49" i="18"/>
  <c r="CW48" i="18" s="1"/>
  <c r="AJ49" i="18"/>
  <c r="CY48" i="18" s="1"/>
  <c r="AN70" i="18"/>
  <c r="DC69" i="18" s="1"/>
  <c r="AD61" i="18"/>
  <c r="CS60" i="18" s="1"/>
  <c r="AB61" i="18"/>
  <c r="CQ60" i="18" s="1"/>
  <c r="AB60" i="18" s="1"/>
  <c r="AJ58" i="18"/>
  <c r="CY57" i="18" s="1"/>
  <c r="AL58" i="18"/>
  <c r="DA57" i="18" s="1"/>
  <c r="AO26" i="18"/>
  <c r="AN28" i="18" s="1"/>
  <c r="DC27" i="18" s="1"/>
  <c r="AN27" i="18" s="1"/>
  <c r="AQ20" i="18"/>
  <c r="AP19" i="18" s="1"/>
  <c r="DE18" i="18" s="1"/>
  <c r="AP18" i="18" s="1"/>
  <c r="R32" i="18"/>
  <c r="AM32" i="18" s="1"/>
  <c r="AJ70" i="18"/>
  <c r="CY69" i="18" s="1"/>
  <c r="P32" i="18"/>
  <c r="AK32" i="18" s="1"/>
  <c r="N32" i="18"/>
  <c r="AI32" i="18" s="1"/>
  <c r="FL53" i="27"/>
  <c r="AO23" i="18"/>
  <c r="Z35" i="26"/>
  <c r="AE35" i="26"/>
  <c r="BT33" i="26"/>
  <c r="X35" i="26" s="1"/>
  <c r="E80" i="2"/>
  <c r="AC11" i="18"/>
  <c r="BR69" i="26"/>
  <c r="V71" i="26" s="1"/>
  <c r="BT69" i="26"/>
  <c r="X71" i="26" s="1"/>
  <c r="AB25" i="26"/>
  <c r="AB22" i="26"/>
  <c r="AD22" i="26"/>
  <c r="BT27" i="26"/>
  <c r="X29" i="26" s="1"/>
  <c r="BR30" i="26"/>
  <c r="V32" i="26" s="1"/>
  <c r="BT30" i="26"/>
  <c r="X32" i="26" s="1"/>
  <c r="BR27" i="26"/>
  <c r="V29" i="26" s="1"/>
  <c r="AC29" i="26"/>
  <c r="E72" i="2"/>
  <c r="DF23" i="18"/>
  <c r="V23" i="18" s="1"/>
  <c r="DF26" i="18"/>
  <c r="V26" i="18" s="1"/>
  <c r="BW68" i="26"/>
  <c r="L68" i="26" s="1"/>
  <c r="AR68" i="26"/>
  <c r="BW72" i="26"/>
  <c r="L72" i="26" s="1"/>
  <c r="AR72" i="26"/>
  <c r="BD36" i="18"/>
  <c r="BH36" i="18"/>
  <c r="DB36" i="18" s="1"/>
  <c r="R36" i="18" s="1"/>
  <c r="BF36" i="18"/>
  <c r="AD25" i="26" l="1"/>
  <c r="BZ24" i="26" s="1"/>
  <c r="AD26" i="26" s="1"/>
  <c r="AE29" i="26"/>
  <c r="AD28" i="26" s="1"/>
  <c r="K35" i="5"/>
  <c r="B2" i="19"/>
  <c r="B3" i="19" s="1"/>
  <c r="B15" i="19" s="1"/>
  <c r="AA23" i="31" s="1"/>
  <c r="D65" i="48"/>
  <c r="D75" i="48"/>
  <c r="D68" i="48"/>
  <c r="D72" i="48"/>
  <c r="K18" i="5"/>
  <c r="E76" i="2"/>
  <c r="D75" i="2"/>
  <c r="D80" i="2"/>
  <c r="D83" i="2"/>
  <c r="L30" i="5"/>
  <c r="K30" i="5"/>
  <c r="L31" i="5"/>
  <c r="K23" i="5"/>
  <c r="AD19" i="18"/>
  <c r="CS18" i="18" s="1"/>
  <c r="AD18" i="18" s="1"/>
  <c r="AD22" i="18"/>
  <c r="CS21" i="18" s="1"/>
  <c r="AD21" i="18" s="1"/>
  <c r="FR50" i="27"/>
  <c r="AB19" i="18"/>
  <c r="CQ18" i="18" s="1"/>
  <c r="AB18" i="18" s="1"/>
  <c r="FO50" i="27"/>
  <c r="FU50" i="27"/>
  <c r="FX44" i="27"/>
  <c r="AG35" i="18"/>
  <c r="AF34" i="18" s="1"/>
  <c r="CU33" i="18" s="1"/>
  <c r="AF33" i="18" s="1"/>
  <c r="Z31" i="26"/>
  <c r="BV30" i="26" s="1"/>
  <c r="Z32" i="26" s="1"/>
  <c r="AJ31" i="18"/>
  <c r="CY30" i="18" s="1"/>
  <c r="AJ30" i="18" s="1"/>
  <c r="AH31" i="18"/>
  <c r="CW30" i="18" s="1"/>
  <c r="AH30" i="18" s="1"/>
  <c r="AN22" i="18"/>
  <c r="DC21" i="18" s="1"/>
  <c r="AN21" i="18" s="1"/>
  <c r="AN25" i="18"/>
  <c r="DC24" i="18" s="1"/>
  <c r="AN24" i="18" s="1"/>
  <c r="AL31" i="18"/>
  <c r="DA30" i="18" s="1"/>
  <c r="AL30" i="18" s="1"/>
  <c r="AN31" i="18"/>
  <c r="DC30" i="18" s="1"/>
  <c r="AN30" i="18" s="1"/>
  <c r="AA68" i="26"/>
  <c r="AM35" i="18"/>
  <c r="AN34" i="18" s="1"/>
  <c r="DC33" i="18" s="1"/>
  <c r="AN33" i="18" s="1"/>
  <c r="AQ23" i="18"/>
  <c r="AQ26" i="18"/>
  <c r="AP28" i="18" s="1"/>
  <c r="DE27" i="18" s="1"/>
  <c r="AP27" i="18" s="1"/>
  <c r="AA71" i="26"/>
  <c r="AB35" i="26"/>
  <c r="E73" i="2"/>
  <c r="AE32" i="26"/>
  <c r="AD34" i="26" s="1"/>
  <c r="BZ33" i="26" s="1"/>
  <c r="AD13" i="18"/>
  <c r="CS12" i="18" s="1"/>
  <c r="AD12" i="18" s="1"/>
  <c r="AB13" i="18"/>
  <c r="CQ12" i="18" s="1"/>
  <c r="AB12" i="18" s="1"/>
  <c r="BX24" i="26"/>
  <c r="AB26" i="26" s="1"/>
  <c r="BZ21" i="26"/>
  <c r="AD23" i="26" s="1"/>
  <c r="AB31" i="26"/>
  <c r="BX30" i="26" s="1"/>
  <c r="AB32" i="26" s="1"/>
  <c r="AB28" i="26"/>
  <c r="BX21" i="26"/>
  <c r="AB23" i="26" s="1"/>
  <c r="D72" i="2"/>
  <c r="FX41" i="27"/>
  <c r="CZ36" i="18"/>
  <c r="CX36" i="18"/>
  <c r="N36" i="18" s="1"/>
  <c r="BW69" i="26"/>
  <c r="BY68" i="26"/>
  <c r="N68" i="26" s="1"/>
  <c r="BW71" i="26"/>
  <c r="BY72" i="26"/>
  <c r="N72" i="26" s="1"/>
  <c r="E36" i="5" l="1"/>
  <c r="G36" i="5" s="1"/>
  <c r="D76" i="2"/>
  <c r="D69" i="48"/>
  <c r="D66" i="48"/>
  <c r="P36" i="18"/>
  <c r="L18" i="5" s="1"/>
  <c r="K34" i="5" s="1"/>
  <c r="K29" i="5"/>
  <c r="D73" i="2"/>
  <c r="E71" i="2" s="1"/>
  <c r="C25" i="20"/>
  <c r="C27" i="20" s="1"/>
  <c r="FO53" i="27"/>
  <c r="D13" i="35"/>
  <c r="FU53" i="27"/>
  <c r="J21" i="31"/>
  <c r="E84" i="2"/>
  <c r="AP22" i="18"/>
  <c r="DE21" i="18" s="1"/>
  <c r="AP21" i="18" s="1"/>
  <c r="AP25" i="18"/>
  <c r="DE24" i="18" s="1"/>
  <c r="AP24" i="18" s="1"/>
  <c r="AC68" i="26"/>
  <c r="Z70" i="26"/>
  <c r="BV69" i="26" s="1"/>
  <c r="Z71" i="26" s="1"/>
  <c r="AC71" i="26"/>
  <c r="AD31" i="26"/>
  <c r="BZ30" i="26" s="1"/>
  <c r="AD32" i="26" s="1"/>
  <c r="AD35" i="26"/>
  <c r="AI35" i="18"/>
  <c r="BX27" i="26"/>
  <c r="AB29" i="26" s="1"/>
  <c r="BZ27" i="26"/>
  <c r="AD29" i="26" s="1"/>
  <c r="BY71" i="26"/>
  <c r="B17" i="19"/>
  <c r="AA25" i="31" s="1"/>
  <c r="B16" i="19"/>
  <c r="AA24" i="31" s="1"/>
  <c r="B21" i="19"/>
  <c r="AU19" i="31" s="1"/>
  <c r="J22" i="31"/>
  <c r="BY69" i="26"/>
  <c r="FR53" i="27" l="1"/>
  <c r="AK35" i="18"/>
  <c r="AL34" i="18" s="1"/>
  <c r="DA33" i="18" s="1"/>
  <c r="AL33" i="18" s="1"/>
  <c r="E24" i="5"/>
  <c r="G24" i="5" s="1"/>
  <c r="L23" i="5"/>
  <c r="L29" i="5" s="1"/>
  <c r="D76" i="48"/>
  <c r="D64" i="48"/>
  <c r="D84" i="2"/>
  <c r="E62" i="2"/>
  <c r="AB70" i="26"/>
  <c r="BX69" i="26" s="1"/>
  <c r="AB71" i="26" s="1"/>
  <c r="E67" i="2"/>
  <c r="F67" i="2" s="1"/>
  <c r="E81" i="2"/>
  <c r="AH34" i="18"/>
  <c r="CW33" i="18" s="1"/>
  <c r="AH33" i="18" s="1"/>
  <c r="B18" i="19"/>
  <c r="AA26" i="31" s="1"/>
  <c r="C31" i="20"/>
  <c r="C249" i="20"/>
  <c r="C250" i="20" s="1"/>
  <c r="C251" i="20" s="1"/>
  <c r="C252" i="20" s="1"/>
  <c r="C132" i="20"/>
  <c r="C133" i="20" s="1"/>
  <c r="C134" i="20" s="1"/>
  <c r="C135" i="20" s="1"/>
  <c r="C366" i="20"/>
  <c r="C367" i="20" s="1"/>
  <c r="C368" i="20" s="1"/>
  <c r="C369" i="20" s="1"/>
  <c r="C288" i="20"/>
  <c r="C289" i="20" s="1"/>
  <c r="C290" i="20" s="1"/>
  <c r="C291" i="20" s="1"/>
  <c r="C171" i="20"/>
  <c r="C172" i="20" s="1"/>
  <c r="C173" i="20" s="1"/>
  <c r="C174" i="20" s="1"/>
  <c r="C405" i="20"/>
  <c r="C406" i="20" s="1"/>
  <c r="C407" i="20" s="1"/>
  <c r="C408" i="20" s="1"/>
  <c r="C392" i="20"/>
  <c r="C393" i="20" s="1"/>
  <c r="C394" i="20" s="1"/>
  <c r="C395" i="20" s="1"/>
  <c r="C236" i="20"/>
  <c r="C237" i="20" s="1"/>
  <c r="C238" i="20" s="1"/>
  <c r="C239" i="20" s="1"/>
  <c r="C184" i="20"/>
  <c r="C185" i="20" s="1"/>
  <c r="C186" i="20" s="1"/>
  <c r="C187" i="20" s="1"/>
  <c r="C340" i="20"/>
  <c r="C341" i="20" s="1"/>
  <c r="C342" i="20" s="1"/>
  <c r="C343" i="20" s="1"/>
  <c r="C67" i="20"/>
  <c r="C68" i="20" s="1"/>
  <c r="C69" i="20" s="1"/>
  <c r="C70" i="20" s="1"/>
  <c r="C106" i="20"/>
  <c r="C107" i="20" s="1"/>
  <c r="C108" i="20" s="1"/>
  <c r="C109" i="20" s="1"/>
  <c r="C119" i="20"/>
  <c r="C120" i="20" s="1"/>
  <c r="C121" i="20" s="1"/>
  <c r="C122" i="20" s="1"/>
  <c r="C314" i="20"/>
  <c r="C315" i="20" s="1"/>
  <c r="C316" i="20" s="1"/>
  <c r="C317" i="20" s="1"/>
  <c r="C145" i="20"/>
  <c r="C146" i="20" s="1"/>
  <c r="C147" i="20" s="1"/>
  <c r="C148" i="20" s="1"/>
  <c r="C327" i="20"/>
  <c r="C328" i="20" s="1"/>
  <c r="C329" i="20" s="1"/>
  <c r="C330" i="20" s="1"/>
  <c r="C93" i="20"/>
  <c r="C94" i="20" s="1"/>
  <c r="C95" i="20" s="1"/>
  <c r="C96" i="20" s="1"/>
  <c r="C301" i="20"/>
  <c r="C302" i="20" s="1"/>
  <c r="C303" i="20" s="1"/>
  <c r="C304" i="20" s="1"/>
  <c r="C80" i="20"/>
  <c r="C81" i="20" s="1"/>
  <c r="C82" i="20" s="1"/>
  <c r="C83" i="20" s="1"/>
  <c r="C262" i="20"/>
  <c r="C263" i="20" s="1"/>
  <c r="C264" i="20" s="1"/>
  <c r="C265" i="20" s="1"/>
  <c r="C158" i="20"/>
  <c r="C159" i="20" s="1"/>
  <c r="C160" i="20" s="1"/>
  <c r="C161" i="20" s="1"/>
  <c r="C210" i="20"/>
  <c r="C211" i="20" s="1"/>
  <c r="C212" i="20" s="1"/>
  <c r="C213" i="20" s="1"/>
  <c r="C275" i="20"/>
  <c r="C276" i="20" s="1"/>
  <c r="C277" i="20" s="1"/>
  <c r="C278" i="20" s="1"/>
  <c r="C379" i="20"/>
  <c r="C380" i="20" s="1"/>
  <c r="C381" i="20" s="1"/>
  <c r="C382" i="20" s="1"/>
  <c r="C197" i="20"/>
  <c r="C198" i="20" s="1"/>
  <c r="C199" i="20" s="1"/>
  <c r="C200" i="20" s="1"/>
  <c r="C353" i="20"/>
  <c r="C354" i="20" s="1"/>
  <c r="C355" i="20" s="1"/>
  <c r="C356" i="20" s="1"/>
  <c r="C223" i="20"/>
  <c r="C224" i="20" s="1"/>
  <c r="C225" i="20" s="1"/>
  <c r="C226" i="20" s="1"/>
  <c r="AJ34" i="18" l="1"/>
  <c r="CY33" i="18" s="1"/>
  <c r="AJ33" i="18" s="1"/>
  <c r="D73" i="48"/>
  <c r="D81" i="2"/>
  <c r="E79" i="2" s="1"/>
  <c r="E54" i="20"/>
  <c r="C54" i="20"/>
  <c r="D45" i="20" s="1"/>
  <c r="BU5" i="43" s="1"/>
  <c r="E66" i="2"/>
  <c r="B19" i="19"/>
  <c r="B22" i="19" s="1"/>
  <c r="B25" i="19" s="1"/>
  <c r="C58" i="20"/>
  <c r="P3" i="43" l="1"/>
  <c r="Q3" i="26"/>
  <c r="D71" i="48"/>
  <c r="E63" i="2"/>
  <c r="S3" i="18"/>
  <c r="AZ37" i="30"/>
  <c r="E65" i="2"/>
  <c r="AZ36" i="30"/>
  <c r="D44" i="20"/>
  <c r="BT5" i="43" s="1"/>
  <c r="D48" i="20"/>
  <c r="BX5" i="43" s="1"/>
  <c r="D49" i="20"/>
  <c r="BY5" i="43" s="1"/>
  <c r="D47" i="20"/>
  <c r="BW5" i="43" s="1"/>
  <c r="D46" i="20"/>
  <c r="BV5" i="43" s="1"/>
  <c r="CC5" i="26"/>
  <c r="DH5" i="18"/>
  <c r="D40" i="20"/>
  <c r="BX3" i="43" s="1"/>
  <c r="D39" i="20"/>
  <c r="BW3" i="43" s="1"/>
  <c r="D41" i="20"/>
  <c r="BY3" i="43" s="1"/>
  <c r="D36" i="20"/>
  <c r="BT3" i="43" s="1"/>
  <c r="D38" i="20"/>
  <c r="BV3" i="43" s="1"/>
  <c r="D37" i="20"/>
  <c r="BU3" i="43" s="1"/>
  <c r="AU20" i="31"/>
  <c r="AZ42" i="30"/>
  <c r="AZ41" i="30"/>
  <c r="AU22" i="31"/>
  <c r="B1" i="19"/>
  <c r="DG5" i="18" l="1"/>
  <c r="CD5" i="26"/>
  <c r="DJ5" i="18"/>
  <c r="DL5" i="18"/>
  <c r="DK5" i="18"/>
  <c r="CB5" i="26"/>
  <c r="CE5" i="26"/>
  <c r="CF5" i="26"/>
  <c r="DI5" i="18"/>
  <c r="CG5" i="26"/>
  <c r="DG3" i="18"/>
  <c r="CB3" i="26"/>
  <c r="DI3" i="18"/>
  <c r="CD3" i="26"/>
  <c r="CG3" i="26"/>
  <c r="DL3" i="18"/>
  <c r="DJ3" i="18"/>
  <c r="CE3" i="26"/>
  <c r="DK3" i="18"/>
  <c r="CF3" i="26"/>
  <c r="DH3" i="18"/>
  <c r="CC3" i="26"/>
  <c r="BQ132" i="26" l="1"/>
  <c r="F132" i="26" s="1"/>
  <c r="BS132" i="26"/>
  <c r="H132" i="26" s="1"/>
  <c r="BU132" i="26"/>
  <c r="J132" i="26" s="1"/>
  <c r="BU131" i="26" l="1"/>
  <c r="BS131" i="26"/>
  <c r="W131" i="26"/>
  <c r="BQ131" i="26"/>
  <c r="U131" i="26"/>
  <c r="V130" i="26" l="1"/>
  <c r="BR129" i="26" s="1"/>
  <c r="V131" i="26" s="1"/>
  <c r="Y131" i="26"/>
  <c r="X130" i="26" s="1"/>
  <c r="BT129" i="26" s="1"/>
  <c r="X131" i="26" s="1"/>
  <c r="K20" i="5"/>
  <c r="K36" i="5" s="1"/>
  <c r="E48" i="5" s="1"/>
  <c r="K25" i="5"/>
  <c r="V14" i="28"/>
  <c r="K31" i="5" l="1"/>
  <c r="G48" i="5" s="1"/>
  <c r="BE8" i="28"/>
  <c r="AT8" i="28"/>
  <c r="AF35" i="28"/>
  <c r="AF36" i="28" s="1"/>
  <c r="BD27" i="28" l="1"/>
  <c r="B55" i="29" l="1"/>
  <c r="AS33" i="28"/>
  <c r="B62" i="29"/>
  <c r="B56" i="29"/>
  <c r="BC35" i="28" l="1"/>
  <c r="B64" i="29"/>
  <c r="B65" i="29" s="1"/>
  <c r="B67" i="29" s="1"/>
  <c r="B69" i="29" s="1"/>
  <c r="B63" i="29"/>
  <c r="BP12" i="28" l="1"/>
  <c r="E23" i="28" s="1"/>
  <c r="B70" i="29"/>
  <c r="BO30" i="28"/>
  <c r="D69" i="29"/>
  <c r="C60" i="2" l="1"/>
  <c r="B71" i="29"/>
  <c r="BO32" i="28" s="1"/>
  <c r="E25" i="28" s="1"/>
  <c r="D60" i="2" l="1"/>
  <c r="A60" i="2"/>
  <c r="BI25" i="28"/>
  <c r="BO31" i="28"/>
  <c r="E24" i="28" s="1"/>
  <c r="D23" i="32"/>
  <c r="EL36" i="27" s="1"/>
  <c r="CW6" i="18" l="1"/>
  <c r="CW5" i="18" l="1"/>
  <c r="G8" i="3"/>
  <c r="G64" i="3" s="1"/>
  <c r="G66" i="3" l="1"/>
  <c r="E77" i="2"/>
  <c r="E85" i="2"/>
  <c r="D77" i="48" l="1"/>
  <c r="D70"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Basarich</author>
  </authors>
  <commentList>
    <comment ref="F4" authorId="0" shapeId="0" xr:uid="{00000000-0006-0000-1B00-000001000000}">
      <text>
        <r>
          <rPr>
            <b/>
            <sz val="9"/>
            <color indexed="81"/>
            <rFont val="Tahoma"/>
            <family val="2"/>
          </rPr>
          <t>Kyle Basarich:</t>
        </r>
        <r>
          <rPr>
            <sz val="9"/>
            <color indexed="81"/>
            <rFont val="Tahoma"/>
            <family val="2"/>
          </rPr>
          <t xml:space="preserve">
Increase based on Cooper B-Line guidance for continuous beam conditions.
12/20/16 - probably can be increased based on system design guidance from Cooper B-Line. 
See Support - B22 Strut Intro.pdf
</t>
        </r>
      </text>
    </comment>
    <comment ref="I4" authorId="0" shapeId="0" xr:uid="{00000000-0006-0000-1B00-000002000000}">
      <text>
        <r>
          <rPr>
            <b/>
            <sz val="9"/>
            <color indexed="81"/>
            <rFont val="Tahoma"/>
            <family val="2"/>
          </rPr>
          <t>Kyle Basarich:</t>
        </r>
        <r>
          <rPr>
            <sz val="9"/>
            <color indexed="81"/>
            <rFont val="Tahoma"/>
            <family val="2"/>
          </rPr>
          <t xml:space="preserve">
Increase based on Cooper B-Line guidance for continuous beam conditions.
See Support - B22 Strut Intro.pdf
</t>
        </r>
      </text>
    </comment>
    <comment ref="J4" authorId="0" shapeId="0" xr:uid="{00000000-0006-0000-1B00-000003000000}">
      <text>
        <r>
          <rPr>
            <b/>
            <sz val="9"/>
            <color indexed="81"/>
            <rFont val="Tahoma"/>
            <family val="2"/>
          </rPr>
          <t>Kyle Basarich:</t>
        </r>
        <r>
          <rPr>
            <sz val="9"/>
            <color indexed="81"/>
            <rFont val="Tahoma"/>
            <family val="2"/>
          </rPr>
          <t xml:space="preserve">
Half of the delta for fixed beam conditions, which resulted in approximately 70% increase in solid modeling FEA.</t>
        </r>
      </text>
    </comment>
    <comment ref="K4" authorId="0" shapeId="0" xr:uid="{00000000-0006-0000-1B00-000004000000}">
      <text>
        <r>
          <rPr>
            <b/>
            <sz val="9"/>
            <color indexed="81"/>
            <rFont val="Tahoma"/>
            <family val="2"/>
          </rPr>
          <t>Kyle Basarich:</t>
        </r>
        <r>
          <rPr>
            <sz val="9"/>
            <color indexed="81"/>
            <rFont val="Tahoma"/>
            <family val="2"/>
          </rPr>
          <t xml:space="preserve">
Based on solid modeling  and FEA, and guidance from cooper b-line. 
70% increase from simple beam to both ends fixed (pinned) against inward movement.</t>
        </r>
      </text>
    </comment>
    <comment ref="L4" authorId="0" shapeId="0" xr:uid="{00000000-0006-0000-1B00-000005000000}">
      <text>
        <r>
          <rPr>
            <b/>
            <sz val="9"/>
            <color indexed="81"/>
            <rFont val="Tahoma"/>
            <family val="2"/>
          </rPr>
          <t>Kyle Basarich:</t>
        </r>
        <r>
          <rPr>
            <sz val="9"/>
            <color indexed="81"/>
            <rFont val="Tahoma"/>
            <family val="2"/>
          </rPr>
          <t xml:space="preserve">
Theoretical max based on fixed beam on both ends, concentrated load in center from Support - B22 Strut Intro.pdf
</t>
        </r>
      </text>
    </comment>
  </commentList>
</comments>
</file>

<file path=xl/sharedStrings.xml><?xml version="1.0" encoding="utf-8"?>
<sst xmlns="http://schemas.openxmlformats.org/spreadsheetml/2006/main" count="88244" uniqueCount="20476">
  <si>
    <t>pf=0.7*Ce*Ct*I*Pg</t>
  </si>
  <si>
    <t>Price Per Watt</t>
  </si>
  <si>
    <t>Ct</t>
  </si>
  <si>
    <t>Ce</t>
  </si>
  <si>
    <t>ft</t>
  </si>
  <si>
    <t>zg (ft)</t>
  </si>
  <si>
    <t>Edge</t>
  </si>
  <si>
    <t>Internal Array Weight (psf)</t>
  </si>
  <si>
    <t>D</t>
  </si>
  <si>
    <t>Exposure B</t>
  </si>
  <si>
    <t>Exposure D</t>
  </si>
  <si>
    <t>Exposure C</t>
  </si>
  <si>
    <t>B</t>
  </si>
  <si>
    <t>Fa</t>
  </si>
  <si>
    <t>C</t>
  </si>
  <si>
    <t>exposure factor from table 7-2</t>
  </si>
  <si>
    <t>I</t>
  </si>
  <si>
    <t>W</t>
  </si>
  <si>
    <t>EPDM</t>
  </si>
  <si>
    <t>unheated</t>
  </si>
  <si>
    <t>l</t>
  </si>
  <si>
    <t>zg=</t>
  </si>
  <si>
    <t>w</t>
  </si>
  <si>
    <t>TERMS AND CONDITIONS</t>
  </si>
  <si>
    <t>TOTAL</t>
  </si>
  <si>
    <t>ground snow load from fig 7-1 and table 7-1</t>
  </si>
  <si>
    <t>thermal factor from table 7-3</t>
  </si>
  <si>
    <t>module length</t>
  </si>
  <si>
    <t>Ballast Block Weight</t>
  </si>
  <si>
    <t>III</t>
  </si>
  <si>
    <t>UNIT PRICE</t>
  </si>
  <si>
    <t>SHIPPING TERMS</t>
  </si>
  <si>
    <t>North Row</t>
  </si>
  <si>
    <t>Seismic Acceptable Without Tiedown?</t>
  </si>
  <si>
    <t>ESTIMATE</t>
  </si>
  <si>
    <t>lbf</t>
  </si>
  <si>
    <t>Fmax</t>
  </si>
  <si>
    <t>Max wind load</t>
  </si>
  <si>
    <t>Module Model</t>
  </si>
  <si>
    <t>lbs</t>
  </si>
  <si>
    <t>Corner</t>
  </si>
  <si>
    <t>YES</t>
  </si>
  <si>
    <t>I=Importance Factor</t>
  </si>
  <si>
    <t>QUOTE</t>
  </si>
  <si>
    <t>Landscape</t>
  </si>
  <si>
    <t>density of air</t>
  </si>
  <si>
    <t>Gc=gravity constant</t>
  </si>
  <si>
    <t>PRICE</t>
  </si>
  <si>
    <t>Table 6-2</t>
  </si>
  <si>
    <t>Sms = Fa x Ss</t>
  </si>
  <si>
    <t>α=</t>
  </si>
  <si>
    <t>Module Quantity</t>
  </si>
  <si>
    <t>module width</t>
  </si>
  <si>
    <t>Blocks per Ecofoot</t>
  </si>
  <si>
    <t>lbm-ft/(lbf-s^2)</t>
  </si>
  <si>
    <t>Max Allowable Force - Base Part</t>
  </si>
  <si>
    <t>where</t>
  </si>
  <si>
    <t>1. For estimating purposes only based on info provided, subject to change</t>
  </si>
  <si>
    <t>II</t>
  </si>
  <si>
    <t>Other</t>
  </si>
  <si>
    <t>IV</t>
  </si>
  <si>
    <t>lb</t>
  </si>
  <si>
    <t>30% Down, Balance at Shipment</t>
  </si>
  <si>
    <t>1 N =</t>
  </si>
  <si>
    <t>Exposure Category (B, C, D)</t>
  </si>
  <si>
    <t xml:space="preserve">Maximum Downward Force (Factored) per Ecofoot </t>
  </si>
  <si>
    <t>in</t>
  </si>
  <si>
    <t>Table 7-4: Category</t>
  </si>
  <si>
    <t>Kd=Directionality factor</t>
  </si>
  <si>
    <t>mph</t>
  </si>
  <si>
    <t>bb=ballast block weight</t>
  </si>
  <si>
    <t>Load Combination 2.3.2 (4) = 1.2D+1.6W+0.5S (For high wind)</t>
  </si>
  <si>
    <t>snow load on flat roofs</t>
  </si>
  <si>
    <t>Vsbs (factored)</t>
  </si>
  <si>
    <t>LINE TOTAL</t>
  </si>
  <si>
    <t>sales@ecolibriumsolar.com</t>
  </si>
  <si>
    <t>Number of blocks per Ecofoot</t>
  </si>
  <si>
    <t>ft^2</t>
  </si>
  <si>
    <t>includes check for minimum values for low slope roofs, pf=I*Pg where Pg&lt;=20 lb/sq.ft OR Pf=20*I where Pg exceeds 20 lb/sq.ft. (see 7.3)</t>
  </si>
  <si>
    <t>Occupancy Category (I,II,III,IV)</t>
  </si>
  <si>
    <t>epdm</t>
  </si>
  <si>
    <t>lb/ft3</t>
  </si>
  <si>
    <t>CUSTOMER</t>
  </si>
  <si>
    <t>Fmax=Pf*l*w</t>
  </si>
  <si>
    <t>total load  due to snow</t>
  </si>
  <si>
    <t>PAYMENT TERMS</t>
  </si>
  <si>
    <t>zmin=</t>
  </si>
  <si>
    <t>psf</t>
  </si>
  <si>
    <t>Snow Load Acceptable?</t>
  </si>
  <si>
    <t>Acceptable Snow Zone?</t>
  </si>
  <si>
    <t>importance factor from table 7-4</t>
  </si>
  <si>
    <t>Pg</t>
  </si>
  <si>
    <t>Pf</t>
  </si>
  <si>
    <t>all zones</t>
  </si>
  <si>
    <t>Interior</t>
  </si>
  <si>
    <t>Sheltered</t>
  </si>
  <si>
    <t>P: 740-249-1877</t>
  </si>
  <si>
    <t>Ballast Block</t>
  </si>
  <si>
    <t>Project Zip</t>
  </si>
  <si>
    <t>Category</t>
  </si>
  <si>
    <t>Project Address</t>
  </si>
  <si>
    <t>THANK YOU FOR YOUR BUSINESS!</t>
  </si>
  <si>
    <t>tpo</t>
  </si>
  <si>
    <t>WLFUz=Uplift wind load force in Z direction=pUz*Ala</t>
  </si>
  <si>
    <t>MULTIPLIER</t>
  </si>
  <si>
    <t>DESCRIPTION</t>
  </si>
  <si>
    <t>Number of panels per attachment</t>
  </si>
  <si>
    <t>Excess force per unit</t>
  </si>
  <si>
    <t>PROJECT</t>
  </si>
  <si>
    <t>FOB 44444</t>
  </si>
  <si>
    <t>System Size(kW)</t>
  </si>
  <si>
    <t>Module Manufacturer</t>
  </si>
  <si>
    <t>QTY</t>
  </si>
  <si>
    <t>SALESPERSON</t>
  </si>
  <si>
    <t>Table 7-2: Exposure</t>
  </si>
  <si>
    <t>Total</t>
  </si>
  <si>
    <t>Account Name</t>
  </si>
  <si>
    <t>α</t>
  </si>
  <si>
    <t>Kzt=topographic factor</t>
  </si>
  <si>
    <t>zmin(ft)</t>
  </si>
  <si>
    <t>Kz=adjustment factor for building height and exposure</t>
  </si>
  <si>
    <t>TPO</t>
  </si>
  <si>
    <t xml:space="preserve">Project  </t>
  </si>
  <si>
    <t>Sds = (2/3) x Sms</t>
  </si>
  <si>
    <t>other</t>
  </si>
  <si>
    <t>from section 7.3 Flat Roof Snow Loads</t>
  </si>
  <si>
    <t>Friction Coefficient</t>
  </si>
  <si>
    <t>Load combination 2.3.2 (3)=1.2D+1.6S+0.8W (high snow)</t>
  </si>
  <si>
    <t>per side of foot</t>
  </si>
  <si>
    <t>PVC</t>
  </si>
  <si>
    <t>z=</t>
  </si>
  <si>
    <t>Portrait</t>
  </si>
  <si>
    <t>Engineering Results</t>
  </si>
  <si>
    <t>Athens, OH 45701</t>
  </si>
  <si>
    <t>Slip Sheet</t>
  </si>
  <si>
    <t>Part #</t>
  </si>
  <si>
    <t>Cost</t>
  </si>
  <si>
    <t>Friction Coefficient Calculator</t>
  </si>
  <si>
    <t>Roof Type</t>
  </si>
  <si>
    <t>Cross section of ballast block</t>
  </si>
  <si>
    <t>Date</t>
  </si>
  <si>
    <t>Change</t>
  </si>
  <si>
    <t>Version</t>
  </si>
  <si>
    <t>Salesperson</t>
  </si>
  <si>
    <t>NO</t>
  </si>
  <si>
    <t>Mod Bit</t>
  </si>
  <si>
    <t>Module Info</t>
  </si>
  <si>
    <t>Module Power (w)</t>
  </si>
  <si>
    <t>Module Length (in)</t>
  </si>
  <si>
    <t>Module Width (in)</t>
  </si>
  <si>
    <t>Code Related</t>
  </si>
  <si>
    <t>Occupancy Category</t>
  </si>
  <si>
    <t>Wind Exposure</t>
  </si>
  <si>
    <t>Category II for typical buildings. Category III represents substantial hazard for human life, spaces where more than 300 people congregate, Ex. schools, jails, etc.  Category IV essential facilities, hospitals, emergency response, power plants, national defense.  From ASCE 7-05, Table 1-1</t>
  </si>
  <si>
    <t>Amount of snow expressed in psf which the region may experience.  From ASCE 7-05.  Based on the address of the jobsite.</t>
  </si>
  <si>
    <t>There are many different types of roofs which affect the friction coefficient and resulting ballast weights required.  The Ecofoot2 system performs best on TPO and EPDM membrane roofs. All other roof types use a lower friction coefficient.</t>
  </si>
  <si>
    <t>Wind Speed (mph)</t>
  </si>
  <si>
    <t>Snow Load (psf)</t>
  </si>
  <si>
    <t>Ballast Requirements</t>
  </si>
  <si>
    <t xml:space="preserve">Add slip sheets </t>
  </si>
  <si>
    <t>Add micro-inverter bracket</t>
  </si>
  <si>
    <t>Adders</t>
  </si>
  <si>
    <t>East Coast</t>
  </si>
  <si>
    <t>West Coast</t>
  </si>
  <si>
    <t>Standard</t>
  </si>
  <si>
    <t>Light Weight</t>
  </si>
  <si>
    <t>14-15</t>
  </si>
  <si>
    <t>4 x 8 x 16"</t>
  </si>
  <si>
    <t>33-36</t>
  </si>
  <si>
    <t>32-33</t>
  </si>
  <si>
    <t>26-27</t>
  </si>
  <si>
    <t>(NJ33,  MA34,  CT35)</t>
  </si>
  <si>
    <t>Specify which building code ASCE to use: 2005 or 2010. When using ASCE7-10, be sure to enter the wind speed corresponding to the occupancy category (which is the same as risk category).</t>
  </si>
  <si>
    <t>Importance Factor to use (asce7-5 or 10)</t>
  </si>
  <si>
    <t>Engineering Options</t>
  </si>
  <si>
    <t>Ip</t>
  </si>
  <si>
    <t>ap</t>
  </si>
  <si>
    <t>Section 13.3.1</t>
  </si>
  <si>
    <t>Section 13.3.1 max</t>
  </si>
  <si>
    <t>Wp=Weight per unit</t>
  </si>
  <si>
    <t>Rp</t>
  </si>
  <si>
    <t>Section 13.3.1 min</t>
  </si>
  <si>
    <t>Fp</t>
  </si>
  <si>
    <t>Section 13.3.1, Fp to be used</t>
  </si>
  <si>
    <t>Section 11.4.2 says use D unless soil known or unless AHJ or data determines otherwise</t>
  </si>
  <si>
    <t>Section 13.1.3</t>
  </si>
  <si>
    <t>Load Factor 1.0 used per Section 2.3.2 combination 7</t>
  </si>
  <si>
    <t>SEAOC section 4</t>
  </si>
  <si>
    <t>if negative, no fasteners are needed</t>
  </si>
  <si>
    <t>Seismic Design Category</t>
  </si>
  <si>
    <t>Project Variables</t>
  </si>
  <si>
    <t>GCp Values (for use with ASCE)</t>
  </si>
  <si>
    <t>Uplift Loading</t>
  </si>
  <si>
    <t>Downforce Loading</t>
  </si>
  <si>
    <t>1 Module by 1 Row</t>
  </si>
  <si>
    <t>No Parapet, Landscape Orientation</t>
  </si>
  <si>
    <t xml:space="preserve">North Corner </t>
  </si>
  <si>
    <t>North Leading Edge</t>
  </si>
  <si>
    <t>East &amp; West Edges</t>
  </si>
  <si>
    <t>Field</t>
  </si>
  <si>
    <t xml:space="preserve">South Corner </t>
  </si>
  <si>
    <t>South Leading Edge</t>
  </si>
  <si>
    <t>Drag Loading</t>
  </si>
  <si>
    <t>4 Modules by 4 Rows</t>
  </si>
  <si>
    <t>Ncor</t>
  </si>
  <si>
    <t>Scor</t>
  </si>
  <si>
    <t>pUz=Uplift design wind pressure in Z direction=qh*GCnUz</t>
  </si>
  <si>
    <t>2x2</t>
  </si>
  <si>
    <t>Area Reduction Curve Values</t>
  </si>
  <si>
    <t>Roof Area (sq. ft.)</t>
  </si>
  <si>
    <t>Reduction Factor - Uplift/Drag</t>
  </si>
  <si>
    <t>Reduction Factor - Downforce (Portrait)</t>
  </si>
  <si>
    <t>Reduction Factor - Downforce (Landscape)</t>
  </si>
  <si>
    <t>Nedge</t>
  </si>
  <si>
    <t>Sedge</t>
  </si>
  <si>
    <t>array continues to the right…</t>
  </si>
  <si>
    <t>ballast-to-uplift ratio for north row ecofoot</t>
  </si>
  <si>
    <t>ballast-to-uplift ratio for south row ecofoot</t>
  </si>
  <si>
    <t>South Row</t>
  </si>
  <si>
    <t>3x2</t>
  </si>
  <si>
    <t>2x3</t>
  </si>
  <si>
    <t>3x3</t>
  </si>
  <si>
    <t>E/W column</t>
  </si>
  <si>
    <t>#col x #rows</t>
  </si>
  <si>
    <t>subarray footprint (portrait)</t>
  </si>
  <si>
    <t>EWedge</t>
  </si>
  <si>
    <t>Uplift</t>
  </si>
  <si>
    <t>dLF1=Dead load of one tile</t>
  </si>
  <si>
    <t>Alb=Effective lift area of one tile (portrait)</t>
  </si>
  <si>
    <t>Acceptable Sub Array Size?</t>
  </si>
  <si>
    <t>Number of Extra Ballast Blocks Required In Subarray</t>
  </si>
  <si>
    <t>North Edge</t>
  </si>
  <si>
    <t>South Edge</t>
  </si>
  <si>
    <t>Column #</t>
  </si>
  <si>
    <t>Row #</t>
  </si>
  <si>
    <r>
      <t>Wind Force Averaging Area</t>
    </r>
    <r>
      <rPr>
        <b/>
        <sz val="7"/>
        <color indexed="19"/>
        <rFont val="Arial"/>
        <family val="2"/>
      </rPr>
      <t xml:space="preserve"> Number of Modules in EW Direction by Number of Rows in NS Direction</t>
    </r>
  </si>
  <si>
    <t>1_4</t>
  </si>
  <si>
    <t>…</t>
  </si>
  <si>
    <t>qh=velocity pressure=0.00256*Kz*Kzt*Kd*V^2*I</t>
  </si>
  <si>
    <t>Sub-array</t>
  </si>
  <si>
    <t>Sub-Array</t>
  </si>
  <si>
    <t>Deep Interior</t>
  </si>
  <si>
    <t>1x3</t>
  </si>
  <si>
    <t>3x1</t>
  </si>
  <si>
    <t>1x2</t>
  </si>
  <si>
    <t>2x1</t>
  </si>
  <si>
    <t>Ncor(one row or one column)</t>
  </si>
  <si>
    <t>E/W Edge</t>
  </si>
  <si>
    <t>1_7</t>
  </si>
  <si>
    <t>1_8</t>
  </si>
  <si>
    <t xml:space="preserve">Exposure B for urban, suburban, or wooded terrain extending all directions from the building for at least 2,600ft. Exposure C for open terrain with scattered obstructions, Ex. Airports, fields, large bodies of water.  Exception: If building is less than 30ft, distance reduced to 1,500ft. From ASCE 7-05 6.5.6 &amp; C6.5.6 </t>
  </si>
  <si>
    <t>2"x8x16</t>
  </si>
  <si>
    <t>16-17</t>
  </si>
  <si>
    <t>18-18.4</t>
  </si>
  <si>
    <t xml:space="preserve">This table tells you if the system will work based on the inputs and module defined. </t>
  </si>
  <si>
    <t>Static</t>
  </si>
  <si>
    <t>Dynamic</t>
  </si>
  <si>
    <t>Loose Gravel</t>
  </si>
  <si>
    <t>Firm Gravel</t>
  </si>
  <si>
    <t>included portrait in analysis. changed text on mid/end clamp kits. Added 3" blocks. Added exposure exemption text. Consolidated comments in sheet 1. Update friction coeffs.</t>
  </si>
  <si>
    <t>E</t>
  </si>
  <si>
    <t>Soil Site Class</t>
  </si>
  <si>
    <t>Fa (Site Class D)</t>
  </si>
  <si>
    <t>Fa (Site Class E)</t>
  </si>
  <si>
    <t>From Table 11.4-1. Linear interpolatation between Ss tier</t>
  </si>
  <si>
    <t>1_9</t>
  </si>
  <si>
    <t>added missing friction coefficients (caused error with seismic before), fixed bugs with quote and estimate adders, added block count to estimate, reduced cost of slip sheet</t>
  </si>
  <si>
    <t>If you paste inputs from old Ecocalcs, use "paste values" to keep spreadsheet functional</t>
  </si>
  <si>
    <t xml:space="preserve">Inquire about Site Class if Ss is between 0.3 and 0.75, otherwise select D. Select D if Site Class is D or less. (A=Hard Rock, B=Rock, C=Very Dense Soil and Soft Rock, D=Stiff Soil, E=Soft Clay Soil). If Site Class is F, inquire with Ecolibrium Solar. Site Class per ASCE 7-10 Chapter 20. </t>
  </si>
  <si>
    <t>1_10</t>
  </si>
  <si>
    <t>Changed how "yes"/"no" to "acceptable with ballast" appears, moved soil class and defined, increased attachment price to cover associated brackets and hardware, added old seismic calculation tab</t>
  </si>
  <si>
    <t>2_1</t>
  </si>
  <si>
    <t>2_2</t>
  </si>
  <si>
    <t>made attachment price vary based on whether it is seismic or wind attachment</t>
  </si>
  <si>
    <t>Bare</t>
  </si>
  <si>
    <t>Ecofoot Surface</t>
  </si>
  <si>
    <t>2_4</t>
  </si>
  <si>
    <t>Added option for "Bare" Ecofoot, added pallet weight, removed support kit, updated COGS</t>
  </si>
  <si>
    <t>2_6</t>
  </si>
  <si>
    <t>Changed ballast for subarray to including roof slope</t>
  </si>
  <si>
    <t>Project Inputs-Seismic</t>
  </si>
  <si>
    <t>Site Class</t>
  </si>
  <si>
    <t>Ie</t>
  </si>
  <si>
    <t>ΔMPV</t>
  </si>
  <si>
    <t>Inches</t>
  </si>
  <si>
    <t>Arrays</t>
  </si>
  <si>
    <t>Array and fixed object</t>
  </si>
  <si>
    <t>Array and edge with parapet</t>
  </si>
  <si>
    <t>Array and edge without parapet</t>
  </si>
  <si>
    <t>E/W Force Interconnection Design Strength</t>
  </si>
  <si>
    <t>pounds</t>
  </si>
  <si>
    <t>E/W Force Module Interconnection Design Strength</t>
  </si>
  <si>
    <t>N/S Force Interconnection Design Strength</t>
  </si>
  <si>
    <t>N/S Force Module Interconnection Design Strength</t>
  </si>
  <si>
    <t>Deflector</t>
  </si>
  <si>
    <t>blocks</t>
  </si>
  <si>
    <t>E/W Force</t>
  </si>
  <si>
    <t>modules</t>
  </si>
  <si>
    <t>N/S Force</t>
  </si>
  <si>
    <t>Interconnection Segment</t>
  </si>
  <si>
    <t>General naming convention should be "XY", where X is the number of the subarray (1, 2, 3, etc.) and Y is the interconnection segment (a, b, c, etc.)</t>
  </si>
  <si>
    <t>Force Direction</t>
  </si>
  <si>
    <t>-</t>
  </si>
  <si>
    <t>Modules at Interconnection</t>
  </si>
  <si>
    <t>W1</t>
  </si>
  <si>
    <t>Minimum Total Interconnection</t>
  </si>
  <si>
    <t>Minimum Module Interconnection</t>
  </si>
  <si>
    <t>Interconnection Result</t>
  </si>
  <si>
    <t>Modules per Side:Modules per Section</t>
  </si>
  <si>
    <t>:1</t>
  </si>
  <si>
    <t>Fa BASED ON SITE CLASS</t>
  </si>
  <si>
    <t>FORCE DIRECTION</t>
  </si>
  <si>
    <t>East/West</t>
  </si>
  <si>
    <t>North/South</t>
  </si>
  <si>
    <t>2_7</t>
  </si>
  <si>
    <t>Weight of PV module</t>
  </si>
  <si>
    <t>Ecofoot2 Base Weight</t>
  </si>
  <si>
    <t>Total Weight per Ecofoot2</t>
  </si>
  <si>
    <t>Number of Seismic Attachments</t>
  </si>
  <si>
    <t>Seismic Methodology</t>
  </si>
  <si>
    <t>Unattached</t>
  </si>
  <si>
    <t>Attached</t>
  </si>
  <si>
    <t>Total Weight of PV Module Plus Deflector</t>
  </si>
  <si>
    <t>Weight Racking and Ballast Per PV Module</t>
  </si>
  <si>
    <t>Ecofoot</t>
  </si>
  <si>
    <t>Select Force Direction</t>
  </si>
  <si>
    <t>Table 13.5-1 "Other Rigid Components-Limited Deformability" and SEAOC section 4 commentary</t>
  </si>
  <si>
    <t>Number of Blocks per Ecofoot</t>
  </si>
  <si>
    <t>Maximum Modules per Section per Module at Interconnection</t>
  </si>
  <si>
    <t>Maximum Section W1 per Module Interconnection</t>
  </si>
  <si>
    <t>Extended seismic calcs to include seaoc fully ballasted methodology; Adjusted Rp</t>
  </si>
  <si>
    <t>Roof slope (deg)</t>
  </si>
  <si>
    <t>2_8</t>
  </si>
  <si>
    <t>Added EcoFoot2+; Corrected seismic (unattached) methodology; clarified roof slope</t>
  </si>
  <si>
    <t>FOB 44707</t>
  </si>
  <si>
    <t>Tier</t>
  </si>
  <si>
    <t>Multiplier</t>
  </si>
  <si>
    <t>Customer Type</t>
  </si>
  <si>
    <t>Push to Distribution (Y/N)</t>
  </si>
  <si>
    <t>VIII</t>
  </si>
  <si>
    <t>Online Tool</t>
  </si>
  <si>
    <t>OR</t>
  </si>
  <si>
    <t>Yes</t>
  </si>
  <si>
    <t>VII</t>
  </si>
  <si>
    <t>Small Contractor</t>
  </si>
  <si>
    <t>Yes (attempt to, or if they have one)</t>
  </si>
  <si>
    <t>VI</t>
  </si>
  <si>
    <t>Medium Contractor</t>
  </si>
  <si>
    <t>Yes (if they have one)</t>
  </si>
  <si>
    <t>V</t>
  </si>
  <si>
    <t>Large Contractor</t>
  </si>
  <si>
    <t>Yes (if brought to us by distributor)</t>
  </si>
  <si>
    <t>Preferred Contractor</t>
  </si>
  <si>
    <t>No (unless brought to us by distributor)</t>
  </si>
  <si>
    <t>Distributor</t>
  </si>
  <si>
    <t>N/A</t>
  </si>
  <si>
    <t>Preferred Distributor</t>
  </si>
  <si>
    <t>Stocking Distributor</t>
  </si>
  <si>
    <t>2_8_1</t>
  </si>
  <si>
    <t>Updated pricing/costing; Removed EF2 info to only use EF2+; Updated 'Seismic Calcs (Unattached)' to reinstate missing formulas</t>
  </si>
  <si>
    <t>Built Up</t>
  </si>
  <si>
    <t>SLIP SHEET?</t>
  </si>
  <si>
    <t>No</t>
  </si>
  <si>
    <t>ROOF SURFACE</t>
  </si>
  <si>
    <t>ECOFOOT SURFACE</t>
  </si>
  <si>
    <t>Table A2: Recommended Pressure Coefficients – Landscape Orientation</t>
  </si>
  <si>
    <t>Values from: Ecofoot2 Racking System Wind Pressure Study; September 27, 2013</t>
  </si>
  <si>
    <t>Table 3: Recommended Pressure Coefficients – Landscape Orientation</t>
  </si>
  <si>
    <r>
      <t>Recommendations for parapet heights of less than 0.5H</t>
    </r>
    <r>
      <rPr>
        <b/>
        <vertAlign val="subscript"/>
        <sz val="10"/>
        <rFont val="Arial"/>
        <family val="2"/>
      </rPr>
      <t>array</t>
    </r>
  </si>
  <si>
    <r>
      <t>Recommendations for parapet heights of greater than or equal to 1H</t>
    </r>
    <r>
      <rPr>
        <b/>
        <vertAlign val="subscript"/>
        <sz val="10"/>
        <rFont val="Arial"/>
        <family val="2"/>
      </rPr>
      <t>array</t>
    </r>
  </si>
  <si>
    <t>Parapet Height (inches)</t>
  </si>
  <si>
    <r>
      <t>Linearly interpolated data for parapet heights of ≥0.5H</t>
    </r>
    <r>
      <rPr>
        <b/>
        <vertAlign val="subscript"/>
        <sz val="10"/>
        <rFont val="Arial"/>
        <family val="2"/>
      </rPr>
      <t>array</t>
    </r>
    <r>
      <rPr>
        <b/>
        <sz val="10"/>
        <rFont val="Arial"/>
        <family val="2"/>
      </rPr>
      <t xml:space="preserve"> and &lt;1H</t>
    </r>
    <r>
      <rPr>
        <b/>
        <vertAlign val="subscript"/>
        <sz val="10"/>
        <rFont val="Arial"/>
        <family val="2"/>
      </rPr>
      <t>array</t>
    </r>
  </si>
  <si>
    <t>Table 2: Recommended Pressure Coefficients – Portrait Orientation</t>
  </si>
  <si>
    <t>Table A1: Recommended Pressure Coefficients – Portrait Orientation</t>
  </si>
  <si>
    <t>Module Weight (lbs.)</t>
  </si>
  <si>
    <t>Roof Height (ft.)</t>
  </si>
  <si>
    <t>Seismic Data: Ss</t>
  </si>
  <si>
    <t>Landscape orientation is approximately a 10 degree tilt while Portrait has a 5 degree tilt.  Portrait will result more kW per roof area. The ballast requirements are similar regardless of orientation, but PSF is higher for portrait due to a more densely packed roof. If desired orientation says "NO" below, then mechanical attachments or doubling Ecofoot throughout are required.</t>
  </si>
  <si>
    <t>Most roofing-membrane manufacturers require a sacrificial "Slip Sheet" be used under each Ecofoot base</t>
  </si>
  <si>
    <t>Greatest height of the parapet wall above the roof surface. Enter "0" for roofs with no parapet. Parapets higher than 5.5 inches (1/2 the height of the installed system) will require more ballast.</t>
  </si>
  <si>
    <t>2_9</t>
  </si>
  <si>
    <t>first version of Ecocalcs with wind tunnel results. Portrait not complete yet</t>
  </si>
  <si>
    <t>fixed glitches and formatting</t>
  </si>
  <si>
    <t>in "eng inputs", fixed "yes/no" for single Ecofoot only, showed portrait matrix and improved matrix to make number of columns accurate, removed least building width input, made attachments appear on quote as caution in line item</t>
  </si>
  <si>
    <t>Added new seismic data per September 30, 2014 test report and moved it to its own tab, "Friction Data". Added GCp Values for parapets higher than our installed system and interpolated values for parapets between 1/2 the height and the full height of our installed system. Added fields for parapet height and slip sheet use in the Engineering Inputs</t>
  </si>
  <si>
    <t>Module Fire Type</t>
  </si>
  <si>
    <t>Fire Rating Required</t>
  </si>
  <si>
    <t>Type 1</t>
  </si>
  <si>
    <t>Type 3</t>
  </si>
  <si>
    <t>Type required for all projects that require a fire rating (Fire Rating Required = Yes).
N/A if not required (Fire Rating Required = No).</t>
  </si>
  <si>
    <t>2_10</t>
  </si>
  <si>
    <t>Number of Cells</t>
  </si>
  <si>
    <t>Number of cells required for all projects that require a fire rating (Fire Rating Required = Yes).</t>
  </si>
  <si>
    <t>Design strength per clamp</t>
  </si>
  <si>
    <t>Two clamps per module in E/W direction</t>
  </si>
  <si>
    <t>One total clamp per module in N/S direction</t>
  </si>
  <si>
    <t>Ps</t>
  </si>
  <si>
    <t>snow load on sloped roofs</t>
  </si>
  <si>
    <t>Cs</t>
  </si>
  <si>
    <t>Roof Slope</t>
  </si>
  <si>
    <t>roof slope factor (Fig. 7-2c solid line)</t>
  </si>
  <si>
    <r>
      <t>Equals 1 for slopes less than 45</t>
    </r>
    <r>
      <rPr>
        <sz val="10"/>
        <rFont val="Calibri"/>
        <family val="2"/>
      </rPr>
      <t>°</t>
    </r>
  </si>
  <si>
    <t>Slope adj. factor</t>
  </si>
  <si>
    <t>Guidance from RWDI
See email correspondence</t>
  </si>
  <si>
    <t>1-Eng Inputs', '2-EF2+ Quote Inputs', '3-EF2+ Quote','3-EF2+ Estimate' - Added fire rating requirements &amp; Fire Kits; 'Seismic Calcs (Unattached)' - updated interconnection design strength values from test results; Included slope-roof snow; Added slope factors for wind coefficients; Updated allowable roof slope</t>
  </si>
  <si>
    <t>Downforce (1x1)</t>
  </si>
  <si>
    <t>Max Downforce</t>
  </si>
  <si>
    <t>wind downforce</t>
  </si>
  <si>
    <t>2_11</t>
  </si>
  <si>
    <t>PART NAME</t>
  </si>
  <si>
    <t>PART NUMBER</t>
  </si>
  <si>
    <t>Part Name</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</si>
  <si>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</si>
  <si>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</si>
  <si>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</si>
  <si>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</si>
  <si>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</si>
  <si>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</si>
  <si>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</si>
  <si>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</si>
  <si>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</si>
  <si>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</si>
  <si>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</si>
  <si>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</si>
  <si>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</si>
  <si>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</si>
  <si>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</si>
  <si>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</si>
  <si>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</si>
  <si>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</si>
  <si>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</si>
  <si>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</si>
  <si>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</si>
  <si>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</si>
  <si>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</si>
  <si>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</si>
  <si>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</si>
  <si>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</si>
  <si>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</si>
  <si>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</si>
  <si>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</si>
  <si>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</si>
  <si>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</si>
  <si>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</si>
  <si>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</si>
  <si>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</si>
  <si>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</si>
  <si>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</si>
  <si>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PA</t>
  </si>
  <si>
    <t>RI</t>
  </si>
  <si>
    <t>SC</t>
  </si>
  <si>
    <t>SD</t>
  </si>
  <si>
    <t>TN</t>
  </si>
  <si>
    <t>TX</t>
  </si>
  <si>
    <t>UT</t>
  </si>
  <si>
    <t>VT</t>
  </si>
  <si>
    <t>VA</t>
  </si>
  <si>
    <t>WA</t>
  </si>
  <si>
    <t>WV</t>
  </si>
  <si>
    <t>WI</t>
  </si>
  <si>
    <t>WY</t>
  </si>
  <si>
    <t>Skewed Array</t>
  </si>
  <si>
    <t>Skewed Array Factors</t>
  </si>
  <si>
    <t>Uplift Factor</t>
  </si>
  <si>
    <t>Drag/Downforce Factor</t>
  </si>
  <si>
    <t>Is this ZIP…</t>
  </si>
  <si>
    <t>In CA?</t>
  </si>
  <si>
    <t>Added calculations for wind downforce; ‘2-EF2+ Quote Inputs’ - Added rounding to price column to prevent rounding errors, Changed “From Zip” to 44707; ‘3-EF2+ Quote’ - fixed formulas that referenced incorrect price and description; Part numbers and descriptions updated; 'CA Zips' added - CA projects result in higher engineering costs; '1-Eng Inputs' - added notes for fire rating selection - Class C can select "NO" for Fire Rating Required; '1-Eng Inputs' - added Skewed Array entry - added calculations to 'Land Coeffs' &amp; 'Port Coeffs'; Updated dead load values in 'Land Calcs (lift)' &amp; " Port Calcs (lift)' to include module+EF2+ assembly weights; '3-EF2+ Quote' - removed red shading in Row 23</t>
  </si>
  <si>
    <t>2_12</t>
  </si>
  <si>
    <t>Updated '2-EF2+ Quote Inputs' to pull correct side deflectors; Updated '1-Eng Inputs' C8 data type to "zip code"</t>
  </si>
  <si>
    <t>Holtsville</t>
  </si>
  <si>
    <t>Adjuntas</t>
  </si>
  <si>
    <t>PR</t>
  </si>
  <si>
    <t>Aguada</t>
  </si>
  <si>
    <t>Aguadilla</t>
  </si>
  <si>
    <t>Maricao</t>
  </si>
  <si>
    <t>Anasco</t>
  </si>
  <si>
    <t>Angeles</t>
  </si>
  <si>
    <t>Arecibo</t>
  </si>
  <si>
    <t>Bajadero</t>
  </si>
  <si>
    <t>Barceloneta</t>
  </si>
  <si>
    <t>Boqueron</t>
  </si>
  <si>
    <t>Cabo Rojo</t>
  </si>
  <si>
    <t>Penuelas</t>
  </si>
  <si>
    <t>Camuy</t>
  </si>
  <si>
    <t>Castaner</t>
  </si>
  <si>
    <t>Rosario</t>
  </si>
  <si>
    <t>Sabana Grande</t>
  </si>
  <si>
    <t>Ciales</t>
  </si>
  <si>
    <t>Utuado</t>
  </si>
  <si>
    <t>Dorado</t>
  </si>
  <si>
    <t>Ensenada</t>
  </si>
  <si>
    <t>Florida</t>
  </si>
  <si>
    <t>Garrochales</t>
  </si>
  <si>
    <t>Guanica</t>
  </si>
  <si>
    <t>Guayanilla</t>
  </si>
  <si>
    <t>Hatillo</t>
  </si>
  <si>
    <t>Hormigueros</t>
  </si>
  <si>
    <t>Isabela</t>
  </si>
  <si>
    <t>Jayuya</t>
  </si>
  <si>
    <t>Lajas</t>
  </si>
  <si>
    <t>Lares</t>
  </si>
  <si>
    <t>Las Marias</t>
  </si>
  <si>
    <t>Manati</t>
  </si>
  <si>
    <t>Moca</t>
  </si>
  <si>
    <t>Rincon</t>
  </si>
  <si>
    <t>Quebradillas</t>
  </si>
  <si>
    <t>Mayaguez</t>
  </si>
  <si>
    <t>San German</t>
  </si>
  <si>
    <t>San Sebastian</t>
  </si>
  <si>
    <t>Morovis</t>
  </si>
  <si>
    <t>Sabana Hoyos</t>
  </si>
  <si>
    <t>San Antonio</t>
  </si>
  <si>
    <t>Vega Alta</t>
  </si>
  <si>
    <t>Vega Baja</t>
  </si>
  <si>
    <t>Yauco</t>
  </si>
  <si>
    <t>Aguas Buenas</t>
  </si>
  <si>
    <t>Aguirre</t>
  </si>
  <si>
    <t>Aibonito</t>
  </si>
  <si>
    <t>Maunabo</t>
  </si>
  <si>
    <t>Arroyo</t>
  </si>
  <si>
    <t>Mercedita</t>
  </si>
  <si>
    <t>Ponce</t>
  </si>
  <si>
    <t>Naguabo</t>
  </si>
  <si>
    <t>Naranjito</t>
  </si>
  <si>
    <t>Orocovis</t>
  </si>
  <si>
    <t>Palmer</t>
  </si>
  <si>
    <t>Patillas</t>
  </si>
  <si>
    <t>Caguas</t>
  </si>
  <si>
    <t>Canovanas</t>
  </si>
  <si>
    <t>Ceiba</t>
  </si>
  <si>
    <t>Cayey</t>
  </si>
  <si>
    <t>Fajardo</t>
  </si>
  <si>
    <t>Cidra</t>
  </si>
  <si>
    <t>Puerto Real</t>
  </si>
  <si>
    <t>Punta Santiago</t>
  </si>
  <si>
    <t>Roosevelt Roads</t>
  </si>
  <si>
    <t>Rio Blanco</t>
  </si>
  <si>
    <t>Rio Grande</t>
  </si>
  <si>
    <t>Salinas</t>
  </si>
  <si>
    <t>San Lorenzo</t>
  </si>
  <si>
    <t>Santa Isabel</t>
  </si>
  <si>
    <t>Vieques</t>
  </si>
  <si>
    <t>Villalba</t>
  </si>
  <si>
    <t>Yabucoa</t>
  </si>
  <si>
    <t>Coamo</t>
  </si>
  <si>
    <t>Las Piedras</t>
  </si>
  <si>
    <t>Loiza</t>
  </si>
  <si>
    <t>Luquillo</t>
  </si>
  <si>
    <t>Culebra</t>
  </si>
  <si>
    <t>Juncos</t>
  </si>
  <si>
    <t>Gurabo</t>
  </si>
  <si>
    <t>Coto Laurel</t>
  </si>
  <si>
    <t>Comerio</t>
  </si>
  <si>
    <t>Corozal</t>
  </si>
  <si>
    <t>Guayama</t>
  </si>
  <si>
    <t>La Plata</t>
  </si>
  <si>
    <t>Humacao</t>
  </si>
  <si>
    <t>Barranquitas</t>
  </si>
  <si>
    <t>Juana Diaz</t>
  </si>
  <si>
    <t>St Thomas</t>
  </si>
  <si>
    <t>Christiansted</t>
  </si>
  <si>
    <t>St John</t>
  </si>
  <si>
    <t>Frederiksted</t>
  </si>
  <si>
    <t>Kingshill</t>
  </si>
  <si>
    <t>San Juan</t>
  </si>
  <si>
    <t>Fort Buchanan</t>
  </si>
  <si>
    <t>Toa Baja</t>
  </si>
  <si>
    <t>Sabana Seca</t>
  </si>
  <si>
    <t>Toa Alta</t>
  </si>
  <si>
    <t>Bayamon</t>
  </si>
  <si>
    <t>Catano</t>
  </si>
  <si>
    <t>Guaynabo</t>
  </si>
  <si>
    <t>Trujillo Alto</t>
  </si>
  <si>
    <t>Saint Just</t>
  </si>
  <si>
    <t>Carolina</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</si>
  <si>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</si>
  <si>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</si>
  <si>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</si>
  <si>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</si>
  <si>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</si>
  <si>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</si>
  <si>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</si>
  <si>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</si>
  <si>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</si>
  <si>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</si>
  <si>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</si>
  <si>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</si>
  <si>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</si>
  <si>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</si>
  <si>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</si>
  <si>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</si>
  <si>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</si>
  <si>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</si>
  <si>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</si>
  <si>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</si>
  <si>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</si>
  <si>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</si>
  <si>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</si>
  <si>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</si>
  <si>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</si>
  <si>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</si>
  <si>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</si>
  <si>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</si>
  <si>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</si>
  <si>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</si>
  <si>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</si>
  <si>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</si>
  <si>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</si>
  <si>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</si>
  <si>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</si>
  <si>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</si>
  <si>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</si>
  <si>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</si>
  <si>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</si>
  <si>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</si>
  <si>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</si>
  <si>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</si>
  <si>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</si>
  <si>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</si>
  <si>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</si>
  <si>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</si>
  <si>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</si>
  <si>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</si>
  <si>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</si>
  <si>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</si>
  <si>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</si>
  <si>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</si>
  <si>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</si>
  <si>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</si>
  <si>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</si>
  <si>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</si>
  <si>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</si>
  <si>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</si>
  <si>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</si>
  <si>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</si>
  <si>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</si>
  <si>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</si>
  <si>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</si>
  <si>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</si>
  <si>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</si>
  <si>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</si>
  <si>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</si>
  <si>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</si>
  <si>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</si>
  <si>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</si>
  <si>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</si>
  <si>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</si>
  <si>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</si>
  <si>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</si>
  <si>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</si>
  <si>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</si>
  <si>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</si>
  <si>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</si>
  <si>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</si>
  <si>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</si>
  <si>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</si>
  <si>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</si>
  <si>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</si>
  <si>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</si>
  <si>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</si>
  <si>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</si>
  <si>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</si>
  <si>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</si>
  <si>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</si>
  <si>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</si>
  <si>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</si>
  <si>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</si>
  <si>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</si>
  <si>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</si>
  <si>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</si>
  <si>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</si>
  <si>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</si>
  <si>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</si>
  <si>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</si>
  <si>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</si>
  <si>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</si>
  <si>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</si>
  <si>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</si>
  <si>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</si>
  <si>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</si>
  <si>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</si>
  <si>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</si>
  <si>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Millers Falls</t>
  </si>
  <si>
    <t>Monroe Bridge</t>
  </si>
  <si>
    <t>Montague</t>
  </si>
  <si>
    <t>Gill</t>
  </si>
  <si>
    <t>New Salem</t>
  </si>
  <si>
    <t>Northfield</t>
  </si>
  <si>
    <t>Orange</t>
  </si>
  <si>
    <t>Petersham</t>
  </si>
  <si>
    <t>Rowe</t>
  </si>
  <si>
    <t>Royalston</t>
  </si>
  <si>
    <t>Shelburne Falls</t>
  </si>
  <si>
    <t>South Deerfield</t>
  </si>
  <si>
    <t>Sunderland</t>
  </si>
  <si>
    <t>Turners Falls</t>
  </si>
  <si>
    <t>Warwick</t>
  </si>
  <si>
    <t>Wendell</t>
  </si>
  <si>
    <t>Wendell Depot</t>
  </si>
  <si>
    <t>Fitchburg</t>
  </si>
  <si>
    <t>Ashburnham</t>
  </si>
  <si>
    <t>Ashby</t>
  </si>
  <si>
    <t>Ayer</t>
  </si>
  <si>
    <t>Devens</t>
  </si>
  <si>
    <t>Baldwinville</t>
  </si>
  <si>
    <t>East Templeton</t>
  </si>
  <si>
    <t>Gardner</t>
  </si>
  <si>
    <t>Westminster</t>
  </si>
  <si>
    <t>Groton</t>
  </si>
  <si>
    <t>Harvard</t>
  </si>
  <si>
    <t>Hubbardston</t>
  </si>
  <si>
    <t>Leominster</t>
  </si>
  <si>
    <t>Littleton</t>
  </si>
  <si>
    <t>Lunenburg</t>
  </si>
  <si>
    <t>Pepperell</t>
  </si>
  <si>
    <t>Shirley</t>
  </si>
  <si>
    <t>Still River</t>
  </si>
  <si>
    <t>Templeton</t>
  </si>
  <si>
    <t>Townsend</t>
  </si>
  <si>
    <t>West Groton</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</si>
  <si>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</si>
  <si>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</si>
  <si>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</si>
  <si>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</si>
  <si>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</si>
  <si>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</si>
  <si>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</si>
  <si>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</si>
  <si>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</si>
  <si>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</si>
  <si>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</si>
  <si>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</si>
  <si>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</si>
  <si>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</si>
  <si>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</si>
  <si>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</si>
  <si>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</si>
  <si>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</si>
  <si>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</si>
  <si>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</si>
  <si>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</si>
  <si>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</si>
  <si>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</si>
  <si>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</si>
  <si>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</si>
  <si>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</si>
  <si>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</si>
  <si>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</si>
  <si>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</si>
  <si>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</si>
  <si>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</si>
  <si>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</si>
  <si>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</si>
  <si>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</si>
  <si>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</si>
  <si>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</si>
  <si>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</si>
  <si>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</si>
  <si>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</si>
  <si>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</si>
  <si>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</si>
  <si>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</si>
  <si>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</si>
  <si>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</si>
  <si>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</si>
  <si>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</si>
  <si>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</si>
  <si>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</si>
  <si>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</si>
  <si>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</si>
  <si>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</si>
  <si>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</si>
  <si>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</si>
  <si>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</si>
  <si>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</si>
  <si>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</si>
  <si>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</si>
  <si>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</si>
  <si>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</si>
  <si>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</si>
  <si>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</si>
  <si>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</si>
  <si>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</si>
  <si>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</si>
  <si>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</si>
  <si>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</si>
  <si>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</si>
  <si>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</si>
  <si>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</si>
  <si>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</si>
  <si>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</si>
  <si>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</si>
  <si>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</si>
  <si>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</si>
  <si>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</si>
  <si>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</si>
  <si>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</si>
  <si>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</si>
  <si>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</si>
  <si>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</si>
  <si>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</si>
  <si>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</si>
  <si>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</si>
  <si>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</si>
  <si>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</si>
  <si>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</si>
  <si>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</si>
  <si>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</si>
  <si>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</si>
  <si>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</si>
  <si>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</si>
  <si>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</si>
  <si>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</si>
  <si>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</si>
  <si>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</si>
  <si>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</si>
  <si>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</si>
  <si>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</si>
  <si>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</si>
  <si>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</si>
  <si>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</si>
  <si>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</si>
  <si>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</si>
  <si>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</si>
  <si>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Reading</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</si>
  <si>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</si>
  <si>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</si>
  <si>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</si>
  <si>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</si>
  <si>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</si>
  <si>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</si>
  <si>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</si>
  <si>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</si>
  <si>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</si>
  <si>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</si>
  <si>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</si>
  <si>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</si>
  <si>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</si>
  <si>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</si>
  <si>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</si>
  <si>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</si>
  <si>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</si>
  <si>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</si>
  <si>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</si>
  <si>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</si>
  <si>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</si>
  <si>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</si>
  <si>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</si>
  <si>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</si>
  <si>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Middleton</t>
  </si>
  <si>
    <t>Newburyport</t>
  </si>
  <si>
    <t>Newbury</t>
  </si>
  <si>
    <t>Salisbury</t>
  </si>
  <si>
    <t>Peabody</t>
  </si>
  <si>
    <t>Prides Crossing</t>
  </si>
  <si>
    <t>Rockport</t>
  </si>
  <si>
    <t>Rowley</t>
  </si>
  <si>
    <t>Salem</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</si>
  <si>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</si>
  <si>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</si>
  <si>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</si>
  <si>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</si>
  <si>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</si>
  <si>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</si>
  <si>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</si>
  <si>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</si>
  <si>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</si>
  <si>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</si>
  <si>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</si>
  <si>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</si>
  <si>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</si>
  <si>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</si>
  <si>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</si>
  <si>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</si>
  <si>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</si>
  <si>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</si>
  <si>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</si>
  <si>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</si>
  <si>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</si>
  <si>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</si>
  <si>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</si>
  <si>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</si>
  <si>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</si>
  <si>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</si>
  <si>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</si>
  <si>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</si>
  <si>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</si>
  <si>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</si>
  <si>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</si>
  <si>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</si>
  <si>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</si>
  <si>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</si>
  <si>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</si>
  <si>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</si>
  <si>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</si>
  <si>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</si>
  <si>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</si>
  <si>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</si>
  <si>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</si>
  <si>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</si>
  <si>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Roxbury</t>
  </si>
  <si>
    <t>Roxbury Crossing</t>
  </si>
  <si>
    <t>Dorchester</t>
  </si>
  <si>
    <t>Dorchester Center</t>
  </si>
  <si>
    <t>Mattapan</t>
  </si>
  <si>
    <t>Charlestown</t>
  </si>
  <si>
    <t>Jamaica Plain</t>
  </si>
  <si>
    <t>Roslindale</t>
  </si>
  <si>
    <t>West Roxbury</t>
  </si>
  <si>
    <t>Allston</t>
  </si>
  <si>
    <t>Brighton</t>
  </si>
  <si>
    <t>Hyde Park</t>
  </si>
  <si>
    <t>Readville</t>
  </si>
  <si>
    <t>Cambridge</t>
  </si>
  <si>
    <t>Somerville</t>
  </si>
  <si>
    <t>Malden</t>
  </si>
  <si>
    <t>Everett</t>
  </si>
  <si>
    <t>Chelsea</t>
  </si>
  <si>
    <t>Revere</t>
  </si>
  <si>
    <t>Winthrop</t>
  </si>
  <si>
    <t>Medford</t>
  </si>
  <si>
    <t>West Medford</t>
  </si>
  <si>
    <t>Quincy</t>
  </si>
  <si>
    <t>Melrose</t>
  </si>
  <si>
    <t>Stoneham</t>
  </si>
  <si>
    <t>Braintree</t>
  </si>
  <si>
    <t>Milton</t>
  </si>
  <si>
    <t>Milton Village</t>
  </si>
  <si>
    <t>Weymouth</t>
  </si>
  <si>
    <t>East Weymouth</t>
  </si>
  <si>
    <t>South Weymouth</t>
  </si>
  <si>
    <t>North Weymouth</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</si>
  <si>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</si>
  <si>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</si>
  <si>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</si>
  <si>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</si>
  <si>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</si>
  <si>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</si>
  <si>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</si>
  <si>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</si>
  <si>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</si>
  <si>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</si>
  <si>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</si>
  <si>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</si>
  <si>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</si>
  <si>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</si>
  <si>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</si>
  <si>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</si>
  <si>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</si>
  <si>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</si>
  <si>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</si>
  <si>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</si>
  <si>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</si>
  <si>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</si>
  <si>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</si>
  <si>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</si>
  <si>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</si>
  <si>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</si>
  <si>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</si>
  <si>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</si>
  <si>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</si>
  <si>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</si>
  <si>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</si>
  <si>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</si>
  <si>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</si>
  <si>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Lexington</t>
  </si>
  <si>
    <t>Brookline</t>
  </si>
  <si>
    <t>Brookline Village</t>
  </si>
  <si>
    <t>Waltham</t>
  </si>
  <si>
    <t>North Waltham</t>
  </si>
  <si>
    <t>New Town</t>
  </si>
  <si>
    <t>Babson Park</t>
  </si>
  <si>
    <t>Newton</t>
  </si>
  <si>
    <t>Newton Center</t>
  </si>
  <si>
    <t>Newtonville</t>
  </si>
  <si>
    <t>Newton Highlands</t>
  </si>
  <si>
    <t>Newton Lower Falls</t>
  </si>
  <si>
    <t>Newton Upper Falls</t>
  </si>
  <si>
    <t>West Newton</t>
  </si>
  <si>
    <t>Auburndale</t>
  </si>
  <si>
    <t>Chestnut Hill</t>
  </si>
  <si>
    <t>Waban</t>
  </si>
  <si>
    <t>Watertown</t>
  </si>
  <si>
    <t>Arlington</t>
  </si>
  <si>
    <t>Arlington Heights</t>
  </si>
  <si>
    <t>Belmont</t>
  </si>
  <si>
    <t>Waverley</t>
  </si>
  <si>
    <t>Wellesley Hills</t>
  </si>
  <si>
    <t>Wellesley</t>
  </si>
  <si>
    <t>Needham</t>
  </si>
  <si>
    <t>Weston</t>
  </si>
  <si>
    <t>Needham Heights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</si>
  <si>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</si>
  <si>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</si>
  <si>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</si>
  <si>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</si>
  <si>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</si>
  <si>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</si>
  <si>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</si>
  <si>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</si>
  <si>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</si>
  <si>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</si>
  <si>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</si>
  <si>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</si>
  <si>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</si>
  <si>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</si>
  <si>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</si>
  <si>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</si>
  <si>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</si>
  <si>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</si>
  <si>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</si>
  <si>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</si>
  <si>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</si>
  <si>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</si>
  <si>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</si>
  <si>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</si>
  <si>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Chop</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</si>
  <si>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</si>
  <si>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</si>
  <si>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</si>
  <si>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</si>
  <si>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</si>
  <si>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</si>
  <si>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</si>
  <si>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</si>
  <si>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</si>
  <si>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</si>
  <si>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</si>
  <si>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</si>
  <si>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</si>
  <si>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</si>
  <si>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</si>
  <si>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</si>
  <si>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</si>
  <si>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</si>
  <si>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</si>
  <si>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</si>
  <si>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</si>
  <si>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</si>
  <si>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</si>
  <si>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</si>
  <si>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</si>
  <si>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</si>
  <si>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</si>
  <si>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</si>
  <si>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</si>
  <si>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</si>
  <si>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</si>
  <si>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</si>
  <si>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</si>
  <si>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</si>
  <si>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</si>
  <si>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</si>
  <si>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</si>
  <si>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</si>
  <si>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</si>
  <si>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</si>
  <si>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</si>
  <si>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</si>
  <si>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</si>
  <si>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</si>
  <si>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</si>
  <si>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</si>
  <si>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</si>
  <si>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</si>
  <si>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</si>
  <si>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</si>
  <si>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</si>
  <si>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</si>
  <si>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</si>
  <si>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</si>
  <si>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</si>
  <si>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</si>
  <si>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</si>
  <si>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</si>
  <si>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</si>
  <si>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Attleboro</t>
  </si>
  <si>
    <t>Plainville</t>
  </si>
  <si>
    <t>Attleboro Falls</t>
  </si>
  <si>
    <t>North Dighton</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</si>
  <si>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</si>
  <si>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</si>
  <si>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</si>
  <si>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</si>
  <si>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</si>
  <si>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</si>
  <si>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</si>
  <si>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</si>
  <si>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</si>
  <si>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</si>
  <si>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</si>
  <si>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</si>
  <si>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</si>
  <si>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</si>
  <si>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</si>
  <si>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</si>
  <si>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</si>
  <si>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</si>
  <si>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</si>
  <si>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</si>
  <si>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</si>
  <si>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</si>
  <si>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</si>
  <si>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</si>
  <si>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</si>
  <si>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</si>
  <si>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</si>
  <si>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</si>
  <si>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</si>
  <si>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</si>
  <si>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</si>
  <si>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</si>
  <si>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</si>
  <si>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</si>
  <si>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</si>
  <si>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</si>
  <si>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</si>
  <si>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</si>
  <si>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</si>
  <si>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</si>
  <si>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</si>
  <si>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</si>
  <si>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</si>
  <si>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</si>
  <si>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</si>
  <si>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Portsmouth</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</si>
  <si>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</si>
  <si>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</si>
  <si>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</si>
  <si>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</si>
  <si>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</si>
  <si>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</si>
  <si>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</si>
  <si>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</si>
  <si>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</si>
  <si>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</si>
  <si>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</si>
  <si>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</si>
  <si>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</si>
  <si>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</si>
  <si>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</si>
  <si>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</si>
  <si>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</si>
  <si>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</si>
  <si>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</si>
  <si>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</si>
  <si>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</si>
  <si>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</si>
  <si>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</si>
  <si>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</si>
  <si>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</si>
  <si>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</si>
  <si>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</si>
  <si>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</si>
  <si>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</si>
  <si>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</si>
  <si>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</si>
  <si>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</si>
  <si>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</si>
  <si>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</si>
  <si>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</si>
  <si>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</si>
  <si>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</si>
  <si>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</si>
  <si>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</si>
  <si>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</si>
  <si>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</si>
  <si>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</si>
  <si>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</si>
  <si>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</si>
  <si>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</si>
  <si>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</si>
  <si>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</si>
  <si>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</si>
  <si>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</si>
  <si>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</si>
  <si>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</si>
  <si>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</si>
  <si>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</si>
  <si>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</si>
  <si>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</si>
  <si>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</si>
  <si>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</si>
  <si>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</si>
  <si>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</si>
  <si>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Elkins</t>
  </si>
  <si>
    <t>Epsom</t>
  </si>
  <si>
    <t>Gilmanton</t>
  </si>
  <si>
    <t>Glencliff</t>
  </si>
  <si>
    <t>Hebron</t>
  </si>
  <si>
    <t>Henniker</t>
  </si>
  <si>
    <t>Hill</t>
  </si>
  <si>
    <t>Hillsborough</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</si>
  <si>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</si>
  <si>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</si>
  <si>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</si>
  <si>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</si>
  <si>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</si>
  <si>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</si>
  <si>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</si>
  <si>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</si>
  <si>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</si>
  <si>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</si>
  <si>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</si>
  <si>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</si>
  <si>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</si>
  <si>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</si>
  <si>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</si>
  <si>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</si>
  <si>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</si>
  <si>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</si>
  <si>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</si>
  <si>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</si>
  <si>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</si>
  <si>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</si>
  <si>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</si>
  <si>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</si>
  <si>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</si>
  <si>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</si>
  <si>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</si>
  <si>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</si>
  <si>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</si>
  <si>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</si>
  <si>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</si>
  <si>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</si>
  <si>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</si>
  <si>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</si>
  <si>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</si>
  <si>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</si>
  <si>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</si>
  <si>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</si>
  <si>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</si>
  <si>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</si>
  <si>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</si>
  <si>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</si>
  <si>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</si>
  <si>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</si>
  <si>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Nelson</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</si>
  <si>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</si>
  <si>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</si>
  <si>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</si>
  <si>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</si>
  <si>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</si>
  <si>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</si>
  <si>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</si>
  <si>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</si>
  <si>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</si>
  <si>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</si>
  <si>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</si>
  <si>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</si>
  <si>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</si>
  <si>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</si>
  <si>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</si>
  <si>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</si>
  <si>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</si>
  <si>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</si>
  <si>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</si>
  <si>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</si>
  <si>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</si>
  <si>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</si>
  <si>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</si>
  <si>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</si>
  <si>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</si>
  <si>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</si>
  <si>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</si>
  <si>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</si>
  <si>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</si>
  <si>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</si>
  <si>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</si>
  <si>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</si>
  <si>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</si>
  <si>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</si>
  <si>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</si>
  <si>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</si>
  <si>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</si>
  <si>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</si>
  <si>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</si>
  <si>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</si>
  <si>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</si>
  <si>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</si>
  <si>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</si>
  <si>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</si>
  <si>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</si>
  <si>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</si>
  <si>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North Haverhill</t>
  </si>
  <si>
    <t>Orford</t>
  </si>
  <si>
    <t>Piermont</t>
  </si>
  <si>
    <t>Pike</t>
  </si>
  <si>
    <t>Sunapee</t>
  </si>
  <si>
    <t>West Lebanon</t>
  </si>
  <si>
    <t>Woodsville</t>
  </si>
  <si>
    <t>Newington</t>
  </si>
  <si>
    <t>Alton</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</si>
  <si>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</si>
  <si>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</si>
  <si>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</si>
  <si>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</si>
  <si>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</si>
  <si>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</si>
  <si>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</si>
  <si>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</si>
  <si>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</si>
  <si>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</si>
  <si>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</si>
  <si>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</si>
  <si>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</si>
  <si>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</si>
  <si>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</si>
  <si>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</si>
  <si>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</si>
  <si>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</si>
  <si>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</si>
  <si>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</si>
  <si>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</si>
  <si>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</si>
  <si>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</si>
  <si>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</si>
  <si>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</si>
  <si>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</si>
  <si>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</si>
  <si>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</si>
  <si>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</si>
  <si>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</si>
  <si>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</si>
  <si>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</si>
  <si>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</si>
  <si>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</si>
  <si>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</si>
  <si>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</si>
  <si>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</si>
  <si>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</si>
  <si>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</si>
  <si>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Rollinsford</t>
  </si>
  <si>
    <t>Rye</t>
  </si>
  <si>
    <t>Rye Beach</t>
  </si>
  <si>
    <t>Sanbornville</t>
  </si>
  <si>
    <t>Sandown</t>
  </si>
  <si>
    <t>Seabrook</t>
  </si>
  <si>
    <t>Silver Lake</t>
  </si>
  <si>
    <t>Somersworth</t>
  </si>
  <si>
    <t>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</si>
  <si>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</si>
  <si>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</si>
  <si>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</si>
  <si>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</si>
  <si>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</si>
  <si>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</si>
  <si>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</si>
  <si>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</si>
  <si>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</si>
  <si>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</si>
  <si>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</si>
  <si>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</si>
  <si>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</si>
  <si>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</si>
  <si>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</si>
  <si>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</si>
  <si>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</si>
  <si>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</si>
  <si>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</si>
  <si>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</si>
  <si>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</si>
  <si>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</si>
  <si>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</si>
  <si>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</si>
  <si>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</si>
  <si>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</si>
  <si>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</si>
  <si>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</si>
  <si>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</si>
  <si>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</si>
  <si>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</si>
  <si>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</si>
  <si>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</si>
  <si>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</si>
  <si>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</si>
  <si>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</si>
  <si>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</si>
  <si>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</si>
  <si>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Parsonsfield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</si>
  <si>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</si>
  <si>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</si>
  <si>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</si>
  <si>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</si>
  <si>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</si>
  <si>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</si>
  <si>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</si>
  <si>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</si>
  <si>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</si>
  <si>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</si>
  <si>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</si>
  <si>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</si>
  <si>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</si>
  <si>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</si>
  <si>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</si>
  <si>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Moody</t>
  </si>
  <si>
    <t>Naples</t>
  </si>
  <si>
    <t>Newfield</t>
  </si>
  <si>
    <t>North Bridgton</t>
  </si>
  <si>
    <t>North Waterboro</t>
  </si>
  <si>
    <t>Ocean Park</t>
  </si>
  <si>
    <t>Old Orchard Beach</t>
  </si>
  <si>
    <t>Orrs Island</t>
  </si>
  <si>
    <t>Porter</t>
  </si>
  <si>
    <t>Pownal</t>
  </si>
  <si>
    <t>Scarborough</t>
  </si>
  <si>
    <t>Saco</t>
  </si>
  <si>
    <t>Sanford</t>
  </si>
  <si>
    <t>Sebago Lake</t>
  </si>
  <si>
    <t>Shapleigh</t>
  </si>
  <si>
    <t>South Casco</t>
  </si>
  <si>
    <t>South Freeport</t>
  </si>
  <si>
    <t>Harpswell</t>
  </si>
  <si>
    <t>South Windham</t>
  </si>
  <si>
    <t>Springvale</t>
  </si>
  <si>
    <t>Standish</t>
  </si>
  <si>
    <t>Steep Falls</t>
  </si>
  <si>
    <t>Topsham</t>
  </si>
  <si>
    <t>Waterboro</t>
  </si>
  <si>
    <t>Waterford</t>
  </si>
  <si>
    <t>Wells</t>
  </si>
  <si>
    <t>West Baldwin</t>
  </si>
  <si>
    <t>Westbrook</t>
  </si>
  <si>
    <t>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</si>
  <si>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</si>
  <si>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</si>
  <si>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</si>
  <si>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</si>
  <si>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</si>
  <si>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</si>
  <si>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</si>
  <si>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</si>
  <si>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</si>
  <si>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</si>
  <si>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</si>
  <si>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</si>
  <si>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</si>
  <si>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</si>
  <si>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</si>
  <si>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</si>
  <si>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</si>
  <si>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Wilton</t>
  </si>
  <si>
    <t>Jay</t>
  </si>
  <si>
    <t>Lewiston</t>
  </si>
  <si>
    <t>Lisbon Falls</t>
  </si>
  <si>
    <t>Livermore</t>
  </si>
  <si>
    <t>Livermore Falls</t>
  </si>
  <si>
    <t>Greenwood</t>
  </si>
  <si>
    <t>Mechanic Falls</t>
  </si>
  <si>
    <t>Mexico</t>
  </si>
  <si>
    <t>Monmouth</t>
  </si>
  <si>
    <t>New Gloucester</t>
  </si>
  <si>
    <t>Newry</t>
  </si>
  <si>
    <t>North Jay</t>
  </si>
  <si>
    <t>North Monmouth</t>
  </si>
  <si>
    <t>North Turner</t>
  </si>
  <si>
    <t>North Waterford</t>
  </si>
  <si>
    <t>Norway</t>
  </si>
  <si>
    <t>Paris</t>
  </si>
  <si>
    <t>Poland</t>
  </si>
  <si>
    <t>Sabattus</t>
  </si>
  <si>
    <t>South Paris</t>
  </si>
  <si>
    <t>Turner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</si>
  <si>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</si>
  <si>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</si>
  <si>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</si>
  <si>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</si>
  <si>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</si>
  <si>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</si>
  <si>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</si>
  <si>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</si>
  <si>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</si>
  <si>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</si>
  <si>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</si>
  <si>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</si>
  <si>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</si>
  <si>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</si>
  <si>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</si>
  <si>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</si>
  <si>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</si>
  <si>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</si>
  <si>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</si>
  <si>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</si>
  <si>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</si>
  <si>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</si>
  <si>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</si>
  <si>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Bangor</t>
  </si>
  <si>
    <t>Abbot</t>
  </si>
  <si>
    <t>Aurora</t>
  </si>
  <si>
    <t>Bradley</t>
  </si>
  <si>
    <t>Brewer</t>
  </si>
  <si>
    <t>Brookton</t>
  </si>
  <si>
    <t>Brownville</t>
  </si>
  <si>
    <t>Brownville Junction</t>
  </si>
  <si>
    <t>Bucksport</t>
  </si>
  <si>
    <t>Carmel</t>
  </si>
  <si>
    <t>Castine</t>
  </si>
  <si>
    <t>Charleston</t>
  </si>
  <si>
    <t>Danforth</t>
  </si>
  <si>
    <t>Dover Foxcroft</t>
  </si>
  <si>
    <t>Corinth</t>
  </si>
  <si>
    <t>Eddington</t>
  </si>
  <si>
    <t>East Millinocket</t>
  </si>
  <si>
    <t>East Orland</t>
  </si>
  <si>
    <t>Frankfort</t>
  </si>
  <si>
    <t>Greenville Junction</t>
  </si>
  <si>
    <t>Guilford</t>
  </si>
  <si>
    <t>Howland</t>
  </si>
  <si>
    <t>Kenduskeag</t>
  </si>
  <si>
    <t>Kingman</t>
  </si>
  <si>
    <t>Lagrange</t>
  </si>
  <si>
    <t>Lambert Lake</t>
  </si>
  <si>
    <t>Levant</t>
  </si>
  <si>
    <t>Mattawamkeag</t>
  </si>
  <si>
    <t>Millinocket</t>
  </si>
  <si>
    <t>Milo</t>
  </si>
  <si>
    <t>Olamon</t>
  </si>
  <si>
    <t>Old Town</t>
  </si>
  <si>
    <t>Orono</t>
  </si>
  <si>
    <t>Orient</t>
  </si>
  <si>
    <t>Orland</t>
  </si>
  <si>
    <t>Orrington</t>
  </si>
  <si>
    <t>Passadumkeag</t>
  </si>
  <si>
    <t>Penobscot</t>
  </si>
  <si>
    <t>Rockwood</t>
  </si>
  <si>
    <t>Sangerville</t>
  </si>
  <si>
    <t>Sebec</t>
  </si>
  <si>
    <t>Shirley Mills</t>
  </si>
  <si>
    <t>Stetson</t>
  </si>
  <si>
    <t>Stillwater</t>
  </si>
  <si>
    <t>Vanceboro</t>
  </si>
  <si>
    <t>Waite</t>
  </si>
  <si>
    <t>West Enfield</t>
  </si>
  <si>
    <t>Winn</t>
  </si>
  <si>
    <t>Winterport</t>
  </si>
  <si>
    <t>Wytopitlock</t>
  </si>
  <si>
    <t>Alna</t>
  </si>
  <si>
    <t>Boothbay</t>
  </si>
  <si>
    <t>Boothbay Harbor</t>
  </si>
  <si>
    <t>Chamberlain</t>
  </si>
  <si>
    <t>Damariscotta</t>
  </si>
  <si>
    <t>East Boothbay</t>
  </si>
  <si>
    <t>Friendship</t>
  </si>
  <si>
    <t>Isle Of Springs</t>
  </si>
  <si>
    <t>Bremen</t>
  </si>
  <si>
    <t>Newcastle</t>
  </si>
  <si>
    <t>New Harbor</t>
  </si>
  <si>
    <t>Nobleboro</t>
  </si>
  <si>
    <t>Edgecomb</t>
  </si>
  <si>
    <t>Pemaquid</t>
  </si>
  <si>
    <t>Phippsburg</t>
  </si>
  <si>
    <t>Cushing</t>
  </si>
  <si>
    <t>Round Pond</t>
  </si>
  <si>
    <t>Sebasco Estates</t>
  </si>
  <si>
    <t>South Bristol</t>
  </si>
  <si>
    <t>Squirrel Island</t>
  </si>
  <si>
    <t>Trevett</t>
  </si>
  <si>
    <t>Waldoboro</t>
  </si>
  <si>
    <t>West Boothbay Harbor</t>
  </si>
  <si>
    <t>Southport</t>
  </si>
  <si>
    <t>Wiscasset</t>
  </si>
  <si>
    <t>Woolwich</t>
  </si>
  <si>
    <t>Ellsworth</t>
  </si>
  <si>
    <t>Addison</t>
  </si>
  <si>
    <t>Gouldsboro</t>
  </si>
  <si>
    <t>Bar Harbor</t>
  </si>
  <si>
    <t>Beals</t>
  </si>
  <si>
    <t>Bernard</t>
  </si>
  <si>
    <t>Birch Harbor</t>
  </si>
  <si>
    <t>Blue Hill</t>
  </si>
  <si>
    <t>Brooklin</t>
  </si>
  <si>
    <t>Brooksville</t>
  </si>
  <si>
    <t>Calais</t>
  </si>
  <si>
    <t>Cherryfield</t>
  </si>
  <si>
    <t>Columbia Falls</t>
  </si>
  <si>
    <t>Corea</t>
  </si>
  <si>
    <t>Cranberry Isles</t>
  </si>
  <si>
    <t>Cutler</t>
  </si>
  <si>
    <t>Deer Isle</t>
  </si>
  <si>
    <t>Dennysville</t>
  </si>
  <si>
    <t>East Blue Hill</t>
  </si>
  <si>
    <t>East Machias</t>
  </si>
  <si>
    <t>Eastport</t>
  </si>
  <si>
    <t>Frenchboro</t>
  </si>
  <si>
    <t>Grand Lake Stream</t>
  </si>
  <si>
    <t>Harborside</t>
  </si>
  <si>
    <t>Harrington</t>
  </si>
  <si>
    <t>Hulls Cove</t>
  </si>
  <si>
    <t>Isle Au Haut</t>
  </si>
  <si>
    <t>Islesford</t>
  </si>
  <si>
    <t>Jonesboro</t>
  </si>
  <si>
    <t>Jonesport</t>
  </si>
  <si>
    <t>Little Deer Isle</t>
  </si>
  <si>
    <t>Lubec</t>
  </si>
  <si>
    <t>Bass Harbor</t>
  </si>
  <si>
    <t>Machias</t>
  </si>
  <si>
    <t>Machiasport</t>
  </si>
  <si>
    <t>Meddybemps</t>
  </si>
  <si>
    <t>Milbridge</t>
  </si>
  <si>
    <t>Mount Desert</t>
  </si>
  <si>
    <t>Northeast Harbor</t>
  </si>
  <si>
    <t>Perry</t>
  </si>
  <si>
    <t>Prospect Harbor</t>
  </si>
  <si>
    <t>Robbinston</t>
  </si>
  <si>
    <t>Salsbury Cove</t>
  </si>
  <si>
    <t>Sargentville</t>
  </si>
  <si>
    <t>Seal Cove</t>
  </si>
  <si>
    <t>Seal Harbor</t>
  </si>
  <si>
    <t>Sedgwick</t>
  </si>
  <si>
    <t>Sorrento</t>
  </si>
  <si>
    <t>Southwest Harbor</t>
  </si>
  <si>
    <t>Steuben</t>
  </si>
  <si>
    <t>Stonington</t>
  </si>
  <si>
    <t>Sunset</t>
  </si>
  <si>
    <t>Surry</t>
  </si>
  <si>
    <t>Swans Island</t>
  </si>
  <si>
    <t>Wesley</t>
  </si>
  <si>
    <t>Whiting</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</si>
  <si>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</si>
  <si>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</si>
  <si>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</si>
  <si>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</si>
  <si>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</si>
  <si>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</si>
  <si>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</si>
  <si>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</si>
  <si>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</si>
  <si>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</si>
  <si>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</si>
  <si>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</si>
  <si>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</si>
  <si>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</si>
  <si>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</si>
  <si>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</si>
  <si>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Limestone</t>
  </si>
  <si>
    <t>Madawaska</t>
  </si>
  <si>
    <t>Mapleton</t>
  </si>
  <si>
    <t>Mars Hill</t>
  </si>
  <si>
    <t>Monticello</t>
  </si>
  <si>
    <t>New Limerick</t>
  </si>
  <si>
    <t>New Sweden</t>
  </si>
  <si>
    <t>Oakfield</t>
  </si>
  <si>
    <t>Oxbow</t>
  </si>
  <si>
    <t>Patten</t>
  </si>
  <si>
    <t>Perham</t>
  </si>
  <si>
    <t>Portage</t>
  </si>
  <si>
    <t>Presque Isle</t>
  </si>
  <si>
    <t>Saint Agatha</t>
  </si>
  <si>
    <t>Saint David</t>
  </si>
  <si>
    <t>Saint Francis</t>
  </si>
  <si>
    <t>Sheridan</t>
  </si>
  <si>
    <t>Sherman</t>
  </si>
  <si>
    <t>Stacyville</t>
  </si>
  <si>
    <t>Sinclair</t>
  </si>
  <si>
    <t>Smyrna Mills</t>
  </si>
  <si>
    <t>Wallagrass</t>
  </si>
  <si>
    <t>Stockholm</t>
  </si>
  <si>
    <t>Van Buren</t>
  </si>
  <si>
    <t>Washburn</t>
  </si>
  <si>
    <t>Camden</t>
  </si>
  <si>
    <t>Glen Cove</t>
  </si>
  <si>
    <t>Islesboro</t>
  </si>
  <si>
    <t>Lincolnville</t>
  </si>
  <si>
    <t>Lincolnville Center</t>
  </si>
  <si>
    <t>Matinicus</t>
  </si>
  <si>
    <t>Monhegan</t>
  </si>
  <si>
    <t>North Haven</t>
  </si>
  <si>
    <t>Owls Head</t>
  </si>
  <si>
    <t>Port Clyde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</si>
  <si>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</si>
  <si>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</si>
  <si>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</si>
  <si>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</si>
  <si>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</si>
  <si>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</si>
  <si>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</si>
  <si>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</si>
  <si>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</si>
  <si>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</si>
  <si>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</si>
  <si>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</si>
  <si>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</si>
  <si>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</si>
  <si>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</si>
  <si>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</si>
  <si>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 Village</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</si>
  <si>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</si>
  <si>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</si>
  <si>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</si>
  <si>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</si>
  <si>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</si>
  <si>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</si>
  <si>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</si>
  <si>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</si>
  <si>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</si>
  <si>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</si>
  <si>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</si>
  <si>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</si>
  <si>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</si>
  <si>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</si>
  <si>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</si>
  <si>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</si>
  <si>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</si>
  <si>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</si>
  <si>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</si>
  <si>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</si>
  <si>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</si>
  <si>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</si>
  <si>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</si>
  <si>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</si>
  <si>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</si>
  <si>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</si>
  <si>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</si>
  <si>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</si>
  <si>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</si>
  <si>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</si>
  <si>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</si>
  <si>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</si>
  <si>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</si>
  <si>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</si>
  <si>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</si>
  <si>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</si>
  <si>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</si>
  <si>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</si>
  <si>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</si>
  <si>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</si>
  <si>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</si>
  <si>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</si>
  <si>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</si>
  <si>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</si>
  <si>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</si>
  <si>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</si>
  <si>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</si>
  <si>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</si>
  <si>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</si>
  <si>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</si>
  <si>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</si>
  <si>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</si>
  <si>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</si>
  <si>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</si>
  <si>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</si>
  <si>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</si>
  <si>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</si>
  <si>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</si>
  <si>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</si>
  <si>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</si>
  <si>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</si>
  <si>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</si>
  <si>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</si>
  <si>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</si>
  <si>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</si>
  <si>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</si>
  <si>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</si>
  <si>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</si>
  <si>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</si>
  <si>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</si>
  <si>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</si>
  <si>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</si>
  <si>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</si>
  <si>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</si>
  <si>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</si>
  <si>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</si>
  <si>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</si>
  <si>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</si>
  <si>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</si>
  <si>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</si>
  <si>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</si>
  <si>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</si>
  <si>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</si>
  <si>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</si>
  <si>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</si>
  <si>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</si>
  <si>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</si>
  <si>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</si>
  <si>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</si>
  <si>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</si>
  <si>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</si>
  <si>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</si>
  <si>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</si>
  <si>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</si>
  <si>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</si>
  <si>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</si>
  <si>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</si>
  <si>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</si>
  <si>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</si>
  <si>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</si>
  <si>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</si>
  <si>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</si>
  <si>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Stamford</t>
  </si>
  <si>
    <t>Townshend</t>
  </si>
  <si>
    <t>Vernon</t>
  </si>
  <si>
    <t>Wardsboro</t>
  </si>
  <si>
    <t>West Dover</t>
  </si>
  <si>
    <t>West Dummerston</t>
  </si>
  <si>
    <t>West Halifax</t>
  </si>
  <si>
    <t>West Townshend</t>
  </si>
  <si>
    <t>West Wardsboro</t>
  </si>
  <si>
    <t>Whitingham</t>
  </si>
  <si>
    <t>Williamsville</t>
  </si>
  <si>
    <t>South Burlington</t>
  </si>
  <si>
    <t>Winooski</t>
  </si>
  <si>
    <t>Colchester</t>
  </si>
  <si>
    <t>Alburgh</t>
  </si>
  <si>
    <t>Bakersfield</t>
  </si>
  <si>
    <t>Belvidere Center</t>
  </si>
  <si>
    <t>Charlotte</t>
  </si>
  <si>
    <t>East Berkshire</t>
  </si>
  <si>
    <t>East Fairfield</t>
  </si>
  <si>
    <t>Enosburg Falls</t>
  </si>
  <si>
    <t>Essex Junction</t>
  </si>
  <si>
    <t>Fairfax</t>
  </si>
  <si>
    <t>Ferrisburgh</t>
  </si>
  <si>
    <t>Highgate Center</t>
  </si>
  <si>
    <t>Highgate Springs</t>
  </si>
  <si>
    <t>Hinesburg</t>
  </si>
  <si>
    <t>Isle La Motte</t>
  </si>
  <si>
    <t>Jeffersonville</t>
  </si>
  <si>
    <t>Jericho</t>
  </si>
  <si>
    <t>Jonesville</t>
  </si>
  <si>
    <t>Monkton</t>
  </si>
  <si>
    <t>Montgomery</t>
  </si>
  <si>
    <t>Montgomery Center</t>
  </si>
  <si>
    <t>New Haven</t>
  </si>
  <si>
    <t>North Ferrisburgh</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</si>
  <si>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</si>
  <si>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</si>
  <si>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</si>
  <si>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</si>
  <si>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</si>
  <si>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</si>
  <si>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</si>
  <si>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</si>
  <si>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</si>
  <si>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</si>
  <si>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</si>
  <si>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</si>
  <si>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</si>
  <si>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</si>
  <si>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</si>
  <si>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</si>
  <si>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</si>
  <si>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</si>
  <si>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</si>
  <si>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</si>
  <si>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</si>
  <si>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</si>
  <si>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</si>
  <si>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</si>
  <si>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</si>
  <si>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</si>
  <si>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</si>
  <si>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</si>
  <si>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</si>
  <si>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</si>
  <si>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</si>
  <si>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</si>
  <si>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</si>
  <si>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</si>
  <si>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</si>
  <si>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</si>
  <si>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</si>
  <si>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</si>
  <si>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</si>
  <si>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</si>
  <si>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</si>
  <si>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</si>
  <si>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</si>
  <si>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</si>
  <si>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</si>
  <si>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</si>
  <si>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</si>
  <si>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</si>
  <si>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</si>
  <si>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</si>
  <si>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</si>
  <si>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</si>
  <si>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</si>
  <si>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</si>
  <si>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</si>
  <si>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</si>
  <si>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</si>
  <si>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</si>
  <si>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</si>
  <si>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</si>
  <si>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</si>
  <si>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</si>
  <si>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</si>
  <si>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</si>
  <si>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</si>
  <si>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</si>
  <si>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</si>
  <si>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</si>
  <si>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</si>
  <si>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</si>
  <si>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</si>
  <si>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Albany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</si>
  <si>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</si>
  <si>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</si>
  <si>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</si>
  <si>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</si>
  <si>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</si>
  <si>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</si>
  <si>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</si>
  <si>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</si>
  <si>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</si>
  <si>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</si>
  <si>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</si>
  <si>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</si>
  <si>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</si>
  <si>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</si>
  <si>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</si>
  <si>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</si>
  <si>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</si>
  <si>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</si>
  <si>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</si>
  <si>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</si>
  <si>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</si>
  <si>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</si>
  <si>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</si>
  <si>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</si>
  <si>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</si>
  <si>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</si>
  <si>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</si>
  <si>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</si>
  <si>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</si>
  <si>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</si>
  <si>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</si>
  <si>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</si>
  <si>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</si>
  <si>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</si>
  <si>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</si>
  <si>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</si>
  <si>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</si>
  <si>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</si>
  <si>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</si>
  <si>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</si>
  <si>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</si>
  <si>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</si>
  <si>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</si>
  <si>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</si>
  <si>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</si>
  <si>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</si>
  <si>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</si>
  <si>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</si>
  <si>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</si>
  <si>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New Britain</t>
  </si>
  <si>
    <t>New Hartford</t>
  </si>
  <si>
    <t>North Canton</t>
  </si>
  <si>
    <t>North Granby</t>
  </si>
  <si>
    <t>Pine Meadow</t>
  </si>
  <si>
    <t>Barkhamsted</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</si>
  <si>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</si>
  <si>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</si>
  <si>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</si>
  <si>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</si>
  <si>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</si>
  <si>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</si>
  <si>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</si>
  <si>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</si>
  <si>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</si>
  <si>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</si>
  <si>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</si>
  <si>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</si>
  <si>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</si>
  <si>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</si>
  <si>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</si>
  <si>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</si>
  <si>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</si>
  <si>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</si>
  <si>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</si>
  <si>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</si>
  <si>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</si>
  <si>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</si>
  <si>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</si>
  <si>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</si>
  <si>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</si>
  <si>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</si>
  <si>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East Hartford</t>
  </si>
  <si>
    <t>Wethersfield</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</si>
  <si>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</si>
  <si>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</si>
  <si>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</si>
  <si>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</si>
  <si>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</si>
  <si>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</si>
  <si>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</si>
  <si>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</si>
  <si>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</si>
  <si>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</si>
  <si>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</si>
  <si>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</si>
  <si>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</si>
  <si>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</si>
  <si>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</si>
  <si>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</si>
  <si>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</si>
  <si>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</si>
  <si>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</si>
  <si>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</si>
  <si>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</si>
  <si>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</si>
  <si>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</si>
  <si>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</si>
  <si>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</si>
  <si>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</si>
  <si>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</si>
  <si>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</si>
  <si>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</si>
  <si>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</si>
  <si>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</si>
  <si>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</si>
  <si>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</si>
  <si>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</si>
  <si>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</si>
  <si>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Mashantucket</t>
  </si>
  <si>
    <t>Ledyard</t>
  </si>
  <si>
    <t>Jewett City</t>
  </si>
  <si>
    <t>Montville</t>
  </si>
  <si>
    <t>Moosup</t>
  </si>
  <si>
    <t>Mystic</t>
  </si>
  <si>
    <t>Niantic</t>
  </si>
  <si>
    <t>North Stonington</t>
  </si>
  <si>
    <t>Preston</t>
  </si>
  <si>
    <t>Oakdale</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</si>
  <si>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</si>
  <si>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</si>
  <si>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</si>
  <si>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</si>
  <si>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</si>
  <si>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</si>
  <si>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</si>
  <si>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</si>
  <si>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</si>
  <si>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</si>
  <si>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</si>
  <si>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</si>
  <si>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</si>
  <si>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</si>
  <si>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</si>
  <si>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</si>
  <si>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</si>
  <si>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</si>
  <si>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</si>
  <si>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</si>
  <si>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</si>
  <si>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</si>
  <si>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</si>
  <si>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</si>
  <si>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</si>
  <si>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</si>
  <si>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</si>
  <si>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</si>
  <si>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</si>
  <si>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</si>
  <si>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</si>
  <si>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</si>
  <si>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</si>
  <si>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</si>
  <si>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</si>
  <si>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</si>
  <si>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</si>
  <si>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</si>
  <si>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</si>
  <si>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</si>
  <si>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</si>
  <si>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</si>
  <si>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</si>
  <si>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</si>
  <si>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</si>
  <si>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</si>
  <si>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</si>
  <si>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</si>
  <si>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</si>
  <si>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</si>
  <si>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</si>
  <si>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</si>
  <si>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</si>
  <si>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</si>
  <si>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</si>
  <si>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</si>
  <si>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</si>
  <si>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</si>
  <si>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</si>
  <si>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</si>
  <si>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</si>
  <si>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</si>
  <si>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</si>
  <si>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</si>
  <si>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</si>
  <si>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</si>
  <si>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</si>
  <si>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South Kent</t>
  </si>
  <si>
    <t>Terryville</t>
  </si>
  <si>
    <t>Torrington</t>
  </si>
  <si>
    <t>Harwinton</t>
  </si>
  <si>
    <t>Washington Depot</t>
  </si>
  <si>
    <t>West Cornwall</t>
  </si>
  <si>
    <t>Cos Cob</t>
  </si>
  <si>
    <t>New Fairfield</t>
  </si>
  <si>
    <t>Darien</t>
  </si>
  <si>
    <t>Greenwich</t>
  </si>
  <si>
    <t>Greens Farms</t>
  </si>
  <si>
    <t>New Canaan</t>
  </si>
  <si>
    <t>Norwalk</t>
  </si>
  <si>
    <t>Old Greenwich</t>
  </si>
  <si>
    <t>Redding Center</t>
  </si>
  <si>
    <t>Redding Ridge</t>
  </si>
  <si>
    <t>Ridgefield</t>
  </si>
  <si>
    <t>Redding</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</si>
  <si>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</si>
  <si>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</si>
  <si>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</si>
  <si>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</si>
  <si>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</si>
  <si>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</si>
  <si>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</si>
  <si>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</si>
  <si>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</si>
  <si>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</si>
  <si>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</si>
  <si>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</si>
  <si>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</si>
  <si>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</si>
  <si>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</si>
  <si>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</si>
  <si>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</si>
  <si>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</si>
  <si>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</si>
  <si>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</si>
  <si>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</si>
  <si>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</si>
  <si>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</si>
  <si>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</si>
  <si>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</si>
  <si>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</si>
  <si>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</si>
  <si>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</si>
  <si>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</si>
  <si>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</si>
  <si>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</si>
  <si>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</si>
  <si>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</si>
  <si>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</si>
  <si>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</si>
  <si>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</si>
  <si>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</si>
  <si>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</si>
  <si>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</si>
  <si>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</si>
  <si>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</si>
  <si>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</si>
  <si>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</si>
  <si>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</si>
  <si>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</si>
  <si>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</si>
  <si>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</si>
  <si>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</si>
  <si>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</si>
  <si>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</si>
  <si>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</si>
  <si>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</si>
  <si>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</si>
  <si>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</si>
  <si>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</si>
  <si>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</si>
  <si>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</si>
  <si>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</si>
  <si>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</si>
  <si>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</si>
  <si>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</si>
  <si>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</si>
  <si>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</si>
  <si>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</si>
  <si>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</si>
  <si>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</si>
  <si>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</si>
  <si>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</si>
  <si>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</si>
  <si>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</si>
  <si>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Elizabethport</t>
  </si>
  <si>
    <t>Allendale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</si>
  <si>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</si>
  <si>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</si>
  <si>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</si>
  <si>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</si>
  <si>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</si>
  <si>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</si>
  <si>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</si>
  <si>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</si>
  <si>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</si>
  <si>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</si>
  <si>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</si>
  <si>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</si>
  <si>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</si>
  <si>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</si>
  <si>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</si>
  <si>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</si>
  <si>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</si>
  <si>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</si>
  <si>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</si>
  <si>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</si>
  <si>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</si>
  <si>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</si>
  <si>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</si>
  <si>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</si>
  <si>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</si>
  <si>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</si>
  <si>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</si>
  <si>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</si>
  <si>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</si>
  <si>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</si>
  <si>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</si>
  <si>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</si>
  <si>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</si>
  <si>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</si>
  <si>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</si>
  <si>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</si>
  <si>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</si>
  <si>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</si>
  <si>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</si>
  <si>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</si>
  <si>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</si>
  <si>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</si>
  <si>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</si>
  <si>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</si>
  <si>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</si>
  <si>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</si>
  <si>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</si>
  <si>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</si>
  <si>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</si>
  <si>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</si>
  <si>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</si>
  <si>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</si>
  <si>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</si>
  <si>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</si>
  <si>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</si>
  <si>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</si>
  <si>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</si>
  <si>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</si>
  <si>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</si>
  <si>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</si>
  <si>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</si>
  <si>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</si>
  <si>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</si>
  <si>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</si>
  <si>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</si>
  <si>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</si>
  <si>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</si>
  <si>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</si>
  <si>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</si>
  <si>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</si>
  <si>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</si>
  <si>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</si>
  <si>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</si>
  <si>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Adelphia</t>
  </si>
  <si>
    <t>Allenhurst</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</si>
  <si>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</si>
  <si>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</si>
  <si>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</si>
  <si>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</si>
  <si>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</si>
  <si>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</si>
  <si>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</si>
  <si>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</si>
  <si>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</si>
  <si>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</si>
  <si>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</si>
  <si>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</si>
  <si>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</si>
  <si>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</si>
  <si>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</si>
  <si>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</si>
  <si>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</si>
  <si>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</si>
  <si>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</si>
  <si>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</si>
  <si>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</si>
  <si>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</si>
  <si>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</si>
  <si>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</si>
  <si>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</si>
  <si>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</si>
  <si>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</si>
  <si>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</si>
  <si>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</si>
  <si>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</si>
  <si>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</si>
  <si>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</si>
  <si>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</si>
  <si>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</si>
  <si>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</si>
  <si>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</si>
  <si>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</si>
  <si>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</si>
  <si>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</si>
  <si>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</si>
  <si>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</si>
  <si>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</si>
  <si>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</si>
  <si>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</si>
  <si>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</si>
  <si>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</si>
  <si>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</si>
  <si>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</si>
  <si>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</si>
  <si>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</si>
  <si>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</si>
  <si>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</si>
  <si>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</si>
  <si>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</si>
  <si>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</si>
  <si>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</si>
  <si>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</si>
  <si>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</si>
  <si>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</si>
  <si>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</si>
  <si>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</si>
  <si>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</si>
  <si>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</si>
  <si>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</si>
  <si>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</si>
  <si>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</si>
  <si>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</si>
  <si>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</si>
  <si>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</si>
  <si>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</si>
  <si>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</si>
  <si>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</si>
  <si>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</si>
  <si>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</si>
  <si>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</si>
  <si>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</si>
  <si>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</si>
  <si>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</si>
  <si>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</si>
  <si>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</si>
  <si>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</si>
  <si>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</si>
  <si>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</si>
  <si>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</si>
  <si>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</si>
  <si>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</si>
  <si>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</si>
  <si>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</si>
  <si>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</si>
  <si>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</si>
  <si>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</si>
  <si>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</si>
  <si>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</si>
  <si>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</si>
  <si>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</si>
  <si>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</si>
  <si>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</si>
  <si>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Convent Station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</si>
  <si>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</si>
  <si>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</si>
  <si>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</si>
  <si>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</si>
  <si>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</si>
  <si>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</si>
  <si>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</si>
  <si>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</si>
  <si>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</si>
  <si>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</si>
  <si>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</si>
  <si>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</si>
  <si>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</si>
  <si>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</si>
  <si>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</si>
  <si>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</si>
  <si>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</si>
  <si>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</si>
  <si>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</si>
  <si>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</si>
  <si>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</si>
  <si>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</si>
  <si>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</si>
  <si>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</si>
  <si>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</si>
  <si>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</si>
  <si>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</si>
  <si>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</si>
  <si>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</si>
  <si>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</si>
  <si>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</si>
  <si>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</si>
  <si>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</si>
  <si>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</si>
  <si>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</si>
  <si>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</si>
  <si>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</si>
  <si>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</si>
  <si>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</si>
  <si>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</si>
  <si>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</si>
  <si>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</si>
  <si>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</si>
  <si>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</si>
  <si>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</si>
  <si>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</si>
  <si>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</si>
  <si>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</si>
  <si>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</si>
  <si>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</si>
  <si>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</si>
  <si>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</si>
  <si>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</si>
  <si>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</si>
  <si>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</si>
  <si>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</si>
  <si>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</si>
  <si>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</si>
  <si>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</si>
  <si>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</si>
  <si>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</si>
  <si>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</si>
  <si>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</si>
  <si>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</si>
  <si>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</si>
  <si>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</si>
  <si>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</si>
  <si>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</si>
  <si>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</si>
  <si>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</si>
  <si>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</si>
  <si>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</si>
  <si>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</si>
  <si>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</si>
  <si>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</si>
  <si>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</si>
  <si>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</si>
  <si>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</si>
  <si>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</si>
  <si>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West Deptford</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</si>
  <si>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</si>
  <si>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</si>
  <si>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</si>
  <si>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</si>
  <si>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</si>
  <si>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</si>
  <si>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</si>
  <si>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</si>
  <si>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</si>
  <si>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</si>
  <si>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</si>
  <si>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</si>
  <si>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</si>
  <si>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</si>
  <si>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</si>
  <si>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</si>
  <si>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</si>
  <si>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</si>
  <si>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</si>
  <si>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</si>
  <si>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</si>
  <si>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</si>
  <si>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</si>
  <si>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</si>
  <si>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Pleasantville</t>
  </si>
  <si>
    <t>Egg Harbor Township</t>
  </si>
  <si>
    <t>Pomona</t>
  </si>
  <si>
    <t>Port Republic</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</si>
  <si>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</si>
  <si>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</si>
  <si>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</si>
  <si>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</si>
  <si>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</si>
  <si>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</si>
  <si>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</si>
  <si>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</si>
  <si>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</si>
  <si>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</si>
  <si>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</si>
  <si>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</si>
  <si>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</si>
  <si>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</si>
  <si>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</si>
  <si>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</si>
  <si>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</si>
  <si>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</si>
  <si>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</si>
  <si>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</si>
  <si>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</si>
  <si>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</si>
  <si>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</si>
  <si>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</si>
  <si>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</si>
  <si>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</si>
  <si>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</si>
  <si>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</si>
  <si>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</si>
  <si>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</si>
  <si>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</si>
  <si>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</si>
  <si>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</si>
  <si>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</si>
  <si>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</si>
  <si>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</si>
  <si>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</si>
  <si>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</si>
  <si>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</si>
  <si>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</si>
  <si>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</si>
  <si>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</si>
  <si>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</si>
  <si>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</si>
  <si>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</si>
  <si>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</si>
  <si>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</si>
  <si>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</si>
  <si>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Millstone Township</t>
  </si>
  <si>
    <t>Cookstown</t>
  </si>
  <si>
    <t>Cranbury</t>
  </si>
  <si>
    <t>Cream Ridge</t>
  </si>
  <si>
    <t>Hightstown</t>
  </si>
  <si>
    <t>Hopewell</t>
  </si>
  <si>
    <t>Imlaystown</t>
  </si>
  <si>
    <t>Lambertville</t>
  </si>
  <si>
    <t>New Egypt</t>
  </si>
  <si>
    <t>Pennington</t>
  </si>
  <si>
    <t>Plainsboro</t>
  </si>
  <si>
    <t>Princeton Junction</t>
  </si>
  <si>
    <t>Ringoes</t>
  </si>
  <si>
    <t>Roebling</t>
  </si>
  <si>
    <t>Roosevelt</t>
  </si>
  <si>
    <t>Rosemont</t>
  </si>
  <si>
    <t>Sergeantsville</t>
  </si>
  <si>
    <t>Skillman</t>
  </si>
  <si>
    <t>Stockton</t>
  </si>
  <si>
    <t>Titusville</t>
  </si>
  <si>
    <t>Wrightstown</t>
  </si>
  <si>
    <t>Trenton</t>
  </si>
  <si>
    <t>Fort Dix</t>
  </si>
  <si>
    <t>Lawrence Township</t>
  </si>
  <si>
    <t>Lakewood</t>
  </si>
  <si>
    <t>Allenwood</t>
  </si>
  <si>
    <t>Bayville</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</si>
  <si>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</si>
  <si>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</si>
  <si>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</si>
  <si>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</si>
  <si>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</si>
  <si>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</si>
  <si>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</si>
  <si>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</si>
  <si>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</si>
  <si>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</si>
  <si>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</si>
  <si>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</si>
  <si>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</si>
  <si>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</si>
  <si>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</si>
  <si>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</si>
  <si>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</si>
  <si>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</si>
  <si>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</si>
  <si>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Manchester Township</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</si>
  <si>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</si>
  <si>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</si>
  <si>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</si>
  <si>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</si>
  <si>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</si>
  <si>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</si>
  <si>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</si>
  <si>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</si>
  <si>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</si>
  <si>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</si>
  <si>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</si>
  <si>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</si>
  <si>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</si>
  <si>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</si>
  <si>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</si>
  <si>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</si>
  <si>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</si>
  <si>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</si>
  <si>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</si>
  <si>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Monroe Township</t>
  </si>
  <si>
    <t>Keasbey</t>
  </si>
  <si>
    <t>Little York</t>
  </si>
  <si>
    <t>Martinsville</t>
  </si>
  <si>
    <t>Metuchen</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</si>
  <si>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</si>
  <si>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</si>
  <si>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</si>
  <si>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</si>
  <si>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</si>
  <si>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</si>
  <si>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</si>
  <si>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</si>
  <si>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</si>
  <si>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</si>
  <si>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</si>
  <si>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</si>
  <si>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</si>
  <si>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</si>
  <si>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</si>
  <si>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</si>
  <si>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Amboy</t>
  </si>
  <si>
    <t>South Bound Brook</t>
  </si>
  <si>
    <t>South River</t>
  </si>
  <si>
    <t>Spotswood</t>
  </si>
  <si>
    <t>Stanton</t>
  </si>
  <si>
    <t>Stewartsville</t>
  </si>
  <si>
    <t>Three Bridges</t>
  </si>
  <si>
    <t>Whitehouse</t>
  </si>
  <si>
    <t>Whitehouse Station</t>
  </si>
  <si>
    <t>Zarephath</t>
  </si>
  <si>
    <t>New Brunswick</t>
  </si>
  <si>
    <t>North Brunswick</t>
  </si>
  <si>
    <t>Highland Park</t>
  </si>
  <si>
    <t>New York</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</si>
  <si>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</si>
  <si>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</si>
  <si>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</si>
  <si>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</si>
  <si>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</si>
  <si>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</si>
  <si>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</si>
  <si>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</si>
  <si>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</si>
  <si>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</si>
  <si>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</si>
  <si>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</si>
  <si>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</si>
  <si>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</si>
  <si>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</si>
  <si>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</si>
  <si>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</si>
  <si>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</si>
  <si>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</si>
  <si>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</si>
  <si>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</si>
  <si>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</si>
  <si>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</si>
  <si>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</si>
  <si>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</si>
  <si>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</si>
  <si>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</si>
  <si>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</si>
  <si>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</si>
  <si>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</si>
  <si>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</si>
  <si>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</si>
  <si>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</si>
  <si>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</si>
  <si>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</si>
  <si>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</si>
  <si>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</si>
  <si>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</si>
  <si>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</si>
  <si>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</si>
  <si>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</si>
  <si>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</si>
  <si>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</si>
  <si>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</si>
  <si>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</si>
  <si>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</si>
  <si>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</si>
  <si>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</si>
  <si>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</si>
  <si>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</si>
  <si>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</si>
  <si>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</si>
  <si>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</si>
  <si>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</si>
  <si>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</si>
  <si>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</si>
  <si>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</si>
  <si>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</si>
  <si>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</si>
  <si>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</si>
  <si>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Suffern</t>
  </si>
  <si>
    <t>Arden</t>
  </si>
  <si>
    <t>Bear Mountain</t>
  </si>
  <si>
    <t>Bellvale</t>
  </si>
  <si>
    <t>Blauvelt</t>
  </si>
  <si>
    <t>Blooming Grove</t>
  </si>
  <si>
    <t>Bullville</t>
  </si>
  <si>
    <t>Campbell Hall</t>
  </si>
  <si>
    <t>Central Valley</t>
  </si>
  <si>
    <t>Circleville</t>
  </si>
  <si>
    <t>Congers</t>
  </si>
  <si>
    <t>Fort Montgomery</t>
  </si>
  <si>
    <t>Garnerville</t>
  </si>
  <si>
    <t>Greenwood Lake</t>
  </si>
  <si>
    <t>Harriman</t>
  </si>
  <si>
    <t>Haverstraw</t>
  </si>
  <si>
    <t>Highland Falls</t>
  </si>
  <si>
    <t>Highland Mills</t>
  </si>
  <si>
    <t>Hillburn</t>
  </si>
  <si>
    <t>Howells</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</si>
  <si>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</si>
  <si>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</si>
  <si>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</si>
  <si>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</si>
  <si>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</si>
  <si>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</si>
  <si>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</si>
  <si>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</si>
  <si>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</si>
  <si>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</si>
  <si>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</si>
  <si>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</si>
  <si>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</si>
  <si>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</si>
  <si>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</si>
  <si>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</si>
  <si>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</si>
  <si>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</si>
  <si>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</si>
  <si>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</si>
  <si>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</si>
  <si>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</si>
  <si>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</si>
  <si>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</si>
  <si>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</si>
  <si>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</si>
  <si>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</si>
  <si>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</si>
  <si>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</si>
  <si>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</si>
  <si>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</si>
  <si>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</si>
  <si>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</si>
  <si>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</si>
  <si>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</si>
  <si>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</si>
  <si>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</si>
  <si>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</si>
  <si>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</si>
  <si>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</si>
  <si>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</si>
  <si>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</si>
  <si>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</si>
  <si>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</si>
  <si>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</si>
  <si>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</si>
  <si>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</si>
  <si>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</si>
  <si>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</si>
  <si>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</si>
  <si>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</si>
  <si>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</si>
  <si>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</si>
  <si>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</si>
  <si>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</si>
  <si>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</si>
  <si>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</si>
  <si>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</si>
  <si>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</si>
  <si>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</si>
  <si>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</si>
  <si>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</si>
  <si>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</si>
  <si>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</si>
  <si>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</si>
  <si>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</si>
  <si>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</si>
  <si>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</si>
  <si>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</si>
  <si>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</si>
  <si>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</si>
  <si>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</si>
  <si>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</si>
  <si>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</si>
  <si>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</si>
  <si>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</si>
  <si>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</si>
  <si>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</si>
  <si>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</si>
  <si>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</si>
  <si>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</si>
  <si>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</si>
  <si>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</si>
  <si>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</si>
  <si>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</si>
  <si>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</si>
  <si>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</si>
  <si>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</si>
  <si>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</si>
  <si>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</si>
  <si>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</si>
  <si>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</si>
  <si>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</si>
  <si>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</si>
  <si>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</si>
  <si>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</si>
  <si>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</si>
  <si>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</si>
  <si>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</si>
  <si>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</si>
  <si>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</si>
  <si>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Rockville Center</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</si>
  <si>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</si>
  <si>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</si>
  <si>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</si>
  <si>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</si>
  <si>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</si>
  <si>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</si>
  <si>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</si>
  <si>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</si>
  <si>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</si>
  <si>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</si>
  <si>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</si>
  <si>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</si>
  <si>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</si>
  <si>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</si>
  <si>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</si>
  <si>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</si>
  <si>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</si>
  <si>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</si>
  <si>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</si>
  <si>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</si>
  <si>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</si>
  <si>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</si>
  <si>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</si>
  <si>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</si>
  <si>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</si>
  <si>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</si>
  <si>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</si>
  <si>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</si>
  <si>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</si>
  <si>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</si>
  <si>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</si>
  <si>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</si>
  <si>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</si>
  <si>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</si>
  <si>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</si>
  <si>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Huntington Station</t>
  </si>
  <si>
    <t>Melville</t>
  </si>
  <si>
    <t>Islandia</t>
  </si>
  <si>
    <t>Islip</t>
  </si>
  <si>
    <t>Islip Terrace</t>
  </si>
  <si>
    <t>Kings Park</t>
  </si>
  <si>
    <t>Lake Grove</t>
  </si>
  <si>
    <t>Levittown</t>
  </si>
  <si>
    <t>Lindenhurst</t>
  </si>
  <si>
    <t>Massapequa</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</si>
  <si>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</si>
  <si>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</si>
  <si>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</si>
  <si>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</si>
  <si>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</si>
  <si>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</si>
  <si>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</si>
  <si>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</si>
  <si>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</si>
  <si>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</si>
  <si>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</si>
  <si>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</si>
  <si>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</si>
  <si>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</si>
  <si>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</si>
  <si>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</si>
  <si>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</si>
  <si>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</si>
  <si>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Smithtown</t>
  </si>
  <si>
    <t>Hauppauge</t>
  </si>
  <si>
    <t>Sound Beach</t>
  </si>
  <si>
    <t>Stony Brook</t>
  </si>
  <si>
    <t>Wading River</t>
  </si>
  <si>
    <t>Wantagh</t>
  </si>
  <si>
    <t>West Islip</t>
  </si>
  <si>
    <t>West Sayville</t>
  </si>
  <si>
    <t>Wyandanch</t>
  </si>
  <si>
    <t>Hicksville</t>
  </si>
  <si>
    <t>Plainview</t>
  </si>
  <si>
    <t>Old Bethpage</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</si>
  <si>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</si>
  <si>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</si>
  <si>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</si>
  <si>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</si>
  <si>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</si>
  <si>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</si>
  <si>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</si>
  <si>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</si>
  <si>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</si>
  <si>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</si>
  <si>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</si>
  <si>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</si>
  <si>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</si>
  <si>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</si>
  <si>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</si>
  <si>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</si>
  <si>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</si>
  <si>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</si>
  <si>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</si>
  <si>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</si>
  <si>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</si>
  <si>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</si>
  <si>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</si>
  <si>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</si>
  <si>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</si>
  <si>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</si>
  <si>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</si>
  <si>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</si>
  <si>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</si>
  <si>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</si>
  <si>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</si>
  <si>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</si>
  <si>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</si>
  <si>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</si>
  <si>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</si>
  <si>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</si>
  <si>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</si>
  <si>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</si>
  <si>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</si>
  <si>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</si>
  <si>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Altamont</t>
  </si>
  <si>
    <t>Amsterdam</t>
  </si>
  <si>
    <t>Auriesville</t>
  </si>
  <si>
    <t>Austerlitz</t>
  </si>
  <si>
    <t>Averill Park</t>
  </si>
  <si>
    <t>Ballston Lake</t>
  </si>
  <si>
    <t>Ballston Spa</t>
  </si>
  <si>
    <t>Berne</t>
  </si>
  <si>
    <t>Brainard</t>
  </si>
  <si>
    <t>Broadalbin</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</si>
  <si>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</si>
  <si>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</si>
  <si>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</si>
  <si>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</si>
  <si>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</si>
  <si>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</si>
  <si>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</si>
  <si>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</si>
  <si>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</si>
  <si>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</si>
  <si>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</si>
  <si>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</si>
  <si>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</si>
  <si>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</si>
  <si>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</si>
  <si>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</si>
  <si>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</si>
  <si>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</si>
  <si>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</si>
  <si>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</si>
  <si>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</si>
  <si>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</si>
  <si>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</si>
  <si>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</si>
  <si>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</si>
  <si>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</si>
  <si>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</si>
  <si>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</si>
  <si>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</si>
  <si>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</si>
  <si>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</si>
  <si>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</si>
  <si>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</si>
  <si>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</si>
  <si>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</si>
  <si>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</si>
  <si>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</si>
  <si>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</si>
  <si>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</si>
  <si>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</si>
  <si>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</si>
  <si>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</si>
  <si>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</si>
  <si>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</si>
  <si>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</si>
  <si>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</si>
  <si>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</si>
  <si>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</si>
  <si>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</si>
  <si>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</si>
  <si>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</si>
  <si>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</si>
  <si>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</si>
  <si>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</si>
  <si>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Malden Bridge</t>
  </si>
  <si>
    <t>Maryland</t>
  </si>
  <si>
    <t>Mayfield</t>
  </si>
  <si>
    <t>Mechanicville</t>
  </si>
  <si>
    <t>Medusa</t>
  </si>
  <si>
    <t>Middleburgh</t>
  </si>
  <si>
    <t>Nassau</t>
  </si>
  <si>
    <t>New Baltimore</t>
  </si>
  <si>
    <t>New Lebanon</t>
  </si>
  <si>
    <t>Niverville</t>
  </si>
  <si>
    <t>North Blenheim</t>
  </si>
  <si>
    <t>North Hoosick</t>
  </si>
  <si>
    <t>Northville</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</si>
  <si>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</si>
  <si>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</si>
  <si>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</si>
  <si>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</si>
  <si>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</si>
  <si>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</si>
  <si>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</si>
  <si>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</si>
  <si>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</si>
  <si>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</si>
  <si>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</si>
  <si>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</si>
  <si>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</si>
  <si>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</si>
  <si>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</si>
  <si>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</si>
  <si>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</si>
  <si>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</si>
  <si>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</si>
  <si>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</si>
  <si>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</si>
  <si>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</si>
  <si>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</si>
  <si>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</si>
  <si>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</si>
  <si>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</si>
  <si>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</si>
  <si>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</si>
  <si>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</si>
  <si>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</si>
  <si>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</si>
  <si>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</si>
  <si>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</si>
  <si>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</si>
  <si>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</si>
  <si>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</si>
  <si>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</si>
  <si>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</si>
  <si>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</si>
  <si>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</si>
  <si>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</si>
  <si>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</si>
  <si>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</si>
  <si>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</si>
  <si>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</si>
  <si>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</si>
  <si>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</si>
  <si>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</si>
  <si>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Cairo</t>
  </si>
  <si>
    <t>Catskill</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</si>
  <si>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</si>
  <si>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</si>
  <si>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</si>
  <si>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</si>
  <si>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</si>
  <si>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</si>
  <si>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</si>
  <si>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</si>
  <si>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</si>
  <si>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</si>
  <si>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</si>
  <si>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</si>
  <si>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</si>
  <si>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</si>
  <si>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</si>
  <si>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</si>
  <si>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</si>
  <si>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</si>
  <si>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</si>
  <si>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</si>
  <si>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</si>
  <si>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</si>
  <si>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</si>
  <si>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</si>
  <si>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</si>
  <si>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</si>
  <si>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</si>
  <si>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</si>
  <si>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</si>
  <si>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</si>
  <si>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</si>
  <si>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</si>
  <si>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</si>
  <si>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</si>
  <si>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</si>
  <si>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</si>
  <si>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</si>
  <si>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</si>
  <si>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</si>
  <si>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</si>
  <si>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</si>
  <si>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</si>
  <si>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</si>
  <si>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</si>
  <si>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</si>
  <si>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</si>
  <si>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</si>
  <si>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Saugerties</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</si>
  <si>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</si>
  <si>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</si>
  <si>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</si>
  <si>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</si>
  <si>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</si>
  <si>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</si>
  <si>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</si>
  <si>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</si>
  <si>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</si>
  <si>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</si>
  <si>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</si>
  <si>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</si>
  <si>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</si>
  <si>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</si>
  <si>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</si>
  <si>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</si>
  <si>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</si>
  <si>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</si>
  <si>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</si>
  <si>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</si>
  <si>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</si>
  <si>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</si>
  <si>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</si>
  <si>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</si>
  <si>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</si>
  <si>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</si>
  <si>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</si>
  <si>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</si>
  <si>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</si>
  <si>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</si>
  <si>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</si>
  <si>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</si>
  <si>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</si>
  <si>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</si>
  <si>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</si>
  <si>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</si>
  <si>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</si>
  <si>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</si>
  <si>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</si>
  <si>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</si>
  <si>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</si>
  <si>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</si>
  <si>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</si>
  <si>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</si>
  <si>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</si>
  <si>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</si>
  <si>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</si>
  <si>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</si>
  <si>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</si>
  <si>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New Paltz</t>
  </si>
  <si>
    <t>Patterson</t>
  </si>
  <si>
    <t>Pawling</t>
  </si>
  <si>
    <t>Philmont</t>
  </si>
  <si>
    <t>Pine Bush</t>
  </si>
  <si>
    <t>Pine Plains</t>
  </si>
  <si>
    <t>Plattekill</t>
  </si>
  <si>
    <t>Pleasant Valley</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</si>
  <si>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</si>
  <si>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</si>
  <si>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</si>
  <si>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</si>
  <si>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</si>
  <si>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</si>
  <si>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</si>
  <si>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</si>
  <si>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</si>
  <si>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</si>
  <si>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</si>
  <si>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</si>
  <si>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</si>
  <si>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</si>
  <si>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</si>
  <si>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</si>
  <si>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</si>
  <si>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</si>
  <si>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</si>
  <si>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</si>
  <si>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</si>
  <si>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</si>
  <si>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</si>
  <si>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</si>
  <si>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</si>
  <si>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</si>
  <si>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</si>
  <si>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</si>
  <si>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</si>
  <si>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</si>
  <si>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</si>
  <si>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</si>
  <si>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</si>
  <si>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</si>
  <si>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</si>
  <si>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</si>
  <si>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Grahamsville</t>
  </si>
  <si>
    <t>Hankins</t>
  </si>
  <si>
    <t>Harris</t>
  </si>
  <si>
    <t>Highland Lake</t>
  </si>
  <si>
    <t>Hortonville</t>
  </si>
  <si>
    <t>Huguenot</t>
  </si>
  <si>
    <t>Hurleyville</t>
  </si>
  <si>
    <t>Kauneonga Lake</t>
  </si>
  <si>
    <t>Kenoza Lake</t>
  </si>
  <si>
    <t>Kiamesha Lake</t>
  </si>
  <si>
    <t>Lake Huntington</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</si>
  <si>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</si>
  <si>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</si>
  <si>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</si>
  <si>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</si>
  <si>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</si>
  <si>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</si>
  <si>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</si>
  <si>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</si>
  <si>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</si>
  <si>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</si>
  <si>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</si>
  <si>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</si>
  <si>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</si>
  <si>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</si>
  <si>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</si>
  <si>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</si>
  <si>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</si>
  <si>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</si>
  <si>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</si>
  <si>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</si>
  <si>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</si>
  <si>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</si>
  <si>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</si>
  <si>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</si>
  <si>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</si>
  <si>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</si>
  <si>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</si>
  <si>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</si>
  <si>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</si>
  <si>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</si>
  <si>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</si>
  <si>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</si>
  <si>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</si>
  <si>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</si>
  <si>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</si>
  <si>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</si>
  <si>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</si>
  <si>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</si>
  <si>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</si>
  <si>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</si>
  <si>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</si>
  <si>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</si>
  <si>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</si>
  <si>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</si>
  <si>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</si>
  <si>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</si>
  <si>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</si>
  <si>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</si>
  <si>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</si>
  <si>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</si>
  <si>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</si>
  <si>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</si>
  <si>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</si>
  <si>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</si>
  <si>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</si>
  <si>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</si>
  <si>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</si>
  <si>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</si>
  <si>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</si>
  <si>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</si>
  <si>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</si>
  <si>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</si>
  <si>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</si>
  <si>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</si>
  <si>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</si>
  <si>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</si>
  <si>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</si>
  <si>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</si>
  <si>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</si>
  <si>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</si>
  <si>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</si>
  <si>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</si>
  <si>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</si>
  <si>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</si>
  <si>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</si>
  <si>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</si>
  <si>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</si>
  <si>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</si>
  <si>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</si>
  <si>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</si>
  <si>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</si>
  <si>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</si>
  <si>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</si>
  <si>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</si>
  <si>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</si>
  <si>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</si>
  <si>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</si>
  <si>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</si>
  <si>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</si>
  <si>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</si>
  <si>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</si>
  <si>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</si>
  <si>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</si>
  <si>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</si>
  <si>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</si>
  <si>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</si>
  <si>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</si>
  <si>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</si>
  <si>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</si>
  <si>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</si>
  <si>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</si>
  <si>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</si>
  <si>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</si>
  <si>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</si>
  <si>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</si>
  <si>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</si>
  <si>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</si>
  <si>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</si>
  <si>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</si>
  <si>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</si>
  <si>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</si>
  <si>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</si>
  <si>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</si>
  <si>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</si>
  <si>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</si>
  <si>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</si>
  <si>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</si>
  <si>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</si>
  <si>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</si>
  <si>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</si>
  <si>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</si>
  <si>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</si>
  <si>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</si>
  <si>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</si>
  <si>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</si>
  <si>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</si>
  <si>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</si>
  <si>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</si>
  <si>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North Lawrence</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</si>
  <si>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</si>
  <si>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</si>
  <si>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</si>
  <si>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</si>
  <si>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</si>
  <si>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</si>
  <si>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</si>
  <si>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</si>
  <si>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</si>
  <si>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</si>
  <si>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</si>
  <si>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</si>
  <si>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</si>
  <si>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</si>
  <si>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</si>
  <si>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</si>
  <si>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</si>
  <si>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</si>
  <si>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</si>
  <si>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</si>
  <si>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</si>
  <si>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</si>
  <si>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</si>
  <si>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</si>
  <si>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</si>
  <si>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</si>
  <si>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</si>
  <si>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</si>
  <si>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</si>
  <si>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</si>
  <si>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</si>
  <si>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</si>
  <si>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</si>
  <si>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</si>
  <si>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</si>
  <si>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</si>
  <si>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</si>
  <si>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</si>
  <si>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</si>
  <si>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</si>
  <si>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</si>
  <si>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</si>
  <si>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</si>
  <si>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</si>
  <si>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</si>
  <si>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</si>
  <si>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</si>
  <si>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</si>
  <si>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</si>
  <si>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</si>
  <si>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</si>
  <si>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</si>
  <si>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</si>
  <si>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</si>
  <si>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</si>
  <si>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</si>
  <si>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</si>
  <si>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</si>
  <si>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</si>
  <si>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</si>
  <si>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</si>
  <si>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</si>
  <si>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</si>
  <si>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</si>
  <si>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</si>
  <si>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</si>
  <si>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</si>
  <si>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</si>
  <si>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</si>
  <si>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</si>
  <si>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</si>
  <si>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</si>
  <si>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</si>
  <si>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</si>
  <si>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</si>
  <si>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</si>
  <si>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</si>
  <si>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</si>
  <si>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</si>
  <si>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</si>
  <si>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</si>
  <si>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</si>
  <si>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</si>
  <si>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</si>
  <si>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</si>
  <si>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</si>
  <si>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</si>
  <si>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</si>
  <si>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</si>
  <si>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</si>
  <si>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</si>
  <si>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</si>
  <si>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</si>
  <si>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</si>
  <si>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</si>
  <si>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</si>
  <si>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</si>
  <si>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</si>
  <si>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</si>
  <si>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</si>
  <si>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</si>
  <si>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</si>
  <si>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</si>
  <si>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</si>
  <si>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</si>
  <si>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</si>
  <si>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</si>
  <si>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</si>
  <si>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</si>
  <si>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</si>
  <si>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</si>
  <si>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</si>
  <si>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</si>
  <si>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</si>
  <si>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</si>
  <si>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</si>
  <si>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</si>
  <si>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</si>
  <si>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</si>
  <si>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</si>
  <si>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</si>
  <si>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</si>
  <si>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</si>
  <si>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</si>
  <si>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</si>
  <si>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</si>
  <si>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</si>
  <si>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</si>
  <si>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</si>
  <si>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</si>
  <si>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</si>
  <si>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</si>
  <si>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</si>
  <si>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</si>
  <si>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</si>
  <si>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</si>
  <si>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</si>
  <si>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</si>
  <si>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</si>
  <si>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</si>
  <si>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</si>
  <si>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</si>
  <si>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</si>
  <si>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</si>
  <si>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</si>
  <si>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</si>
  <si>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</si>
  <si>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</si>
  <si>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</si>
  <si>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</si>
  <si>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</si>
  <si>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</si>
  <si>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</si>
  <si>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</si>
  <si>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</si>
  <si>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</si>
  <si>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</si>
  <si>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</si>
  <si>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</si>
  <si>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</si>
  <si>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</si>
  <si>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</si>
  <si>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</si>
  <si>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</si>
  <si>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</si>
  <si>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Old Forge</t>
  </si>
  <si>
    <t>Oneida</t>
  </si>
  <si>
    <t>Oriskany</t>
  </si>
  <si>
    <t>Oriskany Falls</t>
  </si>
  <si>
    <t>Palatine Bridge</t>
  </si>
  <si>
    <t>Port Leyden</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</si>
  <si>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</si>
  <si>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</si>
  <si>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</si>
  <si>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</si>
  <si>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</si>
  <si>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</si>
  <si>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</si>
  <si>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</si>
  <si>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</si>
  <si>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</si>
  <si>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</si>
  <si>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</si>
  <si>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</si>
  <si>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</si>
  <si>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</si>
  <si>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</si>
  <si>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</si>
  <si>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</si>
  <si>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</si>
  <si>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</si>
  <si>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</si>
  <si>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</si>
  <si>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</si>
  <si>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</si>
  <si>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</si>
  <si>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</si>
  <si>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</si>
  <si>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</si>
  <si>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</si>
  <si>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</si>
  <si>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</si>
  <si>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</si>
  <si>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</si>
  <si>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</si>
  <si>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</si>
  <si>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</si>
  <si>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</si>
  <si>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</si>
  <si>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</si>
  <si>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</si>
  <si>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</si>
  <si>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</si>
  <si>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</si>
  <si>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</si>
  <si>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</si>
  <si>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</si>
  <si>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</si>
  <si>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</si>
  <si>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</si>
  <si>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</si>
  <si>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</si>
  <si>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</si>
  <si>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</si>
  <si>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</si>
  <si>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</si>
  <si>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</si>
  <si>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</si>
  <si>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</si>
  <si>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</si>
  <si>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</si>
  <si>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</si>
  <si>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</si>
  <si>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</si>
  <si>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</si>
  <si>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</si>
  <si>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</si>
  <si>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</si>
  <si>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</si>
  <si>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</si>
  <si>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</si>
  <si>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</si>
  <si>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</si>
  <si>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</si>
  <si>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</si>
  <si>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</si>
  <si>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</si>
  <si>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</si>
  <si>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</si>
  <si>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</si>
  <si>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</si>
  <si>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</si>
  <si>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</si>
  <si>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</si>
  <si>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</si>
  <si>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</si>
  <si>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</si>
  <si>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</si>
  <si>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</si>
  <si>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</si>
  <si>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</si>
  <si>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</si>
  <si>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Rodman</t>
  </si>
  <si>
    <t>Rooseveltown</t>
  </si>
  <si>
    <t>Sackets Harbor</t>
  </si>
  <si>
    <t>South Colton</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</si>
  <si>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</si>
  <si>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</si>
  <si>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</si>
  <si>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</si>
  <si>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</si>
  <si>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</si>
  <si>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</si>
  <si>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</si>
  <si>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</si>
  <si>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</si>
  <si>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</si>
  <si>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</si>
  <si>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</si>
  <si>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</si>
  <si>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</si>
  <si>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</si>
  <si>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</si>
  <si>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</si>
  <si>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</si>
  <si>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</si>
  <si>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</si>
  <si>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</si>
  <si>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</si>
  <si>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</si>
  <si>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</si>
  <si>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</si>
  <si>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</si>
  <si>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</si>
  <si>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</si>
  <si>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</si>
  <si>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</si>
  <si>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</si>
  <si>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</si>
  <si>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</si>
  <si>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</si>
  <si>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</si>
  <si>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</si>
  <si>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</si>
  <si>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</si>
  <si>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</si>
  <si>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</si>
  <si>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</si>
  <si>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</si>
  <si>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</si>
  <si>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</si>
  <si>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</si>
  <si>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</si>
  <si>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</si>
  <si>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</si>
  <si>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</si>
  <si>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</si>
  <si>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</si>
  <si>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</si>
  <si>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</si>
  <si>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</si>
  <si>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</si>
  <si>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</si>
  <si>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</si>
  <si>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</si>
  <si>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</si>
  <si>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</si>
  <si>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</si>
  <si>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</si>
  <si>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</si>
  <si>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</si>
  <si>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</si>
  <si>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</si>
  <si>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</si>
  <si>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</si>
  <si>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</si>
  <si>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</si>
  <si>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</si>
  <si>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</si>
  <si>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</si>
  <si>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</si>
  <si>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</si>
  <si>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</si>
  <si>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</si>
  <si>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</si>
  <si>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</si>
  <si>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</si>
  <si>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</si>
  <si>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</si>
  <si>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</si>
  <si>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</si>
  <si>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</si>
  <si>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</si>
  <si>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</si>
  <si>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</si>
  <si>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</si>
  <si>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</si>
  <si>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</si>
  <si>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</si>
  <si>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</si>
  <si>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</si>
  <si>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</si>
  <si>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</si>
  <si>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</si>
  <si>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</si>
  <si>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</si>
  <si>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</si>
  <si>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</si>
  <si>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</si>
  <si>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</si>
  <si>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</si>
  <si>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</si>
  <si>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</si>
  <si>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</si>
  <si>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</si>
  <si>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</si>
  <si>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</si>
  <si>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</si>
  <si>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</si>
  <si>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</si>
  <si>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</si>
  <si>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</si>
  <si>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</si>
  <si>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</si>
  <si>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</si>
  <si>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</si>
  <si>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</si>
  <si>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</si>
  <si>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</si>
  <si>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</si>
  <si>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</si>
  <si>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</si>
  <si>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</si>
  <si>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</si>
  <si>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</si>
  <si>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</si>
  <si>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</si>
  <si>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</si>
  <si>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</si>
  <si>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</si>
  <si>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</si>
  <si>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</si>
  <si>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</si>
  <si>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</si>
  <si>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</si>
  <si>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</si>
  <si>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</si>
  <si>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</si>
  <si>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</si>
  <si>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</si>
  <si>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</si>
  <si>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</si>
  <si>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</si>
  <si>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</si>
  <si>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</si>
  <si>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</si>
  <si>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</si>
  <si>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</si>
  <si>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</si>
  <si>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</si>
  <si>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</si>
  <si>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</si>
  <si>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</si>
  <si>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</si>
  <si>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</si>
  <si>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</si>
  <si>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</si>
  <si>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</si>
  <si>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</si>
  <si>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</si>
  <si>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</si>
  <si>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</si>
  <si>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</si>
  <si>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</si>
  <si>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</si>
  <si>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</si>
  <si>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</si>
  <si>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</si>
  <si>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</si>
  <si>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</si>
  <si>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</si>
  <si>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</si>
  <si>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</si>
  <si>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</si>
  <si>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</si>
  <si>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</si>
  <si>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</si>
  <si>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</si>
  <si>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</si>
  <si>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</si>
  <si>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</si>
  <si>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</si>
  <si>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East Bloomfield</t>
  </si>
  <si>
    <t>East Rochester</t>
  </si>
  <si>
    <t>East Williamson</t>
  </si>
  <si>
    <t>Fairport</t>
  </si>
  <si>
    <t>Fancher</t>
  </si>
  <si>
    <t>Fishers</t>
  </si>
  <si>
    <t>Geneseo</t>
  </si>
  <si>
    <t>Geneva</t>
  </si>
  <si>
    <t>Hall</t>
  </si>
  <si>
    <t>Hamlin</t>
  </si>
  <si>
    <t>Hemlock</t>
  </si>
  <si>
    <t>Henrietta</t>
  </si>
  <si>
    <t>Hilton</t>
  </si>
  <si>
    <t>Holley</t>
  </si>
  <si>
    <t>Honeoye</t>
  </si>
  <si>
    <t>Honeoye Falls</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</si>
  <si>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</si>
  <si>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</si>
  <si>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</si>
  <si>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</si>
  <si>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</si>
  <si>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</si>
  <si>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</si>
  <si>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</si>
  <si>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</si>
  <si>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</si>
  <si>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</si>
  <si>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</si>
  <si>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</si>
  <si>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</si>
  <si>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</si>
  <si>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</si>
  <si>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</si>
  <si>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</si>
  <si>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</si>
  <si>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</si>
  <si>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</si>
  <si>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</si>
  <si>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</si>
  <si>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</si>
  <si>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</si>
  <si>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</si>
  <si>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</si>
  <si>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</si>
  <si>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</si>
  <si>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</si>
  <si>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</si>
  <si>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</si>
  <si>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</si>
  <si>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</si>
  <si>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</si>
  <si>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</si>
  <si>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</si>
  <si>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</si>
  <si>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</si>
  <si>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Point</t>
  </si>
  <si>
    <t>Sonyea</t>
  </si>
  <si>
    <t>South Byron</t>
  </si>
  <si>
    <t>South Lima</t>
  </si>
  <si>
    <t>Spencerport</t>
  </si>
  <si>
    <t>Springwater</t>
  </si>
  <si>
    <t>Stanley</t>
  </si>
  <si>
    <t>Union Hill</t>
  </si>
  <si>
    <t>Victor</t>
  </si>
  <si>
    <t>Walworth</t>
  </si>
  <si>
    <t>Warsaw</t>
  </si>
  <si>
    <t>Waterport</t>
  </si>
  <si>
    <t>West Bloomfield</t>
  </si>
  <si>
    <t>West Henrietta</t>
  </si>
  <si>
    <t>Willard</t>
  </si>
  <si>
    <t>Williamson</t>
  </si>
  <si>
    <t>Allegany</t>
  </si>
  <si>
    <t>Alma</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</si>
  <si>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</si>
  <si>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</si>
  <si>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</si>
  <si>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</si>
  <si>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</si>
  <si>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</si>
  <si>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</si>
  <si>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</si>
  <si>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</si>
  <si>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</si>
  <si>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</si>
  <si>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</si>
  <si>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</si>
  <si>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</si>
  <si>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</si>
  <si>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</si>
  <si>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</si>
  <si>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</si>
  <si>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</si>
  <si>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</si>
  <si>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</si>
  <si>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</si>
  <si>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</si>
  <si>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</si>
  <si>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</si>
  <si>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</si>
  <si>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</si>
  <si>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</si>
  <si>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</si>
  <si>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</si>
  <si>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Leon</t>
  </si>
  <si>
    <t>Lily Dale</t>
  </si>
  <si>
    <t>Little Genesee</t>
  </si>
  <si>
    <t>Little Valley</t>
  </si>
  <si>
    <t>Maple Springs</t>
  </si>
  <si>
    <t>Mayville</t>
  </si>
  <si>
    <t>Niobe</t>
  </si>
  <si>
    <t>Olean</t>
  </si>
  <si>
    <t>Otto</t>
  </si>
  <si>
    <t>Panama</t>
  </si>
  <si>
    <t>Portville</t>
  </si>
  <si>
    <t>Richburg</t>
  </si>
  <si>
    <t>Ripley</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</si>
  <si>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</si>
  <si>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</si>
  <si>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</si>
  <si>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</si>
  <si>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</si>
  <si>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</si>
  <si>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</si>
  <si>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</si>
  <si>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</si>
  <si>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</si>
  <si>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</si>
  <si>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</si>
  <si>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</si>
  <si>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</si>
  <si>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</si>
  <si>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</si>
  <si>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</si>
  <si>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</si>
  <si>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</si>
  <si>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</si>
  <si>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</si>
  <si>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</si>
  <si>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</si>
  <si>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</si>
  <si>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</si>
  <si>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</si>
  <si>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</si>
  <si>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</si>
  <si>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</si>
  <si>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</si>
  <si>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</si>
  <si>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</si>
  <si>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</si>
  <si>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</si>
  <si>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</si>
  <si>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</si>
  <si>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</si>
  <si>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</si>
  <si>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</si>
  <si>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</si>
  <si>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</si>
  <si>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</si>
  <si>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</si>
  <si>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</si>
  <si>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</si>
  <si>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</si>
  <si>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</si>
  <si>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</si>
  <si>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</si>
  <si>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</si>
  <si>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</si>
  <si>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</si>
  <si>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</si>
  <si>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</si>
  <si>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</si>
  <si>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</si>
  <si>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</si>
  <si>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</si>
  <si>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</si>
  <si>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</si>
  <si>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</si>
  <si>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</si>
  <si>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</si>
  <si>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Van Etten</t>
  </si>
  <si>
    <t>Watkins Glen</t>
  </si>
  <si>
    <t>Waverly</t>
  </si>
  <si>
    <t>Wellsburg</t>
  </si>
  <si>
    <t>Wellsville</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</si>
  <si>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</si>
  <si>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</si>
  <si>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</si>
  <si>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</si>
  <si>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</si>
  <si>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</si>
  <si>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</si>
  <si>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</si>
  <si>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</si>
  <si>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</si>
  <si>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</si>
  <si>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</si>
  <si>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</si>
  <si>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</si>
  <si>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</si>
  <si>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</si>
  <si>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</si>
  <si>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</si>
  <si>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</si>
  <si>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</si>
  <si>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</si>
  <si>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</si>
  <si>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Creighton</t>
  </si>
  <si>
    <t>Cuddy</t>
  </si>
  <si>
    <t>Curtisville</t>
  </si>
  <si>
    <t>Donora</t>
  </si>
  <si>
    <t>Dravosburg</t>
  </si>
  <si>
    <t>East Mc Keesport</t>
  </si>
  <si>
    <t>Elrama</t>
  </si>
  <si>
    <t>Gibsonia</t>
  </si>
  <si>
    <t>Glassport</t>
  </si>
  <si>
    <t>Crescent</t>
  </si>
  <si>
    <t>Greenock</t>
  </si>
  <si>
    <t>Harwick</t>
  </si>
  <si>
    <t>Hookstown</t>
  </si>
  <si>
    <t>Indianola</t>
  </si>
  <si>
    <t>Industry</t>
  </si>
  <si>
    <t>Joffre</t>
  </si>
  <si>
    <t>Langeloth</t>
  </si>
  <si>
    <t>Leetsdale</t>
  </si>
  <si>
    <t>Mc Donald</t>
  </si>
  <si>
    <t>Midland</t>
  </si>
  <si>
    <t>Midway</t>
  </si>
  <si>
    <t>Monaca</t>
  </si>
  <si>
    <t>Monessen</t>
  </si>
  <si>
    <t>Monongahela</t>
  </si>
  <si>
    <t>Natrona Heights</t>
  </si>
  <si>
    <t>New Brighton</t>
  </si>
  <si>
    <t>New Eagle</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</si>
  <si>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</si>
  <si>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</si>
  <si>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</si>
  <si>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</si>
  <si>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</si>
  <si>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</si>
  <si>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</si>
  <si>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</si>
  <si>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</si>
  <si>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</si>
  <si>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</si>
  <si>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</si>
  <si>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</si>
  <si>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</si>
  <si>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</si>
  <si>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</si>
  <si>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</si>
  <si>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</si>
  <si>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</si>
  <si>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</si>
  <si>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</si>
  <si>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</si>
  <si>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</si>
  <si>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</si>
  <si>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</si>
  <si>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</si>
  <si>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South Park</t>
  </si>
  <si>
    <t>Mckeesport</t>
  </si>
  <si>
    <t>Mc Kees Rocks</t>
  </si>
  <si>
    <t>North Versailles</t>
  </si>
  <si>
    <t>Oakmont</t>
  </si>
  <si>
    <t>Pitcairn</t>
  </si>
  <si>
    <t>Presto</t>
  </si>
  <si>
    <t>Sewickley</t>
  </si>
  <si>
    <t>Springdale</t>
  </si>
  <si>
    <t>Turtle Creek</t>
  </si>
  <si>
    <t>Wilmerding</t>
  </si>
  <si>
    <t>Pittsburgh</t>
  </si>
  <si>
    <t>Aleppo</t>
  </si>
  <si>
    <t>Amity</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</si>
  <si>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</si>
  <si>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</si>
  <si>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</si>
  <si>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</si>
  <si>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</si>
  <si>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</si>
  <si>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</si>
  <si>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</si>
  <si>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</si>
  <si>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</si>
  <si>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</si>
  <si>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</si>
  <si>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</si>
  <si>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</si>
  <si>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</si>
  <si>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</si>
  <si>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</si>
  <si>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</si>
  <si>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</si>
  <si>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</si>
  <si>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</si>
  <si>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</si>
  <si>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</si>
  <si>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</si>
  <si>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</si>
  <si>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</si>
  <si>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</si>
  <si>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</si>
  <si>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</si>
  <si>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</si>
  <si>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</si>
  <si>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</si>
  <si>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</si>
  <si>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</si>
  <si>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</si>
  <si>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</si>
  <si>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</si>
  <si>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</si>
  <si>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</si>
  <si>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</si>
  <si>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</si>
  <si>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</si>
  <si>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</si>
  <si>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</si>
  <si>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</si>
  <si>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West Middletown</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</si>
  <si>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</si>
  <si>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</si>
  <si>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</si>
  <si>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</si>
  <si>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</si>
  <si>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</si>
  <si>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</si>
  <si>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</si>
  <si>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</si>
  <si>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</si>
  <si>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</si>
  <si>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</si>
  <si>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</si>
  <si>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</si>
  <si>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</si>
  <si>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</si>
  <si>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</si>
  <si>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</si>
  <si>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</si>
  <si>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</si>
  <si>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</si>
  <si>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</si>
  <si>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</si>
  <si>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</si>
  <si>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</si>
  <si>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</si>
  <si>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</si>
  <si>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</si>
  <si>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</si>
  <si>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</si>
  <si>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</si>
  <si>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</si>
  <si>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</si>
  <si>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</si>
  <si>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</si>
  <si>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</si>
  <si>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</si>
  <si>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</si>
  <si>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</si>
  <si>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</si>
  <si>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</si>
  <si>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</si>
  <si>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</si>
  <si>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</si>
  <si>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</si>
  <si>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</si>
  <si>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</si>
  <si>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</si>
  <si>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</si>
  <si>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</si>
  <si>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</si>
  <si>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</si>
  <si>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</si>
  <si>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</si>
  <si>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</si>
  <si>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</si>
  <si>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</si>
  <si>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</si>
  <si>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</si>
  <si>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</si>
  <si>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</si>
  <si>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</si>
  <si>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</si>
  <si>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</si>
  <si>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</si>
  <si>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</si>
  <si>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</si>
  <si>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</si>
  <si>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</si>
  <si>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</si>
  <si>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</si>
  <si>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</si>
  <si>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</si>
  <si>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</si>
  <si>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</si>
  <si>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</si>
  <si>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</si>
  <si>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</si>
  <si>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</si>
  <si>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</si>
  <si>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</si>
  <si>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</si>
  <si>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</si>
  <si>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</si>
  <si>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</si>
  <si>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</si>
  <si>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</si>
  <si>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</si>
  <si>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</si>
  <si>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</si>
  <si>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</si>
  <si>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</si>
  <si>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</si>
  <si>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</si>
  <si>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</si>
  <si>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</si>
  <si>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</si>
  <si>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</si>
  <si>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</si>
  <si>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</si>
  <si>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</si>
  <si>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</si>
  <si>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</si>
  <si>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</si>
  <si>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</si>
  <si>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</si>
  <si>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</si>
  <si>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</si>
  <si>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</si>
  <si>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</si>
  <si>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</si>
  <si>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</si>
  <si>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</si>
  <si>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</si>
  <si>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</si>
  <si>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</si>
  <si>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</si>
  <si>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</si>
  <si>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</si>
  <si>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</si>
  <si>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</si>
  <si>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</si>
  <si>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</si>
  <si>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</si>
  <si>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</si>
  <si>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</si>
  <si>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</si>
  <si>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</si>
  <si>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</si>
  <si>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</si>
  <si>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</si>
  <si>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</si>
  <si>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</si>
  <si>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</si>
  <si>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</si>
  <si>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</si>
  <si>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</si>
  <si>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</si>
  <si>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</si>
  <si>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</si>
  <si>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</si>
  <si>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</si>
  <si>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</si>
  <si>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</si>
  <si>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</si>
  <si>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</si>
  <si>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</si>
  <si>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</si>
  <si>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</si>
  <si>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</si>
  <si>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</si>
  <si>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</si>
  <si>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</si>
  <si>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</si>
  <si>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</si>
  <si>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</si>
  <si>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</si>
  <si>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</si>
  <si>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</si>
  <si>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</si>
  <si>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</si>
  <si>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</si>
  <si>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</si>
  <si>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</si>
  <si>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</si>
  <si>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</si>
  <si>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</si>
  <si>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</si>
  <si>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</si>
  <si>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</si>
  <si>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</si>
  <si>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</si>
  <si>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Northern Cambria</t>
  </si>
  <si>
    <t>Big Run</t>
  </si>
  <si>
    <t>Black Lick</t>
  </si>
  <si>
    <t>Blairsville</t>
  </si>
  <si>
    <t>Brush Valley</t>
  </si>
  <si>
    <t>Burnside</t>
  </si>
  <si>
    <t>Carrolltown</t>
  </si>
  <si>
    <t>Chambersville</t>
  </si>
  <si>
    <t>Cherry Tree</t>
  </si>
  <si>
    <t>Clarksburg</t>
  </si>
  <si>
    <t>Clune</t>
  </si>
  <si>
    <t>Commodore</t>
  </si>
  <si>
    <t>Coolspring</t>
  </si>
  <si>
    <t>Coral</t>
  </si>
  <si>
    <t>Creekside</t>
  </si>
  <si>
    <t>De Lancey</t>
  </si>
  <si>
    <t>Dixonville</t>
  </si>
  <si>
    <t>Elderton</t>
  </si>
  <si>
    <t>Elmora</t>
  </si>
  <si>
    <t>Emeigh</t>
  </si>
  <si>
    <t>Ernest</t>
  </si>
  <si>
    <t>Frostburg</t>
  </si>
  <si>
    <t>Gipsy</t>
  </si>
  <si>
    <t>Glen Campbell</t>
  </si>
  <si>
    <t>Heilwood</t>
  </si>
  <si>
    <t>Home</t>
  </si>
  <si>
    <t>Homer City</t>
  </si>
  <si>
    <t>Josephine</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</si>
  <si>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</si>
  <si>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</si>
  <si>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</si>
  <si>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</si>
  <si>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</si>
  <si>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</si>
  <si>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</si>
  <si>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</si>
  <si>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</si>
  <si>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</si>
  <si>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</si>
  <si>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</si>
  <si>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</si>
  <si>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</si>
  <si>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</si>
  <si>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</si>
  <si>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</si>
  <si>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</si>
  <si>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</si>
  <si>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</si>
  <si>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</si>
  <si>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</si>
  <si>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</si>
  <si>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</si>
  <si>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</si>
  <si>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</si>
  <si>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</si>
  <si>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</si>
  <si>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</si>
  <si>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</si>
  <si>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</si>
  <si>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</si>
  <si>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</si>
  <si>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</si>
  <si>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</si>
  <si>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</si>
  <si>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</si>
  <si>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</si>
  <si>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</si>
  <si>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</si>
  <si>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</si>
  <si>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</si>
  <si>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</si>
  <si>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</si>
  <si>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</si>
  <si>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</si>
  <si>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</si>
  <si>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</si>
  <si>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</si>
  <si>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</si>
  <si>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</si>
  <si>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</si>
  <si>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</si>
  <si>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</si>
  <si>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</si>
  <si>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</si>
  <si>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</si>
  <si>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</si>
  <si>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</si>
  <si>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</si>
  <si>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</si>
  <si>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</si>
  <si>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</si>
  <si>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</si>
  <si>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</si>
  <si>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</si>
  <si>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</si>
  <si>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</si>
  <si>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</si>
  <si>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</si>
  <si>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</si>
  <si>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</si>
  <si>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</si>
  <si>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</si>
  <si>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</si>
  <si>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</si>
  <si>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</si>
  <si>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</si>
  <si>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</si>
  <si>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</si>
  <si>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</si>
  <si>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</si>
  <si>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</si>
  <si>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</si>
  <si>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</si>
  <si>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</si>
  <si>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</si>
  <si>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</si>
  <si>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</si>
  <si>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</si>
  <si>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</si>
  <si>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</si>
  <si>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</si>
  <si>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</si>
  <si>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</si>
  <si>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</si>
  <si>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</si>
  <si>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</si>
  <si>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</si>
  <si>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</si>
  <si>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</si>
  <si>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</si>
  <si>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</si>
  <si>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</si>
  <si>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</si>
  <si>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</si>
  <si>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</si>
  <si>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</si>
  <si>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</si>
  <si>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</si>
  <si>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</si>
  <si>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</si>
  <si>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</si>
  <si>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</si>
  <si>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</si>
  <si>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</si>
  <si>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</si>
  <si>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</si>
  <si>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</si>
  <si>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</si>
  <si>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</si>
  <si>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Atlantic</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</si>
  <si>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</si>
  <si>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</si>
  <si>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</si>
  <si>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</si>
  <si>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</si>
  <si>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</si>
  <si>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</si>
  <si>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</si>
  <si>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</si>
  <si>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</si>
  <si>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</si>
  <si>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</si>
  <si>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</si>
  <si>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</si>
  <si>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</si>
  <si>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</si>
  <si>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</si>
  <si>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</si>
  <si>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</si>
  <si>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</si>
  <si>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</si>
  <si>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</si>
  <si>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</si>
  <si>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</si>
  <si>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</si>
  <si>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</si>
  <si>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</si>
  <si>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</si>
  <si>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</si>
  <si>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Adrian</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</si>
  <si>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</si>
  <si>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</si>
  <si>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</si>
  <si>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</si>
  <si>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</si>
  <si>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</si>
  <si>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</si>
  <si>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</si>
  <si>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</si>
  <si>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</si>
  <si>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</si>
  <si>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</si>
  <si>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</si>
  <si>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</si>
  <si>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</si>
  <si>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</si>
  <si>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</si>
  <si>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</si>
  <si>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</si>
  <si>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</si>
  <si>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</si>
  <si>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</si>
  <si>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</si>
  <si>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</si>
  <si>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</si>
  <si>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</si>
  <si>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</si>
  <si>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</si>
  <si>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</si>
  <si>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</si>
  <si>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</si>
  <si>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</si>
  <si>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</si>
  <si>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</si>
  <si>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</si>
  <si>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</si>
  <si>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</si>
  <si>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</si>
  <si>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</si>
  <si>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</si>
  <si>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</si>
  <si>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</si>
  <si>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</si>
  <si>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</si>
  <si>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</si>
  <si>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</si>
  <si>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</si>
  <si>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</si>
  <si>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</si>
  <si>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</si>
  <si>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</si>
  <si>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</si>
  <si>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</si>
  <si>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</si>
  <si>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</si>
  <si>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</si>
  <si>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</si>
  <si>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</si>
  <si>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</si>
  <si>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</si>
  <si>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</si>
  <si>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</si>
  <si>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</si>
  <si>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</si>
  <si>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</si>
  <si>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</si>
  <si>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</si>
  <si>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</si>
  <si>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</si>
  <si>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</si>
  <si>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</si>
  <si>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</si>
  <si>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</si>
  <si>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</si>
  <si>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</si>
  <si>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</si>
  <si>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</si>
  <si>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</si>
  <si>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</si>
  <si>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</si>
  <si>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</si>
  <si>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</si>
  <si>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</si>
  <si>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</si>
  <si>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</si>
  <si>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</si>
  <si>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</si>
  <si>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</si>
  <si>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</si>
  <si>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</si>
  <si>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Alexandria</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</si>
  <si>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</si>
  <si>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</si>
  <si>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</si>
  <si>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</si>
  <si>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</si>
  <si>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</si>
  <si>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</si>
  <si>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</si>
  <si>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</si>
  <si>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</si>
  <si>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</si>
  <si>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</si>
  <si>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</si>
  <si>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</si>
  <si>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</si>
  <si>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</si>
  <si>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</si>
  <si>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</si>
  <si>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</si>
  <si>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</si>
  <si>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</si>
  <si>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</si>
  <si>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</si>
  <si>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</si>
  <si>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</si>
  <si>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</si>
  <si>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</si>
  <si>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</si>
  <si>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</si>
  <si>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</si>
  <si>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</si>
  <si>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</si>
  <si>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</si>
  <si>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</si>
  <si>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</si>
  <si>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</si>
  <si>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</si>
  <si>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</si>
  <si>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</si>
  <si>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</si>
  <si>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</si>
  <si>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</si>
  <si>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</si>
  <si>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</si>
  <si>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</si>
  <si>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</si>
  <si>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</si>
  <si>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</si>
  <si>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</si>
  <si>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</si>
  <si>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</si>
  <si>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</si>
  <si>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</si>
  <si>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</si>
  <si>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</si>
  <si>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</si>
  <si>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</si>
  <si>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</si>
  <si>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</si>
  <si>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</si>
  <si>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</si>
  <si>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</si>
  <si>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</si>
  <si>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</si>
  <si>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</si>
  <si>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</si>
  <si>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</si>
  <si>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</si>
  <si>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</si>
  <si>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</si>
  <si>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</si>
  <si>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</si>
  <si>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</si>
  <si>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</si>
  <si>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</si>
  <si>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</si>
  <si>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</si>
  <si>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</si>
  <si>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</si>
  <si>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</si>
  <si>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</si>
  <si>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</si>
  <si>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</si>
  <si>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</si>
  <si>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</si>
  <si>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</si>
  <si>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</si>
  <si>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</si>
  <si>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</si>
  <si>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</si>
  <si>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</si>
  <si>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</si>
  <si>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</si>
  <si>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</si>
  <si>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</si>
  <si>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</si>
  <si>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</si>
  <si>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</si>
  <si>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</si>
  <si>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</si>
  <si>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</si>
  <si>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</si>
  <si>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</si>
  <si>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</si>
  <si>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</si>
  <si>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</si>
  <si>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</si>
  <si>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</si>
  <si>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</si>
  <si>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</si>
  <si>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</si>
  <si>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</si>
  <si>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</si>
  <si>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</si>
  <si>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</si>
  <si>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</si>
  <si>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</si>
  <si>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</si>
  <si>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</si>
  <si>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</si>
  <si>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</si>
  <si>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</si>
  <si>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</si>
  <si>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</si>
  <si>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</si>
  <si>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</si>
  <si>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</si>
  <si>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</si>
  <si>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</si>
  <si>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</si>
  <si>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</si>
  <si>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</si>
  <si>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Alba</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</si>
  <si>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</si>
  <si>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</si>
  <si>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</si>
  <si>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</si>
  <si>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</si>
  <si>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</si>
  <si>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</si>
  <si>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</si>
  <si>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</si>
  <si>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</si>
  <si>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</si>
  <si>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</si>
  <si>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</si>
  <si>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</si>
  <si>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</si>
  <si>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</si>
  <si>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</si>
  <si>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</si>
  <si>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</si>
  <si>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</si>
  <si>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</si>
  <si>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</si>
  <si>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</si>
  <si>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</si>
  <si>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</si>
  <si>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</si>
  <si>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</si>
  <si>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</si>
  <si>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</si>
  <si>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</si>
  <si>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</si>
  <si>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</si>
  <si>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</si>
  <si>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</si>
  <si>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</si>
  <si>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</si>
  <si>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East Waterford</t>
  </si>
  <si>
    <t>Elizabethville</t>
  </si>
  <si>
    <t>Elliottsburg</t>
  </si>
  <si>
    <t>Enola</t>
  </si>
  <si>
    <t>Fredericksburg</t>
  </si>
  <si>
    <t>Grantville</t>
  </si>
  <si>
    <t>Gratz</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</si>
  <si>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</si>
  <si>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</si>
  <si>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</si>
  <si>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</si>
  <si>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</si>
  <si>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</si>
  <si>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</si>
  <si>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</si>
  <si>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</si>
  <si>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</si>
  <si>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</si>
  <si>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</si>
  <si>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</si>
  <si>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</si>
  <si>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</si>
  <si>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</si>
  <si>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</si>
  <si>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</si>
  <si>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</si>
  <si>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</si>
  <si>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</si>
  <si>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</si>
  <si>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</si>
  <si>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</si>
  <si>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</si>
  <si>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</si>
  <si>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</si>
  <si>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</si>
  <si>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</si>
  <si>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</si>
  <si>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</si>
  <si>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</si>
  <si>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</si>
  <si>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</si>
  <si>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</si>
  <si>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</si>
  <si>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</si>
  <si>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</si>
  <si>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</si>
  <si>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</si>
  <si>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</si>
  <si>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</si>
  <si>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</si>
  <si>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</si>
  <si>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</si>
  <si>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</si>
  <si>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</si>
  <si>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</si>
  <si>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</si>
  <si>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</si>
  <si>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</si>
  <si>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</si>
  <si>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</si>
  <si>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</si>
  <si>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</si>
  <si>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</si>
  <si>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</si>
  <si>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</si>
  <si>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</si>
  <si>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</si>
  <si>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</si>
  <si>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</si>
  <si>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</si>
  <si>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</si>
  <si>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</si>
  <si>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</si>
  <si>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</si>
  <si>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</si>
  <si>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</si>
  <si>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</si>
  <si>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</si>
  <si>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</si>
  <si>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</si>
  <si>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</si>
  <si>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</si>
  <si>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</si>
  <si>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</si>
  <si>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</si>
  <si>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</si>
  <si>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</si>
  <si>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</si>
  <si>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</si>
  <si>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</si>
  <si>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</si>
  <si>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</si>
  <si>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</si>
  <si>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</si>
  <si>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</si>
  <si>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</si>
  <si>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</si>
  <si>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</si>
  <si>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</si>
  <si>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</si>
  <si>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</si>
  <si>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</si>
  <si>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</si>
  <si>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</si>
  <si>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</si>
  <si>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</si>
  <si>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</si>
  <si>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</si>
  <si>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</si>
  <si>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</si>
  <si>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</si>
  <si>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</si>
  <si>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</si>
  <si>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</si>
  <si>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</si>
  <si>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</si>
  <si>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</si>
  <si>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</si>
  <si>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</si>
  <si>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</si>
  <si>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</si>
  <si>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</si>
  <si>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</si>
  <si>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</si>
  <si>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</si>
  <si>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</si>
  <si>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</si>
  <si>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</si>
  <si>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</si>
  <si>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</si>
  <si>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</si>
  <si>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</si>
  <si>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</si>
  <si>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</si>
  <si>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</si>
  <si>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</si>
  <si>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</si>
  <si>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</si>
  <si>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</si>
  <si>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</si>
  <si>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</si>
  <si>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</si>
  <si>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</si>
  <si>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</si>
  <si>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</si>
  <si>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</si>
  <si>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</si>
  <si>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</si>
  <si>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</si>
  <si>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</si>
  <si>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</si>
  <si>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</si>
  <si>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</si>
  <si>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</si>
  <si>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</si>
  <si>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</si>
  <si>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</si>
  <si>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</si>
  <si>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</si>
  <si>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</si>
  <si>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</si>
  <si>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</si>
  <si>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</si>
  <si>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</si>
  <si>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</si>
  <si>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</si>
  <si>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</si>
  <si>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</si>
  <si>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</si>
  <si>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</si>
  <si>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</si>
  <si>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</si>
  <si>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</si>
  <si>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</si>
  <si>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</si>
  <si>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</si>
  <si>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</si>
  <si>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</si>
  <si>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</si>
  <si>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</si>
  <si>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</si>
  <si>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</si>
  <si>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</si>
  <si>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</si>
  <si>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</si>
  <si>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</si>
  <si>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</si>
  <si>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</si>
  <si>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</si>
  <si>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Stevens</t>
  </si>
  <si>
    <t>Strasburg</t>
  </si>
  <si>
    <t>Talmage</t>
  </si>
  <si>
    <t>Terre Hill</t>
  </si>
  <si>
    <t>Washington Boro</t>
  </si>
  <si>
    <t>West Willow</t>
  </si>
  <si>
    <t>Willow Street</t>
  </si>
  <si>
    <t>Witmer</t>
  </si>
  <si>
    <t>Williamsport</t>
  </si>
  <si>
    <t>Antes Fort</t>
  </si>
  <si>
    <t>Avis</t>
  </si>
  <si>
    <t>Cammal</t>
  </si>
  <si>
    <t>Castanea</t>
  </si>
  <si>
    <t>Cedar Run</t>
  </si>
  <si>
    <t>Cogan Station</t>
  </si>
  <si>
    <t>Cross Fork</t>
  </si>
  <si>
    <t>Dewart</t>
  </si>
  <si>
    <t>Eagles Mere</t>
  </si>
  <si>
    <t>Grover</t>
  </si>
  <si>
    <t>Hughesville</t>
  </si>
  <si>
    <t>North Bend</t>
  </si>
  <si>
    <t>Jersey Mills</t>
  </si>
  <si>
    <t>Jersey Shore</t>
  </si>
  <si>
    <t>Lairdsville</t>
  </si>
  <si>
    <t>Lock Haven</t>
  </si>
  <si>
    <t>Loganton</t>
  </si>
  <si>
    <t>Mc Elhattan</t>
  </si>
  <si>
    <t>Mc Ewensville</t>
  </si>
  <si>
    <t>Mackeyville</t>
  </si>
  <si>
    <t>Mill Hall</t>
  </si>
  <si>
    <t>Montoursville</t>
  </si>
  <si>
    <t>Muncy</t>
  </si>
  <si>
    <t>Muncy Valley</t>
  </si>
  <si>
    <t>Picture Rocks</t>
  </si>
  <si>
    <t>Ralston</t>
  </si>
  <si>
    <t>Renovo</t>
  </si>
  <si>
    <t>Roaring Branch</t>
  </si>
  <si>
    <t>Salona</t>
  </si>
  <si>
    <t>Shunk</t>
  </si>
  <si>
    <t>Slate Run</t>
  </si>
  <si>
    <t>Trout Run</t>
  </si>
  <si>
    <t>Turbotville</t>
  </si>
  <si>
    <t>Tylersville</t>
  </si>
  <si>
    <t>Unityville</t>
  </si>
  <si>
    <t>Watsontown</t>
  </si>
  <si>
    <t>Woolrich</t>
  </si>
  <si>
    <t>Sunbury</t>
  </si>
  <si>
    <t>Beaver Springs</t>
  </si>
  <si>
    <t>Beavertown</t>
  </si>
  <si>
    <t>Benton</t>
  </si>
  <si>
    <t>Bloomsburg</t>
  </si>
  <si>
    <t>Catawissa</t>
  </si>
  <si>
    <t>Dornsife</t>
  </si>
  <si>
    <t>Elysburg</t>
  </si>
  <si>
    <t>Freeburg</t>
  </si>
  <si>
    <t>Hartleton</t>
  </si>
  <si>
    <t>Herndon</t>
  </si>
  <si>
    <t>Hummels Wharf</t>
  </si>
  <si>
    <t>Marion Heights</t>
  </si>
  <si>
    <t>Kreamer</t>
  </si>
  <si>
    <t>Kulpmont</t>
  </si>
  <si>
    <t>Laurelton</t>
  </si>
  <si>
    <t>Leck Kill</t>
  </si>
  <si>
    <t>Lewisburg</t>
  </si>
  <si>
    <t>Lightstreet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</si>
  <si>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</si>
  <si>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</si>
  <si>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</si>
  <si>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</si>
  <si>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</si>
  <si>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</si>
  <si>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</si>
  <si>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</si>
  <si>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</si>
  <si>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</si>
  <si>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</si>
  <si>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</si>
  <si>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</si>
  <si>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</si>
  <si>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</si>
  <si>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</si>
  <si>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</si>
  <si>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</si>
  <si>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</si>
  <si>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</si>
  <si>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</si>
  <si>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</si>
  <si>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</si>
  <si>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</si>
  <si>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</si>
  <si>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</si>
  <si>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</si>
  <si>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</si>
  <si>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</si>
  <si>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</si>
  <si>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</si>
  <si>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</si>
  <si>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</si>
  <si>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</si>
  <si>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</si>
  <si>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Cressona</t>
  </si>
  <si>
    <t>Cumbola</t>
  </si>
  <si>
    <t>Frackville</t>
  </si>
  <si>
    <t>Friedensburg</t>
  </si>
  <si>
    <t>Gilberton</t>
  </si>
  <si>
    <t>Girardville</t>
  </si>
  <si>
    <t>Gordon</t>
  </si>
  <si>
    <t>Hegins</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</si>
  <si>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</si>
  <si>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</si>
  <si>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</si>
  <si>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</si>
  <si>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</si>
  <si>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</si>
  <si>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</si>
  <si>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</si>
  <si>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</si>
  <si>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</si>
  <si>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</si>
  <si>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</si>
  <si>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</si>
  <si>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</si>
  <si>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</si>
  <si>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</si>
  <si>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</si>
  <si>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</si>
  <si>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</si>
  <si>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</si>
  <si>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</si>
  <si>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</si>
  <si>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</si>
  <si>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</si>
  <si>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</si>
  <si>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</si>
  <si>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</si>
  <si>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</si>
  <si>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</si>
  <si>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</si>
  <si>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</si>
  <si>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</si>
  <si>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</si>
  <si>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</si>
  <si>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</si>
  <si>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</si>
  <si>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</si>
  <si>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</si>
  <si>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</si>
  <si>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</si>
  <si>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</si>
  <si>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</si>
  <si>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</si>
  <si>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</si>
  <si>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</si>
  <si>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</si>
  <si>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</si>
  <si>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</si>
  <si>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</si>
  <si>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</si>
  <si>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</si>
  <si>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</si>
  <si>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</si>
  <si>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</si>
  <si>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</si>
  <si>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</si>
  <si>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</si>
  <si>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</si>
  <si>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</si>
  <si>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</si>
  <si>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</si>
  <si>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</si>
  <si>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</si>
  <si>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</si>
  <si>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</si>
  <si>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</si>
  <si>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</si>
  <si>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</si>
  <si>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</si>
  <si>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</si>
  <si>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</si>
  <si>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</si>
  <si>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</si>
  <si>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</si>
  <si>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</si>
  <si>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</si>
  <si>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</si>
  <si>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</si>
  <si>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</si>
  <si>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</si>
  <si>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</si>
  <si>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</si>
  <si>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</si>
  <si>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</si>
  <si>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</si>
  <si>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</si>
  <si>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</si>
  <si>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</si>
  <si>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</si>
  <si>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</si>
  <si>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</si>
  <si>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</si>
  <si>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</si>
  <si>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</si>
  <si>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</si>
  <si>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</si>
  <si>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</si>
  <si>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</si>
  <si>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</si>
  <si>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</si>
  <si>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</si>
  <si>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</si>
  <si>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</si>
  <si>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</si>
  <si>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</si>
  <si>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</si>
  <si>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</si>
  <si>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</si>
  <si>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</si>
  <si>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</si>
  <si>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</si>
  <si>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</si>
  <si>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</si>
  <si>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</si>
  <si>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</si>
  <si>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</si>
  <si>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</si>
  <si>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</si>
  <si>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</si>
  <si>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</si>
  <si>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</si>
  <si>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</si>
  <si>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</si>
  <si>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</si>
  <si>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</si>
  <si>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</si>
  <si>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</si>
  <si>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</si>
  <si>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</si>
  <si>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</si>
  <si>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</si>
  <si>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</si>
  <si>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</si>
  <si>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</si>
  <si>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</si>
  <si>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</si>
  <si>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</si>
  <si>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</si>
  <si>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</si>
  <si>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</si>
  <si>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</si>
  <si>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</si>
  <si>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</si>
  <si>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</si>
  <si>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</si>
  <si>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</si>
  <si>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</si>
  <si>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</si>
  <si>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</si>
  <si>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</si>
  <si>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</si>
  <si>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</si>
  <si>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</si>
  <si>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</si>
  <si>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</si>
  <si>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</si>
  <si>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</si>
  <si>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</si>
  <si>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</si>
  <si>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</si>
  <si>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</si>
  <si>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</si>
  <si>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</si>
  <si>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</si>
  <si>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</si>
  <si>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</si>
  <si>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</si>
  <si>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</si>
  <si>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</si>
  <si>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</si>
  <si>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</si>
  <si>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</si>
  <si>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</si>
  <si>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</si>
  <si>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</si>
  <si>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</si>
  <si>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</si>
  <si>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</si>
  <si>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</si>
  <si>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</si>
  <si>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</si>
  <si>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</si>
  <si>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</si>
  <si>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</si>
  <si>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</si>
  <si>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</si>
  <si>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</si>
  <si>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</si>
  <si>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</si>
  <si>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</si>
  <si>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</si>
  <si>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</si>
  <si>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</si>
  <si>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</si>
  <si>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</si>
  <si>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</si>
  <si>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</si>
  <si>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</si>
  <si>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</si>
  <si>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</si>
  <si>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</si>
  <si>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</si>
  <si>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</si>
  <si>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</si>
  <si>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</si>
  <si>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</si>
  <si>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</si>
  <si>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</si>
  <si>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</si>
  <si>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</si>
  <si>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</si>
  <si>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</si>
  <si>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</si>
  <si>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</si>
  <si>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</si>
  <si>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</si>
  <si>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</si>
  <si>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</si>
  <si>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</si>
  <si>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</si>
  <si>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</si>
  <si>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</si>
  <si>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</si>
  <si>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</si>
  <si>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</si>
  <si>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</si>
  <si>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</si>
  <si>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</si>
  <si>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</si>
  <si>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</si>
  <si>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</si>
  <si>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</si>
  <si>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</si>
  <si>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</si>
  <si>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</si>
  <si>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</si>
  <si>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</si>
  <si>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</si>
  <si>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</si>
  <si>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</si>
  <si>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</si>
  <si>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</si>
  <si>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</si>
  <si>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</si>
  <si>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</si>
  <si>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</si>
  <si>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</si>
  <si>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</si>
  <si>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</si>
  <si>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</si>
  <si>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</si>
  <si>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</si>
  <si>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</si>
  <si>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</si>
  <si>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</si>
  <si>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</si>
  <si>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</si>
  <si>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</si>
  <si>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</si>
  <si>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</si>
  <si>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</si>
  <si>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</si>
  <si>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</si>
  <si>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</si>
  <si>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</si>
  <si>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</si>
  <si>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</si>
  <si>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</si>
  <si>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</si>
  <si>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</si>
  <si>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</si>
  <si>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</si>
  <si>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</si>
  <si>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</si>
  <si>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</si>
  <si>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</si>
  <si>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</si>
  <si>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</si>
  <si>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</si>
  <si>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</si>
  <si>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</si>
  <si>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</si>
  <si>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</si>
  <si>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</si>
  <si>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</si>
  <si>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</si>
  <si>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</si>
  <si>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</si>
  <si>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</si>
  <si>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</si>
  <si>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</si>
  <si>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</si>
  <si>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</si>
  <si>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</si>
  <si>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</si>
  <si>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</si>
  <si>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</si>
  <si>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</si>
  <si>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</si>
  <si>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</si>
  <si>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</si>
  <si>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</si>
  <si>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</si>
  <si>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</si>
  <si>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</si>
  <si>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</si>
  <si>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</si>
  <si>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</si>
  <si>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</si>
  <si>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</si>
  <si>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</si>
  <si>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</si>
  <si>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</si>
  <si>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</si>
  <si>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</si>
  <si>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</si>
  <si>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</si>
  <si>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</si>
  <si>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</si>
  <si>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</si>
  <si>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</si>
  <si>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</si>
  <si>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</si>
  <si>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</si>
  <si>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</si>
  <si>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</si>
  <si>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</si>
  <si>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</si>
  <si>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</si>
  <si>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</si>
  <si>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</si>
  <si>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</si>
  <si>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</si>
  <si>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</si>
  <si>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</si>
  <si>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</si>
  <si>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</si>
  <si>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</si>
  <si>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</si>
  <si>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</si>
  <si>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</si>
  <si>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</si>
  <si>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</si>
  <si>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</si>
  <si>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</si>
  <si>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</si>
  <si>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</si>
  <si>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</si>
  <si>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</si>
  <si>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</si>
  <si>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</si>
  <si>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</si>
  <si>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</si>
  <si>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</si>
  <si>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</si>
  <si>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</si>
  <si>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</si>
  <si>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</si>
  <si>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</si>
  <si>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</si>
  <si>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</si>
  <si>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</si>
  <si>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</si>
  <si>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</si>
  <si>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</si>
  <si>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</si>
  <si>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</si>
  <si>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</si>
  <si>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</si>
  <si>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</si>
  <si>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</si>
  <si>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</si>
  <si>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</si>
  <si>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</si>
  <si>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</si>
  <si>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</si>
  <si>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</si>
  <si>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</si>
  <si>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</si>
  <si>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</si>
  <si>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</si>
  <si>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</si>
  <si>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</si>
  <si>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</si>
  <si>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</si>
  <si>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</si>
  <si>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</si>
  <si>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</si>
  <si>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</si>
  <si>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</si>
  <si>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</si>
  <si>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</si>
  <si>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</si>
  <si>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</si>
  <si>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</si>
  <si>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</si>
  <si>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</si>
  <si>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</si>
  <si>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</si>
  <si>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</si>
  <si>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</si>
  <si>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</si>
  <si>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</si>
  <si>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</si>
  <si>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</si>
  <si>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</si>
  <si>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</si>
  <si>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</si>
  <si>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</si>
  <si>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</si>
  <si>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</si>
  <si>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</si>
  <si>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</si>
  <si>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</si>
  <si>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</si>
  <si>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</si>
  <si>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</si>
  <si>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</si>
  <si>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</si>
  <si>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</si>
  <si>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</si>
  <si>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</si>
  <si>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</si>
  <si>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</si>
  <si>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</si>
  <si>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</si>
  <si>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</si>
  <si>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</si>
  <si>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</si>
  <si>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</si>
  <si>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</si>
  <si>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</si>
  <si>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</si>
  <si>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</si>
  <si>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</si>
  <si>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</si>
  <si>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</si>
  <si>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</si>
  <si>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</si>
  <si>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</si>
  <si>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</si>
  <si>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</si>
  <si>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</si>
  <si>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</si>
  <si>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</si>
  <si>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</si>
  <si>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</si>
  <si>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</si>
  <si>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</si>
  <si>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</si>
  <si>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</si>
  <si>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</si>
  <si>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</si>
  <si>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</si>
  <si>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</si>
  <si>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</si>
  <si>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</si>
  <si>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</si>
  <si>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</si>
  <si>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</si>
  <si>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</si>
  <si>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</si>
  <si>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</si>
  <si>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</si>
  <si>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</si>
  <si>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</si>
  <si>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</si>
  <si>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</si>
  <si>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</si>
  <si>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</si>
  <si>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</si>
  <si>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</si>
  <si>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</si>
  <si>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</si>
  <si>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</si>
  <si>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</si>
  <si>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</si>
  <si>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</si>
  <si>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</si>
  <si>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</si>
  <si>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</si>
  <si>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</si>
  <si>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</si>
  <si>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</si>
  <si>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</si>
  <si>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</si>
  <si>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</si>
  <si>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</si>
  <si>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</si>
  <si>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</si>
  <si>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</si>
  <si>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</si>
  <si>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</si>
  <si>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</si>
  <si>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</si>
  <si>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</si>
  <si>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</si>
  <si>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</si>
  <si>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</si>
  <si>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</si>
  <si>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</si>
  <si>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</si>
  <si>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</si>
  <si>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</si>
  <si>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</si>
  <si>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</si>
  <si>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</si>
  <si>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</si>
  <si>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</si>
  <si>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</si>
  <si>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</si>
  <si>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</si>
  <si>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</si>
  <si>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</si>
  <si>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DC</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</si>
  <si>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</si>
  <si>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</si>
  <si>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</si>
  <si>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</si>
  <si>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</si>
  <si>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</si>
  <si>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</si>
  <si>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</si>
  <si>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</si>
  <si>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</si>
  <si>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</si>
  <si>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</si>
  <si>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</si>
  <si>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</si>
  <si>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</si>
  <si>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</si>
  <si>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</si>
  <si>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</si>
  <si>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</si>
  <si>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</si>
  <si>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</si>
  <si>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</si>
  <si>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</si>
  <si>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</si>
  <si>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</si>
  <si>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</si>
  <si>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</si>
  <si>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</si>
  <si>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Naval Anacost Annex</t>
  </si>
  <si>
    <t>Washington Navy Yard</t>
  </si>
  <si>
    <t>Dhs</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</si>
  <si>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</si>
  <si>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</si>
  <si>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</si>
  <si>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</si>
  <si>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</si>
  <si>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</si>
  <si>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</si>
  <si>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</si>
  <si>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</si>
  <si>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</si>
  <si>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</si>
  <si>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</si>
  <si>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</si>
  <si>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</si>
  <si>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</si>
  <si>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</si>
  <si>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</si>
  <si>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</si>
  <si>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</si>
  <si>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</si>
  <si>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</si>
  <si>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</si>
  <si>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</si>
  <si>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</si>
  <si>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</si>
  <si>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</si>
  <si>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</si>
  <si>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</si>
  <si>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</si>
  <si>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</si>
  <si>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</si>
  <si>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</si>
  <si>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</si>
  <si>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</si>
  <si>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</si>
  <si>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</si>
  <si>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</si>
  <si>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</si>
  <si>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</si>
  <si>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</si>
  <si>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</si>
  <si>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</si>
  <si>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</si>
  <si>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</si>
  <si>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</si>
  <si>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</si>
  <si>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</si>
  <si>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</si>
  <si>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</si>
  <si>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</si>
  <si>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</si>
  <si>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</si>
  <si>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</si>
  <si>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</si>
  <si>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</si>
  <si>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</si>
  <si>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</si>
  <si>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</si>
  <si>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</si>
  <si>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</si>
  <si>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</si>
  <si>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</si>
  <si>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</si>
  <si>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</si>
  <si>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</si>
  <si>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</si>
  <si>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</si>
  <si>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</si>
  <si>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</si>
  <si>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</si>
  <si>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</si>
  <si>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</si>
  <si>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</si>
  <si>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</si>
  <si>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</si>
  <si>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</si>
  <si>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</si>
  <si>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</si>
  <si>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</si>
  <si>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</si>
  <si>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</si>
  <si>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</si>
  <si>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</si>
  <si>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</si>
  <si>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</si>
  <si>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</si>
  <si>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</si>
  <si>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</si>
  <si>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</si>
  <si>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</si>
  <si>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</si>
  <si>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</si>
  <si>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</si>
  <si>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</si>
  <si>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</si>
  <si>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</si>
  <si>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</si>
  <si>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</si>
  <si>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</si>
  <si>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</si>
  <si>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</si>
  <si>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Kensington</t>
  </si>
  <si>
    <t>Garrett Park</t>
  </si>
  <si>
    <t>Suburb Maryland Fac</t>
  </si>
  <si>
    <t>Takoma Park</t>
  </si>
  <si>
    <t>Aberdeen</t>
  </si>
  <si>
    <t>Aberdeen Proving Ground</t>
  </si>
  <si>
    <t>Abingdon</t>
  </si>
  <si>
    <t>Gunpowder</t>
  </si>
  <si>
    <t>Arnold</t>
  </si>
  <si>
    <t>Bel Air</t>
  </si>
  <si>
    <t>Belcamp</t>
  </si>
  <si>
    <t>Boring</t>
  </si>
  <si>
    <t>Brooklandville</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</si>
  <si>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</si>
  <si>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</si>
  <si>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</si>
  <si>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</si>
  <si>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</si>
  <si>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</si>
  <si>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</si>
  <si>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</si>
  <si>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</si>
  <si>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</si>
  <si>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</si>
  <si>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</si>
  <si>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</si>
  <si>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</si>
  <si>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</si>
  <si>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</si>
  <si>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</si>
  <si>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</si>
  <si>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</si>
  <si>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</si>
  <si>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Hydes</t>
  </si>
  <si>
    <t>Jarrettsville</t>
  </si>
  <si>
    <t>Joppa</t>
  </si>
  <si>
    <t>Kingsville</t>
  </si>
  <si>
    <t>Lineboro</t>
  </si>
  <si>
    <t>Linthicum Heights</t>
  </si>
  <si>
    <t>Long Green</t>
  </si>
  <si>
    <t>Lutherville Timonium</t>
  </si>
  <si>
    <t>Marriottsville</t>
  </si>
  <si>
    <t>Maryland Line</t>
  </si>
  <si>
    <t>Mayo</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</si>
  <si>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</si>
  <si>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</si>
  <si>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</si>
  <si>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</si>
  <si>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</si>
  <si>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</si>
  <si>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</si>
  <si>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</si>
  <si>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</si>
  <si>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</si>
  <si>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</si>
  <si>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</si>
  <si>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</si>
  <si>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</si>
  <si>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</si>
  <si>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</si>
  <si>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</si>
  <si>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</si>
  <si>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</si>
  <si>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</si>
  <si>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</si>
  <si>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</si>
  <si>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</si>
  <si>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</si>
  <si>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</si>
  <si>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</si>
  <si>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</si>
  <si>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</si>
  <si>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</si>
  <si>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</si>
  <si>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</si>
  <si>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</si>
  <si>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</si>
  <si>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</si>
  <si>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Annapolis</t>
  </si>
  <si>
    <t>Accident</t>
  </si>
  <si>
    <t>Bittinger</t>
  </si>
  <si>
    <t>Corriganville</t>
  </si>
  <si>
    <t>Eckhart Mines</t>
  </si>
  <si>
    <t>Ellerslie</t>
  </si>
  <si>
    <t>Flintstone</t>
  </si>
  <si>
    <t>Grantsville</t>
  </si>
  <si>
    <t>Kitzmiller</t>
  </si>
  <si>
    <t>Lonaconing</t>
  </si>
  <si>
    <t>Luke</t>
  </si>
  <si>
    <t>Mc Henry</t>
  </si>
  <si>
    <t>Midlothian</t>
  </si>
  <si>
    <t>Mount Savage</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</si>
  <si>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</si>
  <si>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</si>
  <si>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</si>
  <si>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</si>
  <si>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</si>
  <si>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</si>
  <si>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</si>
  <si>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</si>
  <si>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</si>
  <si>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</si>
  <si>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</si>
  <si>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</si>
  <si>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</si>
  <si>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</si>
  <si>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</si>
  <si>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</si>
  <si>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</si>
  <si>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</si>
  <si>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</si>
  <si>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</si>
  <si>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</si>
  <si>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Grasonville</t>
  </si>
  <si>
    <t>Hillsboro</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</si>
  <si>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</si>
  <si>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</si>
  <si>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</si>
  <si>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</si>
  <si>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</si>
  <si>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</si>
  <si>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</si>
  <si>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</si>
  <si>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</si>
  <si>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</si>
  <si>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</si>
  <si>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</si>
  <si>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</si>
  <si>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</si>
  <si>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</si>
  <si>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</si>
  <si>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</si>
  <si>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</si>
  <si>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</si>
  <si>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</si>
  <si>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</si>
  <si>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</si>
  <si>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</si>
  <si>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</si>
  <si>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</si>
  <si>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</si>
  <si>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</si>
  <si>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</si>
  <si>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</si>
  <si>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</si>
  <si>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</si>
  <si>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</si>
  <si>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</si>
  <si>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</si>
  <si>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</si>
  <si>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</si>
  <si>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</si>
  <si>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</si>
  <si>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Emmitsburg</t>
  </si>
  <si>
    <t>Fairplay</t>
  </si>
  <si>
    <t>Funkstown</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</si>
  <si>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</si>
  <si>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</si>
  <si>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</si>
  <si>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</si>
  <si>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</si>
  <si>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</si>
  <si>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</si>
  <si>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</si>
  <si>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</si>
  <si>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</si>
  <si>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</si>
  <si>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</si>
  <si>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</si>
  <si>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</si>
  <si>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</si>
  <si>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</si>
  <si>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</si>
  <si>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</si>
  <si>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</si>
  <si>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</si>
  <si>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</si>
  <si>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</si>
  <si>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</si>
  <si>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</si>
  <si>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</si>
  <si>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</si>
  <si>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</si>
  <si>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</si>
  <si>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</si>
  <si>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Crisfield</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</si>
  <si>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</si>
  <si>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</si>
  <si>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</si>
  <si>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</si>
  <si>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</si>
  <si>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</si>
  <si>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</si>
  <si>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</si>
  <si>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</si>
  <si>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</si>
  <si>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</si>
  <si>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</si>
  <si>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</si>
  <si>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</si>
  <si>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</si>
  <si>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</si>
  <si>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</si>
  <si>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</si>
  <si>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</si>
  <si>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</si>
  <si>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</si>
  <si>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</si>
  <si>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</si>
  <si>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</si>
  <si>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</si>
  <si>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</si>
  <si>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</si>
  <si>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</si>
  <si>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</si>
  <si>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</si>
  <si>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</si>
  <si>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</si>
  <si>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</si>
  <si>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</si>
  <si>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</si>
  <si>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</si>
  <si>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</si>
  <si>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</si>
  <si>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</si>
  <si>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</si>
  <si>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</si>
  <si>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</si>
  <si>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</si>
  <si>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</si>
  <si>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</si>
  <si>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Oakton</t>
  </si>
  <si>
    <t>Occoquan</t>
  </si>
  <si>
    <t>Triangle</t>
  </si>
  <si>
    <t>Fort Myer</t>
  </si>
  <si>
    <t>Bowling Green</t>
  </si>
  <si>
    <t>Brooke</t>
  </si>
  <si>
    <t>Burgess</t>
  </si>
  <si>
    <t>Burr Hill</t>
  </si>
  <si>
    <t>Callao</t>
  </si>
  <si>
    <t>Caret</t>
  </si>
  <si>
    <t>Center Cross</t>
  </si>
  <si>
    <t>Coles Point</t>
  </si>
  <si>
    <t>Colonial Beach</t>
  </si>
  <si>
    <t>Corbin</t>
  </si>
  <si>
    <t>Dahlgren</t>
  </si>
  <si>
    <t>Dogue</t>
  </si>
  <si>
    <t>Dunnsville</t>
  </si>
  <si>
    <t>Edwardsville</t>
  </si>
  <si>
    <t>Garrisonville</t>
  </si>
  <si>
    <t>Hartwood</t>
  </si>
  <si>
    <t>Haynesville</t>
  </si>
  <si>
    <t>Heathsville</t>
  </si>
  <si>
    <t>Hustle</t>
  </si>
  <si>
    <t>Jersey</t>
  </si>
  <si>
    <t>Kilmarnock</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</si>
  <si>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</si>
  <si>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</si>
  <si>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</si>
  <si>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</si>
  <si>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</si>
  <si>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</si>
  <si>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</si>
  <si>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</si>
  <si>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</si>
  <si>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</si>
  <si>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</si>
  <si>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</si>
  <si>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</si>
  <si>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</si>
  <si>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</si>
  <si>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</si>
  <si>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</si>
  <si>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</si>
  <si>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</si>
  <si>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</si>
  <si>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</si>
  <si>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</si>
  <si>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</si>
  <si>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</si>
  <si>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Tappahannock</t>
  </si>
  <si>
    <t>Thornburg</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</si>
  <si>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</si>
  <si>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</si>
  <si>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</si>
  <si>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</si>
  <si>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</si>
  <si>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</si>
  <si>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</si>
  <si>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</si>
  <si>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</si>
  <si>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</si>
  <si>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</si>
  <si>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</si>
  <si>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</si>
  <si>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</si>
  <si>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</si>
  <si>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</si>
  <si>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</si>
  <si>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</si>
  <si>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</si>
  <si>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</si>
  <si>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</si>
  <si>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</si>
  <si>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</si>
  <si>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</si>
  <si>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</si>
  <si>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</si>
  <si>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</si>
  <si>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</si>
  <si>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</si>
  <si>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</si>
  <si>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</si>
  <si>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</si>
  <si>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</si>
  <si>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</si>
  <si>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</si>
  <si>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</si>
  <si>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</si>
  <si>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</si>
  <si>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</si>
  <si>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</si>
  <si>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</si>
  <si>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</si>
  <si>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</si>
  <si>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</si>
  <si>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</si>
  <si>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</si>
  <si>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</si>
  <si>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</si>
  <si>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</si>
  <si>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</si>
  <si>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</si>
  <si>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</si>
  <si>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</si>
  <si>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</si>
  <si>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</si>
  <si>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</si>
  <si>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</si>
  <si>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</si>
  <si>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</si>
  <si>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</si>
  <si>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</si>
  <si>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</si>
  <si>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</si>
  <si>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</si>
  <si>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</si>
  <si>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</si>
  <si>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</si>
  <si>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</si>
  <si>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</si>
  <si>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</si>
  <si>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</si>
  <si>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</si>
  <si>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</si>
  <si>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</si>
  <si>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</si>
  <si>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</si>
  <si>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</si>
  <si>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</si>
  <si>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</si>
  <si>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</si>
  <si>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Covesville</t>
  </si>
  <si>
    <t>Crozet</t>
  </si>
  <si>
    <t>Dyke</t>
  </si>
  <si>
    <t>Earlysville</t>
  </si>
  <si>
    <t>Esmont</t>
  </si>
  <si>
    <t>Faber</t>
  </si>
  <si>
    <t>Fishersville</t>
  </si>
  <si>
    <t>Free Union</t>
  </si>
  <si>
    <t>Gordonsville</t>
  </si>
  <si>
    <t>Ivy</t>
  </si>
  <si>
    <t>Keswick</t>
  </si>
  <si>
    <t>Locust Dale</t>
  </si>
  <si>
    <t>Lovingston</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</si>
  <si>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</si>
  <si>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</si>
  <si>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</si>
  <si>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</si>
  <si>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</si>
  <si>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</si>
  <si>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</si>
  <si>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</si>
  <si>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</si>
  <si>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</si>
  <si>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</si>
  <si>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</si>
  <si>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</si>
  <si>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</si>
  <si>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</si>
  <si>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</si>
  <si>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</si>
  <si>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Beaumont</t>
  </si>
  <si>
    <t>Beaverdam</t>
  </si>
  <si>
    <t>Bena</t>
  </si>
  <si>
    <t>Bohannon</t>
  </si>
  <si>
    <t>Bremo Bluff</t>
  </si>
  <si>
    <t>Bruington</t>
  </si>
  <si>
    <t>Bumpass</t>
  </si>
  <si>
    <t>Cardinal</t>
  </si>
  <si>
    <t>Cartersville</t>
  </si>
  <si>
    <t>Charles City</t>
  </si>
  <si>
    <t>Christchurch</t>
  </si>
  <si>
    <t>Church View</t>
  </si>
  <si>
    <t>Cobbs Creek</t>
  </si>
  <si>
    <t>Crozier</t>
  </si>
  <si>
    <t>Deltaville</t>
  </si>
  <si>
    <t>Diggs</t>
  </si>
  <si>
    <t>Doswell</t>
  </si>
  <si>
    <t>Dutton</t>
  </si>
  <si>
    <t>Fork Union</t>
  </si>
  <si>
    <t>Glen Allen</t>
  </si>
  <si>
    <t>Gloucester Point</t>
  </si>
  <si>
    <t>Goochland</t>
  </si>
  <si>
    <t>Grimstead</t>
  </si>
  <si>
    <t>Gum Spring</t>
  </si>
  <si>
    <t>Gwynn</t>
  </si>
  <si>
    <t>Hadensville</t>
  </si>
  <si>
    <t>Hallieford</t>
  </si>
  <si>
    <t>Hardyville</t>
  </si>
  <si>
    <t>Hartfield</t>
  </si>
  <si>
    <t>Hayes</t>
  </si>
  <si>
    <t>Henrico</t>
  </si>
  <si>
    <t>Hudgins</t>
  </si>
  <si>
    <t>Jetersville</t>
  </si>
  <si>
    <t>Kents Store</t>
  </si>
  <si>
    <t>King And Queen Court House</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</si>
  <si>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</si>
  <si>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</si>
  <si>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</si>
  <si>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</si>
  <si>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</si>
  <si>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</si>
  <si>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</si>
  <si>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</si>
  <si>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</si>
  <si>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</si>
  <si>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</si>
  <si>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</si>
  <si>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</si>
  <si>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</si>
  <si>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</si>
  <si>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</si>
  <si>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</si>
  <si>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Moon</t>
  </si>
  <si>
    <t>Moseley</t>
  </si>
  <si>
    <t>New Canton</t>
  </si>
  <si>
    <t>New Kent</t>
  </si>
  <si>
    <t>New Point</t>
  </si>
  <si>
    <t>Norge</t>
  </si>
  <si>
    <t>North</t>
  </si>
  <si>
    <t>Oilville</t>
  </si>
  <si>
    <t>Onemo</t>
  </si>
  <si>
    <t>Ordinary</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</si>
  <si>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</si>
  <si>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</si>
  <si>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</si>
  <si>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</si>
  <si>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</si>
  <si>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</si>
  <si>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</si>
  <si>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</si>
  <si>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</si>
  <si>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</si>
  <si>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</si>
  <si>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</si>
  <si>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</si>
  <si>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</si>
  <si>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</si>
  <si>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</si>
  <si>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</si>
  <si>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</si>
  <si>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</si>
  <si>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</si>
  <si>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</si>
  <si>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</si>
  <si>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</si>
  <si>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</si>
  <si>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</si>
  <si>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</si>
  <si>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</si>
  <si>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</si>
  <si>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</si>
  <si>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</si>
  <si>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</si>
  <si>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</si>
  <si>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</si>
  <si>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</si>
  <si>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</si>
  <si>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</si>
  <si>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</si>
  <si>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</si>
  <si>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</si>
  <si>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</si>
  <si>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</si>
  <si>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</si>
  <si>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</si>
  <si>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</si>
  <si>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</si>
  <si>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</si>
  <si>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</si>
  <si>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</si>
  <si>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</si>
  <si>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</si>
  <si>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</si>
  <si>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</si>
  <si>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</si>
  <si>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</si>
  <si>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</si>
  <si>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</si>
  <si>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</si>
  <si>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</si>
  <si>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</si>
  <si>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</si>
  <si>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</si>
  <si>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</si>
  <si>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</si>
  <si>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</si>
  <si>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</si>
  <si>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</si>
  <si>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</si>
  <si>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</si>
  <si>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</si>
  <si>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</si>
  <si>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</si>
  <si>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</si>
  <si>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</si>
  <si>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</si>
  <si>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</si>
  <si>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</si>
  <si>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</si>
  <si>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</si>
  <si>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</si>
  <si>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Willis Wharf</t>
  </si>
  <si>
    <t>Withams</t>
  </si>
  <si>
    <t>Newport News</t>
  </si>
  <si>
    <t>Fort Eustis</t>
  </si>
  <si>
    <t>Fort Monroe</t>
  </si>
  <si>
    <t>Poquoson</t>
  </si>
  <si>
    <t>Yorktown</t>
  </si>
  <si>
    <t>Lackey</t>
  </si>
  <si>
    <t>Virginia State University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</si>
  <si>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</si>
  <si>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</si>
  <si>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</si>
  <si>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</si>
  <si>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</si>
  <si>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</si>
  <si>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</si>
  <si>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</si>
  <si>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</si>
  <si>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</si>
  <si>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</si>
  <si>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</si>
  <si>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</si>
  <si>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</si>
  <si>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</si>
  <si>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</si>
  <si>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</si>
  <si>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</si>
  <si>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</si>
  <si>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</si>
  <si>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Ivor</t>
  </si>
  <si>
    <t>Jarratt</t>
  </si>
  <si>
    <t>Mc Kenney</t>
  </si>
  <si>
    <t>Meredithville</t>
  </si>
  <si>
    <t>Newsoms</t>
  </si>
  <si>
    <t>Prince George</t>
  </si>
  <si>
    <t>Sedley</t>
  </si>
  <si>
    <t>Skippers</t>
  </si>
  <si>
    <t>Sutherland</t>
  </si>
  <si>
    <t>Valentines</t>
  </si>
  <si>
    <t>Warfield</t>
  </si>
  <si>
    <t>Wilsons</t>
  </si>
  <si>
    <t>Yale</t>
  </si>
  <si>
    <t>Zuni</t>
  </si>
  <si>
    <t>Farmville</t>
  </si>
  <si>
    <t>Baskerville</t>
  </si>
  <si>
    <t>Boydton</t>
  </si>
  <si>
    <t>Bracey</t>
  </si>
  <si>
    <t>Brodnax</t>
  </si>
  <si>
    <t>Burkeville</t>
  </si>
  <si>
    <t>Charlotte Court House</t>
  </si>
  <si>
    <t>Chase City</t>
  </si>
  <si>
    <t>Crewe</t>
  </si>
  <si>
    <t>Cullen</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</si>
  <si>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</si>
  <si>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</si>
  <si>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</si>
  <si>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</si>
  <si>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</si>
  <si>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</si>
  <si>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</si>
  <si>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</si>
  <si>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</si>
  <si>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</si>
  <si>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</si>
  <si>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</si>
  <si>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</si>
  <si>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</si>
  <si>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</si>
  <si>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</si>
  <si>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</si>
  <si>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</si>
  <si>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</si>
  <si>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</si>
  <si>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</si>
  <si>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</si>
  <si>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</si>
  <si>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</si>
  <si>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</si>
  <si>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</si>
  <si>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</si>
  <si>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</si>
  <si>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</si>
  <si>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</si>
  <si>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</si>
  <si>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</si>
  <si>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</si>
  <si>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</si>
  <si>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</si>
  <si>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</si>
  <si>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</si>
  <si>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</si>
  <si>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</si>
  <si>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</si>
  <si>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</si>
  <si>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</si>
  <si>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</si>
  <si>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</si>
  <si>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</si>
  <si>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</si>
  <si>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</si>
  <si>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</si>
  <si>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</si>
  <si>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</si>
  <si>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</si>
  <si>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</si>
  <si>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</si>
  <si>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</si>
  <si>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</si>
  <si>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</si>
  <si>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</si>
  <si>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</si>
  <si>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</si>
  <si>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</si>
  <si>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</si>
  <si>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</si>
  <si>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</si>
  <si>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</si>
  <si>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</si>
  <si>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</si>
  <si>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</si>
  <si>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</si>
  <si>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</si>
  <si>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</si>
  <si>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</si>
  <si>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</si>
  <si>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</si>
  <si>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</si>
  <si>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</si>
  <si>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</si>
  <si>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</si>
  <si>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</si>
  <si>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</si>
  <si>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</si>
  <si>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</si>
  <si>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</si>
  <si>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</si>
  <si>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</si>
  <si>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</si>
  <si>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</si>
  <si>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</si>
  <si>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</si>
  <si>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</si>
  <si>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</si>
  <si>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</si>
  <si>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</si>
  <si>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</si>
  <si>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</si>
  <si>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</si>
  <si>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</si>
  <si>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</si>
  <si>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</si>
  <si>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</si>
  <si>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</si>
  <si>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</si>
  <si>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</si>
  <si>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</si>
  <si>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</si>
  <si>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</si>
  <si>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</si>
  <si>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</si>
  <si>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</si>
  <si>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</si>
  <si>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</si>
  <si>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</si>
  <si>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</si>
  <si>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</si>
  <si>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</si>
  <si>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</si>
  <si>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</si>
  <si>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</si>
  <si>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</si>
  <si>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</si>
  <si>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</si>
  <si>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</si>
  <si>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</si>
  <si>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</si>
  <si>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</si>
  <si>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</si>
  <si>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</si>
  <si>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</si>
  <si>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</si>
  <si>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</si>
  <si>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</si>
  <si>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</si>
  <si>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</si>
  <si>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</si>
  <si>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</si>
  <si>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</si>
  <si>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</si>
  <si>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</si>
  <si>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</si>
  <si>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</si>
  <si>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</si>
  <si>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</si>
  <si>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</si>
  <si>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</si>
  <si>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</si>
  <si>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Speedwell</t>
  </si>
  <si>
    <t>Troutdale</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</si>
  <si>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</si>
  <si>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</si>
  <si>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</si>
  <si>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</si>
  <si>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</si>
  <si>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</si>
  <si>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</si>
  <si>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</si>
  <si>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</si>
  <si>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</si>
  <si>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</si>
  <si>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</si>
  <si>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</si>
  <si>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</si>
  <si>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</si>
  <si>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</si>
  <si>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Hot Springs</t>
  </si>
  <si>
    <t>Iron Gate</t>
  </si>
  <si>
    <t>Low Moor</t>
  </si>
  <si>
    <t>Mc Dowell</t>
  </si>
  <si>
    <t>Middlebrook</t>
  </si>
  <si>
    <t>Millboro</t>
  </si>
  <si>
    <t>Mint Spring</t>
  </si>
  <si>
    <t>Montebello</t>
  </si>
  <si>
    <t>Mount Sidney</t>
  </si>
  <si>
    <t>Mustoe</t>
  </si>
  <si>
    <t>Raphine</t>
  </si>
  <si>
    <t>Rockbridge Baths</t>
  </si>
  <si>
    <t>Selma</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</si>
  <si>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</si>
  <si>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</si>
  <si>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</si>
  <si>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</si>
  <si>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</si>
  <si>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</si>
  <si>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</si>
  <si>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</si>
  <si>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</si>
  <si>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</si>
  <si>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</si>
  <si>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</si>
  <si>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</si>
  <si>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</si>
  <si>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</si>
  <si>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</si>
  <si>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</si>
  <si>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</si>
  <si>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</si>
  <si>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</si>
  <si>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</si>
  <si>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</si>
  <si>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</si>
  <si>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</si>
  <si>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</si>
  <si>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</si>
  <si>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</si>
  <si>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</si>
  <si>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</si>
  <si>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</si>
  <si>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</si>
  <si>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</si>
  <si>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</si>
  <si>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</si>
  <si>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</si>
  <si>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Rustburg</t>
  </si>
  <si>
    <t>South Boston</t>
  </si>
  <si>
    <t>Spout Spring</t>
  </si>
  <si>
    <t>Sutherlin</t>
  </si>
  <si>
    <t>Sweet Briar</t>
  </si>
  <si>
    <t>Vernon Hill</t>
  </si>
  <si>
    <t>Virgilina</t>
  </si>
  <si>
    <t>Wingina</t>
  </si>
  <si>
    <t>Amonate</t>
  </si>
  <si>
    <t>Bandy</t>
  </si>
  <si>
    <t>Big Rock</t>
  </si>
  <si>
    <t>Bishop</t>
  </si>
  <si>
    <t>Bluefield</t>
  </si>
  <si>
    <t>Boissevain</t>
  </si>
  <si>
    <t>Breaks</t>
  </si>
  <si>
    <t>Burkes Garden</t>
  </si>
  <si>
    <t>Cedar Bluff</t>
  </si>
  <si>
    <t>Doran</t>
  </si>
  <si>
    <t>Falls Mills</t>
  </si>
  <si>
    <t>Grundy</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</si>
  <si>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</si>
  <si>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</si>
  <si>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</si>
  <si>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</si>
  <si>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</si>
  <si>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</si>
  <si>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</si>
  <si>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</si>
  <si>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</si>
  <si>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</si>
  <si>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</si>
  <si>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</si>
  <si>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</si>
  <si>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</si>
  <si>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</si>
  <si>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</si>
  <si>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</si>
  <si>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</si>
  <si>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</si>
  <si>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Beeson</t>
  </si>
  <si>
    <t>Bramwell</t>
  </si>
  <si>
    <t>Bud</t>
  </si>
  <si>
    <t>Covel</t>
  </si>
  <si>
    <t>Hiawatha</t>
  </si>
  <si>
    <t>Kegley</t>
  </si>
  <si>
    <t>Kellysville</t>
  </si>
  <si>
    <t>Lashmeet</t>
  </si>
  <si>
    <t>Matoaka</t>
  </si>
  <si>
    <t>Montcalm</t>
  </si>
  <si>
    <t>Nemours</t>
  </si>
  <si>
    <t>Rock</t>
  </si>
  <si>
    <t>Wolfe</t>
  </si>
  <si>
    <t>Welch</t>
  </si>
  <si>
    <t>Anawalt</t>
  </si>
  <si>
    <t>Bartley</t>
  </si>
  <si>
    <t>Berwind</t>
  </si>
  <si>
    <t>Big Sandy</t>
  </si>
  <si>
    <t>Bradshaw</t>
  </si>
  <si>
    <t>Brenton</t>
  </si>
  <si>
    <t>Clear Fork</t>
  </si>
  <si>
    <t>Coal Mountain</t>
  </si>
  <si>
    <t>Cucumber</t>
  </si>
  <si>
    <t>Davy</t>
  </si>
  <si>
    <t>Eckman</t>
  </si>
  <si>
    <t>Elbert</t>
  </si>
  <si>
    <t>Elkhorn</t>
  </si>
  <si>
    <t>Fanrock</t>
  </si>
  <si>
    <t>Gary</t>
  </si>
  <si>
    <t>Hemphill</t>
  </si>
  <si>
    <t>Hensley</t>
  </si>
  <si>
    <t>Iaeger</t>
  </si>
  <si>
    <t>Ikes Fork</t>
  </si>
  <si>
    <t>Isaban</t>
  </si>
  <si>
    <t>Itmann</t>
  </si>
  <si>
    <t>Jenkinjones</t>
  </si>
  <si>
    <t>Jesse</t>
  </si>
  <si>
    <t>Jolo</t>
  </si>
  <si>
    <t>Justice</t>
  </si>
  <si>
    <t>Kimball</t>
  </si>
  <si>
    <t>Kopperston</t>
  </si>
  <si>
    <t>Kyle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</si>
  <si>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</si>
  <si>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</si>
  <si>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</si>
  <si>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</si>
  <si>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</si>
  <si>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</si>
  <si>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</si>
  <si>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</si>
  <si>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</si>
  <si>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</si>
  <si>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</si>
  <si>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</si>
  <si>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</si>
  <si>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</si>
  <si>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</si>
  <si>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</si>
  <si>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Squire</t>
  </si>
  <si>
    <t>Switchback</t>
  </si>
  <si>
    <t>Thorpe</t>
  </si>
  <si>
    <t>War</t>
  </si>
  <si>
    <t>Warriormine</t>
  </si>
  <si>
    <t>Wilcoe</t>
  </si>
  <si>
    <t>Fairlea</t>
  </si>
  <si>
    <t>Alderson</t>
  </si>
  <si>
    <t>Arbovale</t>
  </si>
  <si>
    <t>Ballard</t>
  </si>
  <si>
    <t>Bartow</t>
  </si>
  <si>
    <t>Buckeye</t>
  </si>
  <si>
    <t>Cass</t>
  </si>
  <si>
    <t>Crawley</t>
  </si>
  <si>
    <t>Dunmore</t>
  </si>
  <si>
    <t>Gap Mills</t>
  </si>
  <si>
    <t>Grassy Meadows</t>
  </si>
  <si>
    <t>Green Bank</t>
  </si>
  <si>
    <t>Lindside</t>
  </si>
  <si>
    <t>Marlinton</t>
  </si>
  <si>
    <t>Maxwelton</t>
  </si>
  <si>
    <t>Pence Springs</t>
  </si>
  <si>
    <t>Peterstown</t>
  </si>
  <si>
    <t>Renick</t>
  </si>
  <si>
    <t>Ronceverte</t>
  </si>
  <si>
    <t>Secondcreek</t>
  </si>
  <si>
    <t>Sinks Grove</t>
  </si>
  <si>
    <t>Smoot</t>
  </si>
  <si>
    <t>Talcott</t>
  </si>
  <si>
    <t>Waiteville</t>
  </si>
  <si>
    <t>Wayside</t>
  </si>
  <si>
    <t>Wolfcreek</t>
  </si>
  <si>
    <t>Alloy</t>
  </si>
  <si>
    <t>Alum Creek</t>
  </si>
  <si>
    <t>Amma</t>
  </si>
  <si>
    <t>Arnett</t>
  </si>
  <si>
    <t>Artie</t>
  </si>
  <si>
    <t>Bancroft</t>
  </si>
  <si>
    <t>Belle</t>
  </si>
  <si>
    <t>Bickmore</t>
  </si>
  <si>
    <t>Bim</t>
  </si>
  <si>
    <t>Blair</t>
  </si>
  <si>
    <t>Bloomingrose</t>
  </si>
  <si>
    <t>Blount</t>
  </si>
  <si>
    <t>Blue Creek</t>
  </si>
  <si>
    <t>Bob White</t>
  </si>
  <si>
    <t>Bomont</t>
  </si>
  <si>
    <t>Boomer</t>
  </si>
  <si>
    <t>Cabin Creek</t>
  </si>
  <si>
    <t>Cannelton</t>
  </si>
  <si>
    <t>Charlton Heights</t>
  </si>
  <si>
    <t>Clear Creek</t>
  </si>
  <si>
    <t>Clendenin</t>
  </si>
  <si>
    <t>Clothier</t>
  </si>
  <si>
    <t>Colcord</t>
  </si>
  <si>
    <t>Comfort</t>
  </si>
  <si>
    <t>Costa</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</si>
  <si>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</si>
  <si>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</si>
  <si>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</si>
  <si>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</si>
  <si>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</si>
  <si>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</si>
  <si>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</si>
  <si>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</si>
  <si>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</si>
  <si>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</si>
  <si>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</si>
  <si>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</si>
  <si>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</si>
  <si>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</si>
  <si>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</si>
  <si>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</si>
  <si>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Handley</t>
  </si>
  <si>
    <t>Hansford</t>
  </si>
  <si>
    <t>Hernshaw</t>
  </si>
  <si>
    <t>Hewett</t>
  </si>
  <si>
    <t>Hometown</t>
  </si>
  <si>
    <t>Hugheston</t>
  </si>
  <si>
    <t>Indore</t>
  </si>
  <si>
    <t>Institute</t>
  </si>
  <si>
    <t>Ivydale</t>
  </si>
  <si>
    <t>Jeffrey</t>
  </si>
  <si>
    <t>Kanawha Falls</t>
  </si>
  <si>
    <t>Kimberly</t>
  </si>
  <si>
    <t>Kincaid</t>
  </si>
  <si>
    <t>Lake</t>
  </si>
  <si>
    <t>Lizemores</t>
  </si>
  <si>
    <t>London</t>
  </si>
  <si>
    <t>Maysel</t>
  </si>
  <si>
    <t>Miami</t>
  </si>
  <si>
    <t>Mount Carbon</t>
  </si>
  <si>
    <t>Naoma</t>
  </si>
  <si>
    <t>Nebo</t>
  </si>
  <si>
    <t>Nellis</t>
  </si>
  <si>
    <t>Nitro</t>
  </si>
  <si>
    <t>Orgas</t>
  </si>
  <si>
    <t>Ottawa</t>
  </si>
  <si>
    <t>Page</t>
  </si>
  <si>
    <t>Peytona</t>
  </si>
  <si>
    <t>Pinch</t>
  </si>
  <si>
    <t>Poca</t>
  </si>
  <si>
    <t>Pond Gap</t>
  </si>
  <si>
    <t>Powellton</t>
  </si>
  <si>
    <t>Pratt</t>
  </si>
  <si>
    <t>Procious</t>
  </si>
  <si>
    <t>Racine</t>
  </si>
  <si>
    <t>Ridgeview</t>
  </si>
  <si>
    <t>Robson</t>
  </si>
  <si>
    <t>Rock Creek</t>
  </si>
  <si>
    <t>Saxon</t>
  </si>
  <si>
    <t>Seth</t>
  </si>
  <si>
    <t>Sharples</t>
  </si>
  <si>
    <t>Mount Olive</t>
  </si>
  <si>
    <t>Smithers</t>
  </si>
  <si>
    <t>Southside</t>
  </si>
  <si>
    <t>Sylvester</t>
  </si>
  <si>
    <t>Tad</t>
  </si>
  <si>
    <t>Tornado</t>
  </si>
  <si>
    <t>Twilight</t>
  </si>
  <si>
    <t>Uneeda</t>
  </si>
  <si>
    <t>Van</t>
  </si>
  <si>
    <t>Widen</t>
  </si>
  <si>
    <t>Winifrede</t>
  </si>
  <si>
    <t>Advent</t>
  </si>
  <si>
    <t>Arnoldsburg</t>
  </si>
  <si>
    <t>Chloe</t>
  </si>
  <si>
    <t>Cottageville</t>
  </si>
  <si>
    <t>Evans</t>
  </si>
  <si>
    <t>Gandeeville</t>
  </si>
  <si>
    <t>Gay</t>
  </si>
  <si>
    <t>Given</t>
  </si>
  <si>
    <t>Kenna</t>
  </si>
  <si>
    <t>Left Hand</t>
  </si>
  <si>
    <t>Letart</t>
  </si>
  <si>
    <t>Looneyville</t>
  </si>
  <si>
    <t>Mason</t>
  </si>
  <si>
    <t>Millstone</t>
  </si>
  <si>
    <t>Mount Alto</t>
  </si>
  <si>
    <t>Normantown</t>
  </si>
  <si>
    <t>Orma</t>
  </si>
  <si>
    <t>Reedy</t>
  </si>
  <si>
    <t>Sandyville</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</si>
  <si>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</si>
  <si>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</si>
  <si>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</si>
  <si>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</si>
  <si>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</si>
  <si>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</si>
  <si>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</si>
  <si>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</si>
  <si>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</si>
  <si>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</si>
  <si>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</si>
  <si>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</si>
  <si>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</si>
  <si>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</si>
  <si>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</si>
  <si>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</si>
  <si>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</si>
  <si>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</si>
  <si>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</si>
  <si>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</si>
  <si>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</si>
  <si>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</si>
  <si>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</si>
  <si>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</si>
  <si>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</si>
  <si>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</si>
  <si>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</si>
  <si>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</si>
  <si>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</si>
  <si>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</si>
  <si>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</si>
  <si>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</si>
  <si>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</si>
  <si>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</si>
  <si>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Griffithsville</t>
  </si>
  <si>
    <t>Harts</t>
  </si>
  <si>
    <t>Hurricane</t>
  </si>
  <si>
    <t>Kenova</t>
  </si>
  <si>
    <t>Kiahsville</t>
  </si>
  <si>
    <t>Lavalette</t>
  </si>
  <si>
    <t>Lesage</t>
  </si>
  <si>
    <t>Midkiff</t>
  </si>
  <si>
    <t>Myra</t>
  </si>
  <si>
    <t>Ona</t>
  </si>
  <si>
    <t>Pecks Mill</t>
  </si>
  <si>
    <t>Prichard</t>
  </si>
  <si>
    <t>Ranger</t>
  </si>
  <si>
    <t>Salt Rock</t>
  </si>
  <si>
    <t>Scott Depot</t>
  </si>
  <si>
    <t>Shoals</t>
  </si>
  <si>
    <t>Sod</t>
  </si>
  <si>
    <t>Spurlockville</t>
  </si>
  <si>
    <t>Sumerco</t>
  </si>
  <si>
    <t>Teays</t>
  </si>
  <si>
    <t>West Hamlin</t>
  </si>
  <si>
    <t>Yawkey</t>
  </si>
  <si>
    <t>Logan</t>
  </si>
  <si>
    <t>Accoville</t>
  </si>
  <si>
    <t>Amherstdale</t>
  </si>
  <si>
    <t>Baisden</t>
  </si>
  <si>
    <t>Bruno</t>
  </si>
  <si>
    <t>Chauncey</t>
  </si>
  <si>
    <t>Cora</t>
  </si>
  <si>
    <t>Davin</t>
  </si>
  <si>
    <t>Henlawson</t>
  </si>
  <si>
    <t>Kistler</t>
  </si>
  <si>
    <t>Lorado</t>
  </si>
  <si>
    <t>Lyburn</t>
  </si>
  <si>
    <t>Man</t>
  </si>
  <si>
    <t>Mount Gay</t>
  </si>
  <si>
    <t>Omar</t>
  </si>
  <si>
    <t>Peach Creek</t>
  </si>
  <si>
    <t>Sarah Ann</t>
  </si>
  <si>
    <t>Stollings</t>
  </si>
  <si>
    <t>Switzer</t>
  </si>
  <si>
    <t>Verdunville</t>
  </si>
  <si>
    <t>Verner</t>
  </si>
  <si>
    <t>Wharncliffe</t>
  </si>
  <si>
    <t>Wilkinson</t>
  </si>
  <si>
    <t>Yolyn</t>
  </si>
  <si>
    <t>Borderland</t>
  </si>
  <si>
    <t>Breeden</t>
  </si>
  <si>
    <t>Chattaroy</t>
  </si>
  <si>
    <t>Crum</t>
  </si>
  <si>
    <t>Delbarton</t>
  </si>
  <si>
    <t>Dingess</t>
  </si>
  <si>
    <t>Edgarton</t>
  </si>
  <si>
    <t>Kermit</t>
  </si>
  <si>
    <t>Lenore</t>
  </si>
  <si>
    <t>Matewan</t>
  </si>
  <si>
    <t>North Matewan</t>
  </si>
  <si>
    <t>Ragland</t>
  </si>
  <si>
    <t>Rawl</t>
  </si>
  <si>
    <t>Red Jacket</t>
  </si>
  <si>
    <t>Varney</t>
  </si>
  <si>
    <t>Wilsondale</t>
  </si>
  <si>
    <t>Beckley</t>
  </si>
  <si>
    <t>Allen Junction</t>
  </si>
  <si>
    <t>Amigo</t>
  </si>
  <si>
    <t>Ansted</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</si>
  <si>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</si>
  <si>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</si>
  <si>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</si>
  <si>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</si>
  <si>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</si>
  <si>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</si>
  <si>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</si>
  <si>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</si>
  <si>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</si>
  <si>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</si>
  <si>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</si>
  <si>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</si>
  <si>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</si>
  <si>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</si>
  <si>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</si>
  <si>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</si>
  <si>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Rogers</t>
  </si>
  <si>
    <t>Glen White</t>
  </si>
  <si>
    <t>Harper</t>
  </si>
  <si>
    <t>Hico</t>
  </si>
  <si>
    <t>Hilltop</t>
  </si>
  <si>
    <t>Lanark</t>
  </si>
  <si>
    <t>Layland</t>
  </si>
  <si>
    <t>Lester</t>
  </si>
  <si>
    <t>Lochgelly</t>
  </si>
  <si>
    <t>Lookout</t>
  </si>
  <si>
    <t>Maben</t>
  </si>
  <si>
    <t>Mabscott</t>
  </si>
  <si>
    <t>Mac Arthur</t>
  </si>
  <si>
    <t>Mc Graws</t>
  </si>
  <si>
    <t>Saulsville</t>
  </si>
  <si>
    <t>Minden</t>
  </si>
  <si>
    <t>Mount Hope</t>
  </si>
  <si>
    <t>Mullens</t>
  </si>
  <si>
    <t>Odd</t>
  </si>
  <si>
    <t>Pax</t>
  </si>
  <si>
    <t>Piney View</t>
  </si>
  <si>
    <t>Prince</t>
  </si>
  <si>
    <t>Princewick</t>
  </si>
  <si>
    <t>Raleigh</t>
  </si>
  <si>
    <t>Ravencliff</t>
  </si>
  <si>
    <t>Rhodell</t>
  </si>
  <si>
    <t>Sabine</t>
  </si>
  <si>
    <t>Scarbro</t>
  </si>
  <si>
    <t>Shady Spring</t>
  </si>
  <si>
    <t>Skelton</t>
  </si>
  <si>
    <t>Slab Fork</t>
  </si>
  <si>
    <t>Sophia</t>
  </si>
  <si>
    <t>Spanishburg</t>
  </si>
  <si>
    <t>Stanaford</t>
  </si>
  <si>
    <t>Surveyor</t>
  </si>
  <si>
    <t>Thurmond</t>
  </si>
  <si>
    <t>Winona</t>
  </si>
  <si>
    <t>Wyco</t>
  </si>
  <si>
    <t>Charmco</t>
  </si>
  <si>
    <t>Rainelle</t>
  </si>
  <si>
    <t>Green Sulphur Springs</t>
  </si>
  <si>
    <t>Jumping Branch</t>
  </si>
  <si>
    <t>Lerona</t>
  </si>
  <si>
    <t>Leslie</t>
  </si>
  <si>
    <t>Meadow Bridge</t>
  </si>
  <si>
    <t>Meadow Creek</t>
  </si>
  <si>
    <t>Nimitz</t>
  </si>
  <si>
    <t>Pipestem</t>
  </si>
  <si>
    <t>Quinwood</t>
  </si>
  <si>
    <t>Sandstone</t>
  </si>
  <si>
    <t>Spring Dale</t>
  </si>
  <si>
    <t>White Oak</t>
  </si>
  <si>
    <t>Wheeling</t>
  </si>
  <si>
    <t>Beech Bottom</t>
  </si>
  <si>
    <t>Benwood</t>
  </si>
  <si>
    <t>Colliers</t>
  </si>
  <si>
    <t>Follansbee</t>
  </si>
  <si>
    <t>Glen Dale</t>
  </si>
  <si>
    <t>Glen Easton</t>
  </si>
  <si>
    <t>Mcmechen</t>
  </si>
  <si>
    <t>Moundsville</t>
  </si>
  <si>
    <t>New Manchester</t>
  </si>
  <si>
    <t>Short Creek</t>
  </si>
  <si>
    <t>Triadelphia</t>
  </si>
  <si>
    <t>Valley Grove</t>
  </si>
  <si>
    <t>Weirton</t>
  </si>
  <si>
    <t>West Liberty</t>
  </si>
  <si>
    <t>Windsor Heights</t>
  </si>
  <si>
    <t>Parkersburg</t>
  </si>
  <si>
    <t>Mineral Wells</t>
  </si>
  <si>
    <t>Big Bend</t>
  </si>
  <si>
    <t>Big Springs</t>
  </si>
  <si>
    <t>Brohard</t>
  </si>
  <si>
    <t>Creston</t>
  </si>
  <si>
    <t>Davisville</t>
  </si>
  <si>
    <t>Friendly</t>
  </si>
  <si>
    <t>Macfarlan</t>
  </si>
  <si>
    <t>Middlebourne</t>
  </si>
  <si>
    <t>Mount Zion</t>
  </si>
  <si>
    <t>Munday</t>
  </si>
  <si>
    <t>New Martinsville</t>
  </si>
  <si>
    <t>Paden City</t>
  </si>
  <si>
    <t>Palestine</t>
  </si>
  <si>
    <t>Petroleum</t>
  </si>
  <si>
    <t>Porters Falls</t>
  </si>
  <si>
    <t>Ravenswood</t>
  </si>
  <si>
    <t>Reader</t>
  </si>
  <si>
    <t>Sistersville</t>
  </si>
  <si>
    <t>Smithville</t>
  </si>
  <si>
    <t>Walker</t>
  </si>
  <si>
    <t>Buckhannon</t>
  </si>
  <si>
    <t>Fenwick</t>
  </si>
  <si>
    <t>Erbacon</t>
  </si>
  <si>
    <t>Cowen</t>
  </si>
  <si>
    <t>Camden On Gauley</t>
  </si>
  <si>
    <t>Snowshoe</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</si>
  <si>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</si>
  <si>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</si>
  <si>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</si>
  <si>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</si>
  <si>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</si>
  <si>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</si>
  <si>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</si>
  <si>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</si>
  <si>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</si>
  <si>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</si>
  <si>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</si>
  <si>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</si>
  <si>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</si>
  <si>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</si>
  <si>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</si>
  <si>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</si>
  <si>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</si>
  <si>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</si>
  <si>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</si>
  <si>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</si>
  <si>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</si>
  <si>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</si>
  <si>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Harman</t>
  </si>
  <si>
    <t>Hendricks</t>
  </si>
  <si>
    <t>Huttonsville</t>
  </si>
  <si>
    <t>Junior</t>
  </si>
  <si>
    <t>Kerens</t>
  </si>
  <si>
    <t>Mabie</t>
  </si>
  <si>
    <t>Monterville</t>
  </si>
  <si>
    <t>Parsons</t>
  </si>
  <si>
    <t>Webster Springs</t>
  </si>
  <si>
    <t>Slatyfork</t>
  </si>
  <si>
    <t>Thomas</t>
  </si>
  <si>
    <t>Valley Bend</t>
  </si>
  <si>
    <t>Valley Head</t>
  </si>
  <si>
    <t>Whitmer</t>
  </si>
  <si>
    <t>Bergoo</t>
  </si>
  <si>
    <t>Alum Bridge</t>
  </si>
  <si>
    <t>Anmoore</t>
  </si>
  <si>
    <t>Berea</t>
  </si>
  <si>
    <t>Burnsville</t>
  </si>
  <si>
    <t>Center Point</t>
  </si>
  <si>
    <t>Coxs Mills</t>
  </si>
  <si>
    <t>Crawford</t>
  </si>
  <si>
    <t>Ellenboro</t>
  </si>
  <si>
    <t>Galloway</t>
  </si>
  <si>
    <t>Gypsy</t>
  </si>
  <si>
    <t>Hepzibah</t>
  </si>
  <si>
    <t>Horner</t>
  </si>
  <si>
    <t>Ireland</t>
  </si>
  <si>
    <t>Jacksonburg</t>
  </si>
  <si>
    <t>Jane Lew</t>
  </si>
  <si>
    <t>Linn</t>
  </si>
  <si>
    <t>Lumberport</t>
  </si>
  <si>
    <t>Meadowbrook</t>
  </si>
  <si>
    <t>Moatsville</t>
  </si>
  <si>
    <t>Mount Clare</t>
  </si>
  <si>
    <t>New Milton</t>
  </si>
  <si>
    <t>Orlando</t>
  </si>
  <si>
    <t>Pennsboro</t>
  </si>
  <si>
    <t>Philippi</t>
  </si>
  <si>
    <t>Pullman</t>
  </si>
  <si>
    <t>Rowlesburg</t>
  </si>
  <si>
    <t>Sand Fork</t>
  </si>
  <si>
    <t>Shinnston</t>
  </si>
  <si>
    <t>Simpson</t>
  </si>
  <si>
    <t>Smithburg</t>
  </si>
  <si>
    <t>Spelter</t>
  </si>
  <si>
    <t>Tunnelton</t>
  </si>
  <si>
    <t>Wallace</t>
  </si>
  <si>
    <t>West Union</t>
  </si>
  <si>
    <t>Wilsonburg</t>
  </si>
  <si>
    <t>Wyatt</t>
  </si>
  <si>
    <t>Albright</t>
  </si>
  <si>
    <t>Arthurdale</t>
  </si>
  <si>
    <t>Blacksville</t>
  </si>
  <si>
    <t>Bretz</t>
  </si>
  <si>
    <t>Bruceton Mills</t>
  </si>
  <si>
    <t>Dellslow</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</si>
  <si>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</si>
  <si>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</si>
  <si>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</si>
  <si>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</si>
  <si>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</si>
  <si>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</si>
  <si>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</si>
  <si>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</si>
  <si>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</si>
  <si>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</si>
  <si>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</si>
  <si>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</si>
  <si>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</si>
  <si>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</si>
  <si>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</si>
  <si>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</si>
  <si>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</si>
  <si>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</si>
  <si>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</si>
  <si>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</si>
  <si>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</si>
  <si>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Wana</t>
  </si>
  <si>
    <t>Birch River</t>
  </si>
  <si>
    <t>Copen</t>
  </si>
  <si>
    <t>Dille</t>
  </si>
  <si>
    <t>Exchange</t>
  </si>
  <si>
    <t>Flatwoods</t>
  </si>
  <si>
    <t>Frametown</t>
  </si>
  <si>
    <t>Gassaway</t>
  </si>
  <si>
    <t>Heaters</t>
  </si>
  <si>
    <t>Little Birch</t>
  </si>
  <si>
    <t>Napier</t>
  </si>
  <si>
    <t>Shock</t>
  </si>
  <si>
    <t>Summersville</t>
  </si>
  <si>
    <t>Belva</t>
  </si>
  <si>
    <t>Canvas</t>
  </si>
  <si>
    <t>Drennen</t>
  </si>
  <si>
    <t>Keslers Cross Lanes</t>
  </si>
  <si>
    <t>Leivasy</t>
  </si>
  <si>
    <t>Mount Lookout</t>
  </si>
  <si>
    <t>Mount Nebo</t>
  </si>
  <si>
    <t>Nallen</t>
  </si>
  <si>
    <t>Nettie</t>
  </si>
  <si>
    <t>Pool</t>
  </si>
  <si>
    <t>Swiss</t>
  </si>
  <si>
    <t>Bayard</t>
  </si>
  <si>
    <t>Capon Bridge</t>
  </si>
  <si>
    <t>Delray</t>
  </si>
  <si>
    <t>Eglon</t>
  </si>
  <si>
    <t>Elk Garden</t>
  </si>
  <si>
    <t>Fort Ashby</t>
  </si>
  <si>
    <t>Gormania</t>
  </si>
  <si>
    <t>Green Spring</t>
  </si>
  <si>
    <t>Keyser</t>
  </si>
  <si>
    <t>Lahmansville</t>
  </si>
  <si>
    <t>Mount Storm</t>
  </si>
  <si>
    <t>New Creek</t>
  </si>
  <si>
    <t>Piedmont</t>
  </si>
  <si>
    <t>Ridgeley</t>
  </si>
  <si>
    <t>Rio</t>
  </si>
  <si>
    <t>Romney</t>
  </si>
  <si>
    <t>Shanks</t>
  </si>
  <si>
    <t>Terra Alta</t>
  </si>
  <si>
    <t>Wiley Ford</t>
  </si>
  <si>
    <t>Baker</t>
  </si>
  <si>
    <t>High View</t>
  </si>
  <si>
    <t>Lost City</t>
  </si>
  <si>
    <t>Mathias</t>
  </si>
  <si>
    <t>Bloomery</t>
  </si>
  <si>
    <t>Capon Springs</t>
  </si>
  <si>
    <t>Maysville</t>
  </si>
  <si>
    <t>Moorefield</t>
  </si>
  <si>
    <t>Milam</t>
  </si>
  <si>
    <t>Old Fields</t>
  </si>
  <si>
    <t>Wardensville</t>
  </si>
  <si>
    <t>Purgitsville</t>
  </si>
  <si>
    <t>Cabins</t>
  </si>
  <si>
    <t>Yellow Spring</t>
  </si>
  <si>
    <t>Upper Tract</t>
  </si>
  <si>
    <t>Seneca Rocks</t>
  </si>
  <si>
    <t>Onego</t>
  </si>
  <si>
    <t>Advance</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</si>
  <si>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</si>
  <si>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</si>
  <si>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</si>
  <si>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</si>
  <si>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</si>
  <si>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</si>
  <si>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</si>
  <si>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</si>
  <si>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</si>
  <si>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</si>
  <si>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</si>
  <si>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</si>
  <si>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</si>
  <si>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</si>
  <si>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</si>
  <si>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</si>
  <si>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</si>
  <si>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</si>
  <si>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</si>
  <si>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</si>
  <si>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</si>
  <si>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</si>
  <si>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</si>
  <si>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</si>
  <si>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</si>
  <si>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</si>
  <si>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</si>
  <si>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Winston-salem</t>
  </si>
  <si>
    <t>Alamance</t>
  </si>
  <si>
    <t>Altamahaw</t>
  </si>
  <si>
    <t>Asheboro</t>
  </si>
  <si>
    <t>Bennett</t>
  </si>
  <si>
    <t>Biscoe</t>
  </si>
  <si>
    <t>Blanch</t>
  </si>
  <si>
    <t>Bonlee</t>
  </si>
  <si>
    <t>Browns Summit</t>
  </si>
  <si>
    <t>Bynum</t>
  </si>
  <si>
    <t>Cedar Falls</t>
  </si>
  <si>
    <t>Cumnock</t>
  </si>
  <si>
    <t>Eagle Springs</t>
  </si>
  <si>
    <t>Efland</t>
  </si>
  <si>
    <t>Elon</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</si>
  <si>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</si>
  <si>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</si>
  <si>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</si>
  <si>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</si>
  <si>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</si>
  <si>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</si>
  <si>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</si>
  <si>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</si>
  <si>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</si>
  <si>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</si>
  <si>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</si>
  <si>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</si>
  <si>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</si>
  <si>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</si>
  <si>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</si>
  <si>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</si>
  <si>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</si>
  <si>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</si>
  <si>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</si>
  <si>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</si>
  <si>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</si>
  <si>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</si>
  <si>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</si>
  <si>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</si>
  <si>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</si>
  <si>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</si>
  <si>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</si>
  <si>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</si>
  <si>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</si>
  <si>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</si>
  <si>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</si>
  <si>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</si>
  <si>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</si>
  <si>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</si>
  <si>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</si>
  <si>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</si>
  <si>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</si>
  <si>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</si>
  <si>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</si>
  <si>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</si>
  <si>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</si>
  <si>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</si>
  <si>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</si>
  <si>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</si>
  <si>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</si>
  <si>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</si>
  <si>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</si>
  <si>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</si>
  <si>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</si>
  <si>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</si>
  <si>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</si>
  <si>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</si>
  <si>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</si>
  <si>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</si>
  <si>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</si>
  <si>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</si>
  <si>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</si>
  <si>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</si>
  <si>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</si>
  <si>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</si>
  <si>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</si>
  <si>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</si>
  <si>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</si>
  <si>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</si>
  <si>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</si>
  <si>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</si>
  <si>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</si>
  <si>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</si>
  <si>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</si>
  <si>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</si>
  <si>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</si>
  <si>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</si>
  <si>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</si>
  <si>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</si>
  <si>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</si>
  <si>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</si>
  <si>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</si>
  <si>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</si>
  <si>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</si>
  <si>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</si>
  <si>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</si>
  <si>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</si>
  <si>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</si>
  <si>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</si>
  <si>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</si>
  <si>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</si>
  <si>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</si>
  <si>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</si>
  <si>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</si>
  <si>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</si>
  <si>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</si>
  <si>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</si>
  <si>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</si>
  <si>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</si>
  <si>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</si>
  <si>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</si>
  <si>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</si>
  <si>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</si>
  <si>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</si>
  <si>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</si>
  <si>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</si>
  <si>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Hassell</t>
  </si>
  <si>
    <t>Hobgood</t>
  </si>
  <si>
    <t>Hollister</t>
  </si>
  <si>
    <t>Kelford</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</si>
  <si>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</si>
  <si>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</si>
  <si>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</si>
  <si>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</si>
  <si>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</si>
  <si>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</si>
  <si>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</si>
  <si>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</si>
  <si>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</si>
  <si>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</si>
  <si>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</si>
  <si>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</si>
  <si>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</si>
  <si>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</si>
  <si>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</si>
  <si>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</si>
  <si>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</si>
  <si>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</si>
  <si>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</si>
  <si>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</si>
  <si>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</si>
  <si>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</si>
  <si>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</si>
  <si>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</si>
  <si>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</si>
  <si>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</si>
  <si>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</si>
  <si>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</si>
  <si>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</si>
  <si>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</si>
  <si>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</si>
  <si>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</si>
  <si>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</si>
  <si>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</si>
  <si>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</si>
  <si>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</si>
  <si>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</si>
  <si>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</si>
  <si>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</si>
  <si>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</si>
  <si>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</si>
  <si>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</si>
  <si>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</si>
  <si>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</si>
  <si>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</si>
  <si>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</si>
  <si>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</si>
  <si>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</si>
  <si>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</si>
  <si>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</si>
  <si>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</si>
  <si>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</si>
  <si>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</si>
  <si>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</si>
  <si>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</si>
  <si>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</si>
  <si>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</si>
  <si>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</si>
  <si>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</si>
  <si>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</si>
  <si>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</si>
  <si>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</si>
  <si>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</si>
  <si>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</si>
  <si>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</si>
  <si>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</si>
  <si>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</si>
  <si>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</si>
  <si>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</si>
  <si>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</si>
  <si>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</si>
  <si>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</si>
  <si>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</si>
  <si>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</si>
  <si>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</si>
  <si>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</si>
  <si>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</si>
  <si>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</si>
  <si>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</si>
  <si>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</si>
  <si>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</si>
  <si>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</si>
  <si>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</si>
  <si>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</si>
  <si>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</si>
  <si>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</si>
  <si>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</si>
  <si>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</si>
  <si>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</si>
  <si>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</si>
  <si>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</si>
  <si>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</si>
  <si>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</si>
  <si>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</si>
  <si>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</si>
  <si>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</si>
  <si>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</si>
  <si>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</si>
  <si>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</si>
  <si>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</si>
  <si>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</si>
  <si>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</si>
  <si>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</si>
  <si>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</si>
  <si>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</si>
  <si>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</si>
  <si>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</si>
  <si>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</si>
  <si>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</si>
  <si>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</si>
  <si>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</si>
  <si>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</si>
  <si>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</si>
  <si>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</si>
  <si>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</si>
  <si>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</si>
  <si>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</si>
  <si>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</si>
  <si>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</si>
  <si>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</si>
  <si>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</si>
  <si>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</si>
  <si>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</si>
  <si>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</si>
  <si>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</si>
  <si>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</si>
  <si>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</si>
  <si>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</si>
  <si>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</si>
  <si>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</si>
  <si>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</si>
  <si>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</si>
  <si>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</si>
  <si>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</si>
  <si>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</si>
  <si>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</si>
  <si>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</si>
  <si>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</si>
  <si>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</si>
  <si>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</si>
  <si>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</si>
  <si>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</si>
  <si>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</si>
  <si>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</si>
  <si>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</si>
  <si>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Army Airfield</t>
  </si>
  <si>
    <t>Autryville</t>
  </si>
  <si>
    <t>Bladenboro</t>
  </si>
  <si>
    <t>Bunnlevel</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</si>
  <si>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</si>
  <si>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</si>
  <si>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</si>
  <si>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</si>
  <si>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</si>
  <si>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</si>
  <si>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</si>
  <si>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</si>
  <si>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</si>
  <si>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</si>
  <si>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</si>
  <si>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</si>
  <si>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</si>
  <si>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</si>
  <si>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</si>
  <si>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</si>
  <si>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</si>
  <si>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</si>
  <si>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</si>
  <si>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</si>
  <si>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</si>
  <si>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</si>
  <si>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</si>
  <si>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</si>
  <si>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</si>
  <si>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</si>
  <si>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</si>
  <si>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</si>
  <si>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</si>
  <si>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</si>
  <si>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</si>
  <si>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</si>
  <si>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</si>
  <si>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</si>
  <si>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</si>
  <si>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</si>
  <si>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</si>
  <si>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</si>
  <si>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</si>
  <si>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Ash</t>
  </si>
  <si>
    <t>Bolivia</t>
  </si>
  <si>
    <t>Burgaw</t>
  </si>
  <si>
    <t>Carolina Beach</t>
  </si>
  <si>
    <t>Castle Hayne</t>
  </si>
  <si>
    <t>Cerro Gordo</t>
  </si>
  <si>
    <t>Chadbourn</t>
  </si>
  <si>
    <t>Clarkton</t>
  </si>
  <si>
    <t>Council</t>
  </si>
  <si>
    <t>Currie</t>
  </si>
  <si>
    <t>Delco</t>
  </si>
  <si>
    <t>Fair Bluff</t>
  </si>
  <si>
    <t>Hallsboro</t>
  </si>
  <si>
    <t>Harrells</t>
  </si>
  <si>
    <t>Holly Ridge</t>
  </si>
  <si>
    <t>Kelly</t>
  </si>
  <si>
    <t>Kure Beach</t>
  </si>
  <si>
    <t>Lake Waccamaw</t>
  </si>
  <si>
    <t>Leland</t>
  </si>
  <si>
    <t>Longwood</t>
  </si>
  <si>
    <t>Maple Hill</t>
  </si>
  <si>
    <t>Nakina</t>
  </si>
  <si>
    <t>Riegelwood</t>
  </si>
  <si>
    <t>Shallotte</t>
  </si>
  <si>
    <t>Sneads Ferry</t>
  </si>
  <si>
    <t>Supply</t>
  </si>
  <si>
    <t>Tabor City</t>
  </si>
  <si>
    <t>Teachey</t>
  </si>
  <si>
    <t>Oak Island</t>
  </si>
  <si>
    <t>Calabash</t>
  </si>
  <si>
    <t>Sunset Beach</t>
  </si>
  <si>
    <t>Ocean Isle Beach</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</si>
  <si>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</si>
  <si>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</si>
  <si>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</si>
  <si>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</si>
  <si>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</si>
  <si>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</si>
  <si>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</si>
  <si>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</si>
  <si>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</si>
  <si>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</si>
  <si>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</si>
  <si>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</si>
  <si>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</si>
  <si>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</si>
  <si>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</si>
  <si>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</si>
  <si>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</si>
  <si>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</si>
  <si>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</si>
  <si>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</si>
  <si>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</si>
  <si>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</si>
  <si>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</si>
  <si>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</si>
  <si>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</si>
  <si>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</si>
  <si>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</si>
  <si>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</si>
  <si>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</si>
  <si>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</si>
  <si>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</si>
  <si>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</si>
  <si>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</si>
  <si>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</si>
  <si>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</si>
  <si>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</si>
  <si>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</si>
  <si>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</si>
  <si>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</si>
  <si>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</si>
  <si>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</si>
  <si>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</si>
  <si>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</si>
  <si>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</si>
  <si>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</si>
  <si>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Winterville</t>
  </si>
  <si>
    <t>Emerald Isle</t>
  </si>
  <si>
    <t>Banner Elk</t>
  </si>
  <si>
    <t>Blowing Rock</t>
  </si>
  <si>
    <t>Boone</t>
  </si>
  <si>
    <t>Collettsville</t>
  </si>
  <si>
    <t>Connellys Springs</t>
  </si>
  <si>
    <t>Conover</t>
  </si>
  <si>
    <t>Crossnore</t>
  </si>
  <si>
    <t>Crumpler</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</si>
  <si>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</si>
  <si>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</si>
  <si>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</si>
  <si>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</si>
  <si>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</si>
  <si>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</si>
  <si>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</si>
  <si>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</si>
  <si>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</si>
  <si>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</si>
  <si>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</si>
  <si>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</si>
  <si>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</si>
  <si>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</si>
  <si>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</si>
  <si>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</si>
  <si>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</si>
  <si>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</si>
  <si>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</si>
  <si>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</si>
  <si>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</si>
  <si>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</si>
  <si>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</si>
  <si>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</si>
  <si>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</si>
  <si>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</si>
  <si>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</si>
  <si>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</si>
  <si>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</si>
  <si>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</si>
  <si>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</si>
  <si>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</si>
  <si>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</si>
  <si>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</si>
  <si>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</si>
  <si>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</si>
  <si>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</si>
  <si>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</si>
  <si>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</si>
  <si>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</si>
  <si>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</si>
  <si>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</si>
  <si>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</si>
  <si>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</si>
  <si>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Turnersburg</t>
  </si>
  <si>
    <t>Union Grove</t>
  </si>
  <si>
    <t>Valdese</t>
  </si>
  <si>
    <t>Valle Crucis</t>
  </si>
  <si>
    <t>Vilas</t>
  </si>
  <si>
    <t>Warrensville</t>
  </si>
  <si>
    <t>West Jefferson</t>
  </si>
  <si>
    <t>Wilkesboro</t>
  </si>
  <si>
    <t>Zionville</t>
  </si>
  <si>
    <t>Scotts</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</si>
  <si>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</si>
  <si>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</si>
  <si>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</si>
  <si>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</si>
  <si>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</si>
  <si>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</si>
  <si>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</si>
  <si>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</si>
  <si>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</si>
  <si>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</si>
  <si>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</si>
  <si>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</si>
  <si>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</si>
  <si>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</si>
  <si>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</si>
  <si>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</si>
  <si>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</si>
  <si>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</si>
  <si>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</si>
  <si>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</si>
  <si>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</si>
  <si>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</si>
  <si>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</si>
  <si>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</si>
  <si>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</si>
  <si>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</si>
  <si>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</si>
  <si>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</si>
  <si>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</si>
  <si>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</si>
  <si>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</si>
  <si>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</si>
  <si>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</si>
  <si>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</si>
  <si>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</si>
  <si>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</si>
  <si>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</si>
  <si>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</si>
  <si>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</si>
  <si>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</si>
  <si>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</si>
  <si>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</si>
  <si>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</si>
  <si>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</si>
  <si>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</si>
  <si>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</si>
  <si>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</si>
  <si>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</si>
  <si>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</si>
  <si>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</si>
  <si>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</si>
  <si>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</si>
  <si>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</si>
  <si>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</si>
  <si>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</si>
  <si>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</si>
  <si>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</si>
  <si>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</si>
  <si>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</si>
  <si>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</si>
  <si>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</si>
  <si>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</si>
  <si>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</si>
  <si>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</si>
  <si>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</si>
  <si>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</si>
  <si>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</si>
  <si>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</si>
  <si>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</si>
  <si>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</si>
  <si>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</si>
  <si>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</si>
  <si>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</si>
  <si>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</si>
  <si>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</si>
  <si>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</si>
  <si>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</si>
  <si>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</si>
  <si>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</si>
  <si>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</si>
  <si>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</si>
  <si>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</si>
  <si>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</si>
  <si>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</si>
  <si>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</si>
  <si>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</si>
  <si>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</si>
  <si>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</si>
  <si>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</si>
  <si>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</si>
  <si>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</si>
  <si>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</si>
  <si>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</si>
  <si>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</si>
  <si>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</si>
  <si>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</si>
  <si>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</si>
  <si>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</si>
  <si>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</si>
  <si>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</si>
  <si>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</si>
  <si>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</si>
  <si>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</si>
  <si>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</si>
  <si>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</si>
  <si>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</si>
  <si>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</si>
  <si>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</si>
  <si>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</si>
  <si>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</si>
  <si>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</si>
  <si>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</si>
  <si>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</si>
  <si>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Rion</t>
  </si>
  <si>
    <t>Rowesville</t>
  </si>
  <si>
    <t>Saint Matthews</t>
  </si>
  <si>
    <t>Salley</t>
  </si>
  <si>
    <t>Santee</t>
  </si>
  <si>
    <t>Silverstreet</t>
  </si>
  <si>
    <t>State Park</t>
  </si>
  <si>
    <t>Summerton</t>
  </si>
  <si>
    <t>Sumter</t>
  </si>
  <si>
    <t>Shaw A F B</t>
  </si>
  <si>
    <t>Timmonsville</t>
  </si>
  <si>
    <t>Turbeville</t>
  </si>
  <si>
    <t>Vance</t>
  </si>
  <si>
    <t>Wagener</t>
  </si>
  <si>
    <t>Ward</t>
  </si>
  <si>
    <t>Wedgefield</t>
  </si>
  <si>
    <t>White Rock</t>
  </si>
  <si>
    <t>Whitmire</t>
  </si>
  <si>
    <t>Winnsboro</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</si>
  <si>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</si>
  <si>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</si>
  <si>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</si>
  <si>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</si>
  <si>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</si>
  <si>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</si>
  <si>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</si>
  <si>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</si>
  <si>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</si>
  <si>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</si>
  <si>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</si>
  <si>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</si>
  <si>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</si>
  <si>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</si>
  <si>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</si>
  <si>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</si>
  <si>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</si>
  <si>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</si>
  <si>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</si>
  <si>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</si>
  <si>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</si>
  <si>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</si>
  <si>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</si>
  <si>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</si>
  <si>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</si>
  <si>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</si>
  <si>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</si>
  <si>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</si>
  <si>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</si>
  <si>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</si>
  <si>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</si>
  <si>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</si>
  <si>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Hanahan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</si>
  <si>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</si>
  <si>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</si>
  <si>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</si>
  <si>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</si>
  <si>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</si>
  <si>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</si>
  <si>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</si>
  <si>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</si>
  <si>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</si>
  <si>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</si>
  <si>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</si>
  <si>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</si>
  <si>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</si>
  <si>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</si>
  <si>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</si>
  <si>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</si>
  <si>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</si>
  <si>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</si>
  <si>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</si>
  <si>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</si>
  <si>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</si>
  <si>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</si>
  <si>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Ridgeville</t>
  </si>
  <si>
    <t>Round O</t>
  </si>
  <si>
    <t>Russellville</t>
  </si>
  <si>
    <t>Saint George</t>
  </si>
  <si>
    <t>Saint Stephen</t>
  </si>
  <si>
    <t>Smoaks</t>
  </si>
  <si>
    <t>Sullivans Island</t>
  </si>
  <si>
    <t>Wadmalaw Island</t>
  </si>
  <si>
    <t>Walterboro</t>
  </si>
  <si>
    <t>Williams</t>
  </si>
  <si>
    <t>Aynor</t>
  </si>
  <si>
    <t>Bennettsville</t>
  </si>
  <si>
    <t>Blenheim</t>
  </si>
  <si>
    <t>Cades</t>
  </si>
  <si>
    <t>Centenary</t>
  </si>
  <si>
    <t>Cheraw</t>
  </si>
  <si>
    <t>Clio</t>
  </si>
  <si>
    <t>Coward</t>
  </si>
  <si>
    <t>Dillon</t>
  </si>
  <si>
    <t>Galivants Ferry</t>
  </si>
  <si>
    <t>Green Sea</t>
  </si>
  <si>
    <t>Gresham</t>
  </si>
  <si>
    <t>Hamer</t>
  </si>
  <si>
    <t>Hartsville</t>
  </si>
  <si>
    <t>Hemingway</t>
  </si>
  <si>
    <t>Kingstree</t>
  </si>
  <si>
    <t>Lane</t>
  </si>
  <si>
    <t>Latta</t>
  </si>
  <si>
    <t>Little River</t>
  </si>
  <si>
    <t>Little Rock</t>
  </si>
  <si>
    <t>Longs</t>
  </si>
  <si>
    <t>Loris</t>
  </si>
  <si>
    <t>Mc Coll</t>
  </si>
  <si>
    <t>Myrtle Beach</t>
  </si>
  <si>
    <t>Minturn</t>
  </si>
  <si>
    <t>Mullins</t>
  </si>
  <si>
    <t>Murrells Inlet</t>
  </si>
  <si>
    <t>Nesmith</t>
  </si>
  <si>
    <t>North Myrtle Beach</t>
  </si>
  <si>
    <t>Pamplico</t>
  </si>
  <si>
    <t>Patrick</t>
  </si>
  <si>
    <t>Pawleys Island</t>
  </si>
  <si>
    <t>Rains</t>
  </si>
  <si>
    <t>Salters</t>
  </si>
  <si>
    <t>Sellers</t>
  </si>
  <si>
    <t>Society Hill</t>
  </si>
  <si>
    <t>Tatum</t>
  </si>
  <si>
    <t>Abbeville</t>
  </si>
  <si>
    <t>Anderson</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</si>
  <si>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</si>
  <si>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</si>
  <si>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</si>
  <si>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</si>
  <si>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</si>
  <si>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</si>
  <si>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</si>
  <si>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</si>
  <si>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</si>
  <si>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</si>
  <si>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</si>
  <si>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</si>
  <si>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</si>
  <si>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</si>
  <si>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</si>
  <si>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</si>
  <si>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</si>
  <si>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</si>
  <si>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</si>
  <si>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</si>
  <si>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</si>
  <si>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</si>
  <si>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</si>
  <si>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</si>
  <si>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</si>
  <si>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</si>
  <si>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</si>
  <si>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</si>
  <si>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</si>
  <si>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</si>
  <si>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</si>
  <si>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</si>
  <si>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</si>
  <si>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</si>
  <si>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</si>
  <si>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</si>
  <si>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</si>
  <si>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Lando</t>
  </si>
  <si>
    <t>Mc Connells</t>
  </si>
  <si>
    <t>Mount Croghan</t>
  </si>
  <si>
    <t>Pageland</t>
  </si>
  <si>
    <t>Van Wyck</t>
  </si>
  <si>
    <t>Aiken</t>
  </si>
  <si>
    <t>New Ellenton</t>
  </si>
  <si>
    <t>Barnwell</t>
  </si>
  <si>
    <t>Hilda</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</si>
  <si>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</si>
  <si>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</si>
  <si>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</si>
  <si>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</si>
  <si>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</si>
  <si>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</si>
  <si>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</si>
  <si>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</si>
  <si>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</si>
  <si>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</si>
  <si>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</si>
  <si>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</si>
  <si>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</si>
  <si>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</si>
  <si>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</si>
  <si>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</si>
  <si>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</si>
  <si>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</si>
  <si>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</si>
  <si>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</si>
  <si>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</si>
  <si>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Coosawhatchie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</si>
  <si>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</si>
  <si>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</si>
  <si>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</si>
  <si>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</si>
  <si>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</si>
  <si>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</si>
  <si>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</si>
  <si>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</si>
  <si>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</si>
  <si>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</si>
  <si>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</si>
  <si>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</si>
  <si>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</si>
  <si>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</si>
  <si>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</si>
  <si>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</si>
  <si>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</si>
  <si>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</si>
  <si>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Avondale Estates</t>
  </si>
  <si>
    <t>Norcross</t>
  </si>
  <si>
    <t>Alpharetta</t>
  </si>
  <si>
    <t>Conyers</t>
  </si>
  <si>
    <t>Grayson</t>
  </si>
  <si>
    <t>Dacula</t>
  </si>
  <si>
    <t>Clarkston</t>
  </si>
  <si>
    <t>Suwanee</t>
  </si>
  <si>
    <t>Social Circle</t>
  </si>
  <si>
    <t>North Metro</t>
  </si>
  <si>
    <t>Cumming</t>
  </si>
  <si>
    <t>Decatur</t>
  </si>
  <si>
    <t>Lithonia</t>
  </si>
  <si>
    <t>Snellville</t>
  </si>
  <si>
    <t>Lilburn</t>
  </si>
  <si>
    <t>Newborn</t>
  </si>
  <si>
    <t>Porterdale</t>
  </si>
  <si>
    <t>Pine Lake</t>
  </si>
  <si>
    <t>Redan</t>
  </si>
  <si>
    <t>Roswell</t>
  </si>
  <si>
    <t>Stone Mountain</t>
  </si>
  <si>
    <t>Tucker</t>
  </si>
  <si>
    <t>Duluth</t>
  </si>
  <si>
    <t>Adairsville</t>
  </si>
  <si>
    <t>Aragon</t>
  </si>
  <si>
    <t>Armuchee</t>
  </si>
  <si>
    <t>Austell</t>
  </si>
  <si>
    <t>Ball Ground</t>
  </si>
  <si>
    <t>Bowdon</t>
  </si>
  <si>
    <t>Bowdon Junction</t>
  </si>
  <si>
    <t>Clarkdale</t>
  </si>
  <si>
    <t>Lithia Springs</t>
  </si>
  <si>
    <t>Cave Spring</t>
  </si>
  <si>
    <t>Cedartown</t>
  </si>
  <si>
    <t>Mableton</t>
  </si>
  <si>
    <t>Powder Springs</t>
  </si>
  <si>
    <t>Coosa</t>
  </si>
  <si>
    <t>Douglasville</t>
  </si>
  <si>
    <t>Esom Hill</t>
  </si>
  <si>
    <t>Fairmount</t>
  </si>
  <si>
    <t>Kennesaw</t>
  </si>
  <si>
    <t>Lindale</t>
  </si>
  <si>
    <t>Marble Hill</t>
  </si>
  <si>
    <t>Mount Berry</t>
  </si>
  <si>
    <t>Rockmart</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</si>
  <si>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</si>
  <si>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</si>
  <si>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</si>
  <si>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</si>
  <si>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</si>
  <si>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</si>
  <si>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</si>
  <si>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</si>
  <si>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</si>
  <si>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</si>
  <si>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</si>
  <si>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</si>
  <si>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</si>
  <si>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</si>
  <si>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</si>
  <si>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</si>
  <si>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</si>
  <si>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</si>
  <si>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</si>
  <si>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</si>
  <si>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Meansville</t>
  </si>
  <si>
    <t>Milner</t>
  </si>
  <si>
    <t>Molena</t>
  </si>
  <si>
    <t>Moreland</t>
  </si>
  <si>
    <t>Morrow</t>
  </si>
  <si>
    <t>Newnan</t>
  </si>
  <si>
    <t>Orchard Hill</t>
  </si>
  <si>
    <t>Palmetto</t>
  </si>
  <si>
    <t>Peachtree City</t>
  </si>
  <si>
    <t>Sargent</t>
  </si>
  <si>
    <t>Senoia</t>
  </si>
  <si>
    <t>Sunny Side</t>
  </si>
  <si>
    <t>The Rock</t>
  </si>
  <si>
    <t>Conley</t>
  </si>
  <si>
    <t>Ellenwood</t>
  </si>
  <si>
    <t>Forest Park</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</si>
  <si>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</si>
  <si>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</si>
  <si>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</si>
  <si>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</si>
  <si>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</si>
  <si>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</si>
  <si>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</si>
  <si>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</si>
  <si>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</si>
  <si>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</si>
  <si>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</si>
  <si>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</si>
  <si>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</si>
  <si>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</si>
  <si>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</si>
  <si>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</si>
  <si>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</si>
  <si>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</si>
  <si>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</si>
  <si>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</si>
  <si>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</si>
  <si>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</si>
  <si>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</si>
  <si>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</si>
  <si>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Twin City</t>
  </si>
  <si>
    <t>Uvalda</t>
  </si>
  <si>
    <t>Vidalia</t>
  </si>
  <si>
    <t>Wadley</t>
  </si>
  <si>
    <t>Chestnut Mountain</t>
  </si>
  <si>
    <t>Alto</t>
  </si>
  <si>
    <t>Buford</t>
  </si>
  <si>
    <t>Bowersville</t>
  </si>
  <si>
    <t>Braselton</t>
  </si>
  <si>
    <t>Canon</t>
  </si>
  <si>
    <t>Carnesville</t>
  </si>
  <si>
    <t>Cherry Log</t>
  </si>
  <si>
    <t>Clarkesville</t>
  </si>
  <si>
    <t>Clermont</t>
  </si>
  <si>
    <t>Commerce</t>
  </si>
  <si>
    <t>Cornelia</t>
  </si>
  <si>
    <t>Dahlonega</t>
  </si>
  <si>
    <t>Dawsonville</t>
  </si>
  <si>
    <t>Demorest</t>
  </si>
  <si>
    <t>Ellijay</t>
  </si>
  <si>
    <t>Dillard</t>
  </si>
  <si>
    <t>Eastanollee</t>
  </si>
  <si>
    <t>East Ellijay</t>
  </si>
  <si>
    <t>Epworth</t>
  </si>
  <si>
    <t>Flowery Branch</t>
  </si>
  <si>
    <t>Gillsville</t>
  </si>
  <si>
    <t>Habersham</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</si>
  <si>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</si>
  <si>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</si>
  <si>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</si>
  <si>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</si>
  <si>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</si>
  <si>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</si>
  <si>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</si>
  <si>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</si>
  <si>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</si>
  <si>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</si>
  <si>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</si>
  <si>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</si>
  <si>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</si>
  <si>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</si>
  <si>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</si>
  <si>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</si>
  <si>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</si>
  <si>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</si>
  <si>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</si>
  <si>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</si>
  <si>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</si>
  <si>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</si>
  <si>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</si>
  <si>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</si>
  <si>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</si>
  <si>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</si>
  <si>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</si>
  <si>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</si>
  <si>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</si>
  <si>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</si>
  <si>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</si>
  <si>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</si>
  <si>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</si>
  <si>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</si>
  <si>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</si>
  <si>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</si>
  <si>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</si>
  <si>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</si>
  <si>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</si>
  <si>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</si>
  <si>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</si>
  <si>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</si>
  <si>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</si>
  <si>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</si>
  <si>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</si>
  <si>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</si>
  <si>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</si>
  <si>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</si>
  <si>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</si>
  <si>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</si>
  <si>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</si>
  <si>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</si>
  <si>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</si>
  <si>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</si>
  <si>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</si>
  <si>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</si>
  <si>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</si>
  <si>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</si>
  <si>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</si>
  <si>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</si>
  <si>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</si>
  <si>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</si>
  <si>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</si>
  <si>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</si>
  <si>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</si>
  <si>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</si>
  <si>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</si>
  <si>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</si>
  <si>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</si>
  <si>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</si>
  <si>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</si>
  <si>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</si>
  <si>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</si>
  <si>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</si>
  <si>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</si>
  <si>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Perkins</t>
  </si>
  <si>
    <t>Stapleton</t>
  </si>
  <si>
    <t>Thomson</t>
  </si>
  <si>
    <t>Wrens</t>
  </si>
  <si>
    <t>Bolingbroke</t>
  </si>
  <si>
    <t>Bonaire</t>
  </si>
  <si>
    <t>Byromville</t>
  </si>
  <si>
    <t>Cadwell</t>
  </si>
  <si>
    <t>Cordele</t>
  </si>
  <si>
    <t>Clinchfield</t>
  </si>
  <si>
    <t>Cochran</t>
  </si>
  <si>
    <t>Davisboro</t>
  </si>
  <si>
    <t>Dry Branch</t>
  </si>
  <si>
    <t>Eastman</t>
  </si>
  <si>
    <t>Eatonton</t>
  </si>
  <si>
    <t>East Dublin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</si>
  <si>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</si>
  <si>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</si>
  <si>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</si>
  <si>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</si>
  <si>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</si>
  <si>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</si>
  <si>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</si>
  <si>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</si>
  <si>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</si>
  <si>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</si>
  <si>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</si>
  <si>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</si>
  <si>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</si>
  <si>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</si>
  <si>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</si>
  <si>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</si>
  <si>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</si>
  <si>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</si>
  <si>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</si>
  <si>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</si>
  <si>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</si>
  <si>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</si>
  <si>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</si>
  <si>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</si>
  <si>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</si>
  <si>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</si>
  <si>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</si>
  <si>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</si>
  <si>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</si>
  <si>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</si>
  <si>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</si>
  <si>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</si>
  <si>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</si>
  <si>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</si>
  <si>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</si>
  <si>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</si>
  <si>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</si>
  <si>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</si>
  <si>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</si>
  <si>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</si>
  <si>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</si>
  <si>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Sapelo Island</t>
  </si>
  <si>
    <t>Tybee Island</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</si>
  <si>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</si>
  <si>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</si>
  <si>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</si>
  <si>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</si>
  <si>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</si>
  <si>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</si>
  <si>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</si>
  <si>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</si>
  <si>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</si>
  <si>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</si>
  <si>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</si>
  <si>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</si>
  <si>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</si>
  <si>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</si>
  <si>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</si>
  <si>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</si>
  <si>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</si>
  <si>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</si>
  <si>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</si>
  <si>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</si>
  <si>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</si>
  <si>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</si>
  <si>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</si>
  <si>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</si>
  <si>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</si>
  <si>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</si>
  <si>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</si>
  <si>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</si>
  <si>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</si>
  <si>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</si>
  <si>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</si>
  <si>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</si>
  <si>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</si>
  <si>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</si>
  <si>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</si>
  <si>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</si>
  <si>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</si>
  <si>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</si>
  <si>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</si>
  <si>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</si>
  <si>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</si>
  <si>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</si>
  <si>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</si>
  <si>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Moody A F B</t>
  </si>
  <si>
    <t>Americus</t>
  </si>
  <si>
    <t>Andersonville</t>
  </si>
  <si>
    <t>Arabi</t>
  </si>
  <si>
    <t>Baconton</t>
  </si>
  <si>
    <t>Barwick</t>
  </si>
  <si>
    <t>Camilla</t>
  </si>
  <si>
    <t>Chula</t>
  </si>
  <si>
    <t>Cobb</t>
  </si>
  <si>
    <t>Coolidge</t>
  </si>
  <si>
    <t>Cotton</t>
  </si>
  <si>
    <t>De Soto</t>
  </si>
  <si>
    <t>Doerun</t>
  </si>
  <si>
    <t>Ellenton</t>
  </si>
  <si>
    <t>Enigma</t>
  </si>
  <si>
    <t>Fitzgerald</t>
  </si>
  <si>
    <t>Funston</t>
  </si>
  <si>
    <t>Hartsfield</t>
  </si>
  <si>
    <t>Irwinville</t>
  </si>
  <si>
    <t>Meigs</t>
  </si>
  <si>
    <t>Moultrie</t>
  </si>
  <si>
    <t>Norman Park</t>
  </si>
  <si>
    <t>Ochlocknee</t>
  </si>
  <si>
    <t>Ocilla</t>
  </si>
  <si>
    <t>Omega</t>
  </si>
  <si>
    <t>Pavo</t>
  </si>
  <si>
    <t>Plains</t>
  </si>
  <si>
    <t>Poulan</t>
  </si>
  <si>
    <t>Rebecca</t>
  </si>
  <si>
    <t>Sale City</t>
  </si>
  <si>
    <t>Tifton</t>
  </si>
  <si>
    <t>Ty Ty</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</si>
  <si>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</si>
  <si>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</si>
  <si>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</si>
  <si>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</si>
  <si>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</si>
  <si>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</si>
  <si>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</si>
  <si>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</si>
  <si>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</si>
  <si>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</si>
  <si>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</si>
  <si>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</si>
  <si>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</si>
  <si>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</si>
  <si>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</si>
  <si>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</si>
  <si>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Fleming Island</t>
  </si>
  <si>
    <t>Ponte Vedra Beach</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</si>
  <si>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</si>
  <si>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</si>
  <si>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</si>
  <si>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</si>
  <si>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</si>
  <si>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</si>
  <si>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</si>
  <si>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</si>
  <si>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</si>
  <si>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</si>
  <si>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</si>
  <si>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</si>
  <si>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</si>
  <si>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</si>
  <si>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</si>
  <si>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</si>
  <si>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</si>
  <si>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</si>
  <si>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Orange Park</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</si>
  <si>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</si>
  <si>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</si>
  <si>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</si>
  <si>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</si>
  <si>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</si>
  <si>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</si>
  <si>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</si>
  <si>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</si>
  <si>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</si>
  <si>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</si>
  <si>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</si>
  <si>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</si>
  <si>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</si>
  <si>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</si>
  <si>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</si>
  <si>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</si>
  <si>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</si>
  <si>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</si>
  <si>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</si>
  <si>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</si>
  <si>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</si>
  <si>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</si>
  <si>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</si>
  <si>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</si>
  <si>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</si>
  <si>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Edgar</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</si>
  <si>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</si>
  <si>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</si>
  <si>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</si>
  <si>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</si>
  <si>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</si>
  <si>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</si>
  <si>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</si>
  <si>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</si>
  <si>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</si>
  <si>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</si>
  <si>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</si>
  <si>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</si>
  <si>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</si>
  <si>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</si>
  <si>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</si>
  <si>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</si>
  <si>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</si>
  <si>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</si>
  <si>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</si>
  <si>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</si>
  <si>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</si>
  <si>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</si>
  <si>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</si>
  <si>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</si>
  <si>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</si>
  <si>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</si>
  <si>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</si>
  <si>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</si>
  <si>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</si>
  <si>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</si>
  <si>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</si>
  <si>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</si>
  <si>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</si>
  <si>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</si>
  <si>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</si>
  <si>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</si>
  <si>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</si>
  <si>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</si>
  <si>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</si>
  <si>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</si>
  <si>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</si>
  <si>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</si>
  <si>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</si>
  <si>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</si>
  <si>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</si>
  <si>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</si>
  <si>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</si>
  <si>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</si>
  <si>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</si>
  <si>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</si>
  <si>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</si>
  <si>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</si>
  <si>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</si>
  <si>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</si>
  <si>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</si>
  <si>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Wewahitchka</t>
  </si>
  <si>
    <t>Noma</t>
  </si>
  <si>
    <t>Point Washington</t>
  </si>
  <si>
    <t>Ponce De Leon</t>
  </si>
  <si>
    <t>Port Saint Joe</t>
  </si>
  <si>
    <t>Santa Rosa Beach</t>
  </si>
  <si>
    <t>Sneads</t>
  </si>
  <si>
    <t>Rosemary Beach</t>
  </si>
  <si>
    <t>Wausau</t>
  </si>
  <si>
    <t>Pensacola</t>
  </si>
  <si>
    <t>Bagdad</t>
  </si>
  <si>
    <t>Cantonment</t>
  </si>
  <si>
    <t>Century</t>
  </si>
  <si>
    <t>Crestview</t>
  </si>
  <si>
    <t>Milligan</t>
  </si>
  <si>
    <t>Destin</t>
  </si>
  <si>
    <t>Eglin Afb</t>
  </si>
  <si>
    <t>Hurlburt Field</t>
  </si>
  <si>
    <t>Fort Walton Beach</t>
  </si>
  <si>
    <t>Miramar Beach</t>
  </si>
  <si>
    <t>Gonzalez</t>
  </si>
  <si>
    <t>Gulf Breeze</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</si>
  <si>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</si>
  <si>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</si>
  <si>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</si>
  <si>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</si>
  <si>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</si>
  <si>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</si>
  <si>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</si>
  <si>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</si>
  <si>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</si>
  <si>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</si>
  <si>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</si>
  <si>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</si>
  <si>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</si>
  <si>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</si>
  <si>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</si>
  <si>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</si>
  <si>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</si>
  <si>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</si>
  <si>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</si>
  <si>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</si>
  <si>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</si>
  <si>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</si>
  <si>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</si>
  <si>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</si>
  <si>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</si>
  <si>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</si>
  <si>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</si>
  <si>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</si>
  <si>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</si>
  <si>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Otter Creek</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</si>
  <si>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</si>
  <si>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</si>
  <si>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</si>
  <si>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</si>
  <si>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</si>
  <si>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</si>
  <si>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</si>
  <si>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</si>
  <si>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</si>
  <si>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</si>
  <si>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</si>
  <si>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</si>
  <si>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</si>
  <si>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</si>
  <si>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</si>
  <si>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</si>
  <si>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</si>
  <si>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</si>
  <si>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</si>
  <si>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</si>
  <si>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</si>
  <si>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</si>
  <si>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</si>
  <si>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</si>
  <si>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</si>
  <si>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</si>
  <si>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</si>
  <si>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</si>
  <si>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</si>
  <si>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</si>
  <si>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</si>
  <si>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</si>
  <si>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</si>
  <si>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</si>
  <si>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</si>
  <si>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</si>
  <si>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</si>
  <si>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</si>
  <si>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</si>
  <si>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</si>
  <si>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</si>
  <si>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</si>
  <si>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</si>
  <si>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</si>
  <si>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</si>
  <si>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</si>
  <si>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</si>
  <si>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</si>
  <si>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</si>
  <si>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</si>
  <si>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</si>
  <si>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</si>
  <si>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</si>
  <si>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Pembroke Pines</t>
  </si>
  <si>
    <t>Islamorada</t>
  </si>
  <si>
    <t>Key Largo</t>
  </si>
  <si>
    <t>Key West</t>
  </si>
  <si>
    <t>Summerland Key</t>
  </si>
  <si>
    <t>Big Pine Key</t>
  </si>
  <si>
    <t>Key Colony Beach</t>
  </si>
  <si>
    <t>Marathon Shores</t>
  </si>
  <si>
    <t>Opa Locka</t>
  </si>
  <si>
    <t>Miami Gardens</t>
  </si>
  <si>
    <t>Pompano Beach</t>
  </si>
  <si>
    <t>Tavernier</t>
  </si>
  <si>
    <t>Coral Springs</t>
  </si>
  <si>
    <t>Margate</t>
  </si>
  <si>
    <t>Coconut Creek</t>
  </si>
  <si>
    <t>Miami Beach</t>
  </si>
  <si>
    <t>Coral Gables</t>
  </si>
  <si>
    <t>Key Biscayne</t>
  </si>
  <si>
    <t>North Miami Beach</t>
  </si>
  <si>
    <t>Fort Lauderdale</t>
  </si>
  <si>
    <t>Plantation</t>
  </si>
  <si>
    <t>West Palm Beach</t>
  </si>
  <si>
    <t>North Palm Beach</t>
  </si>
  <si>
    <t>Palm Beach Gardens</t>
  </si>
  <si>
    <t>Wellington</t>
  </si>
  <si>
    <t>Royal Palm Beach</t>
  </si>
  <si>
    <t>Boynton Beach</t>
  </si>
  <si>
    <t>Boca Raton</t>
  </si>
  <si>
    <t>Belle Glade</t>
  </si>
  <si>
    <t>Canal Point</t>
  </si>
  <si>
    <t>Clewiston</t>
  </si>
  <si>
    <t>Deerfield Beach</t>
  </si>
  <si>
    <t>Delray Beach</t>
  </si>
  <si>
    <t>Lake Worth</t>
  </si>
  <si>
    <t>Greenacres</t>
  </si>
  <si>
    <t>Hobe Sound</t>
  </si>
  <si>
    <t>Jupiter</t>
  </si>
  <si>
    <t>Lake Harbor</t>
  </si>
  <si>
    <t>Loxahatchee</t>
  </si>
  <si>
    <t>Moore Haven</t>
  </si>
  <si>
    <t>Pahokee</t>
  </si>
  <si>
    <t>Palm Beach</t>
  </si>
  <si>
    <t>South Bay</t>
  </si>
  <si>
    <t>Balm</t>
  </si>
  <si>
    <t>Bushnell</t>
  </si>
  <si>
    <t>Center Hill</t>
  </si>
  <si>
    <t>Coleman</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</si>
  <si>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</si>
  <si>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</si>
  <si>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</si>
  <si>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</si>
  <si>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</si>
  <si>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</si>
  <si>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</si>
  <si>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</si>
  <si>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</si>
  <si>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</si>
  <si>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</si>
  <si>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</si>
  <si>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</si>
  <si>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</si>
  <si>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</si>
  <si>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</si>
  <si>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</si>
  <si>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Seffner</t>
  </si>
  <si>
    <t>Sumterville</t>
  </si>
  <si>
    <t>Sun City</t>
  </si>
  <si>
    <t>Sydney</t>
  </si>
  <si>
    <t>Thonotosassa</t>
  </si>
  <si>
    <t>Trilby</t>
  </si>
  <si>
    <t>Valrico</t>
  </si>
  <si>
    <t>Wimauma</t>
  </si>
  <si>
    <t>Tampa</t>
  </si>
  <si>
    <t>Bay Pines</t>
  </si>
  <si>
    <t>Clearwater Beach</t>
  </si>
  <si>
    <t>Largo</t>
  </si>
  <si>
    <t>Pinellas Park</t>
  </si>
  <si>
    <t>Indian Rocks Beach</t>
  </si>
  <si>
    <t>Belleair Beach</t>
  </si>
  <si>
    <t>Alturas</t>
  </si>
  <si>
    <t>Avon Park</t>
  </si>
  <si>
    <t>Eaton Park</t>
  </si>
  <si>
    <t>Fort Meade</t>
  </si>
  <si>
    <t>Frostproof</t>
  </si>
  <si>
    <t>Haines City</t>
  </si>
  <si>
    <t>Highland City</t>
  </si>
  <si>
    <t>Homeland</t>
  </si>
  <si>
    <t>Intercession City</t>
  </si>
  <si>
    <t>Lake Alfred</t>
  </si>
  <si>
    <t>Lake Hamilton</t>
  </si>
  <si>
    <t>Lake Wales</t>
  </si>
  <si>
    <t>Lakeshore</t>
  </si>
  <si>
    <t>Indian Lake Estates</t>
  </si>
  <si>
    <t>Nalcrest</t>
  </si>
  <si>
    <t>Lorida</t>
  </si>
  <si>
    <t>Loughman</t>
  </si>
  <si>
    <t>Mulberry</t>
  </si>
  <si>
    <t>River Ranch</t>
  </si>
  <si>
    <t>Polk City</t>
  </si>
  <si>
    <t>Sebring</t>
  </si>
  <si>
    <t>Wauchula</t>
  </si>
  <si>
    <t>Winter Haven</t>
  </si>
  <si>
    <t>Zolfo Springs</t>
  </si>
  <si>
    <t>Fort Myers</t>
  </si>
  <si>
    <t>North Fort Myers</t>
  </si>
  <si>
    <t>Cape Coral</t>
  </si>
  <si>
    <t>Alva</t>
  </si>
  <si>
    <t>Boca Grande</t>
  </si>
  <si>
    <t>Bokeelia</t>
  </si>
  <si>
    <t>Captiva</t>
  </si>
  <si>
    <t>El Jobean</t>
  </si>
  <si>
    <t>Estero</t>
  </si>
  <si>
    <t>Felda</t>
  </si>
  <si>
    <t>Fort Myers Beach</t>
  </si>
  <si>
    <t>Labelle</t>
  </si>
  <si>
    <t>Lehigh Acres</t>
  </si>
  <si>
    <t>Murdock</t>
  </si>
  <si>
    <t>Palmdale</t>
  </si>
  <si>
    <t>Placida</t>
  </si>
  <si>
    <t>Rotonda West</t>
  </si>
  <si>
    <t>Port Charlotte</t>
  </si>
  <si>
    <t>Punta Gorda</t>
  </si>
  <si>
    <t>Saint James City</t>
  </si>
  <si>
    <t>Sanibel</t>
  </si>
  <si>
    <t>Bonita Springs</t>
  </si>
  <si>
    <t>Copeland</t>
  </si>
  <si>
    <t>Chokoloskee</t>
  </si>
  <si>
    <t>Everglades City</t>
  </si>
  <si>
    <t>Goodland</t>
  </si>
  <si>
    <t>Ochopee</t>
  </si>
  <si>
    <t>Immokalee</t>
  </si>
  <si>
    <t>Marco Island</t>
  </si>
  <si>
    <t>Bradenton</t>
  </si>
  <si>
    <t>Cortez</t>
  </si>
  <si>
    <t>Anna Maria</t>
  </si>
  <si>
    <t>Bradenton Beach</t>
  </si>
  <si>
    <t>Holmes Beach</t>
  </si>
  <si>
    <t>Parrish</t>
  </si>
  <si>
    <t>Longboat Key</t>
  </si>
  <si>
    <t>Osprey</t>
  </si>
  <si>
    <t>Sarasota</t>
  </si>
  <si>
    <t>Terra Ceia</t>
  </si>
  <si>
    <t>Myakka City</t>
  </si>
  <si>
    <t>Fort Ogden</t>
  </si>
  <si>
    <t>Nocatee</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</si>
  <si>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</si>
  <si>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</si>
  <si>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</si>
  <si>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</si>
  <si>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</si>
  <si>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</si>
  <si>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</si>
  <si>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</si>
  <si>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</si>
  <si>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</si>
  <si>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</si>
  <si>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</si>
  <si>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</si>
  <si>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</si>
  <si>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</si>
  <si>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</si>
  <si>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</si>
  <si>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</si>
  <si>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</si>
  <si>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</si>
  <si>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</si>
  <si>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</si>
  <si>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</si>
  <si>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</si>
  <si>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</si>
  <si>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</si>
  <si>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</si>
  <si>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</si>
  <si>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</si>
  <si>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</si>
  <si>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</si>
  <si>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</si>
  <si>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</si>
  <si>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</si>
  <si>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</si>
  <si>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</si>
  <si>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</si>
  <si>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</si>
  <si>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</si>
  <si>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</si>
  <si>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</si>
  <si>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</si>
  <si>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</si>
  <si>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</si>
  <si>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</si>
  <si>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</si>
  <si>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</si>
  <si>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</si>
  <si>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</si>
  <si>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</si>
  <si>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</si>
  <si>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</si>
  <si>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</si>
  <si>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</si>
  <si>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</si>
  <si>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</si>
  <si>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</si>
  <si>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</si>
  <si>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</si>
  <si>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</si>
  <si>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</si>
  <si>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</si>
  <si>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</si>
  <si>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</si>
  <si>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</si>
  <si>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</si>
  <si>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Burnwell</t>
  </si>
  <si>
    <t>Calera</t>
  </si>
  <si>
    <t>Cardiff</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</si>
  <si>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</si>
  <si>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</si>
  <si>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</si>
  <si>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</si>
  <si>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</si>
  <si>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</si>
  <si>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</si>
  <si>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</si>
  <si>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</si>
  <si>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</si>
  <si>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</si>
  <si>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</si>
  <si>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</si>
  <si>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</si>
  <si>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</si>
  <si>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</si>
  <si>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</si>
  <si>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</si>
  <si>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</si>
  <si>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</si>
  <si>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</si>
  <si>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</si>
  <si>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</si>
  <si>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</si>
  <si>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</si>
  <si>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</si>
  <si>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</si>
  <si>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</si>
  <si>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</si>
  <si>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</si>
  <si>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</si>
  <si>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</si>
  <si>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</si>
  <si>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</si>
  <si>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</si>
  <si>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</si>
  <si>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</si>
  <si>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</si>
  <si>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</si>
  <si>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</si>
  <si>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</si>
  <si>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</si>
  <si>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</si>
  <si>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</si>
  <si>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</si>
  <si>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</si>
  <si>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</si>
  <si>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</si>
  <si>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</si>
  <si>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</si>
  <si>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</si>
  <si>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</si>
  <si>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</si>
  <si>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</si>
  <si>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</si>
  <si>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</si>
  <si>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</si>
  <si>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</si>
  <si>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</si>
  <si>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</si>
  <si>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</si>
  <si>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</si>
  <si>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</si>
  <si>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</si>
  <si>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</si>
  <si>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</si>
  <si>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</si>
  <si>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</si>
  <si>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</si>
  <si>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</si>
  <si>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</si>
  <si>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</si>
  <si>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</si>
  <si>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</si>
  <si>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</si>
  <si>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</si>
  <si>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</si>
  <si>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</si>
  <si>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</si>
  <si>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</si>
  <si>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</si>
  <si>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</si>
  <si>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</si>
  <si>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</si>
  <si>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</si>
  <si>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</si>
  <si>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</si>
  <si>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</si>
  <si>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</si>
  <si>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</si>
  <si>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</si>
  <si>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</si>
  <si>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</si>
  <si>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</si>
  <si>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</si>
  <si>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</si>
  <si>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</si>
  <si>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</si>
  <si>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</si>
  <si>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</si>
  <si>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</si>
  <si>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</si>
  <si>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</si>
  <si>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</si>
  <si>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</si>
  <si>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</si>
  <si>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Tanner</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</si>
  <si>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</si>
  <si>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</si>
  <si>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</si>
  <si>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</si>
  <si>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</si>
  <si>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</si>
  <si>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</si>
  <si>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</si>
  <si>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</si>
  <si>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</si>
  <si>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</si>
  <si>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</si>
  <si>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</si>
  <si>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</si>
  <si>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</si>
  <si>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</si>
  <si>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</si>
  <si>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</si>
  <si>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</si>
  <si>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</si>
  <si>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</si>
  <si>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</si>
  <si>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</si>
  <si>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</si>
  <si>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</si>
  <si>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</si>
  <si>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</si>
  <si>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Bryant</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</si>
  <si>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</si>
  <si>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</si>
  <si>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</si>
  <si>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</si>
  <si>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</si>
  <si>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</si>
  <si>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</si>
  <si>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</si>
  <si>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</si>
  <si>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</si>
  <si>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</si>
  <si>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</si>
  <si>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</si>
  <si>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</si>
  <si>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</si>
  <si>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</si>
  <si>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</si>
  <si>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</si>
  <si>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Banks</t>
  </si>
  <si>
    <t>Billingsley</t>
  </si>
  <si>
    <t>Booth</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</si>
  <si>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</si>
  <si>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</si>
  <si>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</si>
  <si>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</si>
  <si>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</si>
  <si>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</si>
  <si>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</si>
  <si>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</si>
  <si>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</si>
  <si>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</si>
  <si>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</si>
  <si>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</si>
  <si>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</si>
  <si>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</si>
  <si>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</si>
  <si>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</si>
  <si>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</si>
  <si>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</si>
  <si>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</si>
  <si>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</si>
  <si>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</si>
  <si>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</si>
  <si>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</si>
  <si>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</si>
  <si>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</si>
  <si>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</si>
  <si>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</si>
  <si>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</si>
  <si>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</si>
  <si>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</si>
  <si>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</si>
  <si>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</si>
  <si>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</si>
  <si>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</si>
  <si>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</si>
  <si>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</si>
  <si>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</si>
  <si>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</si>
  <si>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</si>
  <si>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Anniston</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</si>
  <si>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</si>
  <si>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</si>
  <si>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</si>
  <si>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</si>
  <si>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</si>
  <si>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</si>
  <si>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</si>
  <si>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</si>
  <si>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</si>
  <si>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</si>
  <si>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</si>
  <si>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</si>
  <si>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</si>
  <si>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</si>
  <si>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</si>
  <si>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</si>
  <si>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</si>
  <si>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</si>
  <si>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</si>
  <si>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</si>
  <si>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</si>
  <si>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</si>
  <si>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</si>
  <si>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</si>
  <si>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</si>
  <si>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</si>
  <si>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</si>
  <si>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</si>
  <si>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</si>
  <si>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</si>
  <si>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</si>
  <si>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</si>
  <si>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</si>
  <si>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</si>
  <si>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</si>
  <si>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</si>
  <si>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</si>
  <si>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</si>
  <si>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Castleberry</t>
  </si>
  <si>
    <t>Coy</t>
  </si>
  <si>
    <t>Dickinson</t>
  </si>
  <si>
    <t>Excel</t>
  </si>
  <si>
    <t>Flomaton</t>
  </si>
  <si>
    <t>Florala</t>
  </si>
  <si>
    <t>Frisco City</t>
  </si>
  <si>
    <t>Goodway</t>
  </si>
  <si>
    <t>Grove Hill</t>
  </si>
  <si>
    <t>Mc Kenzie</t>
  </si>
  <si>
    <t>Megargel</t>
  </si>
  <si>
    <t>Mexia</t>
  </si>
  <si>
    <t>Opp</t>
  </si>
  <si>
    <t>Perdue Hill</t>
  </si>
  <si>
    <t>Peterman</t>
  </si>
  <si>
    <t>Range</t>
  </si>
  <si>
    <t>Red Level</t>
  </si>
  <si>
    <t>Repton</t>
  </si>
  <si>
    <t>River Falls</t>
  </si>
  <si>
    <t>Samson</t>
  </si>
  <si>
    <t>Uriah</t>
  </si>
  <si>
    <t>Vredenburgh</t>
  </si>
  <si>
    <t>Whatley</t>
  </si>
  <si>
    <t>Wing</t>
  </si>
  <si>
    <t>Atmore</t>
  </si>
  <si>
    <t>Axis</t>
  </si>
  <si>
    <t>Bay Minette</t>
  </si>
  <si>
    <t>Bayou La Batre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</si>
  <si>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</si>
  <si>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</si>
  <si>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</si>
  <si>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</si>
  <si>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</si>
  <si>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</si>
  <si>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</si>
  <si>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</si>
  <si>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</si>
  <si>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</si>
  <si>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</si>
  <si>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</si>
  <si>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</si>
  <si>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</si>
  <si>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</si>
  <si>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</si>
  <si>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</si>
  <si>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</si>
  <si>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</si>
  <si>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</si>
  <si>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Leroy</t>
  </si>
  <si>
    <t>Lillian</t>
  </si>
  <si>
    <t>Loxley</t>
  </si>
  <si>
    <t>Magnolia Springs</t>
  </si>
  <si>
    <t>Malcolm</t>
  </si>
  <si>
    <t>Millry</t>
  </si>
  <si>
    <t>Orange Beach</t>
  </si>
  <si>
    <t>Perdido</t>
  </si>
  <si>
    <t>Point Clear</t>
  </si>
  <si>
    <t>Saint Elmo</t>
  </si>
  <si>
    <t>Saint Stephens</t>
  </si>
  <si>
    <t>Saraland</t>
  </si>
  <si>
    <t>Semmes</t>
  </si>
  <si>
    <t>Silverhill</t>
  </si>
  <si>
    <t>Sunflower</t>
  </si>
  <si>
    <t>Theodore</t>
  </si>
  <si>
    <t>Tibbie</t>
  </si>
  <si>
    <t>Vinegar Bend</t>
  </si>
  <si>
    <t>Wagarville</t>
  </si>
  <si>
    <t>Wilmer</t>
  </si>
  <si>
    <t>Mobile</t>
  </si>
  <si>
    <t>Eight Mile</t>
  </si>
  <si>
    <t>Annemanie</t>
  </si>
  <si>
    <t>Boykin</t>
  </si>
  <si>
    <t>Catherine</t>
  </si>
  <si>
    <t>Demopolis</t>
  </si>
  <si>
    <t>Dixons Mills</t>
  </si>
  <si>
    <t>Faunsdale</t>
  </si>
  <si>
    <t>Forkland</t>
  </si>
  <si>
    <t>Gallion</t>
  </si>
  <si>
    <t>Jones</t>
  </si>
  <si>
    <t>Maplesville</t>
  </si>
  <si>
    <t>Lower Peach Tree</t>
  </si>
  <si>
    <t>Lowndesboro</t>
  </si>
  <si>
    <t>Mc Williams</t>
  </si>
  <si>
    <t>Plantersville</t>
  </si>
  <si>
    <t>Marion Junction</t>
  </si>
  <si>
    <t>Minter</t>
  </si>
  <si>
    <t>Morvin</t>
  </si>
  <si>
    <t>Myrtlewood</t>
  </si>
  <si>
    <t>Nanafalia</t>
  </si>
  <si>
    <t>Orrville</t>
  </si>
  <si>
    <t>Pine Apple</t>
  </si>
  <si>
    <t>Safford</t>
  </si>
  <si>
    <t>Sawyerville</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</si>
  <si>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</si>
  <si>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</si>
  <si>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</si>
  <si>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</si>
  <si>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</si>
  <si>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</si>
  <si>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</si>
  <si>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</si>
  <si>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</si>
  <si>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</si>
  <si>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</si>
  <si>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</si>
  <si>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</si>
  <si>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</si>
  <si>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</si>
  <si>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</si>
  <si>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</si>
  <si>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</si>
  <si>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</si>
  <si>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 Station</t>
  </si>
  <si>
    <t>Bellamy</t>
  </si>
  <si>
    <t>Gilbertown</t>
  </si>
  <si>
    <t>Jachin</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</si>
  <si>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</si>
  <si>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</si>
  <si>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</si>
  <si>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</si>
  <si>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</si>
  <si>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</si>
  <si>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</si>
  <si>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</si>
  <si>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</si>
  <si>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</si>
  <si>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</si>
  <si>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</si>
  <si>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</si>
  <si>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</si>
  <si>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</si>
  <si>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</si>
  <si>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</si>
  <si>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</si>
  <si>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</si>
  <si>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</si>
  <si>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</si>
  <si>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</si>
  <si>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</si>
  <si>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</si>
  <si>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</si>
  <si>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</si>
  <si>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</si>
  <si>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</si>
  <si>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</si>
  <si>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</si>
  <si>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</si>
  <si>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</si>
  <si>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</si>
  <si>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</si>
  <si>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</si>
  <si>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</si>
  <si>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</si>
  <si>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</si>
  <si>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</si>
  <si>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</si>
  <si>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</si>
  <si>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</si>
  <si>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</si>
  <si>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</si>
  <si>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</si>
  <si>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</si>
  <si>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</si>
  <si>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</si>
  <si>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</si>
  <si>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</si>
  <si>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</si>
  <si>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</si>
  <si>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</si>
  <si>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</si>
  <si>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</si>
  <si>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</si>
  <si>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</si>
  <si>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</si>
  <si>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</si>
  <si>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</si>
  <si>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</si>
  <si>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</si>
  <si>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</si>
  <si>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</si>
  <si>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</si>
  <si>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</si>
  <si>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</si>
  <si>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</si>
  <si>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</si>
  <si>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</si>
  <si>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</si>
  <si>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</si>
  <si>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</si>
  <si>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 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</si>
  <si>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</si>
  <si>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</si>
  <si>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</si>
  <si>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</si>
  <si>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</si>
  <si>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</si>
  <si>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</si>
  <si>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</si>
  <si>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</si>
  <si>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</si>
  <si>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</si>
  <si>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</si>
  <si>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</si>
  <si>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</si>
  <si>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</si>
  <si>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</si>
  <si>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</si>
  <si>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</si>
  <si>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</si>
  <si>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</si>
  <si>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</si>
  <si>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</si>
  <si>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Ooltewah</t>
  </si>
  <si>
    <t>Reliance</t>
  </si>
  <si>
    <t>Sale Creek</t>
  </si>
  <si>
    <t>Sequatchie</t>
  </si>
  <si>
    <t>Sewanee</t>
  </si>
  <si>
    <t>Signal Mountain</t>
  </si>
  <si>
    <t>Smartt</t>
  </si>
  <si>
    <t>Soddy Daisy</t>
  </si>
  <si>
    <t>South Pittsburg</t>
  </si>
  <si>
    <t>Tellico Plains</t>
  </si>
  <si>
    <t>Tracy City</t>
  </si>
  <si>
    <t>Tullahoma</t>
  </si>
  <si>
    <t>Arnold Afb</t>
  </si>
  <si>
    <t>Turtletown</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</si>
  <si>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</si>
  <si>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</si>
  <si>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</si>
  <si>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</si>
  <si>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</si>
  <si>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</si>
  <si>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</si>
  <si>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</si>
  <si>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</si>
  <si>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</si>
  <si>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</si>
  <si>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</si>
  <si>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</si>
  <si>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</si>
  <si>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</si>
  <si>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</si>
  <si>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</si>
  <si>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</si>
  <si>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</si>
  <si>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</si>
  <si>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Arthur</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</si>
  <si>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</si>
  <si>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</si>
  <si>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</si>
  <si>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</si>
  <si>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</si>
  <si>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</si>
  <si>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</si>
  <si>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</si>
  <si>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</si>
  <si>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</si>
  <si>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</si>
  <si>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</si>
  <si>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</si>
  <si>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</si>
  <si>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</si>
  <si>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</si>
  <si>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</si>
  <si>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</si>
  <si>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</si>
  <si>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</si>
  <si>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</si>
  <si>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</si>
  <si>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</si>
  <si>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</si>
  <si>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</si>
  <si>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</si>
  <si>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</si>
  <si>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</si>
  <si>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</si>
  <si>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</si>
  <si>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</si>
  <si>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</si>
  <si>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</si>
  <si>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</si>
  <si>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</si>
  <si>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</si>
  <si>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</si>
  <si>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</si>
  <si>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</si>
  <si>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</si>
  <si>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</si>
  <si>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</si>
  <si>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</si>
  <si>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</si>
  <si>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</si>
  <si>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</si>
  <si>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</si>
  <si>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</si>
  <si>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</si>
  <si>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</si>
  <si>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</si>
  <si>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</si>
  <si>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</si>
  <si>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</si>
  <si>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</si>
  <si>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</si>
  <si>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Vonore</t>
  </si>
  <si>
    <t>Walland</t>
  </si>
  <si>
    <t>Wartburg</t>
  </si>
  <si>
    <t>White Pine</t>
  </si>
  <si>
    <t>Atoka</t>
  </si>
  <si>
    <t>Bells</t>
  </si>
  <si>
    <t>Braden</t>
  </si>
  <si>
    <t>Burlison</t>
  </si>
  <si>
    <t>Collierville</t>
  </si>
  <si>
    <t>Crockett Mills</t>
  </si>
  <si>
    <t>Drummonds</t>
  </si>
  <si>
    <t>Dyersburg</t>
  </si>
  <si>
    <t>Eads</t>
  </si>
  <si>
    <t>Finley</t>
  </si>
  <si>
    <t>Gallaway</t>
  </si>
  <si>
    <t>Grand Junction</t>
  </si>
  <si>
    <t>Halls</t>
  </si>
  <si>
    <t>Henning</t>
  </si>
  <si>
    <t>Hickory Valley</t>
  </si>
  <si>
    <t>Hornsby</t>
  </si>
  <si>
    <t>Maury City</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</si>
  <si>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</si>
  <si>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</si>
  <si>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</si>
  <si>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</si>
  <si>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</si>
  <si>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</si>
  <si>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</si>
  <si>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</si>
  <si>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</si>
  <si>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</si>
  <si>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</si>
  <si>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</si>
  <si>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</si>
  <si>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</si>
  <si>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</si>
  <si>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</si>
  <si>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</si>
  <si>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</si>
  <si>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</si>
  <si>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</si>
  <si>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</si>
  <si>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</si>
  <si>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</si>
  <si>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</si>
  <si>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</si>
  <si>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</si>
  <si>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</si>
  <si>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</si>
  <si>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</si>
  <si>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</si>
  <si>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</si>
  <si>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</si>
  <si>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</si>
  <si>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</si>
  <si>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</si>
  <si>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</si>
  <si>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</si>
  <si>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</si>
  <si>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</si>
  <si>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</si>
  <si>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</si>
  <si>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</si>
  <si>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</si>
  <si>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</si>
  <si>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</si>
  <si>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</si>
  <si>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</si>
  <si>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</si>
  <si>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</si>
  <si>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</si>
  <si>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</si>
  <si>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</si>
  <si>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</si>
  <si>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</si>
  <si>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</si>
  <si>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</si>
  <si>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</si>
  <si>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</si>
  <si>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</si>
  <si>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</si>
  <si>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</si>
  <si>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</si>
  <si>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</si>
  <si>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Iron City</t>
  </si>
  <si>
    <t>Lawrenceburg</t>
  </si>
  <si>
    <t>Leoma</t>
  </si>
  <si>
    <t>Lutts</t>
  </si>
  <si>
    <t>Lynnville</t>
  </si>
  <si>
    <t>Minor Hill</t>
  </si>
  <si>
    <t>Olivehill</t>
  </si>
  <si>
    <t>Primm Springs</t>
  </si>
  <si>
    <t>Saint Joseph</t>
  </si>
  <si>
    <t>Santa Fe</t>
  </si>
  <si>
    <t>Summertown</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</si>
  <si>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</si>
  <si>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</si>
  <si>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</si>
  <si>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</si>
  <si>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</si>
  <si>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</si>
  <si>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</si>
  <si>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</si>
  <si>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</si>
  <si>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</si>
  <si>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</si>
  <si>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</si>
  <si>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</si>
  <si>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</si>
  <si>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</si>
  <si>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</si>
  <si>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</si>
  <si>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</si>
  <si>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</si>
  <si>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</si>
  <si>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</si>
  <si>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</si>
  <si>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</si>
  <si>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</si>
  <si>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</si>
  <si>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</si>
  <si>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</si>
  <si>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</si>
  <si>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</si>
  <si>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</si>
  <si>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</si>
  <si>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</si>
  <si>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</si>
  <si>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</si>
  <si>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</si>
  <si>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</si>
  <si>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</si>
  <si>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</si>
  <si>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</si>
  <si>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</si>
  <si>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</si>
  <si>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</si>
  <si>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</si>
  <si>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</si>
  <si>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</si>
  <si>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</si>
  <si>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</si>
  <si>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</si>
  <si>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</si>
  <si>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</si>
  <si>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</si>
  <si>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</si>
  <si>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</si>
  <si>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</si>
  <si>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</si>
  <si>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</si>
  <si>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</si>
  <si>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</si>
  <si>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</si>
  <si>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</si>
  <si>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</si>
  <si>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</si>
  <si>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</si>
  <si>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</si>
  <si>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</si>
  <si>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</si>
  <si>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</si>
  <si>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</si>
  <si>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</si>
  <si>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</si>
  <si>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</si>
  <si>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</si>
  <si>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</si>
  <si>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</si>
  <si>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</si>
  <si>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</si>
  <si>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</si>
  <si>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</si>
  <si>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</si>
  <si>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Merigold</t>
  </si>
  <si>
    <t>Metcalfe</t>
  </si>
  <si>
    <t>Moorhead</t>
  </si>
  <si>
    <t>Mound Bayou</t>
  </si>
  <si>
    <t>Pace</t>
  </si>
  <si>
    <t>Panther Burn</t>
  </si>
  <si>
    <t>Rena Lara</t>
  </si>
  <si>
    <t>Ruleville</t>
  </si>
  <si>
    <t>Scott</t>
  </si>
  <si>
    <t>Shaw</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</si>
  <si>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</si>
  <si>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</si>
  <si>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</si>
  <si>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</si>
  <si>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</si>
  <si>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</si>
  <si>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</si>
  <si>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</si>
  <si>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</si>
  <si>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</si>
  <si>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</si>
  <si>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</si>
  <si>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</si>
  <si>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</si>
  <si>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</si>
  <si>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</si>
  <si>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</si>
  <si>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</si>
  <si>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</si>
  <si>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</si>
  <si>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</si>
  <si>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</si>
  <si>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</si>
  <si>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</si>
  <si>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</si>
  <si>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</si>
  <si>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</si>
  <si>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</si>
  <si>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</si>
  <si>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</si>
  <si>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</si>
  <si>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</si>
  <si>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</si>
  <si>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</si>
  <si>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</si>
  <si>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</si>
  <si>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</si>
  <si>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</si>
  <si>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</si>
  <si>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</si>
  <si>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</si>
  <si>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</si>
  <si>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</si>
  <si>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</si>
  <si>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</si>
  <si>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</si>
  <si>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</si>
  <si>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</si>
  <si>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</si>
  <si>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</si>
  <si>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</si>
  <si>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</si>
  <si>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</si>
  <si>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</si>
  <si>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</si>
  <si>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</si>
  <si>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</si>
  <si>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</si>
  <si>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</si>
  <si>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</si>
  <si>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</si>
  <si>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</si>
  <si>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</si>
  <si>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</si>
  <si>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</si>
  <si>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</si>
  <si>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</si>
  <si>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</si>
  <si>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</si>
  <si>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</si>
  <si>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</si>
  <si>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</si>
  <si>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</si>
  <si>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</si>
  <si>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</si>
  <si>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</si>
  <si>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</si>
  <si>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</si>
  <si>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</si>
  <si>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</si>
  <si>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</si>
  <si>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</si>
  <si>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</si>
  <si>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</si>
  <si>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</si>
  <si>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</si>
  <si>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</si>
  <si>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</si>
  <si>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</si>
  <si>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</si>
  <si>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</si>
  <si>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</si>
  <si>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</si>
  <si>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</si>
  <si>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</si>
  <si>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</si>
  <si>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Terry</t>
  </si>
  <si>
    <t>Thomastown</t>
  </si>
  <si>
    <t>Tinsley</t>
  </si>
  <si>
    <t>Tougaloo</t>
  </si>
  <si>
    <t>Vaiden</t>
  </si>
  <si>
    <t>Valley Park</t>
  </si>
  <si>
    <t>Wesson</t>
  </si>
  <si>
    <t>West</t>
  </si>
  <si>
    <t>Whitfield</t>
  </si>
  <si>
    <t>Yazoo City</t>
  </si>
  <si>
    <t>Pearl</t>
  </si>
  <si>
    <t>Flowood</t>
  </si>
  <si>
    <t>Byram</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</si>
  <si>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</si>
  <si>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</si>
  <si>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</si>
  <si>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</si>
  <si>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</si>
  <si>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</si>
  <si>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</si>
  <si>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</si>
  <si>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</si>
  <si>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</si>
  <si>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</si>
  <si>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</si>
  <si>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</si>
  <si>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</si>
  <si>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</si>
  <si>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</si>
  <si>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</si>
  <si>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</si>
  <si>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</si>
  <si>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</si>
  <si>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</si>
  <si>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</si>
  <si>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</si>
  <si>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</si>
  <si>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</si>
  <si>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</si>
  <si>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</si>
  <si>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</si>
  <si>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</si>
  <si>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</si>
  <si>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</si>
  <si>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</si>
  <si>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</si>
  <si>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</si>
  <si>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</si>
  <si>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</si>
  <si>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</si>
  <si>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</si>
  <si>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</si>
  <si>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</si>
  <si>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</si>
  <si>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</si>
  <si>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</si>
  <si>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</si>
  <si>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</si>
  <si>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</si>
  <si>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</si>
  <si>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</si>
  <si>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</si>
  <si>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</si>
  <si>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</si>
  <si>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Moss Point</t>
  </si>
  <si>
    <t>Ocean Springs</t>
  </si>
  <si>
    <t>Vancleave</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</si>
  <si>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</si>
  <si>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</si>
  <si>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</si>
  <si>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</si>
  <si>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</si>
  <si>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</si>
  <si>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</si>
  <si>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</si>
  <si>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</si>
  <si>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</si>
  <si>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</si>
  <si>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</si>
  <si>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</si>
  <si>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</si>
  <si>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</si>
  <si>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</si>
  <si>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</si>
  <si>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</si>
  <si>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</si>
  <si>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</si>
  <si>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</si>
  <si>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</si>
  <si>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</si>
  <si>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</si>
  <si>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</si>
  <si>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</si>
  <si>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</si>
  <si>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Cedarbluff</t>
  </si>
  <si>
    <t>Eupora</t>
  </si>
  <si>
    <t>French Camp</t>
  </si>
  <si>
    <t>Kilmichael</t>
  </si>
  <si>
    <t>Mantee</t>
  </si>
  <si>
    <t>Mathiston</t>
  </si>
  <si>
    <t>Mayhew</t>
  </si>
  <si>
    <t>Pheba</t>
  </si>
  <si>
    <t>Prairie</t>
  </si>
  <si>
    <t>Starkville</t>
  </si>
  <si>
    <t>Mississippi State</t>
  </si>
  <si>
    <t>Steens</t>
  </si>
  <si>
    <t>Sturgis</t>
  </si>
  <si>
    <t>Walthall</t>
  </si>
  <si>
    <t>Weir</t>
  </si>
  <si>
    <t>Attapulgus</t>
  </si>
  <si>
    <t>Blakely</t>
  </si>
  <si>
    <t>Brinson</t>
  </si>
  <si>
    <t>Bronwood</t>
  </si>
  <si>
    <t>Calvary</t>
  </si>
  <si>
    <t>Cedar Springs</t>
  </si>
  <si>
    <t>Colquitt</t>
  </si>
  <si>
    <t>Cuthbert</t>
  </si>
  <si>
    <t>Donalsonville</t>
  </si>
  <si>
    <t>Fort Gaines</t>
  </si>
  <si>
    <t>Fowlstown</t>
  </si>
  <si>
    <t>Jakin</t>
  </si>
  <si>
    <t>Leary</t>
  </si>
  <si>
    <t>Sasser</t>
  </si>
  <si>
    <t>Shellman</t>
  </si>
  <si>
    <t>Whigham</t>
  </si>
  <si>
    <t>Bardstown</t>
  </si>
  <si>
    <t>Bradfordsville</t>
  </si>
  <si>
    <t>Buckner</t>
  </si>
  <si>
    <t>Campbellsburg</t>
  </si>
  <si>
    <t>Coxs Creek</t>
  </si>
  <si>
    <t>Crestwood</t>
  </si>
  <si>
    <t>Eastwood</t>
  </si>
  <si>
    <t>Eminence</t>
  </si>
  <si>
    <t>Finchville</t>
  </si>
  <si>
    <t>Fisherville</t>
  </si>
  <si>
    <t>Glenview</t>
  </si>
  <si>
    <t>Harrods Creek</t>
  </si>
  <si>
    <t>Mackville</t>
  </si>
  <si>
    <t>Masonic Home</t>
  </si>
  <si>
    <t>Mount Eden</t>
  </si>
  <si>
    <t>Nerinx</t>
  </si>
  <si>
    <t>Pewee Valley</t>
  </si>
  <si>
    <t>Pleasureville</t>
  </si>
  <si>
    <t>Raywick</t>
  </si>
  <si>
    <t>Saint Catharine</t>
  </si>
  <si>
    <t>Saint Mary</t>
  </si>
  <si>
    <t>Sulphur</t>
  </si>
  <si>
    <t>Turners Station</t>
  </si>
  <si>
    <t>Waddy</t>
  </si>
  <si>
    <t>Willisburg</t>
  </si>
  <si>
    <t>Battletown</t>
  </si>
  <si>
    <t>Brandenburg</t>
  </si>
  <si>
    <t>Cloverport</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</si>
  <si>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</si>
  <si>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</si>
  <si>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</si>
  <si>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</si>
  <si>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</si>
  <si>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</si>
  <si>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</si>
  <si>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</si>
  <si>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</si>
  <si>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</si>
  <si>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</si>
  <si>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</si>
  <si>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</si>
  <si>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</si>
  <si>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</si>
  <si>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</si>
  <si>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Shepherdsville</t>
  </si>
  <si>
    <t>Stephensport</t>
  </si>
  <si>
    <t>Union Star</t>
  </si>
  <si>
    <t>Vine Grove</t>
  </si>
  <si>
    <t>Westview</t>
  </si>
  <si>
    <t>Burgin</t>
  </si>
  <si>
    <t>Clay City</t>
  </si>
  <si>
    <t>Denniston</t>
  </si>
  <si>
    <t>Elliottville</t>
  </si>
  <si>
    <t>Farmers</t>
  </si>
  <si>
    <t>Frenchburg</t>
  </si>
  <si>
    <t>Gravel Switch</t>
  </si>
  <si>
    <t>Harrodsburg</t>
  </si>
  <si>
    <t>Nicholasville</t>
  </si>
  <si>
    <t>Means</t>
  </si>
  <si>
    <t>Morehead</t>
  </si>
  <si>
    <t>Mount Sterling</t>
  </si>
  <si>
    <t>New Liberty</t>
  </si>
  <si>
    <t>North Middletown</t>
  </si>
  <si>
    <t>Olympia</t>
  </si>
  <si>
    <t>Owenton</t>
  </si>
  <si>
    <t>Owingsville</t>
  </si>
  <si>
    <t>Perry Park</t>
  </si>
  <si>
    <t>Sadieville</t>
  </si>
  <si>
    <t>Salt Lick</t>
  </si>
  <si>
    <t>Salvisa</t>
  </si>
  <si>
    <t>Slade</t>
  </si>
  <si>
    <t>Stamping Ground</t>
  </si>
  <si>
    <t>Bighill</t>
  </si>
  <si>
    <t>Brodhead</t>
  </si>
  <si>
    <t>Bryantsville</t>
  </si>
  <si>
    <t>Gray Hawk</t>
  </si>
  <si>
    <t>Hustonville</t>
  </si>
  <si>
    <t>Mc Kee</t>
  </si>
  <si>
    <t>Mc Kinney</t>
  </si>
  <si>
    <t>Mitchellsburg</t>
  </si>
  <si>
    <t>Paint Lick</t>
  </si>
  <si>
    <t>Ravenna</t>
  </si>
  <si>
    <t>Renfro Valley</t>
  </si>
  <si>
    <t>Sandgap</t>
  </si>
  <si>
    <t>Stanford</t>
  </si>
  <si>
    <t>Waneta</t>
  </si>
  <si>
    <t>Wildie</t>
  </si>
  <si>
    <t>Bush</t>
  </si>
  <si>
    <t>East Bernstadt</t>
  </si>
  <si>
    <t>Emlyn</t>
  </si>
  <si>
    <t>Keavy</t>
  </si>
  <si>
    <t>Lily</t>
  </si>
  <si>
    <t>Nevisdale</t>
  </si>
  <si>
    <t>Rockholds</t>
  </si>
  <si>
    <t>Siler</t>
  </si>
  <si>
    <t>Ages Brookside</t>
  </si>
  <si>
    <t>Asher</t>
  </si>
  <si>
    <t>Benham</t>
  </si>
  <si>
    <t>Big Laurel</t>
  </si>
  <si>
    <t>Bledsoe</t>
  </si>
  <si>
    <t>Cawood</t>
  </si>
  <si>
    <t>Chappell</t>
  </si>
  <si>
    <t>Coalgood</t>
  </si>
  <si>
    <t>Coldiron</t>
  </si>
  <si>
    <t>Cranks</t>
  </si>
  <si>
    <t>Dayhoit</t>
  </si>
  <si>
    <t>Eolia</t>
  </si>
  <si>
    <t>Essie</t>
  </si>
  <si>
    <t>Evarts</t>
  </si>
  <si>
    <t>Grays Knob</t>
  </si>
  <si>
    <t>Gulston</t>
  </si>
  <si>
    <t>Harlan</t>
  </si>
  <si>
    <t>Helton</t>
  </si>
  <si>
    <t>Holmes Mill</t>
  </si>
  <si>
    <t>Hoskinston</t>
  </si>
  <si>
    <t>Hulen</t>
  </si>
  <si>
    <t>Kenvir</t>
  </si>
  <si>
    <t>Lejunior</t>
  </si>
  <si>
    <t>Loyall</t>
  </si>
  <si>
    <t>Lynch</t>
  </si>
  <si>
    <t>Miracle</t>
  </si>
  <si>
    <t>Mozelle</t>
  </si>
  <si>
    <t>Partridge</t>
  </si>
  <si>
    <t>Pathfork</t>
  </si>
  <si>
    <t>Stinnett</t>
  </si>
  <si>
    <t>Totz</t>
  </si>
  <si>
    <t>Wallins Creek</t>
  </si>
  <si>
    <t>Warbranch</t>
  </si>
  <si>
    <t>Arjay</t>
  </si>
  <si>
    <t>Artemus</t>
  </si>
  <si>
    <t>Barbourville</t>
  </si>
  <si>
    <t>Bimble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</si>
  <si>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</si>
  <si>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</si>
  <si>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</si>
  <si>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</si>
  <si>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</si>
  <si>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</si>
  <si>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</si>
  <si>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</si>
  <si>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</si>
  <si>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</si>
  <si>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</si>
  <si>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</si>
  <si>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</si>
  <si>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</si>
  <si>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</si>
  <si>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</si>
  <si>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</si>
  <si>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</si>
  <si>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</si>
  <si>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</si>
  <si>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</si>
  <si>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</si>
  <si>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</si>
  <si>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</si>
  <si>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</si>
  <si>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</si>
  <si>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</si>
  <si>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</si>
  <si>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</si>
  <si>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</si>
  <si>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</si>
  <si>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</si>
  <si>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</si>
  <si>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</si>
  <si>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</si>
  <si>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</si>
  <si>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</si>
  <si>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</si>
  <si>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</si>
  <si>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</si>
  <si>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</si>
  <si>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</si>
  <si>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</si>
  <si>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</si>
  <si>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Carter</t>
  </si>
  <si>
    <t>Catlettsburg</t>
  </si>
  <si>
    <t>Grahn</t>
  </si>
  <si>
    <t>Greenup</t>
  </si>
  <si>
    <t>Hitchins</t>
  </si>
  <si>
    <t>Isonville</t>
  </si>
  <si>
    <t>Martha</t>
  </si>
  <si>
    <t>Mazie</t>
  </si>
  <si>
    <t>Olive Hill</t>
  </si>
  <si>
    <t>Soldier</t>
  </si>
  <si>
    <t>South Portsmouth</t>
  </si>
  <si>
    <t>South Shore</t>
  </si>
  <si>
    <t>Vanceburg</t>
  </si>
  <si>
    <t>Webbville</t>
  </si>
  <si>
    <t>Tollesboro</t>
  </si>
  <si>
    <t>Beauty</t>
  </si>
  <si>
    <t>Boons Camp</t>
  </si>
  <si>
    <t>Debord</t>
  </si>
  <si>
    <t>East Point</t>
  </si>
  <si>
    <t>Flatgap</t>
  </si>
  <si>
    <t>Hagerhill</t>
  </si>
  <si>
    <t>Inez</t>
  </si>
  <si>
    <t>Keaton</t>
  </si>
  <si>
    <t>Lovely</t>
  </si>
  <si>
    <t>Lowmansville</t>
  </si>
  <si>
    <t>Meally</t>
  </si>
  <si>
    <t>Oil Springs</t>
  </si>
  <si>
    <t>Paintsville</t>
  </si>
  <si>
    <t>Pilgrim</t>
  </si>
  <si>
    <t>River</t>
  </si>
  <si>
    <t>Sitka</t>
  </si>
  <si>
    <t>Stambaugh</t>
  </si>
  <si>
    <t>Thelma</t>
  </si>
  <si>
    <t>Tomahawk</t>
  </si>
  <si>
    <t>Tutor Key</t>
  </si>
  <si>
    <t>Van Lear</t>
  </si>
  <si>
    <t>West Van Lear</t>
  </si>
  <si>
    <t>Wittensville</t>
  </si>
  <si>
    <t>Bays</t>
  </si>
  <si>
    <t>Beattyville</t>
  </si>
  <si>
    <t>Clayhole</t>
  </si>
  <si>
    <t>Island City</t>
  </si>
  <si>
    <t>Lone</t>
  </si>
  <si>
    <t>Mistletoe</t>
  </si>
  <si>
    <t>Pine Ridge</t>
  </si>
  <si>
    <t>Primrose</t>
  </si>
  <si>
    <t>Ricetown</t>
  </si>
  <si>
    <t>Rousseau</t>
  </si>
  <si>
    <t>Rowdy</t>
  </si>
  <si>
    <t>Saint Helens</t>
  </si>
  <si>
    <t>Vancleve</t>
  </si>
  <si>
    <t>Whick</t>
  </si>
  <si>
    <t>Zoe</t>
  </si>
  <si>
    <t>Cannel City</t>
  </si>
  <si>
    <t>Elkfork</t>
  </si>
  <si>
    <t>Ezel</t>
  </si>
  <si>
    <t>Gapville</t>
  </si>
  <si>
    <t>Ophir</t>
  </si>
  <si>
    <t>Royalton</t>
  </si>
  <si>
    <t>Salyersville</t>
  </si>
  <si>
    <t>Wrigley</t>
  </si>
  <si>
    <t>South Williamson</t>
  </si>
  <si>
    <t>Ashcamp</t>
  </si>
  <si>
    <t>Belcher</t>
  </si>
  <si>
    <t>Belfry</t>
  </si>
  <si>
    <t>Burdine</t>
  </si>
  <si>
    <t>Canada</t>
  </si>
  <si>
    <t>Dorton</t>
  </si>
  <si>
    <t>Elkhorn City</t>
  </si>
  <si>
    <t>Fedscreek</t>
  </si>
  <si>
    <t>Fords Branch</t>
  </si>
  <si>
    <t>Freeburn</t>
  </si>
  <si>
    <t>Hellier</t>
  </si>
  <si>
    <t>Huddy</t>
  </si>
  <si>
    <t>Jenkins</t>
  </si>
  <si>
    <t>Jonancy</t>
  </si>
  <si>
    <t>Kimper</t>
  </si>
  <si>
    <t>Lick Creek</t>
  </si>
  <si>
    <t>Mc Andrews</t>
  </si>
  <si>
    <t>Mc Carr</t>
  </si>
  <si>
    <t>Majestic</t>
  </si>
  <si>
    <t>Mouthcard</t>
  </si>
  <si>
    <t>Phyllis</t>
  </si>
  <si>
    <t>Pinsonfork</t>
  </si>
  <si>
    <t>Raccoon</t>
  </si>
  <si>
    <t>Regina</t>
  </si>
  <si>
    <t>Robinson Creek</t>
  </si>
  <si>
    <t>Rockhouse</t>
  </si>
  <si>
    <t>Shelbiana</t>
  </si>
  <si>
    <t>Shelby Gap</t>
  </si>
  <si>
    <t>Stone</t>
  </si>
  <si>
    <t>Stopover</t>
  </si>
  <si>
    <t>Virgie</t>
  </si>
  <si>
    <t>Auxier</t>
  </si>
  <si>
    <t>Betsy Layne</t>
  </si>
  <si>
    <t>Bevinsville</t>
  </si>
  <si>
    <t>Blue River</t>
  </si>
  <si>
    <t>Bypro</t>
  </si>
  <si>
    <t>David</t>
  </si>
  <si>
    <t>Drift</t>
  </si>
  <si>
    <t>Dwale</t>
  </si>
  <si>
    <t>Eastern</t>
  </si>
  <si>
    <t>Grethel</t>
  </si>
  <si>
    <t>Gunlock</t>
  </si>
  <si>
    <t>Harold</t>
  </si>
  <si>
    <t>Hi Hat</t>
  </si>
  <si>
    <t>Hueysville</t>
  </si>
  <si>
    <t>Ivel</t>
  </si>
  <si>
    <t>Minnie</t>
  </si>
  <si>
    <t>Prestonsburg</t>
  </si>
  <si>
    <t>Printer</t>
  </si>
  <si>
    <t>Stanville</t>
  </si>
  <si>
    <t>Teaberry</t>
  </si>
  <si>
    <t>Tram</t>
  </si>
  <si>
    <t>Weeksbury</t>
  </si>
  <si>
    <t>Hazard</t>
  </si>
  <si>
    <t>Ary</t>
  </si>
  <si>
    <t>Avawam</t>
  </si>
  <si>
    <t>Bear Branch</t>
  </si>
  <si>
    <t>Bonnyman</t>
  </si>
  <si>
    <t>Buckhorn</t>
  </si>
  <si>
    <t>Bulan</t>
  </si>
  <si>
    <t>Busy</t>
  </si>
  <si>
    <t>Carrie</t>
  </si>
  <si>
    <t>Chavies</t>
  </si>
  <si>
    <t>Combs</t>
  </si>
  <si>
    <t>Cornettsville</t>
  </si>
  <si>
    <t>Delphia</t>
  </si>
  <si>
    <t>Dice</t>
  </si>
  <si>
    <t>Dwarf</t>
  </si>
  <si>
    <t>Emmalena</t>
  </si>
  <si>
    <t>Fisty</t>
  </si>
  <si>
    <t>Gays Creek</t>
  </si>
  <si>
    <t>Happy</t>
  </si>
  <si>
    <t>Hardburly</t>
  </si>
  <si>
    <t>Hyden</t>
  </si>
  <si>
    <t>Jeff</t>
  </si>
  <si>
    <t>Krypton</t>
  </si>
  <si>
    <t>Sassafras</t>
  </si>
  <si>
    <t>Scuddy</t>
  </si>
  <si>
    <t>Sizerock</t>
  </si>
  <si>
    <t>Slemp</t>
  </si>
  <si>
    <t>Smilax</t>
  </si>
  <si>
    <t>Thousandsticks</t>
  </si>
  <si>
    <t>Vest</t>
  </si>
  <si>
    <t>Vicco</t>
  </si>
  <si>
    <t>Viper</t>
  </si>
  <si>
    <t>Wendover</t>
  </si>
  <si>
    <t>Wooton</t>
  </si>
  <si>
    <t>Yeaddiss</t>
  </si>
  <si>
    <t>Yerkes</t>
  </si>
  <si>
    <t>Blackey</t>
  </si>
  <si>
    <t>Cromona</t>
  </si>
  <si>
    <t>Deane</t>
  </si>
  <si>
    <t>Ermine</t>
  </si>
  <si>
    <t>Hallie</t>
  </si>
  <si>
    <t>Hindman</t>
  </si>
  <si>
    <t>Isom</t>
  </si>
  <si>
    <t>Jackhorn</t>
  </si>
  <si>
    <t>Jeremiah</t>
  </si>
  <si>
    <t>Leburn</t>
  </si>
  <si>
    <t>Letcher</t>
  </si>
  <si>
    <t>Linefork</t>
  </si>
  <si>
    <t>Littcarr</t>
  </si>
  <si>
    <t>Mc Roberts</t>
  </si>
  <si>
    <t>Mallie</t>
  </si>
  <si>
    <t>Mayking</t>
  </si>
  <si>
    <t>Mousie</t>
  </si>
  <si>
    <t>Neon</t>
  </si>
  <si>
    <t>Pine Top</t>
  </si>
  <si>
    <t>Pippa Passes</t>
  </si>
  <si>
    <t>Premium</t>
  </si>
  <si>
    <t>Redfox</t>
  </si>
  <si>
    <t>Roxana</t>
  </si>
  <si>
    <t>Seco</t>
  </si>
  <si>
    <t>Dema</t>
  </si>
  <si>
    <t>Topmost</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</si>
  <si>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</si>
  <si>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</si>
  <si>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</si>
  <si>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</si>
  <si>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</si>
  <si>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</si>
  <si>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</si>
  <si>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</si>
  <si>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</si>
  <si>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</si>
  <si>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</si>
  <si>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</si>
  <si>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</si>
  <si>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</si>
  <si>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</si>
  <si>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</si>
  <si>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</si>
  <si>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</si>
  <si>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</si>
  <si>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</si>
  <si>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</si>
  <si>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</si>
  <si>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</si>
  <si>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</si>
  <si>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</si>
  <si>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</si>
  <si>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</si>
  <si>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</si>
  <si>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</si>
  <si>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</si>
  <si>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</si>
  <si>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</si>
  <si>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</si>
  <si>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</si>
  <si>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</si>
  <si>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</si>
  <si>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</si>
  <si>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</si>
  <si>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</si>
  <si>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</si>
  <si>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</si>
  <si>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Hestand</t>
  </si>
  <si>
    <t>Hiseville</t>
  </si>
  <si>
    <t>Knob Lick</t>
  </si>
  <si>
    <t>Lucas</t>
  </si>
  <si>
    <t>Mount Hermon</t>
  </si>
  <si>
    <t>Park City</t>
  </si>
  <si>
    <t>Summer Shade</t>
  </si>
  <si>
    <t>Tompkinsville</t>
  </si>
  <si>
    <t>Woodburn</t>
  </si>
  <si>
    <t>Smiths Grove</t>
  </si>
  <si>
    <t>Adairville</t>
  </si>
  <si>
    <t>Bee Spring</t>
  </si>
  <si>
    <t>Cadiz</t>
  </si>
  <si>
    <t>Center</t>
  </si>
  <si>
    <t>Cerulean</t>
  </si>
  <si>
    <t>Clifty</t>
  </si>
  <si>
    <t>Fort Campbell</t>
  </si>
  <si>
    <t>Gracey</t>
  </si>
  <si>
    <t>Guthrie</t>
  </si>
  <si>
    <t>Hopkinsville</t>
  </si>
  <si>
    <t>Jetson</t>
  </si>
  <si>
    <t>Mammoth Cave</t>
  </si>
  <si>
    <t>Oak Grove</t>
  </si>
  <si>
    <t>Olmstead</t>
  </si>
  <si>
    <t>Rockfield</t>
  </si>
  <si>
    <t>Roundhill</t>
  </si>
  <si>
    <t>Sharon Grove</t>
  </si>
  <si>
    <t>South Union</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</si>
  <si>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</si>
  <si>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</si>
  <si>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</si>
  <si>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</si>
  <si>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</si>
  <si>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</si>
  <si>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</si>
  <si>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</si>
  <si>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</si>
  <si>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</si>
  <si>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</si>
  <si>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</si>
  <si>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</si>
  <si>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</si>
  <si>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</si>
  <si>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</si>
  <si>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</si>
  <si>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</si>
  <si>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</si>
  <si>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</si>
  <si>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</si>
  <si>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</si>
  <si>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</si>
  <si>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</si>
  <si>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</si>
  <si>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</si>
  <si>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</si>
  <si>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</si>
  <si>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</si>
  <si>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</si>
  <si>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</si>
  <si>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</si>
  <si>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</si>
  <si>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</si>
  <si>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</si>
  <si>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</si>
  <si>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</si>
  <si>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</si>
  <si>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</si>
  <si>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</si>
  <si>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</si>
  <si>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</si>
  <si>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</si>
  <si>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</si>
  <si>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</si>
  <si>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</si>
  <si>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</si>
  <si>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</si>
  <si>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Nancy</t>
  </si>
  <si>
    <t>Science Hill</t>
  </si>
  <si>
    <t>Tateville</t>
  </si>
  <si>
    <t>West Somerset</t>
  </si>
  <si>
    <t>Yosemite</t>
  </si>
  <si>
    <t>Eubank</t>
  </si>
  <si>
    <t>Alpha</t>
  </si>
  <si>
    <t>Marshes Siding</t>
  </si>
  <si>
    <t>Parkers Lake</t>
  </si>
  <si>
    <t>Pine Knot</t>
  </si>
  <si>
    <t>Revelo</t>
  </si>
  <si>
    <t>Russell Springs</t>
  </si>
  <si>
    <t>Stearns</t>
  </si>
  <si>
    <t>Strunk</t>
  </si>
  <si>
    <t>Whitley City</t>
  </si>
  <si>
    <t>Big Clifty</t>
  </si>
  <si>
    <t>Bonnieville</t>
  </si>
  <si>
    <t>Breeding</t>
  </si>
  <si>
    <t>Burkesville</t>
  </si>
  <si>
    <t>Campbellsville</t>
  </si>
  <si>
    <t>Cane Valley</t>
  </si>
  <si>
    <t>Caneyville</t>
  </si>
  <si>
    <t>Canmer</t>
  </si>
  <si>
    <t>Cecilia</t>
  </si>
  <si>
    <t>Cub Run</t>
  </si>
  <si>
    <t>Dubre</t>
  </si>
  <si>
    <t>Eastview</t>
  </si>
  <si>
    <t>Elk Horn</t>
  </si>
  <si>
    <t>Glens Fork</t>
  </si>
  <si>
    <t>Hodgenville</t>
  </si>
  <si>
    <t>Horse Cave</t>
  </si>
  <si>
    <t>Knifley</t>
  </si>
  <si>
    <t>Leitchfield</t>
  </si>
  <si>
    <t>Marrowbone</t>
  </si>
  <si>
    <t>Mount Sherman</t>
  </si>
  <si>
    <t>Munfordville</t>
  </si>
  <si>
    <t>Sonora</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</si>
  <si>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</si>
  <si>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</si>
  <si>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</si>
  <si>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</si>
  <si>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</si>
  <si>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</si>
  <si>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</si>
  <si>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</si>
  <si>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</si>
  <si>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</si>
  <si>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</si>
  <si>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</si>
  <si>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</si>
  <si>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</si>
  <si>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</si>
  <si>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</si>
  <si>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</si>
  <si>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</si>
  <si>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</si>
  <si>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</si>
  <si>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</si>
  <si>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</si>
  <si>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</si>
  <si>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</si>
  <si>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</si>
  <si>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</si>
  <si>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</si>
  <si>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</si>
  <si>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</si>
  <si>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</si>
  <si>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</si>
  <si>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</si>
  <si>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</si>
  <si>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</si>
  <si>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</si>
  <si>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</si>
  <si>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</si>
  <si>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</si>
  <si>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</si>
  <si>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</si>
  <si>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</si>
  <si>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</si>
  <si>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</si>
  <si>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</si>
  <si>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</si>
  <si>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</si>
  <si>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</si>
  <si>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</si>
  <si>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</si>
  <si>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</si>
  <si>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</si>
  <si>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</si>
  <si>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</si>
  <si>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</si>
  <si>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</si>
  <si>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</si>
  <si>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</si>
  <si>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</si>
  <si>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</si>
  <si>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</si>
  <si>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</si>
  <si>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Kirby</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</si>
  <si>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</si>
  <si>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</si>
  <si>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</si>
  <si>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</si>
  <si>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</si>
  <si>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</si>
  <si>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</si>
  <si>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</si>
  <si>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</si>
  <si>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</si>
  <si>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</si>
  <si>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</si>
  <si>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</si>
  <si>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</si>
  <si>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</si>
  <si>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</si>
  <si>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</si>
  <si>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</si>
  <si>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</si>
  <si>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</si>
  <si>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</si>
  <si>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</si>
  <si>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</si>
  <si>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</si>
  <si>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</si>
  <si>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</si>
  <si>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</si>
  <si>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</si>
  <si>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</si>
  <si>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</si>
  <si>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</si>
  <si>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</si>
  <si>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</si>
  <si>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</si>
  <si>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</si>
  <si>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</si>
  <si>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</si>
  <si>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</si>
  <si>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</si>
  <si>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</si>
  <si>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</si>
  <si>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</si>
  <si>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</si>
  <si>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</si>
  <si>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</si>
  <si>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</si>
  <si>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</si>
  <si>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</si>
  <si>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</si>
  <si>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</si>
  <si>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</si>
  <si>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</si>
  <si>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</si>
  <si>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</si>
  <si>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</si>
  <si>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</si>
  <si>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</si>
  <si>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</si>
  <si>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</si>
  <si>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</si>
  <si>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</si>
  <si>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</si>
  <si>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</si>
  <si>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</si>
  <si>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</si>
  <si>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</si>
  <si>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</si>
  <si>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</si>
  <si>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</si>
  <si>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</si>
  <si>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</si>
  <si>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</si>
  <si>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</si>
  <si>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</si>
  <si>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</si>
  <si>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</si>
  <si>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</si>
  <si>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</si>
  <si>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</si>
  <si>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</si>
  <si>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</si>
  <si>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</si>
  <si>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</si>
  <si>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</si>
  <si>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</si>
  <si>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</si>
  <si>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</si>
  <si>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</si>
  <si>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</si>
  <si>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</si>
  <si>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</si>
  <si>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</si>
  <si>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</si>
  <si>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</si>
  <si>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</si>
  <si>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</si>
  <si>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</si>
  <si>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</si>
  <si>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</si>
  <si>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</si>
  <si>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</si>
  <si>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</si>
  <si>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</si>
  <si>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</si>
  <si>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</si>
  <si>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</si>
  <si>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</si>
  <si>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</si>
  <si>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</si>
  <si>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</si>
  <si>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</si>
  <si>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</si>
  <si>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</si>
  <si>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</si>
  <si>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</si>
  <si>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</si>
  <si>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</si>
  <si>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</si>
  <si>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</si>
  <si>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</si>
  <si>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</si>
  <si>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</si>
  <si>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</si>
  <si>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</si>
  <si>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</si>
  <si>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</si>
  <si>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</si>
  <si>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</si>
  <si>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</si>
  <si>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</si>
  <si>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</si>
  <si>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</si>
  <si>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</si>
  <si>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</si>
  <si>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</si>
  <si>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</si>
  <si>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</si>
  <si>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</si>
  <si>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</si>
  <si>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</si>
  <si>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</si>
  <si>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</si>
  <si>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</si>
  <si>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</si>
  <si>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</si>
  <si>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</si>
  <si>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</si>
  <si>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</si>
  <si>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</si>
  <si>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</si>
  <si>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</si>
  <si>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</si>
  <si>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</si>
  <si>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</si>
  <si>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</si>
  <si>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</si>
  <si>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</si>
  <si>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</si>
  <si>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</si>
  <si>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</si>
  <si>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</si>
  <si>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</si>
  <si>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</si>
  <si>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</si>
  <si>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</si>
  <si>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</si>
  <si>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</si>
  <si>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</si>
  <si>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</si>
  <si>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</si>
  <si>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</si>
  <si>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</si>
  <si>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</si>
  <si>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</si>
  <si>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</si>
  <si>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</si>
  <si>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</si>
  <si>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</si>
  <si>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</si>
  <si>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</si>
  <si>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</si>
  <si>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</si>
  <si>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</si>
  <si>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</si>
  <si>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</si>
  <si>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</si>
  <si>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</si>
  <si>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</si>
  <si>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</si>
  <si>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</si>
  <si>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</si>
  <si>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</si>
  <si>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</si>
  <si>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</si>
  <si>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</si>
  <si>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</si>
  <si>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</si>
  <si>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</si>
  <si>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</si>
  <si>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</si>
  <si>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</si>
  <si>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</si>
  <si>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</si>
  <si>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</si>
  <si>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</si>
  <si>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</si>
  <si>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</si>
  <si>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</si>
  <si>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</si>
  <si>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</si>
  <si>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</si>
  <si>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</si>
  <si>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</si>
  <si>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Fairlawn</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</si>
  <si>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</si>
  <si>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</si>
  <si>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</si>
  <si>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</si>
  <si>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</si>
  <si>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</si>
  <si>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</si>
  <si>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</si>
  <si>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</si>
  <si>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</si>
  <si>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</si>
  <si>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</si>
  <si>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</si>
  <si>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</si>
  <si>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</si>
  <si>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</si>
  <si>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</si>
  <si>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</si>
  <si>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</si>
  <si>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</si>
  <si>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</si>
  <si>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</si>
  <si>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</si>
  <si>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</si>
  <si>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</si>
  <si>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</si>
  <si>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</si>
  <si>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</si>
  <si>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</si>
  <si>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</si>
  <si>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</si>
  <si>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</si>
  <si>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</si>
  <si>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</si>
  <si>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</si>
  <si>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</si>
  <si>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</si>
  <si>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</si>
  <si>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</si>
  <si>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</si>
  <si>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</si>
  <si>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</si>
  <si>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</si>
  <si>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</si>
  <si>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</si>
  <si>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</si>
  <si>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</si>
  <si>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</si>
  <si>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</si>
  <si>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</si>
  <si>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</si>
  <si>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</si>
  <si>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</si>
  <si>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</si>
  <si>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</si>
  <si>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</si>
  <si>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</si>
  <si>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</si>
  <si>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</si>
  <si>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</si>
  <si>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</si>
  <si>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</si>
  <si>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</si>
  <si>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</si>
  <si>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</si>
  <si>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</si>
  <si>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</si>
  <si>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East Canton</t>
  </si>
  <si>
    <t>Alvada</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</si>
  <si>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</si>
  <si>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</si>
  <si>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</si>
  <si>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</si>
  <si>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</si>
  <si>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</si>
  <si>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</si>
  <si>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</si>
  <si>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</si>
  <si>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</si>
  <si>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</si>
  <si>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</si>
  <si>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</si>
  <si>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</si>
  <si>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</si>
  <si>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</si>
  <si>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</si>
  <si>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</si>
  <si>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</si>
  <si>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</si>
  <si>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</si>
  <si>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</si>
  <si>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</si>
  <si>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</si>
  <si>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</si>
  <si>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</si>
  <si>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</si>
  <si>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</si>
  <si>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</si>
  <si>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</si>
  <si>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</si>
  <si>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</si>
  <si>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</si>
  <si>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</si>
  <si>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</si>
  <si>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</si>
  <si>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</si>
  <si>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</si>
  <si>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</si>
  <si>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</si>
  <si>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</si>
  <si>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</si>
  <si>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</si>
  <si>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</si>
  <si>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</si>
  <si>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</si>
  <si>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</si>
  <si>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</si>
  <si>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</si>
  <si>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</si>
  <si>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</si>
  <si>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</si>
  <si>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</si>
  <si>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</si>
  <si>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</si>
  <si>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</si>
  <si>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</si>
  <si>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</si>
  <si>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</si>
  <si>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</si>
  <si>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</si>
  <si>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</si>
  <si>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</si>
  <si>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</si>
  <si>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</si>
  <si>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</si>
  <si>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</si>
  <si>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</si>
  <si>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</si>
  <si>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</si>
  <si>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</si>
  <si>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</si>
  <si>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</si>
  <si>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</si>
  <si>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</si>
  <si>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</si>
  <si>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</si>
  <si>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</si>
  <si>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</si>
  <si>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</si>
  <si>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</si>
  <si>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</si>
  <si>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</si>
  <si>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</si>
  <si>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</si>
  <si>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</si>
  <si>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</si>
  <si>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</si>
  <si>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</si>
  <si>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</si>
  <si>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</si>
  <si>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Rossburg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</si>
  <si>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</si>
  <si>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</si>
  <si>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</si>
  <si>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</si>
  <si>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</si>
  <si>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</si>
  <si>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</si>
  <si>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</si>
  <si>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</si>
  <si>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</si>
  <si>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</si>
  <si>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</si>
  <si>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</si>
  <si>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</si>
  <si>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</si>
  <si>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</si>
  <si>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</si>
  <si>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</si>
  <si>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</si>
  <si>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</si>
  <si>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</si>
  <si>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</si>
  <si>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</si>
  <si>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</si>
  <si>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</si>
  <si>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</si>
  <si>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</si>
  <si>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</si>
  <si>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</si>
  <si>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</si>
  <si>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</si>
  <si>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</si>
  <si>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</si>
  <si>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</si>
  <si>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</si>
  <si>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</si>
  <si>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</si>
  <si>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</si>
  <si>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</si>
  <si>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</si>
  <si>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</si>
  <si>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</si>
  <si>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</si>
  <si>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</si>
  <si>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</si>
  <si>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</si>
  <si>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</si>
  <si>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</si>
  <si>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</si>
  <si>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</si>
  <si>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</si>
  <si>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</si>
  <si>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</si>
  <si>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</si>
  <si>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</si>
  <si>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</si>
  <si>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Glouster</t>
  </si>
  <si>
    <t>Guysville</t>
  </si>
  <si>
    <t>Hockingport</t>
  </si>
  <si>
    <t>Langsville</t>
  </si>
  <si>
    <t>Little Hocking</t>
  </si>
  <si>
    <t>Long Bottom</t>
  </si>
  <si>
    <t>Lower Salem</t>
  </si>
  <si>
    <t>Macksburg</t>
  </si>
  <si>
    <t>Millfield</t>
  </si>
  <si>
    <t>Nelsonville</t>
  </si>
  <si>
    <t>New Marshfield</t>
  </si>
  <si>
    <t>New Matamoras</t>
  </si>
  <si>
    <t>Shade</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</si>
  <si>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</si>
  <si>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</si>
  <si>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</si>
  <si>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</si>
  <si>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</si>
  <si>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</si>
  <si>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</si>
  <si>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</si>
  <si>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</si>
  <si>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</si>
  <si>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</si>
  <si>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</si>
  <si>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</si>
  <si>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</si>
  <si>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</si>
  <si>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</si>
  <si>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</si>
  <si>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</si>
  <si>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</si>
  <si>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</si>
  <si>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</si>
  <si>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</si>
  <si>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</si>
  <si>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</si>
  <si>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</si>
  <si>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</si>
  <si>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</si>
  <si>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</si>
  <si>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</si>
  <si>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</si>
  <si>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</si>
  <si>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</si>
  <si>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</si>
  <si>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</si>
  <si>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</si>
  <si>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</si>
  <si>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</si>
  <si>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</si>
  <si>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</si>
  <si>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</si>
  <si>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</si>
  <si>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</si>
  <si>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</si>
  <si>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</si>
  <si>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</si>
  <si>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</si>
  <si>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</si>
  <si>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</si>
  <si>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</si>
  <si>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</si>
  <si>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</si>
  <si>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</si>
  <si>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</si>
  <si>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</si>
  <si>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</si>
  <si>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</si>
  <si>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</si>
  <si>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</si>
  <si>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</si>
  <si>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</si>
  <si>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</si>
  <si>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</si>
  <si>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</si>
  <si>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</si>
  <si>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</si>
  <si>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</si>
  <si>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</si>
  <si>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</si>
  <si>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</si>
  <si>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</si>
  <si>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</si>
  <si>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</si>
  <si>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</si>
  <si>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</si>
  <si>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</si>
  <si>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</si>
  <si>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</si>
  <si>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</si>
  <si>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</si>
  <si>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</si>
  <si>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</si>
  <si>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</si>
  <si>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</si>
  <si>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</si>
  <si>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</si>
  <si>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</si>
  <si>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</si>
  <si>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</si>
  <si>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</si>
  <si>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</si>
  <si>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</si>
  <si>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</si>
  <si>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</si>
  <si>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</si>
  <si>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</si>
  <si>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</si>
  <si>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</si>
  <si>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</si>
  <si>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</si>
  <si>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</si>
  <si>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</si>
  <si>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</si>
  <si>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</si>
  <si>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</si>
  <si>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</si>
  <si>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</si>
  <si>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</si>
  <si>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</si>
  <si>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</si>
  <si>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</si>
  <si>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</si>
  <si>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</si>
  <si>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</si>
  <si>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</si>
  <si>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</si>
  <si>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</si>
  <si>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</si>
  <si>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</si>
  <si>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</si>
  <si>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</si>
  <si>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</si>
  <si>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</si>
  <si>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</si>
  <si>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</si>
  <si>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</si>
  <si>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</si>
  <si>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</si>
  <si>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</si>
  <si>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</si>
  <si>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</si>
  <si>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</si>
  <si>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</si>
  <si>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</si>
  <si>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</si>
  <si>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</si>
  <si>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</si>
  <si>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</si>
  <si>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</si>
  <si>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</si>
  <si>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</si>
  <si>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</si>
  <si>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</si>
  <si>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</si>
  <si>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</si>
  <si>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</si>
  <si>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</si>
  <si>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</si>
  <si>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</si>
  <si>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</si>
  <si>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Hoagland</t>
  </si>
  <si>
    <t>Howe</t>
  </si>
  <si>
    <t>Huntertown</t>
  </si>
  <si>
    <t>Kendallville</t>
  </si>
  <si>
    <t>Keystone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</si>
  <si>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</si>
  <si>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</si>
  <si>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</si>
  <si>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</si>
  <si>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</si>
  <si>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</si>
  <si>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</si>
  <si>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</si>
  <si>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</si>
  <si>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</si>
  <si>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</si>
  <si>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</si>
  <si>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</si>
  <si>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</si>
  <si>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</si>
  <si>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</si>
  <si>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</si>
  <si>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</si>
  <si>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</si>
  <si>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</si>
  <si>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</si>
  <si>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</si>
  <si>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</si>
  <si>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</si>
  <si>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</si>
  <si>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</si>
  <si>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</si>
  <si>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Fowlerton</t>
  </si>
  <si>
    <t>Galveston</t>
  </si>
  <si>
    <t>Gas City</t>
  </si>
  <si>
    <t>Grass Creek</t>
  </si>
  <si>
    <t>Kewanna</t>
  </si>
  <si>
    <t>La Fontaine</t>
  </si>
  <si>
    <t>Lagro</t>
  </si>
  <si>
    <t>Lake Cicott</t>
  </si>
  <si>
    <t>Laketon</t>
  </si>
  <si>
    <t>Leiters Ford</t>
  </si>
  <si>
    <t>Liberty Mills</t>
  </si>
  <si>
    <t>Logansport</t>
  </si>
  <si>
    <t>Lucerne</t>
  </si>
  <si>
    <t>Macy</t>
  </si>
  <si>
    <t>New Waverly</t>
  </si>
  <si>
    <t>North Manchester</t>
  </si>
  <si>
    <t>Oakford</t>
  </si>
  <si>
    <t>Onward</t>
  </si>
  <si>
    <t>Ora</t>
  </si>
  <si>
    <t>Grissom Arb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</si>
  <si>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</si>
  <si>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</si>
  <si>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</si>
  <si>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</si>
  <si>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</si>
  <si>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</si>
  <si>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</si>
  <si>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</si>
  <si>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</si>
  <si>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</si>
  <si>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</si>
  <si>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</si>
  <si>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</si>
  <si>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</si>
  <si>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</si>
  <si>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</si>
  <si>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</si>
  <si>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</si>
  <si>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</si>
  <si>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</si>
  <si>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</si>
  <si>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</si>
  <si>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Borden</t>
  </si>
  <si>
    <t>Depauw</t>
  </si>
  <si>
    <t>Eckerty</t>
  </si>
  <si>
    <t>English</t>
  </si>
  <si>
    <t>Floyds Knobs</t>
  </si>
  <si>
    <t>Grantsburg</t>
  </si>
  <si>
    <t>Leavenworth</t>
  </si>
  <si>
    <t>Mauckport</t>
  </si>
  <si>
    <t>Mount Saint Francis</t>
  </si>
  <si>
    <t>Nabb</t>
  </si>
  <si>
    <t>New Salisbury</t>
  </si>
  <si>
    <t>Otisco</t>
  </si>
  <si>
    <t>Pekin</t>
  </si>
  <si>
    <t>Sellersburg</t>
  </si>
  <si>
    <t>Taswell</t>
  </si>
  <si>
    <t>Underwood</t>
  </si>
  <si>
    <t>Butlerville</t>
  </si>
  <si>
    <t>Commiskey</t>
  </si>
  <si>
    <t>Crothersville</t>
  </si>
  <si>
    <t>Deputy</t>
  </si>
  <si>
    <t>Freetown</t>
  </si>
  <si>
    <t>Grammer</t>
  </si>
  <si>
    <t>Kurtz</t>
  </si>
  <si>
    <t>Medora</t>
  </si>
  <si>
    <t>Millhousen</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</si>
  <si>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</si>
  <si>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</si>
  <si>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</si>
  <si>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</si>
  <si>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</si>
  <si>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</si>
  <si>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</si>
  <si>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</si>
  <si>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</si>
  <si>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</si>
  <si>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</si>
  <si>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</si>
  <si>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</si>
  <si>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</si>
  <si>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</si>
  <si>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</si>
  <si>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</si>
  <si>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</si>
  <si>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</si>
  <si>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</si>
  <si>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</si>
  <si>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</si>
  <si>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</si>
  <si>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</si>
  <si>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</si>
  <si>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</si>
  <si>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</si>
  <si>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</si>
  <si>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</si>
  <si>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</si>
  <si>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</si>
  <si>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</si>
  <si>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</si>
  <si>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</si>
  <si>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</si>
  <si>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</si>
  <si>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</si>
  <si>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</si>
  <si>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</si>
  <si>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</si>
  <si>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</si>
  <si>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</si>
  <si>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</si>
  <si>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</si>
  <si>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</si>
  <si>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</si>
  <si>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</si>
  <si>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</si>
  <si>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</si>
  <si>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</si>
  <si>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</si>
  <si>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Evanston</t>
  </si>
  <si>
    <t>Ferdinand</t>
  </si>
  <si>
    <t>Freelandville</t>
  </si>
  <si>
    <t>Fulda</t>
  </si>
  <si>
    <t>Gentryville</t>
  </si>
  <si>
    <t>Huntingburg</t>
  </si>
  <si>
    <t>Leopold</t>
  </si>
  <si>
    <t>Lincoln City</t>
  </si>
  <si>
    <t>Loogootee</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</si>
  <si>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</si>
  <si>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</si>
  <si>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</si>
  <si>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</si>
  <si>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</si>
  <si>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</si>
  <si>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</si>
  <si>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</si>
  <si>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</si>
  <si>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</si>
  <si>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</si>
  <si>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</si>
  <si>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</si>
  <si>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</si>
  <si>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</si>
  <si>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</si>
  <si>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</si>
  <si>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</si>
  <si>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</si>
  <si>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</si>
  <si>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</si>
  <si>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</si>
  <si>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</si>
  <si>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</si>
  <si>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</si>
  <si>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</si>
  <si>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</si>
  <si>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</si>
  <si>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</si>
  <si>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</si>
  <si>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</si>
  <si>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</si>
  <si>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</si>
  <si>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</si>
  <si>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</si>
  <si>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</si>
  <si>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</si>
  <si>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</si>
  <si>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</si>
  <si>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</si>
  <si>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</si>
  <si>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</si>
  <si>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</si>
  <si>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</si>
  <si>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</si>
  <si>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</si>
  <si>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</si>
  <si>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</si>
  <si>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</si>
  <si>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</si>
  <si>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</si>
  <si>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</si>
  <si>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</si>
  <si>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</si>
  <si>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</si>
  <si>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</si>
  <si>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</si>
  <si>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</si>
  <si>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</si>
  <si>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</si>
  <si>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</si>
  <si>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</si>
  <si>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</si>
  <si>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</si>
  <si>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</si>
  <si>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</si>
  <si>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</si>
  <si>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</si>
  <si>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</si>
  <si>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</si>
  <si>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</si>
  <si>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</si>
  <si>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</si>
  <si>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</si>
  <si>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</si>
  <si>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</si>
  <si>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</si>
  <si>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</si>
  <si>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</si>
  <si>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</si>
  <si>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</si>
  <si>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</si>
  <si>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</si>
  <si>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</si>
  <si>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</si>
  <si>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</si>
  <si>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</si>
  <si>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</si>
  <si>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</si>
  <si>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Allenton</t>
  </si>
  <si>
    <t>Almont</t>
  </si>
  <si>
    <t>Anchorville</t>
  </si>
  <si>
    <t>Armada</t>
  </si>
  <si>
    <t>Capac</t>
  </si>
  <si>
    <t>Center Line</t>
  </si>
  <si>
    <t>Clawson</t>
  </si>
  <si>
    <t>Eastpointe</t>
  </si>
  <si>
    <t>Emmett</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</si>
  <si>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</si>
  <si>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</si>
  <si>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</si>
  <si>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</si>
  <si>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</si>
  <si>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</si>
  <si>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</si>
  <si>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</si>
  <si>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</si>
  <si>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</si>
  <si>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</si>
  <si>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</si>
  <si>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</si>
  <si>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</si>
  <si>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</si>
  <si>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</si>
  <si>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</si>
  <si>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</si>
  <si>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</si>
  <si>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</si>
  <si>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</si>
  <si>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</si>
  <si>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</si>
  <si>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</si>
  <si>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</si>
  <si>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</si>
  <si>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</si>
  <si>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</si>
  <si>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</si>
  <si>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</si>
  <si>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</si>
  <si>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</si>
  <si>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</si>
  <si>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</si>
  <si>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</si>
  <si>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</si>
  <si>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</si>
  <si>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</si>
  <si>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</si>
  <si>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</si>
  <si>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</si>
  <si>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</si>
  <si>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</si>
  <si>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</si>
  <si>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</si>
  <si>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</si>
  <si>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</si>
  <si>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</si>
  <si>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</si>
  <si>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</si>
  <si>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</si>
  <si>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</si>
  <si>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</si>
  <si>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</si>
  <si>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</si>
  <si>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</si>
  <si>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</si>
  <si>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</si>
  <si>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</si>
  <si>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</si>
  <si>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</si>
  <si>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</si>
  <si>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</si>
  <si>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</si>
  <si>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</si>
  <si>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</si>
  <si>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</si>
  <si>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</si>
  <si>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</si>
  <si>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</si>
  <si>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</si>
  <si>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</si>
  <si>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</si>
  <si>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</si>
  <si>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</si>
  <si>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</si>
  <si>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</si>
  <si>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</si>
  <si>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</si>
  <si>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</si>
  <si>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</si>
  <si>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</si>
  <si>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</si>
  <si>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</si>
  <si>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</si>
  <si>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</si>
  <si>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</si>
  <si>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</si>
  <si>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</si>
  <si>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</si>
  <si>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</si>
  <si>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</si>
  <si>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</si>
  <si>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</si>
  <si>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</si>
  <si>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</si>
  <si>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</si>
  <si>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</si>
  <si>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</si>
  <si>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</si>
  <si>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</si>
  <si>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</si>
  <si>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</si>
  <si>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</si>
  <si>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</si>
  <si>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</si>
  <si>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</si>
  <si>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</si>
  <si>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</si>
  <si>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</si>
  <si>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</si>
  <si>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</si>
  <si>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</si>
  <si>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</si>
  <si>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</si>
  <si>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</si>
  <si>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</si>
  <si>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</si>
  <si>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</si>
  <si>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</si>
  <si>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</si>
  <si>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</si>
  <si>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</si>
  <si>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</si>
  <si>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</si>
  <si>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</si>
  <si>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</si>
  <si>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</si>
  <si>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</si>
  <si>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</si>
  <si>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</si>
  <si>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</si>
  <si>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</si>
  <si>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</si>
  <si>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</si>
  <si>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</si>
  <si>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</si>
  <si>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</si>
  <si>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</si>
  <si>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</si>
  <si>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</si>
  <si>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</si>
  <si>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</si>
  <si>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</si>
  <si>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</si>
  <si>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</si>
  <si>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</si>
  <si>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</si>
  <si>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</si>
  <si>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</si>
  <si>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</si>
  <si>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</si>
  <si>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</si>
  <si>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</si>
  <si>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</si>
  <si>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Whittemore</t>
  </si>
  <si>
    <t>Okemos</t>
  </si>
  <si>
    <t>Bannister</t>
  </si>
  <si>
    <t>Belding</t>
  </si>
  <si>
    <t>Carson City</t>
  </si>
  <si>
    <t>Cohoctah</t>
  </si>
  <si>
    <t>Crystal</t>
  </si>
  <si>
    <t>Dimondale</t>
  </si>
  <si>
    <t>Eagle</t>
  </si>
  <si>
    <t>East Lansing</t>
  </si>
  <si>
    <t>Eaton Rapids</t>
  </si>
  <si>
    <t>Edmore</t>
  </si>
  <si>
    <t>Elm Hall</t>
  </si>
  <si>
    <t>Elsie</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</si>
  <si>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</si>
  <si>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</si>
  <si>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</si>
  <si>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</si>
  <si>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</si>
  <si>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</si>
  <si>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</si>
  <si>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</si>
  <si>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</si>
  <si>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</si>
  <si>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</si>
  <si>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</si>
  <si>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</si>
  <si>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</si>
  <si>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</si>
  <si>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</si>
  <si>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</si>
  <si>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</si>
  <si>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</si>
  <si>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</si>
  <si>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</si>
  <si>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</si>
  <si>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</si>
  <si>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</si>
  <si>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</si>
  <si>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</si>
  <si>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</si>
  <si>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</si>
  <si>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</si>
  <si>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</si>
  <si>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</si>
  <si>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</si>
  <si>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</si>
  <si>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</si>
  <si>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</si>
  <si>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</si>
  <si>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Constantine</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</si>
  <si>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</si>
  <si>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</si>
  <si>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</si>
  <si>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</si>
  <si>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</si>
  <si>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</si>
  <si>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</si>
  <si>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</si>
  <si>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</si>
  <si>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</si>
  <si>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</si>
  <si>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</si>
  <si>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</si>
  <si>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</si>
  <si>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</si>
  <si>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</si>
  <si>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</si>
  <si>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</si>
  <si>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</si>
  <si>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</si>
  <si>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</si>
  <si>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</si>
  <si>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</si>
  <si>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</si>
  <si>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</si>
  <si>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</si>
  <si>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</si>
  <si>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</si>
  <si>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Sawyer</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</si>
  <si>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</si>
  <si>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</si>
  <si>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</si>
  <si>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</si>
  <si>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</si>
  <si>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</si>
  <si>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</si>
  <si>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</si>
  <si>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</si>
  <si>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</si>
  <si>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</si>
  <si>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</si>
  <si>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</si>
  <si>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</si>
  <si>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</si>
  <si>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</si>
  <si>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</si>
  <si>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</si>
  <si>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</si>
  <si>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</si>
  <si>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</si>
  <si>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</si>
  <si>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</si>
  <si>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</si>
  <si>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</si>
  <si>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</si>
  <si>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</si>
  <si>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</si>
  <si>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</si>
  <si>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</si>
  <si>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</si>
  <si>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</si>
  <si>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</si>
  <si>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</si>
  <si>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</si>
  <si>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</si>
  <si>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</si>
  <si>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</si>
  <si>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</si>
  <si>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</si>
  <si>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</si>
  <si>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</si>
  <si>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</si>
  <si>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</si>
  <si>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</si>
  <si>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</si>
  <si>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</si>
  <si>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Coopersville</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</si>
  <si>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</si>
  <si>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</si>
  <si>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</si>
  <si>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</si>
  <si>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</si>
  <si>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</si>
  <si>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</si>
  <si>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</si>
  <si>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</si>
  <si>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</si>
  <si>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</si>
  <si>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</si>
  <si>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</si>
  <si>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</si>
  <si>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</si>
  <si>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</si>
  <si>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</si>
  <si>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</si>
  <si>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</si>
  <si>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</si>
  <si>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</si>
  <si>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</si>
  <si>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</si>
  <si>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</si>
  <si>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</si>
  <si>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</si>
  <si>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</si>
  <si>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</si>
  <si>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</si>
  <si>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</si>
  <si>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</si>
  <si>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</si>
  <si>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</si>
  <si>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</si>
  <si>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</si>
  <si>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</si>
  <si>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</si>
  <si>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</si>
  <si>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</si>
  <si>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</si>
  <si>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</si>
  <si>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</si>
  <si>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</si>
  <si>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</si>
  <si>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</si>
  <si>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</si>
  <si>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</si>
  <si>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</si>
  <si>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</si>
  <si>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</si>
  <si>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</si>
  <si>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</si>
  <si>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</si>
  <si>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</si>
  <si>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</si>
  <si>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</si>
  <si>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</si>
  <si>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</si>
  <si>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</si>
  <si>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</si>
  <si>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</si>
  <si>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</si>
  <si>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</si>
  <si>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</si>
  <si>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</si>
  <si>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</si>
  <si>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</si>
  <si>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</si>
  <si>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</si>
  <si>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</si>
  <si>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</si>
  <si>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</si>
  <si>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</si>
  <si>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</si>
  <si>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</si>
  <si>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</si>
  <si>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</si>
  <si>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</si>
  <si>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</si>
  <si>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</si>
  <si>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</si>
  <si>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</si>
  <si>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</si>
  <si>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</si>
  <si>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</si>
  <si>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</si>
  <si>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</si>
  <si>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</si>
  <si>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</si>
  <si>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</si>
  <si>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</si>
  <si>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</si>
  <si>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</si>
  <si>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</si>
  <si>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</si>
  <si>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</si>
  <si>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</si>
  <si>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</si>
  <si>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</si>
  <si>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</si>
  <si>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</si>
  <si>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</si>
  <si>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</si>
  <si>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</si>
  <si>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</si>
  <si>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</si>
  <si>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</si>
  <si>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</si>
  <si>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</si>
  <si>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</si>
  <si>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</si>
  <si>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</si>
  <si>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</si>
  <si>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</si>
  <si>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</si>
  <si>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</si>
  <si>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</si>
  <si>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Topinabee</t>
  </si>
  <si>
    <t>Tower</t>
  </si>
  <si>
    <t>Trout Lake</t>
  </si>
  <si>
    <t>Walloon Lake</t>
  </si>
  <si>
    <t>Waters</t>
  </si>
  <si>
    <t>Wolverine</t>
  </si>
  <si>
    <t>Iron Mountain</t>
  </si>
  <si>
    <t>Kingsford</t>
  </si>
  <si>
    <t>Allouez</t>
  </si>
  <si>
    <t>Au Train</t>
  </si>
  <si>
    <t>Bark River</t>
  </si>
  <si>
    <t>Big Bay</t>
  </si>
  <si>
    <t>Carney</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</si>
  <si>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</si>
  <si>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</si>
  <si>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</si>
  <si>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</si>
  <si>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</si>
  <si>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</si>
  <si>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</si>
  <si>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</si>
  <si>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</si>
  <si>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</si>
  <si>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</si>
  <si>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</si>
  <si>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</si>
  <si>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</si>
  <si>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</si>
  <si>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</si>
  <si>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</si>
  <si>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</si>
  <si>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</si>
  <si>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Hermansville</t>
  </si>
  <si>
    <t>Ishpeming</t>
  </si>
  <si>
    <t>Mc Millan</t>
  </si>
  <si>
    <t>Manistique</t>
  </si>
  <si>
    <t>Marquette</t>
  </si>
  <si>
    <t>Menominee</t>
  </si>
  <si>
    <t>Michigamme</t>
  </si>
  <si>
    <t>Munising</t>
  </si>
  <si>
    <t>Nadeau</t>
  </si>
  <si>
    <t>Nahma</t>
  </si>
  <si>
    <t>National Mine</t>
  </si>
  <si>
    <t>Negaunee</t>
  </si>
  <si>
    <t>Perronville</t>
  </si>
  <si>
    <t>Powers</t>
  </si>
  <si>
    <t>Quinnesec</t>
  </si>
  <si>
    <t>Rapid River</t>
  </si>
  <si>
    <t>Sagola</t>
  </si>
  <si>
    <t>Seney</t>
  </si>
  <si>
    <t>Shingleton</t>
  </si>
  <si>
    <t>Skandia</t>
  </si>
  <si>
    <t>Spalding</t>
  </si>
  <si>
    <t>Trenary</t>
  </si>
  <si>
    <t>Vulcan</t>
  </si>
  <si>
    <t>Wetmore</t>
  </si>
  <si>
    <t>Ahmeek</t>
  </si>
  <si>
    <t>Amasa</t>
  </si>
  <si>
    <t>Atlantic Mine</t>
  </si>
  <si>
    <t>Baraga</t>
  </si>
  <si>
    <t>Bergland</t>
  </si>
  <si>
    <t>Bruce Crossing</t>
  </si>
  <si>
    <t>Caspian</t>
  </si>
  <si>
    <t>Chassell</t>
  </si>
  <si>
    <t>Copper City</t>
  </si>
  <si>
    <t>Copper Harbor</t>
  </si>
  <si>
    <t>Crystal Falls</t>
  </si>
  <si>
    <t>Dodgeville</t>
  </si>
  <si>
    <t>Dollar Bay</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</si>
  <si>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</si>
  <si>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</si>
  <si>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</si>
  <si>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</si>
  <si>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</si>
  <si>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</si>
  <si>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</si>
  <si>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</si>
  <si>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</si>
  <si>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</si>
  <si>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</si>
  <si>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</si>
  <si>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</si>
  <si>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</si>
  <si>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</si>
  <si>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</si>
  <si>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</si>
  <si>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</si>
  <si>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</si>
  <si>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</si>
  <si>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</si>
  <si>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</si>
  <si>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</si>
  <si>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</si>
  <si>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</si>
  <si>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</si>
  <si>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</si>
  <si>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Bevington</t>
  </si>
  <si>
    <t>Blairsburg</t>
  </si>
  <si>
    <t>Bondurant</t>
  </si>
  <si>
    <t>Bouton</t>
  </si>
  <si>
    <t>Boxholm</t>
  </si>
  <si>
    <t>Brayton</t>
  </si>
  <si>
    <t>Bussey</t>
  </si>
  <si>
    <t>Casey</t>
  </si>
  <si>
    <t>Chariton</t>
  </si>
  <si>
    <t>Churdan</t>
  </si>
  <si>
    <t>Colo</t>
  </si>
  <si>
    <t>Coon Rapids</t>
  </si>
  <si>
    <t>Cooper</t>
  </si>
  <si>
    <t>Melcher-dallas</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</si>
  <si>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</si>
  <si>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</si>
  <si>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</si>
  <si>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</si>
  <si>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</si>
  <si>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</si>
  <si>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</si>
  <si>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</si>
  <si>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</si>
  <si>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</si>
  <si>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</si>
  <si>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</si>
  <si>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</si>
  <si>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</si>
  <si>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</si>
  <si>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</si>
  <si>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</si>
  <si>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</si>
  <si>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</si>
  <si>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</si>
  <si>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</si>
  <si>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</si>
  <si>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</si>
  <si>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</si>
  <si>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</si>
  <si>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</si>
  <si>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</si>
  <si>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</si>
  <si>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</si>
  <si>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</si>
  <si>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</si>
  <si>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</si>
  <si>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</si>
  <si>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</si>
  <si>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</si>
  <si>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</si>
  <si>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</si>
  <si>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</si>
  <si>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</si>
  <si>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</si>
  <si>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</si>
  <si>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</si>
  <si>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</si>
  <si>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</si>
  <si>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</si>
  <si>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</si>
  <si>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</si>
  <si>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</si>
  <si>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</si>
  <si>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</si>
  <si>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</si>
  <si>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</si>
  <si>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</si>
  <si>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</si>
  <si>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</si>
  <si>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</si>
  <si>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</si>
  <si>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</si>
  <si>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</si>
  <si>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</si>
  <si>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</si>
  <si>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</si>
  <si>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</si>
  <si>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</si>
  <si>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</si>
  <si>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</si>
  <si>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</si>
  <si>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</si>
  <si>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</si>
  <si>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</si>
  <si>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</si>
  <si>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</si>
  <si>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</si>
  <si>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</si>
  <si>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</si>
  <si>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</si>
  <si>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</si>
  <si>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</si>
  <si>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</si>
  <si>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</si>
  <si>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</si>
  <si>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</si>
  <si>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</si>
  <si>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</si>
  <si>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</si>
  <si>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</si>
  <si>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</si>
  <si>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</si>
  <si>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</si>
  <si>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</si>
  <si>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</si>
  <si>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</si>
  <si>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</si>
  <si>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</si>
  <si>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</si>
  <si>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</si>
  <si>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</si>
  <si>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</si>
  <si>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</si>
  <si>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</si>
  <si>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</si>
  <si>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</si>
  <si>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</si>
  <si>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</si>
  <si>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</si>
  <si>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</si>
  <si>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</si>
  <si>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</si>
  <si>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</si>
  <si>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</si>
  <si>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</si>
  <si>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</si>
  <si>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</si>
  <si>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</si>
  <si>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</si>
  <si>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</si>
  <si>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</si>
  <si>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</si>
  <si>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</si>
  <si>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</si>
  <si>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</si>
  <si>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</si>
  <si>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</si>
  <si>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</si>
  <si>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</si>
  <si>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</si>
  <si>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</si>
  <si>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</si>
  <si>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</si>
  <si>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</si>
  <si>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</si>
  <si>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</si>
  <si>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</si>
  <si>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</si>
  <si>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</si>
  <si>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</si>
  <si>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</si>
  <si>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</si>
  <si>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</si>
  <si>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</si>
  <si>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</si>
  <si>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</si>
  <si>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</si>
  <si>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</si>
  <si>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</si>
  <si>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</si>
  <si>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</si>
  <si>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</si>
  <si>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</si>
  <si>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</si>
  <si>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</si>
  <si>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</si>
  <si>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</si>
  <si>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</si>
  <si>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</si>
  <si>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</si>
  <si>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</si>
  <si>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</si>
  <si>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</si>
  <si>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</si>
  <si>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</si>
  <si>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</si>
  <si>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</si>
  <si>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</si>
  <si>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</si>
  <si>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</si>
  <si>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</si>
  <si>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</si>
  <si>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</si>
  <si>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</si>
  <si>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</si>
  <si>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</si>
  <si>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</si>
  <si>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</si>
  <si>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</si>
  <si>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</si>
  <si>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</si>
  <si>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</si>
  <si>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</si>
  <si>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</si>
  <si>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</si>
  <si>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</si>
  <si>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</si>
  <si>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</si>
  <si>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</si>
  <si>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</si>
  <si>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</si>
  <si>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Nodaway</t>
  </si>
  <si>
    <t>Shannon City</t>
  </si>
  <si>
    <t>Tingley</t>
  </si>
  <si>
    <t>Villisca</t>
  </si>
  <si>
    <t>Alta</t>
  </si>
  <si>
    <t>Anthon</t>
  </si>
  <si>
    <t>Aurelia</t>
  </si>
  <si>
    <t>Brunsville</t>
  </si>
  <si>
    <t>Castana</t>
  </si>
  <si>
    <t>Cleghorn</t>
  </si>
  <si>
    <t>Climbing Hill</t>
  </si>
  <si>
    <t>Correctionville</t>
  </si>
  <si>
    <t>Galva</t>
  </si>
  <si>
    <t>Hawarden</t>
  </si>
  <si>
    <t>Holstein</t>
  </si>
  <si>
    <t>Hornick</t>
  </si>
  <si>
    <t>Ireton</t>
  </si>
  <si>
    <t>Larrabee</t>
  </si>
  <si>
    <t>Le Mars</t>
  </si>
  <si>
    <t>Marcus</t>
  </si>
  <si>
    <t>Maurice</t>
  </si>
  <si>
    <t>Moville</t>
  </si>
  <si>
    <t>Onawa</t>
  </si>
  <si>
    <t>Oto</t>
  </si>
  <si>
    <t>Oyens</t>
  </si>
  <si>
    <t>Paullina</t>
  </si>
  <si>
    <t>Quimby</t>
  </si>
  <si>
    <t>Schaller</t>
  </si>
  <si>
    <t>Sergeant Bluff</t>
  </si>
  <si>
    <t>Sloan</t>
  </si>
  <si>
    <t>Ute</t>
  </si>
  <si>
    <t>Washta</t>
  </si>
  <si>
    <t>Sioux City</t>
  </si>
  <si>
    <t>Alvord</t>
  </si>
  <si>
    <t>Boyden</t>
  </si>
  <si>
    <t>Doon</t>
  </si>
  <si>
    <t>George</t>
  </si>
  <si>
    <t>Hospers</t>
  </si>
  <si>
    <t>Larchwood</t>
  </si>
  <si>
    <t>Matlock</t>
  </si>
  <si>
    <t>Primghar</t>
  </si>
  <si>
    <t>Rock Rapids</t>
  </si>
  <si>
    <t>Rock Valley</t>
  </si>
  <si>
    <t>Sioux Center</t>
  </si>
  <si>
    <t>Arnolds Park</t>
  </si>
  <si>
    <t>Dickens</t>
  </si>
  <si>
    <t>Estherville</t>
  </si>
  <si>
    <t>Everly</t>
  </si>
  <si>
    <t>Gillett Grove</t>
  </si>
  <si>
    <t>Graettinger</t>
  </si>
  <si>
    <t>Gruver</t>
  </si>
  <si>
    <t>Hartley</t>
  </si>
  <si>
    <t>Ocheyedan</t>
  </si>
  <si>
    <t>Okoboji</t>
  </si>
  <si>
    <t>Royal</t>
  </si>
  <si>
    <t>Ruthven</t>
  </si>
  <si>
    <t>Spirit Lake</t>
  </si>
  <si>
    <t>Superior</t>
  </si>
  <si>
    <t>Terril</t>
  </si>
  <si>
    <t>Aspinwall</t>
  </si>
  <si>
    <t>Breda</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</si>
  <si>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</si>
  <si>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</si>
  <si>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</si>
  <si>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</si>
  <si>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</si>
  <si>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</si>
  <si>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</si>
  <si>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</si>
  <si>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</si>
  <si>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</si>
  <si>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</si>
  <si>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</si>
  <si>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</si>
  <si>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</si>
  <si>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</si>
  <si>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</si>
  <si>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</si>
  <si>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</si>
  <si>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</si>
  <si>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</si>
  <si>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</si>
  <si>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</si>
  <si>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</si>
  <si>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</si>
  <si>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</si>
  <si>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</si>
  <si>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</si>
  <si>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</si>
  <si>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</si>
  <si>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</si>
  <si>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Neola</t>
  </si>
  <si>
    <t>Pacific Junction</t>
  </si>
  <si>
    <t>Persia</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</si>
  <si>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</si>
  <si>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</si>
  <si>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</si>
  <si>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</si>
  <si>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</si>
  <si>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</si>
  <si>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</si>
  <si>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</si>
  <si>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</si>
  <si>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</si>
  <si>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</si>
  <si>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</si>
  <si>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</si>
  <si>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</si>
  <si>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</si>
  <si>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</si>
  <si>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</si>
  <si>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</si>
  <si>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</si>
  <si>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</si>
  <si>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</si>
  <si>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</si>
  <si>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</si>
  <si>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</si>
  <si>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Luxemburg</t>
  </si>
  <si>
    <t>Maquoketa</t>
  </si>
  <si>
    <t>Miles</t>
  </si>
  <si>
    <t>North Buena Vista</t>
  </si>
  <si>
    <t>Peosta</t>
  </si>
  <si>
    <t>Sabula</t>
  </si>
  <si>
    <t>Saint Donatus</t>
  </si>
  <si>
    <t>Saint Olaf</t>
  </si>
  <si>
    <t>Spragueville</t>
  </si>
  <si>
    <t>Springbrook</t>
  </si>
  <si>
    <t>Strawberry Point</t>
  </si>
  <si>
    <t>Zwingle</t>
  </si>
  <si>
    <t>Decorah</t>
  </si>
  <si>
    <t>Calmar</t>
  </si>
  <si>
    <t>Fort Atkinson</t>
  </si>
  <si>
    <t>Hawkeye</t>
  </si>
  <si>
    <t>Highlandville</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</si>
  <si>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</si>
  <si>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</si>
  <si>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</si>
  <si>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</si>
  <si>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</si>
  <si>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</si>
  <si>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</si>
  <si>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</si>
  <si>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</si>
  <si>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</si>
  <si>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</si>
  <si>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</si>
  <si>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</si>
  <si>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</si>
  <si>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</si>
  <si>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</si>
  <si>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</si>
  <si>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</si>
  <si>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</si>
  <si>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</si>
  <si>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</si>
  <si>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</si>
  <si>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</si>
  <si>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</si>
  <si>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</si>
  <si>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Ely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</si>
  <si>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</si>
  <si>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</si>
  <si>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</si>
  <si>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</si>
  <si>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</si>
  <si>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</si>
  <si>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</si>
  <si>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</si>
  <si>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</si>
  <si>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</si>
  <si>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</si>
  <si>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</si>
  <si>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</si>
  <si>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</si>
  <si>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</si>
  <si>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</si>
  <si>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</si>
  <si>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</si>
  <si>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</si>
  <si>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Shellsburg</t>
  </si>
  <si>
    <t>South Amana</t>
  </si>
  <si>
    <t>South English</t>
  </si>
  <si>
    <t>Swisher</t>
  </si>
  <si>
    <t>Tama</t>
  </si>
  <si>
    <t>Troy Mills</t>
  </si>
  <si>
    <t>Van Horne</t>
  </si>
  <si>
    <t>Vining</t>
  </si>
  <si>
    <t>Walford</t>
  </si>
  <si>
    <t>Watkins</t>
  </si>
  <si>
    <t>Wellman</t>
  </si>
  <si>
    <t>Cedar Rapids</t>
  </si>
  <si>
    <t>Ottumwa</t>
  </si>
  <si>
    <t>Agency</t>
  </si>
  <si>
    <t>Albia</t>
  </si>
  <si>
    <t>Blakesburg</t>
  </si>
  <si>
    <t>Cantril</t>
  </si>
  <si>
    <t>Douds</t>
  </si>
  <si>
    <t>Drakesville</t>
  </si>
  <si>
    <t>Eldon</t>
  </si>
  <si>
    <t>Exline</t>
  </si>
  <si>
    <t>Floris</t>
  </si>
  <si>
    <t>Hedrick</t>
  </si>
  <si>
    <t>Keosauqua</t>
  </si>
  <si>
    <t>Libertyville</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</si>
  <si>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</si>
  <si>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</si>
  <si>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</si>
  <si>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</si>
  <si>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</si>
  <si>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</si>
  <si>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</si>
  <si>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</si>
  <si>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</si>
  <si>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</si>
  <si>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</si>
  <si>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</si>
  <si>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</si>
  <si>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</si>
  <si>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</si>
  <si>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</si>
  <si>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</si>
  <si>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</si>
  <si>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</si>
  <si>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</si>
  <si>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</si>
  <si>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</si>
  <si>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</si>
  <si>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</si>
  <si>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</si>
  <si>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</si>
  <si>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</si>
  <si>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</si>
  <si>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</si>
  <si>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</si>
  <si>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</si>
  <si>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</si>
  <si>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</si>
  <si>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</si>
  <si>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</si>
  <si>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</si>
  <si>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</si>
  <si>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</si>
  <si>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</si>
  <si>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</si>
  <si>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</si>
  <si>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</si>
  <si>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</si>
  <si>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</si>
  <si>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</si>
  <si>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</si>
  <si>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</si>
  <si>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</si>
  <si>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</si>
  <si>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</si>
  <si>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</si>
  <si>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</si>
  <si>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</si>
  <si>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</si>
  <si>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</si>
  <si>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</si>
  <si>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Juneau</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</si>
  <si>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</si>
  <si>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</si>
  <si>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</si>
  <si>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</si>
  <si>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</si>
  <si>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</si>
  <si>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</si>
  <si>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</si>
  <si>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</si>
  <si>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</si>
  <si>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</si>
  <si>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</si>
  <si>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</si>
  <si>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</si>
  <si>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</si>
  <si>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</si>
  <si>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</si>
  <si>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</si>
  <si>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</si>
  <si>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</si>
  <si>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</si>
  <si>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</si>
  <si>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</si>
  <si>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</si>
  <si>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</si>
  <si>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</si>
  <si>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</si>
  <si>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</si>
  <si>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</si>
  <si>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</si>
  <si>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</si>
  <si>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</si>
  <si>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</si>
  <si>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</si>
  <si>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</si>
  <si>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</si>
  <si>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</si>
  <si>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</si>
  <si>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</si>
  <si>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</si>
  <si>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</si>
  <si>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</si>
  <si>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</si>
  <si>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</si>
  <si>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</si>
  <si>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</si>
  <si>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</si>
  <si>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</si>
  <si>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</si>
  <si>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</si>
  <si>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</si>
  <si>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</si>
  <si>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</si>
  <si>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</si>
  <si>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</si>
  <si>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</si>
  <si>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</si>
  <si>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</si>
  <si>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</si>
  <si>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</si>
  <si>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</si>
  <si>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</si>
  <si>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</si>
  <si>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</si>
  <si>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</si>
  <si>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</si>
  <si>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</si>
  <si>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</si>
  <si>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</si>
  <si>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</si>
  <si>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</si>
  <si>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</si>
  <si>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</si>
  <si>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</si>
  <si>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</si>
  <si>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</si>
  <si>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</si>
  <si>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</si>
  <si>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</si>
  <si>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</si>
  <si>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</si>
  <si>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</si>
  <si>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</si>
  <si>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</si>
  <si>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</si>
  <si>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</si>
  <si>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</si>
  <si>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</si>
  <si>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</si>
  <si>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</si>
  <si>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</si>
  <si>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</si>
  <si>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</si>
  <si>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</si>
  <si>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</si>
  <si>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</si>
  <si>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</si>
  <si>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</si>
  <si>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</si>
  <si>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</si>
  <si>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</si>
  <si>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</si>
  <si>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</si>
  <si>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</si>
  <si>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</si>
  <si>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</si>
  <si>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</si>
  <si>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</si>
  <si>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</si>
  <si>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</si>
  <si>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</si>
  <si>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</si>
  <si>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</si>
  <si>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</si>
  <si>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</si>
  <si>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</si>
  <si>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</si>
  <si>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</si>
  <si>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</si>
  <si>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</si>
  <si>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</si>
  <si>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</si>
  <si>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</si>
  <si>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</si>
  <si>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</si>
  <si>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</si>
  <si>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</si>
  <si>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</si>
  <si>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</si>
  <si>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</si>
  <si>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</si>
  <si>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</si>
  <si>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</si>
  <si>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</si>
  <si>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</si>
  <si>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</si>
  <si>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</si>
  <si>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</si>
  <si>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</si>
  <si>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</si>
  <si>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</si>
  <si>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</si>
  <si>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</si>
  <si>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</si>
  <si>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</si>
  <si>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</si>
  <si>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</si>
  <si>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</si>
  <si>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</si>
  <si>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</si>
  <si>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</si>
  <si>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</si>
  <si>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</si>
  <si>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</si>
  <si>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</si>
  <si>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</si>
  <si>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</si>
  <si>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</si>
  <si>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</si>
  <si>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</si>
  <si>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Mountain</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</si>
  <si>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</si>
  <si>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</si>
  <si>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</si>
  <si>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</si>
  <si>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</si>
  <si>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</si>
  <si>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</si>
  <si>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</si>
  <si>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</si>
  <si>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</si>
  <si>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</si>
  <si>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</si>
  <si>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</si>
  <si>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</si>
  <si>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</si>
  <si>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</si>
  <si>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</si>
  <si>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</si>
  <si>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</si>
  <si>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</si>
  <si>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</si>
  <si>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</si>
  <si>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</si>
  <si>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</si>
  <si>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</si>
  <si>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</si>
  <si>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</si>
  <si>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</si>
  <si>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</si>
  <si>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</si>
  <si>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</si>
  <si>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</si>
  <si>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</si>
  <si>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</si>
  <si>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</si>
  <si>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</si>
  <si>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</si>
  <si>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</si>
  <si>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</si>
  <si>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</si>
  <si>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</si>
  <si>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</si>
  <si>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</si>
  <si>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</si>
  <si>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</si>
  <si>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</si>
  <si>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</si>
  <si>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</si>
  <si>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</si>
  <si>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</si>
  <si>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Eland</t>
  </si>
  <si>
    <t>Elcho</t>
  </si>
  <si>
    <t>Elderon</t>
  </si>
  <si>
    <t>Jump River</t>
  </si>
  <si>
    <t>Granton</t>
  </si>
  <si>
    <t>Hatley</t>
  </si>
  <si>
    <t>Irma</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</si>
  <si>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</si>
  <si>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</si>
  <si>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</si>
  <si>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</si>
  <si>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</si>
  <si>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</si>
  <si>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</si>
  <si>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</si>
  <si>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</si>
  <si>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</si>
  <si>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</si>
  <si>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</si>
  <si>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</si>
  <si>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</si>
  <si>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</si>
  <si>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</si>
  <si>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</si>
  <si>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</si>
  <si>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</si>
  <si>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</si>
  <si>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</si>
  <si>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</si>
  <si>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</si>
  <si>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</si>
  <si>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</si>
  <si>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</si>
  <si>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</si>
  <si>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</si>
  <si>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</si>
  <si>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</si>
  <si>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</si>
  <si>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</si>
  <si>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</si>
  <si>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</si>
  <si>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Eagle River</t>
  </si>
  <si>
    <t>Fifield</t>
  </si>
  <si>
    <t>Gile</t>
  </si>
  <si>
    <t>Glen Flora</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</si>
  <si>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</si>
  <si>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</si>
  <si>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</si>
  <si>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</si>
  <si>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</si>
  <si>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</si>
  <si>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</si>
  <si>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</si>
  <si>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</si>
  <si>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</si>
  <si>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</si>
  <si>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</si>
  <si>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</si>
  <si>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</si>
  <si>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</si>
  <si>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</si>
  <si>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</si>
  <si>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</si>
  <si>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</si>
  <si>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</si>
  <si>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</si>
  <si>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</si>
  <si>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</si>
  <si>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</si>
  <si>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</si>
  <si>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</si>
  <si>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</si>
  <si>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</si>
  <si>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</si>
  <si>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</si>
  <si>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</si>
  <si>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</si>
  <si>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</si>
  <si>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</si>
  <si>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</si>
  <si>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</si>
  <si>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</si>
  <si>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</si>
  <si>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</si>
  <si>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</si>
  <si>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</si>
  <si>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</si>
  <si>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</si>
  <si>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</si>
  <si>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</si>
  <si>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</si>
  <si>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</si>
  <si>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</si>
  <si>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</si>
  <si>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</si>
  <si>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</si>
  <si>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</si>
  <si>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</si>
  <si>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</si>
  <si>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</si>
  <si>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</si>
  <si>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</si>
  <si>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</si>
  <si>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</si>
  <si>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</si>
  <si>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</si>
  <si>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</si>
  <si>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</si>
  <si>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</si>
  <si>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</si>
  <si>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</si>
  <si>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</si>
  <si>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</si>
  <si>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</si>
  <si>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</si>
  <si>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</si>
  <si>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</si>
  <si>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</si>
  <si>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</si>
  <si>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</si>
  <si>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</si>
  <si>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</si>
  <si>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</si>
  <si>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</si>
  <si>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</si>
  <si>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</si>
  <si>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</si>
  <si>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</si>
  <si>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</si>
  <si>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</si>
  <si>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</si>
  <si>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</si>
  <si>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</si>
  <si>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</si>
  <si>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</si>
  <si>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</si>
  <si>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</si>
  <si>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</si>
  <si>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</si>
  <si>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</si>
  <si>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</si>
  <si>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</si>
  <si>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</si>
  <si>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</si>
  <si>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</si>
  <si>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</si>
  <si>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</si>
  <si>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</si>
  <si>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</si>
  <si>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Odanah</t>
  </si>
  <si>
    <t>Ojibwa</t>
  </si>
  <si>
    <t>Poplar</t>
  </si>
  <si>
    <t>Port Wing</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</si>
  <si>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</si>
  <si>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</si>
  <si>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</si>
  <si>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</si>
  <si>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</si>
  <si>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</si>
  <si>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</si>
  <si>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</si>
  <si>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</si>
  <si>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</si>
  <si>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</si>
  <si>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</si>
  <si>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</si>
  <si>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</si>
  <si>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</si>
  <si>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</si>
  <si>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</si>
  <si>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</si>
  <si>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</si>
  <si>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</si>
  <si>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</si>
  <si>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</si>
  <si>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</si>
  <si>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</si>
  <si>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</si>
  <si>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</si>
  <si>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</si>
  <si>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</si>
  <si>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</si>
  <si>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</si>
  <si>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</si>
  <si>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</si>
  <si>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</si>
  <si>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</si>
  <si>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</si>
  <si>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</si>
  <si>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</si>
  <si>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</si>
  <si>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</si>
  <si>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</si>
  <si>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</si>
  <si>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</si>
  <si>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</si>
  <si>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</si>
  <si>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Braham</t>
  </si>
  <si>
    <t>Brook Park</t>
  </si>
  <si>
    <t>Cannon Falls</t>
  </si>
  <si>
    <t>Castle Rock</t>
  </si>
  <si>
    <t>Center City</t>
  </si>
  <si>
    <t>Chisago City</t>
  </si>
  <si>
    <t>Circle Pines</t>
  </si>
  <si>
    <t>Dalbo</t>
  </si>
  <si>
    <t>Elko New Market</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</si>
  <si>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</si>
  <si>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</si>
  <si>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</si>
  <si>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</si>
  <si>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</si>
  <si>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</si>
  <si>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</si>
  <si>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</si>
  <si>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</si>
  <si>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</si>
  <si>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</si>
  <si>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</si>
  <si>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</si>
  <si>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</si>
  <si>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</si>
  <si>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</si>
  <si>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</si>
  <si>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</si>
  <si>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</si>
  <si>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</si>
  <si>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</si>
  <si>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</si>
  <si>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</si>
  <si>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</si>
  <si>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</si>
  <si>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</si>
  <si>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</si>
  <si>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</si>
  <si>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</si>
  <si>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</si>
  <si>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Brownton</t>
  </si>
  <si>
    <t>Buffalo Lake</t>
  </si>
  <si>
    <t>Champlin</t>
  </si>
  <si>
    <t>Chanhassen</t>
  </si>
  <si>
    <t>Chaska</t>
  </si>
  <si>
    <t>Cokato</t>
  </si>
  <si>
    <t>Crystal Bay</t>
  </si>
  <si>
    <t>Darwin</t>
  </si>
  <si>
    <t>Dassel</t>
  </si>
  <si>
    <t>Eden Valley</t>
  </si>
  <si>
    <t>Elk River</t>
  </si>
  <si>
    <t>Excelsior</t>
  </si>
  <si>
    <t>Gibbon</t>
  </si>
  <si>
    <t>Green Isle</t>
  </si>
  <si>
    <t>Hamel</t>
  </si>
  <si>
    <t>Eden Prairie</t>
  </si>
  <si>
    <t>Minnetonka</t>
  </si>
  <si>
    <t>Maple Plain</t>
  </si>
  <si>
    <t>Howard Lake</t>
  </si>
  <si>
    <t>Lester Prairie</t>
  </si>
  <si>
    <t>Maple Lake</t>
  </si>
  <si>
    <t>Mayer</t>
  </si>
  <si>
    <t>Minnetonka Beach</t>
  </si>
  <si>
    <t>Mound</t>
  </si>
  <si>
    <t>New Germany</t>
  </si>
  <si>
    <t>Norwood Young America</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</si>
  <si>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</si>
  <si>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</si>
  <si>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</si>
  <si>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</si>
  <si>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</si>
  <si>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</si>
  <si>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</si>
  <si>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</si>
  <si>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</si>
  <si>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</si>
  <si>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</si>
  <si>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</si>
  <si>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</si>
  <si>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</si>
  <si>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</si>
  <si>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</si>
  <si>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</si>
  <si>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</si>
  <si>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</si>
  <si>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</si>
  <si>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</si>
  <si>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</si>
  <si>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</si>
  <si>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</si>
  <si>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</si>
  <si>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</si>
  <si>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</si>
  <si>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</si>
  <si>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</si>
  <si>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</si>
  <si>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</si>
  <si>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</si>
  <si>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Esko</t>
  </si>
  <si>
    <t>Eveleth</t>
  </si>
  <si>
    <t>Finlayson</t>
  </si>
  <si>
    <t>Floodwood</t>
  </si>
  <si>
    <t>Forbes</t>
  </si>
  <si>
    <t>Hibbing</t>
  </si>
  <si>
    <t>Hill City</t>
  </si>
  <si>
    <t>Hoyt Lakes</t>
  </si>
  <si>
    <t>Iron</t>
  </si>
  <si>
    <t>Jacobson</t>
  </si>
  <si>
    <t>Keewatin</t>
  </si>
  <si>
    <t>Kerrick</t>
  </si>
  <si>
    <t>Kettle River</t>
  </si>
  <si>
    <t>Kinney</t>
  </si>
  <si>
    <t>Mcgregor</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</si>
  <si>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</si>
  <si>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</si>
  <si>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</si>
  <si>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</si>
  <si>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</si>
  <si>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</si>
  <si>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</si>
  <si>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</si>
  <si>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</si>
  <si>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</si>
  <si>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</si>
  <si>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</si>
  <si>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</si>
  <si>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</si>
  <si>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</si>
  <si>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</si>
  <si>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</si>
  <si>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Twig</t>
  </si>
  <si>
    <t>Warba</t>
  </si>
  <si>
    <t>Willow River</t>
  </si>
  <si>
    <t>Wrenshall</t>
  </si>
  <si>
    <t>Wright</t>
  </si>
  <si>
    <t>Altura</t>
  </si>
  <si>
    <t>Blooming Prairie</t>
  </si>
  <si>
    <t>Brownsdale</t>
  </si>
  <si>
    <t>Dakota</t>
  </si>
  <si>
    <t>Dodge Center</t>
  </si>
  <si>
    <t>Eitzen</t>
  </si>
  <si>
    <t>Eyota</t>
  </si>
  <si>
    <t>Grand Meadow</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</si>
  <si>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</si>
  <si>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</si>
  <si>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</si>
  <si>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</si>
  <si>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</si>
  <si>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</si>
  <si>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</si>
  <si>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</si>
  <si>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</si>
  <si>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</si>
  <si>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</si>
  <si>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</si>
  <si>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</si>
  <si>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</si>
  <si>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</si>
  <si>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</si>
  <si>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Wabasha</t>
  </si>
  <si>
    <t>Wanamingo</t>
  </si>
  <si>
    <t>West Concord</t>
  </si>
  <si>
    <t>Wykoff</t>
  </si>
  <si>
    <t>Zumbro Falls</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</si>
  <si>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</si>
  <si>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</si>
  <si>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</si>
  <si>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</si>
  <si>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</si>
  <si>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</si>
  <si>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</si>
  <si>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</si>
  <si>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</si>
  <si>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</si>
  <si>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</si>
  <si>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</si>
  <si>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</si>
  <si>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</si>
  <si>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</si>
  <si>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</si>
  <si>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</si>
  <si>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</si>
  <si>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</si>
  <si>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</si>
  <si>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</si>
  <si>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</si>
  <si>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</si>
  <si>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</si>
  <si>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</si>
  <si>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</si>
  <si>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</si>
  <si>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</si>
  <si>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</si>
  <si>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</si>
  <si>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</si>
  <si>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</si>
  <si>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</si>
  <si>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</si>
  <si>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</si>
  <si>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</si>
  <si>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Waseca</t>
  </si>
  <si>
    <t>Windom</t>
  </si>
  <si>
    <t>Arco</t>
  </si>
  <si>
    <t>Balaton</t>
  </si>
  <si>
    <t>Beaver Creek</t>
  </si>
  <si>
    <t>Bigelow</t>
  </si>
  <si>
    <t>Bingham Lake</t>
  </si>
  <si>
    <t>Butterfield</t>
  </si>
  <si>
    <t>Ceylon</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</si>
  <si>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</si>
  <si>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</si>
  <si>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</si>
  <si>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</si>
  <si>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</si>
  <si>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</si>
  <si>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</si>
  <si>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</si>
  <si>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</si>
  <si>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</si>
  <si>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</si>
  <si>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</si>
  <si>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</si>
  <si>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</si>
  <si>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</si>
  <si>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</si>
  <si>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</si>
  <si>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</si>
  <si>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</si>
  <si>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</si>
  <si>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</si>
  <si>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</si>
  <si>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</si>
  <si>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</si>
  <si>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</si>
  <si>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</si>
  <si>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</si>
  <si>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</si>
  <si>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</si>
  <si>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</si>
  <si>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</si>
  <si>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</si>
  <si>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</si>
  <si>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</si>
  <si>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</si>
  <si>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</si>
  <si>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</si>
  <si>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</si>
  <si>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</si>
  <si>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</si>
  <si>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</si>
  <si>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</si>
  <si>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</si>
  <si>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</si>
  <si>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</si>
  <si>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</si>
  <si>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Hanley Falls</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</si>
  <si>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</si>
  <si>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</si>
  <si>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</si>
  <si>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</si>
  <si>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</si>
  <si>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</si>
  <si>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</si>
  <si>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</si>
  <si>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</si>
  <si>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</si>
  <si>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</si>
  <si>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</si>
  <si>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</si>
  <si>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</si>
  <si>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</si>
  <si>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</si>
  <si>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</si>
  <si>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Barrett</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</si>
  <si>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</si>
  <si>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</si>
  <si>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</si>
  <si>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</si>
  <si>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</si>
  <si>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</si>
  <si>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</si>
  <si>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</si>
  <si>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</si>
  <si>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</si>
  <si>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</si>
  <si>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</si>
  <si>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</si>
  <si>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</si>
  <si>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</si>
  <si>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</si>
  <si>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</si>
  <si>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</si>
  <si>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</si>
  <si>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</si>
  <si>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</si>
  <si>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</si>
  <si>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</si>
  <si>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</si>
  <si>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</si>
  <si>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</si>
  <si>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</si>
  <si>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</si>
  <si>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</si>
  <si>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</si>
  <si>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</si>
  <si>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Starbuck</t>
  </si>
  <si>
    <t>Swanville</t>
  </si>
  <si>
    <t>Upsala</t>
  </si>
  <si>
    <t>Villard</t>
  </si>
  <si>
    <t>Wahkon</t>
  </si>
  <si>
    <t>Waite Park</t>
  </si>
  <si>
    <t>Brainerd</t>
  </si>
  <si>
    <t>Ah Gwah Ching</t>
  </si>
  <si>
    <t>Aitkin</t>
  </si>
  <si>
    <t>Akeley</t>
  </si>
  <si>
    <t>Aldrich</t>
  </si>
  <si>
    <t>Backus</t>
  </si>
  <si>
    <t>Bertha</t>
  </si>
  <si>
    <t>Browerville</t>
  </si>
  <si>
    <t>Clarissa</t>
  </si>
  <si>
    <t>Crosslake</t>
  </si>
  <si>
    <t>Deerwood</t>
  </si>
  <si>
    <t>Eagle Bend</t>
  </si>
  <si>
    <t>Emily</t>
  </si>
  <si>
    <t>Fifty Lakes</t>
  </si>
  <si>
    <t>Fort Ripley</t>
  </si>
  <si>
    <t>Lake Hubert</t>
  </si>
  <si>
    <t>Menahga</t>
  </si>
  <si>
    <t>Motley</t>
  </si>
  <si>
    <t>Nevis</t>
  </si>
  <si>
    <t>Nisswa</t>
  </si>
  <si>
    <t>Palisade</t>
  </si>
  <si>
    <t>Park Rapids</t>
  </si>
  <si>
    <t>Pequot Lakes</t>
  </si>
  <si>
    <t>Pillager</t>
  </si>
  <si>
    <t>Sebeka</t>
  </si>
  <si>
    <t>Nimrod</t>
  </si>
  <si>
    <t>Staples</t>
  </si>
  <si>
    <t>Verndale</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</si>
  <si>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</si>
  <si>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</si>
  <si>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</si>
  <si>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</si>
  <si>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</si>
  <si>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</si>
  <si>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</si>
  <si>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</si>
  <si>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</si>
  <si>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</si>
  <si>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</si>
  <si>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</si>
  <si>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</si>
  <si>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</si>
  <si>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</si>
  <si>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</si>
  <si>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</si>
  <si>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</si>
  <si>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</si>
  <si>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</si>
  <si>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</si>
  <si>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</si>
  <si>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</si>
  <si>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</si>
  <si>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</si>
  <si>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</si>
  <si>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</si>
  <si>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</si>
  <si>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</si>
  <si>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</si>
  <si>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</si>
  <si>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</si>
  <si>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</si>
  <si>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</si>
  <si>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</si>
  <si>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</si>
  <si>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</si>
  <si>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</si>
  <si>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</si>
  <si>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</si>
  <si>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</si>
  <si>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</si>
  <si>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</si>
  <si>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</si>
  <si>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</si>
  <si>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</si>
  <si>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</si>
  <si>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Cass Lake</t>
  </si>
  <si>
    <t>Clearbrook</t>
  </si>
  <si>
    <t>Talmoon</t>
  </si>
  <si>
    <t>Effie</t>
  </si>
  <si>
    <t>Federal Dam</t>
  </si>
  <si>
    <t>Gonvick</t>
  </si>
  <si>
    <t>Gully</t>
  </si>
  <si>
    <t>Hines</t>
  </si>
  <si>
    <t>International Falls</t>
  </si>
  <si>
    <t>Kelliher</t>
  </si>
  <si>
    <t>Lengby</t>
  </si>
  <si>
    <t>Littlefork</t>
  </si>
  <si>
    <t>Loman</t>
  </si>
  <si>
    <t>Longville</t>
  </si>
  <si>
    <t>Marcell</t>
  </si>
  <si>
    <t>Margie</t>
  </si>
  <si>
    <t>Max</t>
  </si>
  <si>
    <t>Northome</t>
  </si>
  <si>
    <t>Outing</t>
  </si>
  <si>
    <t>Ponemah</t>
  </si>
  <si>
    <t>Puposky</t>
  </si>
  <si>
    <t>Ranier</t>
  </si>
  <si>
    <t>Kabetogama</t>
  </si>
  <si>
    <t>Redby</t>
  </si>
  <si>
    <t>Redlake</t>
  </si>
  <si>
    <t>Remer</t>
  </si>
  <si>
    <t>Shevlin</t>
  </si>
  <si>
    <t>Solway</t>
  </si>
  <si>
    <t>South International Falls</t>
  </si>
  <si>
    <t>Squaw Lake</t>
  </si>
  <si>
    <t>Swift</t>
  </si>
  <si>
    <t>Tenstrike</t>
  </si>
  <si>
    <t>Trail</t>
  </si>
  <si>
    <t>Waskish</t>
  </si>
  <si>
    <t>Wirt</t>
  </si>
  <si>
    <t>Thief River Falls</t>
  </si>
  <si>
    <t>Alvarado</t>
  </si>
  <si>
    <t>Angle Inlet</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</si>
  <si>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</si>
  <si>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</si>
  <si>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</si>
  <si>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</si>
  <si>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</si>
  <si>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</si>
  <si>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</si>
  <si>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</si>
  <si>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</si>
  <si>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</si>
  <si>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</si>
  <si>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</si>
  <si>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</si>
  <si>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</si>
  <si>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</si>
  <si>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</si>
  <si>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</si>
  <si>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</si>
  <si>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</si>
  <si>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</si>
  <si>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</si>
  <si>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</si>
  <si>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</si>
  <si>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</si>
  <si>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</si>
  <si>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Parcel Return Service</t>
  </si>
  <si>
    <t>Alcester</t>
  </si>
  <si>
    <t>Beresford</t>
  </si>
  <si>
    <t>Brookings</t>
  </si>
  <si>
    <t>Canistota</t>
  </si>
  <si>
    <t>Colman</t>
  </si>
  <si>
    <t>Crooks</t>
  </si>
  <si>
    <t>Dell Rapids</t>
  </si>
  <si>
    <t>Egan</t>
  </si>
  <si>
    <t>Elk Point</t>
  </si>
  <si>
    <t>Flandreau</t>
  </si>
  <si>
    <t>Garretson</t>
  </si>
  <si>
    <t>Gayville</t>
  </si>
  <si>
    <t>Irene</t>
  </si>
  <si>
    <t>Lennox</t>
  </si>
  <si>
    <t>Lesterville</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</si>
  <si>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</si>
  <si>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</si>
  <si>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</si>
  <si>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</si>
  <si>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</si>
  <si>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</si>
  <si>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</si>
  <si>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</si>
  <si>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</si>
  <si>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</si>
  <si>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</si>
  <si>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</si>
  <si>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</si>
  <si>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</si>
  <si>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</si>
  <si>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</si>
  <si>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</si>
  <si>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</si>
  <si>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</si>
  <si>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Big Stone City</t>
  </si>
  <si>
    <t>Brandt</t>
  </si>
  <si>
    <t>Claire City</t>
  </si>
  <si>
    <t>De Smet</t>
  </si>
  <si>
    <t>Estelline</t>
  </si>
  <si>
    <t>Goodwin</t>
  </si>
  <si>
    <t>Grenville</t>
  </si>
  <si>
    <t>Hayti</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</si>
  <si>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</si>
  <si>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</si>
  <si>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</si>
  <si>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</si>
  <si>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</si>
  <si>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</si>
  <si>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</si>
  <si>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</si>
  <si>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</si>
  <si>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</si>
  <si>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</si>
  <si>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</si>
  <si>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</si>
  <si>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</si>
  <si>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</si>
  <si>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</si>
  <si>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</si>
  <si>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</si>
  <si>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</si>
  <si>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</si>
  <si>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</si>
  <si>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</si>
  <si>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</si>
  <si>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</si>
  <si>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</si>
  <si>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</si>
  <si>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</si>
  <si>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</si>
  <si>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</si>
  <si>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</si>
  <si>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</si>
  <si>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</si>
  <si>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</si>
  <si>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</si>
  <si>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</si>
  <si>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</si>
  <si>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</si>
  <si>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</si>
  <si>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</si>
  <si>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</si>
  <si>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</si>
  <si>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</si>
  <si>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</si>
  <si>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</si>
  <si>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</si>
  <si>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</si>
  <si>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</si>
  <si>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</si>
  <si>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</si>
  <si>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</si>
  <si>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</si>
  <si>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</si>
  <si>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</si>
  <si>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</si>
  <si>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</si>
  <si>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</si>
  <si>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</si>
  <si>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</si>
  <si>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</si>
  <si>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</si>
  <si>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</si>
  <si>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</si>
  <si>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Mellette</t>
  </si>
  <si>
    <t>Onaka</t>
  </si>
  <si>
    <t>Rockham</t>
  </si>
  <si>
    <t>Selby</t>
  </si>
  <si>
    <t>Tolstoy</t>
  </si>
  <si>
    <t>Tulare</t>
  </si>
  <si>
    <t>Turton</t>
  </si>
  <si>
    <t>Pierre</t>
  </si>
  <si>
    <t>Agar</t>
  </si>
  <si>
    <t>Blunt</t>
  </si>
  <si>
    <t>Colome</t>
  </si>
  <si>
    <t>Fort Pierre</t>
  </si>
  <si>
    <t>Hamill</t>
  </si>
  <si>
    <t>Harrold</t>
  </si>
  <si>
    <t>Herrick</t>
  </si>
  <si>
    <t>Holabird</t>
  </si>
  <si>
    <t>Kadoka</t>
  </si>
  <si>
    <t>Kennebec</t>
  </si>
  <si>
    <t>Lower Brule</t>
  </si>
  <si>
    <t>Milesville</t>
  </si>
  <si>
    <t>Mission</t>
  </si>
  <si>
    <t>Murdo</t>
  </si>
  <si>
    <t>Okaton</t>
  </si>
  <si>
    <t>Okreek</t>
  </si>
  <si>
    <t>Onida</t>
  </si>
  <si>
    <t>Parmelee</t>
  </si>
  <si>
    <t>Philip</t>
  </si>
  <si>
    <t>Presho</t>
  </si>
  <si>
    <t>Rosebud</t>
  </si>
  <si>
    <t>Tuthill</t>
  </si>
  <si>
    <t>Vivian</t>
  </si>
  <si>
    <t>Wanblee</t>
  </si>
  <si>
    <t>White River</t>
  </si>
  <si>
    <t>Winner</t>
  </si>
  <si>
    <t>Witten</t>
  </si>
  <si>
    <t>Mobridge</t>
  </si>
  <si>
    <t>Bison</t>
  </si>
  <si>
    <t>Bullhead</t>
  </si>
  <si>
    <t>Dupree</t>
  </si>
  <si>
    <t>Eagle Butte</t>
  </si>
  <si>
    <t>Glencross</t>
  </si>
  <si>
    <t>Herreid</t>
  </si>
  <si>
    <t>Isabel</t>
  </si>
  <si>
    <t>Keldron</t>
  </si>
  <si>
    <t>Lantry</t>
  </si>
  <si>
    <t>Lemmon</t>
  </si>
  <si>
    <t>Little Eagle</t>
  </si>
  <si>
    <t>Lodgepole</t>
  </si>
  <si>
    <t>Mc Laughlin</t>
  </si>
  <si>
    <t>Meadow</t>
  </si>
  <si>
    <t>Mound City</t>
  </si>
  <si>
    <t>Pollock</t>
  </si>
  <si>
    <t>Timber Lake</t>
  </si>
  <si>
    <t>Trail City</t>
  </si>
  <si>
    <t>Wakpala</t>
  </si>
  <si>
    <t>Whitehorse</t>
  </si>
  <si>
    <t>Ellsworth Afb</t>
  </si>
  <si>
    <t>Batesland</t>
  </si>
  <si>
    <t>Belle Fourche</t>
  </si>
  <si>
    <t>Black Hawk</t>
  </si>
  <si>
    <t>Box Elder</t>
  </si>
  <si>
    <t>Buffalo Gap</t>
  </si>
  <si>
    <t>Camp Crook</t>
  </si>
  <si>
    <t>Caputa</t>
  </si>
  <si>
    <t>Deadwood</t>
  </si>
  <si>
    <t>Enning</t>
  </si>
  <si>
    <t>Hermosa</t>
  </si>
  <si>
    <t>Howes</t>
  </si>
  <si>
    <t>Lead</t>
  </si>
  <si>
    <t>Manderson</t>
  </si>
  <si>
    <t>Mud Butte</t>
  </si>
  <si>
    <t>Nemo</t>
  </si>
  <si>
    <t>New Underwood</t>
  </si>
  <si>
    <t>Nisland</t>
  </si>
  <si>
    <t>Oelrichs</t>
  </si>
  <si>
    <t>Oglala</t>
  </si>
  <si>
    <t>Oral</t>
  </si>
  <si>
    <t>Owanka</t>
  </si>
  <si>
    <t>Porcupine</t>
  </si>
  <si>
    <t>Pringle</t>
  </si>
  <si>
    <t>Quinn</t>
  </si>
  <si>
    <t>Redig</t>
  </si>
  <si>
    <t>Saint Onge</t>
  </si>
  <si>
    <t>Scenic</t>
  </si>
  <si>
    <t>Smithwick</t>
  </si>
  <si>
    <t>Spearfish</t>
  </si>
  <si>
    <t>Wall</t>
  </si>
  <si>
    <t>Wasta</t>
  </si>
  <si>
    <t>White Owl</t>
  </si>
  <si>
    <t>Wounded Knee</t>
  </si>
  <si>
    <t>Abercrombie</t>
  </si>
  <si>
    <t>Absaraka</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</si>
  <si>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</si>
  <si>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</si>
  <si>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</si>
  <si>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</si>
  <si>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</si>
  <si>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</si>
  <si>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</si>
  <si>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</si>
  <si>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</si>
  <si>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</si>
  <si>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</si>
  <si>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</si>
  <si>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</si>
  <si>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</si>
  <si>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</si>
  <si>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</si>
  <si>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</si>
  <si>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</si>
  <si>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</si>
  <si>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</si>
  <si>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</si>
  <si>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</si>
  <si>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</si>
  <si>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</si>
  <si>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</si>
  <si>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</si>
  <si>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</si>
  <si>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</si>
  <si>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</si>
  <si>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</si>
  <si>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</si>
  <si>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</si>
  <si>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</si>
  <si>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</si>
  <si>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</si>
  <si>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</si>
  <si>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</si>
  <si>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</si>
  <si>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</si>
  <si>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</si>
  <si>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</si>
  <si>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</si>
  <si>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</si>
  <si>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</si>
  <si>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</si>
  <si>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</si>
  <si>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</si>
  <si>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</si>
  <si>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</si>
  <si>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</si>
  <si>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</si>
  <si>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</si>
  <si>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</si>
  <si>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</si>
  <si>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</si>
  <si>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</si>
  <si>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</si>
  <si>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</si>
  <si>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</si>
  <si>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</si>
  <si>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</si>
  <si>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</si>
  <si>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</si>
  <si>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</si>
  <si>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Brocket</t>
  </si>
  <si>
    <t>Cando</t>
  </si>
  <si>
    <t>Churchs Ferry</t>
  </si>
  <si>
    <t>Crary</t>
  </si>
  <si>
    <t>Dunseith</t>
  </si>
  <si>
    <t>Egeland</t>
  </si>
  <si>
    <t>Esmond</t>
  </si>
  <si>
    <t>Fort Totten</t>
  </si>
  <si>
    <t>Hansboro</t>
  </si>
  <si>
    <t>Maddock</t>
  </si>
  <si>
    <t>Minnewaukan</t>
  </si>
  <si>
    <t>Munich</t>
  </si>
  <si>
    <t>Mylo</t>
  </si>
  <si>
    <t>Nekoma</t>
  </si>
  <si>
    <t>New Rockford</t>
  </si>
  <si>
    <t>Oberon</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</si>
  <si>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</si>
  <si>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</si>
  <si>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</si>
  <si>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</si>
  <si>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</si>
  <si>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</si>
  <si>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</si>
  <si>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</si>
  <si>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</si>
  <si>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</si>
  <si>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</si>
  <si>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</si>
  <si>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</si>
  <si>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</si>
  <si>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</si>
  <si>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</si>
  <si>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</si>
  <si>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</si>
  <si>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Edgeley</t>
  </si>
  <si>
    <t>Fessenden</t>
  </si>
  <si>
    <t>Fullerton</t>
  </si>
  <si>
    <t>Gackle</t>
  </si>
  <si>
    <t>Grace City</t>
  </si>
  <si>
    <t>Hannaford</t>
  </si>
  <si>
    <t>Hurdsfield</t>
  </si>
  <si>
    <t>Jessie</t>
  </si>
  <si>
    <t>Jud</t>
  </si>
  <si>
    <t>Kensal</t>
  </si>
  <si>
    <t>Kulm</t>
  </si>
  <si>
    <t>Lamoure</t>
  </si>
  <si>
    <t>Lehr</t>
  </si>
  <si>
    <t>Litchville</t>
  </si>
  <si>
    <t>Mcclusky</t>
  </si>
  <si>
    <t>Mchenry</t>
  </si>
  <si>
    <t>Oakes</t>
  </si>
  <si>
    <t>Pettibone</t>
  </si>
  <si>
    <t>Pingree</t>
  </si>
  <si>
    <t>Regan</t>
  </si>
  <si>
    <t>Spiritwood</t>
  </si>
  <si>
    <t>Streeter</t>
  </si>
  <si>
    <t>Sykeston</t>
  </si>
  <si>
    <t>Tappen</t>
  </si>
  <si>
    <t>Tuttle</t>
  </si>
  <si>
    <t>Wimbledon</t>
  </si>
  <si>
    <t>Wishek</t>
  </si>
  <si>
    <t>Bismarck</t>
  </si>
  <si>
    <t>Cannon Ball</t>
  </si>
  <si>
    <t>Coleharbor</t>
  </si>
  <si>
    <t>Driscoll</t>
  </si>
  <si>
    <t>Flasher</t>
  </si>
  <si>
    <t>Fort Yates</t>
  </si>
  <si>
    <t>Golden Valley</t>
  </si>
  <si>
    <t>Hazelton</t>
  </si>
  <si>
    <t>Hazen</t>
  </si>
  <si>
    <t>Kintyre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</si>
  <si>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</si>
  <si>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</si>
  <si>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</si>
  <si>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</si>
  <si>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</si>
  <si>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</si>
  <si>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</si>
  <si>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</si>
  <si>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</si>
  <si>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</si>
  <si>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</si>
  <si>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</si>
  <si>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</si>
  <si>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</si>
  <si>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</si>
  <si>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</si>
  <si>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</si>
  <si>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</si>
  <si>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</si>
  <si>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</si>
  <si>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</si>
  <si>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</si>
  <si>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</si>
  <si>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</si>
  <si>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</si>
  <si>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</si>
  <si>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</si>
  <si>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</si>
  <si>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Minot Afb</t>
  </si>
  <si>
    <t>Anamoose</t>
  </si>
  <si>
    <t>Antler</t>
  </si>
  <si>
    <t>Balfour</t>
  </si>
  <si>
    <t>Bantry</t>
  </si>
  <si>
    <t>Berthold</t>
  </si>
  <si>
    <t>Bowbells</t>
  </si>
  <si>
    <t>Butte</t>
  </si>
  <si>
    <t>Carpio</t>
  </si>
  <si>
    <t>Deering</t>
  </si>
  <si>
    <t>Des Lacs</t>
  </si>
  <si>
    <t>Donnybrook</t>
  </si>
  <si>
    <t>Flaxton</t>
  </si>
  <si>
    <t>Glenburn</t>
  </si>
  <si>
    <t>Karlsruhe</t>
  </si>
  <si>
    <t>Kenmare</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</si>
  <si>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</si>
  <si>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</si>
  <si>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</si>
  <si>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</si>
  <si>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</si>
  <si>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</si>
  <si>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</si>
  <si>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</si>
  <si>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</si>
  <si>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</si>
  <si>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</si>
  <si>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</si>
  <si>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</si>
  <si>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</si>
  <si>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</si>
  <si>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</si>
  <si>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</si>
  <si>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</si>
  <si>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</si>
  <si>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</si>
  <si>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</si>
  <si>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</si>
  <si>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</si>
  <si>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</si>
  <si>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</si>
  <si>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</si>
  <si>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</si>
  <si>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</si>
  <si>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</si>
  <si>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</si>
  <si>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</si>
  <si>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</si>
  <si>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</si>
  <si>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</si>
  <si>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</si>
  <si>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</si>
  <si>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Clyde Park</t>
  </si>
  <si>
    <t>Cooke City</t>
  </si>
  <si>
    <t>Crow Agency</t>
  </si>
  <si>
    <t>Emigrant</t>
  </si>
  <si>
    <t>Fishtail</t>
  </si>
  <si>
    <t>Fromberg</t>
  </si>
  <si>
    <t>Garryowen</t>
  </si>
  <si>
    <t>Grass Range</t>
  </si>
  <si>
    <t>Greycliff</t>
  </si>
  <si>
    <t>Fort Smith</t>
  </si>
  <si>
    <t>Harlowton</t>
  </si>
  <si>
    <t>Hysham</t>
  </si>
  <si>
    <t>Joliet</t>
  </si>
  <si>
    <t>Lame Deer</t>
  </si>
  <si>
    <t>Lavina</t>
  </si>
  <si>
    <t>Lodge Grass</t>
  </si>
  <si>
    <t>Mc Leod</t>
  </si>
  <si>
    <t>Martinsdale</t>
  </si>
  <si>
    <t>Melstone</t>
  </si>
  <si>
    <t>Molt</t>
  </si>
  <si>
    <t>Mosby</t>
  </si>
  <si>
    <t>Musselshell</t>
  </si>
  <si>
    <t>Nye</t>
  </si>
  <si>
    <t>Otter</t>
  </si>
  <si>
    <t>Pompeys Pillar</t>
  </si>
  <si>
    <t>Pray</t>
  </si>
  <si>
    <t>Pryor</t>
  </si>
  <si>
    <t>Rapelje</t>
  </si>
  <si>
    <t>Red Lodge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</si>
  <si>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</si>
  <si>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</si>
  <si>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</si>
  <si>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</si>
  <si>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</si>
  <si>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</si>
  <si>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</si>
  <si>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</si>
  <si>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</si>
  <si>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</si>
  <si>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</si>
  <si>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</si>
  <si>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</si>
  <si>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</si>
  <si>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</si>
  <si>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</si>
  <si>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</si>
  <si>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</si>
  <si>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</si>
  <si>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</si>
  <si>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</si>
  <si>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</si>
  <si>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</si>
  <si>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</si>
  <si>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</si>
  <si>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</si>
  <si>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</si>
  <si>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</si>
  <si>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</si>
  <si>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</si>
  <si>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</si>
  <si>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</si>
  <si>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</si>
  <si>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</si>
  <si>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</si>
  <si>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</si>
  <si>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</si>
  <si>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</si>
  <si>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</si>
  <si>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</si>
  <si>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</si>
  <si>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</si>
  <si>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</si>
  <si>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</si>
  <si>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</si>
  <si>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</si>
  <si>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</si>
  <si>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</si>
  <si>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</si>
  <si>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</si>
  <si>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</si>
  <si>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</si>
  <si>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</si>
  <si>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</si>
  <si>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</si>
  <si>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Volborg</t>
  </si>
  <si>
    <t>Wibaux</t>
  </si>
  <si>
    <t>Malmstrom A F B</t>
  </si>
  <si>
    <t>Babb</t>
  </si>
  <si>
    <t>Belt</t>
  </si>
  <si>
    <t>Black Eagle</t>
  </si>
  <si>
    <t>Brady</t>
  </si>
  <si>
    <t>Browning</t>
  </si>
  <si>
    <t>Choteau</t>
  </si>
  <si>
    <t>Coffee Creek</t>
  </si>
  <si>
    <t>Cut Bank</t>
  </si>
  <si>
    <t>Dupuyer</t>
  </si>
  <si>
    <t>East Glacier Park</t>
  </si>
  <si>
    <t>Floweree</t>
  </si>
  <si>
    <t>Fort Benton</t>
  </si>
  <si>
    <t>Fort Shaw</t>
  </si>
  <si>
    <t>Galata</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</si>
  <si>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</si>
  <si>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</si>
  <si>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</si>
  <si>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</si>
  <si>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</si>
  <si>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</si>
  <si>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</si>
  <si>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</si>
  <si>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</si>
  <si>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</si>
  <si>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</si>
  <si>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</si>
  <si>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</si>
  <si>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</si>
  <si>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</si>
  <si>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</si>
  <si>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</si>
  <si>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</si>
  <si>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</si>
  <si>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</si>
  <si>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</si>
  <si>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</si>
  <si>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</si>
  <si>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</si>
  <si>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</si>
  <si>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</si>
  <si>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</si>
  <si>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</si>
  <si>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</si>
  <si>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</si>
  <si>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</si>
  <si>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</si>
  <si>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</si>
  <si>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</si>
  <si>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</si>
  <si>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</si>
  <si>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</si>
  <si>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</si>
  <si>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</si>
  <si>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</si>
  <si>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</si>
  <si>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</si>
  <si>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</si>
  <si>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</si>
  <si>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</si>
  <si>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</si>
  <si>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</si>
  <si>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</si>
  <si>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</si>
  <si>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</si>
  <si>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</si>
  <si>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</si>
  <si>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</si>
  <si>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</si>
  <si>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</si>
  <si>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</si>
  <si>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</si>
  <si>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</si>
  <si>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</si>
  <si>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</si>
  <si>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</si>
  <si>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</si>
  <si>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</si>
  <si>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</si>
  <si>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</si>
  <si>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</si>
  <si>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</si>
  <si>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</si>
  <si>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</si>
  <si>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</si>
  <si>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</si>
  <si>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</si>
  <si>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</si>
  <si>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</si>
  <si>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</si>
  <si>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</si>
  <si>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</si>
  <si>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</si>
  <si>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</si>
  <si>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</si>
  <si>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Pinesdale</t>
  </si>
  <si>
    <t>Haugan</t>
  </si>
  <si>
    <t>Helmville</t>
  </si>
  <si>
    <t>Heron</t>
  </si>
  <si>
    <t>Huson</t>
  </si>
  <si>
    <t>Lolo</t>
  </si>
  <si>
    <t>Lonepine</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</si>
  <si>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</si>
  <si>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</si>
  <si>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</si>
  <si>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</si>
  <si>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</si>
  <si>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</si>
  <si>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</si>
  <si>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</si>
  <si>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</si>
  <si>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</si>
  <si>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</si>
  <si>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</si>
  <si>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</si>
  <si>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</si>
  <si>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</si>
  <si>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</si>
  <si>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</si>
  <si>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</si>
  <si>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</si>
  <si>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</si>
  <si>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</si>
  <si>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</si>
  <si>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</si>
  <si>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</si>
  <si>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</si>
  <si>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</si>
  <si>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</si>
  <si>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</si>
  <si>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</si>
  <si>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</si>
  <si>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</si>
  <si>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</si>
  <si>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</si>
  <si>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</si>
  <si>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</si>
  <si>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</si>
  <si>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</si>
  <si>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</si>
  <si>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</si>
  <si>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</si>
  <si>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</si>
  <si>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</si>
  <si>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</si>
  <si>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</si>
  <si>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</si>
  <si>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</si>
  <si>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</si>
  <si>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</si>
  <si>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</si>
  <si>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</si>
  <si>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</si>
  <si>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</si>
  <si>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</si>
  <si>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</si>
  <si>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</si>
  <si>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</si>
  <si>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</si>
  <si>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</si>
  <si>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</si>
  <si>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</si>
  <si>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</si>
  <si>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</si>
  <si>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</si>
  <si>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</si>
  <si>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</si>
  <si>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</si>
  <si>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</si>
  <si>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</si>
  <si>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</si>
  <si>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</si>
  <si>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</si>
  <si>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</si>
  <si>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</si>
  <si>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</si>
  <si>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</si>
  <si>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</si>
  <si>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</si>
  <si>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</si>
  <si>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</si>
  <si>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</si>
  <si>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</si>
  <si>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</si>
  <si>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</si>
  <si>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</si>
  <si>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</si>
  <si>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</si>
  <si>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</si>
  <si>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</si>
  <si>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</si>
  <si>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</si>
  <si>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</si>
  <si>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</si>
  <si>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</si>
  <si>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</si>
  <si>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</si>
  <si>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</si>
  <si>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</si>
  <si>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</si>
  <si>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</si>
  <si>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</si>
  <si>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</si>
  <si>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</si>
  <si>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</si>
  <si>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</si>
  <si>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</si>
  <si>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</si>
  <si>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</si>
  <si>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</si>
  <si>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</si>
  <si>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</si>
  <si>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</si>
  <si>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</si>
  <si>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</si>
  <si>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</si>
  <si>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</si>
  <si>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</si>
  <si>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</si>
  <si>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</si>
  <si>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</si>
  <si>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</si>
  <si>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</si>
  <si>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</si>
  <si>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</si>
  <si>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</si>
  <si>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</si>
  <si>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</si>
  <si>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</si>
  <si>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</si>
  <si>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</si>
  <si>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</si>
  <si>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</si>
  <si>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</si>
  <si>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</si>
  <si>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</si>
  <si>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</si>
  <si>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</si>
  <si>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Worth</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</si>
  <si>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</si>
  <si>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</si>
  <si>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</si>
  <si>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</si>
  <si>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</si>
  <si>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</si>
  <si>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</si>
  <si>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</si>
  <si>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</si>
  <si>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</si>
  <si>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</si>
  <si>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</si>
  <si>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</si>
  <si>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</si>
  <si>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</si>
  <si>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</si>
  <si>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</si>
  <si>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</si>
  <si>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</si>
  <si>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</si>
  <si>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</si>
  <si>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Harwood Heights</t>
  </si>
  <si>
    <t>Lincolnwood</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</si>
  <si>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</si>
  <si>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</si>
  <si>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</si>
  <si>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</si>
  <si>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</si>
  <si>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</si>
  <si>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</si>
  <si>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</si>
  <si>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</si>
  <si>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</si>
  <si>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</si>
  <si>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</si>
  <si>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</si>
  <si>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</si>
  <si>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</si>
  <si>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</si>
  <si>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</si>
  <si>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</si>
  <si>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</si>
  <si>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</si>
  <si>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</si>
  <si>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</si>
  <si>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</si>
  <si>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</si>
  <si>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</si>
  <si>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</si>
  <si>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</si>
  <si>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</si>
  <si>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</si>
  <si>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</si>
  <si>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</si>
  <si>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</si>
  <si>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</si>
  <si>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</si>
  <si>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</si>
  <si>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</si>
  <si>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</si>
  <si>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</si>
  <si>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Davis Junction</t>
  </si>
  <si>
    <t>East Dubuque</t>
  </si>
  <si>
    <t>Eleroy</t>
  </si>
  <si>
    <t>Forreston</t>
  </si>
  <si>
    <t>Franklin Grove</t>
  </si>
  <si>
    <t>Garden Prairie</t>
  </si>
  <si>
    <t>German Valley</t>
  </si>
  <si>
    <t>Harmon</t>
  </si>
  <si>
    <t>Leaf River</t>
  </si>
  <si>
    <t>Lindenwood</t>
  </si>
  <si>
    <t>Mc Connell</t>
  </si>
  <si>
    <t>Monroe Center</t>
  </si>
  <si>
    <t>Mount Carroll</t>
  </si>
  <si>
    <t>Nachusa</t>
  </si>
  <si>
    <t>Pearl City</t>
  </si>
  <si>
    <t>Pecatonica</t>
  </si>
  <si>
    <t>Polo</t>
  </si>
  <si>
    <t>Poplar Grove</t>
  </si>
  <si>
    <t>Ridott</t>
  </si>
  <si>
    <t>Rock City</t>
  </si>
  <si>
    <t>Savanna</t>
  </si>
  <si>
    <t>Scales Mound</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</si>
  <si>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</si>
  <si>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</si>
  <si>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</si>
  <si>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</si>
  <si>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</si>
  <si>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</si>
  <si>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</si>
  <si>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</si>
  <si>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</si>
  <si>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</si>
  <si>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</si>
  <si>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</si>
  <si>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</si>
  <si>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</si>
  <si>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</si>
  <si>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</si>
  <si>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</si>
  <si>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</si>
  <si>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</si>
  <si>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</si>
  <si>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</si>
  <si>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</si>
  <si>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</si>
  <si>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</si>
  <si>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</si>
  <si>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</si>
  <si>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</si>
  <si>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</si>
  <si>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</si>
  <si>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</si>
  <si>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</si>
  <si>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</si>
  <si>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</si>
  <si>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</si>
  <si>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</si>
  <si>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</si>
  <si>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</si>
  <si>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</si>
  <si>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</si>
  <si>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</si>
  <si>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</si>
  <si>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</si>
  <si>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</si>
  <si>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</si>
  <si>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</si>
  <si>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</si>
  <si>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</si>
  <si>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</si>
  <si>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</si>
  <si>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Streator</t>
  </si>
  <si>
    <t>Sublette</t>
  </si>
  <si>
    <t>Tiskilwa</t>
  </si>
  <si>
    <t>Toluca</t>
  </si>
  <si>
    <t>Tonica</t>
  </si>
  <si>
    <t>Triumph</t>
  </si>
  <si>
    <t>Troy Grove</t>
  </si>
  <si>
    <t>Van Orin</t>
  </si>
  <si>
    <t>Varna</t>
  </si>
  <si>
    <t>Wenona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</si>
  <si>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</si>
  <si>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</si>
  <si>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</si>
  <si>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</si>
  <si>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</si>
  <si>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</si>
  <si>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</si>
  <si>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</si>
  <si>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</si>
  <si>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</si>
  <si>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</si>
  <si>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</si>
  <si>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</si>
  <si>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</si>
  <si>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</si>
  <si>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</si>
  <si>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</si>
  <si>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</si>
  <si>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</si>
  <si>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</si>
  <si>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Ophiem</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</si>
  <si>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</si>
  <si>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</si>
  <si>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</si>
  <si>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</si>
  <si>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</si>
  <si>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</si>
  <si>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</si>
  <si>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</si>
  <si>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</si>
  <si>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</si>
  <si>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</si>
  <si>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</si>
  <si>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</si>
  <si>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</si>
  <si>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</si>
  <si>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</si>
  <si>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</si>
  <si>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</si>
  <si>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</si>
  <si>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</si>
  <si>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</si>
  <si>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</si>
  <si>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</si>
  <si>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</si>
  <si>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</si>
  <si>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</si>
  <si>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</si>
  <si>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</si>
  <si>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Peoria Heights</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</si>
  <si>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</si>
  <si>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</si>
  <si>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</si>
  <si>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</si>
  <si>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</si>
  <si>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</si>
  <si>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</si>
  <si>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</si>
  <si>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</si>
  <si>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</si>
  <si>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</si>
  <si>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</si>
  <si>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</si>
  <si>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</si>
  <si>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</si>
  <si>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</si>
  <si>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</si>
  <si>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</si>
  <si>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</si>
  <si>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</si>
  <si>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</si>
  <si>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</si>
  <si>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</si>
  <si>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</si>
  <si>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</si>
  <si>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</si>
  <si>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</si>
  <si>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</si>
  <si>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</si>
  <si>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</si>
  <si>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</si>
  <si>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</si>
  <si>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</si>
  <si>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</si>
  <si>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</si>
  <si>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</si>
  <si>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</si>
  <si>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</si>
  <si>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</si>
  <si>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</si>
  <si>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</si>
  <si>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</si>
  <si>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</si>
  <si>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</si>
  <si>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</si>
  <si>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</si>
  <si>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</si>
  <si>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</si>
  <si>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</si>
  <si>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</si>
  <si>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</si>
  <si>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</si>
  <si>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</si>
  <si>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</si>
  <si>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</si>
  <si>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</si>
  <si>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</si>
  <si>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</si>
  <si>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</si>
  <si>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</si>
  <si>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</si>
  <si>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</si>
  <si>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Tuscola</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</si>
  <si>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</si>
  <si>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</si>
  <si>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</si>
  <si>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</si>
  <si>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</si>
  <si>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</si>
  <si>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</si>
  <si>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</si>
  <si>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</si>
  <si>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</si>
  <si>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</si>
  <si>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</si>
  <si>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</si>
  <si>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</si>
  <si>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</si>
  <si>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</si>
  <si>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</si>
  <si>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</si>
  <si>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</si>
  <si>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</si>
  <si>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</si>
  <si>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</si>
  <si>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</si>
  <si>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</si>
  <si>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</si>
  <si>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</si>
  <si>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</si>
  <si>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</si>
  <si>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</si>
  <si>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</si>
  <si>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</si>
  <si>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</si>
  <si>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</si>
  <si>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</si>
  <si>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</si>
  <si>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</si>
  <si>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</si>
  <si>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</si>
  <si>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</si>
  <si>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</si>
  <si>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</si>
  <si>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</si>
  <si>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</si>
  <si>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</si>
  <si>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</si>
  <si>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</si>
  <si>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</si>
  <si>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</si>
  <si>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</si>
  <si>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</si>
  <si>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</si>
  <si>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</si>
  <si>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</si>
  <si>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</si>
  <si>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</si>
  <si>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</si>
  <si>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</si>
  <si>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</si>
  <si>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</si>
  <si>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</si>
  <si>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</si>
  <si>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</si>
  <si>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</si>
  <si>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</si>
  <si>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</si>
  <si>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</si>
  <si>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</si>
  <si>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</si>
  <si>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</si>
  <si>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</si>
  <si>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</si>
  <si>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</si>
  <si>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</si>
  <si>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</si>
  <si>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</si>
  <si>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</si>
  <si>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</si>
  <si>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Steeleville</t>
  </si>
  <si>
    <t>Tilden</t>
  </si>
  <si>
    <t>Valmeyer</t>
  </si>
  <si>
    <t>Walsh</t>
  </si>
  <si>
    <t>Basco</t>
  </si>
  <si>
    <t>Baylis</t>
  </si>
  <si>
    <t>Bowen</t>
  </si>
  <si>
    <t>Camp Point</t>
  </si>
  <si>
    <t>Coatsburg</t>
  </si>
  <si>
    <t>Colusa</t>
  </si>
  <si>
    <t>Dallas City</t>
  </si>
  <si>
    <t>Elvaston</t>
  </si>
  <si>
    <t>Ferris</t>
  </si>
  <si>
    <t>Griggsville</t>
  </si>
  <si>
    <t>La Prairie</t>
  </si>
  <si>
    <t>Loraine</t>
  </si>
  <si>
    <t>Paloma</t>
  </si>
  <si>
    <t>Payson</t>
  </si>
  <si>
    <t>Sutter</t>
  </si>
  <si>
    <t>Tennessee</t>
  </si>
  <si>
    <t>Timewell</t>
  </si>
  <si>
    <t>Ursa</t>
  </si>
  <si>
    <t>Beecher City</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</si>
  <si>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</si>
  <si>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</si>
  <si>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</si>
  <si>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</si>
  <si>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</si>
  <si>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</si>
  <si>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</si>
  <si>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</si>
  <si>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</si>
  <si>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</si>
  <si>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</si>
  <si>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</si>
  <si>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</si>
  <si>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</si>
  <si>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</si>
  <si>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</si>
  <si>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</si>
  <si>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</si>
  <si>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</si>
  <si>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</si>
  <si>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</si>
  <si>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</si>
  <si>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</si>
  <si>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</si>
  <si>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</si>
  <si>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</si>
  <si>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</si>
  <si>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</si>
  <si>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</si>
  <si>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</si>
  <si>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</si>
  <si>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</si>
  <si>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</si>
  <si>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</si>
  <si>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</si>
  <si>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</si>
  <si>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</si>
  <si>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</si>
  <si>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</si>
  <si>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</si>
  <si>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</si>
  <si>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</si>
  <si>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</si>
  <si>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</si>
  <si>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</si>
  <si>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</si>
  <si>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</si>
  <si>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</si>
  <si>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</si>
  <si>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</si>
  <si>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</si>
  <si>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</si>
  <si>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</si>
  <si>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</si>
  <si>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</si>
  <si>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</si>
  <si>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</si>
  <si>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</si>
  <si>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</si>
  <si>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</si>
  <si>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</si>
  <si>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</si>
  <si>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</si>
  <si>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</si>
  <si>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</si>
  <si>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Tallula</t>
  </si>
  <si>
    <t>Virden</t>
  </si>
  <si>
    <t>Woodson</t>
  </si>
  <si>
    <t>Centralia</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</si>
  <si>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</si>
  <si>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</si>
  <si>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</si>
  <si>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</si>
  <si>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</si>
  <si>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</si>
  <si>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</si>
  <si>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</si>
  <si>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</si>
  <si>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</si>
  <si>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</si>
  <si>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</si>
  <si>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</si>
  <si>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</si>
  <si>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</si>
  <si>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</si>
  <si>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</si>
  <si>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</si>
  <si>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</si>
  <si>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</si>
  <si>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</si>
  <si>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</si>
  <si>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</si>
  <si>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</si>
  <si>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</si>
  <si>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Ina</t>
  </si>
  <si>
    <t>Keenes</t>
  </si>
  <si>
    <t>Keensburg</t>
  </si>
  <si>
    <t>Kell</t>
  </si>
  <si>
    <t>Kinmundy</t>
  </si>
  <si>
    <t>Mc Leansboro</t>
  </si>
  <si>
    <t>Maunie</t>
  </si>
  <si>
    <t>Mill Shoals</t>
  </si>
  <si>
    <t>Mulkeytown</t>
  </si>
  <si>
    <t>Nason</t>
  </si>
  <si>
    <t>Noble</t>
  </si>
  <si>
    <t>Norris City</t>
  </si>
  <si>
    <t>Opdyke</t>
  </si>
  <si>
    <t>Radom</t>
  </si>
  <si>
    <t>Richview</t>
  </si>
  <si>
    <t>Rinard</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</si>
  <si>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</si>
  <si>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</si>
  <si>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</si>
  <si>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</si>
  <si>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</si>
  <si>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</si>
  <si>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</si>
  <si>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</si>
  <si>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</si>
  <si>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</si>
  <si>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</si>
  <si>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</si>
  <si>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</si>
  <si>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</si>
  <si>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</si>
  <si>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</si>
  <si>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</si>
  <si>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</si>
  <si>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</si>
  <si>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</si>
  <si>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</si>
  <si>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</si>
  <si>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</si>
  <si>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</si>
  <si>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</si>
  <si>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</si>
  <si>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</si>
  <si>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</si>
  <si>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</si>
  <si>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</si>
  <si>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</si>
  <si>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</si>
  <si>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</si>
  <si>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Herod</t>
  </si>
  <si>
    <t>Herrin</t>
  </si>
  <si>
    <t>Hurst</t>
  </si>
  <si>
    <t>Jacob</t>
  </si>
  <si>
    <t>Johnston City</t>
  </si>
  <si>
    <t>Junction</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</si>
  <si>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</si>
  <si>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</si>
  <si>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</si>
  <si>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</si>
  <si>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</si>
  <si>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</si>
  <si>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</si>
  <si>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</si>
  <si>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</si>
  <si>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</si>
  <si>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</si>
  <si>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</si>
  <si>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</si>
  <si>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</si>
  <si>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</si>
  <si>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</si>
  <si>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</si>
  <si>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</si>
  <si>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</si>
  <si>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</si>
  <si>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</si>
  <si>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</si>
  <si>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</si>
  <si>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</si>
  <si>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</si>
  <si>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</si>
  <si>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</si>
  <si>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</si>
  <si>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</si>
  <si>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</si>
  <si>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</si>
  <si>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</si>
  <si>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</si>
  <si>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</si>
  <si>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</si>
  <si>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</si>
  <si>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</si>
  <si>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</si>
  <si>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</si>
  <si>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</si>
  <si>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</si>
  <si>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</si>
  <si>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</si>
  <si>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</si>
  <si>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</si>
  <si>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</si>
  <si>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</si>
  <si>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</si>
  <si>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</si>
  <si>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</si>
  <si>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Annada</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</si>
  <si>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</si>
  <si>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</si>
  <si>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</si>
  <si>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</si>
  <si>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</si>
  <si>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</si>
  <si>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</si>
  <si>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</si>
  <si>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</si>
  <si>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</si>
  <si>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</si>
  <si>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</si>
  <si>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</si>
  <si>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</si>
  <si>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</si>
  <si>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</si>
  <si>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</si>
  <si>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</si>
  <si>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</si>
  <si>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</si>
  <si>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</si>
  <si>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</si>
  <si>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</si>
  <si>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Anabel</t>
  </si>
  <si>
    <t>Arbela</t>
  </si>
  <si>
    <t>Hunnewell</t>
  </si>
  <si>
    <t>Kahoka</t>
  </si>
  <si>
    <t>Knox City</t>
  </si>
  <si>
    <t>Lentner</t>
  </si>
  <si>
    <t>Saint Patrick</t>
  </si>
  <si>
    <t>Saverton</t>
  </si>
  <si>
    <t>Shelbina</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</si>
  <si>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</si>
  <si>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</si>
  <si>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</si>
  <si>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</si>
  <si>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</si>
  <si>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</si>
  <si>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</si>
  <si>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</si>
  <si>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</si>
  <si>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</si>
  <si>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</si>
  <si>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</si>
  <si>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</si>
  <si>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</si>
  <si>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</si>
  <si>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</si>
  <si>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</si>
  <si>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</si>
  <si>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</si>
  <si>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</si>
  <si>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</si>
  <si>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</si>
  <si>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</si>
  <si>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</si>
  <si>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</si>
  <si>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Leadwood</t>
  </si>
  <si>
    <t>Marquand</t>
  </si>
  <si>
    <t>Middle Brook</t>
  </si>
  <si>
    <t>Pilot Knob</t>
  </si>
  <si>
    <t>Sainte Genevieve</t>
  </si>
  <si>
    <t>Tiff</t>
  </si>
  <si>
    <t>Cape Girardeau</t>
  </si>
  <si>
    <t>Altenburg</t>
  </si>
  <si>
    <t>Bell City</t>
  </si>
  <si>
    <t>Brazeau</t>
  </si>
  <si>
    <t>Brownwood</t>
  </si>
  <si>
    <t>Burfordville</t>
  </si>
  <si>
    <t>Dutchtown</t>
  </si>
  <si>
    <t>Farrar</t>
  </si>
  <si>
    <t>Friedheim</t>
  </si>
  <si>
    <t>Frohna</t>
  </si>
  <si>
    <t>Glenallen</t>
  </si>
  <si>
    <t>Mc Gee</t>
  </si>
  <si>
    <t>Old Appleton</t>
  </si>
  <si>
    <t>Mc Bride</t>
  </si>
  <si>
    <t>Scott City</t>
  </si>
  <si>
    <t>Sedgewickville</t>
  </si>
  <si>
    <t>Sturdivant</t>
  </si>
  <si>
    <t>Vanduser</t>
  </si>
  <si>
    <t>Zalma</t>
  </si>
  <si>
    <t>Sikeston</t>
  </si>
  <si>
    <t>Arbyrd</t>
  </si>
  <si>
    <t>Bernie</t>
  </si>
  <si>
    <t>Bertrand</t>
  </si>
  <si>
    <t>Blodgett</t>
  </si>
  <si>
    <t>Braggadocio</t>
  </si>
  <si>
    <t>Bragg City</t>
  </si>
  <si>
    <t>Canalou</t>
  </si>
  <si>
    <t>Caruthersville</t>
  </si>
  <si>
    <t>Catron</t>
  </si>
  <si>
    <t>Cooter</t>
  </si>
  <si>
    <t>East Prairie</t>
  </si>
  <si>
    <t>Gideon</t>
  </si>
  <si>
    <t>Gobler</t>
  </si>
  <si>
    <t>Grayridge</t>
  </si>
  <si>
    <t>Hornersville</t>
  </si>
  <si>
    <t>Kennett</t>
  </si>
  <si>
    <t>Lilbourn</t>
  </si>
  <si>
    <t>Morehouse</t>
  </si>
  <si>
    <t>New Madrid</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</si>
  <si>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</si>
  <si>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</si>
  <si>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</si>
  <si>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</si>
  <si>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</si>
  <si>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</si>
  <si>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</si>
  <si>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</si>
  <si>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</si>
  <si>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</si>
  <si>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</si>
  <si>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</si>
  <si>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</si>
  <si>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</si>
  <si>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</si>
  <si>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</si>
  <si>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</si>
  <si>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</si>
  <si>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</si>
  <si>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</si>
  <si>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</si>
  <si>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</si>
  <si>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</si>
  <si>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</si>
  <si>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</si>
  <si>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Lees Summit</t>
  </si>
  <si>
    <t>Bates City</t>
  </si>
  <si>
    <t>Camden Point</t>
  </si>
  <si>
    <t>Centerview</t>
  </si>
  <si>
    <t>Concordia</t>
  </si>
  <si>
    <t>Corder</t>
  </si>
  <si>
    <t>Excelsior Springs</t>
  </si>
  <si>
    <t>Grain Valley</t>
  </si>
  <si>
    <t>Higginsville</t>
  </si>
  <si>
    <t>Kearney</t>
  </si>
  <si>
    <t>Lawson</t>
  </si>
  <si>
    <t>Levasy</t>
  </si>
  <si>
    <t>Lone Jack</t>
  </si>
  <si>
    <t>Mayview</t>
  </si>
  <si>
    <t>Missouri City</t>
  </si>
  <si>
    <t>Orrick</t>
  </si>
  <si>
    <t>Peculiar</t>
  </si>
  <si>
    <t>Platte City</t>
  </si>
  <si>
    <t>Raymore</t>
  </si>
  <si>
    <t>Rayville</t>
  </si>
  <si>
    <t>Kansas City</t>
  </si>
  <si>
    <t>Amazonia</t>
  </si>
  <si>
    <t>Blythedale</t>
  </si>
  <si>
    <t>Bolckow</t>
  </si>
  <si>
    <t>Burlington Junction</t>
  </si>
  <si>
    <t>Clearmont</t>
  </si>
  <si>
    <t>Conception</t>
  </si>
  <si>
    <t>Conception Junction</t>
  </si>
  <si>
    <t>Craig</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</si>
  <si>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</si>
  <si>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</si>
  <si>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</si>
  <si>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</si>
  <si>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</si>
  <si>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</si>
  <si>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</si>
  <si>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</si>
  <si>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</si>
  <si>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</si>
  <si>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</si>
  <si>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</si>
  <si>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</si>
  <si>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</si>
  <si>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</si>
  <si>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</si>
  <si>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</si>
  <si>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</si>
  <si>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</si>
  <si>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</si>
  <si>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</si>
  <si>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</si>
  <si>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</si>
  <si>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</si>
  <si>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</si>
  <si>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</si>
  <si>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</si>
  <si>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</si>
  <si>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</si>
  <si>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</si>
  <si>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</si>
  <si>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</si>
  <si>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</si>
  <si>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</si>
  <si>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</si>
  <si>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Norborne</t>
  </si>
  <si>
    <t>Pattonsburg</t>
  </si>
  <si>
    <t>Powersville</t>
  </si>
  <si>
    <t>Purdin</t>
  </si>
  <si>
    <t>Rothville</t>
  </si>
  <si>
    <t>Spickard</t>
  </si>
  <si>
    <t>Stet</t>
  </si>
  <si>
    <t>Tina</t>
  </si>
  <si>
    <t>Amoret</t>
  </si>
  <si>
    <t>Appleton City</t>
  </si>
  <si>
    <t>Archie</t>
  </si>
  <si>
    <t>Bronaugh</t>
  </si>
  <si>
    <t>Chilhowee</t>
  </si>
  <si>
    <t>East Lynne</t>
  </si>
  <si>
    <t>El Dorado Springs</t>
  </si>
  <si>
    <t>Golden City</t>
  </si>
  <si>
    <t>Jerico Springs</t>
  </si>
  <si>
    <t>Leeton</t>
  </si>
  <si>
    <t>Liberal</t>
  </si>
  <si>
    <t>Lowry City</t>
  </si>
  <si>
    <t>Mindenmines</t>
  </si>
  <si>
    <t>Richards</t>
  </si>
  <si>
    <t>Rich Hill</t>
  </si>
  <si>
    <t>Schell City</t>
  </si>
  <si>
    <t>Urich</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</si>
  <si>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</si>
  <si>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</si>
  <si>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</si>
  <si>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</si>
  <si>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</si>
  <si>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</si>
  <si>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</si>
  <si>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</si>
  <si>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</si>
  <si>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</si>
  <si>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</si>
  <si>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</si>
  <si>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</si>
  <si>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</si>
  <si>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</si>
  <si>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</si>
  <si>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</si>
  <si>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</si>
  <si>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</si>
  <si>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</si>
  <si>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Chamois</t>
  </si>
  <si>
    <t>Eugene</t>
  </si>
  <si>
    <t>Gasconade</t>
  </si>
  <si>
    <t>Gravois Mills</t>
  </si>
  <si>
    <t>Laurie</t>
  </si>
  <si>
    <t>Henley</t>
  </si>
  <si>
    <t>Hermann</t>
  </si>
  <si>
    <t>Holts Summit</t>
  </si>
  <si>
    <t>Kaiser</t>
  </si>
  <si>
    <t>Koeltztown</t>
  </si>
  <si>
    <t>Lake Ozark</t>
  </si>
  <si>
    <t>Linn Creek</t>
  </si>
  <si>
    <t>Lohman</t>
  </si>
  <si>
    <t>Loose Creek</t>
  </si>
  <si>
    <t>Mc Girk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</si>
  <si>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</si>
  <si>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</si>
  <si>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</si>
  <si>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</si>
  <si>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</si>
  <si>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</si>
  <si>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</si>
  <si>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</si>
  <si>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</si>
  <si>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</si>
  <si>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</si>
  <si>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</si>
  <si>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</si>
  <si>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</si>
  <si>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</si>
  <si>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</si>
  <si>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</si>
  <si>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</si>
  <si>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</si>
  <si>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</si>
  <si>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</si>
  <si>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</si>
  <si>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</si>
  <si>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</si>
  <si>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Triplett</t>
  </si>
  <si>
    <t>Wooldridge</t>
  </si>
  <si>
    <t>Whiteman Air Force Base</t>
  </si>
  <si>
    <t>Arrow Rock</t>
  </si>
  <si>
    <t>Blackburn</t>
  </si>
  <si>
    <t>Climax Springs</t>
  </si>
  <si>
    <t>Cole Camp</t>
  </si>
  <si>
    <t>Gilliam</t>
  </si>
  <si>
    <t>Green Ridge</t>
  </si>
  <si>
    <t>Houstonia</t>
  </si>
  <si>
    <t>Knob Noster</t>
  </si>
  <si>
    <t>La Monte</t>
  </si>
  <si>
    <t>Malta Bend</t>
  </si>
  <si>
    <t>Otterville</t>
  </si>
  <si>
    <t>Sweet Springs</t>
  </si>
  <si>
    <t>Birch Tree</t>
  </si>
  <si>
    <t>Bixby</t>
  </si>
  <si>
    <t>Boss</t>
  </si>
  <si>
    <t>Brinktown</t>
  </si>
  <si>
    <t>Cook Sta</t>
  </si>
  <si>
    <t>Crocker</t>
  </si>
  <si>
    <t>Devils Elbow</t>
  </si>
  <si>
    <t>Duke</t>
  </si>
  <si>
    <t>Edgar Springs</t>
  </si>
  <si>
    <t>Eunice</t>
  </si>
  <si>
    <t>Fort Leonard Wood</t>
  </si>
  <si>
    <t>Hartshorn</t>
  </si>
  <si>
    <t>Huggins</t>
  </si>
  <si>
    <t>Jadwin</t>
  </si>
  <si>
    <t>Lake Spring</t>
  </si>
  <si>
    <t>Laquey</t>
  </si>
  <si>
    <t>Licking</t>
  </si>
  <si>
    <t>Montier</t>
  </si>
  <si>
    <t>Mountain View</t>
  </si>
  <si>
    <t>Roby</t>
  </si>
  <si>
    <t>Solo</t>
  </si>
  <si>
    <t>Steelville</t>
  </si>
  <si>
    <t>Viburnum</t>
  </si>
  <si>
    <t>Stoutland</t>
  </si>
  <si>
    <t>Success</t>
  </si>
  <si>
    <t>Vichy</t>
  </si>
  <si>
    <t>Saint Robert</t>
  </si>
  <si>
    <t>Wesco</t>
  </si>
  <si>
    <t>Long Lane</t>
  </si>
  <si>
    <t>Ash Grove</t>
  </si>
  <si>
    <t>Caplinger Mills</t>
  </si>
  <si>
    <t>Blue Eye</t>
  </si>
  <si>
    <t>Bois D Arc</t>
  </si>
  <si>
    <t>Bradleyville</t>
  </si>
  <si>
    <t>Branson</t>
  </si>
  <si>
    <t>Brixey</t>
  </si>
  <si>
    <t>Bruner</t>
  </si>
  <si>
    <t>Cape Fair</t>
  </si>
  <si>
    <t>Caulfield</t>
  </si>
  <si>
    <t>Cedarcreek</t>
  </si>
  <si>
    <t>Chestnutridge</t>
  </si>
  <si>
    <t>Clever</t>
  </si>
  <si>
    <t>Cross Timbers</t>
  </si>
  <si>
    <t>Diggins</t>
  </si>
  <si>
    <t>Dunnegan</t>
  </si>
  <si>
    <t>Eudora</t>
  </si>
  <si>
    <t>Everton</t>
  </si>
  <si>
    <t>Fair Grove</t>
  </si>
  <si>
    <t>Fordland</t>
  </si>
  <si>
    <t>Freistatt</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</si>
  <si>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</si>
  <si>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</si>
  <si>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</si>
  <si>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</si>
  <si>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</si>
  <si>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</si>
  <si>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</si>
  <si>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</si>
  <si>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</si>
  <si>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</si>
  <si>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</si>
  <si>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</si>
  <si>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</si>
  <si>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</si>
  <si>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</si>
  <si>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</si>
  <si>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</si>
  <si>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</si>
  <si>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</si>
  <si>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</si>
  <si>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</si>
  <si>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</si>
  <si>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</si>
  <si>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</si>
  <si>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</si>
  <si>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</si>
  <si>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</si>
  <si>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</si>
  <si>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</si>
  <si>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</si>
  <si>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</si>
  <si>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</si>
  <si>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</si>
  <si>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</si>
  <si>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</si>
  <si>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</si>
  <si>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</si>
  <si>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</si>
  <si>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</si>
  <si>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</si>
  <si>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</si>
  <si>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</si>
  <si>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</si>
  <si>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</si>
  <si>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</si>
  <si>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</si>
  <si>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Zanoni</t>
  </si>
  <si>
    <t>Macks Creek</t>
  </si>
  <si>
    <t>Roach</t>
  </si>
  <si>
    <t>Peace Valley</t>
  </si>
  <si>
    <t>Atchison</t>
  </si>
  <si>
    <t>Baldwin City</t>
  </si>
  <si>
    <t>Basehor</t>
  </si>
  <si>
    <t>Bendena</t>
  </si>
  <si>
    <t>Bonner Springs</t>
  </si>
  <si>
    <t>Colony</t>
  </si>
  <si>
    <t>Clearview City</t>
  </si>
  <si>
    <t>Fort Leavenworth</t>
  </si>
  <si>
    <t>New Century</t>
  </si>
  <si>
    <t>Lacygne</t>
  </si>
  <si>
    <t>Lecompton</t>
  </si>
  <si>
    <t>Olathe</t>
  </si>
  <si>
    <t>Mc Louth</t>
  </si>
  <si>
    <t>Muscotah</t>
  </si>
  <si>
    <t>Osawatomie</t>
  </si>
  <si>
    <t>Ozawkie</t>
  </si>
  <si>
    <t>Paola</t>
  </si>
  <si>
    <t>Pleasanton</t>
  </si>
  <si>
    <t>Stilwell</t>
  </si>
  <si>
    <t>Tonganoxie</t>
  </si>
  <si>
    <t>Wathena</t>
  </si>
  <si>
    <t>Welda</t>
  </si>
  <si>
    <t>Overland Park</t>
  </si>
  <si>
    <t>Leawood</t>
  </si>
  <si>
    <t>Prairie Village</t>
  </si>
  <si>
    <t>Lenexa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</si>
  <si>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</si>
  <si>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</si>
  <si>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</si>
  <si>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</si>
  <si>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</si>
  <si>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</si>
  <si>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</si>
  <si>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</si>
  <si>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</si>
  <si>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</si>
  <si>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</si>
  <si>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</si>
  <si>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</si>
  <si>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</si>
  <si>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</si>
  <si>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</si>
  <si>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</si>
  <si>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</si>
  <si>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</si>
  <si>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</si>
  <si>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</si>
  <si>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</si>
  <si>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</si>
  <si>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</si>
  <si>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</si>
  <si>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</si>
  <si>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</si>
  <si>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</si>
  <si>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</si>
  <si>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Wamego</t>
  </si>
  <si>
    <t>Fort Scott</t>
  </si>
  <si>
    <t>Arma</t>
  </si>
  <si>
    <t>Baxter Springs</t>
  </si>
  <si>
    <t>Chanute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</si>
  <si>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</si>
  <si>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</si>
  <si>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</si>
  <si>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</si>
  <si>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</si>
  <si>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</si>
  <si>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</si>
  <si>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</si>
  <si>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</si>
  <si>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</si>
  <si>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</si>
  <si>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</si>
  <si>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</si>
  <si>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</si>
  <si>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</si>
  <si>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</si>
  <si>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</si>
  <si>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</si>
  <si>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</si>
  <si>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</si>
  <si>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</si>
  <si>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</si>
  <si>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</si>
  <si>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</si>
  <si>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</si>
  <si>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</si>
  <si>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</si>
  <si>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</si>
  <si>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</si>
  <si>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</si>
  <si>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</si>
  <si>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</si>
  <si>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</si>
  <si>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</si>
  <si>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</si>
  <si>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</si>
  <si>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</si>
  <si>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</si>
  <si>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</si>
  <si>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</si>
  <si>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</si>
  <si>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</si>
  <si>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</si>
  <si>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</si>
  <si>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</si>
  <si>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</si>
  <si>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</si>
  <si>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</si>
  <si>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</si>
  <si>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</si>
  <si>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</si>
  <si>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</si>
  <si>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</si>
  <si>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</si>
  <si>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</si>
  <si>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</si>
  <si>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</si>
  <si>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</si>
  <si>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</si>
  <si>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</si>
  <si>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</si>
  <si>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</si>
  <si>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</si>
  <si>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</si>
  <si>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</si>
  <si>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</si>
  <si>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</si>
  <si>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</si>
  <si>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</si>
  <si>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</si>
  <si>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Rosalia</t>
  </si>
  <si>
    <t>Severy</t>
  </si>
  <si>
    <t>Spivey</t>
  </si>
  <si>
    <t>Valley Center</t>
  </si>
  <si>
    <t>Wichita</t>
  </si>
  <si>
    <t>Mcconnell Afb</t>
  </si>
  <si>
    <t>Caney</t>
  </si>
  <si>
    <t>Cherryvale</t>
  </si>
  <si>
    <t>Chetopa</t>
  </si>
  <si>
    <t>Coffeyville</t>
  </si>
  <si>
    <t>Edna</t>
  </si>
  <si>
    <t>Elk City</t>
  </si>
  <si>
    <t>Elk Falls</t>
  </si>
  <si>
    <t>Grenola</t>
  </si>
  <si>
    <t>Longton</t>
  </si>
  <si>
    <t>Mound Valley</t>
  </si>
  <si>
    <t>Niotaze</t>
  </si>
  <si>
    <t>Sedan</t>
  </si>
  <si>
    <t>Abilene</t>
  </si>
  <si>
    <t>Assaria</t>
  </si>
  <si>
    <t>Bushton</t>
  </si>
  <si>
    <t>Cawker City</t>
  </si>
  <si>
    <t>Falun</t>
  </si>
  <si>
    <t>Glen Elder</t>
  </si>
  <si>
    <t>Herington</t>
  </si>
  <si>
    <t>Holyrood</t>
  </si>
  <si>
    <t>Kanopolis</t>
  </si>
  <si>
    <t>Lindsborg</t>
  </si>
  <si>
    <t>Longford</t>
  </si>
  <si>
    <t>Mcpherson</t>
  </si>
  <si>
    <t>Miltonvale</t>
  </si>
  <si>
    <t>Osborne</t>
  </si>
  <si>
    <t>Portis</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</si>
  <si>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</si>
  <si>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</si>
  <si>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</si>
  <si>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</si>
  <si>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</si>
  <si>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</si>
  <si>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</si>
  <si>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</si>
  <si>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</si>
  <si>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</si>
  <si>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</si>
  <si>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</si>
  <si>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</si>
  <si>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</si>
  <si>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</si>
  <si>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</si>
  <si>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</si>
  <si>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</si>
  <si>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</si>
  <si>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</si>
  <si>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</si>
  <si>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</si>
  <si>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</si>
  <si>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</si>
  <si>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</si>
  <si>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</si>
  <si>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</si>
  <si>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</si>
  <si>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Turon</t>
  </si>
  <si>
    <t>Agra</t>
  </si>
  <si>
    <t>Bogue</t>
  </si>
  <si>
    <t>Catharine</t>
  </si>
  <si>
    <t>Collyer</t>
  </si>
  <si>
    <t>Damar</t>
  </si>
  <si>
    <t>Dorrance</t>
  </si>
  <si>
    <t>Ellis</t>
  </si>
  <si>
    <t>Glade</t>
  </si>
  <si>
    <t>Kirwin</t>
  </si>
  <si>
    <t>Lenora</t>
  </si>
  <si>
    <t>Morland</t>
  </si>
  <si>
    <t>Natoma</t>
  </si>
  <si>
    <t>Norcatur</t>
  </si>
  <si>
    <t>Ogallah</t>
  </si>
  <si>
    <t>Palco</t>
  </si>
  <si>
    <t>Penokee</t>
  </si>
  <si>
    <t>Pfeifer</t>
  </si>
  <si>
    <t>Prairie View</t>
  </si>
  <si>
    <t>Schoenchen</t>
  </si>
  <si>
    <t>Wakeeney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</si>
  <si>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</si>
  <si>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</si>
  <si>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</si>
  <si>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</si>
  <si>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</si>
  <si>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</si>
  <si>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</si>
  <si>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</si>
  <si>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</si>
  <si>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</si>
  <si>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</si>
  <si>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</si>
  <si>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</si>
  <si>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</si>
  <si>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</si>
  <si>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</si>
  <si>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</si>
  <si>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</si>
  <si>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</si>
  <si>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Kismet</t>
  </si>
  <si>
    <t>Lakin</t>
  </si>
  <si>
    <t>Leoti</t>
  </si>
  <si>
    <t>Manter</t>
  </si>
  <si>
    <t>Marienthal</t>
  </si>
  <si>
    <t>Meade</t>
  </si>
  <si>
    <t>Satanta</t>
  </si>
  <si>
    <t>Spearville</t>
  </si>
  <si>
    <t>Tribune</t>
  </si>
  <si>
    <t>Hugoton</t>
  </si>
  <si>
    <t>Abie</t>
  </si>
  <si>
    <t>Boys Town</t>
  </si>
  <si>
    <t>Cedar Bluffs</t>
  </si>
  <si>
    <t>Cedar Creek</t>
  </si>
  <si>
    <t>Fort Calhoun</t>
  </si>
  <si>
    <t>Hooper</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</si>
  <si>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</si>
  <si>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</si>
  <si>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</si>
  <si>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</si>
  <si>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</si>
  <si>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</si>
  <si>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</si>
  <si>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</si>
  <si>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</si>
  <si>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</si>
  <si>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</si>
  <si>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</si>
  <si>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</si>
  <si>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</si>
  <si>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</si>
  <si>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</si>
  <si>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</si>
  <si>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</si>
  <si>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</si>
  <si>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</si>
  <si>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</si>
  <si>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</si>
  <si>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</si>
  <si>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</si>
  <si>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</si>
  <si>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</si>
  <si>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</si>
  <si>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</si>
  <si>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</si>
  <si>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</si>
  <si>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</si>
  <si>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</si>
  <si>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</si>
  <si>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</si>
  <si>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</si>
  <si>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</si>
  <si>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</si>
  <si>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</si>
  <si>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</si>
  <si>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</si>
  <si>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</si>
  <si>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</si>
  <si>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</si>
  <si>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</si>
  <si>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</si>
  <si>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</si>
  <si>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</si>
  <si>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</si>
  <si>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</si>
  <si>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</si>
  <si>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Sprague</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</si>
  <si>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</si>
  <si>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</si>
  <si>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</si>
  <si>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</si>
  <si>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</si>
  <si>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</si>
  <si>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</si>
  <si>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</si>
  <si>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</si>
  <si>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</si>
  <si>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</si>
  <si>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</si>
  <si>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</si>
  <si>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</si>
  <si>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</si>
  <si>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</si>
  <si>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</si>
  <si>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</si>
  <si>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Platte Center</t>
  </si>
  <si>
    <t>Rising City</t>
  </si>
  <si>
    <t>Saint Edward</t>
  </si>
  <si>
    <t>Snyder</t>
  </si>
  <si>
    <t>Stromsburg</t>
  </si>
  <si>
    <t>Beemer</t>
  </si>
  <si>
    <t>Chambers</t>
  </si>
  <si>
    <t>Coleridge</t>
  </si>
  <si>
    <t>Emmet</t>
  </si>
  <si>
    <t>Fordyce</t>
  </si>
  <si>
    <t>Hadar</t>
  </si>
  <si>
    <t>Hartington</t>
  </si>
  <si>
    <t>Hoskins</t>
  </si>
  <si>
    <t>Mclean</t>
  </si>
  <si>
    <t>Magnet</t>
  </si>
  <si>
    <t>Maskell</t>
  </si>
  <si>
    <t>Meadow Grove</t>
  </si>
  <si>
    <t>Naper</t>
  </si>
  <si>
    <t>Neligh</t>
  </si>
  <si>
    <t>Newman Grove</t>
  </si>
  <si>
    <t>Niobrara</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</si>
  <si>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</si>
  <si>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</si>
  <si>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</si>
  <si>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</si>
  <si>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</si>
  <si>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</si>
  <si>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</si>
  <si>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</si>
  <si>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</si>
  <si>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</si>
  <si>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</si>
  <si>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</si>
  <si>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</si>
  <si>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</si>
  <si>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</si>
  <si>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</si>
  <si>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</si>
  <si>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</si>
  <si>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</si>
  <si>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</si>
  <si>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Dannebrog</t>
  </si>
  <si>
    <t>Dunning</t>
  </si>
  <si>
    <t>Elm Creek</t>
  </si>
  <si>
    <t>Giltner</t>
  </si>
  <si>
    <t>Hordville</t>
  </si>
  <si>
    <t>Loup City</t>
  </si>
  <si>
    <t>North Loup</t>
  </si>
  <si>
    <t>Ord</t>
  </si>
  <si>
    <t>Overton</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</si>
  <si>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</si>
  <si>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</si>
  <si>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</si>
  <si>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</si>
  <si>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</si>
  <si>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</si>
  <si>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</si>
  <si>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</si>
  <si>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</si>
  <si>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</si>
  <si>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</si>
  <si>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</si>
  <si>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</si>
  <si>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</si>
  <si>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</si>
  <si>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</si>
  <si>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</si>
  <si>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</si>
  <si>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</si>
  <si>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</si>
  <si>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</si>
  <si>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</si>
  <si>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</si>
  <si>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</si>
  <si>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</si>
  <si>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</si>
  <si>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</si>
  <si>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</si>
  <si>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</si>
  <si>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</si>
  <si>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</si>
  <si>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</si>
  <si>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</si>
  <si>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</si>
  <si>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</si>
  <si>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</si>
  <si>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</si>
  <si>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</si>
  <si>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</si>
  <si>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</si>
  <si>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</si>
  <si>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</si>
  <si>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</si>
  <si>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</si>
  <si>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</si>
  <si>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</si>
  <si>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</si>
  <si>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</si>
  <si>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</si>
  <si>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</si>
  <si>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</si>
  <si>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</si>
  <si>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</si>
  <si>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</si>
  <si>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</si>
  <si>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</si>
  <si>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</si>
  <si>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</si>
  <si>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</si>
  <si>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</si>
  <si>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</si>
  <si>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</si>
  <si>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</si>
  <si>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</si>
  <si>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</si>
  <si>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</si>
  <si>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</si>
  <si>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</si>
  <si>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</si>
  <si>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</si>
  <si>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Destrehan</t>
  </si>
  <si>
    <t>Edgard</t>
  </si>
  <si>
    <t>Garyville</t>
  </si>
  <si>
    <t>Gramercy</t>
  </si>
  <si>
    <t>Hahnville</t>
  </si>
  <si>
    <t>Kenner</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</si>
  <si>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</si>
  <si>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</si>
  <si>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</si>
  <si>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</si>
  <si>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</si>
  <si>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</si>
  <si>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</si>
  <si>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</si>
  <si>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</si>
  <si>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</si>
  <si>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</si>
  <si>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</si>
  <si>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</si>
  <si>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</si>
  <si>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</si>
  <si>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</si>
  <si>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</si>
  <si>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</si>
  <si>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</si>
  <si>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</si>
  <si>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</si>
  <si>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</si>
  <si>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</si>
  <si>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</si>
  <si>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</si>
  <si>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</si>
  <si>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</si>
  <si>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</si>
  <si>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</si>
  <si>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</si>
  <si>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</si>
  <si>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</si>
  <si>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</si>
  <si>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</si>
  <si>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</si>
  <si>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</si>
  <si>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</si>
  <si>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</si>
  <si>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</si>
  <si>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</si>
  <si>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</si>
  <si>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</si>
  <si>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</si>
  <si>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</si>
  <si>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</si>
  <si>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</si>
  <si>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</si>
  <si>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</si>
  <si>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</si>
  <si>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</si>
  <si>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</si>
  <si>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</si>
  <si>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</si>
  <si>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</si>
  <si>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</si>
  <si>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</si>
  <si>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</si>
  <si>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</si>
  <si>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</si>
  <si>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</si>
  <si>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Varnado</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</si>
  <si>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</si>
  <si>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</si>
  <si>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</si>
  <si>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</si>
  <si>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</si>
  <si>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</si>
  <si>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</si>
  <si>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</si>
  <si>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</si>
  <si>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</si>
  <si>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</si>
  <si>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</si>
  <si>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</si>
  <si>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</si>
  <si>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</si>
  <si>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</si>
  <si>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</si>
  <si>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</si>
  <si>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</si>
  <si>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</si>
  <si>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</si>
  <si>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</si>
  <si>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</si>
  <si>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</si>
  <si>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</si>
  <si>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</si>
  <si>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</si>
  <si>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</si>
  <si>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</si>
  <si>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</si>
  <si>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</si>
  <si>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</si>
  <si>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</si>
  <si>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</si>
  <si>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</si>
  <si>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Turkey Creek</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</si>
  <si>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</si>
  <si>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</si>
  <si>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</si>
  <si>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</si>
  <si>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</si>
  <si>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</si>
  <si>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</si>
  <si>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</si>
  <si>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</si>
  <si>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</si>
  <si>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</si>
  <si>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</si>
  <si>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</si>
  <si>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</si>
  <si>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</si>
  <si>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</si>
  <si>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</si>
  <si>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</si>
  <si>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</si>
  <si>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</si>
  <si>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</si>
  <si>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</si>
  <si>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</si>
  <si>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</si>
  <si>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</si>
  <si>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Brittany</t>
  </si>
  <si>
    <t>Brusly</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</si>
  <si>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</si>
  <si>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</si>
  <si>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</si>
  <si>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</si>
  <si>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</si>
  <si>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</si>
  <si>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</si>
  <si>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</si>
  <si>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</si>
  <si>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</si>
  <si>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</si>
  <si>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</si>
  <si>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</si>
  <si>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</si>
  <si>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</si>
  <si>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Lettsworth</t>
  </si>
  <si>
    <t>Lottie</t>
  </si>
  <si>
    <t>Maringouin</t>
  </si>
  <si>
    <t>New Roads</t>
  </si>
  <si>
    <t>Oscar</t>
  </si>
  <si>
    <t>Paulina</t>
  </si>
  <si>
    <t>Plaquemine</t>
  </si>
  <si>
    <t>Port Allen</t>
  </si>
  <si>
    <t>Prairieville</t>
  </si>
  <si>
    <t>Pride</t>
  </si>
  <si>
    <t>Rougon</t>
  </si>
  <si>
    <t>Saint Amant</t>
  </si>
  <si>
    <t>Saint Gabriel</t>
  </si>
  <si>
    <t>Slaughter</t>
  </si>
  <si>
    <t>Sunshine</t>
  </si>
  <si>
    <t>Ventress</t>
  </si>
  <si>
    <t>Weyanoke</t>
  </si>
  <si>
    <t>White Castle</t>
  </si>
  <si>
    <t>Zachary</t>
  </si>
  <si>
    <t>Uncle Sam</t>
  </si>
  <si>
    <t>Baton Rouge</t>
  </si>
  <si>
    <t>Bienville</t>
  </si>
  <si>
    <t>Castor</t>
  </si>
  <si>
    <t>Cotton Valley</t>
  </si>
  <si>
    <t>Coushatta</t>
  </si>
  <si>
    <t>Doyline</t>
  </si>
  <si>
    <t>Dubberly</t>
  </si>
  <si>
    <t>Frierson</t>
  </si>
  <si>
    <t>Gibsland</t>
  </si>
  <si>
    <t>Goldonna</t>
  </si>
  <si>
    <t>Grand Cane</t>
  </si>
  <si>
    <t>Hall Summit</t>
  </si>
  <si>
    <t>Haughton</t>
  </si>
  <si>
    <t>Hosston</t>
  </si>
  <si>
    <t>Keatchie</t>
  </si>
  <si>
    <t>Keithville</t>
  </si>
  <si>
    <t>Longstreet</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</si>
  <si>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</si>
  <si>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</si>
  <si>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</si>
  <si>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</si>
  <si>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</si>
  <si>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</si>
  <si>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</si>
  <si>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</si>
  <si>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</si>
  <si>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</si>
  <si>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</si>
  <si>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</si>
  <si>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</si>
  <si>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</si>
  <si>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</si>
  <si>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</si>
  <si>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</si>
  <si>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</si>
  <si>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</si>
  <si>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</si>
  <si>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</si>
  <si>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</si>
  <si>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</si>
  <si>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</si>
  <si>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</si>
  <si>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</si>
  <si>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</si>
  <si>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</si>
  <si>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</si>
  <si>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</si>
  <si>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</si>
  <si>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</si>
  <si>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</si>
  <si>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</si>
  <si>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</si>
  <si>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</si>
  <si>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</si>
  <si>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</si>
  <si>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</si>
  <si>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</si>
  <si>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</si>
  <si>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</si>
  <si>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</si>
  <si>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</si>
  <si>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</si>
  <si>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</si>
  <si>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</si>
  <si>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Lebeau</t>
  </si>
  <si>
    <t>Lecompte</t>
  </si>
  <si>
    <t>Libuse</t>
  </si>
  <si>
    <t>Mansura</t>
  </si>
  <si>
    <t>Marksville</t>
  </si>
  <si>
    <t>Moreauville</t>
  </si>
  <si>
    <t>Newellton</t>
  </si>
  <si>
    <t>Plaucheville</t>
  </si>
  <si>
    <t>Rhinehart</t>
  </si>
  <si>
    <t>Saint Landry</t>
  </si>
  <si>
    <t>Sicily Island</t>
  </si>
  <si>
    <t>Simmesport</t>
  </si>
  <si>
    <t>Trout</t>
  </si>
  <si>
    <t>Waterproof</t>
  </si>
  <si>
    <t>Wildsville</t>
  </si>
  <si>
    <t>Aimwell</t>
  </si>
  <si>
    <t>Anacoco</t>
  </si>
  <si>
    <t>Ball</t>
  </si>
  <si>
    <t>Campti</t>
  </si>
  <si>
    <t>Cloutierville</t>
  </si>
  <si>
    <t>Dry Prong</t>
  </si>
  <si>
    <t>Florien</t>
  </si>
  <si>
    <t>Glenmora</t>
  </si>
  <si>
    <t>Gorum</t>
  </si>
  <si>
    <t>Hineston</t>
  </si>
  <si>
    <t>Hornbeck</t>
  </si>
  <si>
    <t>Joyce</t>
  </si>
  <si>
    <t>Kurthwood</t>
  </si>
  <si>
    <t>Longleaf</t>
  </si>
  <si>
    <t>Many</t>
  </si>
  <si>
    <t>Marthaville</t>
  </si>
  <si>
    <t>Natchitoches</t>
  </si>
  <si>
    <t>Fort Polk</t>
  </si>
  <si>
    <t>Negreet</t>
  </si>
  <si>
    <t>New Llano</t>
  </si>
  <si>
    <t>Olla</t>
  </si>
  <si>
    <t>Provencal</t>
  </si>
  <si>
    <t>Robeline</t>
  </si>
  <si>
    <t>Saint Maurice</t>
  </si>
  <si>
    <t>Sieper</t>
  </si>
  <si>
    <t>Sikes</t>
  </si>
  <si>
    <t>Slagle</t>
  </si>
  <si>
    <t>Tullos</t>
  </si>
  <si>
    <t>Urania</t>
  </si>
  <si>
    <t>Winnfield</t>
  </si>
  <si>
    <t>Zwolle</t>
  </si>
  <si>
    <t>Pine Bluff</t>
  </si>
  <si>
    <t>Crossett</t>
  </si>
  <si>
    <t>Dermott</t>
  </si>
  <si>
    <t>Fountain Hill</t>
  </si>
  <si>
    <t>Gould</t>
  </si>
  <si>
    <t>Mc Gehee</t>
  </si>
  <si>
    <t>New Edinburg</t>
  </si>
  <si>
    <t>Parkdale</t>
  </si>
  <si>
    <t>Rison</t>
  </si>
  <si>
    <t>Rohwer</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</si>
  <si>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</si>
  <si>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</si>
  <si>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</si>
  <si>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</si>
  <si>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</si>
  <si>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</si>
  <si>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</si>
  <si>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</si>
  <si>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</si>
  <si>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</si>
  <si>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</si>
  <si>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</si>
  <si>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</si>
  <si>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</si>
  <si>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</si>
  <si>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</si>
  <si>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</si>
  <si>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</si>
  <si>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</si>
  <si>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</si>
  <si>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</si>
  <si>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</si>
  <si>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</si>
  <si>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</si>
  <si>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</si>
  <si>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</si>
  <si>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</si>
  <si>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</si>
  <si>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</si>
  <si>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</si>
  <si>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</si>
  <si>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</si>
  <si>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</si>
  <si>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</si>
  <si>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</si>
  <si>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</si>
  <si>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</si>
  <si>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</si>
  <si>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</si>
  <si>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</si>
  <si>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</si>
  <si>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</si>
  <si>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</si>
  <si>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</si>
  <si>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</si>
  <si>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</si>
  <si>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</si>
  <si>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</si>
  <si>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</si>
  <si>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</si>
  <si>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</si>
  <si>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</si>
  <si>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</si>
  <si>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</si>
  <si>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</si>
  <si>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</si>
  <si>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</si>
  <si>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</si>
  <si>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</si>
  <si>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</si>
  <si>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Bald Knob</t>
  </si>
  <si>
    <t>Bauxite</t>
  </si>
  <si>
    <t>Beebe</t>
  </si>
  <si>
    <t>Bee Branch</t>
  </si>
  <si>
    <t>Beedeville</t>
  </si>
  <si>
    <t>Brinkley</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</si>
  <si>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</si>
  <si>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</si>
  <si>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</si>
  <si>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</si>
  <si>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</si>
  <si>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</si>
  <si>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</si>
  <si>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</si>
  <si>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</si>
  <si>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</si>
  <si>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</si>
  <si>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</si>
  <si>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</si>
  <si>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</si>
  <si>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</si>
  <si>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</si>
  <si>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</si>
  <si>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</si>
  <si>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</si>
  <si>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</si>
  <si>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</si>
  <si>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</si>
  <si>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</si>
  <si>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</si>
  <si>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</si>
  <si>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</si>
  <si>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</si>
  <si>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</si>
  <si>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</si>
  <si>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</si>
  <si>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</si>
  <si>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</si>
  <si>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</si>
  <si>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</si>
  <si>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</si>
  <si>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</si>
  <si>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</si>
  <si>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</si>
  <si>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</si>
  <si>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</si>
  <si>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</si>
  <si>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</si>
  <si>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</si>
  <si>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</si>
  <si>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</si>
  <si>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</si>
  <si>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Stuttgart</t>
  </si>
  <si>
    <t>Sweet Home</t>
  </si>
  <si>
    <t>Thida</t>
  </si>
  <si>
    <t>Tichnor</t>
  </si>
  <si>
    <t>Traskwood</t>
  </si>
  <si>
    <t>Vilonia</t>
  </si>
  <si>
    <t>Wabbaseka</t>
  </si>
  <si>
    <t>Wilburn</t>
  </si>
  <si>
    <t>West Memphis</t>
  </si>
  <si>
    <t>Armorel</t>
  </si>
  <si>
    <t>Aubrey</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</si>
  <si>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</si>
  <si>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</si>
  <si>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</si>
  <si>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</si>
  <si>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</si>
  <si>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</si>
  <si>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</si>
  <si>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</si>
  <si>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</si>
  <si>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</si>
  <si>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</si>
  <si>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</si>
  <si>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</si>
  <si>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</si>
  <si>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</si>
  <si>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</si>
  <si>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</si>
  <si>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</si>
  <si>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</si>
  <si>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</si>
  <si>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</si>
  <si>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</si>
  <si>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</si>
  <si>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</si>
  <si>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</si>
  <si>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</si>
  <si>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</si>
  <si>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</si>
  <si>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</si>
  <si>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</si>
  <si>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</si>
  <si>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Turrell</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</si>
  <si>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</si>
  <si>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</si>
  <si>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</si>
  <si>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</si>
  <si>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</si>
  <si>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</si>
  <si>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</si>
  <si>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</si>
  <si>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</si>
  <si>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</si>
  <si>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</si>
  <si>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</si>
  <si>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</si>
  <si>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</si>
  <si>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</si>
  <si>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</si>
  <si>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</si>
  <si>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</si>
  <si>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</si>
  <si>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</si>
  <si>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</si>
  <si>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</si>
  <si>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</si>
  <si>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</si>
  <si>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</si>
  <si>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</si>
  <si>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</si>
  <si>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</si>
  <si>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</si>
  <si>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</si>
  <si>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</si>
  <si>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</si>
  <si>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</si>
  <si>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</si>
  <si>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</si>
  <si>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</si>
  <si>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</si>
  <si>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</si>
  <si>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</si>
  <si>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</si>
  <si>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</si>
  <si>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</si>
  <si>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</si>
  <si>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</si>
  <si>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</si>
  <si>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</si>
  <si>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</si>
  <si>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</si>
  <si>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</si>
  <si>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</si>
  <si>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</si>
  <si>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</si>
  <si>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</si>
  <si>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</si>
  <si>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</si>
  <si>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</si>
  <si>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</si>
  <si>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</si>
  <si>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</si>
  <si>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</si>
  <si>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</si>
  <si>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</si>
  <si>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</si>
  <si>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</si>
  <si>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</si>
  <si>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</si>
  <si>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</si>
  <si>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</si>
  <si>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Oil Trough</t>
  </si>
  <si>
    <t>Rosie</t>
  </si>
  <si>
    <t>Saffell</t>
  </si>
  <si>
    <t>Sage</t>
  </si>
  <si>
    <t>Salado</t>
  </si>
  <si>
    <t>Sturkie</t>
  </si>
  <si>
    <t>Sulphur Rock</t>
  </si>
  <si>
    <t>Tumbling Shoals</t>
  </si>
  <si>
    <t>Violet Hill</t>
  </si>
  <si>
    <t>Wideman</t>
  </si>
  <si>
    <t>Wiseman</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</si>
  <si>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</si>
  <si>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</si>
  <si>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</si>
  <si>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</si>
  <si>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</si>
  <si>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</si>
  <si>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</si>
  <si>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</si>
  <si>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</si>
  <si>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</si>
  <si>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</si>
  <si>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</si>
  <si>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</si>
  <si>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</si>
  <si>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</si>
  <si>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</si>
  <si>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</si>
  <si>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</si>
  <si>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</si>
  <si>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</si>
  <si>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</si>
  <si>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</si>
  <si>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</si>
  <si>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</si>
  <si>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</si>
  <si>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</si>
  <si>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</si>
  <si>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</si>
  <si>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</si>
  <si>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</si>
  <si>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</si>
  <si>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</si>
  <si>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</si>
  <si>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Elm Springs</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</si>
  <si>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</si>
  <si>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</si>
  <si>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</si>
  <si>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</si>
  <si>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</si>
  <si>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</si>
  <si>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</si>
  <si>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</si>
  <si>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</si>
  <si>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</si>
  <si>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</si>
  <si>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</si>
  <si>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</si>
  <si>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</si>
  <si>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</si>
  <si>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</si>
  <si>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</si>
  <si>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</si>
  <si>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</si>
  <si>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</si>
  <si>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</si>
  <si>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</si>
  <si>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Ozone</t>
  </si>
  <si>
    <t>Pelsor</t>
  </si>
  <si>
    <t>Rover</t>
  </si>
  <si>
    <t>Subiaco</t>
  </si>
  <si>
    <t>Barling</t>
  </si>
  <si>
    <t>Hackett</t>
  </si>
  <si>
    <t>Lavaca</t>
  </si>
  <si>
    <t>Magazine</t>
  </si>
  <si>
    <t>Mountainburg</t>
  </si>
  <si>
    <t>Natural Dam</t>
  </si>
  <si>
    <t>Ratcliff</t>
  </si>
  <si>
    <t>Rudy</t>
  </si>
  <si>
    <t>Alex</t>
  </si>
  <si>
    <t>Amber</t>
  </si>
  <si>
    <t>Anadarko</t>
  </si>
  <si>
    <t>Apache</t>
  </si>
  <si>
    <t>Binger</t>
  </si>
  <si>
    <t>Cashion</t>
  </si>
  <si>
    <t>Cement</t>
  </si>
  <si>
    <t>Chickasha</t>
  </si>
  <si>
    <t>Concho</t>
  </si>
  <si>
    <t>Corn</t>
  </si>
  <si>
    <t>Coyle</t>
  </si>
  <si>
    <t>Cyril</t>
  </si>
  <si>
    <t>Dibble</t>
  </si>
  <si>
    <t>Eakly</t>
  </si>
  <si>
    <t>El Reno</t>
  </si>
  <si>
    <t>Fort Cobb</t>
  </si>
  <si>
    <t>Geary</t>
  </si>
  <si>
    <t>Gotebo</t>
  </si>
  <si>
    <t>Gracemont</t>
  </si>
  <si>
    <t>Harrah</t>
  </si>
  <si>
    <t>Hydro</t>
  </si>
  <si>
    <t>Lookeba</t>
  </si>
  <si>
    <t>Minco</t>
  </si>
  <si>
    <t>Mulhall</t>
  </si>
  <si>
    <t>Mustang</t>
  </si>
  <si>
    <t>Nicoma Park</t>
  </si>
  <si>
    <t>Ninnekah</t>
  </si>
  <si>
    <t>Pauls Valley</t>
  </si>
  <si>
    <t>Rush Springs</t>
  </si>
  <si>
    <t>Verden</t>
  </si>
  <si>
    <t>Washita</t>
  </si>
  <si>
    <t>Weatherford</t>
  </si>
  <si>
    <t>Oklahoma City</t>
  </si>
  <si>
    <t>Countyline</t>
  </si>
  <si>
    <t>Burneyville</t>
  </si>
  <si>
    <t>Elmore City</t>
  </si>
  <si>
    <t>Gene Autry</t>
  </si>
  <si>
    <t>Healdton</t>
  </si>
  <si>
    <t>Loco</t>
  </si>
  <si>
    <t>Lone Grove</t>
  </si>
  <si>
    <t>Madill</t>
  </si>
  <si>
    <t>Ravia</t>
  </si>
  <si>
    <t>Springer</t>
  </si>
  <si>
    <t>Thackerville</t>
  </si>
  <si>
    <t>Wapanucka</t>
  </si>
  <si>
    <t>Ratliff City</t>
  </si>
  <si>
    <t>Tatums</t>
  </si>
  <si>
    <t>Tussy</t>
  </si>
  <si>
    <t>Velma</t>
  </si>
  <si>
    <t>Fort Sill</t>
  </si>
  <si>
    <t>Addington</t>
  </si>
  <si>
    <t>Altus Afb</t>
  </si>
  <si>
    <t>Cache</t>
  </si>
  <si>
    <t>Comanche</t>
  </si>
  <si>
    <t>Devol</t>
  </si>
  <si>
    <t>Faxon</t>
  </si>
  <si>
    <t>Geronimo</t>
  </si>
  <si>
    <t>Grandfield</t>
  </si>
  <si>
    <t>Granite</t>
  </si>
  <si>
    <t>Headrick</t>
  </si>
  <si>
    <t>Indiahoma</t>
  </si>
  <si>
    <t>Mangum</t>
  </si>
  <si>
    <t>Medicine Park</t>
  </si>
  <si>
    <t>Meers</t>
  </si>
  <si>
    <t>Mountain Park</t>
  </si>
  <si>
    <t>Randlett</t>
  </si>
  <si>
    <t>Terral</t>
  </si>
  <si>
    <t>Vinson</t>
  </si>
  <si>
    <t>Walters</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</si>
  <si>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</si>
  <si>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</si>
  <si>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</si>
  <si>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</si>
  <si>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</si>
  <si>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</si>
  <si>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</si>
  <si>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</si>
  <si>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</si>
  <si>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</si>
  <si>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</si>
  <si>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</si>
  <si>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</si>
  <si>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</si>
  <si>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</si>
  <si>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</si>
  <si>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</si>
  <si>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</si>
  <si>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</si>
  <si>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</si>
  <si>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</si>
  <si>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</si>
  <si>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</si>
  <si>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</si>
  <si>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</si>
  <si>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</si>
  <si>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</si>
  <si>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</si>
  <si>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</si>
  <si>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</si>
  <si>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</si>
  <si>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</si>
  <si>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</si>
  <si>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</si>
  <si>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</si>
  <si>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</si>
  <si>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</si>
  <si>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</si>
  <si>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</si>
  <si>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</si>
  <si>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</si>
  <si>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</si>
  <si>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</si>
  <si>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</si>
  <si>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</si>
  <si>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</si>
  <si>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</si>
  <si>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</si>
  <si>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</si>
  <si>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</si>
  <si>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</si>
  <si>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</si>
  <si>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</si>
  <si>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</si>
  <si>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</si>
  <si>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</si>
  <si>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</si>
  <si>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</si>
  <si>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</si>
  <si>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</si>
  <si>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</si>
  <si>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</si>
  <si>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</si>
  <si>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</si>
  <si>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</si>
  <si>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</si>
  <si>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</si>
  <si>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</si>
  <si>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</si>
  <si>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</si>
  <si>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</si>
  <si>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</si>
  <si>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</si>
  <si>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</si>
  <si>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</si>
  <si>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</si>
  <si>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</si>
  <si>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</si>
  <si>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</si>
  <si>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</si>
  <si>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</si>
  <si>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</si>
  <si>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</si>
  <si>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</si>
  <si>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</si>
  <si>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</si>
  <si>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</si>
  <si>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</si>
  <si>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</si>
  <si>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</si>
  <si>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</si>
  <si>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</si>
  <si>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</si>
  <si>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</si>
  <si>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</si>
  <si>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</si>
  <si>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</si>
  <si>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</si>
  <si>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</si>
  <si>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</si>
  <si>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</si>
  <si>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</si>
  <si>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</si>
  <si>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</si>
  <si>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</si>
  <si>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</si>
  <si>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</si>
  <si>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</si>
  <si>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</si>
  <si>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Grove</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</si>
  <si>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</si>
  <si>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</si>
  <si>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</si>
  <si>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</si>
  <si>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</si>
  <si>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</si>
  <si>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</si>
  <si>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</si>
  <si>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</si>
  <si>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</si>
  <si>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</si>
  <si>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</si>
  <si>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</si>
  <si>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</si>
  <si>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</si>
  <si>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</si>
  <si>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</si>
  <si>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</si>
  <si>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</si>
  <si>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</si>
  <si>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</si>
  <si>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</si>
  <si>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</si>
  <si>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</si>
  <si>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</si>
  <si>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</si>
  <si>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</si>
  <si>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</si>
  <si>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</si>
  <si>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</si>
  <si>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Wagoner</t>
  </si>
  <si>
    <t>Wainwright</t>
  </si>
  <si>
    <t>Webbers Falls</t>
  </si>
  <si>
    <t>Welling</t>
  </si>
  <si>
    <t>Mcalester</t>
  </si>
  <si>
    <t>Antlers</t>
  </si>
  <si>
    <t>Blanco</t>
  </si>
  <si>
    <t>Blocker</t>
  </si>
  <si>
    <t>Bromide</t>
  </si>
  <si>
    <t>Centrahoma</t>
  </si>
  <si>
    <t>Clarita</t>
  </si>
  <si>
    <t>Coalgate</t>
  </si>
  <si>
    <t>Haileyville</t>
  </si>
  <si>
    <t>Hartshorne</t>
  </si>
  <si>
    <t>Kiamichi Christian Mission</t>
  </si>
  <si>
    <t>Kinta</t>
  </si>
  <si>
    <t>Krebs</t>
  </si>
  <si>
    <t>Moyers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</si>
  <si>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</si>
  <si>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</si>
  <si>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</si>
  <si>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</si>
  <si>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</si>
  <si>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</si>
  <si>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</si>
  <si>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</si>
  <si>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</si>
  <si>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</si>
  <si>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</si>
  <si>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</si>
  <si>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</si>
  <si>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</si>
  <si>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</si>
  <si>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</si>
  <si>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</si>
  <si>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</si>
  <si>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</si>
  <si>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</si>
  <si>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</si>
  <si>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</si>
  <si>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</si>
  <si>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</si>
  <si>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</si>
  <si>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</si>
  <si>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</si>
  <si>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</si>
  <si>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</si>
  <si>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</si>
  <si>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</si>
  <si>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</si>
  <si>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</si>
  <si>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</si>
  <si>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</si>
  <si>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</si>
  <si>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</si>
  <si>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</si>
  <si>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</si>
  <si>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</si>
  <si>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</si>
  <si>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</si>
  <si>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</si>
  <si>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</si>
  <si>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</si>
  <si>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</si>
  <si>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</si>
  <si>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</si>
  <si>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</si>
  <si>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</si>
  <si>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</si>
  <si>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</si>
  <si>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</si>
  <si>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</si>
  <si>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</si>
  <si>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</si>
  <si>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</si>
  <si>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</si>
  <si>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</si>
  <si>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</si>
  <si>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</si>
  <si>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</si>
  <si>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</si>
  <si>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</si>
  <si>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</si>
  <si>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</si>
  <si>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</si>
  <si>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</si>
  <si>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</si>
  <si>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</si>
  <si>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</si>
  <si>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</si>
  <si>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</si>
  <si>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</si>
  <si>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</si>
  <si>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</si>
  <si>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</si>
  <si>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</si>
  <si>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</si>
  <si>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</si>
  <si>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</si>
  <si>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</si>
  <si>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</si>
  <si>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</si>
  <si>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</si>
  <si>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</si>
  <si>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Mckinney</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</si>
  <si>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</si>
  <si>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</si>
  <si>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</si>
  <si>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</si>
  <si>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</si>
  <si>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</si>
  <si>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</si>
  <si>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</si>
  <si>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</si>
  <si>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</si>
  <si>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</si>
  <si>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</si>
  <si>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</si>
  <si>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</si>
  <si>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</si>
  <si>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</si>
  <si>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</si>
  <si>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</si>
  <si>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</si>
  <si>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</si>
  <si>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</si>
  <si>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</si>
  <si>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</si>
  <si>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</si>
  <si>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Balch Springs</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</si>
  <si>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</si>
  <si>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</si>
  <si>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</si>
  <si>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</si>
  <si>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</si>
  <si>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</si>
  <si>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</si>
  <si>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</si>
  <si>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</si>
  <si>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</si>
  <si>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</si>
  <si>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</si>
  <si>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</si>
  <si>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</si>
  <si>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</si>
  <si>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</si>
  <si>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</si>
  <si>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</si>
  <si>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</si>
  <si>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</si>
  <si>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</si>
  <si>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</si>
  <si>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</si>
  <si>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</si>
  <si>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</si>
  <si>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</si>
  <si>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</si>
  <si>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</si>
  <si>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</si>
  <si>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</si>
  <si>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</si>
  <si>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</si>
  <si>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</si>
  <si>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</si>
  <si>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</si>
  <si>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</si>
  <si>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</si>
  <si>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</si>
  <si>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</si>
  <si>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</si>
  <si>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</si>
  <si>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</si>
  <si>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</si>
  <si>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</si>
  <si>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</si>
  <si>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</si>
  <si>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</si>
  <si>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</si>
  <si>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</si>
  <si>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</si>
  <si>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</si>
  <si>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</si>
  <si>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Gilmer</t>
  </si>
  <si>
    <t>Gladewater</t>
  </si>
  <si>
    <t>Harleton</t>
  </si>
  <si>
    <t>Hughes Springs</t>
  </si>
  <si>
    <t>Joinerville</t>
  </si>
  <si>
    <t>Karnack</t>
  </si>
  <si>
    <t>Laird Hill</t>
  </si>
  <si>
    <t>Laneville</t>
  </si>
  <si>
    <t>Lone Star</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</si>
  <si>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</si>
  <si>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</si>
  <si>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</si>
  <si>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</si>
  <si>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</si>
  <si>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</si>
  <si>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</si>
  <si>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</si>
  <si>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</si>
  <si>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</si>
  <si>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</si>
  <si>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</si>
  <si>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</si>
  <si>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</si>
  <si>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</si>
  <si>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</si>
  <si>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</si>
  <si>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</si>
  <si>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</si>
  <si>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</si>
  <si>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</si>
  <si>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</si>
  <si>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</si>
  <si>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</si>
  <si>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</si>
  <si>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</si>
  <si>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</si>
  <si>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</si>
  <si>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</si>
  <si>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</si>
  <si>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</si>
  <si>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</si>
  <si>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</si>
  <si>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</si>
  <si>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</si>
  <si>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</si>
  <si>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</si>
  <si>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</si>
  <si>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</si>
  <si>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</si>
  <si>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</si>
  <si>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</si>
  <si>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</si>
  <si>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</si>
  <si>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</si>
  <si>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</si>
  <si>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</si>
  <si>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</si>
  <si>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</si>
  <si>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</si>
  <si>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</si>
  <si>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</si>
  <si>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</si>
  <si>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</si>
  <si>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</si>
  <si>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</si>
  <si>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</si>
  <si>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</si>
  <si>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</si>
  <si>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</si>
  <si>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</si>
  <si>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</si>
  <si>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</si>
  <si>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</si>
  <si>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</si>
  <si>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</si>
  <si>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</si>
  <si>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</si>
  <si>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</si>
  <si>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</si>
  <si>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</si>
  <si>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</si>
  <si>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</si>
  <si>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</si>
  <si>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</si>
  <si>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</si>
  <si>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</si>
  <si>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</si>
  <si>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</si>
  <si>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</si>
  <si>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</si>
  <si>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</si>
  <si>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</si>
  <si>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</si>
  <si>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</si>
  <si>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</si>
  <si>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</si>
  <si>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</si>
  <si>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</si>
  <si>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</si>
  <si>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</si>
  <si>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</si>
  <si>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</si>
  <si>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</si>
  <si>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</si>
  <si>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</si>
  <si>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</si>
  <si>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</si>
  <si>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</si>
  <si>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</si>
  <si>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</si>
  <si>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</si>
  <si>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</si>
  <si>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</si>
  <si>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</si>
  <si>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Loving</t>
  </si>
  <si>
    <t>Lingleville</t>
  </si>
  <si>
    <t>Lipan</t>
  </si>
  <si>
    <t>Mingus</t>
  </si>
  <si>
    <t>Morgan Mill</t>
  </si>
  <si>
    <t>Olden</t>
  </si>
  <si>
    <t>Paluxy</t>
  </si>
  <si>
    <t>Rising Star</t>
  </si>
  <si>
    <t>Santo</t>
  </si>
  <si>
    <t>Tolar</t>
  </si>
  <si>
    <t>Throckmorton</t>
  </si>
  <si>
    <t>Palo Pinto</t>
  </si>
  <si>
    <t>Peaster</t>
  </si>
  <si>
    <t>Perrin</t>
  </si>
  <si>
    <t>Poolville</t>
  </si>
  <si>
    <t>Whitt</t>
  </si>
  <si>
    <t>Buckholts</t>
  </si>
  <si>
    <t>Copperas Cove</t>
  </si>
  <si>
    <t>Davilla</t>
  </si>
  <si>
    <t>Eddy</t>
  </si>
  <si>
    <t>Evant</t>
  </si>
  <si>
    <t>Flat</t>
  </si>
  <si>
    <t>Heidenheimer</t>
  </si>
  <si>
    <t>Jarrell</t>
  </si>
  <si>
    <t>Kempner</t>
  </si>
  <si>
    <t>Killeen</t>
  </si>
  <si>
    <t>Fort Hood</t>
  </si>
  <si>
    <t>Harker Heights</t>
  </si>
  <si>
    <t>Lampasas</t>
  </si>
  <si>
    <t>Little River Academy</t>
  </si>
  <si>
    <t>Milano</t>
  </si>
  <si>
    <t>Nolanville</t>
  </si>
  <si>
    <t>Purmela</t>
  </si>
  <si>
    <t>Rockdale</t>
  </si>
  <si>
    <t>Schwertner</t>
  </si>
  <si>
    <t>Thrall</t>
  </si>
  <si>
    <t>Abbott</t>
  </si>
  <si>
    <t>Aquilla</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</si>
  <si>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</si>
  <si>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</si>
  <si>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</si>
  <si>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</si>
  <si>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</si>
  <si>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</si>
  <si>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</si>
  <si>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</si>
  <si>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</si>
  <si>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</si>
  <si>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</si>
  <si>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</si>
  <si>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</si>
  <si>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</si>
  <si>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</si>
  <si>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</si>
  <si>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</si>
  <si>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</si>
  <si>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</si>
  <si>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</si>
  <si>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</si>
  <si>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</si>
  <si>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</si>
  <si>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</si>
  <si>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</si>
  <si>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</si>
  <si>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</si>
  <si>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</si>
  <si>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</si>
  <si>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</si>
  <si>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</si>
  <si>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</si>
  <si>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</si>
  <si>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</si>
  <si>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</si>
  <si>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</si>
  <si>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</si>
  <si>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</si>
  <si>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</si>
  <si>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</si>
  <si>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</si>
  <si>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</si>
  <si>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</si>
  <si>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</si>
  <si>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Priddy</t>
  </si>
  <si>
    <t>Richland Springs</t>
  </si>
  <si>
    <t>San Saba</t>
  </si>
  <si>
    <t>Santa Anna</t>
  </si>
  <si>
    <t>Talpa</t>
  </si>
  <si>
    <t>Telegraph</t>
  </si>
  <si>
    <t>Valera</t>
  </si>
  <si>
    <t>Valley Spring</t>
  </si>
  <si>
    <t>Veribest</t>
  </si>
  <si>
    <t>Voca</t>
  </si>
  <si>
    <t>Voss</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</si>
  <si>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</si>
  <si>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</si>
  <si>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</si>
  <si>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</si>
  <si>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</si>
  <si>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</si>
  <si>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</si>
  <si>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</si>
  <si>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</si>
  <si>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</si>
  <si>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</si>
  <si>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</si>
  <si>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</si>
  <si>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</si>
  <si>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</si>
  <si>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Ace</t>
  </si>
  <si>
    <t>Coldspring</t>
  </si>
  <si>
    <t>Dallardsville</t>
  </si>
  <si>
    <t>Dobbin</t>
  </si>
  <si>
    <t>Huffman</t>
  </si>
  <si>
    <t>Hufsmith</t>
  </si>
  <si>
    <t>Humble</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</si>
  <si>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</si>
  <si>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</si>
  <si>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</si>
  <si>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</si>
  <si>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</si>
  <si>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</si>
  <si>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</si>
  <si>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</si>
  <si>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</si>
  <si>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</si>
  <si>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</si>
  <si>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</si>
  <si>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</si>
  <si>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</si>
  <si>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</si>
  <si>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</si>
  <si>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</si>
  <si>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</si>
  <si>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</si>
  <si>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</si>
  <si>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</si>
  <si>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</si>
  <si>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</si>
  <si>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</si>
  <si>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</si>
  <si>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</si>
  <si>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</si>
  <si>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</si>
  <si>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</si>
  <si>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</si>
  <si>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</si>
  <si>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</si>
  <si>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</si>
  <si>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</si>
  <si>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</si>
  <si>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</si>
  <si>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</si>
  <si>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</si>
  <si>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</si>
  <si>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</si>
  <si>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</si>
  <si>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</si>
  <si>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</si>
  <si>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</si>
  <si>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</si>
  <si>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</si>
  <si>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</si>
  <si>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</si>
  <si>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</si>
  <si>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</si>
  <si>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</si>
  <si>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</si>
  <si>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</si>
  <si>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</si>
  <si>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</si>
  <si>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</si>
  <si>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</si>
  <si>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</si>
  <si>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</si>
  <si>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</si>
  <si>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</si>
  <si>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</si>
  <si>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</si>
  <si>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</si>
  <si>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</si>
  <si>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</si>
  <si>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</si>
  <si>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</si>
  <si>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</si>
  <si>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</si>
  <si>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</si>
  <si>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</si>
  <si>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</si>
  <si>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</si>
  <si>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China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</si>
  <si>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</si>
  <si>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</si>
  <si>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</si>
  <si>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</si>
  <si>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</si>
  <si>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</si>
  <si>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</si>
  <si>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</si>
  <si>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</si>
  <si>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</si>
  <si>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</si>
  <si>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</si>
  <si>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</si>
  <si>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</si>
  <si>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</si>
  <si>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</si>
  <si>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</si>
  <si>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</si>
  <si>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</si>
  <si>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</si>
  <si>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</si>
  <si>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</si>
  <si>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</si>
  <si>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</si>
  <si>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</si>
  <si>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</si>
  <si>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</si>
  <si>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</si>
  <si>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</si>
  <si>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</si>
  <si>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</si>
  <si>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</si>
  <si>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</si>
  <si>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</si>
  <si>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</si>
  <si>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</si>
  <si>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</si>
  <si>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</si>
  <si>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</si>
  <si>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</si>
  <si>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</si>
  <si>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</si>
  <si>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</si>
  <si>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</si>
  <si>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</si>
  <si>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</si>
  <si>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</si>
  <si>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</si>
  <si>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</si>
  <si>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</si>
  <si>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</si>
  <si>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Mcfaddin</t>
  </si>
  <si>
    <t>Meyersville</t>
  </si>
  <si>
    <t>Nursery</t>
  </si>
  <si>
    <t>Placedo</t>
  </si>
  <si>
    <t>Point Comfort</t>
  </si>
  <si>
    <t>Port Lavaca</t>
  </si>
  <si>
    <t>Port O Connor</t>
  </si>
  <si>
    <t>Seadrift</t>
  </si>
  <si>
    <t>Shiner</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</si>
  <si>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</si>
  <si>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</si>
  <si>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</si>
  <si>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</si>
  <si>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</si>
  <si>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</si>
  <si>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</si>
  <si>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</si>
  <si>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</si>
  <si>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</si>
  <si>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</si>
  <si>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</si>
  <si>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</si>
  <si>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</si>
  <si>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</si>
  <si>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</si>
  <si>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</si>
  <si>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</si>
  <si>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</si>
  <si>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</si>
  <si>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</si>
  <si>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</si>
  <si>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</si>
  <si>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</si>
  <si>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</si>
  <si>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</si>
  <si>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</si>
  <si>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</si>
  <si>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</si>
  <si>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</si>
  <si>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</si>
  <si>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</si>
  <si>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</si>
  <si>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</si>
  <si>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</si>
  <si>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</si>
  <si>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</si>
  <si>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</si>
  <si>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</si>
  <si>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</si>
  <si>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</si>
  <si>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</si>
  <si>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</si>
  <si>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</si>
  <si>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</si>
  <si>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</si>
  <si>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</si>
  <si>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</si>
  <si>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</si>
  <si>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</si>
  <si>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</si>
  <si>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</si>
  <si>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</si>
  <si>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</si>
  <si>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</si>
  <si>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</si>
  <si>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</si>
  <si>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</si>
  <si>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Randolph A F B</t>
  </si>
  <si>
    <t>Runge</t>
  </si>
  <si>
    <t>Saint Hedwig</t>
  </si>
  <si>
    <t>Schertz</t>
  </si>
  <si>
    <t>Seguin</t>
  </si>
  <si>
    <t>Smiley</t>
  </si>
  <si>
    <t>Sutherland Springs</t>
  </si>
  <si>
    <t>Tuleta</t>
  </si>
  <si>
    <t>Bulverde</t>
  </si>
  <si>
    <t>Lackland A F B</t>
  </si>
  <si>
    <t>Agua Dulce</t>
  </si>
  <si>
    <t>Alice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</si>
  <si>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</si>
  <si>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</si>
  <si>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</si>
  <si>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</si>
  <si>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</si>
  <si>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</si>
  <si>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</si>
  <si>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</si>
  <si>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</si>
  <si>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</si>
  <si>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</si>
  <si>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</si>
  <si>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</si>
  <si>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</si>
  <si>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</si>
  <si>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</si>
  <si>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</si>
  <si>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</si>
  <si>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</si>
  <si>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</si>
  <si>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</si>
  <si>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</si>
  <si>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</si>
  <si>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</si>
  <si>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</si>
  <si>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</si>
  <si>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</si>
  <si>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</si>
  <si>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</si>
  <si>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</si>
  <si>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</si>
  <si>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</si>
  <si>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</si>
  <si>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</si>
  <si>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</si>
  <si>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</si>
  <si>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</si>
  <si>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</si>
  <si>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</si>
  <si>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</si>
  <si>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</si>
  <si>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</si>
  <si>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</si>
  <si>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</si>
  <si>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</si>
  <si>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</si>
  <si>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</si>
  <si>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</si>
  <si>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</si>
  <si>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</si>
  <si>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</si>
  <si>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</si>
  <si>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</si>
  <si>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</si>
  <si>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</si>
  <si>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</si>
  <si>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</si>
  <si>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</si>
  <si>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</si>
  <si>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</si>
  <si>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</si>
  <si>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</si>
  <si>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</si>
  <si>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</si>
  <si>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Perlita</t>
  </si>
  <si>
    <t>Santa Elena</t>
  </si>
  <si>
    <t>Santa Maria</t>
  </si>
  <si>
    <t>Santa Rosa</t>
  </si>
  <si>
    <t>Sullivan City</t>
  </si>
  <si>
    <t>Weslaco</t>
  </si>
  <si>
    <t>South Padre Island</t>
  </si>
  <si>
    <t>Port Mansfield</t>
  </si>
  <si>
    <t>Bertram</t>
  </si>
  <si>
    <t>Briggs</t>
  </si>
  <si>
    <t>Buchanan Dam</t>
  </si>
  <si>
    <t>Burnet</t>
  </si>
  <si>
    <t>Cedar Park</t>
  </si>
  <si>
    <t>Coupland</t>
  </si>
  <si>
    <t>Del Valle</t>
  </si>
  <si>
    <t>Doss</t>
  </si>
  <si>
    <t>Dripping Springs</t>
  </si>
  <si>
    <t>Fentress</t>
  </si>
  <si>
    <t>Fischer</t>
  </si>
  <si>
    <t>Hutto</t>
  </si>
  <si>
    <t>Hye</t>
  </si>
  <si>
    <t>Leander</t>
  </si>
  <si>
    <t>Llano</t>
  </si>
  <si>
    <t>Mc Dade</t>
  </si>
  <si>
    <t>Manchaca</t>
  </si>
  <si>
    <t>Horseshoe Bay</t>
  </si>
  <si>
    <t>Ottine</t>
  </si>
  <si>
    <t>Paige</t>
  </si>
  <si>
    <t>Pflugerville</t>
  </si>
  <si>
    <t>Prairie Lea</t>
  </si>
  <si>
    <t>Round Mountain</t>
  </si>
  <si>
    <t>Round Rock</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</si>
  <si>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</si>
  <si>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</si>
  <si>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</si>
  <si>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</si>
  <si>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</si>
  <si>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</si>
  <si>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</si>
  <si>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</si>
  <si>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</si>
  <si>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</si>
  <si>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</si>
  <si>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</si>
  <si>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</si>
  <si>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</si>
  <si>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</si>
  <si>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</si>
  <si>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</si>
  <si>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</si>
  <si>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</si>
  <si>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</si>
  <si>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</si>
  <si>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</si>
  <si>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</si>
  <si>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</si>
  <si>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</si>
  <si>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</si>
  <si>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</si>
  <si>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</si>
  <si>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</si>
  <si>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</si>
  <si>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</si>
  <si>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</si>
  <si>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</si>
  <si>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</si>
  <si>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</si>
  <si>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</si>
  <si>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</si>
  <si>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</si>
  <si>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</si>
  <si>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</si>
  <si>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</si>
  <si>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</si>
  <si>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</si>
  <si>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</si>
  <si>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</si>
  <si>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</si>
  <si>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</si>
  <si>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</si>
  <si>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</si>
  <si>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</si>
  <si>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</si>
  <si>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</si>
  <si>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</si>
  <si>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</si>
  <si>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</si>
  <si>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</si>
  <si>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</si>
  <si>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</si>
  <si>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</si>
  <si>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</si>
  <si>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</si>
  <si>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</si>
  <si>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</si>
  <si>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</si>
  <si>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</si>
  <si>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</si>
  <si>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</si>
  <si>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</si>
  <si>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</si>
  <si>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</si>
  <si>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</si>
  <si>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</si>
  <si>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</si>
  <si>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</si>
  <si>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</si>
  <si>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</si>
  <si>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</si>
  <si>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</si>
  <si>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 Norwood</t>
  </si>
  <si>
    <t>Skellytown</t>
  </si>
  <si>
    <t>Spearman</t>
  </si>
  <si>
    <t>Springlake</t>
  </si>
  <si>
    <t>Sunray</t>
  </si>
  <si>
    <t>Texline</t>
  </si>
  <si>
    <t>Tulia</t>
  </si>
  <si>
    <t>Umbarger</t>
  </si>
  <si>
    <t>Vega</t>
  </si>
  <si>
    <t>Waka</t>
  </si>
  <si>
    <t>Wildorado</t>
  </si>
  <si>
    <t>Amarillo</t>
  </si>
  <si>
    <t>Childress</t>
  </si>
  <si>
    <t>Cee Vee</t>
  </si>
  <si>
    <t>Crowell</t>
  </si>
  <si>
    <t>Flomot</t>
  </si>
  <si>
    <t>Floydada</t>
  </si>
  <si>
    <t>Hedley</t>
  </si>
  <si>
    <t>Lelia Lake</t>
  </si>
  <si>
    <t>Lockney</t>
  </si>
  <si>
    <t>Matador</t>
  </si>
  <si>
    <t>Quail</t>
  </si>
  <si>
    <t>Quanah</t>
  </si>
  <si>
    <t>Quitaque</t>
  </si>
  <si>
    <t>Roaring Springs</t>
  </si>
  <si>
    <t>Silverton</t>
  </si>
  <si>
    <t>South Plains</t>
  </si>
  <si>
    <t>Tell</t>
  </si>
  <si>
    <t>Abernathy</t>
  </si>
  <si>
    <t>Anton</t>
  </si>
  <si>
    <t>Bula</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</si>
  <si>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</si>
  <si>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</si>
  <si>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</si>
  <si>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</si>
  <si>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</si>
  <si>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</si>
  <si>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</si>
  <si>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</si>
  <si>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</si>
  <si>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</si>
  <si>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</si>
  <si>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</si>
  <si>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</si>
  <si>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</si>
  <si>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</si>
  <si>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</si>
  <si>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</si>
  <si>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</si>
  <si>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</si>
  <si>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</si>
  <si>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</si>
  <si>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</si>
  <si>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</si>
  <si>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</si>
  <si>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</si>
  <si>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</si>
  <si>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Sundown</t>
  </si>
  <si>
    <t>Tahoka</t>
  </si>
  <si>
    <t>Whiteface</t>
  </si>
  <si>
    <t>Whitharral</t>
  </si>
  <si>
    <t>Wolfforth</t>
  </si>
  <si>
    <t>New Home</t>
  </si>
  <si>
    <t>Lubbock</t>
  </si>
  <si>
    <t>Aspermont</t>
  </si>
  <si>
    <t>Baird</t>
  </si>
  <si>
    <t>Benjamin</t>
  </si>
  <si>
    <t>Colorado City</t>
  </si>
  <si>
    <t>Fluvanna</t>
  </si>
  <si>
    <t>Hermleigh</t>
  </si>
  <si>
    <t>Jayton</t>
  </si>
  <si>
    <t>Lueders</t>
  </si>
  <si>
    <t>Mc Caulley</t>
  </si>
  <si>
    <t>Maryneal</t>
  </si>
  <si>
    <t>Merkel</t>
  </si>
  <si>
    <t>Nolan</t>
  </si>
  <si>
    <t>Novice</t>
  </si>
  <si>
    <t>Old Glory</t>
  </si>
  <si>
    <t>Ovalo</t>
  </si>
  <si>
    <t>Rotan</t>
  </si>
  <si>
    <t>Rule</t>
  </si>
  <si>
    <t>Tye</t>
  </si>
  <si>
    <t>Winters</t>
  </si>
  <si>
    <t>Dyess Afb</t>
  </si>
  <si>
    <t>Ackerly</t>
  </si>
  <si>
    <t>Balmorhea</t>
  </si>
  <si>
    <t>Big Spring</t>
  </si>
  <si>
    <t>Coyanosa</t>
  </si>
  <si>
    <t>Forsan</t>
  </si>
  <si>
    <t>Fort Stockton</t>
  </si>
  <si>
    <t>Gail</t>
  </si>
  <si>
    <t>Girvin</t>
  </si>
  <si>
    <t>Grandfalls</t>
  </si>
  <si>
    <t>Iraan</t>
  </si>
  <si>
    <t>Knott</t>
  </si>
  <si>
    <t>Lenorah</t>
  </si>
  <si>
    <t>Mc Camey</t>
  </si>
  <si>
    <t>Monahans</t>
  </si>
  <si>
    <t>Notrees</t>
  </si>
  <si>
    <t>Orla</t>
  </si>
  <si>
    <t>Pecos</t>
  </si>
  <si>
    <t>Penwell</t>
  </si>
  <si>
    <t>Pyote</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</si>
  <si>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</si>
  <si>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</si>
  <si>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</si>
  <si>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</si>
  <si>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</si>
  <si>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</si>
  <si>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</si>
  <si>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</si>
  <si>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</si>
  <si>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</si>
  <si>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</si>
  <si>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</si>
  <si>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</si>
  <si>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</si>
  <si>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</si>
  <si>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</si>
  <si>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Sierra Blanca</t>
  </si>
  <si>
    <t>Terlingua</t>
  </si>
  <si>
    <t>Tornillo</t>
  </si>
  <si>
    <t>Van Horn</t>
  </si>
  <si>
    <t>Fort Bliss</t>
  </si>
  <si>
    <t>Arvada</t>
  </si>
  <si>
    <t>Broomfield</t>
  </si>
  <si>
    <t>Commerce City</t>
  </si>
  <si>
    <t>Eldorado Springs</t>
  </si>
  <si>
    <t>Wheat Ridge</t>
  </si>
  <si>
    <t>Deer Trail</t>
  </si>
  <si>
    <t>Larkspur</t>
  </si>
  <si>
    <t>Louviers</t>
  </si>
  <si>
    <t>Palmer Lake</t>
  </si>
  <si>
    <t>Bond</t>
  </si>
  <si>
    <t>Buffalo Creek</t>
  </si>
  <si>
    <t>Conifer</t>
  </si>
  <si>
    <t>Cowdrey</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</si>
  <si>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</si>
  <si>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</si>
  <si>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</si>
  <si>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</si>
  <si>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</si>
  <si>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</si>
  <si>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</si>
  <si>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</si>
  <si>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</si>
  <si>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</si>
  <si>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</si>
  <si>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</si>
  <si>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</si>
  <si>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</si>
  <si>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</si>
  <si>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</si>
  <si>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</si>
  <si>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</si>
  <si>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</si>
  <si>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</si>
  <si>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</si>
  <si>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</si>
  <si>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</si>
  <si>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</si>
  <si>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</si>
  <si>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</si>
  <si>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</si>
  <si>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</si>
  <si>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</si>
  <si>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</si>
  <si>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</si>
  <si>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</si>
  <si>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</si>
  <si>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</si>
  <si>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</si>
  <si>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</si>
  <si>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</si>
  <si>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</si>
  <si>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</si>
  <si>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</si>
  <si>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</si>
  <si>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</si>
  <si>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</si>
  <si>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</si>
  <si>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</si>
  <si>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</si>
  <si>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</si>
  <si>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</si>
  <si>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</si>
  <si>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</si>
  <si>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</si>
  <si>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</si>
  <si>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</si>
  <si>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</si>
  <si>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</si>
  <si>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</si>
  <si>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</si>
  <si>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</si>
  <si>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</si>
  <si>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</si>
  <si>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</si>
  <si>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</si>
  <si>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</si>
  <si>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</si>
  <si>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</si>
  <si>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</si>
  <si>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</si>
  <si>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</si>
  <si>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</si>
  <si>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</si>
  <si>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</si>
  <si>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</si>
  <si>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</si>
  <si>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</si>
  <si>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</si>
  <si>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</si>
  <si>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</si>
  <si>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</si>
  <si>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</si>
  <si>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</si>
  <si>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</si>
  <si>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</si>
  <si>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</si>
  <si>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Fort Lyon</t>
  </si>
  <si>
    <t>Haswell</t>
  </si>
  <si>
    <t>Hoehne</t>
  </si>
  <si>
    <t>Kim</t>
  </si>
  <si>
    <t>La Junta</t>
  </si>
  <si>
    <t>Las Animas</t>
  </si>
  <si>
    <t>La Veta</t>
  </si>
  <si>
    <t>Mc Clave</t>
  </si>
  <si>
    <t>Manzanola</t>
  </si>
  <si>
    <t>Model</t>
  </si>
  <si>
    <t>Olney Springs</t>
  </si>
  <si>
    <t>Ordway</t>
  </si>
  <si>
    <t>Pritchett</t>
  </si>
  <si>
    <t>Sheridan Lake</t>
  </si>
  <si>
    <t>Sugar City</t>
  </si>
  <si>
    <t>Trinchera</t>
  </si>
  <si>
    <t>Two Buttes</t>
  </si>
  <si>
    <t>Walsenburg</t>
  </si>
  <si>
    <t>Alamosa</t>
  </si>
  <si>
    <t>Antonito</t>
  </si>
  <si>
    <t>Arboles</t>
  </si>
  <si>
    <t>Blanca</t>
  </si>
  <si>
    <t>Capulin</t>
  </si>
  <si>
    <t>Chama</t>
  </si>
  <si>
    <t>Chromo</t>
  </si>
  <si>
    <t>Conejos</t>
  </si>
  <si>
    <t>Creede</t>
  </si>
  <si>
    <t>Crestone</t>
  </si>
  <si>
    <t>Del Norte</t>
  </si>
  <si>
    <t>Fort Garland</t>
  </si>
  <si>
    <t>San Luis</t>
  </si>
  <si>
    <t>Homelake</t>
  </si>
  <si>
    <t>Ignacio</t>
  </si>
  <si>
    <t>Jaroso</t>
  </si>
  <si>
    <t>La Jara</t>
  </si>
  <si>
    <t>Manassa</t>
  </si>
  <si>
    <t>Moffat</t>
  </si>
  <si>
    <t>Monte Vista</t>
  </si>
  <si>
    <t>Mosca</t>
  </si>
  <si>
    <t>Pagosa Springs</t>
  </si>
  <si>
    <t>Saguache</t>
  </si>
  <si>
    <t>San Pablo</t>
  </si>
  <si>
    <t>Salida</t>
  </si>
  <si>
    <t>Canon City</t>
  </si>
  <si>
    <t>Coal Creek</t>
  </si>
  <si>
    <t>Cotopaxi</t>
  </si>
  <si>
    <t>Crested Butte</t>
  </si>
  <si>
    <t>Nathrop</t>
  </si>
  <si>
    <t>Poncha Springs</t>
  </si>
  <si>
    <t>Powderhorn</t>
  </si>
  <si>
    <t>Sargents</t>
  </si>
  <si>
    <t>Westcliffe</t>
  </si>
  <si>
    <t>Cahone</t>
  </si>
  <si>
    <t>Dolores</t>
  </si>
  <si>
    <t>Dove Creek</t>
  </si>
  <si>
    <t>Egnar</t>
  </si>
  <si>
    <t>Hesperus</t>
  </si>
  <si>
    <t>Mancos</t>
  </si>
  <si>
    <t>Marvel</t>
  </si>
  <si>
    <t>Mesa Verde National Park</t>
  </si>
  <si>
    <t>Rico</t>
  </si>
  <si>
    <t>Towaoc</t>
  </si>
  <si>
    <t>Yellow Jacket</t>
  </si>
  <si>
    <t>Bedrock</t>
  </si>
  <si>
    <t>Cedaredge</t>
  </si>
  <si>
    <t>Eckert</t>
  </si>
  <si>
    <t>Hotchkiss</t>
  </si>
  <si>
    <t>Lazear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</si>
  <si>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</si>
  <si>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</si>
  <si>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</si>
  <si>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</si>
  <si>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</si>
  <si>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</si>
  <si>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</si>
  <si>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</si>
  <si>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</si>
  <si>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</si>
  <si>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</si>
  <si>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</si>
  <si>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</si>
  <si>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</si>
  <si>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</si>
  <si>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</si>
  <si>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</si>
  <si>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</si>
  <si>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</si>
  <si>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</si>
  <si>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</si>
  <si>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</si>
  <si>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</si>
  <si>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</si>
  <si>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</si>
  <si>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</si>
  <si>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</si>
  <si>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</si>
  <si>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</si>
  <si>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</si>
  <si>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</si>
  <si>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</si>
  <si>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Granite Canon</t>
  </si>
  <si>
    <t>Horse Creek</t>
  </si>
  <si>
    <t>Jelm</t>
  </si>
  <si>
    <t>Laramie</t>
  </si>
  <si>
    <t>Pine Bluffs</t>
  </si>
  <si>
    <t>Rock River</t>
  </si>
  <si>
    <t>Tie Siding</t>
  </si>
  <si>
    <t>Yellowstone National Park</t>
  </si>
  <si>
    <t>Chugwater</t>
  </si>
  <si>
    <t>Fort Laramie</t>
  </si>
  <si>
    <t>Glendo</t>
  </si>
  <si>
    <t>Hawk Springs</t>
  </si>
  <si>
    <t>Jay Em</t>
  </si>
  <si>
    <t>Lance Creek</t>
  </si>
  <si>
    <t>Lingle</t>
  </si>
  <si>
    <t>Lusk</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</si>
  <si>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</si>
  <si>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</si>
  <si>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</si>
  <si>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</si>
  <si>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</si>
  <si>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</si>
  <si>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</si>
  <si>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</si>
  <si>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</si>
  <si>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</si>
  <si>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</si>
  <si>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</si>
  <si>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</si>
  <si>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</si>
  <si>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</si>
  <si>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</si>
  <si>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</si>
  <si>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Hyattville</t>
  </si>
  <si>
    <t>Meeteetse</t>
  </si>
  <si>
    <t>Shell</t>
  </si>
  <si>
    <t>Ten Sleep</t>
  </si>
  <si>
    <t>Thermopolis</t>
  </si>
  <si>
    <t>Wapiti</t>
  </si>
  <si>
    <t>Crowheart</t>
  </si>
  <si>
    <t>Fort Washakie</t>
  </si>
  <si>
    <t>Kinnear</t>
  </si>
  <si>
    <t>Lander</t>
  </si>
  <si>
    <t>Pavillion</t>
  </si>
  <si>
    <t>Casper</t>
  </si>
  <si>
    <t>Shirley Basin</t>
  </si>
  <si>
    <t>Alcova</t>
  </si>
  <si>
    <t>Arminto</t>
  </si>
  <si>
    <t>Glenrock</t>
  </si>
  <si>
    <t>Hiland</t>
  </si>
  <si>
    <t>Kaycee</t>
  </si>
  <si>
    <t>Linch</t>
  </si>
  <si>
    <t>Lysite</t>
  </si>
  <si>
    <t>Midwest</t>
  </si>
  <si>
    <t>Natrona</t>
  </si>
  <si>
    <t>Powder River</t>
  </si>
  <si>
    <t>Shoshoni</t>
  </si>
  <si>
    <t>Aladdin</t>
  </si>
  <si>
    <t>Devils Tower</t>
  </si>
  <si>
    <t>Four Corners</t>
  </si>
  <si>
    <t>Hulett</t>
  </si>
  <si>
    <t>Moorcroft</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</si>
  <si>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</si>
  <si>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</si>
  <si>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</si>
  <si>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</si>
  <si>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</si>
  <si>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</si>
  <si>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</si>
  <si>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</si>
  <si>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</si>
  <si>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</si>
  <si>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</si>
  <si>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</si>
  <si>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</si>
  <si>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</si>
  <si>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</si>
  <si>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</si>
  <si>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</si>
  <si>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</si>
  <si>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</si>
  <si>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</si>
  <si>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</si>
  <si>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</si>
  <si>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</si>
  <si>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</si>
  <si>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</si>
  <si>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Opal</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</si>
  <si>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</si>
  <si>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</si>
  <si>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</si>
  <si>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</si>
  <si>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</si>
  <si>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</si>
  <si>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</si>
  <si>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</si>
  <si>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</si>
  <si>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</si>
  <si>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</si>
  <si>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</si>
  <si>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</si>
  <si>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</si>
  <si>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</si>
  <si>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</si>
  <si>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</si>
  <si>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</si>
  <si>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</si>
  <si>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</si>
  <si>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</si>
  <si>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</si>
  <si>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</si>
  <si>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</si>
  <si>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</si>
  <si>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</si>
  <si>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</si>
  <si>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</si>
  <si>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</si>
  <si>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</si>
  <si>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</si>
  <si>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</si>
  <si>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</si>
  <si>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</si>
  <si>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</si>
  <si>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</si>
  <si>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</si>
  <si>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</si>
  <si>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Paul</t>
  </si>
  <si>
    <t>Picabo</t>
  </si>
  <si>
    <t>Shoshone</t>
  </si>
  <si>
    <t>Sun Valley</t>
  </si>
  <si>
    <t>Idaho Falls</t>
  </si>
  <si>
    <t>Driggs</t>
  </si>
  <si>
    <t>Macks Inn</t>
  </si>
  <si>
    <t>Menan</t>
  </si>
  <si>
    <t>Monteview</t>
  </si>
  <si>
    <t>Newdale</t>
  </si>
  <si>
    <t>Rexburg</t>
  </si>
  <si>
    <t>Rigby</t>
  </si>
  <si>
    <t>Ririe</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</si>
  <si>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</si>
  <si>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</si>
  <si>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</si>
  <si>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</si>
  <si>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</si>
  <si>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</si>
  <si>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</si>
  <si>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</si>
  <si>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</si>
  <si>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</si>
  <si>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</si>
  <si>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</si>
  <si>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</si>
  <si>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</si>
  <si>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</si>
  <si>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</si>
  <si>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</si>
  <si>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</si>
  <si>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</si>
  <si>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</si>
  <si>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</si>
  <si>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</si>
  <si>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</si>
  <si>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</si>
  <si>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</si>
  <si>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</si>
  <si>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</si>
  <si>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</si>
  <si>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</si>
  <si>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</si>
  <si>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</si>
  <si>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</si>
  <si>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</si>
  <si>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</si>
  <si>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</si>
  <si>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</si>
  <si>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</si>
  <si>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</si>
  <si>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</si>
  <si>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</si>
  <si>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</si>
  <si>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</si>
  <si>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</si>
  <si>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</si>
  <si>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</si>
  <si>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</si>
  <si>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</si>
  <si>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</si>
  <si>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</si>
  <si>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</si>
  <si>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</si>
  <si>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</si>
  <si>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</si>
  <si>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</si>
  <si>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</si>
  <si>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</si>
  <si>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</si>
  <si>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</si>
  <si>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</si>
  <si>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</si>
  <si>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</si>
  <si>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</si>
  <si>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</si>
  <si>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</si>
  <si>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</si>
  <si>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</si>
  <si>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</si>
  <si>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</si>
  <si>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</si>
  <si>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</si>
  <si>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</si>
  <si>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</si>
  <si>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</si>
  <si>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</si>
  <si>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</si>
  <si>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</si>
  <si>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</si>
  <si>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</si>
  <si>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</si>
  <si>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</si>
  <si>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Sandpoint</t>
  </si>
  <si>
    <t>Colburn</t>
  </si>
  <si>
    <t>Santa</t>
  </si>
  <si>
    <t>Smelterville</t>
  </si>
  <si>
    <t>Tensed</t>
  </si>
  <si>
    <t>Worley</t>
  </si>
  <si>
    <t>Altonah</t>
  </si>
  <si>
    <t>American Fork</t>
  </si>
  <si>
    <t>Eagle Mountain</t>
  </si>
  <si>
    <t>Bingham Canyon</t>
  </si>
  <si>
    <t>Bluebell</t>
  </si>
  <si>
    <t>Bonanza</t>
  </si>
  <si>
    <t>Bountiful</t>
  </si>
  <si>
    <t>Cedar Valley</t>
  </si>
  <si>
    <t>Coalville</t>
  </si>
  <si>
    <t>Duchesne</t>
  </si>
  <si>
    <t>Dugway</t>
  </si>
  <si>
    <t>Dutch John</t>
  </si>
  <si>
    <t>Fort Duchesne</t>
  </si>
  <si>
    <t>Heber City</t>
  </si>
  <si>
    <t>Henefer</t>
  </si>
  <si>
    <t>Ibapah</t>
  </si>
  <si>
    <t>Jensen</t>
  </si>
  <si>
    <t>Kamas</t>
  </si>
  <si>
    <t>Kaysville</t>
  </si>
  <si>
    <t>Laketown</t>
  </si>
  <si>
    <t>Lapoint</t>
  </si>
  <si>
    <t>Lehi</t>
  </si>
  <si>
    <t>Magna</t>
  </si>
  <si>
    <t>Myton</t>
  </si>
  <si>
    <t>North Salt Lake</t>
  </si>
  <si>
    <t>Hill Afb</t>
  </si>
  <si>
    <t>Orem</t>
  </si>
  <si>
    <t>Peoa</t>
  </si>
  <si>
    <t>Rush Valley</t>
  </si>
  <si>
    <t>Sandy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</si>
  <si>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</si>
  <si>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</si>
  <si>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</si>
  <si>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</si>
  <si>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</si>
  <si>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</si>
  <si>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</si>
  <si>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</si>
  <si>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</si>
  <si>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</si>
  <si>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</si>
  <si>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</si>
  <si>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</si>
  <si>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</si>
  <si>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</si>
  <si>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</si>
  <si>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</si>
  <si>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</si>
  <si>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</si>
  <si>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</si>
  <si>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</si>
  <si>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</si>
  <si>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</si>
  <si>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</si>
  <si>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</si>
  <si>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</si>
  <si>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</si>
  <si>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</si>
  <si>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</si>
  <si>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</si>
  <si>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</si>
  <si>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</si>
  <si>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</si>
  <si>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</si>
  <si>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Provo</t>
  </si>
  <si>
    <t>Centerfield</t>
  </si>
  <si>
    <t>Fountain Green</t>
  </si>
  <si>
    <t>Kanosh</t>
  </si>
  <si>
    <t>Leamington</t>
  </si>
  <si>
    <t>Levan</t>
  </si>
  <si>
    <t>Lynndyl</t>
  </si>
  <si>
    <t>Manti</t>
  </si>
  <si>
    <t>Mona</t>
  </si>
  <si>
    <t>Moroni</t>
  </si>
  <si>
    <t>Nephi</t>
  </si>
  <si>
    <t>Redmond</t>
  </si>
  <si>
    <t>Santaquin</t>
  </si>
  <si>
    <t>Sigurd</t>
  </si>
  <si>
    <t>Spanish Fork</t>
  </si>
  <si>
    <t>Annabella</t>
  </si>
  <si>
    <t>Antimony</t>
  </si>
  <si>
    <t>Beryl</t>
  </si>
  <si>
    <t>Bryce Canyon</t>
  </si>
  <si>
    <t>Cannonville</t>
  </si>
  <si>
    <t>Brian Head</t>
  </si>
  <si>
    <t>Cedar City</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</si>
  <si>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</si>
  <si>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</si>
  <si>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</si>
  <si>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</si>
  <si>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</si>
  <si>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</si>
  <si>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</si>
  <si>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</si>
  <si>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</si>
  <si>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</si>
  <si>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</si>
  <si>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</si>
  <si>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</si>
  <si>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</si>
  <si>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</si>
  <si>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</si>
  <si>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</si>
  <si>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</si>
  <si>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</si>
  <si>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</si>
  <si>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</si>
  <si>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</si>
  <si>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</si>
  <si>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</si>
  <si>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</si>
  <si>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</si>
  <si>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</si>
  <si>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</si>
  <si>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</si>
  <si>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Apache Junction</t>
  </si>
  <si>
    <t>Gold Canyon</t>
  </si>
  <si>
    <t>Bapchule</t>
  </si>
  <si>
    <t>Casa Grande</t>
  </si>
  <si>
    <t>Arizona City</t>
  </si>
  <si>
    <t>Chandler Heights</t>
  </si>
  <si>
    <t>Eloy</t>
  </si>
  <si>
    <t>Maricopa</t>
  </si>
  <si>
    <t>San Tan Valley</t>
  </si>
  <si>
    <t>Picacho</t>
  </si>
  <si>
    <t>Queen Creek</t>
  </si>
  <si>
    <t>Sacaton</t>
  </si>
  <si>
    <t>Tortilla Flat</t>
  </si>
  <si>
    <t>Valley Farms</t>
  </si>
  <si>
    <t>Winkelman</t>
  </si>
  <si>
    <t>Higley</t>
  </si>
  <si>
    <t>Scottsdale</t>
  </si>
  <si>
    <t>Paradise Valley</t>
  </si>
  <si>
    <t>Rio Verde</t>
  </si>
  <si>
    <t>Fort Mcdowell</t>
  </si>
  <si>
    <t>Fountain Hills</t>
  </si>
  <si>
    <t>Tempe</t>
  </si>
  <si>
    <t>Glendale 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</si>
  <si>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</si>
  <si>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</si>
  <si>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</si>
  <si>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</si>
  <si>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</si>
  <si>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</si>
  <si>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</si>
  <si>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</si>
  <si>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</si>
  <si>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</si>
  <si>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</si>
  <si>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</si>
  <si>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</si>
  <si>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</si>
  <si>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</si>
  <si>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</si>
  <si>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</si>
  <si>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</si>
  <si>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</si>
  <si>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</si>
  <si>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</si>
  <si>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</si>
  <si>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</si>
  <si>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</si>
  <si>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</si>
  <si>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</si>
  <si>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</si>
  <si>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</si>
  <si>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</si>
  <si>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</si>
  <si>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</si>
  <si>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</si>
  <si>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</si>
  <si>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</si>
  <si>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</si>
  <si>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</si>
  <si>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</si>
  <si>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</si>
  <si>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</si>
  <si>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</si>
  <si>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</si>
  <si>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</si>
  <si>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</si>
  <si>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</si>
  <si>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</si>
  <si>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</si>
  <si>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</si>
  <si>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</si>
  <si>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</si>
  <si>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</si>
  <si>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</si>
  <si>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</si>
  <si>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</si>
  <si>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</si>
  <si>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</si>
  <si>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</si>
  <si>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</si>
  <si>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</si>
  <si>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</si>
  <si>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</si>
  <si>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</si>
  <si>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</si>
  <si>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</si>
  <si>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</si>
  <si>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</si>
  <si>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</si>
  <si>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</si>
  <si>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</si>
  <si>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</si>
  <si>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</si>
  <si>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</si>
  <si>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</si>
  <si>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</si>
  <si>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</si>
  <si>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</si>
  <si>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</si>
  <si>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</si>
  <si>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</si>
  <si>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</si>
  <si>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</si>
  <si>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</si>
  <si>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</si>
  <si>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</si>
  <si>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</si>
  <si>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</si>
  <si>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</si>
  <si>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</si>
  <si>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</si>
  <si>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</si>
  <si>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</si>
  <si>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</si>
  <si>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</si>
  <si>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</si>
  <si>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</si>
  <si>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</si>
  <si>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</si>
  <si>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</si>
  <si>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</si>
  <si>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</si>
  <si>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</si>
  <si>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</si>
  <si>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</si>
  <si>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</si>
  <si>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</si>
  <si>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</si>
  <si>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</si>
  <si>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</si>
  <si>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</si>
  <si>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</si>
  <si>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</si>
  <si>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</si>
  <si>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</si>
  <si>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Kaibeto</t>
  </si>
  <si>
    <t>Shonto</t>
  </si>
  <si>
    <t>Prescott Valley</t>
  </si>
  <si>
    <t>Ash Fork</t>
  </si>
  <si>
    <t>Camp Verde</t>
  </si>
  <si>
    <t>Chino Valley</t>
  </si>
  <si>
    <t>Cornville</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</si>
  <si>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</si>
  <si>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</si>
  <si>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</si>
  <si>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</si>
  <si>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</si>
  <si>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</si>
  <si>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</si>
  <si>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</si>
  <si>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</si>
  <si>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</si>
  <si>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</si>
  <si>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</si>
  <si>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</si>
  <si>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</si>
  <si>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</si>
  <si>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</si>
  <si>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</si>
  <si>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</si>
  <si>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</si>
  <si>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</si>
  <si>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</si>
  <si>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</si>
  <si>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</si>
  <si>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</si>
  <si>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</si>
  <si>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</si>
  <si>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</si>
  <si>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</si>
  <si>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</si>
  <si>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</si>
  <si>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</si>
  <si>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</si>
  <si>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</si>
  <si>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</si>
  <si>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</si>
  <si>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</si>
  <si>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</si>
  <si>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</si>
  <si>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</si>
  <si>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</si>
  <si>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</si>
  <si>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</si>
  <si>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</si>
  <si>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</si>
  <si>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</si>
  <si>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</si>
  <si>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</si>
  <si>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</si>
  <si>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</si>
  <si>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</si>
  <si>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</si>
  <si>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</si>
  <si>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</si>
  <si>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</si>
  <si>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</si>
  <si>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</si>
  <si>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</si>
  <si>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</si>
  <si>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</si>
  <si>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</si>
  <si>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</si>
  <si>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</si>
  <si>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</si>
  <si>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</si>
  <si>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</si>
  <si>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</si>
  <si>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</si>
  <si>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</si>
  <si>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</si>
  <si>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</si>
  <si>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</si>
  <si>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</si>
  <si>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</si>
  <si>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</si>
  <si>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</si>
  <si>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</si>
  <si>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</si>
  <si>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</si>
  <si>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</si>
  <si>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</si>
  <si>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</si>
  <si>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</si>
  <si>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</si>
  <si>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</si>
  <si>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</si>
  <si>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</si>
  <si>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</si>
  <si>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</si>
  <si>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</si>
  <si>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</si>
  <si>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</si>
  <si>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</si>
  <si>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</si>
  <si>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</si>
  <si>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</si>
  <si>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</si>
  <si>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</si>
  <si>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</si>
  <si>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</si>
  <si>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</si>
  <si>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</si>
  <si>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</si>
  <si>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</si>
  <si>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</si>
  <si>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</si>
  <si>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</si>
  <si>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</si>
  <si>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</si>
  <si>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</si>
  <si>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</si>
  <si>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</si>
  <si>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</si>
  <si>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</si>
  <si>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</si>
  <si>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</si>
  <si>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</si>
  <si>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</si>
  <si>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</si>
  <si>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</si>
  <si>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</si>
  <si>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</si>
  <si>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</si>
  <si>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</si>
  <si>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</si>
  <si>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</si>
  <si>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</si>
  <si>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</si>
  <si>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</si>
  <si>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</si>
  <si>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</si>
  <si>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</si>
  <si>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</si>
  <si>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</si>
  <si>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</si>
  <si>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</si>
  <si>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</si>
  <si>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</si>
  <si>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</si>
  <si>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</si>
  <si>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</si>
  <si>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</si>
  <si>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</si>
  <si>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Ohkay Owingeh</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</si>
  <si>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</si>
  <si>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</si>
  <si>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</si>
  <si>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</si>
  <si>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</si>
  <si>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</si>
  <si>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</si>
  <si>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</si>
  <si>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</si>
  <si>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</si>
  <si>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</si>
  <si>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</si>
  <si>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</si>
  <si>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</si>
  <si>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</si>
  <si>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</si>
  <si>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</si>
  <si>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</si>
  <si>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</si>
  <si>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</si>
  <si>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</si>
  <si>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</si>
  <si>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</si>
  <si>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</si>
  <si>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</si>
  <si>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</si>
  <si>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</si>
  <si>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</si>
  <si>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</si>
  <si>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</si>
  <si>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</si>
  <si>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</si>
  <si>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</si>
  <si>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</si>
  <si>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</si>
  <si>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</si>
  <si>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</si>
  <si>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</si>
  <si>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</si>
  <si>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</si>
  <si>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</si>
  <si>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</si>
  <si>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</si>
  <si>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</si>
  <si>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</si>
  <si>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</si>
  <si>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</si>
  <si>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</si>
  <si>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</si>
  <si>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</si>
  <si>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</si>
  <si>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</si>
  <si>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</si>
  <si>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</si>
  <si>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</si>
  <si>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</si>
  <si>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</si>
  <si>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</si>
  <si>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</si>
  <si>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</si>
  <si>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</si>
  <si>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</si>
  <si>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</si>
  <si>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</si>
  <si>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</si>
  <si>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</si>
  <si>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</si>
  <si>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</si>
  <si>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</si>
  <si>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</si>
  <si>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</si>
  <si>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</si>
  <si>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</si>
  <si>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</si>
  <si>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</si>
  <si>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</si>
  <si>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</si>
  <si>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</si>
  <si>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</si>
  <si>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</si>
  <si>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</si>
  <si>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</si>
  <si>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</si>
  <si>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</si>
  <si>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</si>
  <si>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</si>
  <si>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</si>
  <si>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</si>
  <si>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</si>
  <si>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</si>
  <si>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</si>
  <si>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</si>
  <si>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Mcdonald</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</si>
  <si>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</si>
  <si>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</si>
  <si>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</si>
  <si>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</si>
  <si>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</si>
  <si>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</si>
  <si>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</si>
  <si>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</si>
  <si>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</si>
  <si>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</si>
  <si>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</si>
  <si>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</si>
  <si>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</si>
  <si>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</si>
  <si>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</si>
  <si>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</si>
  <si>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</si>
  <si>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</si>
  <si>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</si>
  <si>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</si>
  <si>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</si>
  <si>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</si>
  <si>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</si>
  <si>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</si>
  <si>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</si>
  <si>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</si>
  <si>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</si>
  <si>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</si>
  <si>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</si>
  <si>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Mcalister</t>
  </si>
  <si>
    <t>Nara Visa</t>
  </si>
  <si>
    <t>Quay</t>
  </si>
  <si>
    <t>San Jon</t>
  </si>
  <si>
    <t>Trementina</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</si>
  <si>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</si>
  <si>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</si>
  <si>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</si>
  <si>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</si>
  <si>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</si>
  <si>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</si>
  <si>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</si>
  <si>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</si>
  <si>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</si>
  <si>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</si>
  <si>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</si>
  <si>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</si>
  <si>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</si>
  <si>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</si>
  <si>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</si>
  <si>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Coyote Springs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</si>
  <si>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</si>
  <si>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</si>
  <si>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</si>
  <si>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</si>
  <si>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</si>
  <si>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</si>
  <si>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</si>
  <si>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</si>
  <si>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</si>
  <si>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</si>
  <si>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</si>
  <si>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</si>
  <si>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</si>
  <si>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</si>
  <si>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</si>
  <si>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</si>
  <si>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</si>
  <si>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</si>
  <si>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</si>
  <si>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</si>
  <si>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Mina</t>
  </si>
  <si>
    <t>Orovada</t>
  </si>
  <si>
    <t>Schurz</t>
  </si>
  <si>
    <t>Smith</t>
  </si>
  <si>
    <t>Valmy</t>
  </si>
  <si>
    <t>Verdi</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</si>
  <si>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</si>
  <si>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</si>
  <si>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</si>
  <si>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</si>
  <si>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</si>
  <si>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</si>
  <si>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</si>
  <si>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</si>
  <si>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</si>
  <si>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</si>
  <si>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</si>
  <si>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</si>
  <si>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</si>
  <si>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</si>
  <si>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</si>
  <si>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</si>
  <si>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</si>
  <si>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</si>
  <si>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</si>
  <si>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</si>
  <si>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Playa Vista</t>
  </si>
  <si>
    <t>Bell Gardens</t>
  </si>
  <si>
    <t>Culver City</t>
  </si>
  <si>
    <t>El Segundo</t>
  </si>
  <si>
    <t>Gardena</t>
  </si>
  <si>
    <t>Hermosa Beach</t>
  </si>
  <si>
    <t>Huntington Park</t>
  </si>
  <si>
    <t>Lynwood</t>
  </si>
  <si>
    <t>Malibu</t>
  </si>
  <si>
    <t>Manhattan Beach</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</si>
  <si>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</si>
  <si>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</si>
  <si>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</si>
  <si>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</si>
  <si>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</si>
  <si>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</si>
  <si>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</si>
  <si>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</si>
  <si>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</si>
  <si>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</si>
  <si>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</si>
  <si>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</si>
  <si>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</si>
  <si>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</si>
  <si>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</si>
  <si>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</si>
  <si>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</si>
  <si>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</si>
  <si>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</si>
  <si>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</si>
  <si>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</si>
  <si>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</si>
  <si>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</si>
  <si>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</si>
  <si>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</si>
  <si>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</si>
  <si>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</si>
  <si>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</si>
  <si>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</si>
  <si>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</si>
  <si>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</si>
  <si>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</si>
  <si>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</si>
  <si>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</si>
  <si>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</si>
  <si>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</si>
  <si>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</si>
  <si>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</si>
  <si>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</si>
  <si>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</si>
  <si>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</si>
  <si>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</si>
  <si>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</si>
  <si>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</si>
  <si>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Porter Ranch</t>
  </si>
  <si>
    <t>Pacoima</t>
  </si>
  <si>
    <t>Reseda</t>
  </si>
  <si>
    <t>San Fernando</t>
  </si>
  <si>
    <t>Sylmar</t>
  </si>
  <si>
    <t>North Hills</t>
  </si>
  <si>
    <t>Granada Hills</t>
  </si>
  <si>
    <t>Mission Hills</t>
  </si>
  <si>
    <t>Santa Clarita</t>
  </si>
  <si>
    <t>Canyon Country</t>
  </si>
  <si>
    <t>Tarzana</t>
  </si>
  <si>
    <t>Thousand Oaks</t>
  </si>
  <si>
    <t>Westlake Village</t>
  </si>
  <si>
    <t>Woodland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</si>
  <si>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</si>
  <si>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</si>
  <si>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</si>
  <si>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</si>
  <si>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</si>
  <si>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</si>
  <si>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</si>
  <si>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</si>
  <si>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</si>
  <si>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</si>
  <si>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</si>
  <si>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</si>
  <si>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</si>
  <si>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</si>
  <si>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</si>
  <si>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</si>
  <si>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</si>
  <si>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</si>
  <si>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</si>
  <si>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</si>
  <si>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</si>
  <si>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</si>
  <si>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</si>
  <si>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</si>
  <si>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</si>
  <si>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</si>
  <si>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</si>
  <si>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</si>
  <si>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</si>
  <si>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</si>
  <si>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</si>
  <si>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</si>
  <si>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</si>
  <si>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</si>
  <si>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</si>
  <si>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</si>
  <si>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</si>
  <si>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</si>
  <si>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</si>
  <si>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</si>
  <si>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</si>
  <si>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</si>
  <si>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</si>
  <si>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</si>
  <si>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</si>
  <si>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</si>
  <si>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</si>
  <si>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</si>
  <si>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</si>
  <si>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</si>
  <si>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</si>
  <si>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</si>
  <si>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</si>
  <si>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</si>
  <si>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</si>
  <si>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</si>
  <si>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</si>
  <si>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</si>
  <si>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</si>
  <si>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</si>
  <si>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</si>
  <si>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</si>
  <si>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</si>
  <si>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Vista</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</si>
  <si>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</si>
  <si>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</si>
  <si>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</si>
  <si>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</si>
  <si>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</si>
  <si>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</si>
  <si>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</si>
  <si>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</si>
  <si>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</si>
  <si>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</si>
  <si>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</si>
  <si>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</si>
  <si>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</si>
  <si>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</si>
  <si>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</si>
  <si>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</si>
  <si>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</si>
  <si>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</si>
  <si>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</si>
  <si>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</si>
  <si>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</si>
  <si>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</si>
  <si>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</si>
  <si>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</si>
  <si>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</si>
  <si>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</si>
  <si>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</si>
  <si>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</si>
  <si>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</si>
  <si>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</si>
  <si>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</si>
  <si>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</si>
  <si>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</si>
  <si>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Winterhaven</t>
  </si>
  <si>
    <t>Yucca Valley</t>
  </si>
  <si>
    <t>Landers</t>
  </si>
  <si>
    <t>Adelanto</t>
  </si>
  <si>
    <t>Angelus Oaks</t>
  </si>
  <si>
    <t>Apple Valley</t>
  </si>
  <si>
    <t>Fort Irwin</t>
  </si>
  <si>
    <t>Grand Terrace</t>
  </si>
  <si>
    <t>Big Bear City</t>
  </si>
  <si>
    <t>Big Bear Lake</t>
  </si>
  <si>
    <t>Blue Jay</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</si>
  <si>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</si>
  <si>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</si>
  <si>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</si>
  <si>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</si>
  <si>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</si>
  <si>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</si>
  <si>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</si>
  <si>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</si>
  <si>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</si>
  <si>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</si>
  <si>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</si>
  <si>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</si>
  <si>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</si>
  <si>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</si>
  <si>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</si>
  <si>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</si>
  <si>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</si>
  <si>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</si>
  <si>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</si>
  <si>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</si>
  <si>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</si>
  <si>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</si>
  <si>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</si>
  <si>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</si>
  <si>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</si>
  <si>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</si>
  <si>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</si>
  <si>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</si>
  <si>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</si>
  <si>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</si>
  <si>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</si>
  <si>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</si>
  <si>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</si>
  <si>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</si>
  <si>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Reserve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</si>
  <si>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</si>
  <si>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</si>
  <si>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</si>
  <si>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</si>
  <si>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</si>
  <si>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</si>
  <si>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</si>
  <si>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</si>
  <si>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</si>
  <si>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</si>
  <si>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</si>
  <si>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</si>
  <si>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</si>
  <si>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</si>
  <si>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</si>
  <si>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</si>
  <si>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</si>
  <si>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Capistrano Beach</t>
  </si>
  <si>
    <t>Corona Del Mar</t>
  </si>
  <si>
    <t>Costa Mesa</t>
  </si>
  <si>
    <t>Dana Point</t>
  </si>
  <si>
    <t>Laguna Woods</t>
  </si>
  <si>
    <t>East Irvine</t>
  </si>
  <si>
    <t>Laguna Beach</t>
  </si>
  <si>
    <t>Laguna Hills</t>
  </si>
  <si>
    <t>Midway City</t>
  </si>
  <si>
    <t>Aliso Viejo</t>
  </si>
  <si>
    <t>Newport Coast</t>
  </si>
  <si>
    <t>Newport Beach</t>
  </si>
  <si>
    <t>San Clemente</t>
  </si>
  <si>
    <t>San Juan Capistrano</t>
  </si>
  <si>
    <t>Silverado</t>
  </si>
  <si>
    <t>Trabuco Canyon</t>
  </si>
  <si>
    <t>Rancho Santa Margarita</t>
  </si>
  <si>
    <t>Mission Viejo</t>
  </si>
  <si>
    <t>Ladera Ranch</t>
  </si>
  <si>
    <t>Santa Ana</t>
  </si>
  <si>
    <t>Fountain Valley</t>
  </si>
  <si>
    <t>Anaheim</t>
  </si>
  <si>
    <t>Brea</t>
  </si>
  <si>
    <t>Placentia</t>
  </si>
  <si>
    <t>Yorba Linda</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</si>
  <si>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</si>
  <si>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</si>
  <si>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</si>
  <si>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</si>
  <si>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</si>
  <si>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</si>
  <si>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</si>
  <si>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</si>
  <si>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</si>
  <si>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</si>
  <si>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</si>
  <si>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</si>
  <si>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</si>
  <si>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</si>
  <si>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</si>
  <si>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</si>
  <si>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</si>
  <si>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</si>
  <si>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</si>
  <si>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</si>
  <si>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</si>
  <si>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</si>
  <si>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</si>
  <si>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</si>
  <si>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</si>
  <si>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</si>
  <si>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</si>
  <si>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Ducor</t>
  </si>
  <si>
    <t>Earlimart</t>
  </si>
  <si>
    <t>Pine Mountain Club</t>
  </si>
  <si>
    <t>Fellows</t>
  </si>
  <si>
    <t>Frazier Park</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</si>
  <si>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</si>
  <si>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</si>
  <si>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</si>
  <si>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</si>
  <si>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</si>
  <si>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</si>
  <si>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</si>
  <si>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</si>
  <si>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</si>
  <si>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</si>
  <si>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</si>
  <si>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</si>
  <si>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</si>
  <si>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</si>
  <si>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</si>
  <si>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</si>
  <si>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</si>
  <si>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Shafter</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</si>
  <si>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</si>
  <si>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</si>
  <si>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</si>
  <si>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</si>
  <si>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</si>
  <si>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</si>
  <si>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</si>
  <si>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</si>
  <si>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</si>
  <si>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</si>
  <si>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</si>
  <si>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</si>
  <si>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</si>
  <si>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</si>
  <si>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</si>
  <si>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</si>
  <si>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</si>
  <si>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</si>
  <si>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</si>
  <si>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</si>
  <si>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</si>
  <si>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</si>
  <si>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</si>
  <si>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</si>
  <si>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</si>
  <si>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</si>
  <si>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</si>
  <si>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</si>
  <si>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</si>
  <si>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</si>
  <si>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</si>
  <si>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</si>
  <si>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</si>
  <si>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</si>
  <si>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</si>
  <si>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</si>
  <si>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</si>
  <si>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</si>
  <si>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</si>
  <si>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</si>
  <si>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</si>
  <si>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</si>
  <si>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</si>
  <si>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</si>
  <si>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</si>
  <si>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</si>
  <si>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</si>
  <si>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</si>
  <si>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</si>
  <si>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Ahwahnee</t>
  </si>
  <si>
    <t>Auberry</t>
  </si>
  <si>
    <t>Bass Lake</t>
  </si>
  <si>
    <t>Biola</t>
  </si>
  <si>
    <t>Burrel</t>
  </si>
  <si>
    <t>Cantua Creek</t>
  </si>
  <si>
    <t>Caruthers</t>
  </si>
  <si>
    <t>Chowchilla</t>
  </si>
  <si>
    <t>Coarsegold</t>
  </si>
  <si>
    <t>Del Rey</t>
  </si>
  <si>
    <t>Dinuba</t>
  </si>
  <si>
    <t>Dos Palos</t>
  </si>
  <si>
    <t>Firebaugh</t>
  </si>
  <si>
    <t>Fish Camp</t>
  </si>
  <si>
    <t>Friant</t>
  </si>
  <si>
    <t>Helm</t>
  </si>
  <si>
    <t>Kerman</t>
  </si>
  <si>
    <t>Kingsburg</t>
  </si>
  <si>
    <t>Kings Canyon National Pk</t>
  </si>
  <si>
    <t>Los Banos</t>
  </si>
  <si>
    <t>Miramonte</t>
  </si>
  <si>
    <t>Mono Hot Springs</t>
  </si>
  <si>
    <t>O Neals</t>
  </si>
  <si>
    <t>Orange Cove</t>
  </si>
  <si>
    <t>Orosi</t>
  </si>
  <si>
    <t>Parlier</t>
  </si>
  <si>
    <t>Piedra</t>
  </si>
  <si>
    <t>Prather</t>
  </si>
  <si>
    <t>Raisin City</t>
  </si>
  <si>
    <t>Reedley</t>
  </si>
  <si>
    <t>San Joaquin</t>
  </si>
  <si>
    <t>Santa Rita Park</t>
  </si>
  <si>
    <t>Shaver Lake</t>
  </si>
  <si>
    <t>South Dos Palos</t>
  </si>
  <si>
    <t>Sultana</t>
  </si>
  <si>
    <t>Tollhouse</t>
  </si>
  <si>
    <t>Tranquillity</t>
  </si>
  <si>
    <t>Wishon</t>
  </si>
  <si>
    <t>Yettem</t>
  </si>
  <si>
    <t>Traver</t>
  </si>
  <si>
    <t>Squaw Valley</t>
  </si>
  <si>
    <t>Big Sur</t>
  </si>
  <si>
    <t>Carmel By The Sea</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</si>
  <si>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</si>
  <si>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</si>
  <si>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</si>
  <si>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</si>
  <si>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</si>
  <si>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</si>
  <si>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</si>
  <si>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</si>
  <si>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</si>
  <si>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</si>
  <si>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</si>
  <si>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</si>
  <si>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</si>
  <si>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</si>
  <si>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</si>
  <si>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</si>
  <si>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</si>
  <si>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</si>
  <si>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</si>
  <si>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</si>
  <si>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</si>
  <si>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</si>
  <si>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</si>
  <si>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</si>
  <si>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Pescadero</t>
  </si>
  <si>
    <t>Redwood City</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</si>
  <si>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</si>
  <si>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</si>
  <si>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</si>
  <si>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</si>
  <si>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</si>
  <si>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</si>
  <si>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</si>
  <si>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</si>
  <si>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</si>
  <si>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</si>
  <si>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</si>
  <si>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</si>
  <si>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</si>
  <si>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</si>
  <si>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</si>
  <si>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</si>
  <si>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</si>
  <si>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</si>
  <si>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</si>
  <si>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</si>
  <si>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</si>
  <si>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</si>
  <si>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</si>
  <si>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</si>
  <si>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</si>
  <si>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</si>
  <si>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</si>
  <si>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Ramon</t>
  </si>
  <si>
    <t>Suisun City</t>
  </si>
  <si>
    <t>Sunol</t>
  </si>
  <si>
    <t>Vallejo</t>
  </si>
  <si>
    <t>Yountville</t>
  </si>
  <si>
    <t>Emeryville</t>
  </si>
  <si>
    <t>El Sobrante</t>
  </si>
  <si>
    <t>Greenbrae</t>
  </si>
  <si>
    <t>Kentfield</t>
  </si>
  <si>
    <t>Belvedere Tiburon</t>
  </si>
  <si>
    <t>Bodega</t>
  </si>
  <si>
    <t>Bodega Bay</t>
  </si>
  <si>
    <t>Bolinas</t>
  </si>
  <si>
    <t>Corte Madera</t>
  </si>
  <si>
    <t>Rohnert Park</t>
  </si>
  <si>
    <t>Dillon Beach</t>
  </si>
  <si>
    <t>Cotati</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</si>
  <si>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</si>
  <si>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</si>
  <si>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</si>
  <si>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</si>
  <si>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</si>
  <si>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</si>
  <si>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</si>
  <si>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</si>
  <si>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</si>
  <si>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</si>
  <si>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</si>
  <si>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</si>
  <si>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</si>
  <si>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</si>
  <si>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</si>
  <si>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</si>
  <si>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</si>
  <si>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</si>
  <si>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</si>
  <si>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</si>
  <si>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</si>
  <si>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</si>
  <si>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</si>
  <si>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</si>
  <si>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</si>
  <si>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</si>
  <si>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</si>
  <si>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</si>
  <si>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</si>
  <si>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</si>
  <si>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</si>
  <si>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</si>
  <si>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</si>
  <si>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</si>
  <si>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</si>
  <si>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</si>
  <si>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</si>
  <si>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</si>
  <si>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</si>
  <si>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</si>
  <si>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</si>
  <si>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</si>
  <si>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</si>
  <si>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</si>
  <si>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</si>
  <si>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</si>
  <si>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</si>
  <si>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</si>
  <si>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</si>
  <si>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</si>
  <si>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</si>
  <si>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</si>
  <si>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</si>
  <si>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</si>
  <si>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Vallecito</t>
  </si>
  <si>
    <t>Wilseyville</t>
  </si>
  <si>
    <t>Ballico</t>
  </si>
  <si>
    <t>Big Oak Flat</t>
  </si>
  <si>
    <t>Catheys Valley</t>
  </si>
  <si>
    <t>Chinese Camp</t>
  </si>
  <si>
    <t>Cressey</t>
  </si>
  <si>
    <t>Crows Landing</t>
  </si>
  <si>
    <t>Pinecrest</t>
  </si>
  <si>
    <t>Denair</t>
  </si>
  <si>
    <t>El Nido</t>
  </si>
  <si>
    <t>El Portal</t>
  </si>
  <si>
    <t>Escalon</t>
  </si>
  <si>
    <t>Hilmar</t>
  </si>
  <si>
    <t>Hornitos</t>
  </si>
  <si>
    <t>Hughson</t>
  </si>
  <si>
    <t>Long Barn</t>
  </si>
  <si>
    <t>Manteca</t>
  </si>
  <si>
    <t>Mariposa</t>
  </si>
  <si>
    <t>Merced</t>
  </si>
  <si>
    <t>Midpines</t>
  </si>
  <si>
    <t>Mi Wuk Village</t>
  </si>
  <si>
    <t>Planada</t>
  </si>
  <si>
    <t>Riverbank</t>
  </si>
  <si>
    <t>Snelling</t>
  </si>
  <si>
    <t>Soulsbyville</t>
  </si>
  <si>
    <t>Stevinson</t>
  </si>
  <si>
    <t>Tuolumne</t>
  </si>
  <si>
    <t>Turlock</t>
  </si>
  <si>
    <t>Twain Harte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</si>
  <si>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</si>
  <si>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</si>
  <si>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</si>
  <si>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</si>
  <si>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</si>
  <si>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</si>
  <si>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</si>
  <si>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</si>
  <si>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</si>
  <si>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</si>
  <si>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</si>
  <si>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</si>
  <si>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</si>
  <si>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</si>
  <si>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</si>
  <si>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</si>
  <si>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</si>
  <si>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</si>
  <si>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</si>
  <si>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</si>
  <si>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</si>
  <si>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</si>
  <si>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</si>
  <si>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</si>
  <si>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</si>
  <si>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</si>
  <si>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</si>
  <si>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</si>
  <si>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</si>
  <si>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</si>
  <si>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</si>
  <si>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</si>
  <si>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</si>
  <si>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</si>
  <si>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</si>
  <si>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</si>
  <si>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</si>
  <si>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</si>
  <si>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</si>
  <si>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</si>
  <si>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</si>
  <si>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</si>
  <si>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</si>
  <si>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</si>
  <si>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</si>
  <si>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</si>
  <si>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</si>
  <si>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</si>
  <si>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</si>
  <si>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</si>
  <si>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</si>
  <si>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</si>
  <si>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</si>
  <si>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</si>
  <si>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</si>
  <si>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</si>
  <si>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</si>
  <si>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</si>
  <si>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</si>
  <si>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</si>
  <si>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</si>
  <si>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</si>
  <si>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</si>
  <si>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</si>
  <si>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</si>
  <si>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</si>
  <si>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</si>
  <si>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</si>
  <si>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</si>
  <si>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</si>
  <si>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</si>
  <si>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</si>
  <si>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</si>
  <si>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</si>
  <si>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</si>
  <si>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</si>
  <si>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</si>
  <si>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</si>
  <si>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</si>
  <si>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</si>
  <si>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</si>
  <si>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</si>
  <si>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</si>
  <si>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</si>
  <si>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</si>
  <si>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</si>
  <si>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</si>
  <si>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</si>
  <si>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</si>
  <si>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</si>
  <si>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</si>
  <si>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</si>
  <si>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Diamond Springs</t>
  </si>
  <si>
    <t>Elk Grove</t>
  </si>
  <si>
    <t>Elverta</t>
  </si>
  <si>
    <t>Esparto</t>
  </si>
  <si>
    <t>Fiddletown</t>
  </si>
  <si>
    <t>Foresthill</t>
  </si>
  <si>
    <t>Grizzly Flats</t>
  </si>
  <si>
    <t>Guinda</t>
  </si>
  <si>
    <t>Herald</t>
  </si>
  <si>
    <t>Ione</t>
  </si>
  <si>
    <t>Isleton</t>
  </si>
  <si>
    <t>Knights Landing</t>
  </si>
  <si>
    <t>Lotus</t>
  </si>
  <si>
    <t>Mcclellan</t>
  </si>
  <si>
    <t>Mount Aukum</t>
  </si>
  <si>
    <t>Nicolaus</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</si>
  <si>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</si>
  <si>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</si>
  <si>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</si>
  <si>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</si>
  <si>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</si>
  <si>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</si>
  <si>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</si>
  <si>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</si>
  <si>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</si>
  <si>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</si>
  <si>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</si>
  <si>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</si>
  <si>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</si>
  <si>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</si>
  <si>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</si>
  <si>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</si>
  <si>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</si>
  <si>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</si>
  <si>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</si>
  <si>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</si>
  <si>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</si>
  <si>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</si>
  <si>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</si>
  <si>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</si>
  <si>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</si>
  <si>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</si>
  <si>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</si>
  <si>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</si>
  <si>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</si>
  <si>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</si>
  <si>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</si>
  <si>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</si>
  <si>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</si>
  <si>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</si>
  <si>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</si>
  <si>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</si>
  <si>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</si>
  <si>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</si>
  <si>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 Dam</t>
  </si>
  <si>
    <t>Cedar Ridge</t>
  </si>
  <si>
    <t>Challenge</t>
  </si>
  <si>
    <t>Clipper Mills</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</si>
  <si>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</si>
  <si>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</si>
  <si>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</si>
  <si>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</si>
  <si>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</si>
  <si>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</si>
  <si>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</si>
  <si>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</si>
  <si>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</si>
  <si>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</si>
  <si>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</si>
  <si>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</si>
  <si>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</si>
  <si>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</si>
  <si>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</si>
  <si>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</si>
  <si>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</si>
  <si>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</si>
  <si>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</si>
  <si>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</si>
  <si>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</si>
  <si>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Smartsville</t>
  </si>
  <si>
    <t>Stirling City</t>
  </si>
  <si>
    <t>Stonyford</t>
  </si>
  <si>
    <t>Storrie</t>
  </si>
  <si>
    <t>Strawberry Valley</t>
  </si>
  <si>
    <t>Twain</t>
  </si>
  <si>
    <t>Willows</t>
  </si>
  <si>
    <t>Yuba City</t>
  </si>
  <si>
    <t>Adin</t>
  </si>
  <si>
    <t>Bieber</t>
  </si>
  <si>
    <t>Big Bar</t>
  </si>
  <si>
    <t>Burney</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</si>
  <si>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</si>
  <si>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</si>
  <si>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</si>
  <si>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</si>
  <si>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</si>
  <si>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</si>
  <si>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</si>
  <si>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</si>
  <si>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</si>
  <si>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</si>
  <si>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</si>
  <si>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</si>
  <si>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</si>
  <si>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</si>
  <si>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</si>
  <si>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</si>
  <si>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</si>
  <si>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</si>
  <si>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</si>
  <si>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</si>
  <si>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</si>
  <si>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Los Molinos</t>
  </si>
  <si>
    <t>Mcarthur</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</si>
  <si>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</si>
  <si>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</si>
  <si>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</si>
  <si>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</si>
  <si>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</si>
  <si>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</si>
  <si>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</si>
  <si>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</si>
  <si>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</si>
  <si>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</si>
  <si>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</si>
  <si>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</si>
  <si>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</si>
  <si>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</si>
  <si>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</si>
  <si>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</si>
  <si>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</si>
  <si>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</si>
  <si>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</si>
  <si>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</si>
  <si>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</si>
  <si>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</si>
  <si>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</si>
  <si>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</si>
  <si>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</si>
  <si>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</si>
  <si>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</si>
  <si>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</si>
  <si>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</si>
  <si>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</si>
  <si>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</si>
  <si>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</si>
  <si>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</si>
  <si>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</si>
  <si>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</si>
  <si>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</si>
  <si>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</si>
  <si>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</si>
  <si>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</si>
  <si>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</si>
  <si>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</si>
  <si>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</si>
  <si>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</si>
  <si>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</si>
  <si>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</si>
  <si>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</si>
  <si>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</si>
  <si>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</si>
  <si>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</si>
  <si>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</si>
  <si>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</si>
  <si>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</si>
  <si>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</si>
  <si>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</si>
  <si>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</si>
  <si>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</si>
  <si>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</si>
  <si>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</si>
  <si>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</si>
  <si>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</si>
  <si>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</si>
  <si>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</si>
  <si>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</si>
  <si>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</si>
  <si>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</si>
  <si>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</si>
  <si>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</si>
  <si>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</si>
  <si>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</si>
  <si>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</si>
  <si>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</si>
  <si>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</si>
  <si>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</si>
  <si>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</si>
  <si>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</si>
  <si>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</si>
  <si>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</si>
  <si>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</si>
  <si>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</si>
  <si>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</si>
  <si>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</si>
  <si>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</si>
  <si>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</si>
  <si>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</si>
  <si>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</si>
  <si>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</si>
  <si>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</si>
  <si>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</si>
  <si>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</si>
  <si>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</si>
  <si>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</si>
  <si>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</si>
  <si>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</si>
  <si>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</si>
  <si>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</si>
  <si>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</si>
  <si>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</si>
  <si>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</si>
  <si>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</si>
  <si>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</si>
  <si>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</si>
  <si>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</si>
  <si>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</si>
  <si>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</si>
  <si>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</si>
  <si>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</si>
  <si>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</si>
  <si>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</si>
  <si>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</si>
  <si>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</si>
  <si>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</si>
  <si>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</si>
  <si>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</si>
  <si>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</si>
  <si>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</si>
  <si>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</si>
  <si>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</si>
  <si>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</si>
  <si>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</si>
  <si>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</si>
  <si>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</si>
  <si>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</si>
  <si>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</si>
  <si>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</si>
  <si>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</si>
  <si>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</si>
  <si>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</si>
  <si>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</si>
  <si>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</si>
  <si>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Pago Pago</t>
  </si>
  <si>
    <t>AS</t>
  </si>
  <si>
    <t>Honolulu</t>
  </si>
  <si>
    <t>J B P H H</t>
  </si>
  <si>
    <t>Wheeler Army Airfield</t>
  </si>
  <si>
    <t>Schofield Barracks</t>
  </si>
  <si>
    <t>Fort Shafter</t>
  </si>
  <si>
    <t>Tripler Army Medical Center</t>
  </si>
  <si>
    <t>Camp H M Smith</t>
  </si>
  <si>
    <t>M C B H Kaneohe Bay</t>
  </si>
  <si>
    <t>Wake Island</t>
  </si>
  <si>
    <t>Hagatna</t>
  </si>
  <si>
    <t>GU</t>
  </si>
  <si>
    <t>Dededo</t>
  </si>
  <si>
    <t>Barrigada</t>
  </si>
  <si>
    <t>Santa Rita</t>
  </si>
  <si>
    <t>Merizo</t>
  </si>
  <si>
    <t>Inarajan</t>
  </si>
  <si>
    <t>Agana Heights</t>
  </si>
  <si>
    <t>Mangilao</t>
  </si>
  <si>
    <t>Agat</t>
  </si>
  <si>
    <t>Yigo</t>
  </si>
  <si>
    <t>Tamuning</t>
  </si>
  <si>
    <t>Palau</t>
  </si>
  <si>
    <t>PW</t>
  </si>
  <si>
    <t>Pohnpei</t>
  </si>
  <si>
    <t>FM</t>
  </si>
  <si>
    <t>Chuuk</t>
  </si>
  <si>
    <t>Yap</t>
  </si>
  <si>
    <t>Kosrae</t>
  </si>
  <si>
    <t>Saipan</t>
  </si>
  <si>
    <t>MP</t>
  </si>
  <si>
    <t>Rota</t>
  </si>
  <si>
    <t>Tinian</t>
  </si>
  <si>
    <t>Majuro</t>
  </si>
  <si>
    <t>MH</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</si>
  <si>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</si>
  <si>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</si>
  <si>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</si>
  <si>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</si>
  <si>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</si>
  <si>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</si>
  <si>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</si>
  <si>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</si>
  <si>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</si>
  <si>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</si>
  <si>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</si>
  <si>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</si>
  <si>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</si>
  <si>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</si>
  <si>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</si>
  <si>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</si>
  <si>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</si>
  <si>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</si>
  <si>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</si>
  <si>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</si>
  <si>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</si>
  <si>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</si>
  <si>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</si>
  <si>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</si>
  <si>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</si>
  <si>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</si>
  <si>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</si>
  <si>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</si>
  <si>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</si>
  <si>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Tualatin</t>
  </si>
  <si>
    <t>Tygh Valley</t>
  </si>
  <si>
    <t>Vernonia</t>
  </si>
  <si>
    <t>Welches</t>
  </si>
  <si>
    <t>West Linn</t>
  </si>
  <si>
    <t>Happy Valley</t>
  </si>
  <si>
    <t>Arch Cape</t>
  </si>
  <si>
    <t>Cannon Beach</t>
  </si>
  <si>
    <t>Gales Creek</t>
  </si>
  <si>
    <t>Garibaldi</t>
  </si>
  <si>
    <t>Hebo</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</si>
  <si>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</si>
  <si>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</si>
  <si>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</si>
  <si>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</si>
  <si>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</si>
  <si>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</si>
  <si>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</si>
  <si>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</si>
  <si>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</si>
  <si>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</si>
  <si>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</si>
  <si>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</si>
  <si>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</si>
  <si>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</si>
  <si>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</si>
  <si>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</si>
  <si>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</si>
  <si>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</si>
  <si>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</si>
  <si>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</si>
  <si>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</si>
  <si>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</si>
  <si>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</si>
  <si>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</si>
  <si>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</si>
  <si>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</si>
  <si>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</si>
  <si>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</si>
  <si>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</si>
  <si>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</si>
  <si>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</si>
  <si>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</si>
  <si>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</si>
  <si>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</si>
  <si>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</si>
  <si>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</si>
  <si>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</si>
  <si>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</si>
  <si>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</si>
  <si>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</si>
  <si>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</si>
  <si>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</si>
  <si>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</si>
  <si>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</si>
  <si>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</si>
  <si>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</si>
  <si>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</si>
  <si>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</si>
  <si>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</si>
  <si>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</si>
  <si>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</si>
  <si>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</si>
  <si>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</si>
  <si>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</si>
  <si>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</si>
  <si>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</si>
  <si>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</si>
  <si>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</si>
  <si>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</si>
  <si>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</si>
  <si>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</si>
  <si>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</si>
  <si>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</si>
  <si>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</si>
  <si>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</si>
  <si>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</si>
  <si>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</si>
  <si>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</si>
  <si>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</si>
  <si>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</si>
  <si>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</si>
  <si>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</si>
  <si>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</si>
  <si>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</si>
  <si>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</si>
  <si>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</si>
  <si>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</si>
  <si>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</si>
  <si>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</si>
  <si>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</si>
  <si>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</si>
  <si>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</si>
  <si>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</si>
  <si>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</si>
  <si>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</si>
  <si>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</si>
  <si>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</si>
  <si>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</si>
  <si>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</si>
  <si>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</si>
  <si>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</si>
  <si>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</si>
  <si>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</si>
  <si>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</si>
  <si>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</si>
  <si>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</si>
  <si>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</si>
  <si>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</si>
  <si>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</si>
  <si>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</si>
  <si>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</si>
  <si>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</si>
  <si>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</si>
  <si>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</si>
  <si>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</si>
  <si>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</si>
  <si>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</si>
  <si>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</si>
  <si>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</si>
  <si>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</si>
  <si>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</si>
  <si>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</si>
  <si>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</si>
  <si>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Madras</t>
  </si>
  <si>
    <t>Powell Butte</t>
  </si>
  <si>
    <t>Prineville</t>
  </si>
  <si>
    <t>Sisters</t>
  </si>
  <si>
    <t>Terrebonne</t>
  </si>
  <si>
    <t>Athena</t>
  </si>
  <si>
    <t>Baker City</t>
  </si>
  <si>
    <t>Bates</t>
  </si>
  <si>
    <t>Boardman</t>
  </si>
  <si>
    <t>Canyon City</t>
  </si>
  <si>
    <t>Fossil</t>
  </si>
  <si>
    <t>Haines</t>
  </si>
  <si>
    <t>Halfway</t>
  </si>
  <si>
    <t>Helix</t>
  </si>
  <si>
    <t>Heppner</t>
  </si>
  <si>
    <t>Hermiston</t>
  </si>
  <si>
    <t>Imbler</t>
  </si>
  <si>
    <t>Imnaha</t>
  </si>
  <si>
    <t>Irrigon</t>
  </si>
  <si>
    <t>John Day</t>
  </si>
  <si>
    <t>La Grande</t>
  </si>
  <si>
    <t>Lostine</t>
  </si>
  <si>
    <t>Meacham</t>
  </si>
  <si>
    <t>Mikkalo</t>
  </si>
  <si>
    <t>Milton Freewater</t>
  </si>
  <si>
    <t>North Powder</t>
  </si>
  <si>
    <t>Pilot Rock</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</si>
  <si>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</si>
  <si>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</si>
  <si>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</si>
  <si>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</si>
  <si>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</si>
  <si>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</si>
  <si>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</si>
  <si>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</si>
  <si>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</si>
  <si>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</si>
  <si>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</si>
  <si>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</si>
  <si>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</si>
  <si>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</si>
  <si>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</si>
  <si>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</si>
  <si>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</si>
  <si>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</si>
  <si>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</si>
  <si>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</si>
  <si>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</si>
  <si>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</si>
  <si>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</si>
  <si>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</si>
  <si>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</si>
  <si>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</si>
  <si>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</si>
  <si>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</si>
  <si>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</si>
  <si>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</si>
  <si>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Rollingbay</t>
  </si>
  <si>
    <t>Seahurst</t>
  </si>
  <si>
    <t>Snoqualmie</t>
  </si>
  <si>
    <t>Snoqualmie Pass</t>
  </si>
  <si>
    <t>Vashon</t>
  </si>
  <si>
    <t>Woodinville</t>
  </si>
  <si>
    <t>Sammamish</t>
  </si>
  <si>
    <t>Seattle</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</si>
  <si>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</si>
  <si>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</si>
  <si>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</si>
  <si>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</si>
  <si>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</si>
  <si>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</si>
  <si>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</si>
  <si>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</si>
  <si>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</si>
  <si>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</si>
  <si>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</si>
  <si>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</si>
  <si>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</si>
  <si>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</si>
  <si>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</si>
  <si>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</si>
  <si>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</si>
  <si>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</si>
  <si>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</si>
  <si>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</si>
  <si>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</si>
  <si>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</si>
  <si>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</si>
  <si>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</si>
  <si>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</si>
  <si>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</si>
  <si>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</si>
  <si>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</si>
  <si>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</si>
  <si>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</si>
  <si>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</si>
  <si>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</si>
  <si>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</si>
  <si>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</si>
  <si>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</si>
  <si>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</si>
  <si>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</si>
  <si>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</si>
  <si>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</si>
  <si>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</si>
  <si>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</si>
  <si>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</si>
  <si>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</si>
  <si>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</si>
  <si>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</si>
  <si>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</si>
  <si>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</si>
  <si>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</si>
  <si>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</si>
  <si>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</si>
  <si>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</si>
  <si>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</si>
  <si>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</si>
  <si>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</si>
  <si>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</si>
  <si>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</si>
  <si>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</si>
  <si>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</si>
  <si>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</si>
  <si>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</si>
  <si>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</si>
  <si>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</si>
  <si>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</si>
  <si>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</si>
  <si>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</si>
  <si>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</si>
  <si>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</si>
  <si>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</si>
  <si>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</si>
  <si>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Sequim</t>
  </si>
  <si>
    <t>South Colby</t>
  </si>
  <si>
    <t>South Prairie</t>
  </si>
  <si>
    <t>Southworth</t>
  </si>
  <si>
    <t>Spanaway</t>
  </si>
  <si>
    <t>Steilacoom</t>
  </si>
  <si>
    <t>Bonney Lake</t>
  </si>
  <si>
    <t>Suquamish</t>
  </si>
  <si>
    <t>Tracyton</t>
  </si>
  <si>
    <t>Wauna</t>
  </si>
  <si>
    <t>Wilkeson</t>
  </si>
  <si>
    <t>Longmire</t>
  </si>
  <si>
    <t>Paradise Inn</t>
  </si>
  <si>
    <t>Tacoma</t>
  </si>
  <si>
    <t>Camp Murray</t>
  </si>
  <si>
    <t>Mcchord Afb</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</si>
  <si>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</si>
  <si>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</si>
  <si>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</si>
  <si>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</si>
  <si>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</si>
  <si>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</si>
  <si>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</si>
  <si>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</si>
  <si>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</si>
  <si>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</si>
  <si>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</si>
  <si>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</si>
  <si>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</si>
  <si>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</si>
  <si>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</si>
  <si>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</si>
  <si>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</si>
  <si>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</si>
  <si>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</si>
  <si>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</si>
  <si>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</si>
  <si>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</si>
  <si>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</si>
  <si>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</si>
  <si>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</si>
  <si>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</si>
  <si>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</si>
  <si>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</si>
  <si>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</si>
  <si>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</si>
  <si>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</si>
  <si>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</si>
  <si>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</si>
  <si>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</si>
  <si>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</si>
  <si>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</si>
  <si>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</si>
  <si>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</si>
  <si>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</si>
  <si>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</si>
  <si>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</si>
  <si>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</si>
  <si>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</si>
  <si>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</si>
  <si>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</si>
  <si>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</si>
  <si>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</si>
  <si>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</si>
  <si>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</si>
  <si>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</si>
  <si>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</si>
  <si>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</si>
  <si>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</si>
  <si>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</si>
  <si>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</si>
  <si>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</si>
  <si>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</si>
  <si>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</si>
  <si>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</si>
  <si>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</si>
  <si>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</si>
  <si>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</si>
  <si>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</si>
  <si>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</si>
  <si>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</si>
  <si>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</si>
  <si>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</si>
  <si>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</si>
  <si>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</si>
  <si>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</si>
  <si>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</si>
  <si>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</si>
  <si>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</si>
  <si>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</si>
  <si>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</si>
  <si>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</si>
  <si>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</si>
  <si>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</si>
  <si>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</si>
  <si>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</si>
  <si>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</si>
  <si>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</si>
  <si>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</si>
  <si>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</si>
  <si>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</si>
  <si>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</si>
  <si>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</si>
  <si>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</si>
  <si>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</si>
  <si>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</si>
  <si>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</si>
  <si>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</si>
  <si>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</si>
  <si>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</si>
  <si>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</si>
  <si>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</si>
  <si>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</si>
  <si>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</si>
  <si>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</si>
  <si>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</si>
  <si>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</si>
  <si>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</si>
  <si>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Naches</t>
  </si>
  <si>
    <t>Kittitas</t>
  </si>
  <si>
    <t>Mabton</t>
  </si>
  <si>
    <t>Moxee</t>
  </si>
  <si>
    <t>Ronald</t>
  </si>
  <si>
    <t>Selah</t>
  </si>
  <si>
    <t>South Cle Elum</t>
  </si>
  <si>
    <t>Tieton</t>
  </si>
  <si>
    <t>Toppenish</t>
  </si>
  <si>
    <t>Vantage</t>
  </si>
  <si>
    <t>Wapato</t>
  </si>
  <si>
    <t>White Swan</t>
  </si>
  <si>
    <t>Zillah</t>
  </si>
  <si>
    <t>Airway Heights</t>
  </si>
  <si>
    <t>Edwall</t>
  </si>
  <si>
    <t>Fairchild Air Force Base</t>
  </si>
  <si>
    <t>Four Lakes</t>
  </si>
  <si>
    <t>Latah</t>
  </si>
  <si>
    <t>Liberty Lake</t>
  </si>
  <si>
    <t>Medical Lake</t>
  </si>
  <si>
    <t>Mica</t>
  </si>
  <si>
    <t>Newman Lake</t>
  </si>
  <si>
    <t>Nine Mile Falls</t>
  </si>
  <si>
    <t>Otis Orchards</t>
  </si>
  <si>
    <t>Reardan</t>
  </si>
  <si>
    <t>Spangle</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</si>
  <si>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</si>
  <si>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</si>
  <si>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</si>
  <si>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</si>
  <si>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</si>
  <si>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</si>
  <si>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</si>
  <si>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</si>
  <si>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</si>
  <si>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</si>
  <si>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</si>
  <si>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</si>
  <si>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</si>
  <si>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</si>
  <si>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</si>
  <si>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</si>
  <si>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</si>
  <si>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</si>
  <si>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</si>
  <si>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</si>
  <si>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</si>
  <si>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</si>
  <si>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</si>
  <si>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</si>
  <si>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</si>
  <si>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</si>
  <si>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</si>
  <si>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</si>
  <si>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</si>
  <si>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</si>
  <si>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</si>
  <si>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</si>
  <si>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</si>
  <si>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</si>
  <si>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</si>
  <si>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</si>
  <si>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</si>
  <si>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</si>
  <si>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</si>
  <si>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</si>
  <si>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</si>
  <si>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</si>
  <si>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</si>
  <si>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</si>
  <si>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</si>
  <si>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Prosser</t>
  </si>
  <si>
    <t>West Richland</t>
  </si>
  <si>
    <t>Royal City</t>
  </si>
  <si>
    <t>Touchet</t>
  </si>
  <si>
    <t>Waitsburg</t>
  </si>
  <si>
    <t>Walla Walla</t>
  </si>
  <si>
    <t>Wallula</t>
  </si>
  <si>
    <t>Washtucna</t>
  </si>
  <si>
    <t>Anatone</t>
  </si>
  <si>
    <t>Asotin</t>
  </si>
  <si>
    <t>Anchorage</t>
  </si>
  <si>
    <t>Jber</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</si>
  <si>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</si>
  <si>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</si>
  <si>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</si>
  <si>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</si>
  <si>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</si>
  <si>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</si>
  <si>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</si>
  <si>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</si>
  <si>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</si>
  <si>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</si>
  <si>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</si>
  <si>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</si>
  <si>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</si>
  <si>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</si>
  <si>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</si>
  <si>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</si>
  <si>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</si>
  <si>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</si>
  <si>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</si>
  <si>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</si>
  <si>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</si>
  <si>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</si>
  <si>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</si>
  <si>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</si>
  <si>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</si>
  <si>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</si>
  <si>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</si>
  <si>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</si>
  <si>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</si>
  <si>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</si>
  <si>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</si>
  <si>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</si>
  <si>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</si>
  <si>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</si>
  <si>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</si>
  <si>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</si>
  <si>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</si>
  <si>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</si>
  <si>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</si>
  <si>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</si>
  <si>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</si>
  <si>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</si>
  <si>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</si>
  <si>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</si>
  <si>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</si>
  <si>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</si>
  <si>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</si>
  <si>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</si>
  <si>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</si>
  <si>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</si>
  <si>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</si>
  <si>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</si>
  <si>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Wasilla</t>
  </si>
  <si>
    <t>Larsen Bay</t>
  </si>
  <si>
    <t>Levelock</t>
  </si>
  <si>
    <t>Lower Kalskag</t>
  </si>
  <si>
    <t>Manokotak</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</si>
  <si>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</si>
  <si>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</si>
  <si>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</si>
  <si>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</si>
  <si>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</si>
  <si>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</si>
  <si>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</si>
  <si>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</si>
  <si>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</si>
  <si>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</si>
  <si>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</si>
  <si>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</si>
  <si>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</si>
  <si>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</si>
  <si>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</si>
  <si>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</si>
  <si>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</si>
  <si>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</si>
  <si>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</si>
  <si>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</si>
  <si>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</si>
  <si>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</si>
  <si>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</si>
  <si>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</si>
  <si>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</si>
  <si>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</si>
  <si>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Nunam Iqua</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</si>
  <si>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</si>
  <si>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</si>
  <si>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</si>
  <si>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</si>
  <si>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</si>
  <si>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</si>
  <si>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</si>
  <si>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</si>
  <si>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</si>
  <si>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</si>
  <si>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</si>
  <si>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</si>
  <si>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</si>
  <si>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</si>
  <si>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</si>
  <si>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</si>
  <si>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</si>
  <si>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</si>
  <si>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</si>
  <si>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</si>
  <si>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</si>
  <si>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</si>
  <si>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</si>
  <si>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</si>
  <si>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</si>
  <si>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</si>
  <si>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</si>
  <si>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</si>
  <si>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</si>
  <si>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</si>
  <si>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</si>
  <si>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</si>
  <si>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</si>
  <si>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</si>
  <si>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</si>
  <si>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</si>
  <si>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</si>
  <si>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</si>
  <si>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</si>
  <si>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</si>
  <si>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</si>
  <si>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</si>
  <si>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</si>
  <si>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</si>
  <si>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</si>
  <si>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</si>
  <si>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</si>
  <si>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</si>
  <si>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</si>
  <si>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</si>
  <si>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</si>
  <si>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</si>
  <si>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</si>
  <si>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</si>
  <si>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</si>
  <si>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</si>
  <si>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</si>
  <si>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</si>
  <si>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</si>
  <si>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</si>
  <si>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</si>
  <si>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</si>
  <si>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</si>
  <si>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</si>
  <si>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</si>
  <si>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</si>
  <si>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</si>
  <si>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</si>
  <si>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</si>
  <si>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</si>
  <si>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</si>
  <si>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</si>
  <si>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</si>
  <si>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</si>
  <si>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</si>
  <si>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</si>
  <si>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</si>
  <si>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</si>
  <si>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</si>
  <si>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</si>
  <si>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</si>
  <si>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</si>
  <si>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</si>
  <si>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</si>
  <si>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</si>
  <si>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</si>
  <si>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</si>
  <si>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</si>
  <si>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</si>
  <si>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</si>
  <si>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</si>
  <si>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</si>
  <si>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</si>
  <si>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</si>
  <si>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</si>
  <si>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ZIP</t>
  </si>
  <si>
    <t>Primary City</t>
  </si>
  <si>
    <t>State</t>
  </si>
  <si>
    <t>2_13</t>
  </si>
  <si>
    <t>Project Engineering Checklist</t>
  </si>
  <si>
    <t>RE:</t>
  </si>
  <si>
    <t>Low Setback Factors</t>
  </si>
  <si>
    <t>2' Setback</t>
  </si>
  <si>
    <t>1' Setback</t>
  </si>
  <si>
    <t>Ballast plans are specific to each project and are driven by project specific engineering variables.  Changes in these values may require a change to the project specific ballast and module layout.  Please review, approve, and initial the following information for the job.
_____  Module Make and Model              _____  Design Wind Speed
_____  Module Quantity                           _____  Exposure Category
_____  System Size                                 _____  Ground Snow Load (PSF)
_____  String Size (if applicable)             _____  Occupancy Category
_____  Roof Obstructions                        _____  Roofing Type
_____  Setbacks                                      _____  Roof Height
_____  Roof Capacity                              _____  Locally Adopted Building Code
_____  Ballast Block Weight                   _____  Roofing Make and Model (If using mechanical attachments)
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</si>
  <si>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Minimum distance required between the PV array edge and the roof edge required due to wind forces. Projects may require a larger setback due to local code (e.g., fire setbacks) Setbacks of less than 36" (3') will result in higher wind loads for the edge and corner zones. Setbacks inside 12" (1') are not allowed.</t>
  </si>
  <si>
    <t>Module Information:</t>
  </si>
  <si>
    <t>Make:</t>
  </si>
  <si>
    <t>Model:</t>
  </si>
  <si>
    <t>Quantity:</t>
  </si>
  <si>
    <t>Building Information:</t>
  </si>
  <si>
    <t>Roofing Type:</t>
  </si>
  <si>
    <t>Roof Height:</t>
  </si>
  <si>
    <t>Occupancy Category:</t>
  </si>
  <si>
    <t>Roof Capacity (PSF):</t>
  </si>
  <si>
    <t>SEE DRAWING</t>
  </si>
  <si>
    <t>(Please provide if using mechanical attachments)</t>
  </si>
  <si>
    <t>Environmental Variables:</t>
  </si>
  <si>
    <t>Wind Speed:</t>
  </si>
  <si>
    <t>Ground Snow Load:</t>
  </si>
  <si>
    <t>Exposure Category:</t>
  </si>
  <si>
    <t>Drawings:</t>
  </si>
  <si>
    <t>Roof Obstructions:</t>
  </si>
  <si>
    <t>Setbacks:</t>
  </si>
  <si>
    <t>Project-Specific Variables:</t>
  </si>
  <si>
    <t>Ballast Block Weight:</t>
  </si>
  <si>
    <t>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</si>
  <si>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Roofing Make &amp; Model:</t>
  </si>
  <si>
    <t>2_14</t>
  </si>
  <si>
    <t>h</t>
  </si>
  <si>
    <t>Roof height (ft)</t>
  </si>
  <si>
    <t>WL</t>
  </si>
  <si>
    <t>Width of overall building on longest side (ft)</t>
  </si>
  <si>
    <t>apv</t>
  </si>
  <si>
    <t>lp</t>
  </si>
  <si>
    <t>Chord length of solar panel (ft)</t>
  </si>
  <si>
    <t>Wmodule</t>
  </si>
  <si>
    <t>Width of module (ft)</t>
  </si>
  <si>
    <t>Aarray</t>
  </si>
  <si>
    <t>Area of array section being calculated (ft^2)</t>
  </si>
  <si>
    <t>An</t>
  </si>
  <si>
    <t>Normalized wind area</t>
  </si>
  <si>
    <t>γp</t>
  </si>
  <si>
    <t>Parapet height factor =1 for hpt&lt;=4ft, =min(.25*hpt,1.3) for hpt&gt;4ft</t>
  </si>
  <si>
    <t>γc</t>
  </si>
  <si>
    <t>ω</t>
  </si>
  <si>
    <t>deg</t>
  </si>
  <si>
    <t>Tilt angle</t>
  </si>
  <si>
    <t>Roof Zone</t>
  </si>
  <si>
    <t>0 ≤ ω ≤ 5</t>
  </si>
  <si>
    <t>15 ≤ ω ≤ 35</t>
  </si>
  <si>
    <t>h1</t>
  </si>
  <si>
    <t>Solar panel height above roof at low edge (ft)</t>
  </si>
  <si>
    <t>(hc)mod</t>
  </si>
  <si>
    <t>Characteristic height - module-module</t>
  </si>
  <si>
    <t>(hc)bld</t>
  </si>
  <si>
    <t>Characteristic height - module-bld edge</t>
  </si>
  <si>
    <t>EN</t>
  </si>
  <si>
    <t>ES</t>
  </si>
  <si>
    <t>EE</t>
  </si>
  <si>
    <t>EW</t>
  </si>
  <si>
    <t>dN
(ft.)</t>
  </si>
  <si>
    <t>hc,N
(ft)</t>
  </si>
  <si>
    <t>dN/hc,N</t>
  </si>
  <si>
    <t>EN,max = 1.5?</t>
  </si>
  <si>
    <t>En</t>
  </si>
  <si>
    <t>dS
(ft.)</t>
  </si>
  <si>
    <t>hc,S
(ft)</t>
  </si>
  <si>
    <t>dS/hc,S</t>
  </si>
  <si>
    <t>ES,max = 1.0?</t>
  </si>
  <si>
    <t>Es</t>
  </si>
  <si>
    <t>dE
(ft.)</t>
  </si>
  <si>
    <t>hc,E
(ft)</t>
  </si>
  <si>
    <t>dE/hc,E</t>
  </si>
  <si>
    <t>EE,max = 1.0?</t>
  </si>
  <si>
    <t>Ee</t>
  </si>
  <si>
    <t>dW
(ft.)</t>
  </si>
  <si>
    <t>hc,W
(ft)</t>
  </si>
  <si>
    <t>dW/hc,W</t>
  </si>
  <si>
    <t>EW,max = 1.0?</t>
  </si>
  <si>
    <t>Ew</t>
  </si>
  <si>
    <t>0 (deep Int)</t>
  </si>
  <si>
    <t>1 (Int)</t>
  </si>
  <si>
    <t>2 (Edge)</t>
  </si>
  <si>
    <t>3 (Corner)</t>
  </si>
  <si>
    <t>(GCrn)nom * γc</t>
  </si>
  <si>
    <t>GCrn = γp*E*((GCrn)nom * γc)</t>
  </si>
  <si>
    <t>50% of GCrn</t>
  </si>
  <si>
    <t>3_0</t>
  </si>
  <si>
    <t>DO NOT INCLUDE CITY/STATE</t>
  </si>
  <si>
    <t>(metric)</t>
  </si>
  <si>
    <t>Interpolated</t>
  </si>
  <si>
    <t>500 to 5000</t>
  </si>
  <si>
    <t>0° ≤ ω ≤ 5°</t>
  </si>
  <si>
    <t>15° ≤ ω ≤ 35°</t>
  </si>
  <si>
    <t>15° &lt; ω</t>
  </si>
  <si>
    <t>ω ≤ 5°</t>
  </si>
  <si>
    <t>Actual</t>
  </si>
  <si>
    <t>≤ 1 to 500</t>
  </si>
  <si>
    <t xml:space="preserve">(GCrn)nom </t>
  </si>
  <si>
    <t>Lmodule</t>
  </si>
  <si>
    <t>Length of module (ft)</t>
  </si>
  <si>
    <t>Chart Definition</t>
  </si>
  <si>
    <t>Use SEAOC Coefficients?</t>
  </si>
  <si>
    <t>YES=SEAOC pressure coefficients are used (more conservative); NO=RWDI pressure coefficients are used</t>
  </si>
  <si>
    <t>Default=NO</t>
  </si>
  <si>
    <t>3_1</t>
  </si>
  <si>
    <t>Corrected EcoMount calculations based on SEAOC rules.</t>
  </si>
  <si>
    <t>3_2</t>
  </si>
  <si>
    <t>CA ZIIPS' Replaced with 'ZIPS' to provide nationwide City/State/ZIP/County lookup; '4-Eng Approval' Added; Corrected address on '3-EF2+ Quote' and '3-EF2+ Estimate' from 340 to "244 W State St"; Removed vestigial 'seismic (old)' tab; Updated shipping weights for all components, pallet calculations, and "# of pallets" to "pallet spaces" on '2-EF2+ Quote Inputs' tab; Made "Setback (ft.)" on '1-Eng Inputs' an input field accepting 1, 2, or 3 as an input, edited description to explain</t>
  </si>
  <si>
    <t>Changed "Setback (ft.)" to "Setback (in)" and changed calculation to be more granular for smaller setbacks. Changed '4-Eng Approval' to include information entered into Ecocalcs.</t>
  </si>
  <si>
    <t>Added 'SEAOC PV2 Calcs' calculator tab; Added 'EcoMount' calculator tab; Added 'Inverter Data' tab; Added data validation and metric conversions to '1-Eng Inputs'; Added option to toggle RWDI/SEAOC pressure coefficients on 'SEAOC PV2 Calcs' tab - cell A1:B1; Added calculations to choose between RWDI/SEAOC coefficients (based on toggle) to all Calcs tabs; Added RayTray and EcoMount to Quote/Quote Inputs/Estimate Tab</t>
  </si>
  <si>
    <t>Made the "EcoMount" tab more user-friendly; Made ASCE7-2010 projects no longer erroneously apply Occupancy multiplier.</t>
  </si>
  <si>
    <t>EcoTray Calculator</t>
  </si>
  <si>
    <t>Configuration:</t>
  </si>
  <si>
    <t>3_3</t>
  </si>
  <si>
    <t>Changed RayTray part names to EcoTray part names; Added EcoTray weights; Corrected EcoTray COGS; Added calculator to select EcoTray configuration; Updated EcoMount pricing</t>
  </si>
  <si>
    <t>3_4</t>
  </si>
  <si>
    <t>Updated Inverter chord length factor in 'EcoMount' tab from 0.9 to a calculated value per SEAOC PV2; Corrected area of inverter array section calculation in 'EcoMount' tab; Corrected GCrn calculation to include parapet height factor in 'EcoMount' tab; Corrected block calculations in 'EcoMount' tab to round up to the next whole block</t>
  </si>
  <si>
    <t>3_5</t>
  </si>
  <si>
    <t>Corrected Side Deflector part numbers in '3-EF2+ Quote' tab</t>
  </si>
  <si>
    <t>3_6</t>
  </si>
  <si>
    <t>Estimated total number of blocks</t>
  </si>
  <si>
    <t>Heaviest Array (PSF)</t>
  </si>
  <si>
    <t>ft.</t>
  </si>
  <si>
    <t>lbs.</t>
  </si>
  <si>
    <t>Lin ft. req'd:</t>
  </si>
  <si>
    <t>Returned "PSF" field to '3-EF2+ Quote'; Removed "infinite array" PSF estimation calculations; Corrected EcoMount part numbers; Added fields to "EcoTray Calculator" in '2-EF2+ Quote Inputs' which allows EcoTray parts to be calculated by linear feet of tray required or by number of modules spanned by EcoTray</t>
  </si>
  <si>
    <t>3_7</t>
  </si>
  <si>
    <t>M11</t>
  </si>
  <si>
    <t>M21</t>
  </si>
  <si>
    <t>M31</t>
  </si>
  <si>
    <t>M22</t>
  </si>
  <si>
    <t>M23</t>
  </si>
  <si>
    <t>M33</t>
  </si>
  <si>
    <t>B1</t>
  </si>
  <si>
    <t>B2</t>
  </si>
  <si>
    <t>B3</t>
  </si>
  <si>
    <t>B4</t>
  </si>
  <si>
    <t>Contribution to M22 from B1 = ( (Uplift M22 * Frac M22-&gt;B1) / (B1 orig) ) * (B1 rounded)</t>
  </si>
  <si>
    <t>B1 orig = SUM (Mxy * Fract xyb1)</t>
  </si>
  <si>
    <t>Fractionality of ballast contribution</t>
  </si>
  <si>
    <t>M32</t>
  </si>
  <si>
    <t>Discount</t>
  </si>
  <si>
    <t>3_7_1</t>
  </si>
  <si>
    <t>Minimum Roof Setback</t>
  </si>
  <si>
    <t>Added "Redistributed" section, 2 and 3 row, and 2 and 3 column matrices to 'Land Matrix (lift)' and 'Port Matrix (lift)', Added ROUNDUP to "Number of Extra Ballast Blocks Required In Subarray" calculation, Updated COGS, MSRP, and part names, Updated "Discount" field in '2-EF2+ Quote Inputs' to accept positive or negative values</t>
  </si>
  <si>
    <t>Built logic into 2 and 3 row sections in 'Land Matrix (lift)' and 'Port Matrix (lift)' to select the worst-case calculations between north and south row and corner zones, Made corrections to '2-EF2+ Quote Inputs', Changed '2-EF2+ Quote Inputs!M9' to allow for 600 deflectors per pallet, as opposed to 300</t>
  </si>
  <si>
    <t>Module Orientation</t>
  </si>
  <si>
    <t>Landscape Fully Ballasted W/O Center Ecofoot or Attachments?</t>
  </si>
  <si>
    <t>Portrait Fully Ballasted W/O Center Ecofoot or Attachments?</t>
  </si>
  <si>
    <t>Primary Ballast Block Weight</t>
  </si>
  <si>
    <t>Secondary Ballast Block Weight</t>
  </si>
  <si>
    <t>Modules in Smallest Sub-Array</t>
  </si>
  <si>
    <t>Setback (inches)</t>
  </si>
  <si>
    <t>ASCE7 Version</t>
  </si>
  <si>
    <t>This table tells you whether the system can be ballasted conventionally or with the use of center Ecofoot units. If the system cannot be ballasted, it will indicate that attachments will be required</t>
  </si>
  <si>
    <t>4_0</t>
  </si>
  <si>
    <t>Landscape Fully Ballasted Without Center Ecofoot or Attachments?</t>
  </si>
  <si>
    <t>Portrait Fully Ballasted Without Center Ecofoot or Attachments?</t>
  </si>
  <si>
    <t>Mean Roof Height</t>
  </si>
  <si>
    <t>Module Weight</t>
  </si>
  <si>
    <t>Module Length</t>
  </si>
  <si>
    <t>Module Width</t>
  </si>
  <si>
    <t>Ground Snow Load (fig 7-1 and table 7-1)</t>
  </si>
  <si>
    <r>
      <t>MCE Spectral Response Acceleration at Short Periods (S</t>
    </r>
    <r>
      <rPr>
        <vertAlign val="subscript"/>
        <sz val="10"/>
        <color indexed="19"/>
        <rFont val="Arial"/>
        <family val="2"/>
      </rPr>
      <t>S</t>
    </r>
    <r>
      <rPr>
        <sz val="10"/>
        <color indexed="19"/>
        <rFont val="Arial"/>
        <family val="2"/>
      </rPr>
      <t>)</t>
    </r>
  </si>
  <si>
    <t>Roofing Type</t>
  </si>
  <si>
    <t>in.</t>
  </si>
  <si>
    <t>Min Wind Setback (in.)</t>
  </si>
  <si>
    <t>Table 1: Design Criteria</t>
  </si>
  <si>
    <t>Wind design load factor</t>
  </si>
  <si>
    <t>Roof Setback</t>
  </si>
  <si>
    <t>Kz= Adjustment Factor for Building Height and Exposure</t>
  </si>
  <si>
    <t>Kzt= Topographic Factor</t>
  </si>
  <si>
    <t>Kd= Directionality Factor</t>
  </si>
  <si>
    <t>I= Importance Factor</t>
  </si>
  <si>
    <t>#col x
#rows</t>
  </si>
  <si>
    <t>Downforce
(1x1)</t>
  </si>
  <si>
    <t>North Corner</t>
  </si>
  <si>
    <t>South Corner</t>
  </si>
  <si>
    <t>E/W
Edge</t>
  </si>
  <si>
    <t>N/S
Edge</t>
  </si>
  <si>
    <t>3_8</t>
  </si>
  <si>
    <t>Added TPO bases</t>
  </si>
  <si>
    <t>3_8_1</t>
  </si>
  <si>
    <t>Corrected TPO base part number, added further data validation for roof/base compatability</t>
  </si>
  <si>
    <t>3_8_2</t>
  </si>
  <si>
    <t>Updated EcoTray COGS</t>
  </si>
  <si>
    <t>7+</t>
  </si>
  <si>
    <t>North
Corner</t>
  </si>
  <si>
    <t>North
Edge</t>
  </si>
  <si>
    <t>East/West
Edge</t>
  </si>
  <si>
    <t>South
Corner</t>
  </si>
  <si>
    <t>South
Edge</t>
  </si>
  <si>
    <t>Single
Row</t>
  </si>
  <si>
    <t>Single
Column</t>
  </si>
  <si>
    <t>Rounded General Matrix</t>
  </si>
  <si>
    <t>Rounded Three-Row Matrix</t>
  </si>
  <si>
    <t>Rounded Two-Row Matrix</t>
  </si>
  <si>
    <t>Rounded Single Row Matrix</t>
  </si>
  <si>
    <t>Rounded Three-Column Matrix</t>
  </si>
  <si>
    <t>Rounded Two-Column Matrix</t>
  </si>
  <si>
    <t>Rounded Single Column Matrix</t>
  </si>
  <si>
    <t>N/S
Corner</t>
  </si>
  <si>
    <t>Redistributed General Matrix</t>
  </si>
  <si>
    <t>Use Half-Blocks?</t>
  </si>
  <si>
    <t>Redistributed Three-Row Matrix</t>
  </si>
  <si>
    <t>Redistributed Two-Row Matrix</t>
  </si>
  <si>
    <t>Redistributed Single Row Matrix</t>
  </si>
  <si>
    <t>Redistributed Three-Column Matrix</t>
  </si>
  <si>
    <t>Redistributed Two-Column Matrix</t>
  </si>
  <si>
    <t>Redistributed Single Column Matrix</t>
  </si>
  <si>
    <t>Unrounded Three-Row Matrix</t>
  </si>
  <si>
    <t>Unrounded Two-Row Matrix</t>
  </si>
  <si>
    <t>Unrounded Single Row Matrix</t>
  </si>
  <si>
    <t>Unrounded Three-Column Matrix</t>
  </si>
  <si>
    <t>Unrounded Two-Column Matrix</t>
  </si>
  <si>
    <t>Unrounded Single Column Matrix</t>
  </si>
  <si>
    <t>N/S
Cor</t>
  </si>
  <si>
    <t>Nor
Cor</t>
  </si>
  <si>
    <t>Nor
Edge</t>
  </si>
  <si>
    <t>Sou
Cor</t>
  </si>
  <si>
    <t>Sou
Edge</t>
  </si>
  <si>
    <t>Singl
Row</t>
  </si>
  <si>
    <t>Singl
Col</t>
  </si>
  <si>
    <r>
      <t>ft</t>
    </r>
    <r>
      <rPr>
        <vertAlign val="superscript"/>
        <sz val="10"/>
        <color indexed="19"/>
        <rFont val="Calibri"/>
        <family val="2"/>
        <scheme val="minor"/>
      </rPr>
      <t>2</t>
    </r>
  </si>
  <si>
    <r>
      <t>qh= Velocity Pressure (0.00256*Kz*Kzt*Kd*V</t>
    </r>
    <r>
      <rPr>
        <vertAlign val="superscript"/>
        <sz val="10"/>
        <color indexed="19"/>
        <rFont val="Calibri"/>
        <family val="2"/>
        <scheme val="minor"/>
      </rPr>
      <t>2</t>
    </r>
    <r>
      <rPr>
        <sz val="10"/>
        <color indexed="19"/>
        <rFont val="Calibri"/>
        <family val="2"/>
        <scheme val="minor"/>
      </rPr>
      <t>*I)</t>
    </r>
  </si>
  <si>
    <r>
      <t>Seismic Data (S</t>
    </r>
    <r>
      <rPr>
        <vertAlign val="subscript"/>
        <sz val="11"/>
        <color indexed="19"/>
        <rFont val="Calibri"/>
        <family val="2"/>
        <scheme val="minor"/>
      </rPr>
      <t>S</t>
    </r>
    <r>
      <rPr>
        <sz val="11"/>
        <color indexed="19"/>
        <rFont val="Calibri"/>
        <family val="2"/>
        <scheme val="minor"/>
      </rPr>
      <t>)</t>
    </r>
  </si>
  <si>
    <t>Uplift, Sliding and Seismic Calculations</t>
  </si>
  <si>
    <t>Date Prepared:</t>
  </si>
  <si>
    <t>A, B, C</t>
  </si>
  <si>
    <t>D, E, F</t>
  </si>
  <si>
    <t>6 in.</t>
  </si>
  <si>
    <r>
      <t>Δ</t>
    </r>
    <r>
      <rPr>
        <b/>
        <vertAlign val="subscript"/>
        <sz val="11"/>
        <rFont val="Calibri"/>
        <family val="2"/>
      </rPr>
      <t>MPV</t>
    </r>
  </si>
  <si>
    <t>Condition</t>
  </si>
  <si>
    <t>Calculation</t>
  </si>
  <si>
    <t>Result</t>
  </si>
  <si>
    <t>Between arrays of similar construction</t>
  </si>
  <si>
    <r>
      <t>0.5(</t>
    </r>
    <r>
      <rPr>
        <i/>
        <sz val="11"/>
        <rFont val="Calibri"/>
        <family val="2"/>
      </rPr>
      <t>Ip</t>
    </r>
    <r>
      <rPr>
        <sz val="11"/>
        <rFont val="Calibri"/>
        <family val="2"/>
      </rPr>
      <t>)Δ</t>
    </r>
    <r>
      <rPr>
        <i/>
        <sz val="9"/>
        <rFont val="Calibri"/>
        <family val="2"/>
      </rPr>
      <t>MPV</t>
    </r>
  </si>
  <si>
    <t>Between array and fixed object</t>
  </si>
  <si>
    <r>
      <t>(</t>
    </r>
    <r>
      <rPr>
        <i/>
        <sz val="11"/>
        <rFont val="Calibri"/>
        <family val="2"/>
      </rPr>
      <t>Ip</t>
    </r>
    <r>
      <rPr>
        <sz val="11"/>
        <rFont val="Calibri"/>
        <family val="2"/>
      </rPr>
      <t>) Δ</t>
    </r>
    <r>
      <rPr>
        <i/>
        <sz val="9"/>
        <rFont val="Calibri"/>
        <family val="2"/>
      </rPr>
      <t>MPV</t>
    </r>
  </si>
  <si>
    <t>Between array and roof edge with parapet</t>
  </si>
  <si>
    <r>
      <t>(</t>
    </r>
    <r>
      <rPr>
        <i/>
        <sz val="11"/>
        <rFont val="Calibri"/>
        <family val="2"/>
      </rPr>
      <t>Ie</t>
    </r>
    <r>
      <rPr>
        <sz val="11"/>
        <rFont val="Calibri"/>
        <family val="2"/>
      </rPr>
      <t>) Δ</t>
    </r>
    <r>
      <rPr>
        <i/>
        <sz val="9"/>
        <rFont val="Calibri"/>
        <family val="2"/>
      </rPr>
      <t>MPV</t>
    </r>
  </si>
  <si>
    <r>
      <t>1.5(</t>
    </r>
    <r>
      <rPr>
        <i/>
        <sz val="11"/>
        <rFont val="Calibri"/>
        <family val="2"/>
      </rPr>
      <t>Ie</t>
    </r>
    <r>
      <rPr>
        <sz val="11"/>
        <rFont val="Calibri"/>
        <family val="2"/>
      </rPr>
      <t>) Δ</t>
    </r>
    <r>
      <rPr>
        <i/>
        <sz val="9"/>
        <rFont val="Calibri"/>
        <family val="2"/>
      </rPr>
      <t>MPV</t>
    </r>
  </si>
  <si>
    <t>Module Design Strength</t>
  </si>
  <si>
    <t>E/W Horizontal Force</t>
  </si>
  <si>
    <t>N/S Horizontal Force</t>
  </si>
  <si>
    <t>110 lbs.</t>
  </si>
  <si>
    <t>358 lbs.</t>
  </si>
  <si>
    <t>Table 3: Calculation Inputs, Constants, and Variables</t>
  </si>
  <si>
    <t>NOTE: white text indicates the source of the wind coefficient GCn produced by RWDI's wind tunnel testing.</t>
  </si>
  <si>
    <t>Project  Name:</t>
  </si>
  <si>
    <t>Project Address:</t>
  </si>
  <si>
    <t>SEAOC PV1 - 2012 - Section 5: Unattached Arrays</t>
  </si>
  <si>
    <t>SEAOC PV1 - 2012 - Section 4: Attached Arrays</t>
  </si>
  <si>
    <t>Table 6: Seismic Design Inputs</t>
  </si>
  <si>
    <t>Table 8: SEAOC PV1 Array Setback Requirement Calculations</t>
  </si>
  <si>
    <t>Table 9: EcoFoot2+ Interconnection Strength</t>
  </si>
  <si>
    <t>Maximum Section W1 per Module at Interconnection</t>
  </si>
  <si>
    <t>Table 10: Maximum W1, and W1 side modules</t>
  </si>
  <si>
    <t>Maximum Section Modules from Maximum W1</t>
  </si>
  <si>
    <t>Maximum Array N/S Depth (Maximum Section Modules x 2)</t>
  </si>
  <si>
    <t>Maximum Array E/W Width (Maximum Section Modules x 2)</t>
  </si>
  <si>
    <t>Fp=1.6*Sds*Ip*Wp</t>
  </si>
  <si>
    <t>Fp=0.3*Sds*Ip*Wp</t>
  </si>
  <si>
    <t>Fp=0.4*ap*Sds*Wp*(1+2*z/h)/(Rp/Ip)</t>
  </si>
  <si>
    <t>z=height of point of attachment (in.)</t>
  </si>
  <si>
    <t>h=structure height compared to base (in.)</t>
  </si>
  <si>
    <t>Ff (max friction) = (0.9-0.2*Sds)*(0.7*u)*Wp</t>
  </si>
  <si>
    <t>SEAOC section 4, Friction Force contribution</t>
  </si>
  <si>
    <t>Force to be offset by physical attachments</t>
  </si>
  <si>
    <t>(if negative, no fasteners are needed)</t>
  </si>
  <si>
    <t>East-West Calculations</t>
  </si>
  <si>
    <t>North-South Calculations</t>
  </si>
  <si>
    <t>ECO-002_510</t>
  </si>
  <si>
    <t>ECO-002_512</t>
  </si>
  <si>
    <t>Min. Order (kW)</t>
  </si>
  <si>
    <t>ECO-002_501</t>
  </si>
  <si>
    <t>ECO-002_508</t>
  </si>
  <si>
    <t>ECO-002_511</t>
  </si>
  <si>
    <t>ECO-002_513</t>
  </si>
  <si>
    <t>Design Friction Coefficients (Static, Dynamic)</t>
  </si>
  <si>
    <t>Largest Building Width (ft.)</t>
  </si>
  <si>
    <t>Roof Height Factor</t>
  </si>
  <si>
    <t>Slope Guidance from RWDI
See email correspondence</t>
  </si>
  <si>
    <t>Apv</t>
  </si>
  <si>
    <r>
      <t>Slope factor (S</t>
    </r>
    <r>
      <rPr>
        <b/>
        <vertAlign val="subscript"/>
        <sz val="10"/>
        <rFont val="Arial"/>
        <family val="2"/>
      </rPr>
      <t>f</t>
    </r>
    <r>
      <rPr>
        <b/>
        <sz val="10"/>
        <rFont val="Arial"/>
        <family val="2"/>
      </rPr>
      <t>)</t>
    </r>
  </si>
  <si>
    <r>
      <t>Roof Factor (R</t>
    </r>
    <r>
      <rPr>
        <vertAlign val="subscript"/>
        <sz val="10"/>
        <rFont val="Arial"/>
        <family val="2"/>
      </rPr>
      <t>f</t>
    </r>
    <r>
      <rPr>
        <sz val="10"/>
        <rFont val="Arial"/>
        <family val="2"/>
      </rPr>
      <t>)</t>
    </r>
  </si>
  <si>
    <r>
      <t>Building Height Adjustment Guidance from RWDI</t>
    </r>
    <r>
      <rPr>
        <sz val="10"/>
        <rFont val="Arial"/>
        <family val="2"/>
      </rPr>
      <t xml:space="preserve">
</t>
    </r>
    <r>
      <rPr>
        <i/>
        <sz val="10"/>
        <rFont val="Arial"/>
        <family val="2"/>
      </rPr>
      <t>&lt;60=1, &lt;100=1.5, &lt;200=Rf
Apv = min (0.5x(h*WL)0.5, h)</t>
    </r>
  </si>
  <si>
    <t>Roof Factor (Rf)</t>
  </si>
  <si>
    <r>
      <t xml:space="preserve">Building Height Adjustment Guidance from RWDI
</t>
    </r>
    <r>
      <rPr>
        <i/>
        <sz val="10"/>
        <rFont val="Arial"/>
        <family val="2"/>
      </rPr>
      <t>&lt;60=1, &lt;100=1.5, &lt;200=Rf
Apv = min (0.5x(h*WL)</t>
    </r>
    <r>
      <rPr>
        <i/>
        <vertAlign val="superscript"/>
        <sz val="10"/>
        <rFont val="Arial"/>
        <family val="2"/>
      </rPr>
      <t>0.5</t>
    </r>
    <r>
      <rPr>
        <i/>
        <sz val="10"/>
        <rFont val="Arial"/>
        <family val="2"/>
      </rPr>
      <t>, h)</t>
    </r>
  </si>
  <si>
    <r>
      <t xml:space="preserve">SEAOC PV1 specifies that “PV support systems that are attached to the roof structure shall be designed to resist the lateral seismic force </t>
    </r>
    <r>
      <rPr>
        <i/>
        <sz val="11"/>
        <rFont val="Calibri"/>
        <family val="2"/>
      </rPr>
      <t xml:space="preserve">Fp </t>
    </r>
    <r>
      <rPr>
        <sz val="11"/>
        <rFont val="Calibri"/>
        <family val="2"/>
      </rPr>
      <t xml:space="preserve">specified in ASCE 7-10 Chapter 13.” In utilizing the </t>
    </r>
    <r>
      <rPr>
        <i/>
        <sz val="11"/>
        <rFont val="Calibri"/>
        <family val="2"/>
      </rPr>
      <t xml:space="preserve">Fp </t>
    </r>
    <r>
      <rPr>
        <sz val="11"/>
        <rFont val="Calibri"/>
        <family val="2"/>
      </rPr>
      <t xml:space="preserve">calculations for nominal, minimum, and maximum values laid out in Section 13.3.1, the values in Table 7 are found.
The following is excerpted from SEAOC PV1-2012, Section 4 – Attached Arrays:
“For attached roof-bearing systems, friction is permitted to contribute in combination with the design lateral strength of attachments to resist the lateral force Fp when all of the following conditions are met:
     •      “The maximum roof slope at the location of the array is less than or equal to 7 degrees (12.3 percent);
     •      “The height above the roof surface to the center of mass of the solar array is less than the smaller of 
               36 inches and half the least plan dimension of the supporting base of the array
     •      “Rp shall not exceed 1.5 unless it is shown that the lateral displacement behavior of attachments is 
               compatible with the simultaneous development of frictional resistance.”
</t>
    </r>
  </si>
  <si>
    <t>Table 7: ASCE7 Inputs</t>
  </si>
  <si>
    <t>Table 8: Calculation of Physical Attachment Requirements</t>
  </si>
  <si>
    <t>Added Secondary Ballast Block support, Changed "Ecofoot Double" to "Center Ecofoot", Added '5-Report' tab, Edited "Project Variables" section on the "3-Quote" tab, Corrected formula error in cell C7 of 'Seismic Calcs (Unattached)' tab, Corrected error in "Seismic Data (Unattached)', Edited '1-Eng Inputs' tab to remove extranious information, give block requirements based on redesigned 'Land Matrix (lift)' and 'Port Matrix (lift)' tabs, add data validation to roof surface and ecofoot surface as well as roof slope, seismic methodology and Ss value, add "Largest Building Width" field and building hieght adjustment factors, Added Attachment Kit costs to '2-Quote Inputs', Added pallet estimation to '2-Quote Inputs'</t>
  </si>
  <si>
    <t>4_1</t>
  </si>
  <si>
    <t>Roof Slope (deg)</t>
  </si>
  <si>
    <t>Parapet Height (in.)</t>
  </si>
  <si>
    <t>Total Ballast After Rounding</t>
  </si>
  <si>
    <t>South</t>
  </si>
  <si>
    <t>Fractionality of Ballast Distribution</t>
  </si>
  <si>
    <t>Uplift Force (from Land Calcs) and Unrounded Ballast Distribution</t>
  </si>
  <si>
    <t>Uplift Force (from Port Calcs) and Unrounded Ballast Distribution</t>
  </si>
  <si>
    <t>Here a negative value represents force being exerted in the negative z direction, or away from the roof.</t>
  </si>
  <si>
    <t>Equation1:</t>
  </si>
  <si>
    <t xml:space="preserve">Pnet = </t>
  </si>
  <si>
    <r>
      <t>B</t>
    </r>
    <r>
      <rPr>
        <vertAlign val="subscript"/>
        <sz val="13"/>
        <color theme="1"/>
        <rFont val="Calibri"/>
        <family val="2"/>
        <scheme val="minor"/>
      </rPr>
      <t>DL</t>
    </r>
    <r>
      <rPr>
        <sz val="13"/>
        <color theme="1"/>
        <rFont val="Calibri"/>
        <family val="2"/>
        <scheme val="minor"/>
      </rPr>
      <t xml:space="preserve"> = B</t>
    </r>
    <r>
      <rPr>
        <vertAlign val="subscript"/>
        <sz val="13"/>
        <color theme="1"/>
        <rFont val="Calibri"/>
        <family val="2"/>
        <scheme val="minor"/>
      </rPr>
      <t>D</t>
    </r>
    <r>
      <rPr>
        <sz val="13"/>
        <color theme="1"/>
        <rFont val="Calibri"/>
        <family val="2"/>
        <scheme val="minor"/>
      </rPr>
      <t xml:space="preserve"> +B</t>
    </r>
    <r>
      <rPr>
        <vertAlign val="subscript"/>
        <sz val="13"/>
        <color theme="1"/>
        <rFont val="Calibri"/>
        <family val="2"/>
        <scheme val="minor"/>
      </rPr>
      <t>L</t>
    </r>
    <r>
      <rPr>
        <sz val="13"/>
        <color theme="1"/>
        <rFont val="Calibri"/>
        <family val="2"/>
        <scheme val="minor"/>
      </rPr>
      <t xml:space="preserve"> =</t>
    </r>
  </si>
  <si>
    <t>Equation 8:</t>
  </si>
  <si>
    <t xml:space="preserve">Pnet30 = </t>
  </si>
  <si>
    <t xml:space="preserve">Kzt = </t>
  </si>
  <si>
    <t xml:space="preserve">     For more information regarding this process, please contact Ecolibrium Solar directly at the phone number below.</t>
  </si>
  <si>
    <t>I=</t>
  </si>
  <si>
    <t>Total System weight after Ballasting:</t>
  </si>
  <si>
    <r>
      <t>This ballast requirement B</t>
    </r>
    <r>
      <rPr>
        <vertAlign val="subscript"/>
        <sz val="13"/>
        <color theme="1"/>
        <rFont val="Calibri"/>
        <family val="2"/>
        <scheme val="minor"/>
      </rPr>
      <t>D</t>
    </r>
    <r>
      <rPr>
        <sz val="13"/>
        <color theme="1"/>
        <rFont val="Calibri"/>
        <family val="2"/>
        <scheme val="minor"/>
      </rPr>
      <t xml:space="preserve"> is combined with the lift ballast requirement B</t>
    </r>
    <r>
      <rPr>
        <vertAlign val="subscript"/>
        <sz val="13"/>
        <color theme="1"/>
        <rFont val="Calibri"/>
        <family val="2"/>
        <scheme val="minor"/>
      </rPr>
      <t>L</t>
    </r>
    <r>
      <rPr>
        <sz val="13"/>
        <color theme="1"/>
        <rFont val="Calibri"/>
        <family val="2"/>
        <scheme val="minor"/>
      </rPr>
      <t xml:space="preserve"> to determine the required ballast to resist drag and uplift on a flat roof, as shown in Equation 8.</t>
    </r>
  </si>
  <si>
    <t>Equation 5:</t>
  </si>
  <si>
    <t xml:space="preserve">λ = </t>
  </si>
  <si>
    <t>Total ballast blocks per foot:</t>
  </si>
  <si>
    <t>Total Ballast Blocks Required:</t>
  </si>
  <si>
    <r>
      <t>B</t>
    </r>
    <r>
      <rPr>
        <vertAlign val="subscript"/>
        <sz val="13"/>
        <color theme="1"/>
        <rFont val="Calibri"/>
        <family val="2"/>
        <scheme val="minor"/>
      </rPr>
      <t xml:space="preserve">D </t>
    </r>
    <r>
      <rPr>
        <sz val="13"/>
        <color theme="1"/>
        <rFont val="Calibri"/>
        <family val="2"/>
        <scheme val="minor"/>
      </rPr>
      <t>= Ballast load required to negate drag force</t>
    </r>
  </si>
  <si>
    <t xml:space="preserve">Where: </t>
  </si>
  <si>
    <t xml:space="preserve">From the SEAOC PV1 document, "...'Ie' is the importance factor for the building, and “Ip” is the component importance factor for the solar array or the component importance factor for other rooftop components adjacent to the solar array, whichever is greatest. Ip is evaluated as 1, and Ie is dependent on the occupancy category of the building."
For building occupancy category II, III, and categories higher than III, importance factor Ie = 1.00, 1.25, and 1.50 respectively. As outlined in SEAOC PV1, the base seismic movement factor "ΔMPV" is evaluated as follows in Equation 1.
</t>
  </si>
  <si>
    <t>Equation 7:</t>
  </si>
  <si>
    <r>
      <t xml:space="preserve">Where:
               λ = adjustment factor for building height and exposure 
               Kzt = topographic factor evaluated at 0.33 mean roof height, 0.33h 
                         </t>
    </r>
    <r>
      <rPr>
        <i/>
        <sz val="13"/>
        <color theme="1"/>
        <rFont val="Calibri"/>
        <family val="2"/>
        <scheme val="minor"/>
      </rPr>
      <t xml:space="preserve">Kzt = 1 for all non-extreme topography: e.g. hilltop, mountainside, clifftop
</t>
    </r>
    <r>
      <rPr>
        <sz val="13"/>
        <color theme="1"/>
        <rFont val="Calibri"/>
        <family val="2"/>
        <scheme val="minor"/>
      </rPr>
      <t xml:space="preserve">               Pnet30 = net design wind pressure for surface area &lt; 10 sqft
For this project, the above variables are evaluated as follows:
</t>
    </r>
  </si>
  <si>
    <t>Roof Edge Setback Calculations</t>
  </si>
  <si>
    <t xml:space="preserve">Friction Value "µ" is: </t>
  </si>
  <si>
    <t>Equation 2:</t>
  </si>
  <si>
    <t>Total Ballast Block Count:</t>
  </si>
  <si>
    <t>Ballast Blocks per EcoFoot Base:</t>
  </si>
  <si>
    <t>Equation 4:</t>
  </si>
  <si>
    <t>Total wind load to be offset:</t>
  </si>
  <si>
    <t>Inter-array spacing:</t>
  </si>
  <si>
    <t>Table 3: Seismic Setback Conditions, taken from SEAOC PV1 Section 6.</t>
  </si>
  <si>
    <t>Setback from fixed objects:</t>
  </si>
  <si>
    <t xml:space="preserve">The value of Wup found in Equation 3 is then applied to Load Combination Calculation # 6, the most severe load combination equation from ASCE7-05 and ASCE7-10 section 2.3.2,  as shown in Equation 4.
</t>
  </si>
  <si>
    <t>Setback from Roof Edge:</t>
  </si>
  <si>
    <r>
      <t>B</t>
    </r>
    <r>
      <rPr>
        <vertAlign val="subscript"/>
        <sz val="13"/>
        <color theme="1"/>
        <rFont val="Calibri"/>
        <family val="2"/>
        <scheme val="minor"/>
      </rPr>
      <t>TOT</t>
    </r>
    <r>
      <rPr>
        <sz val="13"/>
        <color theme="1"/>
        <rFont val="Calibri"/>
        <family val="2"/>
        <scheme val="minor"/>
      </rPr>
      <t xml:space="preserve"> is the minimum total weight of the system that will fully offset the forces of lift, drag, and gravity, however there shall also be a minimum of 2 blocks per EcoFoot base to satisfy the second bullet point of SEAOC PV1, Section 5 outlining the maximum height of the center of mass of a given system.</t>
    </r>
  </si>
  <si>
    <t>The coefficient of static friction "µ" between the EcoFoot base and roof surface allows the ballast required to offset drag force to be found, as shown in Equation 7. Load modifiers are also applied as perscribed in ASCE705 and ASCE7-10 section 2.3.2. This coefficient of static friction has been experimentally identified according to ASTM G115, and validated by peer review.</t>
  </si>
  <si>
    <t>Lift Force Calculations</t>
  </si>
  <si>
    <t>Roof Slope (degrees)</t>
  </si>
  <si>
    <t xml:space="preserve"> </t>
  </si>
  <si>
    <t>Another calculation of minimum edge setback distance, as well as minimum distances between arrays and fixed roof features, is defined by SEAOC PV1 - 2012, Section 6: Design of Unattached Arrays to Accommodate Seismic Displacement. The minimum required setback distances are calculated per the conditions listed below in Table 3.</t>
  </si>
  <si>
    <t>Roof Least Width Dimension (ft)</t>
  </si>
  <si>
    <t>θR = incline of the roof surface (in degrees, not grade or percent)</t>
  </si>
  <si>
    <t>θR = angle of inclination of the roof surface</t>
  </si>
  <si>
    <t>Results Summary</t>
  </si>
  <si>
    <r>
      <t xml:space="preserve">Where:
          </t>
    </r>
    <r>
      <rPr>
        <i/>
        <sz val="13"/>
        <color theme="1"/>
        <rFont val="Calibri"/>
        <family val="2"/>
        <scheme val="minor"/>
      </rPr>
      <t xml:space="preserve">          </t>
    </r>
    <r>
      <rPr>
        <i/>
        <sz val="13"/>
        <color theme="1"/>
        <rFont val="Calibri"/>
        <family val="2"/>
        <scheme val="minor"/>
      </rPr>
      <t xml:space="preserve">
</t>
    </r>
  </si>
  <si>
    <t>Edge setback distance "a":</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</si>
  <si>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DL</t>
    </r>
    <r>
      <rPr>
        <sz val="13"/>
        <color theme="1"/>
        <rFont val="Calibri"/>
        <family val="2"/>
        <scheme val="minor"/>
      </rPr>
      <t xml:space="preserve"> / [1- Sin(θ</t>
    </r>
    <r>
      <rPr>
        <vertAlign val="subscript"/>
        <sz val="13"/>
        <color theme="1"/>
        <rFont val="Calibri"/>
        <family val="2"/>
        <scheme val="minor"/>
      </rPr>
      <t>R</t>
    </r>
    <r>
      <rPr>
        <sz val="13"/>
        <color theme="1"/>
        <rFont val="Calibri"/>
        <family val="2"/>
        <scheme val="minor"/>
      </rPr>
      <t xml:space="preserve">)/(.9* µ)]  = </t>
    </r>
  </si>
  <si>
    <t>Equation 9b:</t>
  </si>
  <si>
    <t>Pnet = pressure derived in Equation 2 and through tabulated data in ASCE7 documents</t>
  </si>
  <si>
    <t>Pnet = pressure derived in Equation 2 and through tabulated data in ASCE7-10 document</t>
  </si>
  <si>
    <t>Given the project inputs listed in Table 1, and values from Table 2, the minimum setback "a" from a roof edge is evaluated as follows:</t>
  </si>
  <si>
    <t>Wdg = drag force due to the wind (in lbf)</t>
  </si>
  <si>
    <t>Wup = uplift force due to the wind (in lbf)</t>
  </si>
  <si>
    <t>Date:</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</si>
  <si>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TOT</t>
    </r>
    <r>
      <rPr>
        <sz val="13"/>
        <color theme="1"/>
        <rFont val="Calibri"/>
        <family val="2"/>
        <scheme val="minor"/>
      </rPr>
      <t> * SIN (θ</t>
    </r>
    <r>
      <rPr>
        <vertAlign val="subscript"/>
        <sz val="13"/>
        <color theme="1"/>
        <rFont val="Calibri"/>
        <family val="2"/>
        <scheme val="minor"/>
      </rPr>
      <t>R</t>
    </r>
    <r>
      <rPr>
        <sz val="13"/>
        <color theme="1"/>
        <rFont val="Calibri"/>
        <family val="2"/>
        <scheme val="minor"/>
      </rPr>
      <t>) / µ) /.9 + B</t>
    </r>
    <r>
      <rPr>
        <vertAlign val="subscript"/>
        <sz val="13"/>
        <color theme="1"/>
        <rFont val="Calibri"/>
        <family val="2"/>
        <scheme val="minor"/>
      </rPr>
      <t>DL</t>
    </r>
  </si>
  <si>
    <t>Equation 9a:</t>
  </si>
  <si>
    <t>Project:</t>
  </si>
  <si>
    <t>Table 4: SEAOC Seismic Displacement Values</t>
  </si>
  <si>
    <t>Customer:</t>
  </si>
  <si>
    <t>Wdg = Pnet * Sin(θinv) * Ainv =</t>
  </si>
  <si>
    <t>Equation 6:</t>
  </si>
  <si>
    <r>
      <t>Wup = Pnet * Cos(θinv + θ</t>
    </r>
    <r>
      <rPr>
        <vertAlign val="subscript"/>
        <sz val="13"/>
        <color theme="1"/>
        <rFont val="Calibri"/>
        <family val="2"/>
        <scheme val="minor"/>
      </rPr>
      <t>R</t>
    </r>
    <r>
      <rPr>
        <sz val="13"/>
        <color theme="1"/>
        <rFont val="Calibri"/>
        <family val="2"/>
        <scheme val="minor"/>
      </rPr>
      <t xml:space="preserve">)*Ainv = </t>
    </r>
  </si>
  <si>
    <t>Equation 3:</t>
  </si>
  <si>
    <t>In the event of roof slope, the force of gravity acting on the system is also considered, seen in Equation 9b, which then gives the total ballast requirement for the EcoMount system. 
Equation 9b is derived from equation 9a, which is the iterative calculation for additional ballast required due to gravity on an inclined roof.</t>
  </si>
  <si>
    <t>This pressure value Pnet is the used to determine the drag and lift forces experienced by the EcoMount, and thereby determine the required amount of ballast to offset movement due to both. Pressure force is resolved into a vertical (lift) and horizontal (drag) component, as shown in Equation 3 and Equation 6. Dealing first with lift:</t>
  </si>
  <si>
    <r>
      <t>In Equation 1, S</t>
    </r>
    <r>
      <rPr>
        <vertAlign val="subscript"/>
        <sz val="13"/>
        <color theme="1"/>
        <rFont val="Calibri"/>
        <family val="2"/>
        <scheme val="minor"/>
      </rPr>
      <t>DS</t>
    </r>
    <r>
      <rPr>
        <sz val="13"/>
        <color theme="1"/>
        <rFont val="Calibri"/>
        <family val="2"/>
        <scheme val="minor"/>
      </rPr>
      <t xml:space="preserve"> is a function of Ss and site soil class, found in ASCE7-05 and ASCE7-10 (Equation 11.4-1 and 11.4-3 in both documents). Seismic coefficient "Ss" values are found by using earthquake.usgs.gov, www.designcriteriabyzip.com, or values are provided by local authorities.
For the project inputs provided in Table 1, the setback distances are calculated as follows in Table 4.
</t>
    </r>
  </si>
  <si>
    <t>Table 2: Minimum setback distance from roof edge "a" from ASCE7-05, Fig. 6-3, ASCE7-10, Fig. 30.5-1.</t>
  </si>
  <si>
    <t>Inclined Roof Considerations</t>
  </si>
  <si>
    <t>Drag Force Calculations</t>
  </si>
  <si>
    <t>Value</t>
  </si>
  <si>
    <t>Formatting Key:</t>
  </si>
  <si>
    <t>Components and Cladding - Method 1 - Walls and Roofs (Enclosed Buildings) - From Figure 30.5-1 in ASCE7-10</t>
  </si>
  <si>
    <t>Components and Cladding - Method 1 - Walls and Roofs (Enclosed Buildings) - From Figure 30.5-1 in ASCE7-05</t>
  </si>
  <si>
    <t>Customer Name</t>
  </si>
  <si>
    <t>DROPDOWN</t>
  </si>
  <si>
    <t>Project Name/Location</t>
  </si>
  <si>
    <t>MANUAL INPUT</t>
  </si>
  <si>
    <t>calculated value</t>
  </si>
  <si>
    <t>Root ASCE7 Code</t>
  </si>
  <si>
    <t>Basic Wind Speed V (mph)</t>
  </si>
  <si>
    <t>EcoFoot base material</t>
  </si>
  <si>
    <r>
      <t xml:space="preserve">Net Design Wind Pressure, Pnet30
</t>
    </r>
    <r>
      <rPr>
        <i/>
        <sz val="12"/>
        <color theme="1"/>
        <rFont val="Calibri"/>
        <family val="2"/>
        <scheme val="minor"/>
      </rPr>
      <t>(exposure B at H=30ft, 10sqft, Zone 1)</t>
    </r>
  </si>
  <si>
    <t>Wind Exposure Category</t>
  </si>
  <si>
    <r>
      <t xml:space="preserve">Net Design Wind Pressure, Pnet30
</t>
    </r>
    <r>
      <rPr>
        <i/>
        <sz val="12"/>
        <color theme="1"/>
        <rFont val="Calibri"/>
        <family val="2"/>
        <scheme val="minor"/>
      </rPr>
      <t>(exposure B at H=30ft, 10sqft, Zone 2)</t>
    </r>
  </si>
  <si>
    <t>Roof Slope = θR =</t>
  </si>
  <si>
    <t>Ballast Block weight</t>
  </si>
  <si>
    <t>I (From ASCE7-05 Table 6-1, omitted in 7-10)</t>
  </si>
  <si>
    <t>Pnet30 (ASCE7-05: Fig. 6-3, ASCE7-10: Fig. 30.5-1)</t>
  </si>
  <si>
    <t>Load Combination Multiplier (1 or 1.6 depending)</t>
  </si>
  <si>
    <t>Inverter Type</t>
  </si>
  <si>
    <t>1 ecomount kit weight (lbs)</t>
  </si>
  <si>
    <t>2 ecomount kit weight (lbs)</t>
  </si>
  <si>
    <t>Site Variable calcs</t>
  </si>
  <si>
    <t>Site Class (Site Soil Class from above)</t>
  </si>
  <si>
    <t>Seismic Design Category (depends on Sds)</t>
  </si>
  <si>
    <t>Ip (Defined by ASCE7)</t>
  </si>
  <si>
    <t>Ie (derived from occupancy cat)</t>
  </si>
  <si>
    <t>SEAOC PV1 distances</t>
  </si>
  <si>
    <t>Lift Ballast Block requirement calculations</t>
  </si>
  <si>
    <t>Pnet = λ*Kzt*I*Pnet30 =</t>
  </si>
  <si>
    <t>θINV = 15 degrees</t>
  </si>
  <si>
    <t xml:space="preserve">Uplift force less system weight = </t>
  </si>
  <si>
    <t>Quantity of ecofoot bases</t>
  </si>
  <si>
    <t>ecofoot bases</t>
  </si>
  <si>
    <t>Total ballast blocks required</t>
  </si>
  <si>
    <t>blocks per ecofoot base</t>
  </si>
  <si>
    <t>blocks per foot, odd numbers</t>
  </si>
  <si>
    <t>Total Dead load for lift</t>
  </si>
  <si>
    <t>Sliding and Inclined Roof Ballast Block Requirement Calculations</t>
  </si>
  <si>
    <t>Friction value for job (from inputs, friction test data)</t>
  </si>
  <si>
    <t xml:space="preserve">Wdg = Pnet * Sin(θinv) * Ainv = </t>
  </si>
  <si>
    <t xml:space="preserve">Uplift less system weight = </t>
  </si>
  <si>
    <t>Total ballast blocks required due to lift</t>
  </si>
  <si>
    <t>Min Blocks Required per Ecofoot</t>
  </si>
  <si>
    <t>ASCE7 Setback "a" (INPUT FROM TABLE)</t>
  </si>
  <si>
    <t>λ (from ASCE7-05: Fig. 6.3, ASCE7-10: Fig. 30.5-1) (INPUT FROM TABLE)</t>
  </si>
  <si>
    <t>-------"n/a" if inverter must be inside distance "a" from roof edge (from table) --&gt;</t>
  </si>
  <si>
    <t>ECOMOUNT INPUT VARIABLES</t>
  </si>
  <si>
    <r>
      <t>Wup (uplift force due to wind)  = Pnet * Cos(θinv + θ</t>
    </r>
    <r>
      <rPr>
        <vertAlign val="subscript"/>
        <sz val="11"/>
        <color theme="1"/>
        <rFont val="Calibri"/>
        <family val="2"/>
        <scheme val="minor"/>
      </rPr>
      <t>R</t>
    </r>
    <r>
      <rPr>
        <sz val="10"/>
        <rFont val="Arial"/>
        <family val="2"/>
      </rPr>
      <t xml:space="preserve">) * Ainv = </t>
    </r>
  </si>
  <si>
    <r>
      <t>B</t>
    </r>
    <r>
      <rPr>
        <vertAlign val="subscript"/>
        <sz val="11"/>
        <color theme="1"/>
        <rFont val="Calibri"/>
        <family val="2"/>
        <scheme val="minor"/>
      </rPr>
      <t>DL</t>
    </r>
    <r>
      <rPr>
        <sz val="10"/>
        <rFont val="Arial"/>
        <family val="2"/>
      </rPr>
      <t xml:space="preserve"> = B</t>
    </r>
    <r>
      <rPr>
        <vertAlign val="subscript"/>
        <sz val="11"/>
        <color theme="1"/>
        <rFont val="Calibri"/>
        <family val="2"/>
        <scheme val="minor"/>
      </rPr>
      <t>D</t>
    </r>
    <r>
      <rPr>
        <sz val="10"/>
        <rFont val="Arial"/>
        <family val="2"/>
      </rPr>
      <t xml:space="preserve"> +B</t>
    </r>
    <r>
      <rPr>
        <vertAlign val="subscript"/>
        <sz val="11"/>
        <color theme="1"/>
        <rFont val="Calibri"/>
        <family val="2"/>
        <scheme val="minor"/>
      </rPr>
      <t>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</si>
  <si>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t>
    </r>
    <r>
      <rPr>
        <sz val="10"/>
        <rFont val="Arial"/>
        <family val="2"/>
      </rPr>
      <t>* SIN (θ</t>
    </r>
    <r>
      <rPr>
        <vertAlign val="subscript"/>
        <sz val="11"/>
        <color theme="1"/>
        <rFont val="Calibri"/>
        <family val="2"/>
        <scheme val="minor"/>
      </rPr>
      <t>R</t>
    </r>
    <r>
      <rPr>
        <sz val="10"/>
        <rFont val="Arial"/>
        <family val="2"/>
      </rPr>
      <t>) / µ) + B</t>
    </r>
    <r>
      <rPr>
        <vertAlign val="subscript"/>
        <sz val="11"/>
        <color theme="1"/>
        <rFont val="Calibri"/>
        <family val="2"/>
        <scheme val="minor"/>
      </rPr>
      <t>DL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</si>
  <si>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DL</t>
    </r>
    <r>
      <rPr>
        <sz val="10"/>
        <rFont val="Arial"/>
        <family val="2"/>
      </rPr>
      <t xml:space="preserve"> / [1- Sin(θ</t>
    </r>
    <r>
      <rPr>
        <vertAlign val="subscript"/>
        <sz val="11"/>
        <color theme="1"/>
        <rFont val="Calibri"/>
        <family val="2"/>
        <scheme val="minor"/>
      </rPr>
      <t>R</t>
    </r>
    <r>
      <rPr>
        <sz val="10"/>
        <rFont val="Arial"/>
        <family val="2"/>
      </rPr>
      <t xml:space="preserve">)/(.9* µ)]  = </t>
    </r>
  </si>
  <si>
    <t>Table A-1:</t>
  </si>
  <si>
    <t>Minimum perpendicular setback from all building edges required to qualify as roof Zone 1 per ASCE 7 (ft)</t>
  </si>
  <si>
    <t>Building</t>
  </si>
  <si>
    <t>Least Building Width (ft)</t>
  </si>
  <si>
    <t>Height (ft)</t>
  </si>
  <si>
    <t>Adjustment Factor
for Building Height and Exposure, λ</t>
  </si>
  <si>
    <t>Exposure</t>
  </si>
  <si>
    <t>Roof Height (h)</t>
  </si>
  <si>
    <t>EcoMount Related (If Applicable)</t>
  </si>
  <si>
    <t>Building Code Root Document</t>
  </si>
  <si>
    <t>Required if using EcoMount.</t>
  </si>
  <si>
    <t xml:space="preserve">Enter the primary ballast block weight in lbs here. See table to right for available ballast weights. </t>
  </si>
  <si>
    <t>If using secondary block weights, enter the weight in lbs of the second block size here. Check block regional availability. Secondary block weight must be less than primary block weight.</t>
  </si>
  <si>
    <t>USE UNATTACHED UNLESS ROOF SLOPE GREATER THAN 3°</t>
  </si>
  <si>
    <t>gravel</t>
  </si>
  <si>
    <t>Granule Coated</t>
  </si>
  <si>
    <t>Gravel</t>
  </si>
  <si>
    <t>Red</t>
  </si>
  <si>
    <t>Values from Ecolibrium internal testing</t>
  </si>
  <si>
    <t>Estimated/calculated/misc sourced values</t>
  </si>
  <si>
    <t>Values from Testing Engineers, Inc. study dated 2016-05-27 (valid in L.A. County)</t>
  </si>
  <si>
    <t>← Input length in mm</t>
  </si>
  <si>
    <t>← Input width in mm</t>
  </si>
  <si>
    <t>← Input weight in Kg</t>
  </si>
  <si>
    <t>Slope Calculator</t>
  </si>
  <si>
    <t>Slope (θ)</t>
  </si>
  <si>
    <t>Rise (p, in)</t>
  </si>
  <si>
    <t>Run (a, in)</t>
  </si>
  <si>
    <t>For slope given as a percent, use the percent value as the Rise (p), and use 100 as the Run (a)</t>
  </si>
  <si>
    <t>Longest building axis required for roof heights between 60' and 200'</t>
  </si>
  <si>
    <t>Components Per EcoMount System:</t>
  </si>
  <si>
    <t>Total Weight After Ballasting:</t>
  </si>
  <si>
    <t>The EcoMount racking assembly must also resist sliding due to the drag force exerted by the wind. Calculations similar to that of uplift are used to determine the drag force by resolving the force exerted by Pnet into it's horizontal component, shown in Equation 6 below.</t>
  </si>
  <si>
    <t>Θinv = angle of inclination of the component</t>
  </si>
  <si>
    <r>
      <t xml:space="preserve">       </t>
    </r>
    <r>
      <rPr>
        <i/>
        <sz val="13"/>
        <color theme="1"/>
        <rFont val="Calibri"/>
        <family val="2"/>
        <scheme val="minor"/>
      </rPr>
      <t>EcoMount racking inclines the component at 15 degrees from the roof surface</t>
    </r>
    <r>
      <rPr>
        <sz val="13"/>
        <color theme="1"/>
        <rFont val="Calibri"/>
        <family val="2"/>
        <scheme val="minor"/>
      </rPr>
      <t xml:space="preserve"> </t>
    </r>
  </si>
  <si>
    <t>Ainv = surface area of the electrical component</t>
  </si>
  <si>
    <t xml:space="preserve">Ainv = surface area of the component
</t>
  </si>
  <si>
    <r>
      <t>Another primary concern for ballasted racking systems is force exerted by wind on the system.  In order to determine the ballast weight required in order to offset lift and drag forces exerted on the EcoMount component racking system, the Simplified Method of Calculating Design Wind Pressures on Components and Cladding is utilized, as found in ASCE7-05 (Section 6.4) and ASCE7-10 (Section 30.5). Due to each individual component having less than 10sqft of surface area, the Pnet30 value for surface area &lt; 10 sqft is always used. Wind Design Pressure (P</t>
    </r>
    <r>
      <rPr>
        <vertAlign val="subscript"/>
        <sz val="13"/>
        <color theme="1"/>
        <rFont val="Calibri"/>
        <family val="2"/>
        <scheme val="minor"/>
      </rPr>
      <t>net</t>
    </r>
    <r>
      <rPr>
        <sz val="13"/>
        <color theme="1"/>
        <rFont val="Calibri"/>
        <family val="2"/>
        <scheme val="minor"/>
      </rPr>
      <t xml:space="preserve">) exerted on a roof feature is calculated via Equation 2:
</t>
    </r>
  </si>
  <si>
    <t>Component Weight (lbs, each)</t>
  </si>
  <si>
    <t>Total Component Surface Area (sqft)</t>
  </si>
  <si>
    <t>Components per EcoMount Kit</t>
  </si>
  <si>
    <t xml:space="preserve">For a give roof layout, the minimum distance between the EcoMount system and roof edge (setback) is derived two different ways: through calculations in ASCE7 that deal primarily with roof zones used for simplified wind load calculations, and calculations from SEAOC PV1 which deal primarily with seismic considerations.
Using the Simplified Design Wind Pressure Method from ASCE7-05 and -10, the dimensions of a roof “edge” or “corner” zone are defined by dimension “a” in Fig. 6-3 (ASCE7-05) and Fig. 30.5-1 (ASCE7-10). The value of “a” is taken as “10 percent of least horizontal dimension or [0.4*height], whichever is smaller, but not less than either 4% of least horizontal dimension or 3 ft”. This value is used as one possible minimum setback distance from roof edges. However, if the EcoMount component racking must be placed less than distance "a" from a roof edge, a higher wind pressure coefficient may be found in Figures 6-3 (ASCE7-05) or 30.5-1 (ASCE7-10): Net Design Wind Pressure, Pnet30 (psf).
To simplify the application of this guideline, Ecolibrium Solar and CBC Engineers have tabulated the dimension "a" for various building dimensions, an excerpt of which is shown in Table 2.
</t>
  </si>
  <si>
    <r>
      <t>Where:
               Dup = design load after load combination
               B</t>
    </r>
    <r>
      <rPr>
        <vertAlign val="subscript"/>
        <sz val="13"/>
        <color theme="1"/>
        <rFont val="Calibri"/>
        <family val="2"/>
        <scheme val="minor"/>
      </rPr>
      <t xml:space="preserve">L </t>
    </r>
    <r>
      <rPr>
        <sz val="13"/>
        <color theme="1"/>
        <rFont val="Calibri"/>
        <family val="2"/>
        <scheme val="minor"/>
      </rPr>
      <t xml:space="preserve">= ballast load required to negate uplift force
</t>
    </r>
    <r>
      <rPr>
        <i/>
        <sz val="13"/>
        <color theme="1"/>
        <rFont val="Calibri"/>
        <family val="2"/>
        <scheme val="minor"/>
      </rPr>
      <t xml:space="preserve">                     This includes the weight of the electrical components, EcoMount rack, and ballast applied</t>
    </r>
    <r>
      <rPr>
        <sz val="13"/>
        <color theme="1"/>
        <rFont val="Calibri"/>
        <family val="2"/>
        <scheme val="minor"/>
      </rPr>
      <t xml:space="preserve">
               Wup = previously derived uplift force
If it is assumed that the uplift force is completely offset by ballast, and thus Dup = 0, Equation 4 can be rearranged into Equation 5 to provide a direct measurement of the required ballast for a given system.
</t>
    </r>
  </si>
  <si>
    <t>Ecolibrium Solar has produced a ballasted electrical component mounting solution called the EcoMount, based on the existing EcoFoot2+ product line for ballasted, flat-roof photovoltaic arrays. This document has been created to explain the steps and reasoning behind the ballast prescription for the EcoMount component racking system. Any assumptions made in these calculations represent the most severe ballasting conditions expected.</t>
  </si>
  <si>
    <t>Setback "a" selected by user</t>
  </si>
  <si>
    <t>Installer Name</t>
  </si>
  <si>
    <t>Installer Name:</t>
  </si>
  <si>
    <t>For use on permitting applications and paperwork.</t>
  </si>
  <si>
    <t>Added parapet, slope, orientation and setback mention to calculation walkthrough, Corrected ballast distribution equations for single column and single row, Corrected ballast distribution eqasion in all south rows, Corrected page numbering on report tabs 5a and 5b, Added south edge zone for single column, Added note requiring default minimum array size, Modified formatting of minimum array size and roof slope on inputs page, Applied new friction coefficients for Los Angeles and modified report, Applied new building height modifier, Incorporated Ecomount calculations, Automated the Ecomount setback and height modifier selection and created section on inputs page for EcoMount, Removed Butyl Option, Added slope calculator, Added rounding feature for ballast hidden past hundreths place (round down from .00499), Corrected high elevation equations to allow for Apv&lt;60, Editied reporting to include friction explanations, Corrected Occupancy I importance factors, Incorporated Ecomount report, Added installer vs account name lines on inputs, corrected incorrect downforce calculations in report page 3, Added EcoTray Rivets to '2-Quote Inputs', '3-Quote', and '4-Estimate' tabs, removed all FWNA references.</t>
  </si>
  <si>
    <t>4_2</t>
  </si>
  <si>
    <t>Type 2</t>
  </si>
  <si>
    <t>Corrected EcoTray Rivet formula and part number, Corrected hilighted field value, reported friction value and typos on '5-Report' tab, Corrected typo on '5a-Attached Report' tab, Corrected report print page numbering, Added option for new (black) resin bases for type 2 modules</t>
  </si>
  <si>
    <t>4_3</t>
  </si>
  <si>
    <t>Between array and roof edge with no parapet</t>
  </si>
  <si>
    <t>ECO-002_514</t>
  </si>
  <si>
    <t>Removed Ecofoot2+ White Bases. Use v4.2 if Ecofoot2+ White Bases are required for a given project, Corrected typos in '5-Report' and '5a-Unattached Report', Added seismic attachmnet kits, Made lower Rp for attached seismic specific for Los Angeles County, Updated U-Anchor EPDM price.</t>
  </si>
  <si>
    <t>total number of panels:</t>
  </si>
  <si>
    <t>Port</t>
  </si>
  <si>
    <t>Angle of incline (deg):</t>
  </si>
  <si>
    <t>from 1-Eng Inputs</t>
  </si>
  <si>
    <t>Total Sub-Array Weight (INPUT)</t>
  </si>
  <si>
    <t>Min Ballast total lbs:</t>
  </si>
  <si>
    <t>LIMITED BY STRUT   ---------&gt;</t>
  </si>
  <si>
    <t>B22 Strut Beam Loading Data</t>
  </si>
  <si>
    <t>Uniform</t>
  </si>
  <si>
    <t>Mid Span</t>
  </si>
  <si>
    <t>Span (in)</t>
  </si>
  <si>
    <t>port</t>
  </si>
  <si>
    <t>60c land</t>
  </si>
  <si>
    <t>72c land</t>
  </si>
  <si>
    <t>Static Friction Coefficient</t>
  </si>
  <si>
    <t>Simply supported</t>
  </si>
  <si>
    <t>fixed end hinges</t>
  </si>
  <si>
    <t>deformation</t>
  </si>
  <si>
    <t>check</t>
  </si>
  <si>
    <t>Edge Attachments:</t>
  </si>
  <si>
    <t>Attachments midway downhill:</t>
  </si>
  <si>
    <t>(min 2)</t>
  </si>
  <si>
    <t>mid span</t>
  </si>
  <si>
    <t>+ 20%</t>
  </si>
  <si>
    <t>+ 70%</t>
  </si>
  <si>
    <t>+ 35%</t>
  </si>
  <si>
    <r>
      <rPr>
        <b/>
        <sz val="8"/>
        <rFont val="Arial"/>
        <family val="2"/>
      </rPr>
      <t>Design Load</t>
    </r>
    <r>
      <rPr>
        <sz val="8"/>
        <rFont val="Arial"/>
        <family val="2"/>
      </rPr>
      <t xml:space="preserve"> from table (sf=1.68)</t>
    </r>
  </si>
  <si>
    <r>
      <rPr>
        <b/>
        <sz val="8"/>
        <rFont val="Arial"/>
        <family val="2"/>
      </rPr>
      <t>Ultimate Load</t>
    </r>
    <r>
      <rPr>
        <sz val="8"/>
        <rFont val="Arial"/>
        <family val="2"/>
      </rPr>
      <t xml:space="preserve"> (calculated)</t>
    </r>
  </si>
  <si>
    <t>Solid Modeling Results</t>
  </si>
  <si>
    <t>% diff</t>
  </si>
  <si>
    <t>Ultimate Shear of roof anchor:</t>
  </si>
  <si>
    <t>Attachment system rating (factored)</t>
  </si>
  <si>
    <t>Selection automated, see Strut Values tab for more information.</t>
  </si>
  <si>
    <t>Assuming the entire array will expand and contract from fixed edge (conservative)</t>
  </si>
  <si>
    <t>Assuming the entire array expands and contracts about central neutral axis</t>
  </si>
  <si>
    <t>Assuming worst case, odd number of rows.</t>
  </si>
  <si>
    <r>
      <t>W</t>
    </r>
    <r>
      <rPr>
        <vertAlign val="subscript"/>
        <sz val="10"/>
        <rFont val="Arial"/>
        <family val="2"/>
      </rPr>
      <t>F</t>
    </r>
  </si>
  <si>
    <r>
      <t>W</t>
    </r>
    <r>
      <rPr>
        <vertAlign val="subscript"/>
        <sz val="10"/>
        <rFont val="Arial"/>
        <family val="2"/>
      </rPr>
      <t>P</t>
    </r>
  </si>
  <si>
    <t>&lt;-- Fixed by roof attachments</t>
  </si>
  <si>
    <r>
      <t>F</t>
    </r>
    <r>
      <rPr>
        <i/>
        <vertAlign val="subscript"/>
        <sz val="10"/>
        <rFont val="Arial"/>
        <family val="2"/>
      </rPr>
      <t>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</si>
  <si>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F</t>
    </r>
    <r>
      <rPr>
        <i/>
        <vertAlign val="subscript"/>
        <sz val="10"/>
        <rFont val="Arial"/>
        <family val="2"/>
      </rPr>
      <t>G</t>
    </r>
    <r>
      <rPr>
        <i/>
        <sz val="10"/>
        <rFont val="Arial"/>
        <family val="2"/>
      </rPr>
      <t xml:space="preserve"> = (8WF + 3WP)*SIN(</t>
    </r>
    <r>
      <rPr>
        <sz val="10"/>
        <rFont val="Calibri"/>
        <family val="2"/>
      </rPr>
      <t>θ</t>
    </r>
    <r>
      <rPr>
        <i/>
        <sz val="10"/>
        <rFont val="Arial"/>
        <family val="2"/>
      </rPr>
      <t>)</t>
    </r>
  </si>
  <si>
    <r>
      <t>F</t>
    </r>
    <r>
      <rPr>
        <i/>
        <vertAlign val="subscript"/>
        <sz val="10"/>
        <rFont val="Arial"/>
        <family val="2"/>
      </rPr>
      <t>FU</t>
    </r>
    <r>
      <rPr>
        <i/>
        <sz val="10"/>
        <rFont val="Arial"/>
        <family val="2"/>
      </rPr>
      <t xml:space="preserve"> = (2WF + 1/2WP)*</t>
    </r>
    <r>
      <rPr>
        <sz val="10"/>
        <rFont val="Calibri"/>
        <family val="2"/>
      </rPr>
      <t>μ*COS(θ)</t>
    </r>
  </si>
  <si>
    <r>
      <t>F</t>
    </r>
    <r>
      <rPr>
        <i/>
        <vertAlign val="subscript"/>
        <sz val="10"/>
        <rFont val="Arial"/>
        <family val="2"/>
      </rPr>
      <t>FD</t>
    </r>
    <r>
      <rPr>
        <i/>
        <sz val="10"/>
        <rFont val="Arial"/>
        <family val="2"/>
      </rPr>
      <t xml:space="preserve"> = (4WF + 3/2WP)*</t>
    </r>
    <r>
      <rPr>
        <sz val="10"/>
        <rFont val="Calibri"/>
        <family val="2"/>
      </rPr>
      <t>μ*COS(θ)</t>
    </r>
  </si>
  <si>
    <r>
      <rPr>
        <i/>
        <sz val="10"/>
        <rFont val="Arial"/>
        <family val="2"/>
      </rPr>
      <t>ΔF</t>
    </r>
    <r>
      <rPr>
        <i/>
        <vertAlign val="subscript"/>
        <sz val="10"/>
        <rFont val="Arial"/>
        <family val="2"/>
      </rPr>
      <t>F</t>
    </r>
    <r>
      <rPr>
        <i/>
        <sz val="10"/>
        <rFont val="Arial"/>
        <family val="2"/>
      </rPr>
      <t xml:space="preserve"> = (2WF + WP)*μ*COS(θ)</t>
    </r>
  </si>
  <si>
    <t>Worst not-even array friction force fraction</t>
  </si>
  <si>
    <r>
      <t>F</t>
    </r>
    <r>
      <rPr>
        <i/>
        <vertAlign val="subscript"/>
        <sz val="10"/>
        <rFont val="Arial"/>
        <family val="2"/>
      </rPr>
      <t>F,TOT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</si>
  <si>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ΔF</t>
    </r>
    <r>
      <rPr>
        <i/>
        <vertAlign val="subscript"/>
        <sz val="10"/>
        <rFont val="Arial"/>
        <family val="2"/>
      </rPr>
      <t xml:space="preserve">F </t>
    </r>
    <r>
      <rPr>
        <i/>
        <sz val="10"/>
        <rFont val="Arial"/>
        <family val="2"/>
      </rPr>
      <t>/ F</t>
    </r>
    <r>
      <rPr>
        <i/>
        <vertAlign val="subscript"/>
        <sz val="10"/>
        <rFont val="Arial"/>
        <family val="2"/>
      </rPr>
      <t>F,TOT</t>
    </r>
    <r>
      <rPr>
        <i/>
        <sz val="10"/>
        <rFont val="Arial"/>
        <family val="2"/>
      </rPr>
      <t xml:space="preserve"> = [(2WF + WP)/(8WF + 3WP)]</t>
    </r>
  </si>
  <si>
    <t>Friction Force Fraction calculations:</t>
  </si>
  <si>
    <t>--&gt;</t>
  </si>
  <si>
    <t>Attachments including friction force fraction:</t>
  </si>
  <si>
    <t>Panel total on smaller side</t>
  </si>
  <si>
    <t>Panels at N/S Bottleneck:</t>
  </si>
  <si>
    <t>Panels at E/W Bottleneck:</t>
  </si>
  <si>
    <t>N/S Direction maximum panels per panel at bottleneck</t>
  </si>
  <si>
    <t>bottleneck</t>
  </si>
  <si>
    <t>totals</t>
  </si>
  <si>
    <t>one panel</t>
  </si>
  <si>
    <t>two panels</t>
  </si>
  <si>
    <t>three panels</t>
  </si>
  <si>
    <t>four panels</t>
  </si>
  <si>
    <t>five panels</t>
  </si>
  <si>
    <t>six panels</t>
  </si>
  <si>
    <t>E/W Direction maximum panels per panel at bottleneck</t>
  </si>
  <si>
    <t>Maximum Modules on Smaller Side of Bottleneck</t>
  </si>
  <si>
    <t>ECO-002_913</t>
  </si>
  <si>
    <t>ECO-002_914</t>
  </si>
  <si>
    <t>Uplift Attachments:</t>
  </si>
  <si>
    <t>Seismic Attachments:</t>
  </si>
  <si>
    <t>calculation</t>
  </si>
  <si>
    <t>input</t>
  </si>
  <si>
    <t>KEY:</t>
  </si>
  <si>
    <t>Uplift / Sliding Ballast Replacement</t>
  </si>
  <si>
    <t>avg</t>
  </si>
  <si>
    <t>1stdev</t>
  </si>
  <si>
    <t>Note:</t>
  </si>
  <si>
    <t>Load:</t>
  </si>
  <si>
    <t>Category:</t>
  </si>
  <si>
    <t>Anchor Shear Limit:</t>
  </si>
  <si>
    <t>Anchor Tension Limit:</t>
  </si>
  <si>
    <t>Shear</t>
  </si>
  <si>
    <t>test 1</t>
  </si>
  <si>
    <t>test 2</t>
  </si>
  <si>
    <t>test 3</t>
  </si>
  <si>
    <t>test 4</t>
  </si>
  <si>
    <t>test 5</t>
  </si>
  <si>
    <t>test 6</t>
  </si>
  <si>
    <t>test 7</t>
  </si>
  <si>
    <t>test 8</t>
  </si>
  <si>
    <t>test 9</t>
  </si>
  <si>
    <t>test 10</t>
  </si>
  <si>
    <t>test 11</t>
  </si>
  <si>
    <t>test 12</t>
  </si>
  <si>
    <t>test 13</t>
  </si>
  <si>
    <t>test 14</t>
  </si>
  <si>
    <t>test 15</t>
  </si>
  <si>
    <t>Lower Universal Mid-Support Bracket</t>
  </si>
  <si>
    <t>ES10498</t>
  </si>
  <si>
    <t>Upper Universal Mid-Support Bracket</t>
  </si>
  <si>
    <t>ES10502</t>
  </si>
  <si>
    <r>
      <t xml:space="preserve">Unattached Seismic Guidance </t>
    </r>
    <r>
      <rPr>
        <sz val="9"/>
        <rFont val="Arial"/>
        <family val="2"/>
      </rPr>
      <t>(For use in CA, or Ss &gt; 1.0)</t>
    </r>
  </si>
  <si>
    <t>Sub-Array Details:</t>
  </si>
  <si>
    <t xml:space="preserve">        Please reference Land Matrix or Port Matrix for sliding checks</t>
  </si>
  <si>
    <t>U-Anchor 2400/2600 testing</t>
  </si>
  <si>
    <t>avg - 1 stdev</t>
  </si>
  <si>
    <t>A safety factor applied to ultimate load</t>
  </si>
  <si>
    <t>Added sub-array check to matrix tabs - specific totals rather than estimates, added portrait sliding calcs, cleaned up inputs tab to reflect change, changed friction readout in inputs to be maximum, changed ecofoot calculations and extra block calculations in the sliding calcs tabs, clarified and improved lift and drag area calculations (Previously inputs could be done backwards, resulting in incorrect data), added thermal expansion calculations and automation in matrix tabs (needs to be vetted), strut values added and roof anchor strength automated, added thermal attachment note to engineering inputs section, corrected panel labels in matrix tabs (e/w corner incorrectly labeled in land and port, 3 col and 2 col),  modified quote tab to include attachment hardware in bom section, corrected pricing, implimented MSRP equation per Nate, corrected reporting tabs for clarity and for new sliding calcs.</t>
  </si>
  <si>
    <t>4_4</t>
  </si>
  <si>
    <t xml:space="preserve">     Downhill Force</t>
  </si>
  <si>
    <t xml:space="preserve">     Friction Force</t>
  </si>
  <si>
    <r>
      <t xml:space="preserve"> </t>
    </r>
    <r>
      <rPr>
        <sz val="9"/>
        <rFont val="Calibri"/>
        <family val="2"/>
      </rPr>
      <t>Λ</t>
    </r>
    <r>
      <rPr>
        <sz val="9"/>
        <rFont val="Arial"/>
        <family val="2"/>
      </rPr>
      <t xml:space="preserve">
 |   F</t>
    </r>
    <r>
      <rPr>
        <vertAlign val="subscript"/>
        <sz val="9"/>
        <rFont val="Arial"/>
        <family val="2"/>
      </rPr>
      <t>FU</t>
    </r>
    <r>
      <rPr>
        <sz val="9"/>
        <rFont val="Arial"/>
        <family val="2"/>
      </rPr>
      <t xml:space="preserve"> = Friction from uphill expansion</t>
    </r>
  </si>
  <si>
    <r>
      <t xml:space="preserve"> |  F</t>
    </r>
    <r>
      <rPr>
        <vertAlign val="subscript"/>
        <sz val="9"/>
        <rFont val="Arial"/>
        <family val="2"/>
      </rPr>
      <t>FD</t>
    </r>
    <r>
      <rPr>
        <sz val="9"/>
        <rFont val="Arial"/>
        <family val="2"/>
      </rPr>
      <t xml:space="preserve"> = Friction from downhill expansion
V</t>
    </r>
  </si>
  <si>
    <r>
      <t xml:space="preserve"> |  F</t>
    </r>
    <r>
      <rPr>
        <vertAlign val="subscript"/>
        <sz val="9"/>
        <rFont val="Arial"/>
        <family val="2"/>
      </rPr>
      <t>G</t>
    </r>
    <r>
      <rPr>
        <sz val="9"/>
        <rFont val="Arial"/>
        <family val="2"/>
      </rPr>
      <t xml:space="preserve"> = Gravity downhill 
V</t>
    </r>
  </si>
  <si>
    <t>FORCE SUMMARY</t>
  </si>
  <si>
    <t>INPUTS</t>
  </si>
  <si>
    <t>Thermal Expansion and sliding calculations</t>
  </si>
  <si>
    <t>FINAL ATTACHMENT COUNT (worse case)</t>
  </si>
  <si>
    <t>1st Component Total Length (in)</t>
  </si>
  <si>
    <t>1st Component Total Width (in)</t>
  </si>
  <si>
    <t>1st Component Total Weight (lbs)</t>
  </si>
  <si>
    <t>1st Component Make/Model</t>
  </si>
  <si>
    <t>2nd Component Make/Model</t>
  </si>
  <si>
    <t>2nd Component Total Length (in)</t>
  </si>
  <si>
    <t>2nd Component Total Width (in)</t>
  </si>
  <si>
    <t>2nd Component Total Weight (lbs)</t>
  </si>
  <si>
    <t>Single or Double Inverter Kit</t>
  </si>
  <si>
    <t>Number of 2nd Component Per EcoMount Rack</t>
  </si>
  <si>
    <t>Number of 1st Component Per EcoMount Rack</t>
  </si>
  <si>
    <t>Component Total Weight</t>
  </si>
  <si>
    <t xml:space="preserve">Total Component Area = Ainv = </t>
  </si>
  <si>
    <t>Electrical System Component(s):</t>
  </si>
  <si>
    <t>Component Total Surface Area:</t>
  </si>
  <si>
    <t>1st Component Make/Model:</t>
  </si>
  <si>
    <t>1st Component Total Length (in):</t>
  </si>
  <si>
    <t>1st Component Total Width (in):</t>
  </si>
  <si>
    <t>1st Component Total Weight (lbs):</t>
  </si>
  <si>
    <t>4_5</t>
  </si>
  <si>
    <t>38" Bonding Jumper</t>
  </si>
  <si>
    <t>ES10378</t>
  </si>
  <si>
    <t>EcoMount Only PE</t>
  </si>
  <si>
    <t>Asymmetric lift load Ratio (North Row)</t>
  </si>
  <si>
    <t>Asymmetric lift load Ratio (South Row)</t>
  </si>
  <si>
    <t>Roof Setback Minimum</t>
  </si>
  <si>
    <t>zmin (from ASCE7 Table 6-2)=</t>
  </si>
  <si>
    <t>z selected (from zmin &amp; inputs)=</t>
  </si>
  <si>
    <t>Min Edge Setback (in)</t>
  </si>
  <si>
    <t>3 Sec. Gust (mph)</t>
  </si>
  <si>
    <t>Ecolibrium Solar utilizes the unattached design approach to account for seismic force as provided for by Section 16 of the California Building Code (CBC) and the Structural Engineering Association of California PV1 Requirements (SEAOC PV1-2012).  Section 1613 of the CBC defines “Ballasted Photovoltaic System”.  SEAOC PV1 defines conservative calculations to be used to design unattached photovoltaic systems, independent of friction considerations.
The unattached approach begins with the project specific design criteria.  Table 6 lists the relavent project inputs.</t>
  </si>
  <si>
    <r>
      <t xml:space="preserve">SEAOC PV1 defines the value </t>
    </r>
    <r>
      <rPr>
        <sz val="10.5"/>
        <rFont val="Calibri"/>
        <family val="2"/>
      </rPr>
      <t>Δ</t>
    </r>
    <r>
      <rPr>
        <b/>
        <i/>
        <vertAlign val="subscript"/>
        <sz val="11"/>
        <rFont val="Calibri"/>
        <family val="2"/>
      </rPr>
      <t>MPV</t>
    </r>
    <r>
      <rPr>
        <b/>
        <i/>
        <sz val="6"/>
        <rFont val="Calibri"/>
        <family val="2"/>
      </rPr>
      <t xml:space="preserve">, </t>
    </r>
    <r>
      <rPr>
        <sz val="11"/>
        <rFont val="Calibri"/>
        <family val="2"/>
      </rPr>
      <t>which is the design seismic displacement of the array relative to the roof.  This is defined in Table 7. According to SEAOC research, these values are more conservative than shake table testing.</t>
    </r>
  </si>
  <si>
    <r>
      <t>[(</t>
    </r>
    <r>
      <rPr>
        <i/>
        <sz val="10"/>
        <rFont val="Calibri"/>
        <family val="2"/>
      </rPr>
      <t xml:space="preserve">SDS </t>
    </r>
    <r>
      <rPr>
        <sz val="10"/>
        <rFont val="Calibri"/>
        <family val="2"/>
      </rPr>
      <t>– 0.4)</t>
    </r>
    <r>
      <rPr>
        <vertAlign val="superscript"/>
        <sz val="10"/>
        <rFont val="Calibri"/>
        <family val="2"/>
      </rPr>
      <t>2</t>
    </r>
    <r>
      <rPr>
        <sz val="10"/>
        <rFont val="Calibri"/>
        <family val="2"/>
      </rPr>
      <t>] * 60 in.  ≥  6 in.</t>
    </r>
  </si>
  <si>
    <r>
      <t>Once the minimum separation distances are defined, the maximum allowable array size is determined according to the calculations found in Section 6 pertaining to the interconnection strength of an array.  Ultimately, the arrays must not break apart under the forces experienced during potential seismic events.  The total horizontal force is defined in SEAOC PV1 as the larger of 0.133S</t>
    </r>
    <r>
      <rPr>
        <vertAlign val="subscript"/>
        <sz val="11"/>
        <rFont val="Calibri"/>
        <family val="2"/>
      </rPr>
      <t>DS</t>
    </r>
    <r>
      <rPr>
        <sz val="11"/>
        <rFont val="Calibri"/>
        <family val="2"/>
      </rPr>
      <t>W</t>
    </r>
    <r>
      <rPr>
        <sz val="9"/>
        <rFont val="Calibri"/>
        <family val="2"/>
      </rPr>
      <t>1</t>
    </r>
    <r>
      <rPr>
        <sz val="11"/>
        <rFont val="Calibri"/>
        <family val="2"/>
      </rPr>
      <t xml:space="preserve"> and 0.1W</t>
    </r>
    <r>
      <rPr>
        <sz val="9"/>
        <rFont val="Calibri"/>
        <family val="2"/>
      </rPr>
      <t>1</t>
    </r>
    <r>
      <rPr>
        <sz val="11"/>
        <rFont val="Calibri"/>
        <family val="2"/>
      </rPr>
      <t>, where W</t>
    </r>
    <r>
      <rPr>
        <sz val="9"/>
        <rFont val="Calibri"/>
        <family val="2"/>
      </rPr>
      <t>1</t>
    </r>
    <r>
      <rPr>
        <sz val="11"/>
        <rFont val="Calibri"/>
        <family val="2"/>
      </rPr>
      <t xml:space="preserve"> is "the weight of the portion of the array, including ballast, on the side of the section that has smaller weight." 
In practice, Ecolibrium Solar uses the SEAOC equations to calculate the maximum number of modules allowable in the north/south and east/west directions of a rectangular array.  This is done by finding the maximum allowable W1 per module at the interconnection plane, based on the interconnection strengths listed in Table 9.</t>
    </r>
  </si>
  <si>
    <t>As the east/west and north/south interconnection strengths are known, the SEAOC equations are rearranged to use horizontal force to determine a maximum W1 for a given section. Then from the maximum sectional W1,  the maximum allowable modules on the smaller side of an array is determined from the module and racking weights, as shown in Table 10. The maximum dimensions of any given array, or 2x the maximum W1 half of an array, is also listed in Table 10. These values are used as the maximum dimensions of any array for this particular project.</t>
  </si>
  <si>
    <t xml:space="preserve">As per SEAOC PV1 - 2012, the system as been determined to have a coefficient of friction greater than 0.4. The coefficients of friction is based on roof material, use of a slip sheet, wet or dry conditions, and expected ballast conditions.  All friction values have been identified by Testing Engineers (IAS accredited) according to ASTM G115 - Standard Guide for Measuring and Reporting Friction Coefficients, methodology that is in agreement with SEAOC and Los Angeles, CA stipulations.
</t>
  </si>
  <si>
    <t>Sliding of Landscape Sub Array</t>
  </si>
  <si>
    <t>Attachment Details:</t>
  </si>
  <si>
    <t>Attachments Details:</t>
  </si>
  <si>
    <t>Number of modules per seismic attachment:</t>
  </si>
  <si>
    <t>EcoMount calculations built out to accommodate 2 different components on a single inverter kit (e.g. SMA inverter and conn unit), updated quote inputs and quote/estimates tabs, updated report tabs to remove extraneous information and simplify, changed sliding check based on calculation definitions from RWDI report, corrected fractions in Matrix tabs</t>
  </si>
  <si>
    <t>Anchor Tension Design Load</t>
  </si>
  <si>
    <t>Anchor Shear Design Load:</t>
  </si>
  <si>
    <t>Strut Design Load:</t>
  </si>
  <si>
    <t>Strut Ultimate Load</t>
  </si>
  <si>
    <t>Attachment Design Load:</t>
  </si>
  <si>
    <t>1.68 sf</t>
  </si>
  <si>
    <t>2.0 sf</t>
  </si>
  <si>
    <t>Continuous strut, with center loaded condition, ASD value</t>
  </si>
  <si>
    <t>U-Anchor 2400/2600, ASD value</t>
  </si>
  <si>
    <t>Blocks to be offset</t>
  </si>
  <si>
    <t xml:space="preserve">Mean = </t>
  </si>
  <si>
    <t xml:space="preserve">Standard Deviation = </t>
  </si>
  <si>
    <t xml:space="preserve">Vr = </t>
  </si>
  <si>
    <t>1stdev/avg</t>
  </si>
  <si>
    <t>Vr=</t>
  </si>
  <si>
    <t>ϕ=</t>
  </si>
  <si>
    <t>Fcϕ=</t>
  </si>
  <si>
    <t>4_5_1</t>
  </si>
  <si>
    <t>Corrected pricing and quote tabs, corrected and finalized uplift attach calcs, changed strut reference</t>
  </si>
  <si>
    <t>Ballast to offset</t>
  </si>
  <si>
    <t>bases rounded down</t>
  </si>
  <si>
    <t>EcoFoot bases per anchor</t>
  </si>
  <si>
    <t>Ballast Blocks offset per uplift attachment:</t>
  </si>
  <si>
    <t>Ballast blocks offset per uplift attachment:</t>
  </si>
  <si>
    <t>ECO-002_624</t>
  </si>
  <si>
    <t>OMG</t>
  </si>
  <si>
    <t>5_0</t>
  </si>
  <si>
    <t>Alb=Effective lift area of one tile (landscape - 5 deg)</t>
  </si>
  <si>
    <t>Alb=Effective lift area of one tile (landscape - 10 deg)</t>
  </si>
  <si>
    <t>Ala=effective lift area actual of panel (5 deg)</t>
  </si>
  <si>
    <t>Ala=effective lift area actual of panel (10 deg)</t>
  </si>
  <si>
    <t>Values from: Rofotop Solar Racking System, 5 deg Landscape Coefficients; April 18, 2017</t>
  </si>
  <si>
    <t>Table 3, 4: Recommended Pressure Coefficients – Landscape Orientation</t>
  </si>
  <si>
    <t>Table 1, 2: Recommended Pressure Coefficients – Landscape Orientation</t>
  </si>
  <si>
    <t>(EF2+)</t>
  </si>
  <si>
    <t>lbs (EF2+)</t>
  </si>
  <si>
    <t>4+</t>
  </si>
  <si>
    <t>aw</t>
  </si>
  <si>
    <t>ad</t>
  </si>
  <si>
    <t>qz</t>
  </si>
  <si>
    <t>M</t>
  </si>
  <si>
    <t>fn</t>
  </si>
  <si>
    <t>Auplift</t>
  </si>
  <si>
    <t>Adrag</t>
  </si>
  <si>
    <t>(GCp)*drag</t>
  </si>
  <si>
    <t>|GCp|*uplift</t>
  </si>
  <si>
    <t>Ada=effective drag area actual of panel (10 deg)</t>
  </si>
  <si>
    <t>Ada=effective drag area actual of panel (5 deg)</t>
  </si>
  <si>
    <t>GCp-dragmax</t>
  </si>
  <si>
    <t>GCp-upliftmax</t>
  </si>
  <si>
    <t>Rfactor</t>
  </si>
  <si>
    <t>sqft</t>
  </si>
  <si>
    <t>Ballast Blocks:</t>
  </si>
  <si>
    <t>Wbalblock</t>
  </si>
  <si>
    <t>Sub-Array Module Count Total:</t>
  </si>
  <si>
    <t>Landscape Orientation Ballast</t>
  </si>
  <si>
    <t>Sub-Array Zone:</t>
  </si>
  <si>
    <t>Portrait Orientation Ballast</t>
  </si>
  <si>
    <t>Sub-Array location (RWDI definitions)</t>
  </si>
  <si>
    <t>GCpdrag</t>
  </si>
  <si>
    <t>Gcpuplift</t>
  </si>
  <si>
    <t>Worst Case</t>
  </si>
  <si>
    <t>Modules in array:</t>
  </si>
  <si>
    <t>Cell With Roof Area</t>
  </si>
  <si>
    <t>Cell With Area Reduction Value</t>
  </si>
  <si>
    <t>Area Reduction Value</t>
  </si>
  <si>
    <t>Red. Fact. For roof area lower than</t>
  </si>
  <si>
    <t>Red. Fact. For roof area higher than</t>
  </si>
  <si>
    <t>Interpolated Factor (Act-Low/High-Low)</t>
  </si>
  <si>
    <t>Interpolated Value</t>
  </si>
  <si>
    <t>Portrait Interpolation</t>
  </si>
  <si>
    <t>Landscape Interpolation</t>
  </si>
  <si>
    <t>subarray footprint (10 deg landscape)</t>
  </si>
  <si>
    <t>subarray footprint (5 deg landscape)</t>
  </si>
  <si>
    <t>EcoFoot Product Line:</t>
  </si>
  <si>
    <t>Project Specifics</t>
  </si>
  <si>
    <t>EcoFoot 5D</t>
  </si>
  <si>
    <t>EcoFoot 2+</t>
  </si>
  <si>
    <t>ECO-002_142</t>
  </si>
  <si>
    <t>ECO-002_143</t>
  </si>
  <si>
    <t>ECO-002_207</t>
  </si>
  <si>
    <t>n/a</t>
  </si>
  <si>
    <t>ES10490</t>
  </si>
  <si>
    <t>Product Line</t>
  </si>
  <si>
    <t>EcoTray Rivet</t>
  </si>
  <si>
    <t>ES10480</t>
  </si>
  <si>
    <t>Product Line:</t>
  </si>
  <si>
    <r>
      <t>ASCE7 Version</t>
    </r>
    <r>
      <rPr>
        <vertAlign val="superscript"/>
        <sz val="10"/>
        <rFont val="Arial"/>
        <family val="2"/>
      </rPr>
      <t>①</t>
    </r>
    <r>
      <rPr>
        <sz val="10"/>
        <rFont val="Arial"/>
        <family val="2"/>
      </rPr>
      <t>:</t>
    </r>
  </si>
  <si>
    <t>①</t>
  </si>
  <si>
    <t>(EF5D)</t>
  </si>
  <si>
    <t>Table Of Figures:</t>
  </si>
  <si>
    <t>Table 2: PV Module Specifics</t>
  </si>
  <si>
    <t>Table 1: System Design Criteria</t>
  </si>
  <si>
    <t>Page 2</t>
  </si>
  <si>
    <t>Load combination factor for seismic</t>
  </si>
  <si>
    <t>Load Combination Factor for Seismic</t>
  </si>
  <si>
    <t>Load Combination Factor for Wind</t>
  </si>
  <si>
    <t>α (from ASCE7 Table 6-2 or 26.9.1)=</t>
  </si>
  <si>
    <t>zg (from ASCE7 Table 6-2 or 26.9.1)=</t>
  </si>
  <si>
    <t>Page 3</t>
  </si>
  <si>
    <t>Page 4</t>
  </si>
  <si>
    <t>Page 5</t>
  </si>
  <si>
    <t>Table 1:  System Design Criteria…………………………………………………………………………………………..</t>
  </si>
  <si>
    <t>Table 2:  PV Module Specifics……………………………………………………………………………………………….</t>
  </si>
  <si>
    <t>Table 3:  Calculation Inputs, Constants, and Variables……………………………………………………………………………</t>
  </si>
  <si>
    <t>Ada= Effective Drag Area of PV Module</t>
  </si>
  <si>
    <t>Ala= Effective Lift Area of PV Module</t>
  </si>
  <si>
    <t>dLF1= Dead Load of Module and Attributed Racking</t>
  </si>
  <si>
    <t>EcoFoot 2+ Ballast Layout</t>
  </si>
  <si>
    <t>EcoFoot 5D Ballast Layout</t>
  </si>
  <si>
    <t>Introduction, Site Specifics and Variable Definition</t>
  </si>
  <si>
    <t>Utilizing the inputs from Tables 1 and 2, the factors in Table 3 are generated for the site. This list of factors is used in various ways to fully define a proposed system according to calculations laid out in the SEAOC and ASCE documents. In the scope of this explanation, factors are used to calculate velocity pressure, qh as defined in ASCE7-05, Section 6.5.10, and ASCE7-10, Section 30.3.2, and ultimately the amount of ballast required to offset uplift and drag forces.</t>
  </si>
  <si>
    <t>Wind Tunnel Testing, Uplift and Drag Force Calculations</t>
  </si>
  <si>
    <t>Load Sharing Area</t>
  </si>
  <si>
    <t>Image 1: Aerodynamic Zones from RWDI Report</t>
  </si>
  <si>
    <t>Image 1: Aerodynamic Zones From RWDI Report………………………………………………………………………………………</t>
  </si>
  <si>
    <t>Total Required Ballast Blocks:</t>
  </si>
  <si>
    <r>
      <t>W</t>
    </r>
    <r>
      <rPr>
        <sz val="8"/>
        <rFont val="Calibri"/>
        <family val="2"/>
        <scheme val="minor"/>
      </rPr>
      <t>ballastblock</t>
    </r>
    <r>
      <rPr>
        <sz val="11"/>
        <rFont val="Calibri"/>
        <family val="2"/>
        <scheme val="minor"/>
      </rPr>
      <t xml:space="preserve"> = </t>
    </r>
  </si>
  <si>
    <r>
      <t>GC</t>
    </r>
    <r>
      <rPr>
        <sz val="8"/>
        <rFont val="Calibri"/>
        <family val="2"/>
        <scheme val="minor"/>
      </rPr>
      <t>p-drag</t>
    </r>
  </si>
  <si>
    <r>
      <t>GC</t>
    </r>
    <r>
      <rPr>
        <sz val="8"/>
        <rFont val="Calibri"/>
        <family val="2"/>
        <scheme val="minor"/>
      </rPr>
      <t>p-uplift</t>
    </r>
  </si>
  <si>
    <r>
      <t>q</t>
    </r>
    <r>
      <rPr>
        <sz val="8"/>
        <rFont val="Calibri"/>
        <family val="2"/>
        <scheme val="minor"/>
      </rPr>
      <t>z</t>
    </r>
    <r>
      <rPr>
        <sz val="11"/>
        <rFont val="Calibri"/>
        <family val="2"/>
        <scheme val="minor"/>
      </rPr>
      <t xml:space="preserve"> (q</t>
    </r>
    <r>
      <rPr>
        <sz val="8"/>
        <rFont val="Calibri"/>
        <family val="2"/>
        <scheme val="minor"/>
      </rPr>
      <t>h</t>
    </r>
    <r>
      <rPr>
        <sz val="11"/>
        <rFont val="Calibri"/>
        <family val="2"/>
        <scheme val="minor"/>
      </rPr>
      <t xml:space="preserve"> in Table 3)= </t>
    </r>
  </si>
  <si>
    <r>
      <t>a</t>
    </r>
    <r>
      <rPr>
        <sz val="8"/>
        <rFont val="Calibri"/>
        <family val="2"/>
        <scheme val="minor"/>
      </rPr>
      <t>w</t>
    </r>
    <r>
      <rPr>
        <sz val="11"/>
        <rFont val="Calibri"/>
        <family val="2"/>
        <scheme val="minor"/>
      </rPr>
      <t xml:space="preserve"> = Wind Load Combination Factor = </t>
    </r>
  </si>
  <si>
    <r>
      <t>a</t>
    </r>
    <r>
      <rPr>
        <sz val="8"/>
        <rFont val="Calibri"/>
        <family val="2"/>
        <scheme val="minor"/>
      </rPr>
      <t>d</t>
    </r>
    <r>
      <rPr>
        <sz val="11"/>
        <rFont val="Calibri"/>
        <family val="2"/>
        <scheme val="minor"/>
      </rPr>
      <t xml:space="preserve"> = Dead Load Combination Factor = </t>
    </r>
  </si>
  <si>
    <t xml:space="preserve">M = dLF1 from Table 3 = </t>
  </si>
  <si>
    <r>
      <t>f</t>
    </r>
    <r>
      <rPr>
        <sz val="8"/>
        <rFont val="Calibri"/>
        <family val="2"/>
        <scheme val="minor"/>
      </rPr>
      <t>n</t>
    </r>
    <r>
      <rPr>
        <sz val="11"/>
        <rFont val="Calibri"/>
        <family val="2"/>
        <scheme val="minor"/>
      </rPr>
      <t xml:space="preserve"> (also see Table 1)  = </t>
    </r>
  </si>
  <si>
    <r>
      <t>A</t>
    </r>
    <r>
      <rPr>
        <sz val="8"/>
        <rFont val="Calibri"/>
        <family val="2"/>
        <scheme val="minor"/>
      </rPr>
      <t>uplift</t>
    </r>
    <r>
      <rPr>
        <sz val="11"/>
        <rFont val="Calibri"/>
        <family val="2"/>
        <scheme val="minor"/>
      </rPr>
      <t xml:space="preserve"> = Ala in Table 3 = </t>
    </r>
  </si>
  <si>
    <r>
      <t>A</t>
    </r>
    <r>
      <rPr>
        <sz val="8"/>
        <rFont val="Calibri"/>
        <family val="2"/>
        <scheme val="minor"/>
      </rPr>
      <t>drag</t>
    </r>
    <r>
      <rPr>
        <sz val="11"/>
        <rFont val="Calibri"/>
        <family val="2"/>
        <scheme val="minor"/>
      </rPr>
      <t xml:space="preserve"> = Ada in Table 3 = </t>
    </r>
  </si>
  <si>
    <t xml:space="preserve">Area Reduction Factor = </t>
  </si>
  <si>
    <r>
      <t>(GCp)</t>
    </r>
    <r>
      <rPr>
        <vertAlign val="superscript"/>
        <sz val="11"/>
        <rFont val="Calibri"/>
        <family val="2"/>
        <scheme val="minor"/>
      </rPr>
      <t>*</t>
    </r>
    <r>
      <rPr>
        <sz val="8"/>
        <rFont val="Calibri"/>
        <family val="2"/>
        <scheme val="minor"/>
      </rPr>
      <t>drag</t>
    </r>
    <r>
      <rPr>
        <sz val="11"/>
        <rFont val="Calibri"/>
        <family val="2"/>
        <scheme val="minor"/>
      </rPr>
      <t xml:space="preserve"> = </t>
    </r>
  </si>
  <si>
    <r>
      <t>|GCp|</t>
    </r>
    <r>
      <rPr>
        <vertAlign val="superscript"/>
        <sz val="11"/>
        <rFont val="Calibri"/>
        <family val="2"/>
        <scheme val="minor"/>
      </rPr>
      <t>*</t>
    </r>
    <r>
      <rPr>
        <sz val="8"/>
        <rFont val="Calibri"/>
        <family val="2"/>
        <scheme val="minor"/>
      </rPr>
      <t>uplift</t>
    </r>
    <r>
      <rPr>
        <sz val="11"/>
        <rFont val="Calibri"/>
        <family val="2"/>
        <scheme val="minor"/>
      </rPr>
      <t xml:space="preserve"> = </t>
    </r>
  </si>
  <si>
    <t>Table 5: Ballast to Resist Sliding Calculation</t>
  </si>
  <si>
    <t>Table 4:  Ballast to Resist Uplift Calculations for the Above Address…………………………………………………………</t>
  </si>
  <si>
    <t>Image 2: Ballast to Resist Sliding Equation</t>
  </si>
  <si>
    <t>Table 5:  Ballast to Resist Sliding Calculations……………………………………………………………………………………………………</t>
  </si>
  <si>
    <t>Image 2: Ballast to Resist Sliding Equation from RWDI…………………………………………………………</t>
  </si>
  <si>
    <t>EcoFoot location with required number of ballast blocks</t>
  </si>
  <si>
    <t>Image 3: Example of Module and Ballast Graphical Representation…………………………………………………………</t>
  </si>
  <si>
    <t>Image 3: Example of Module and Ballast Graphical Representation</t>
  </si>
  <si>
    <t>The ballast prescription array shown in Image 4 is one of many similar arrays created automatically through EcoCalcs in order to address all possible array configurations. The data calculated in Table 4 was ultimately used to assign ballast to the system design in Sheet S-1.0 by Ecolibrium Solar. EcoCalcs and the resulting ballast plan S-1.0 are reviewed by CBC Engineers for correctness and completeness. Once approved, an engineering report including Sheet S-1.0 and any supporting material (this explanation included) are stamped and sealed by a professional engineer registered in the state where the project is proposed.</t>
  </si>
  <si>
    <t>N</t>
  </si>
  <si>
    <t>Exposed Edge</t>
  </si>
  <si>
    <t>Break Line 
(green dashed line)</t>
  </si>
  <si>
    <t>For easier interpretation, the results calculated in Table 4 are laid out in graphical representations of a solar array, shown in Image 4. Ecolibrium Solar engineers and drafters make use of this graphical layout when applying ballast to a given system design.
As shown in Image 3, the ballast required to resist lift - BWUz from Table 4 - is listed for each module location in Image 4. A portion of each BWUz value is distributed to each of the connected EcoFoot Bases, also detailed in Image 3 and included in Image 4. The total ballast required at each EcoFoot location is then calculated and rounded up to the next ballast block increment.</t>
  </si>
  <si>
    <t>Ballast Application to Sheet S-1.0</t>
  </si>
  <si>
    <t xml:space="preserve">Total Required Ballast Weight (Per Image 2)= </t>
  </si>
  <si>
    <t>Detailed Calculations From Table 4</t>
  </si>
  <si>
    <t>GCn Value from RWDI report:</t>
  </si>
  <si>
    <t>qh value from Table 3:</t>
  </si>
  <si>
    <t>North Corner Module</t>
  </si>
  <si>
    <t>pUz = Uplift design wind pressure in Z direction = qh*GCn:</t>
  </si>
  <si>
    <t xml:space="preserve">Am = Surface Area of Module: </t>
  </si>
  <si>
    <r>
      <rPr>
        <sz val="11"/>
        <rFont val="Calibri"/>
        <family val="2"/>
      </rPr>
      <t xml:space="preserve">Θm = </t>
    </r>
    <r>
      <rPr>
        <sz val="11"/>
        <rFont val="Calibri"/>
        <family val="2"/>
        <scheme val="minor"/>
      </rPr>
      <t>Module Incline:</t>
    </r>
  </si>
  <si>
    <t>Ala = PV Module Lift Area = Am * Cos (Θm):</t>
  </si>
  <si>
    <t>dLF1 = Dead load of one module and attributed hardware:</t>
  </si>
  <si>
    <t>East/West Edge Module</t>
  </si>
  <si>
    <t>Interior Module</t>
  </si>
  <si>
    <t>NOTE: The colored module locations in Image 4 correspond to the same colored areas in Table 4: green - the north corners, purple - the east or west edge, orange - the deep interior. See Page 7 for more detailed calculations.</t>
  </si>
  <si>
    <t xml:space="preserve">To check the amount of drag a given sub-array will experience, the equation in Image 2 is utilized - an excerpt from RWDI's test report. Each sub-array is checked for sliding, proceeding from the smallest to largest or until drag no longer governs total required ballast. 
Table 5 lists the calculations used to identify the total required ballast to counteract drag forces and prevent sliding. Friction values have been identified by Testing Engineers (IAS accredited) according to ASTM G115 - Standard Guide for Measuring and Reporting Friction Coefficients. Unless detailed information is available pertaining to the location of the sub-array, the roof's worst case uplift GCp are utilized in calculating drag and required ballast.
</t>
  </si>
  <si>
    <t>The aerodynamic differences among different sub-sections of a large array are handled by various calculation sections (North Corner, North Edge, E/W Edge...) and apply according to the excerpt from the RWDI report shown below in Image 1. The highlighted sections of Table 4 correspond to specific module locations, also shown in Image 4: green - the north corners, purple - the east or west edge, orange - the deep interior. See Page 7 for expanded calculations pertaining to the highlighted sections.</t>
  </si>
  <si>
    <t>Page 6</t>
  </si>
  <si>
    <t>Module, with required ballast weight "BWUz" called out</t>
  </si>
  <si>
    <t>Wind tunnel testing of the EcoFoot product line to determine GCn values has been conducted by Rowan Williams Davies &amp; Irwin Inc. (RWDI), a nationally recognized boundary-layer wind tunnel test firm. Testing was conducted  in accordance with ASCE7-05, section 6.6, and ASCE7-10, section 31.2. Module-specific GCn data allows for precise application of ballast to prevent uplift. Deviation from prescriptive wind GCn values has been addressed according to SEAOC PV2 via a peer review of the wind tunnel testing and results by Maffei Structural Engineering. 
GCn and qh are used to calculate the pressure exerted on each module via the design wind pressure equations (ASCE7-05 – section 6.5.12.4, ASCE7-10 – section 30.4.2). Ballast required to offset uplift and drag forces (BWUz) is calculated with load combination calculations from ASCE7-05/10 section 2.3.2. Detailed calculations for this project are found in Table 4. Resulting required ballast BWUz is displayed graphically in Image 3.</t>
  </si>
  <si>
    <t>Image 4:  Ballast Prescriptions Produced by Table 4 …………………………………………………………</t>
  </si>
  <si>
    <t>Image 4: Ballast Prescriptions Produced by Table 4</t>
  </si>
  <si>
    <r>
      <t>Table 7: SEAOC PV1 Δ</t>
    </r>
    <r>
      <rPr>
        <i/>
        <u/>
        <vertAlign val="subscript"/>
        <sz val="11"/>
        <color indexed="19"/>
        <rFont val="Calibri"/>
        <family val="2"/>
        <scheme val="minor"/>
      </rPr>
      <t>MPV</t>
    </r>
    <r>
      <rPr>
        <i/>
        <u/>
        <sz val="11"/>
        <color indexed="19"/>
        <rFont val="Calibri"/>
        <family val="2"/>
        <scheme val="minor"/>
      </rPr>
      <t xml:space="preserve"> Definitions</t>
    </r>
  </si>
  <si>
    <t>Image 5: Example of ballast layout with seismic attachment callouts</t>
  </si>
  <si>
    <t>Calculation Explanation Key Sections:</t>
  </si>
  <si>
    <t>Introduction, Site Specifics and Variable Definition………………………………………………………………………</t>
  </si>
  <si>
    <t>Wind Tunnel Testing, Uplift and Drag Force Calculations……………………………………………………………….</t>
  </si>
  <si>
    <t>Ballast Application to Sheet S-1.0……………………………………………………………………………………….</t>
  </si>
  <si>
    <t>Page 7</t>
  </si>
  <si>
    <t>Page 8</t>
  </si>
  <si>
    <t>Testing Engineers, Inc. -- Friction Testing per ASTM G115</t>
  </si>
  <si>
    <t>CBC Engineers -- Professional Engineering Review and Certification</t>
  </si>
  <si>
    <t>3rd Party Engineering Resources</t>
  </si>
  <si>
    <t>Detailed Calculations From Table 4……………………………………………………………………………………………</t>
  </si>
  <si>
    <t>1st Component Qty To Be Installed</t>
  </si>
  <si>
    <t>2nd Component Qty To Be Installed</t>
  </si>
  <si>
    <t>Single or Double Component EcoMount</t>
  </si>
  <si>
    <t>1st Component Qty To Be Installed:</t>
  </si>
  <si>
    <r>
      <rPr>
        <sz val="24"/>
        <color theme="1"/>
        <rFont val="Cambria"/>
        <family val="1"/>
      </rPr>
      <t>EcoMount Wind and Seismic</t>
    </r>
    <r>
      <rPr>
        <sz val="10"/>
        <rFont val="Arial"/>
        <family val="2"/>
      </rPr>
      <t xml:space="preserve">
</t>
    </r>
    <r>
      <rPr>
        <sz val="14"/>
        <color theme="1" tint="0.499984740745262"/>
        <rFont val="Calibri"/>
        <family val="2"/>
        <scheme val="minor"/>
      </rPr>
      <t>An Explanation of the Calculations Based on ASCE7 and SEAOC-PV1</t>
    </r>
    <r>
      <rPr>
        <sz val="10"/>
        <rFont val="Arial"/>
        <family val="2"/>
      </rPr>
      <t xml:space="preserve">
</t>
    </r>
  </si>
  <si>
    <t>Added 5 deg landscape calculations, re-visited drag calculations and methodology to include sub-array location dropdown, changed strut values for attachment ballast offset (now 66" and 78" spans), added interpolation in area reduction factor tab for Landscape, portrait and 5D, added to and modified the quotes tab to include 5D parts sent on 5/25, added note to eng approval tab for ASCE7 vs IBC dates, report improvements - adding 5 deg info and modifying language and content, corrected quote inputs errors, added discount to quote tab, added auto quote feature back in for modules entered in eng inputs, fixed ecomount reporting and calcs, removed COGS and Shipping from quote tabs.</t>
  </si>
  <si>
    <t>5_1</t>
  </si>
  <si>
    <t>LIST PRICE</t>
  </si>
  <si>
    <t>Corrected pricing on the quote input tab, removed cogs and shipping columns, removed "envorinmental package", removed fire code (NEEDS:potential 3x4 and 3x5 load sharing areas to reduce 5 deg coefficients)</t>
  </si>
  <si>
    <t>Coeff</t>
  </si>
  <si>
    <r>
      <t xml:space="preserve">   </t>
    </r>
    <r>
      <rPr>
        <sz val="10"/>
        <rFont val="Calibri"/>
        <family val="2"/>
      </rPr>
      <t>↓</t>
    </r>
  </si>
  <si>
    <t>2x1 MAX</t>
  </si>
  <si>
    <t>2x2 MAX</t>
  </si>
  <si>
    <t>1x1</t>
  </si>
  <si>
    <r>
      <t xml:space="preserve">Coeff </t>
    </r>
    <r>
      <rPr>
        <sz val="10"/>
        <rFont val="Calibri"/>
        <family val="2"/>
      </rPr>
      <t>→</t>
    </r>
  </si>
  <si>
    <t>Array Continues Inward, Is Symmetric About Centerline</t>
  </si>
  <si>
    <t>5_2</t>
  </si>
  <si>
    <t>U-Anchor/B22 Strut assembly load rating</t>
  </si>
  <si>
    <t>See "Uplift Attachment Calcs"</t>
  </si>
  <si>
    <t>From user input Roof and EcoFoot selections</t>
  </si>
  <si>
    <t>Maximum Friction Force to be exerted by a moving system</t>
  </si>
  <si>
    <t>Gravity force downhill from system</t>
  </si>
  <si>
    <t>Ballast to resist drag:</t>
  </si>
  <si>
    <t>Land 10</t>
  </si>
  <si>
    <t>Land 5</t>
  </si>
  <si>
    <t>Modules in sub-array:</t>
  </si>
  <si>
    <t>Anchors due to wind and gravity (sec 2.4.1 eq 5)</t>
  </si>
  <si>
    <t>Anchors due to gravity (sec 2.4.1 eq 1)</t>
  </si>
  <si>
    <t>Downhill Gravity Force</t>
  </si>
  <si>
    <t>Array Movement Friction Force</t>
  </si>
  <si>
    <t>Sliding Check Wind Uplift Force</t>
  </si>
  <si>
    <t>Sliding Check Wind Drag Force</t>
  </si>
  <si>
    <t>Anchors due to wind and gravity (sec 2.4.1 eq 7)</t>
  </si>
  <si>
    <t>&lt;-- Attachment</t>
  </si>
  <si>
    <t>Load Combination factor for dead load (ASD #7)</t>
  </si>
  <si>
    <t>Load Combination factor for wind (ASD #7)</t>
  </si>
  <si>
    <t>2 Modules by 1 Rows</t>
  </si>
  <si>
    <t>3 Modules by 1 Row</t>
  </si>
  <si>
    <t>4 Modules by 1 Row</t>
  </si>
  <si>
    <t>5 Modules by 1 Row</t>
  </si>
  <si>
    <t>1 Modules by 2 Rows</t>
  </si>
  <si>
    <t>2 Modules by 2 Rows</t>
  </si>
  <si>
    <t>3 Modules by 2 Rows</t>
  </si>
  <si>
    <t>4 Modules by 2 Rows</t>
  </si>
  <si>
    <t>5 Modules by 2 Rows</t>
  </si>
  <si>
    <t>1 Module by 3 Rows</t>
  </si>
  <si>
    <t>2 Modules by 3 Rows</t>
  </si>
  <si>
    <t>3 Modules by 3 Rows</t>
  </si>
  <si>
    <t>4 Modules by 3 Rows</t>
  </si>
  <si>
    <t>5 Modules by 3 Rows</t>
  </si>
  <si>
    <t>1 Module by 4 Rows</t>
  </si>
  <si>
    <t>5 Modules by 4 Rows</t>
  </si>
  <si>
    <t>1 Module by 5 Rows</t>
  </si>
  <si>
    <t>5 Modules by 5 Rows</t>
  </si>
  <si>
    <t>6 Modules by 6 Rows</t>
  </si>
  <si>
    <t>Sliding Calc Uplift Wind Force portion</t>
  </si>
  <si>
    <t>Sliding Calc Drag Wind Force</t>
  </si>
  <si>
    <t>incl. aw, ad</t>
  </si>
  <si>
    <t>Sliding Calc Resultant Wind Force</t>
  </si>
  <si>
    <t>rows</t>
  </si>
  <si>
    <t>columns</t>
  </si>
  <si>
    <t>3x1 MAX</t>
  </si>
  <si>
    <t>Conditions:</t>
  </si>
  <si>
    <t>land</t>
  </si>
  <si>
    <t>5D</t>
  </si>
  <si>
    <t>AVERAGES</t>
  </si>
  <si>
    <t>STANDARD DEV</t>
  </si>
  <si>
    <t>Large Area</t>
  </si>
  <si>
    <t>3 Row/Col</t>
  </si>
  <si>
    <t>2 Row/Col</t>
  </si>
  <si>
    <t>AVG+S.D.</t>
  </si>
  <si>
    <t>Large Rectangular</t>
  </si>
  <si>
    <t>large 3s</t>
  </si>
  <si>
    <t>highly segmented</t>
  </si>
  <si>
    <t>Module QTY</t>
  </si>
  <si>
    <t>EcoFoot Configuration</t>
  </si>
  <si>
    <t>Wind Speed</t>
  </si>
  <si>
    <t>Building Height</t>
  </si>
  <si>
    <t>ASCE7 Code</t>
  </si>
  <si>
    <t>Ballast Block Estimate</t>
  </si>
  <si>
    <t>tbd</t>
  </si>
  <si>
    <t>Medium size sub-arrays - 3 row or column sections common</t>
  </si>
  <si>
    <t>Highly Sectional sub-arrays - 2 row or column and small sub-sections common</t>
  </si>
  <si>
    <t>2x5 MAX</t>
  </si>
  <si>
    <t>1x2 MAX</t>
  </si>
  <si>
    <t>1x4 MAX</t>
  </si>
  <si>
    <t>1x5 MAX</t>
  </si>
  <si>
    <t>2x3 MAX</t>
  </si>
  <si>
    <t>3x2 EDG</t>
  </si>
  <si>
    <t>3x2 
MAX</t>
  </si>
  <si>
    <t xml:space="preserve">2. Does not include ballast cost, professional engineering report, shipping or taxes </t>
  </si>
  <si>
    <t>3. To place order, contact Ecolibrium Solar to receive a firm quote and ballast plan.</t>
  </si>
  <si>
    <t>Large Rectangular sub-arrays (6x6 and greater sub-arrays)</t>
  </si>
  <si>
    <t>507 Richland Ave</t>
  </si>
  <si>
    <t>507 Richland Ave.</t>
  </si>
  <si>
    <t>Project Details</t>
  </si>
  <si>
    <t>Dead Load design load factor</t>
  </si>
  <si>
    <t>&lt;-- WILL GENERATE ESTIMATE TAB RESULTS</t>
  </si>
  <si>
    <t>Rowan, Williams, Davies, &amp; Irwin Inc (RWDI) -- Wind Tunnel Testing Per ASCE 7 / IBC</t>
  </si>
  <si>
    <t>Maffei Structural Engineering -- Peer Review of Wind Tunnel Testing</t>
  </si>
  <si>
    <t>Modified application of uplift coefficients to reflect latest RWDI recommendations for 5D, tweaked and corrected reporting tab, added 2 parts to Quote Tab, modified parapet height coefficient modifier in 5D uplift calcs tab, added slip sheet asterisks to report, added 1.3 multiplier to tile weight calc, added deadload multiplier to factors, changed load combo calcs to ASD #7, Finished sliding calcs correction and added resultant force, added 5D load sharing data, updated 5D uplift calcs and matrix, checked and corrected sliding calcs tabs, corrected all calcs tabs for 2005 code, corrected report tab
KNOWN ISSUES: port matrix ballast check algo when negative blocks req'd, more than 10 blocks in the ballast check (especially for 16-18lb blocks as primary)</t>
  </si>
  <si>
    <t>B.O.M. ESTIMATE</t>
  </si>
  <si>
    <t>BOM Inputs</t>
  </si>
  <si>
    <t>Explanation of EcoFoot System Calculations and Design Procedure</t>
  </si>
  <si>
    <t>5_3</t>
  </si>
  <si>
    <t>Corrected error for EF5D slidiing check on Land Matrix 5deg (lift) tab; Added functionality to limit EF5D offering as BARE surface only</t>
  </si>
  <si>
    <r>
      <t xml:space="preserve">Default = </t>
    </r>
    <r>
      <rPr>
        <b/>
        <sz val="10"/>
        <color indexed="18"/>
        <rFont val="Arial"/>
        <family val="2"/>
      </rPr>
      <t>NO</t>
    </r>
    <r>
      <rPr>
        <sz val="10"/>
        <rFont val="Arial"/>
        <family val="2"/>
      </rPr>
      <t>. Select YES if array is skewed with respect to the building - this will increase pressure coefficients and result in larger ballast requirements.</t>
    </r>
  </si>
  <si>
    <r>
      <t>If distance to edge must be less, enter zero.</t>
    </r>
    <r>
      <rPr>
        <b/>
        <sz val="10"/>
        <rFont val="Arial"/>
        <family val="2"/>
      </rPr>
      <t xml:space="preserve"> </t>
    </r>
    <r>
      <rPr>
        <b/>
        <sz val="10"/>
        <rFont val="Arial Black"/>
        <family val="2"/>
      </rPr>
      <t>If zero, ballast will be higher.</t>
    </r>
  </si>
  <si>
    <t>5_4</t>
  </si>
  <si>
    <t>Full PE Stamp</t>
  </si>
  <si>
    <t>PE Re-stamp</t>
  </si>
  <si>
    <t>PE Re-stamp (minor)</t>
  </si>
  <si>
    <t>Ecolibrium Solar Data</t>
  </si>
  <si>
    <t>Account Name:</t>
  </si>
  <si>
    <t>Project Zip:</t>
  </si>
  <si>
    <t>Roof Type:</t>
  </si>
  <si>
    <t>Skewed Array:</t>
  </si>
  <si>
    <t>Module Manufacturer:</t>
  </si>
  <si>
    <t>Module Model:</t>
  </si>
  <si>
    <t>Module Power (w):</t>
  </si>
  <si>
    <t>Module Length (in):</t>
  </si>
  <si>
    <t>Module Width (in):</t>
  </si>
  <si>
    <t xml:space="preserve">Module Weight (lbs.): </t>
  </si>
  <si>
    <t>Module Qty:</t>
  </si>
  <si>
    <t>Roof Height (ft.):</t>
  </si>
  <si>
    <t>Wind Exposure:</t>
  </si>
  <si>
    <t>Snow Load (psf):</t>
  </si>
  <si>
    <t>Seismic Data (Ss):</t>
  </si>
  <si>
    <t>Soil Site Class:</t>
  </si>
  <si>
    <t>ASCE&amp; Version:</t>
  </si>
  <si>
    <t>Module Orientation:</t>
  </si>
  <si>
    <t xml:space="preserve">Ballast Block Weight: </t>
  </si>
  <si>
    <t>Roof Slope (deg):</t>
  </si>
  <si>
    <t>Parapet Height (in):</t>
  </si>
  <si>
    <t>Account Data</t>
  </si>
  <si>
    <t>Zip</t>
  </si>
  <si>
    <t>In From Outlook:</t>
  </si>
  <si>
    <t>Out To Sugar:</t>
  </si>
  <si>
    <t>Sugar Unique Identifier:</t>
  </si>
  <si>
    <t>Opportunities</t>
  </si>
  <si>
    <t>ASCE7-5 Wind Speed (mph):</t>
  </si>
  <si>
    <t>ASCE7-10i Wind Speed (mph):</t>
  </si>
  <si>
    <t>Comments:</t>
  </si>
  <si>
    <t>Sugar Opportunity Id:</t>
  </si>
  <si>
    <t>PVCAD link:</t>
  </si>
  <si>
    <t>URL</t>
  </si>
  <si>
    <t>Sugar Module</t>
  </si>
  <si>
    <t>Sugar Variable Name</t>
  </si>
  <si>
    <t>Sales Multiplier</t>
  </si>
  <si>
    <t>Quoted Line Items</t>
  </si>
  <si>
    <t>Contact Name:</t>
  </si>
  <si>
    <t>Contact Phone:</t>
  </si>
  <si>
    <t>Contact Email:</t>
  </si>
  <si>
    <t>Data Type</t>
  </si>
  <si>
    <t>Data validation</t>
  </si>
  <si>
    <t>Text</t>
  </si>
  <si>
    <t>Phone Number</t>
  </si>
  <si>
    <t>Email</t>
  </si>
  <si>
    <t>Drop Down</t>
  </si>
  <si>
    <t>email?</t>
  </si>
  <si>
    <t>Integer</t>
  </si>
  <si>
    <t>Zip/5 digets?</t>
  </si>
  <si>
    <t xml:space="preserve">9 digets? Phone number? </t>
  </si>
  <si>
    <t>List</t>
  </si>
  <si>
    <t>Address</t>
  </si>
  <si>
    <t>Zip?</t>
  </si>
  <si>
    <t>List - Yes/No</t>
  </si>
  <si>
    <t>Yes/No</t>
  </si>
  <si>
    <t>3 didgets?</t>
  </si>
  <si>
    <t>Number</t>
  </si>
  <si>
    <t>Number?</t>
  </si>
  <si>
    <t>integer</t>
  </si>
  <si>
    <t>URL?</t>
  </si>
  <si>
    <t>Decimal</t>
  </si>
  <si>
    <t>Range?</t>
  </si>
  <si>
    <r>
      <t xml:space="preserve">Small Sub-Array Adjustment Guidance from RWDI
</t>
    </r>
    <r>
      <rPr>
        <i/>
        <sz val="10"/>
        <rFont val="Arial"/>
        <family val="2"/>
      </rPr>
      <t>x&gt;16 panels = 1
1&lt;/=x&lt;/=16 Interpolate</t>
    </r>
  </si>
  <si>
    <t>Qty Panels</t>
  </si>
  <si>
    <t>Adjust Factor</t>
  </si>
  <si>
    <t>Small Sub Array Factor</t>
  </si>
  <si>
    <r>
      <t xml:space="preserve">In order to efficiently design EcoFoot2+ and EcoFoot5D ballasted photovoltaic systems, Ecolibrium Solar makes use of a proprietary solar array design aid called “EcoCalcs”. Starting with a set of design criteria, shown here in Table 1 below, EcoCalcs utilizes methodologies laid out in the ASCE7 and SEAOC PV1/PV2 documents, and derivative building codes. Actual calculations for this project are included herein, and are accompanied by a step-by-step explanation of Ecolibrium Solar's design process.
The output of EcoCalcs is a comprehensive set of ballast prescriptions, including </t>
    </r>
    <r>
      <rPr>
        <u/>
        <sz val="11"/>
        <color indexed="19"/>
        <rFont val="Calibri"/>
        <family val="2"/>
        <scheme val="minor"/>
      </rPr>
      <t>Image 3</t>
    </r>
    <r>
      <rPr>
        <sz val="11"/>
        <color indexed="19"/>
        <rFont val="Calibri"/>
        <family val="2"/>
        <scheme val="minor"/>
      </rPr>
      <t xml:space="preserve"> found on Page 5. Ballast prescriptions are applied to a proposed system layout by the Ecolibrium Solar engineering team. CBC Engineers, Ecolibrium Solar's professional engineering partner, has reviewed and verified EcoCalcs and reviews system designs to ensure that calculations and ballast prescriptions were correctly applied. Upon successful review, CBC Engineers provides a stamped design review including relevant supporting documentation (this explanation included) and a stamped, approved ballast plan.
Please note: Ecolibrium Solar and CBC engineers are not conducting a structural review of the proposed site.
</t>
    </r>
  </si>
  <si>
    <t>The EcoFoot 2+ and EcoFoot 5D systems have been demonstrated to be in conformance with the above stated stipulations. As such, and in accordance with the remainder of Section 4 – Attached Arrays from SEAOC PV1-2012, the force required to resist movement due to seismic shifting is calculated. Based on the minimum ultimate shear strength of the roof mounting method prescribed for this job, the total lateral load that one attachment may offset is calculated, and by extension the number of modules allowed per attachment point. These values can be found in Table 8.
All friction values have been identified by Testing Engineers (IAS accredited) according to ASTM G115 - Standard Guide for Measuring and Reporting Friction Coefficients, methodology that is in agreement with SEAOC PV2 and Los Angeles, CA stipulations.</t>
  </si>
  <si>
    <t xml:space="preserve">This final number of panels per attachment represents the maximum number of modules that any given attachment point may account for in terms of offsetting seismic force Fp. Physical attachments shall be installed per the manufacturer’s instructions, and attached to the EcoFoot 2+ or EcoFoot 5D system per the installation instructions provided by Ecolibrium Solar. 
On Sheet S-1.0 physical attachments are called out as shown below in Image 5:
</t>
  </si>
  <si>
    <t>5_5</t>
  </si>
  <si>
    <t>Ecolibrium Solar utilizes the unattached design approach to account for seismic force as provided for by Section 16 of the 2016 California Building Code and the Structural Engineering Association of California PV1 Requirements (SEAOC PV1-2012).  Section 1613.5 defines “Ballasted Photovoltaic System” which also defines "partially attached" systems, and provides guidance for designing arrays that utilize physical anchors and friction to resist seismic forces.  SEAOC PV1 defines the calculations required design attached photovoltaic systems, including friction to partially offset seismic forces.
The following explanation walks through calculations outlined in Section 4 - Attached Arrays. The attached approach begins with the project specific design criteria outlined in Table 6.  These values reflect site inputs as well as assumptions permitted in the SEAOC PV1-2012 document Section 4.</t>
  </si>
  <si>
    <t>ES10466</t>
  </si>
  <si>
    <t>ES10493</t>
  </si>
  <si>
    <t>EcoFoot5D Base</t>
  </si>
  <si>
    <t>ES10786</t>
  </si>
  <si>
    <t>ES10787</t>
  </si>
  <si>
    <t>ES10788</t>
  </si>
  <si>
    <t>EcoMount 1 Inverter Kit</t>
  </si>
  <si>
    <t>EcoMount 2 Inverter Kit</t>
  </si>
  <si>
    <t xml:space="preserve">      Engineering</t>
  </si>
  <si>
    <t>See calculator to the right --&gt;</t>
  </si>
  <si>
    <t>Qty In From Outlook:</t>
  </si>
  <si>
    <t>Qty Out To Sugar:</t>
  </si>
  <si>
    <t>Data Validation?</t>
  </si>
  <si>
    <t>Racking Product Line</t>
  </si>
  <si>
    <t>Basic wind speed (Vult)</t>
  </si>
  <si>
    <t>Annual Volume (kW)</t>
  </si>
  <si>
    <t>Add Aluminum Deflectors (2+ Only)</t>
  </si>
  <si>
    <t>product_c</t>
  </si>
  <si>
    <t>name</t>
  </si>
  <si>
    <t>project_address_c</t>
  </si>
  <si>
    <t>roof_type_c</t>
  </si>
  <si>
    <t>module_manufacturer_c</t>
  </si>
  <si>
    <t>module_model_c</t>
  </si>
  <si>
    <t>power_c</t>
  </si>
  <si>
    <t>module_width_c</t>
  </si>
  <si>
    <t>module_weight_c</t>
  </si>
  <si>
    <t>roof_height_c</t>
  </si>
  <si>
    <t>snow_load_c</t>
  </si>
  <si>
    <t>seismic_load_c</t>
  </si>
  <si>
    <t>occupancy_category_c</t>
  </si>
  <si>
    <t>wind_exposure_c</t>
  </si>
  <si>
    <t>notes_c</t>
  </si>
  <si>
    <t>ci_multiplier_c</t>
  </si>
  <si>
    <t xml:space="preserve">      2+ Attachments</t>
  </si>
  <si>
    <t>EF2+ weights</t>
  </si>
  <si>
    <t>ECO-002_207     Base: 4.040</t>
  </si>
  <si>
    <t>ECO-002_311A Port Deflector: 3.910</t>
  </si>
  <si>
    <t>ECO-002_311B 60C Landscape Deflector: 6.179</t>
  </si>
  <si>
    <t>ECO-002_311C 72C Landscape Deflector: 7.262</t>
  </si>
  <si>
    <t>ES10466                Clamps: 0.437</t>
  </si>
  <si>
    <t>EF5D weights</t>
  </si>
  <si>
    <t>ES10490                Base: 1.395</t>
  </si>
  <si>
    <t>ES10494               60C Landscape Deflector: 2.44</t>
  </si>
  <si>
    <t>ES10496                72C Landscape Deflector: 2.87</t>
  </si>
  <si>
    <t>ES10486                60C Tray: 7.53</t>
  </si>
  <si>
    <t>ES10488                72C Tray: 8.89</t>
  </si>
  <si>
    <t>ES10466                Clamps: (same as above)</t>
  </si>
  <si>
    <t>ES10480                Mid-Span support: 0.866</t>
  </si>
  <si>
    <t>60C</t>
  </si>
  <si>
    <t>72C</t>
  </si>
  <si>
    <t>Totals</t>
  </si>
  <si>
    <t>Sales Region:</t>
  </si>
  <si>
    <t>Derived by Acount State</t>
  </si>
  <si>
    <t>region_c</t>
  </si>
  <si>
    <t>installer_c</t>
  </si>
  <si>
    <t>skewed_array_c</t>
  </si>
  <si>
    <t>module_length_c</t>
  </si>
  <si>
    <t>module_qty_c</t>
  </si>
  <si>
    <t>asce5_ws_c</t>
  </si>
  <si>
    <t>asce10ws_i_c</t>
  </si>
  <si>
    <t>asce10ws_ii_c</t>
  </si>
  <si>
    <t>asce10ws_iii_c</t>
  </si>
  <si>
    <t>soil_site_class_c</t>
  </si>
  <si>
    <t>asce_version_c</t>
  </si>
  <si>
    <t>mod_orientation_c</t>
  </si>
  <si>
    <t>block_weight_c</t>
  </si>
  <si>
    <t>roof_slope_c</t>
  </si>
  <si>
    <t>pvcad_link_c</t>
  </si>
  <si>
    <t>id</t>
  </si>
  <si>
    <t>What information would you like?:</t>
  </si>
  <si>
    <t>When do you expect to install the product?:</t>
  </si>
  <si>
    <t>Who is your distributor?:</t>
  </si>
  <si>
    <t>What is the name of your distributor contact?:</t>
  </si>
  <si>
    <t>Length of the longest side of the building:</t>
  </si>
  <si>
    <t>Base Surfance:</t>
  </si>
  <si>
    <t>Max Allowable PSF:</t>
  </si>
  <si>
    <t>Desired Setback:</t>
  </si>
  <si>
    <t>String Size:</t>
  </si>
  <si>
    <t>Interested in EcoMount - Model number and number of inverters:</t>
  </si>
  <si>
    <t>Using microinverters or optimizers:</t>
  </si>
  <si>
    <t>Interested in EcoTray - Linear feet of tray:</t>
  </si>
  <si>
    <t>Project Status:</t>
  </si>
  <si>
    <t>Project City:</t>
  </si>
  <si>
    <t>Project State:</t>
  </si>
  <si>
    <t>(Imperial)</t>
  </si>
  <si>
    <t>Ecofoot Component Weight (1.2 per module)</t>
  </si>
  <si>
    <t>Racking Component Weight per Module</t>
  </si>
  <si>
    <t>Notes:</t>
  </si>
  <si>
    <t>Online Bid Form Details:</t>
  </si>
  <si>
    <t>Project</t>
  </si>
  <si>
    <t xml:space="preserve">   ← Entries will populate when 2-Inputs is filled in</t>
  </si>
  <si>
    <t xml:space="preserve">   ← Quote number= Salesperson initials followed by date then quote # for that day.</t>
  </si>
  <si>
    <t xml:space="preserve"> EX: If this is my second quote on 8/23/13 then the quote # is "BW08231302"</t>
  </si>
  <si>
    <t>PVSketch Link:</t>
  </si>
  <si>
    <t>Client:</t>
  </si>
  <si>
    <t>Metric Converter</t>
  </si>
  <si>
    <t>ASTM G115 Tested</t>
  </si>
  <si>
    <t>UNATTACHED: Roof slope must be ≤ 3°                         IBC minimum roof slope is 1/4 rise over 12 inches
ATTACHED SEISMIC: Roof slope must be ≤ 7°              Thermal attachments may also be required for some roof configurations</t>
  </si>
  <si>
    <t>Bare is base offering. TPO is only compatible with EPDM and TPO roofs
EcoFoot 5D has BARE offering ONLY</t>
  </si>
  <si>
    <t>Maximum wind speed of a 3 second gust the region has recorded. Based on the address of the jobsite.</t>
  </si>
  <si>
    <t>Project name, or if not different, first line of the project address</t>
  </si>
  <si>
    <r>
      <rPr>
        <strike/>
        <sz val="8"/>
        <rFont val="Arial"/>
        <family val="2"/>
      </rPr>
      <t xml:space="preserve">Must enter Yes if a fire rating is required for the PV system. 
</t>
    </r>
    <r>
      <rPr>
        <sz val="8"/>
        <rFont val="Arial"/>
        <family val="2"/>
      </rPr>
      <t>Leftover from pre UL2703 Era. EcoFoot is now certified to Class A fire rating with all module types</t>
    </r>
  </si>
  <si>
    <t>Manufacturer and model name will be used in the reporting tabs</t>
  </si>
  <si>
    <t xml:space="preserve">TODO: Fix small sub-array check again, check single column ballasting distribution and resulting ballast per module against req'd, Blocks per ecofoot for seismic  (ref E72 not E75),, Correct friction selection for TPO, Remove module cell count data validation, fix 1/2 block drop down, Drop down for engineering services in 2-inputs, added IN-N-OUT tab and correlated cells, Small array multiplier calcs, 5D report correction, Added dev macros to land/port matrixes, Fixed 5D uplift calcs, updated report for ASD adn 2016 CBC, modified 2-Inputs and Quote/Estimate tabs to accomodate BOM into sugar function, EF2+ and 5D weight based on module size and orientation, linked In-N-Out to Inputs tab, removed setback restrictions, various report corrections, added 1.2x to racking component weight per module (conservative), added back in CA and Canada stamp cost ($550), </t>
  </si>
  <si>
    <t>EcoFoot2+ Base</t>
  </si>
  <si>
    <t>EcoFoot Universal Clamp Kit</t>
  </si>
  <si>
    <t>EcoFoot2+ Base with EPDM Slip Strips</t>
  </si>
  <si>
    <t>EcoFoot2+ Base with TPO Slip Strips</t>
  </si>
  <si>
    <t>EcoFoot Universal Clamp Kit with Power Accessory Mount</t>
  </si>
  <si>
    <t>EcoFoot5D Mid-Support Kit</t>
  </si>
  <si>
    <t>Ecofoot5D Attachment Hardware Kit, Ballast Tray</t>
  </si>
  <si>
    <t>Ecofoot5D Attachment Hardware Kit, Strut to Balast Tray</t>
  </si>
  <si>
    <t>Ecofoot5D Attachment Hardware Kit, Strut</t>
  </si>
  <si>
    <t>Corrected Estimate/Quote tab project name, corrected to-be-installed date on inputs tab, added PVCAD link to Inputs tab, corrected small-sub-array check for greater than 16 modules, corrected report friction values, Corrected uplift attachment calcs strut references, changed Fn description in attached report, changed slope warning in Inputs, Correct part name/number per Chad's latest partnumber documents</t>
  </si>
  <si>
    <t>5_6</t>
  </si>
  <si>
    <t>ES10813</t>
  </si>
  <si>
    <t>EcoTray Cap</t>
  </si>
  <si>
    <t>ES10811</t>
  </si>
  <si>
    <t>EcoTray Tray</t>
  </si>
  <si>
    <t>ES10812</t>
  </si>
  <si>
    <t>EcoTray Base</t>
  </si>
  <si>
    <t>ES10810</t>
  </si>
  <si>
    <t>ECO-002_311B</t>
  </si>
  <si>
    <t>ECO-002_311C</t>
  </si>
  <si>
    <t>ECO-002_311A</t>
  </si>
  <si>
    <t>ECO-002_311D</t>
  </si>
  <si>
    <t>ECO-002_311E</t>
  </si>
  <si>
    <t>ECO-002_311F</t>
  </si>
  <si>
    <t>EcoFoot2+ 44" Wind Deflector</t>
  </si>
  <si>
    <t>EcoFoot2+ 70" Wind Deflector</t>
  </si>
  <si>
    <t>EcoFoot2+ 82" Wind Deflector</t>
  </si>
  <si>
    <t>EcoFoot2+ 44" Wind Deflector, Aluminum</t>
  </si>
  <si>
    <t>EcoFoot2+ 70" Wind Deflector, Aluminum</t>
  </si>
  <si>
    <t>EcoFoot2+ 82" Wind Deflector, Aluminum</t>
  </si>
  <si>
    <t>ES10494</t>
  </si>
  <si>
    <t>ES10496</t>
  </si>
  <si>
    <t>ES10486</t>
  </si>
  <si>
    <t>ES10488</t>
  </si>
  <si>
    <t>EcoFoot 5D 70" Wind Deflector</t>
  </si>
  <si>
    <t>EcoFoot 5D 82" Wind Deflector</t>
  </si>
  <si>
    <t>EcoFoot 5D 71" Ballast Tray</t>
  </si>
  <si>
    <t>EcoFoot 5D 83" Ballast Tray</t>
  </si>
  <si>
    <t>Account Id:</t>
  </si>
  <si>
    <t>Accounts</t>
  </si>
  <si>
    <t>Contacts</t>
  </si>
  <si>
    <t>phone_work</t>
  </si>
  <si>
    <t>email_address</t>
  </si>
  <si>
    <t>primary_adress_street</t>
  </si>
  <si>
    <t>primary_adress_street2</t>
  </si>
  <si>
    <t>primary_address_city</t>
  </si>
  <si>
    <t>primary_address_state</t>
  </si>
  <si>
    <t>primary_address_postalcode</t>
  </si>
  <si>
    <t>Quote Id:</t>
  </si>
  <si>
    <t>wind_speed_c</t>
  </si>
  <si>
    <t>project_city_c</t>
  </si>
  <si>
    <t>project_state_c</t>
  </si>
  <si>
    <t>project_zip_code_c</t>
  </si>
  <si>
    <t>parapet_height_c</t>
  </si>
  <si>
    <t>Contact Address 1:</t>
  </si>
  <si>
    <t>Contact Address 2:</t>
  </si>
  <si>
    <t>Contact City:</t>
  </si>
  <si>
    <t>Contact State:</t>
  </si>
  <si>
    <t>Contact Zip:</t>
  </si>
  <si>
    <t xml:space="preserve">EcoFoot 2+ </t>
  </si>
  <si>
    <t>Part</t>
  </si>
  <si>
    <t>Qty</t>
  </si>
  <si>
    <t>kW:</t>
  </si>
  <si>
    <t xml:space="preserve">Stock Order:  </t>
  </si>
  <si>
    <t xml:space="preserve">ES10490 </t>
  </si>
  <si>
    <t xml:space="preserve">ES10466 </t>
  </si>
  <si>
    <t xml:space="preserve">ES10496 </t>
  </si>
  <si>
    <t xml:space="preserve">ES10488 </t>
  </si>
  <si>
    <t xml:space="preserve">ES10480 </t>
  </si>
  <si>
    <t xml:space="preserve">ECO-002_207 </t>
  </si>
  <si>
    <t xml:space="preserve">ECO-002_311C </t>
  </si>
  <si>
    <t>EcoFoot2+ 86" Wind Deflector</t>
  </si>
  <si>
    <t>ECO-002_311H</t>
  </si>
  <si>
    <t>OMG Powergrip Plus</t>
  </si>
  <si>
    <t>OMG Powergrip Universal</t>
  </si>
  <si>
    <t>B22 Galvanized Strut 10'</t>
  </si>
  <si>
    <t>Splice Clevis with 2 Holes</t>
  </si>
  <si>
    <t>N228 Galvanized Strut Nut 3/8"-16</t>
  </si>
  <si>
    <t xml:space="preserve">Aluminum L-foot and Hardware </t>
  </si>
  <si>
    <t>3/8" x 1" SS Carriage Bolt</t>
  </si>
  <si>
    <t>3/8" x 1" SS serated flange bolt</t>
  </si>
  <si>
    <t>EcoX Serrated Hex Flange nut 3/8"</t>
  </si>
  <si>
    <t>Quotes</t>
  </si>
  <si>
    <t>Sugar Contact Name:</t>
  </si>
  <si>
    <t>Customer Expected Install Date:</t>
  </si>
  <si>
    <t>Customer Distributor:</t>
  </si>
  <si>
    <t>Customer Requested Information:</t>
  </si>
  <si>
    <t>Maximum Allowable Roof Load:</t>
  </si>
  <si>
    <t>Full PE Stamp - Canada</t>
  </si>
  <si>
    <t>Full PE Stamp - California</t>
  </si>
  <si>
    <t>ES10900</t>
  </si>
  <si>
    <t>ES10901</t>
  </si>
  <si>
    <t>ES10902</t>
  </si>
  <si>
    <t>ES10903</t>
  </si>
  <si>
    <t>ES10904</t>
  </si>
  <si>
    <t>ES10905</t>
  </si>
  <si>
    <t>Contact Id:</t>
  </si>
  <si>
    <t>Questions</t>
  </si>
  <si>
    <t>Per Sub-Array Seismic Attachment Calculations</t>
  </si>
  <si>
    <t>Total Sub-Array Weight</t>
  </si>
  <si>
    <t>&lt;--INPUT</t>
  </si>
  <si>
    <t>Excess force to be offset</t>
  </si>
  <si>
    <t>design load from strut design manual - (B22 strut, mid-span load concentration, continuous/fixed end conditions)</t>
  </si>
  <si>
    <t>Total number of attachments required</t>
  </si>
  <si>
    <t>Sub-array weight (for thermal):</t>
  </si>
  <si>
    <t>Thermal Sliding Guidance</t>
  </si>
  <si>
    <t>Attachments one row/column from center line:</t>
  </si>
  <si>
    <t>Attachments along center line of sub-array:</t>
  </si>
  <si>
    <t xml:space="preserve">added 311H wind deflector, added stock order function to 2-Inputs tab, corrected IN-N-OUT tab for Fathym formatting and full functionality,  corrected friction/seismic/seismic report #REF bug, added customer/account data fields to 1-Eng Inputs, corrected various p/n and name and price issues in 2-Inputs/IN-N-OUT tabs, reverted seismic attachment kit contents, cleared "0" values from empty customer and account fields, corrected uplift attachment features in port/5D matrix tabs, corrected friction inputs, released and integrated thermal sliding calculations, sorted background worksheets by name, added designcriteriabyzip button, </t>
  </si>
  <si>
    <t>5_7</t>
  </si>
  <si>
    <t>Replacing Ballast with Attachments</t>
  </si>
  <si>
    <t>Has ballast been replaced with attachments?</t>
  </si>
  <si>
    <t>Anchor Tension Design Load:</t>
  </si>
  <si>
    <t>Minimum from above</t>
  </si>
  <si>
    <t>Continuous strut, center loaded condition, ASD value</t>
  </si>
  <si>
    <t>Table 7: Calculation of Ballast per Attachment Requirements</t>
  </si>
  <si>
    <t>Once the total number of blocks each attachment assemply is determined, Ecolibrium Solar replaces ballast in problematic areas with attachments. This is done respecting both maximum blocks-per-attachment, and maximum attachment area of effect. Image 5 illustrates a typical attachment assembly, while Image 6 illustrates how area of effect is attributed to each attachment point. For further information pertaining to the installation and components of the attachment assembly, please see the installation addenda in the support section of www.EcolibriumSolar.com</t>
  </si>
  <si>
    <t>Image 5: Typical Attachment Assembly</t>
  </si>
  <si>
    <t>Roof Attachment</t>
  </si>
  <si>
    <t>B22 Strut, or Equivalent</t>
  </si>
  <si>
    <t>EcoFoot Racking</t>
  </si>
  <si>
    <t>Ecolibrium Solar has designed the EcoFoot2+ racking system to be a fully unattached, ballast dependent racking system for photovoltaic modules. As summarized on previous pages, calculations to determine ballast placement are conducted per calculations outlined in ASCE7 and local building code documents, as well as a detailed wind tunnel results obtained in accordance with wind tunnel testing procedures outlined in ASCE7. Due to various site specific requirements or restrictions, it may be beneficial to offset ballast with physical attachments. In certain instances, customers may even elect to fully attach proposed systems. 
In the event that ballast is to be offset by physical attachments, or a design fully attached, Ecolibrium Solar in conjunction with CBC Engineers has developed a ballast-per-attachment calculation that is used to replace a quantity of ballast blocks with a suitable roof anchor product. The factored design load of all involved hardware is utilized, and the maximum ballast that may be offset by each attachment assemblyis determined.</t>
  </si>
  <si>
    <t>Image 6: Example Attachment Areas of Affect</t>
  </si>
  <si>
    <t>Area of affect boundaries</t>
  </si>
  <si>
    <r>
      <rPr>
        <sz val="9"/>
        <rFont val="Calibri"/>
        <family val="2"/>
      </rPr>
      <t>←</t>
    </r>
    <r>
      <rPr>
        <sz val="9"/>
        <rFont val="Arial"/>
        <family val="2"/>
      </rPr>
      <t xml:space="preserve">  Sugar Account Name:</t>
    </r>
  </si>
  <si>
    <t xml:space="preserve">1. GENERAL PROVISIONS.  All sales of the products and services of Ecolibrium Solar, Inc.+ (“Supplier”) to purchaser (“Customer”) are subject to these general terms and conditions of sale (this “Agreement”). Supplier and Customer are referred to herein individually as a “Party” or jointly as the “Parties”.
2. ORDER PLACEMENT. The following are required in order for Supplier to proceed with order:
•        A sales quotation containing this Agreement signed by Customer
•        A purchase order submitted by Customer showing the items, quantities and prices shown in the sales quotation.  Alternatively, Customer may submit the     signed sales quotation along with a cover letter or cover email stating that Customer intends that said signed sales quotation shall also serve as Customer's purchase order
•        Upfront payment by Customer as specified in the sales quotation
3. Prices and Terms of Payment:  The Purchase Price shall be the amount shown in the sales quotation and market as “Total.”  30% of the Purchase Price is due upon execution of the sales quotation and Supplier shall invoice Customer for said 30% promptly upon receipt from Customer of the signed sales Quotation and purchase order.  The remaining portion of the Purchase Price shall be invoiced by Supplier to Customer and shall be payable prior to shipment from Supplier’s shipping point.  Finance charges equal to 1.5% per month (18% per annum) shall be assessed on late payments.  
4. DELIVERY TERMS AND LIMITATIONS; RETURNS. All deliveries shall be FOB shipping point. All risk of loss for damage to the Product ordered, in whole or in part, shall be borne entirely by Customer once the Product is delivered to a common carrier for delivery to Customer. Adhering to the following guidelines protects Customer’s interests when seeking resolution to any shipping issue.
•        If there is a problem with the delivered goods such as damage (visible or concealed), or a shortage/excess from the P.O., contact Supplier immediately and file a claim with the carrier.
•        Shortages- Shortages must be reported within 48 hours of delivery.
•        Visible damage – If the packaging, containers, boxes, or bundles show visible signs of damage upon delivery, Customer must note this on both copies of the freight bill before signing the receipt of goods document. If Customer chooses to accept the shipment and not send it back to Supplier, Customer will be responsible to file all claims directly with the Freight Company.
•        Concealed damage- Concealed damage must be reported to the carrier within 36 hours of delivery. Beyond this time frame, Customer will have no recourse with the carrier for a Concealed Damage freight claim.
•        Return shipping policy and procedure – Customer MUST obtain a Return Material Authorization (RMA) # prior to returning items to Supplier. Items returned without a RMA # will be refused by Supplier. Customer to contact Supplier to obtain a RMA #. Returns must be shipped with freight prepaid and insured and must arrive at Supplier within 30 days of delivery. A 15% restocking fee is assessed on all return orders.
5. WARRANTY AND LIMITATION OF LIABILITY. The warranty terms are set forth in the accompanying document titled "Ecolibrium Solar Corporation Limited Product Warranty.” In no event shall Supplier be liable to Customer or any other person for reprocurement costs, lost profits, business interruption, loss of use, or incidental, special, indirect, or consequential damages of any nature even if Supplier has been advised of the possibility thereof. These include damages related to, arising out of, or in connection with the sale, delivery, installation, use, loss of use, repair, possession, transportation, disposal or performance of the Products, including all additions to and replacements of the Products. In no event shall Supplier’s liability arising in connection with any Product(s) sold or to be sold hereunder (whether such liability arises from a claim under contract, warranty, tort, or otherwise) exceed the actual amount paid by Customer to Supplier for the product(s) involved in such claim
6. MISCELLANEOUS TERMS.  
6.1 This Agreement may not be modified, amended or altered in any manner without the mutual written consent of both Parties. This Agreement and any other documents referred to in this Agreement constitute the entire agreement between the Parties regarding the subject matter contained herein and shall supersede all previous oral or written agreement(s) between the Parties.  To the extent any other document, including a purchase order, is inconsistent with the terms of this Agreement, the terms of this Agreement shall prevail unless expressly acknowledged in the Confirmation. 
6.2 GOVERNING LAW.  This Agreement and all documents executed and delivered in connection herewith shall be construed and enforced in accordance with the laws of the State of Ohio, except with respect to conflicts of laws principles. 
6.3 ASSIGNMENT. Customer may not assign this Agreement in whole or in part, or subcontract its obligations hereunder, without the prior written consent of the Seller. All terms, agreements, covenants and rights contained herein shall inure to the benefit of, and be binding on any permitted assignee.
6.4 EXCUSABLE DELAYS. If the performance of any obligation, except payment of moneys due, is prevented, delayed, restricted, or interfered with in any way by reason of any Act of God, act of terrorism (whether actual or threatened), fire, flood, explosion, failure of machinery, strikes, lockouts, or labor trouble, supply of fuel, power, materials, containers or transportation, or any other act or condition whatsoever beyond the reasonable control of the affected party, the party so affected, upon giving prompt notice to the party to whom the performance is due, shall be excused from such performance to the extent of such interference. Each party shall use reasonable efforts to remove or resolve such interference with performance as promptly as reasonably possible.
6.5 SEVERABILITY. In the event that any portion of this Agreement should, for any reason, be held by a court of competent jurisdiction to be illegal, invalid, unenforceable, or contrary to public policy, then the remainder of this Agreement shall remain in full force and effect
Please confirm your acceptance of this quote by signing this document.
Print Name:_________________________________  Signature:___________________________________   Date:_______________
Billing Contact Name:_______________________________   Phone #:____________________   Email Address:_________________________      
Ship To Address:________________________________________  Receiving Name:_______________________ Phone #:_____________________                                                                                                                                                                  </t>
  </si>
  <si>
    <t>Module incline (2+ Landscape)</t>
  </si>
  <si>
    <t>Module incline (2+ Portrait)</t>
  </si>
  <si>
    <t>Module incline (5D)</t>
  </si>
  <si>
    <r>
      <t>Select →</t>
    </r>
    <r>
      <rPr>
        <b/>
        <sz val="18"/>
        <color theme="9"/>
        <rFont val="Arial"/>
        <family val="2"/>
      </rPr>
      <t xml:space="preserve">  </t>
    </r>
  </si>
  <si>
    <t xml:space="preserve">        CHANGEABLE FOR ESTIMATES AND QUOTES</t>
  </si>
  <si>
    <t>Wind Speed (mph):</t>
  </si>
  <si>
    <t xml:space="preserve">Robert Strishock </t>
  </si>
  <si>
    <t xml:space="preserve">CED greentech Denver </t>
  </si>
  <si>
    <t xml:space="preserve">Namaste Solar </t>
  </si>
  <si>
    <t>Patagonia Reno</t>
  </si>
  <si>
    <t xml:space="preserve">7590 Suagr Pine Court </t>
  </si>
  <si>
    <t>REC</t>
  </si>
  <si>
    <t>REC350TP2S-72</t>
  </si>
  <si>
    <t>72</t>
  </si>
  <si>
    <t>Added Fathym Flow EcoCalcs2Sugar output macro, added show/hide macros for editing worksheets and matrix engine, added uplift attachment report tab, corrected module dim references to use MIN and MAX, added module incline calc to Factors and integrated, corrected In-n-out account references to be editable in 1-Eng Inputs, re-added conditions and signature portion of quote page and added dropdown, added upload-to-sugar radio buttons on 1-Eng Inputs and 2-Inputs, corrected 5D wind deflector naming, updated macro with newest version from Fathym to allow for data send to sugar, fixed 5D small sub-array calcs and uplift area calcs,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</si>
</sst>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164" formatCode="m/d/yyyy;@"/>
    <numFmt numFmtId="165" formatCode="&quot;$&quot;#,##0.00\ ;&quot;$&quot;\(#,##0.00\)"/>
    <numFmt numFmtId="166" formatCode="&quot;$&quot;#,##0.00"/>
    <numFmt numFmtId="167" formatCode="0.000"/>
    <numFmt numFmtId="168" formatCode="&quot;$&quot;#,##0.0000"/>
    <numFmt numFmtId="169" formatCode="&quot;$&quot;#,##0.00;&quot;$&quot;\(#,##0.00\)"/>
    <numFmt numFmtId="170" formatCode="0.0"/>
    <numFmt numFmtId="171" formatCode="mmmm\ d\,\ yyyy;@"/>
    <numFmt numFmtId="172" formatCode="m/d/yy;@"/>
    <numFmt numFmtId="173" formatCode="m/d/yyyy\ h:mm:ss;@"/>
    <numFmt numFmtId="174" formatCode="#,##0;\(#,##0\)"/>
    <numFmt numFmtId="175" formatCode="00000"/>
    <numFmt numFmtId="176" formatCode="&quot;An = &quot;0"/>
    <numFmt numFmtId="177" formatCode="0.0000"/>
    <numFmt numFmtId="178" formatCode="#,##0.000"/>
    <numFmt numFmtId="179" formatCode="[$-409]mmmm\ d\,\ yyyy;@"/>
  </numFmts>
  <fonts count="243">
    <font>
      <sz val="10"/>
      <name val="Arial"/>
    </font>
    <font>
      <sz val="11"/>
      <color theme="1"/>
      <name val="Calibri"/>
      <family val="2"/>
      <scheme val="minor"/>
    </font>
    <font>
      <b/>
      <sz val="10"/>
      <color indexed="19"/>
      <name val="Arial"/>
      <family val="2"/>
    </font>
    <font>
      <sz val="10"/>
      <color indexed="19"/>
      <name val="Arial"/>
      <family val="2"/>
    </font>
    <font>
      <sz val="10"/>
      <color indexed="18"/>
      <name val="Arial"/>
      <family val="2"/>
    </font>
    <font>
      <b/>
      <sz val="20"/>
      <color indexed="26"/>
      <name val="Arial"/>
      <family val="2"/>
    </font>
    <font>
      <b/>
      <sz val="14"/>
      <color indexed="26"/>
      <name val="Arial"/>
      <family val="2"/>
    </font>
    <font>
      <b/>
      <sz val="12"/>
      <color indexed="26"/>
      <name val="Arial"/>
      <family val="2"/>
    </font>
    <font>
      <b/>
      <i/>
      <sz val="10"/>
      <color indexed="19"/>
      <name val="Arial"/>
      <family val="2"/>
    </font>
    <font>
      <b/>
      <sz val="11"/>
      <color indexed="19"/>
      <name val="Arial"/>
      <family val="2"/>
    </font>
    <font>
      <i/>
      <sz val="10"/>
      <color indexed="19"/>
      <name val="Arial"/>
      <family val="2"/>
    </font>
    <font>
      <b/>
      <sz val="12"/>
      <color indexed="19"/>
      <name val="Arial"/>
      <family val="2"/>
    </font>
    <font>
      <i/>
      <sz val="9"/>
      <color indexed="19"/>
      <name val="Arial"/>
      <family val="2"/>
    </font>
    <font>
      <sz val="8"/>
      <color indexed="19"/>
      <name val="Arial"/>
      <family val="2"/>
    </font>
    <font>
      <b/>
      <sz val="8"/>
      <color indexed="19"/>
      <name val="Arial"/>
      <family val="2"/>
    </font>
    <font>
      <sz val="7"/>
      <color indexed="19"/>
      <name val="Arial"/>
      <family val="2"/>
    </font>
    <font>
      <sz val="10"/>
      <name val="Arial"/>
      <family val="2"/>
    </font>
    <font>
      <b/>
      <sz val="10"/>
      <name val="Arial"/>
      <family val="2"/>
    </font>
    <font>
      <sz val="11"/>
      <name val="Calibri"/>
      <family val="2"/>
    </font>
    <font>
      <sz val="9"/>
      <name val="Arial"/>
      <family val="2"/>
    </font>
    <font>
      <sz val="8"/>
      <name val="Arial"/>
      <family val="2"/>
    </font>
    <font>
      <b/>
      <sz val="7"/>
      <name val="Arial"/>
      <family val="2"/>
    </font>
    <font>
      <b/>
      <sz val="7"/>
      <color indexed="19"/>
      <name val="Arial"/>
      <family val="2"/>
    </font>
    <font>
      <b/>
      <sz val="6"/>
      <name val="Arial"/>
      <family val="2"/>
    </font>
    <font>
      <sz val="7"/>
      <name val="Arial"/>
      <family val="2"/>
    </font>
    <font>
      <sz val="11"/>
      <name val="Arial"/>
      <family val="2"/>
    </font>
    <font>
      <b/>
      <sz val="11"/>
      <name val="Arial"/>
      <family val="2"/>
    </font>
    <font>
      <sz val="11"/>
      <color indexed="19"/>
      <name val="Arial"/>
      <family val="2"/>
    </font>
    <font>
      <b/>
      <vertAlign val="subscript"/>
      <sz val="10"/>
      <name val="Arial"/>
      <family val="2"/>
    </font>
    <font>
      <sz val="10"/>
      <name val="Calibri"/>
      <family val="2"/>
    </font>
    <font>
      <b/>
      <sz val="8"/>
      <name val="Arial"/>
      <family val="2"/>
    </font>
    <font>
      <b/>
      <sz val="8"/>
      <name val="Calibri"/>
      <family val="2"/>
    </font>
    <font>
      <sz val="28"/>
      <color indexed="23"/>
      <name val="Arial"/>
      <family val="2"/>
    </font>
    <font>
      <sz val="11"/>
      <color theme="1"/>
      <name val="Calibri"/>
      <family val="2"/>
      <scheme val="minor"/>
    </font>
    <font>
      <sz val="11"/>
      <color rgb="FF006100"/>
      <name val="Calibri"/>
      <family val="2"/>
      <scheme val="minor"/>
    </font>
    <font>
      <u/>
      <sz val="10"/>
      <color theme="10"/>
      <name val="Arial"/>
      <family val="2"/>
    </font>
    <font>
      <u/>
      <sz val="11"/>
      <color theme="10"/>
      <name val="Calibri"/>
      <family val="2"/>
      <scheme val="minor"/>
    </font>
    <font>
      <b/>
      <sz val="11"/>
      <color theme="1"/>
      <name val="Calibri"/>
      <family val="2"/>
      <scheme val="minor"/>
    </font>
    <font>
      <sz val="14"/>
      <name val="Calibri"/>
      <family val="2"/>
      <scheme val="minor"/>
    </font>
    <font>
      <sz val="10"/>
      <color rgb="FFFF0000"/>
      <name val="Arial"/>
      <family val="2"/>
    </font>
    <font>
      <sz val="10"/>
      <name val="Calibri"/>
      <family val="2"/>
      <scheme val="minor"/>
    </font>
    <font>
      <sz val="12"/>
      <name val="Calibri"/>
      <family val="2"/>
      <scheme val="minor"/>
    </font>
    <font>
      <sz val="7"/>
      <color rgb="FF000000"/>
      <name val="Arial"/>
      <family val="2"/>
    </font>
    <font>
      <sz val="7"/>
      <color rgb="FFFF0000"/>
      <name val="Arial"/>
      <family val="2"/>
    </font>
    <font>
      <sz val="7"/>
      <color rgb="FF0070C0"/>
      <name val="Arial"/>
      <family val="2"/>
    </font>
    <font>
      <sz val="11"/>
      <color theme="1"/>
      <name val="Calibri"/>
      <family val="2"/>
    </font>
    <font>
      <b/>
      <sz val="10"/>
      <color theme="8" tint="-0.249977111117893"/>
      <name val="Arial"/>
      <family val="2"/>
    </font>
    <font>
      <sz val="10"/>
      <color theme="8" tint="-0.249977111117893"/>
      <name val="Arial"/>
      <family val="2"/>
    </font>
    <font>
      <b/>
      <sz val="7"/>
      <color rgb="FF000000"/>
      <name val="Arial"/>
      <family val="2"/>
    </font>
    <font>
      <b/>
      <sz val="6"/>
      <color rgb="FF000000"/>
      <name val="Arial"/>
      <family val="2"/>
    </font>
    <font>
      <b/>
      <sz val="6"/>
      <color rgb="FFFF0000"/>
      <name val="Arial"/>
      <family val="2"/>
    </font>
    <font>
      <b/>
      <sz val="6"/>
      <color rgb="FF0070C0"/>
      <name val="Arial"/>
      <family val="2"/>
    </font>
    <font>
      <sz val="11"/>
      <color rgb="FFFF0000"/>
      <name val="Calibri"/>
      <family val="2"/>
    </font>
    <font>
      <sz val="8"/>
      <name val="Calibri"/>
      <family val="2"/>
      <scheme val="minor"/>
    </font>
    <font>
      <b/>
      <sz val="10"/>
      <color rgb="FFFF0000"/>
      <name val="Arial"/>
      <family val="2"/>
    </font>
    <font>
      <b/>
      <sz val="11"/>
      <color rgb="FFFF0000"/>
      <name val="Arial"/>
      <family val="2"/>
    </font>
    <font>
      <vertAlign val="subscript"/>
      <sz val="10"/>
      <color indexed="19"/>
      <name val="Arial"/>
      <family val="2"/>
    </font>
    <font>
      <i/>
      <sz val="11"/>
      <color rgb="FFFF0000"/>
      <name val="Arial"/>
      <family val="2"/>
    </font>
    <font>
      <sz val="11"/>
      <color rgb="FF9C0006"/>
      <name val="Calibri"/>
      <family val="2"/>
      <scheme val="minor"/>
    </font>
    <font>
      <sz val="7"/>
      <color theme="0"/>
      <name val="Arial"/>
      <family val="2"/>
    </font>
    <font>
      <sz val="10"/>
      <color indexed="19"/>
      <name val="Calibri"/>
      <family val="2"/>
      <scheme val="minor"/>
    </font>
    <font>
      <sz val="28"/>
      <color indexed="23"/>
      <name val="Calibri"/>
      <family val="2"/>
      <scheme val="minor"/>
    </font>
    <font>
      <sz val="11"/>
      <name val="Calibri"/>
      <family val="2"/>
      <scheme val="minor"/>
    </font>
    <font>
      <sz val="9"/>
      <name val="Calibri"/>
      <family val="2"/>
      <scheme val="minor"/>
    </font>
    <font>
      <sz val="11"/>
      <color indexed="19"/>
      <name val="Calibri"/>
      <family val="2"/>
      <scheme val="minor"/>
    </font>
    <font>
      <vertAlign val="superscript"/>
      <sz val="10"/>
      <color indexed="19"/>
      <name val="Calibri"/>
      <family val="2"/>
      <scheme val="minor"/>
    </font>
    <font>
      <b/>
      <sz val="11"/>
      <name val="Calibri"/>
      <family val="2"/>
      <scheme val="minor"/>
    </font>
    <font>
      <vertAlign val="subscript"/>
      <sz val="11"/>
      <color indexed="19"/>
      <name val="Calibri"/>
      <family val="2"/>
      <scheme val="minor"/>
    </font>
    <font>
      <sz val="9"/>
      <color indexed="23"/>
      <name val="Calibri"/>
      <family val="2"/>
      <scheme val="minor"/>
    </font>
    <font>
      <sz val="9"/>
      <color indexed="19"/>
      <name val="Calibri"/>
      <family val="2"/>
      <scheme val="minor"/>
    </font>
    <font>
      <sz val="10.5"/>
      <name val="Calibri"/>
      <family val="2"/>
    </font>
    <font>
      <b/>
      <i/>
      <sz val="6"/>
      <name val="Calibri"/>
      <family val="2"/>
    </font>
    <font>
      <b/>
      <i/>
      <vertAlign val="subscript"/>
      <sz val="11"/>
      <name val="Calibri"/>
      <family val="2"/>
    </font>
    <font>
      <b/>
      <sz val="11"/>
      <name val="Calibri"/>
      <family val="2"/>
    </font>
    <font>
      <i/>
      <sz val="11"/>
      <name val="Calibri"/>
      <family val="2"/>
    </font>
    <font>
      <i/>
      <sz val="9"/>
      <name val="Calibri"/>
      <family val="2"/>
    </font>
    <font>
      <b/>
      <vertAlign val="subscript"/>
      <sz val="11"/>
      <name val="Calibri"/>
      <family val="2"/>
    </font>
    <font>
      <sz val="9"/>
      <name val="Calibri"/>
      <family val="2"/>
    </font>
    <font>
      <vertAlign val="subscript"/>
      <sz val="11"/>
      <name val="Calibri"/>
      <family val="2"/>
    </font>
    <font>
      <i/>
      <sz val="11"/>
      <name val="Calibri"/>
      <family val="2"/>
      <scheme val="minor"/>
    </font>
    <font>
      <i/>
      <sz val="10"/>
      <name val="Calibri"/>
      <family val="2"/>
      <scheme val="minor"/>
    </font>
    <font>
      <sz val="10.5"/>
      <name val="Calibri"/>
      <family val="2"/>
      <scheme val="minor"/>
    </font>
    <font>
      <i/>
      <u/>
      <sz val="11"/>
      <name val="Calibri"/>
      <family val="2"/>
      <scheme val="minor"/>
    </font>
    <font>
      <i/>
      <u/>
      <sz val="10"/>
      <name val="Arial"/>
      <family val="2"/>
    </font>
    <font>
      <b/>
      <u/>
      <sz val="11"/>
      <name val="Calibri"/>
      <family val="2"/>
      <scheme val="minor"/>
    </font>
    <font>
      <u/>
      <sz val="11"/>
      <color indexed="19"/>
      <name val="Calibri"/>
      <family val="2"/>
      <scheme val="minor"/>
    </font>
    <font>
      <i/>
      <sz val="11"/>
      <name val="Arial"/>
      <family val="2"/>
    </font>
    <font>
      <i/>
      <sz val="10"/>
      <name val="Calibri"/>
      <family val="2"/>
    </font>
    <font>
      <b/>
      <u/>
      <sz val="12"/>
      <name val="Calibri"/>
      <family val="2"/>
      <scheme val="minor"/>
    </font>
    <font>
      <i/>
      <sz val="10"/>
      <name val="Arial"/>
      <family val="2"/>
    </font>
    <font>
      <i/>
      <sz val="10"/>
      <color theme="0" tint="-0.34998626667073579"/>
      <name val="Arial"/>
      <family val="2"/>
    </font>
    <font>
      <vertAlign val="subscript"/>
      <sz val="10"/>
      <name val="Arial"/>
      <family val="2"/>
    </font>
    <font>
      <i/>
      <vertAlign val="superscript"/>
      <sz val="10"/>
      <name val="Arial"/>
      <family val="2"/>
    </font>
    <font>
      <b/>
      <sz val="8"/>
      <color rgb="FF000000"/>
      <name val="Arial"/>
      <family val="2"/>
    </font>
    <font>
      <sz val="11"/>
      <color rgb="FF3F3F76"/>
      <name val="Calibri"/>
      <family val="2"/>
      <scheme val="minor"/>
    </font>
    <font>
      <b/>
      <sz val="11"/>
      <color rgb="FFFA7D00"/>
      <name val="Calibri"/>
      <family val="2"/>
      <scheme val="minor"/>
    </font>
    <font>
      <i/>
      <sz val="11"/>
      <color rgb="FF7F7F7F"/>
      <name val="Calibri"/>
      <family val="2"/>
      <scheme val="minor"/>
    </font>
    <font>
      <sz val="12"/>
      <color theme="1"/>
      <name val="Calibri"/>
      <family val="2"/>
      <scheme val="minor"/>
    </font>
    <font>
      <b/>
      <u/>
      <sz val="13"/>
      <color theme="1"/>
      <name val="Calibri"/>
      <family val="2"/>
      <scheme val="minor"/>
    </font>
    <font>
      <sz val="13"/>
      <color theme="1"/>
      <name val="Calibri"/>
      <family val="2"/>
      <scheme val="minor"/>
    </font>
    <font>
      <i/>
      <sz val="12"/>
      <color theme="1"/>
      <name val="Calibri"/>
      <family val="2"/>
      <scheme val="minor"/>
    </font>
    <font>
      <vertAlign val="subscript"/>
      <sz val="13"/>
      <color theme="1"/>
      <name val="Calibri"/>
      <family val="2"/>
      <scheme val="minor"/>
    </font>
    <font>
      <i/>
      <sz val="13"/>
      <color theme="1"/>
      <name val="Calibri"/>
      <family val="2"/>
      <scheme val="minor"/>
    </font>
    <font>
      <i/>
      <sz val="11"/>
      <color theme="1"/>
      <name val="Calibri"/>
      <family val="2"/>
      <scheme val="minor"/>
    </font>
    <font>
      <i/>
      <sz val="10"/>
      <color theme="1"/>
      <name val="Calibri"/>
      <family val="2"/>
      <scheme val="minor"/>
    </font>
    <font>
      <b/>
      <sz val="14"/>
      <color theme="1"/>
      <name val="Calibri"/>
      <family val="2"/>
      <scheme val="minor"/>
    </font>
    <font>
      <sz val="14"/>
      <color theme="1"/>
      <name val="Calibri"/>
      <family val="2"/>
      <scheme val="minor"/>
    </font>
    <font>
      <b/>
      <sz val="12"/>
      <color theme="1"/>
      <name val="Calibri"/>
      <family val="2"/>
      <scheme val="minor"/>
    </font>
    <font>
      <b/>
      <sz val="13"/>
      <color theme="1"/>
      <name val="Calibri"/>
      <family val="2"/>
      <scheme val="minor"/>
    </font>
    <font>
      <sz val="8"/>
      <color theme="1"/>
      <name val="Calibri"/>
      <family val="2"/>
      <scheme val="minor"/>
    </font>
    <font>
      <b/>
      <sz val="12"/>
      <color theme="1" tint="0.499984740745262"/>
      <name val="Calibri"/>
      <family val="2"/>
      <scheme val="minor"/>
    </font>
    <font>
      <sz val="24"/>
      <color theme="1"/>
      <name val="Cambria"/>
      <family val="1"/>
    </font>
    <font>
      <sz val="14"/>
      <color theme="1" tint="0.499984740745262"/>
      <name val="Calibri"/>
      <family val="2"/>
      <scheme val="minor"/>
    </font>
    <font>
      <sz val="10"/>
      <color theme="1"/>
      <name val="Calibri"/>
      <family val="2"/>
      <scheme val="minor"/>
    </font>
    <font>
      <b/>
      <sz val="14"/>
      <name val="Calibri"/>
      <family val="2"/>
      <scheme val="minor"/>
    </font>
    <font>
      <i/>
      <sz val="12"/>
      <color rgb="FF7F7F7F"/>
      <name val="Calibri"/>
      <family val="2"/>
      <scheme val="minor"/>
    </font>
    <font>
      <sz val="12"/>
      <color theme="1"/>
      <name val="Wingdings 3"/>
      <family val="1"/>
      <charset val="2"/>
    </font>
    <font>
      <vertAlign val="subscript"/>
      <sz val="11"/>
      <color theme="1"/>
      <name val="Calibri"/>
      <family val="2"/>
      <scheme val="minor"/>
    </font>
    <font>
      <sz val="12"/>
      <color theme="0" tint="-0.249977111117893"/>
      <name val="Calibri"/>
      <family val="2"/>
      <scheme val="minor"/>
    </font>
    <font>
      <sz val="9"/>
      <color theme="1"/>
      <name val="Calibri"/>
      <family val="2"/>
      <scheme val="minor"/>
    </font>
    <font>
      <sz val="12"/>
      <name val="Arial"/>
      <family val="2"/>
    </font>
    <font>
      <sz val="10"/>
      <color rgb="FF0070C0"/>
      <name val="Arial"/>
      <family val="2"/>
    </font>
    <font>
      <b/>
      <sz val="9"/>
      <name val="Arial"/>
      <family val="2"/>
    </font>
    <font>
      <b/>
      <i/>
      <sz val="10"/>
      <name val="Arial"/>
      <family val="2"/>
    </font>
    <font>
      <i/>
      <sz val="10"/>
      <color rgb="FFFF0000"/>
      <name val="Arial"/>
      <family val="2"/>
    </font>
    <font>
      <i/>
      <sz val="8"/>
      <name val="Arial"/>
      <family val="2"/>
    </font>
    <font>
      <sz val="9"/>
      <color indexed="81"/>
      <name val="Tahoma"/>
      <family val="2"/>
    </font>
    <font>
      <b/>
      <sz val="9"/>
      <color indexed="81"/>
      <name val="Tahoma"/>
      <family val="2"/>
    </font>
    <font>
      <b/>
      <i/>
      <sz val="10"/>
      <color theme="0" tint="-0.499984740745262"/>
      <name val="Arial"/>
      <family val="2"/>
    </font>
    <font>
      <i/>
      <vertAlign val="subscript"/>
      <sz val="10"/>
      <name val="Arial"/>
      <family val="2"/>
    </font>
    <font>
      <b/>
      <sz val="9"/>
      <color rgb="FFFF0000"/>
      <name val="Arial"/>
      <family val="2"/>
    </font>
    <font>
      <b/>
      <sz val="8"/>
      <color rgb="FFFF0000"/>
      <name val="Arial"/>
      <family val="2"/>
    </font>
    <font>
      <i/>
      <sz val="8"/>
      <color rgb="FF000000"/>
      <name val="Arial"/>
      <family val="2"/>
    </font>
    <font>
      <vertAlign val="subscript"/>
      <sz val="9"/>
      <name val="Arial"/>
      <family val="2"/>
    </font>
    <font>
      <b/>
      <u/>
      <sz val="10"/>
      <name val="Arial"/>
      <family val="2"/>
    </font>
    <font>
      <b/>
      <sz val="12"/>
      <name val="Arial"/>
      <family val="2"/>
    </font>
    <font>
      <b/>
      <sz val="9"/>
      <color indexed="19"/>
      <name val="Arial"/>
      <family val="2"/>
    </font>
    <font>
      <b/>
      <sz val="12"/>
      <color theme="0" tint="-0.499984740745262"/>
      <name val="Calibri"/>
      <family val="2"/>
      <scheme val="minor"/>
    </font>
    <font>
      <vertAlign val="superscript"/>
      <sz val="10"/>
      <name val="Calibri"/>
      <family val="2"/>
    </font>
    <font>
      <sz val="11"/>
      <color rgb="FF9C5700"/>
      <name val="Calibri"/>
      <family val="2"/>
      <scheme val="minor"/>
    </font>
    <font>
      <b/>
      <sz val="10"/>
      <color theme="6"/>
      <name val="Arial"/>
      <family val="2"/>
    </font>
    <font>
      <vertAlign val="superscript"/>
      <sz val="10"/>
      <name val="Arial"/>
      <family val="2"/>
    </font>
    <font>
      <vertAlign val="superscript"/>
      <sz val="10"/>
      <color indexed="19"/>
      <name val="Arial"/>
      <family val="2"/>
    </font>
    <font>
      <u/>
      <sz val="11"/>
      <name val="Calibri"/>
      <family val="2"/>
      <scheme val="minor"/>
    </font>
    <font>
      <b/>
      <sz val="9"/>
      <name val="Calibri"/>
      <family val="2"/>
      <scheme val="minor"/>
    </font>
    <font>
      <b/>
      <sz val="10"/>
      <name val="Calibri"/>
      <family val="2"/>
      <scheme val="minor"/>
    </font>
    <font>
      <vertAlign val="superscript"/>
      <sz val="11"/>
      <name val="Calibri"/>
      <family val="2"/>
      <scheme val="minor"/>
    </font>
    <font>
      <b/>
      <u/>
      <sz val="14"/>
      <name val="Calibri"/>
      <family val="2"/>
      <scheme val="minor"/>
    </font>
    <font>
      <b/>
      <u/>
      <sz val="13"/>
      <name val="Calibri"/>
      <family val="2"/>
      <scheme val="minor"/>
    </font>
    <font>
      <i/>
      <u/>
      <sz val="11"/>
      <color indexed="19"/>
      <name val="Calibri"/>
      <family val="2"/>
      <scheme val="minor"/>
    </font>
    <font>
      <i/>
      <u/>
      <vertAlign val="subscript"/>
      <sz val="11"/>
      <color indexed="19"/>
      <name val="Calibri"/>
      <family val="2"/>
      <scheme val="minor"/>
    </font>
    <font>
      <i/>
      <u/>
      <sz val="10"/>
      <name val="Calibri"/>
      <family val="2"/>
    </font>
    <font>
      <sz val="9"/>
      <color indexed="19"/>
      <name val="Arial"/>
      <family val="2"/>
    </font>
    <font>
      <b/>
      <i/>
      <sz val="9"/>
      <color indexed="19"/>
      <name val="Arial"/>
      <family val="2"/>
    </font>
    <font>
      <sz val="10"/>
      <name val="Arial"/>
      <family val="1"/>
    </font>
    <font>
      <sz val="9"/>
      <color rgb="FF000000"/>
      <name val="Arial"/>
      <family val="2"/>
    </font>
    <font>
      <i/>
      <sz val="9"/>
      <name val="Arial"/>
      <family val="2"/>
    </font>
    <font>
      <b/>
      <sz val="7"/>
      <color rgb="FFFF0000"/>
      <name val="Arial"/>
      <family val="2"/>
    </font>
    <font>
      <sz val="7"/>
      <color theme="1"/>
      <name val="Arial"/>
      <family val="2"/>
    </font>
    <font>
      <b/>
      <sz val="8"/>
      <color rgb="FF000000"/>
      <name val="Calibri"/>
      <family val="2"/>
    </font>
    <font>
      <b/>
      <sz val="8"/>
      <color theme="1"/>
      <name val="Calibri"/>
      <family val="2"/>
      <scheme val="minor"/>
    </font>
    <font>
      <b/>
      <sz val="10"/>
      <color rgb="FF55A648"/>
      <name val="Arial"/>
      <family val="2"/>
    </font>
    <font>
      <sz val="10"/>
      <color rgb="FF55A648"/>
      <name val="Arial"/>
      <family val="2"/>
    </font>
    <font>
      <b/>
      <sz val="8"/>
      <color indexed="19"/>
      <name val="AmdtSymbols"/>
    </font>
    <font>
      <sz val="10"/>
      <color theme="0" tint="-0.34998626667073579"/>
      <name val="Arial"/>
      <family val="2"/>
    </font>
    <font>
      <b/>
      <sz val="9"/>
      <color indexed="19"/>
      <name val="Calibri"/>
      <family val="2"/>
      <scheme val="minor"/>
    </font>
    <font>
      <sz val="26"/>
      <color indexed="23"/>
      <name val="Arial"/>
      <family val="2"/>
    </font>
    <font>
      <sz val="12"/>
      <color indexed="23"/>
      <name val="Arial"/>
      <family val="2"/>
    </font>
    <font>
      <b/>
      <sz val="18"/>
      <color indexed="23"/>
      <name val="Arial"/>
      <family val="2"/>
    </font>
    <font>
      <b/>
      <sz val="18"/>
      <name val="Arial"/>
      <family val="2"/>
    </font>
    <font>
      <sz val="14"/>
      <name val="Arial"/>
      <family val="2"/>
    </font>
    <font>
      <sz val="14"/>
      <name val="Calibri"/>
      <family val="2"/>
      <scheme val="minor"/>
    </font>
    <font>
      <sz val="8"/>
      <name val="Calibri"/>
      <family val="2"/>
      <scheme val="minor"/>
    </font>
    <font>
      <sz val="10"/>
      <name val="Arial"/>
      <family val="2"/>
    </font>
    <font>
      <sz val="8"/>
      <name val="Arial"/>
      <family val="2"/>
    </font>
    <font>
      <b/>
      <sz val="14"/>
      <name val="Arial"/>
      <family val="2"/>
    </font>
    <font>
      <sz val="10"/>
      <color rgb="FFFF0000"/>
      <name val="Arial"/>
      <family val="2"/>
    </font>
    <font>
      <b/>
      <sz val="11"/>
      <name val="Arial"/>
      <family val="2"/>
    </font>
    <font>
      <sz val="18"/>
      <name val="Arial"/>
      <family val="2"/>
    </font>
    <font>
      <b/>
      <sz val="10"/>
      <color indexed="18"/>
      <name val="Arial"/>
      <family val="2"/>
    </font>
    <font>
      <sz val="10"/>
      <name val="Arial"/>
      <family val="2"/>
    </font>
    <font>
      <sz val="12"/>
      <name val="Calibri"/>
      <family val="2"/>
      <scheme val="minor"/>
    </font>
    <font>
      <sz val="10"/>
      <name val="Calibri"/>
      <family val="2"/>
      <scheme val="minor"/>
    </font>
    <font>
      <b/>
      <sz val="14"/>
      <color indexed="19"/>
      <name val="Calibri"/>
      <family val="2"/>
    </font>
    <font>
      <sz val="9"/>
      <name val="Arial"/>
      <family val="2"/>
    </font>
    <font>
      <sz val="11"/>
      <name val="Calibri"/>
      <family val="2"/>
    </font>
    <font>
      <sz val="7.5"/>
      <name val="Arial"/>
      <family val="2"/>
    </font>
    <font>
      <i/>
      <sz val="11"/>
      <name val="Calibri"/>
      <family val="2"/>
      <scheme val="minor"/>
    </font>
    <font>
      <b/>
      <sz val="8"/>
      <name val="Arial"/>
      <family val="2"/>
    </font>
    <font>
      <b/>
      <sz val="10"/>
      <name val="Arial"/>
      <family val="2"/>
    </font>
    <font>
      <b/>
      <sz val="9"/>
      <name val="Arial Black"/>
      <family val="2"/>
    </font>
    <font>
      <b/>
      <sz val="14"/>
      <name val="Calibri"/>
      <family val="2"/>
      <scheme val="minor"/>
    </font>
    <font>
      <sz val="14"/>
      <color rgb="FFEE6901"/>
      <name val="Arial"/>
      <family val="2"/>
    </font>
    <font>
      <sz val="11"/>
      <name val="Arial"/>
      <family val="2"/>
    </font>
    <font>
      <sz val="11"/>
      <name val="Calibri"/>
      <family val="2"/>
      <scheme val="minor"/>
    </font>
    <font>
      <b/>
      <sz val="16"/>
      <color rgb="FFFF0000"/>
      <name val="Arial"/>
      <family val="2"/>
    </font>
    <font>
      <sz val="10"/>
      <color indexed="19"/>
      <name val="Arial"/>
      <family val="2"/>
    </font>
    <font>
      <b/>
      <sz val="10"/>
      <name val="Arial Black"/>
      <family val="2"/>
    </font>
    <font>
      <sz val="14"/>
      <color theme="1"/>
      <name val="Calibri"/>
      <family val="2"/>
      <scheme val="minor"/>
    </font>
    <font>
      <sz val="14"/>
      <name val="Calibri"/>
      <family val="2"/>
    </font>
    <font>
      <sz val="14"/>
      <color indexed="19"/>
      <name val="Calibri"/>
      <family val="2"/>
      <scheme val="minor"/>
    </font>
    <font>
      <sz val="11"/>
      <color rgb="FF006100"/>
      <name val="Calibri"/>
      <family val="2"/>
      <scheme val="minor"/>
    </font>
    <font>
      <sz val="12"/>
      <color indexed="19"/>
      <name val="Arial"/>
      <family val="2"/>
    </font>
    <font>
      <sz val="12"/>
      <color indexed="19"/>
      <name val="Calibri"/>
      <family val="2"/>
      <scheme val="minor"/>
    </font>
    <font>
      <sz val="10"/>
      <color theme="0"/>
      <name val="Arial"/>
      <family val="2"/>
    </font>
    <font>
      <sz val="14"/>
      <color indexed="19"/>
      <name val="Arial"/>
      <family val="2"/>
    </font>
    <font>
      <sz val="12"/>
      <name val="Arial"/>
      <family val="2"/>
    </font>
    <font>
      <sz val="8"/>
      <color indexed="19"/>
      <name val="Arial"/>
      <family val="2"/>
    </font>
    <font>
      <sz val="10"/>
      <color theme="1"/>
      <name val="Arial"/>
      <family val="2"/>
    </font>
    <font>
      <u/>
      <sz val="11"/>
      <name val="Calibri"/>
      <family val="2"/>
    </font>
    <font>
      <u/>
      <sz val="10"/>
      <name val="Arial"/>
      <family val="2"/>
    </font>
    <font>
      <sz val="10"/>
      <name val="Arial"/>
      <family val="2"/>
    </font>
    <font>
      <b/>
      <sz val="16"/>
      <color theme="0" tint="-0.34998626667073579"/>
      <name val="Arial"/>
      <family val="2"/>
    </font>
    <font>
      <b/>
      <i/>
      <u/>
      <sz val="10"/>
      <name val="Arial"/>
      <family val="2"/>
    </font>
    <font>
      <b/>
      <sz val="11"/>
      <color theme="9"/>
      <name val="Arial"/>
      <family val="2"/>
    </font>
    <font>
      <b/>
      <sz val="11"/>
      <color rgb="FFFE9D54"/>
      <name val="Arial"/>
      <family val="2"/>
    </font>
    <font>
      <b/>
      <sz val="9"/>
      <color indexed="26"/>
      <name val="Arial"/>
      <family val="2"/>
    </font>
    <font>
      <i/>
      <sz val="12"/>
      <name val="Arial"/>
      <family val="2"/>
    </font>
    <font>
      <b/>
      <u/>
      <sz val="10"/>
      <color theme="0" tint="-0.34998626667073579"/>
      <name val="Arial"/>
      <family val="2"/>
    </font>
    <font>
      <sz val="9"/>
      <color theme="0" tint="-0.34998626667073579"/>
      <name val="Arial"/>
      <family val="2"/>
    </font>
    <font>
      <b/>
      <sz val="9"/>
      <color theme="0" tint="-0.34998626667073579"/>
      <name val="Arial"/>
      <family val="2"/>
    </font>
    <font>
      <b/>
      <sz val="18"/>
      <color rgb="FFFE9D54"/>
      <name val="Calibri"/>
      <family val="2"/>
    </font>
    <font>
      <strike/>
      <sz val="8"/>
      <name val="Arial"/>
      <family val="2"/>
    </font>
    <font>
      <b/>
      <i/>
      <u/>
      <sz val="10"/>
      <color theme="0" tint="-0.499984740745262"/>
      <name val="Arial"/>
      <family val="2"/>
    </font>
    <font>
      <sz val="10"/>
      <color theme="0" tint="-0.499984740745262"/>
      <name val="Arial"/>
      <family val="2"/>
    </font>
    <font>
      <sz val="10"/>
      <color rgb="FF333333"/>
      <name val="Courier New"/>
      <family val="3"/>
    </font>
    <font>
      <sz val="10"/>
      <color rgb="FF333333"/>
      <name val="Arial"/>
      <family val="2"/>
    </font>
    <font>
      <b/>
      <sz val="12"/>
      <color rgb="FF333333"/>
      <name val="Arial"/>
      <family val="2"/>
    </font>
    <font>
      <strike/>
      <sz val="10"/>
      <name val="Arial"/>
      <family val="2"/>
    </font>
    <font>
      <strike/>
      <sz val="10"/>
      <color theme="0" tint="-0.499984740745262"/>
      <name val="Arial"/>
      <family val="2"/>
    </font>
    <font>
      <u/>
      <sz val="10"/>
      <name val="Calibri"/>
      <family val="2"/>
    </font>
    <font>
      <strike/>
      <sz val="10"/>
      <name val="Calibri"/>
      <family val="2"/>
    </font>
    <font>
      <strike/>
      <sz val="10"/>
      <name val="Calibri"/>
      <family val="2"/>
      <scheme val="minor"/>
    </font>
    <font>
      <sz val="10"/>
      <color rgb="FF9C5700"/>
      <name val="Calibri"/>
      <family val="2"/>
      <scheme val="minor"/>
    </font>
    <font>
      <sz val="10"/>
      <color rgb="FF9C0006"/>
      <name val="Calibri"/>
      <family val="2"/>
      <scheme val="minor"/>
    </font>
    <font>
      <b/>
      <i/>
      <u/>
      <sz val="10"/>
      <name val="Calibri"/>
      <family val="2"/>
    </font>
    <font>
      <b/>
      <i/>
      <sz val="10"/>
      <name val="Calibri"/>
      <family val="2"/>
    </font>
    <font>
      <b/>
      <u/>
      <sz val="10"/>
      <color indexed="19"/>
      <name val="Arial"/>
      <family val="2"/>
    </font>
    <font>
      <b/>
      <sz val="10"/>
      <color theme="1"/>
      <name val="Arial"/>
      <family val="2"/>
    </font>
    <font>
      <i/>
      <u/>
      <sz val="10"/>
      <name val="Calibri"/>
      <family val="2"/>
      <scheme val="minor"/>
    </font>
    <font>
      <b/>
      <sz val="10"/>
      <color rgb="FFFE9D54"/>
      <name val="Calibri"/>
      <family val="2"/>
    </font>
    <font>
      <b/>
      <sz val="18"/>
      <color theme="9"/>
      <name val="Calibri"/>
      <family val="2"/>
    </font>
    <font>
      <b/>
      <sz val="18"/>
      <color theme="9"/>
      <name val="Arial"/>
      <family val="2"/>
    </font>
  </fonts>
  <fills count="48">
    <fill>
      <patternFill patternType="none"/>
    </fill>
    <fill>
      <patternFill patternType="gray125"/>
    </fill>
    <fill>
      <patternFill patternType="solid">
        <fgColor indexed="21"/>
        <bgColor indexed="64"/>
      </patternFill>
    </fill>
    <fill>
      <patternFill patternType="solid">
        <fgColor indexed="22"/>
        <bgColor indexed="64"/>
      </patternFill>
    </fill>
    <fill>
      <patternFill patternType="solid">
        <fgColor indexed="8"/>
        <bgColor indexed="64"/>
      </patternFill>
    </fill>
    <fill>
      <patternFill patternType="solid">
        <fgColor indexed="13"/>
        <bgColor indexed="64"/>
      </patternFill>
    </fill>
    <fill>
      <patternFill patternType="solid">
        <fgColor indexed="24"/>
        <bgColor indexed="64"/>
      </patternFill>
    </fill>
    <fill>
      <patternFill patternType="solid">
        <fgColor rgb="FFC6EFCE"/>
      </patternFill>
    </fill>
    <fill>
      <patternFill patternType="solid">
        <fgColor rgb="FFFFC000"/>
        <bgColor indexed="64"/>
      </patternFill>
    </fill>
    <fill>
      <patternFill patternType="solid">
        <fgColor rgb="FFCCCCFF"/>
        <bgColor indexed="64"/>
      </patternFill>
    </fill>
    <fill>
      <patternFill patternType="solid">
        <fgColor rgb="FF66FF33"/>
        <bgColor indexed="64"/>
      </patternFill>
    </fill>
    <fill>
      <patternFill patternType="solid">
        <fgColor rgb="FFFFFF66"/>
        <bgColor indexed="64"/>
      </patternFill>
    </fill>
    <fill>
      <patternFill patternType="solid">
        <fgColor rgb="FF948B54"/>
        <bgColor indexed="64"/>
      </patternFill>
    </fill>
    <fill>
      <patternFill patternType="solid">
        <fgColor rgb="FFFAC09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bgColor indexed="64"/>
      </patternFill>
    </fill>
    <fill>
      <patternFill patternType="solid">
        <fgColor rgb="FFEE6901"/>
        <bgColor indexed="64"/>
      </patternFill>
    </fill>
    <fill>
      <patternFill patternType="solid">
        <fgColor rgb="FF1C9A06"/>
        <bgColor indexed="64"/>
      </patternFill>
    </fill>
    <fill>
      <patternFill patternType="solid">
        <fgColor rgb="FF55A648"/>
        <bgColor indexed="64"/>
      </patternFill>
    </fill>
    <fill>
      <patternFill patternType="solid">
        <fgColor rgb="FF87C67C"/>
        <bgColor indexed="64"/>
      </patternFill>
    </fill>
    <fill>
      <patternFill patternType="solid">
        <fgColor rgb="FF64B656"/>
        <bgColor indexed="64"/>
      </patternFill>
    </fill>
    <fill>
      <patternFill patternType="solid">
        <fgColor rgb="FFFE9D54"/>
        <bgColor indexed="64"/>
      </patternFill>
    </fill>
    <fill>
      <patternFill patternType="solid">
        <fgColor rgb="FFFEBC8A"/>
        <bgColor indexed="64"/>
      </patternFill>
    </fill>
    <fill>
      <patternFill patternType="solid">
        <fgColor rgb="FFFFC7CE"/>
      </patternFill>
    </fill>
    <fill>
      <patternFill patternType="solid">
        <fgColor theme="9"/>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00B0F0"/>
        <bgColor indexed="64"/>
      </patternFill>
    </fill>
    <fill>
      <patternFill patternType="solid">
        <fgColor theme="2" tint="-0.49998474074526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B9"/>
        <bgColor indexed="64"/>
      </patternFill>
    </fill>
    <fill>
      <patternFill patternType="solid">
        <fgColor rgb="FFFF65B2"/>
        <bgColor indexed="64"/>
      </patternFill>
    </fill>
    <fill>
      <patternFill patternType="solid">
        <fgColor theme="8"/>
        <bgColor indexed="64"/>
      </patternFill>
    </fill>
    <fill>
      <patternFill patternType="solid">
        <fgColor rgb="FFFFCC99"/>
      </patternFill>
    </fill>
    <fill>
      <patternFill patternType="solid">
        <fgColor rgb="FFF2F2F2"/>
      </patternFill>
    </fill>
    <fill>
      <patternFill patternType="solid">
        <fgColor theme="0"/>
        <bgColor theme="0"/>
      </patternFill>
    </fill>
    <fill>
      <patternFill patternType="solid">
        <fgColor rgb="FFFFEB9C"/>
      </patternFill>
    </fill>
    <fill>
      <patternFill patternType="solid">
        <fgColor rgb="FFFF0000"/>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s>
  <borders count="175">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slantDashDot">
        <color theme="6"/>
      </left>
      <right style="thin">
        <color indexed="64"/>
      </right>
      <top style="slantDashDot">
        <color theme="6"/>
      </top>
      <bottom style="thin">
        <color indexed="64"/>
      </bottom>
      <diagonal/>
    </border>
    <border>
      <left style="thin">
        <color indexed="64"/>
      </left>
      <right style="thin">
        <color indexed="64"/>
      </right>
      <top style="slantDashDot">
        <color theme="6"/>
      </top>
      <bottom style="thin">
        <color indexed="64"/>
      </bottom>
      <diagonal/>
    </border>
    <border>
      <left style="thin">
        <color indexed="64"/>
      </left>
      <right style="slantDashDot">
        <color theme="6"/>
      </right>
      <top style="slantDashDot">
        <color theme="6"/>
      </top>
      <bottom style="thin">
        <color indexed="64"/>
      </bottom>
      <diagonal/>
    </border>
    <border>
      <left style="slantDashDot">
        <color theme="6"/>
      </left>
      <right style="thin">
        <color indexed="64"/>
      </right>
      <top style="thin">
        <color indexed="64"/>
      </top>
      <bottom style="thin">
        <color indexed="64"/>
      </bottom>
      <diagonal/>
    </border>
    <border>
      <left style="thin">
        <color indexed="64"/>
      </left>
      <right style="slantDashDot">
        <color theme="6"/>
      </right>
      <top style="thin">
        <color indexed="64"/>
      </top>
      <bottom style="thin">
        <color indexed="64"/>
      </bottom>
      <diagonal/>
    </border>
    <border>
      <left style="thin">
        <color indexed="64"/>
      </left>
      <right style="slantDashDot">
        <color theme="6"/>
      </right>
      <top style="thin">
        <color indexed="64"/>
      </top>
      <bottom/>
      <diagonal/>
    </border>
    <border>
      <left style="thin">
        <color indexed="64"/>
      </left>
      <right style="slantDashDot">
        <color theme="6"/>
      </right>
      <top/>
      <bottom style="thin">
        <color indexed="64"/>
      </bottom>
      <diagonal/>
    </border>
    <border>
      <left style="slantDashDot">
        <color theme="6"/>
      </left>
      <right style="thin">
        <color indexed="64"/>
      </right>
      <top style="thin">
        <color indexed="64"/>
      </top>
      <bottom style="slantDashDot">
        <color theme="6"/>
      </bottom>
      <diagonal/>
    </border>
    <border>
      <left style="thin">
        <color indexed="64"/>
      </left>
      <right style="thin">
        <color indexed="64"/>
      </right>
      <top style="thin">
        <color indexed="64"/>
      </top>
      <bottom style="slantDashDot">
        <color theme="6"/>
      </bottom>
      <diagonal/>
    </border>
    <border>
      <left style="thin">
        <color indexed="64"/>
      </left>
      <right/>
      <top style="thin">
        <color indexed="64"/>
      </top>
      <bottom style="slantDashDot">
        <color theme="6"/>
      </bottom>
      <diagonal/>
    </border>
    <border>
      <left/>
      <right style="thin">
        <color indexed="64"/>
      </right>
      <top style="thin">
        <color indexed="64"/>
      </top>
      <bottom style="slantDashDot">
        <color theme="6"/>
      </bottom>
      <diagonal/>
    </border>
    <border>
      <left style="thin">
        <color indexed="64"/>
      </left>
      <right style="slantDashDot">
        <color theme="6"/>
      </right>
      <top style="thin">
        <color indexed="64"/>
      </top>
      <bottom style="slantDashDot">
        <color theme="6"/>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style="thin">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thin">
        <color rgb="FF7F7F7F"/>
      </left>
      <right style="medium">
        <color indexed="64"/>
      </right>
      <top style="medium">
        <color indexed="64"/>
      </top>
      <bottom style="thin">
        <color rgb="FF7F7F7F"/>
      </bottom>
      <diagonal/>
    </border>
    <border>
      <left style="medium">
        <color indexed="64"/>
      </left>
      <right style="medium">
        <color indexed="64"/>
      </right>
      <top/>
      <bottom style="thin">
        <color rgb="FF7F7F7F"/>
      </bottom>
      <diagonal/>
    </border>
    <border>
      <left style="medium">
        <color indexed="64"/>
      </left>
      <right style="hair">
        <color indexed="64"/>
      </right>
      <top/>
      <bottom style="hair">
        <color indexed="64"/>
      </bottom>
      <diagonal/>
    </border>
    <border>
      <left style="thin">
        <color rgb="FF7F7F7F"/>
      </left>
      <right style="medium">
        <color indexed="64"/>
      </right>
      <top style="thin">
        <color rgb="FF7F7F7F"/>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hair">
        <color indexed="64"/>
      </right>
      <top style="hair">
        <color indexed="64"/>
      </top>
      <bottom style="medium">
        <color indexed="64"/>
      </bottom>
      <diagonal/>
    </border>
    <border>
      <left style="medium">
        <color indexed="64"/>
      </left>
      <right style="hair">
        <color indexed="64"/>
      </right>
      <top/>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rgb="FF7F7F7F"/>
      </right>
      <top style="thin">
        <color rgb="FF7F7F7F"/>
      </top>
      <bottom style="thin">
        <color rgb="FF7F7F7F"/>
      </bottom>
      <diagonal/>
    </border>
    <border>
      <left/>
      <right/>
      <top style="medium">
        <color indexed="64"/>
      </top>
      <bottom style="medium">
        <color indexed="64"/>
      </bottom>
      <diagonal/>
    </border>
    <border>
      <left style="medium">
        <color indexed="64"/>
      </left>
      <right style="medium">
        <color indexed="64"/>
      </right>
      <top/>
      <bottom/>
      <diagonal/>
    </border>
    <border>
      <left style="medium">
        <color rgb="FF0070C0"/>
      </left>
      <right style="medium">
        <color rgb="FF0070C0"/>
      </right>
      <top style="medium">
        <color rgb="FF0070C0"/>
      </top>
      <bottom style="medium">
        <color rgb="FF0070C0"/>
      </bottom>
      <diagonal/>
    </border>
    <border>
      <left style="thin">
        <color auto="1"/>
      </left>
      <right style="dashDot">
        <color auto="1"/>
      </right>
      <top style="thin">
        <color auto="1"/>
      </top>
      <bottom style="hair">
        <color theme="0" tint="-0.24994659260841701"/>
      </bottom>
      <diagonal/>
    </border>
    <border>
      <left style="dashDot">
        <color auto="1"/>
      </left>
      <right style="dashDot">
        <color auto="1"/>
      </right>
      <top style="thin">
        <color auto="1"/>
      </top>
      <bottom style="hair">
        <color theme="0" tint="-0.24994659260841701"/>
      </bottom>
      <diagonal/>
    </border>
    <border>
      <left style="dashDot">
        <color auto="1"/>
      </left>
      <right style="medium">
        <color indexed="64"/>
      </right>
      <top style="thin">
        <color auto="1"/>
      </top>
      <bottom style="hair">
        <color theme="0" tint="-0.24994659260841701"/>
      </bottom>
      <diagonal/>
    </border>
    <border>
      <left style="thin">
        <color auto="1"/>
      </left>
      <right style="dashDot">
        <color auto="1"/>
      </right>
      <top style="hair">
        <color theme="0" tint="-0.24994659260841701"/>
      </top>
      <bottom style="medium">
        <color indexed="64"/>
      </bottom>
      <diagonal/>
    </border>
    <border>
      <left style="dashDot">
        <color auto="1"/>
      </left>
      <right style="dashDot">
        <color auto="1"/>
      </right>
      <top style="hair">
        <color theme="0" tint="-0.24994659260841701"/>
      </top>
      <bottom style="medium">
        <color indexed="64"/>
      </bottom>
      <diagonal/>
    </border>
    <border>
      <left style="dashDot">
        <color auto="1"/>
      </left>
      <right style="medium">
        <color indexed="64"/>
      </right>
      <top style="hair">
        <color theme="0" tint="-0.24994659260841701"/>
      </top>
      <bottom style="medium">
        <color indexed="64"/>
      </bottom>
      <diagonal/>
    </border>
    <border>
      <left style="thin">
        <color auto="1"/>
      </left>
      <right style="dashDot">
        <color auto="1"/>
      </right>
      <top style="hair">
        <color theme="0" tint="-0.24994659260841701"/>
      </top>
      <bottom style="thin">
        <color auto="1"/>
      </bottom>
      <diagonal/>
    </border>
    <border>
      <left style="dashDot">
        <color auto="1"/>
      </left>
      <right style="dashDot">
        <color auto="1"/>
      </right>
      <top style="hair">
        <color theme="0" tint="-0.24994659260841701"/>
      </top>
      <bottom style="thin">
        <color auto="1"/>
      </bottom>
      <diagonal/>
    </border>
    <border>
      <left style="dashDot">
        <color auto="1"/>
      </left>
      <right style="medium">
        <color indexed="64"/>
      </right>
      <top style="hair">
        <color theme="0" tint="-0.24994659260841701"/>
      </top>
      <bottom style="thin">
        <color auto="1"/>
      </bottom>
      <diagonal/>
    </border>
    <border>
      <left style="thin">
        <color auto="1"/>
      </left>
      <right style="dashDot">
        <color auto="1"/>
      </right>
      <top/>
      <bottom style="hair">
        <color theme="0" tint="-0.24994659260841701"/>
      </bottom>
      <diagonal/>
    </border>
    <border>
      <left style="dashDot">
        <color auto="1"/>
      </left>
      <right style="dashDot">
        <color auto="1"/>
      </right>
      <top/>
      <bottom style="hair">
        <color theme="0" tint="-0.24994659260841701"/>
      </bottom>
      <diagonal/>
    </border>
    <border>
      <left style="dashDot">
        <color auto="1"/>
      </left>
      <right style="medium">
        <color indexed="64"/>
      </right>
      <top/>
      <bottom style="hair">
        <color theme="0" tint="-0.24994659260841701"/>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slantDashDot">
        <color theme="6"/>
      </left>
      <right/>
      <top style="slantDashDot">
        <color theme="6"/>
      </top>
      <bottom/>
      <diagonal/>
    </border>
    <border>
      <left style="thin">
        <color indexed="64"/>
      </left>
      <right/>
      <top style="slantDashDot">
        <color theme="6"/>
      </top>
      <bottom style="thin">
        <color indexed="64"/>
      </bottom>
      <diagonal/>
    </border>
    <border>
      <left/>
      <right style="thin">
        <color indexed="64"/>
      </right>
      <top style="slantDashDot">
        <color theme="6"/>
      </top>
      <bottom style="thin">
        <color indexed="64"/>
      </bottom>
      <diagonal/>
    </border>
    <border>
      <left/>
      <right/>
      <top style="slantDashDot">
        <color theme="6"/>
      </top>
      <bottom/>
      <diagonal/>
    </border>
    <border>
      <left/>
      <right style="slantDashDot">
        <color theme="6"/>
      </right>
      <top style="slantDashDot">
        <color theme="6"/>
      </top>
      <bottom/>
      <diagonal/>
    </border>
    <border>
      <left style="slantDashDot">
        <color theme="6"/>
      </left>
      <right/>
      <top/>
      <bottom/>
      <diagonal/>
    </border>
    <border>
      <left/>
      <right style="slantDashDot">
        <color theme="6"/>
      </right>
      <top/>
      <bottom/>
      <diagonal/>
    </border>
    <border>
      <left style="slantDashDot">
        <color theme="6"/>
      </left>
      <right/>
      <top/>
      <bottom style="slantDashDot">
        <color theme="6"/>
      </bottom>
      <diagonal/>
    </border>
    <border>
      <left style="thin">
        <color indexed="64"/>
      </left>
      <right/>
      <top/>
      <bottom style="slantDashDot">
        <color theme="6"/>
      </bottom>
      <diagonal/>
    </border>
    <border>
      <left/>
      <right style="thin">
        <color indexed="64"/>
      </right>
      <top/>
      <bottom style="slantDashDot">
        <color theme="6"/>
      </bottom>
      <diagonal/>
    </border>
    <border>
      <left/>
      <right/>
      <top/>
      <bottom style="slantDashDot">
        <color theme="6"/>
      </bottom>
      <diagonal/>
    </border>
    <border>
      <left/>
      <right style="slantDashDot">
        <color theme="6"/>
      </right>
      <top/>
      <bottom style="slantDashDot">
        <color theme="6"/>
      </bottom>
      <diagonal/>
    </border>
    <border>
      <left style="thin">
        <color rgb="FF7F7F7F"/>
      </left>
      <right style="thin">
        <color rgb="FF7F7F7F"/>
      </right>
      <top/>
      <bottom style="thin">
        <color rgb="FF7F7F7F"/>
      </bottom>
      <diagonal/>
    </border>
    <border>
      <left style="thin">
        <color indexed="64"/>
      </left>
      <right style="medium">
        <color indexed="64"/>
      </right>
      <top/>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right/>
      <top style="hair">
        <color indexed="64"/>
      </top>
      <bottom/>
      <diagonal/>
    </border>
    <border>
      <left/>
      <right/>
      <top style="thin">
        <color indexed="64"/>
      </top>
      <bottom style="hair">
        <color indexed="64"/>
      </bottom>
      <diagonal/>
    </border>
    <border>
      <left/>
      <right/>
      <top/>
      <bottom style="hair">
        <color indexed="64"/>
      </bottom>
      <diagonal/>
    </border>
    <border>
      <left/>
      <right/>
      <top style="hair">
        <color indexed="64"/>
      </top>
      <bottom style="thin">
        <color indexed="64"/>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right style="thin">
        <color auto="1"/>
      </right>
      <top style="hair">
        <color auto="1"/>
      </top>
      <bottom/>
      <diagonal/>
    </border>
    <border>
      <left style="medium">
        <color indexed="64"/>
      </left>
      <right style="thin">
        <color indexed="64"/>
      </right>
      <top style="thin">
        <color indexed="64"/>
      </top>
      <bottom/>
      <diagonal/>
    </border>
    <border>
      <left style="thin">
        <color auto="1"/>
      </left>
      <right/>
      <top/>
      <bottom style="hair">
        <color auto="1"/>
      </bottom>
      <diagonal/>
    </border>
    <border>
      <left/>
      <right style="thin">
        <color auto="1"/>
      </right>
      <top/>
      <bottom style="hair">
        <color auto="1"/>
      </bottom>
      <diagonal/>
    </border>
    <border>
      <left/>
      <right/>
      <top style="dashed">
        <color indexed="64"/>
      </top>
      <bottom/>
      <diagonal/>
    </border>
    <border>
      <left/>
      <right/>
      <top style="dashDotDot">
        <color auto="1"/>
      </top>
      <bottom/>
      <diagonal/>
    </border>
    <border>
      <left/>
      <right/>
      <top/>
      <bottom style="dashDotDot">
        <color auto="1"/>
      </bottom>
      <diagonal/>
    </border>
  </borders>
  <cellStyleXfs count="18">
    <xf numFmtId="0" fontId="0" fillId="0" borderId="0">
      <alignment vertical="center"/>
    </xf>
    <xf numFmtId="44" fontId="33" fillId="0" borderId="0" applyFont="0" applyFill="0" applyBorder="0" applyAlignment="0" applyProtection="0"/>
    <xf numFmtId="44" fontId="33" fillId="0" borderId="0" applyFont="0" applyFill="0" applyBorder="0" applyAlignment="0" applyProtection="0"/>
    <xf numFmtId="0" fontId="34" fillId="7" borderId="0" applyNumberFormat="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alignment vertical="center"/>
    </xf>
    <xf numFmtId="0" fontId="36" fillId="0" borderId="0" applyNumberFormat="0" applyFill="0" applyBorder="0" applyAlignment="0" applyProtection="0"/>
    <xf numFmtId="0" fontId="33" fillId="0" borderId="0"/>
    <xf numFmtId="0" fontId="16" fillId="0" borderId="0">
      <alignment vertical="center"/>
    </xf>
    <xf numFmtId="0" fontId="33" fillId="0" borderId="0"/>
    <xf numFmtId="0" fontId="58" fillId="27" borderId="0" applyNumberFormat="0" applyBorder="0" applyAlignment="0" applyProtection="0"/>
    <xf numFmtId="0" fontId="94" fillId="39" borderId="85" applyNumberFormat="0" applyAlignment="0" applyProtection="0"/>
    <xf numFmtId="0" fontId="95" fillId="40" borderId="85" applyNumberFormat="0" applyAlignment="0" applyProtection="0"/>
    <xf numFmtId="0" fontId="96" fillId="0" borderId="0" applyNumberFormat="0" applyFill="0" applyBorder="0" applyAlignment="0" applyProtection="0"/>
    <xf numFmtId="0" fontId="1" fillId="0" borderId="0"/>
    <xf numFmtId="0" fontId="139" fillId="42" borderId="0" applyNumberFormat="0" applyBorder="0" applyAlignment="0" applyProtection="0"/>
    <xf numFmtId="44" fontId="211" fillId="0" borderId="0" applyFont="0" applyFill="0" applyBorder="0" applyAlignment="0" applyProtection="0"/>
    <xf numFmtId="0" fontId="35" fillId="0" borderId="0" applyNumberFormat="0" applyFill="0" applyBorder="0" applyAlignment="0" applyProtection="0">
      <alignment vertical="center"/>
    </xf>
  </cellStyleXfs>
  <cellXfs count="2523">
    <xf numFmtId="0" fontId="0" fillId="0" borderId="0" xfId="0">
      <alignment vertical="center"/>
    </xf>
    <xf numFmtId="0" fontId="3" fillId="0" borderId="2" xfId="0" applyNumberFormat="1" applyFont="1" applyFill="1" applyBorder="1" applyAlignment="1"/>
    <xf numFmtId="0" fontId="3" fillId="0" borderId="3" xfId="0" applyNumberFormat="1" applyFont="1" applyFill="1" applyBorder="1" applyAlignment="1">
      <alignment wrapText="1"/>
    </xf>
    <xf numFmtId="0" fontId="3" fillId="0" borderId="5" xfId="0" applyNumberFormat="1" applyFont="1" applyFill="1" applyBorder="1" applyAlignment="1"/>
    <xf numFmtId="0" fontId="3" fillId="0" borderId="1" xfId="0" applyNumberFormat="1" applyFont="1" applyFill="1" applyBorder="1" applyAlignment="1">
      <alignment wrapText="1"/>
    </xf>
    <xf numFmtId="0" fontId="0" fillId="0" borderId="3" xfId="0" applyNumberFormat="1" applyFont="1" applyFill="1" applyBorder="1" applyAlignment="1">
      <alignment wrapText="1"/>
    </xf>
    <xf numFmtId="0" fontId="3" fillId="0" borderId="4" xfId="0" applyNumberFormat="1" applyFont="1" applyFill="1" applyBorder="1" applyAlignment="1"/>
    <xf numFmtId="0" fontId="3" fillId="0" borderId="0" xfId="0" applyNumberFormat="1" applyFont="1" applyFill="1" applyAlignment="1">
      <alignment vertical="center"/>
    </xf>
    <xf numFmtId="0" fontId="3" fillId="0" borderId="4" xfId="0" applyNumberFormat="1" applyFont="1" applyFill="1" applyBorder="1" applyAlignment="1">
      <alignment horizontal="right" vertical="center"/>
    </xf>
    <xf numFmtId="0" fontId="3" fillId="0" borderId="4" xfId="0" applyNumberFormat="1" applyFont="1" applyFill="1" applyBorder="1" applyAlignment="1">
      <alignment vertical="center"/>
    </xf>
    <xf numFmtId="0" fontId="3" fillId="0" borderId="3" xfId="0" applyNumberFormat="1" applyFont="1" applyFill="1" applyBorder="1" applyAlignment="1"/>
    <xf numFmtId="0" fontId="3" fillId="0" borderId="4" xfId="0" applyNumberFormat="1" applyFont="1" applyFill="1" applyBorder="1" applyAlignment="1">
      <alignment wrapText="1"/>
    </xf>
    <xf numFmtId="0" fontId="3" fillId="0" borderId="6" xfId="0" applyNumberFormat="1" applyFont="1" applyFill="1" applyBorder="1" applyAlignment="1">
      <alignment wrapText="1"/>
    </xf>
    <xf numFmtId="0" fontId="3" fillId="0" borderId="2" xfId="0" applyNumberFormat="1" applyFont="1" applyFill="1" applyBorder="1" applyAlignment="1">
      <alignment horizontal="left"/>
    </xf>
    <xf numFmtId="0" fontId="11" fillId="0" borderId="3" xfId="0" applyNumberFormat="1" applyFont="1" applyFill="1" applyBorder="1" applyAlignment="1">
      <alignment horizontal="center"/>
    </xf>
    <xf numFmtId="0" fontId="10" fillId="0" borderId="7" xfId="0" applyNumberFormat="1" applyFont="1" applyFill="1" applyBorder="1" applyAlignment="1">
      <alignment horizontal="right" wrapText="1"/>
    </xf>
    <xf numFmtId="3" fontId="3" fillId="0" borderId="7" xfId="0" applyNumberFormat="1" applyFont="1" applyFill="1" applyBorder="1" applyAlignment="1">
      <alignment horizontal="right"/>
    </xf>
    <xf numFmtId="0" fontId="3" fillId="0" borderId="4" xfId="0" applyNumberFormat="1" applyFont="1" applyFill="1" applyBorder="1" applyAlignment="1">
      <alignment horizontal="left"/>
    </xf>
    <xf numFmtId="0" fontId="10" fillId="0" borderId="8" xfId="0" applyNumberFormat="1" applyFont="1" applyFill="1" applyBorder="1" applyAlignment="1">
      <alignment horizontal="right" wrapText="1"/>
    </xf>
    <xf numFmtId="0" fontId="3" fillId="0" borderId="8" xfId="0" applyNumberFormat="1" applyFont="1" applyFill="1" applyBorder="1" applyAlignment="1">
      <alignment horizontal="right"/>
    </xf>
    <xf numFmtId="0" fontId="3" fillId="0" borderId="6" xfId="0" applyNumberFormat="1" applyFont="1" applyFill="1" applyBorder="1" applyAlignment="1"/>
    <xf numFmtId="0" fontId="3" fillId="0" borderId="8" xfId="0" applyNumberFormat="1" applyFont="1" applyFill="1" applyBorder="1" applyAlignment="1"/>
    <xf numFmtId="2" fontId="3" fillId="0" borderId="8" xfId="0" applyNumberFormat="1" applyFont="1" applyFill="1" applyBorder="1" applyAlignment="1"/>
    <xf numFmtId="0" fontId="3" fillId="0" borderId="0" xfId="0" applyNumberFormat="1" applyFont="1" applyFill="1" applyAlignment="1"/>
    <xf numFmtId="0" fontId="3" fillId="0" borderId="0" xfId="0" applyNumberFormat="1" applyFont="1" applyFill="1" applyAlignment="1">
      <alignment wrapText="1"/>
    </xf>
    <xf numFmtId="0" fontId="3" fillId="0" borderId="1" xfId="0" applyNumberFormat="1" applyFont="1" applyFill="1" applyBorder="1" applyAlignment="1"/>
    <xf numFmtId="0" fontId="14" fillId="2" borderId="9" xfId="0" applyNumberFormat="1" applyFont="1" applyFill="1" applyBorder="1" applyAlignment="1">
      <alignment horizontal="center" vertical="center"/>
    </xf>
    <xf numFmtId="0" fontId="13" fillId="0" borderId="9" xfId="0" applyNumberFormat="1" applyFont="1" applyFill="1" applyBorder="1" applyAlignment="1">
      <alignment horizontal="center" vertical="center"/>
    </xf>
    <xf numFmtId="172" fontId="14" fillId="2" borderId="9" xfId="0" applyNumberFormat="1" applyFont="1" applyFill="1" applyBorder="1" applyAlignment="1">
      <alignment horizontal="center" vertical="center"/>
    </xf>
    <xf numFmtId="0" fontId="2" fillId="0" borderId="0" xfId="0" applyNumberFormat="1" applyFont="1" applyFill="1" applyAlignment="1"/>
    <xf numFmtId="0" fontId="2" fillId="0" borderId="6" xfId="0" applyNumberFormat="1" applyFont="1" applyFill="1" applyBorder="1" applyAlignment="1">
      <alignment horizontal="right"/>
    </xf>
    <xf numFmtId="169" fontId="3" fillId="3" borderId="9" xfId="0" applyNumberFormat="1" applyFont="1" applyFill="1" applyBorder="1" applyAlignment="1">
      <alignment vertical="center"/>
    </xf>
    <xf numFmtId="4" fontId="3" fillId="0" borderId="9" xfId="0" applyNumberFormat="1" applyFont="1" applyFill="1" applyBorder="1" applyAlignment="1">
      <alignment vertical="center"/>
    </xf>
    <xf numFmtId="0" fontId="3" fillId="0" borderId="10" xfId="0" applyNumberFormat="1" applyFont="1" applyFill="1" applyBorder="1" applyAlignment="1"/>
    <xf numFmtId="0" fontId="3" fillId="0" borderId="11" xfId="0" applyNumberFormat="1" applyFont="1" applyFill="1" applyBorder="1" applyAlignment="1"/>
    <xf numFmtId="1" fontId="3" fillId="0" borderId="0" xfId="0" applyNumberFormat="1" applyFont="1" applyFill="1" applyAlignment="1"/>
    <xf numFmtId="0" fontId="4" fillId="0" borderId="0" xfId="0" applyNumberFormat="1" applyFont="1" applyFill="1" applyAlignment="1"/>
    <xf numFmtId="0" fontId="3" fillId="0" borderId="0" xfId="0" applyNumberFormat="1" applyFont="1" applyFill="1" applyBorder="1" applyAlignment="1">
      <alignment vertical="center"/>
    </xf>
    <xf numFmtId="0" fontId="0" fillId="0" borderId="0" xfId="0" applyBorder="1">
      <alignment vertical="center"/>
    </xf>
    <xf numFmtId="0" fontId="0" fillId="0" borderId="3" xfId="0" applyBorder="1">
      <alignment vertical="center"/>
    </xf>
    <xf numFmtId="0" fontId="0" fillId="0" borderId="1" xfId="0" applyBorder="1">
      <alignment vertical="center"/>
    </xf>
    <xf numFmtId="3" fontId="3" fillId="0" borderId="0" xfId="0" applyNumberFormat="1" applyFont="1" applyFill="1" applyBorder="1" applyAlignment="1">
      <alignment wrapText="1"/>
    </xf>
    <xf numFmtId="0" fontId="0" fillId="0" borderId="4" xfId="0" applyBorder="1">
      <alignment vertical="center"/>
    </xf>
    <xf numFmtId="0" fontId="0" fillId="0" borderId="6" xfId="0" applyBorder="1">
      <alignment vertical="center"/>
    </xf>
    <xf numFmtId="0" fontId="2" fillId="0" borderId="0" xfId="0" applyNumberFormat="1" applyFont="1" applyFill="1" applyBorder="1" applyAlignment="1">
      <alignment horizontal="right" vertical="center"/>
    </xf>
    <xf numFmtId="10" fontId="3" fillId="0" borderId="0" xfId="0" applyNumberFormat="1" applyFont="1" applyFill="1" applyBorder="1" applyAlignment="1">
      <alignment vertical="center"/>
    </xf>
    <xf numFmtId="0" fontId="3" fillId="0" borderId="0" xfId="0" applyNumberFormat="1" applyFont="1" applyFill="1" applyBorder="1" applyAlignment="1"/>
    <xf numFmtId="0" fontId="3" fillId="0" borderId="0" xfId="0" applyNumberFormat="1" applyFont="1" applyFill="1" applyBorder="1" applyAlignment="1">
      <alignment wrapText="1"/>
    </xf>
    <xf numFmtId="0" fontId="0" fillId="0" borderId="0" xfId="0" applyFill="1" applyBorder="1">
      <alignment vertical="center"/>
    </xf>
    <xf numFmtId="0" fontId="17" fillId="0" borderId="2" xfId="0" applyFont="1" applyBorder="1">
      <alignment vertical="center"/>
    </xf>
    <xf numFmtId="2" fontId="3" fillId="0" borderId="8" xfId="0" applyNumberFormat="1" applyFont="1" applyFill="1" applyBorder="1" applyAlignment="1">
      <alignment horizontal="right"/>
    </xf>
    <xf numFmtId="0" fontId="0" fillId="0" borderId="0" xfId="0" applyAlignment="1">
      <alignment vertical="center" wrapText="1"/>
    </xf>
    <xf numFmtId="0" fontId="0" fillId="0" borderId="0" xfId="0" applyNumberFormat="1">
      <alignment vertical="center"/>
    </xf>
    <xf numFmtId="0" fontId="0" fillId="0" borderId="0" xfId="0" applyAlignment="1">
      <alignment horizontal="center" vertical="center"/>
    </xf>
    <xf numFmtId="0" fontId="3" fillId="0" borderId="4" xfId="0" applyNumberFormat="1" applyFont="1" applyFill="1" applyBorder="1" applyAlignment="1">
      <alignment horizontal="left" wrapText="1"/>
    </xf>
    <xf numFmtId="0" fontId="13" fillId="0" borderId="10" xfId="0" applyNumberFormat="1" applyFont="1" applyFill="1" applyBorder="1" applyAlignment="1">
      <alignment vertical="center"/>
    </xf>
    <xf numFmtId="0" fontId="13" fillId="0" borderId="6" xfId="0" applyNumberFormat="1" applyFont="1" applyFill="1" applyBorder="1" applyAlignment="1">
      <alignment vertical="center"/>
    </xf>
    <xf numFmtId="0" fontId="13" fillId="0" borderId="6" xfId="0" applyNumberFormat="1" applyFont="1" applyFill="1" applyBorder="1" applyAlignment="1"/>
    <xf numFmtId="0" fontId="13" fillId="0" borderId="11" xfId="0" applyNumberFormat="1" applyFont="1" applyFill="1" applyBorder="1" applyAlignment="1"/>
    <xf numFmtId="0" fontId="3" fillId="0" borderId="0" xfId="0" applyNumberFormat="1" applyFont="1" applyFill="1" applyBorder="1" applyAlignment="1">
      <alignment horizontal="center" vertical="top"/>
    </xf>
    <xf numFmtId="0" fontId="3" fillId="0" borderId="3" xfId="0" applyNumberFormat="1" applyFont="1" applyFill="1" applyBorder="1" applyAlignment="1">
      <alignment horizontal="center" vertical="top"/>
    </xf>
    <xf numFmtId="0" fontId="0" fillId="0" borderId="2" xfId="0" applyBorder="1">
      <alignment vertical="center"/>
    </xf>
    <xf numFmtId="0" fontId="17" fillId="0" borderId="4" xfId="0" applyFont="1" applyBorder="1">
      <alignment vertical="center"/>
    </xf>
    <xf numFmtId="169" fontId="9" fillId="0" borderId="6" xfId="0" applyNumberFormat="1" applyFont="1" applyFill="1" applyBorder="1" applyAlignment="1"/>
    <xf numFmtId="4" fontId="3" fillId="0" borderId="6" xfId="0" applyNumberFormat="1" applyFont="1" applyFill="1" applyBorder="1" applyAlignment="1"/>
    <xf numFmtId="0" fontId="3" fillId="8" borderId="6" xfId="0" applyNumberFormat="1" applyFont="1" applyFill="1" applyBorder="1" applyAlignment="1">
      <alignment horizontal="right" wrapText="1"/>
    </xf>
    <xf numFmtId="0" fontId="3" fillId="8" borderId="11" xfId="0" applyNumberFormat="1" applyFont="1" applyFill="1" applyBorder="1" applyAlignment="1">
      <alignment horizontal="right" wrapText="1"/>
    </xf>
    <xf numFmtId="2" fontId="3" fillId="0" borderId="0" xfId="0" applyNumberFormat="1" applyFont="1" applyFill="1" applyBorder="1" applyAlignment="1">
      <alignment wrapText="1"/>
    </xf>
    <xf numFmtId="2" fontId="0" fillId="0" borderId="0" xfId="0" applyNumberFormat="1">
      <alignment vertical="center"/>
    </xf>
    <xf numFmtId="172" fontId="13" fillId="0" borderId="12" xfId="0" applyNumberFormat="1" applyFont="1" applyFill="1" applyBorder="1" applyAlignment="1"/>
    <xf numFmtId="0" fontId="13" fillId="0" borderId="1" xfId="0" applyNumberFormat="1" applyFont="1" applyFill="1" applyBorder="1" applyAlignment="1"/>
    <xf numFmtId="0" fontId="13" fillId="0" borderId="0" xfId="0" applyNumberFormat="1" applyFont="1" applyFill="1" applyAlignment="1"/>
    <xf numFmtId="0" fontId="15" fillId="0" borderId="0" xfId="0" applyNumberFormat="1" applyFont="1" applyFill="1" applyAlignment="1">
      <alignment vertical="justify" wrapText="1"/>
    </xf>
    <xf numFmtId="0" fontId="0" fillId="0" borderId="0" xfId="0" applyAlignment="1">
      <alignment vertical="center"/>
    </xf>
    <xf numFmtId="0" fontId="0" fillId="0" borderId="0" xfId="0" applyAlignment="1"/>
    <xf numFmtId="2" fontId="42" fillId="9" borderId="0" xfId="0" applyNumberFormat="1" applyFont="1" applyFill="1" applyBorder="1" applyAlignment="1">
      <alignment horizontal="center" vertical="center" wrapText="1"/>
    </xf>
    <xf numFmtId="2" fontId="43" fillId="9" borderId="0" xfId="0" applyNumberFormat="1" applyFont="1" applyFill="1" applyBorder="1" applyAlignment="1">
      <alignment horizontal="center" vertical="center" wrapText="1"/>
    </xf>
    <xf numFmtId="2" fontId="42" fillId="10" borderId="0" xfId="0" applyNumberFormat="1" applyFont="1" applyFill="1" applyBorder="1" applyAlignment="1">
      <alignment horizontal="center" vertical="center" wrapText="1"/>
    </xf>
    <xf numFmtId="2" fontId="43" fillId="10" borderId="0" xfId="0" applyNumberFormat="1" applyFont="1" applyFill="1" applyBorder="1" applyAlignment="1">
      <alignment horizontal="center" vertical="center" wrapText="1"/>
    </xf>
    <xf numFmtId="2" fontId="42" fillId="8" borderId="0" xfId="0" applyNumberFormat="1" applyFont="1" applyFill="1" applyBorder="1" applyAlignment="1">
      <alignment horizontal="center" vertical="center" wrapText="1"/>
    </xf>
    <xf numFmtId="2" fontId="43" fillId="8" borderId="0" xfId="0" applyNumberFormat="1" applyFont="1" applyFill="1" applyBorder="1" applyAlignment="1">
      <alignment horizontal="center" vertical="center" wrapText="1"/>
    </xf>
    <xf numFmtId="2" fontId="42" fillId="11" borderId="0" xfId="0" applyNumberFormat="1" applyFont="1" applyFill="1" applyBorder="1" applyAlignment="1">
      <alignment horizontal="center" vertical="center" wrapText="1"/>
    </xf>
    <xf numFmtId="2" fontId="43" fillId="11" borderId="0" xfId="0" applyNumberFormat="1" applyFont="1" applyFill="1" applyBorder="1" applyAlignment="1">
      <alignment horizontal="center" vertical="center" wrapText="1"/>
    </xf>
    <xf numFmtId="2" fontId="42" fillId="12" borderId="0" xfId="0" applyNumberFormat="1" applyFont="1" applyFill="1" applyBorder="1" applyAlignment="1">
      <alignment horizontal="center" vertical="center" wrapText="1"/>
    </xf>
    <xf numFmtId="2" fontId="43" fillId="12" borderId="0" xfId="0" applyNumberFormat="1" applyFont="1" applyFill="1" applyBorder="1" applyAlignment="1">
      <alignment horizontal="center" vertical="center" wrapText="1"/>
    </xf>
    <xf numFmtId="2" fontId="44" fillId="9" borderId="0" xfId="0" applyNumberFormat="1" applyFont="1" applyFill="1" applyBorder="1" applyAlignment="1">
      <alignment horizontal="center" vertical="center" wrapText="1"/>
    </xf>
    <xf numFmtId="2" fontId="44" fillId="10" borderId="0" xfId="0" applyNumberFormat="1" applyFont="1" applyFill="1" applyBorder="1" applyAlignment="1">
      <alignment horizontal="center" vertical="center" wrapText="1"/>
    </xf>
    <xf numFmtId="2" fontId="44" fillId="8" borderId="0" xfId="0" applyNumberFormat="1" applyFont="1" applyFill="1" applyBorder="1" applyAlignment="1">
      <alignment horizontal="center" vertical="center" wrapText="1"/>
    </xf>
    <xf numFmtId="2" fontId="44" fillId="11" borderId="0" xfId="0" applyNumberFormat="1" applyFont="1" applyFill="1" applyBorder="1" applyAlignment="1">
      <alignment horizontal="center" vertical="center" wrapText="1"/>
    </xf>
    <xf numFmtId="2" fontId="44" fillId="12" borderId="0" xfId="0" applyNumberFormat="1" applyFont="1" applyFill="1" applyBorder="1" applyAlignment="1">
      <alignment horizontal="center" vertical="center" wrapText="1"/>
    </xf>
    <xf numFmtId="0" fontId="45" fillId="0" borderId="0" xfId="0" applyFont="1" applyFill="1" applyBorder="1" applyAlignment="1"/>
    <xf numFmtId="0" fontId="45" fillId="0" borderId="9" xfId="0" applyFont="1" applyFill="1" applyBorder="1" applyAlignment="1">
      <alignment horizontal="center"/>
    </xf>
    <xf numFmtId="167" fontId="45" fillId="0" borderId="9" xfId="0" applyNumberFormat="1" applyFont="1" applyFill="1" applyBorder="1" applyAlignment="1">
      <alignment horizontal="center"/>
    </xf>
    <xf numFmtId="1" fontId="3" fillId="0" borderId="0" xfId="0" applyNumberFormat="1" applyFont="1" applyFill="1" applyBorder="1" applyAlignment="1">
      <alignment horizontal="center" vertical="top"/>
    </xf>
    <xf numFmtId="1" fontId="3" fillId="0" borderId="1" xfId="0" applyNumberFormat="1" applyFont="1" applyFill="1" applyBorder="1" applyAlignment="1">
      <alignment horizontal="center" vertical="top"/>
    </xf>
    <xf numFmtId="0" fontId="45" fillId="0" borderId="9" xfId="0" quotePrefix="1" applyFont="1" applyFill="1" applyBorder="1" applyAlignment="1">
      <alignment horizontal="center"/>
    </xf>
    <xf numFmtId="1" fontId="45" fillId="0" borderId="9" xfId="0" applyNumberFormat="1" applyFont="1" applyFill="1" applyBorder="1" applyAlignment="1">
      <alignment horizontal="center"/>
    </xf>
    <xf numFmtId="167" fontId="45" fillId="0" borderId="9" xfId="0" quotePrefix="1" applyNumberFormat="1" applyFont="1" applyFill="1" applyBorder="1" applyAlignment="1">
      <alignment horizontal="center"/>
    </xf>
    <xf numFmtId="0" fontId="39" fillId="0" borderId="0" xfId="0" applyFont="1">
      <alignment vertical="center"/>
    </xf>
    <xf numFmtId="170" fontId="0" fillId="0" borderId="0" xfId="0" applyNumberFormat="1">
      <alignment vertical="center"/>
    </xf>
    <xf numFmtId="1" fontId="0" fillId="0" borderId="0" xfId="0" applyNumberFormat="1" applyFont="1" applyFill="1" applyAlignment="1"/>
    <xf numFmtId="0" fontId="0" fillId="0" borderId="0" xfId="0" applyFont="1">
      <alignment vertical="center"/>
    </xf>
    <xf numFmtId="170" fontId="0" fillId="0" borderId="0" xfId="0" applyNumberFormat="1" applyFont="1">
      <alignment vertical="center"/>
    </xf>
    <xf numFmtId="0" fontId="17" fillId="0" borderId="0" xfId="0" applyNumberFormat="1" applyFont="1" applyFill="1" applyAlignment="1"/>
    <xf numFmtId="0" fontId="17" fillId="0" borderId="0" xfId="0" applyFont="1">
      <alignment vertical="center"/>
    </xf>
    <xf numFmtId="1" fontId="46" fillId="0" borderId="0" xfId="0" applyNumberFormat="1" applyFont="1" applyAlignment="1">
      <alignment horizontal="right" vertical="center"/>
    </xf>
    <xf numFmtId="2" fontId="0" fillId="0" borderId="0" xfId="0" applyNumberFormat="1" applyFont="1" applyFill="1" applyAlignment="1"/>
    <xf numFmtId="2" fontId="3" fillId="0" borderId="0" xfId="0" applyNumberFormat="1" applyFont="1" applyFill="1" applyAlignment="1"/>
    <xf numFmtId="170" fontId="3" fillId="0" borderId="0" xfId="0" applyNumberFormat="1" applyFont="1" applyFill="1" applyAlignment="1"/>
    <xf numFmtId="0" fontId="21" fillId="0" borderId="0" xfId="0" applyFont="1" applyBorder="1" applyAlignment="1">
      <alignment horizontal="center" vertical="center" wrapText="1"/>
    </xf>
    <xf numFmtId="0" fontId="0" fillId="0" borderId="0" xfId="0" applyBorder="1" applyAlignment="1"/>
    <xf numFmtId="0" fontId="48" fillId="0" borderId="0" xfId="0" applyFont="1" applyBorder="1" applyAlignment="1">
      <alignment horizontal="right" vertical="center" wrapText="1"/>
    </xf>
    <xf numFmtId="0" fontId="49" fillId="0" borderId="0" xfId="0" applyFont="1" applyBorder="1" applyAlignment="1">
      <alignment horizontal="center" vertical="center" wrapText="1"/>
    </xf>
    <xf numFmtId="0" fontId="50" fillId="0" borderId="0" xfId="0" applyFont="1" applyBorder="1" applyAlignment="1">
      <alignment horizontal="center" vertical="center" wrapText="1"/>
    </xf>
    <xf numFmtId="0" fontId="48" fillId="9" borderId="0" xfId="0" applyFont="1" applyFill="1" applyBorder="1" applyAlignment="1">
      <alignment horizontal="right" vertical="center"/>
    </xf>
    <xf numFmtId="0" fontId="48" fillId="10" borderId="0" xfId="0" applyFont="1" applyFill="1" applyBorder="1" applyAlignment="1">
      <alignment horizontal="right" vertical="center"/>
    </xf>
    <xf numFmtId="0" fontId="48" fillId="8" borderId="0" xfId="0" applyFont="1" applyFill="1" applyBorder="1" applyAlignment="1">
      <alignment horizontal="right" vertical="center"/>
    </xf>
    <xf numFmtId="0" fontId="48" fillId="11" borderId="0" xfId="0" applyFont="1" applyFill="1" applyBorder="1" applyAlignment="1">
      <alignment horizontal="right" vertical="center"/>
    </xf>
    <xf numFmtId="0" fontId="48" fillId="12" borderId="0" xfId="0" applyFont="1" applyFill="1" applyBorder="1" applyAlignment="1">
      <alignment horizontal="right" vertical="center"/>
    </xf>
    <xf numFmtId="0" fontId="48" fillId="13" borderId="0" xfId="0" applyFont="1" applyFill="1" applyBorder="1" applyAlignment="1">
      <alignment horizontal="right" vertical="center"/>
    </xf>
    <xf numFmtId="2" fontId="42" fillId="13" borderId="0" xfId="0" applyNumberFormat="1" applyFont="1" applyFill="1" applyBorder="1" applyAlignment="1">
      <alignment horizontal="center" vertical="center" wrapText="1"/>
    </xf>
    <xf numFmtId="2" fontId="43" fillId="13" borderId="0" xfId="0" applyNumberFormat="1" applyFont="1" applyFill="1" applyBorder="1" applyAlignment="1">
      <alignment horizontal="center" vertical="center" wrapText="1"/>
    </xf>
    <xf numFmtId="0" fontId="51" fillId="0" borderId="0" xfId="0" applyFont="1" applyBorder="1" applyAlignment="1">
      <alignment horizontal="center" vertical="center" wrapText="1"/>
    </xf>
    <xf numFmtId="2" fontId="44" fillId="13" borderId="0" xfId="0" applyNumberFormat="1" applyFont="1" applyFill="1" applyBorder="1" applyAlignment="1">
      <alignment horizontal="center" vertical="center" wrapText="1"/>
    </xf>
    <xf numFmtId="0" fontId="48" fillId="0" borderId="0" xfId="0" applyFont="1" applyBorder="1" applyAlignment="1">
      <alignment horizontal="left" vertical="center"/>
    </xf>
    <xf numFmtId="1" fontId="52" fillId="0" borderId="9" xfId="0" applyNumberFormat="1" applyFont="1" applyFill="1" applyBorder="1" applyAlignment="1">
      <alignment horizontal="center"/>
    </xf>
    <xf numFmtId="167" fontId="52" fillId="0" borderId="9" xfId="0" quotePrefix="1" applyNumberFormat="1" applyFont="1" applyFill="1" applyBorder="1" applyAlignment="1">
      <alignment horizontal="center"/>
    </xf>
    <xf numFmtId="0" fontId="52" fillId="0" borderId="9" xfId="0" quotePrefix="1" applyFont="1" applyFill="1" applyBorder="1" applyAlignment="1">
      <alignment horizontal="center"/>
    </xf>
    <xf numFmtId="0" fontId="39" fillId="0" borderId="0" xfId="0" applyFont="1" applyFill="1">
      <alignment vertical="center"/>
    </xf>
    <xf numFmtId="2" fontId="0" fillId="0" borderId="9" xfId="0" applyNumberFormat="1" applyBorder="1" applyAlignment="1">
      <alignment horizontal="center" vertical="center"/>
    </xf>
    <xf numFmtId="2" fontId="0" fillId="0" borderId="9" xfId="0" applyNumberFormat="1" applyFill="1" applyBorder="1" applyAlignment="1">
      <alignment horizontal="center" vertical="center"/>
    </xf>
    <xf numFmtId="0" fontId="3" fillId="0" borderId="5" xfId="0" applyNumberFormat="1" applyFont="1" applyFill="1" applyBorder="1" applyAlignment="1">
      <alignment vertical="center"/>
    </xf>
    <xf numFmtId="0" fontId="3" fillId="0" borderId="0" xfId="0" applyNumberFormat="1" applyFont="1" applyFill="1" applyBorder="1" applyAlignment="1">
      <alignment horizontal="right" vertical="center"/>
    </xf>
    <xf numFmtId="1" fontId="3" fillId="0" borderId="8" xfId="0" applyNumberFormat="1" applyFont="1" applyFill="1" applyBorder="1" applyAlignment="1">
      <alignment horizontal="right"/>
    </xf>
    <xf numFmtId="0" fontId="23" fillId="0" borderId="0" xfId="0" applyFont="1" applyBorder="1" applyAlignment="1">
      <alignment horizontal="center" vertical="center" wrapText="1"/>
    </xf>
    <xf numFmtId="2" fontId="24" fillId="9" borderId="0" xfId="0" applyNumberFormat="1" applyFont="1" applyFill="1" applyBorder="1" applyAlignment="1">
      <alignment horizontal="center" vertical="center" wrapText="1"/>
    </xf>
    <xf numFmtId="2" fontId="24" fillId="10" borderId="0" xfId="0" applyNumberFormat="1" applyFont="1" applyFill="1" applyBorder="1" applyAlignment="1">
      <alignment horizontal="center" vertical="center" wrapText="1"/>
    </xf>
    <xf numFmtId="2" fontId="24" fillId="8" borderId="0" xfId="0" applyNumberFormat="1" applyFont="1" applyFill="1" applyBorder="1" applyAlignment="1">
      <alignment horizontal="center" vertical="center" wrapText="1"/>
    </xf>
    <xf numFmtId="2" fontId="24" fillId="11" borderId="0" xfId="0" applyNumberFormat="1" applyFont="1" applyFill="1" applyBorder="1" applyAlignment="1">
      <alignment horizontal="center" vertical="center" wrapText="1"/>
    </xf>
    <xf numFmtId="2" fontId="24" fillId="12" borderId="0" xfId="0" applyNumberFormat="1" applyFont="1" applyFill="1" applyBorder="1" applyAlignment="1">
      <alignment horizontal="center" vertical="center" wrapText="1"/>
    </xf>
    <xf numFmtId="2" fontId="24" fillId="13" borderId="0" xfId="0" applyNumberFormat="1" applyFont="1" applyFill="1" applyBorder="1" applyAlignment="1">
      <alignment horizontal="center" vertical="center" wrapText="1"/>
    </xf>
    <xf numFmtId="2" fontId="39" fillId="0" borderId="0" xfId="0" applyNumberFormat="1" applyFont="1" applyFill="1" applyBorder="1" applyAlignment="1">
      <alignment horizontal="right" vertical="center"/>
    </xf>
    <xf numFmtId="2" fontId="39" fillId="0" borderId="6" xfId="0" applyNumberFormat="1" applyFont="1" applyFill="1" applyBorder="1" applyAlignment="1">
      <alignment horizontal="right" vertical="center"/>
    </xf>
    <xf numFmtId="170" fontId="39" fillId="0" borderId="0" xfId="0" applyNumberFormat="1" applyFont="1">
      <alignment vertical="center"/>
    </xf>
    <xf numFmtId="0" fontId="25" fillId="0" borderId="0" xfId="0" applyFont="1">
      <alignment vertical="center"/>
    </xf>
    <xf numFmtId="0" fontId="26" fillId="0" borderId="0" xfId="0" applyFont="1">
      <alignment vertical="center"/>
    </xf>
    <xf numFmtId="0" fontId="27" fillId="0" borderId="0" xfId="0" applyNumberFormat="1" applyFont="1" applyFill="1" applyBorder="1" applyAlignment="1"/>
    <xf numFmtId="2" fontId="27" fillId="0" borderId="0" xfId="0" applyNumberFormat="1" applyFont="1" applyFill="1" applyBorder="1" applyAlignment="1">
      <alignment horizontal="right" vertical="center" wrapText="1"/>
    </xf>
    <xf numFmtId="0" fontId="27" fillId="0" borderId="0" xfId="0" applyNumberFormat="1" applyFont="1" applyFill="1" applyAlignment="1"/>
    <xf numFmtId="2" fontId="27" fillId="0" borderId="0" xfId="0" applyNumberFormat="1" applyFont="1" applyFill="1" applyBorder="1" applyAlignment="1">
      <alignment vertical="center" wrapText="1"/>
    </xf>
    <xf numFmtId="2" fontId="25" fillId="0" borderId="0" xfId="0" applyNumberFormat="1" applyFont="1">
      <alignment vertical="center"/>
    </xf>
    <xf numFmtId="0" fontId="27" fillId="0" borderId="0" xfId="0" applyNumberFormat="1" applyFont="1" applyFill="1" applyAlignment="1">
      <alignment vertical="center"/>
    </xf>
    <xf numFmtId="1" fontId="25" fillId="0" borderId="0" xfId="0" applyNumberFormat="1" applyFont="1">
      <alignment vertical="center"/>
    </xf>
    <xf numFmtId="164" fontId="25" fillId="0" borderId="0" xfId="0" applyNumberFormat="1" applyFont="1" applyFill="1" applyBorder="1" applyAlignment="1" applyProtection="1">
      <alignment horizontal="left" vertical="center" wrapText="1"/>
    </xf>
    <xf numFmtId="0" fontId="25" fillId="0" borderId="0" xfId="0" applyFont="1" applyAlignment="1">
      <alignment horizontal="right" vertical="center"/>
    </xf>
    <xf numFmtId="0" fontId="25" fillId="0" borderId="0" xfId="0" applyFont="1" applyBorder="1" applyAlignment="1">
      <alignment vertical="center"/>
    </xf>
    <xf numFmtId="0" fontId="25" fillId="0" borderId="0" xfId="0" applyFont="1" applyAlignment="1">
      <alignment vertical="center"/>
    </xf>
    <xf numFmtId="0" fontId="25" fillId="0" borderId="0" xfId="0" applyFont="1" applyAlignment="1"/>
    <xf numFmtId="2" fontId="25" fillId="0" borderId="0" xfId="0" applyNumberFormat="1" applyFont="1" applyAlignment="1">
      <alignment vertical="center"/>
    </xf>
    <xf numFmtId="0" fontId="25" fillId="0" borderId="0" xfId="0" applyFont="1" applyFill="1">
      <alignment vertical="center"/>
    </xf>
    <xf numFmtId="0" fontId="25" fillId="0" borderId="0" xfId="0" applyFont="1" applyFill="1" applyBorder="1">
      <alignment vertical="center"/>
    </xf>
    <xf numFmtId="0" fontId="25" fillId="0" borderId="0" xfId="0" applyFont="1" applyFill="1" applyBorder="1" applyAlignment="1">
      <alignment vertical="center"/>
    </xf>
    <xf numFmtId="1" fontId="25" fillId="0" borderId="0" xfId="0" applyNumberFormat="1" applyFont="1" applyFill="1" applyBorder="1" applyAlignment="1">
      <alignment horizontal="center" vertical="center"/>
    </xf>
    <xf numFmtId="0" fontId="25" fillId="0" borderId="0" xfId="0" applyFont="1" applyFill="1" applyBorder="1" applyAlignment="1"/>
    <xf numFmtId="0" fontId="27" fillId="0" borderId="0" xfId="0" applyNumberFormat="1" applyFont="1" applyFill="1" applyBorder="1" applyAlignment="1">
      <alignment wrapText="1"/>
    </xf>
    <xf numFmtId="1" fontId="25" fillId="0" borderId="0" xfId="0" applyNumberFormat="1" applyFont="1" applyFill="1" applyBorder="1" applyAlignment="1">
      <alignment vertical="center"/>
    </xf>
    <xf numFmtId="0" fontId="26" fillId="0" borderId="0" xfId="0" applyFont="1" applyAlignment="1">
      <alignment horizontal="left" vertical="center"/>
    </xf>
    <xf numFmtId="0" fontId="25" fillId="0" borderId="0" xfId="0" applyFont="1" applyAlignment="1">
      <alignment horizontal="left" vertical="center"/>
    </xf>
    <xf numFmtId="0" fontId="25" fillId="15" borderId="0" xfId="0" applyFont="1" applyFill="1" applyAlignment="1">
      <alignment horizontal="right" vertical="center"/>
    </xf>
    <xf numFmtId="0" fontId="25" fillId="0" borderId="0" xfId="0" applyFont="1" applyFill="1" applyBorder="1" applyAlignment="1">
      <alignment textRotation="90"/>
    </xf>
    <xf numFmtId="2" fontId="25" fillId="0" borderId="0" xfId="0" applyNumberFormat="1" applyFont="1" applyFill="1" applyBorder="1" applyAlignment="1">
      <alignment vertical="center"/>
    </xf>
    <xf numFmtId="0" fontId="25" fillId="15" borderId="0" xfId="0" applyFont="1" applyFill="1">
      <alignment vertical="center"/>
    </xf>
    <xf numFmtId="2" fontId="25" fillId="0" borderId="0" xfId="0" applyNumberFormat="1" applyFont="1" applyAlignment="1">
      <alignment horizontal="right" vertical="center"/>
    </xf>
    <xf numFmtId="2" fontId="25" fillId="0" borderId="0" xfId="0" applyNumberFormat="1" applyFont="1" applyFill="1" applyBorder="1" applyAlignment="1">
      <alignment horizontal="center" vertical="center"/>
    </xf>
    <xf numFmtId="2" fontId="25" fillId="0" borderId="0" xfId="0" applyNumberFormat="1" applyFont="1" applyFill="1" applyBorder="1">
      <alignment vertical="center"/>
    </xf>
    <xf numFmtId="0" fontId="25" fillId="0" borderId="0" xfId="0" applyFont="1" applyFill="1" applyAlignment="1">
      <alignment horizontal="right" vertical="center"/>
    </xf>
    <xf numFmtId="1" fontId="25" fillId="0" borderId="0" xfId="0" applyNumberFormat="1" applyFont="1" applyFill="1" applyBorder="1">
      <alignment vertical="center"/>
    </xf>
    <xf numFmtId="1" fontId="26" fillId="0" borderId="0" xfId="0" applyNumberFormat="1" applyFont="1" applyFill="1" applyBorder="1" applyAlignment="1">
      <alignment horizontal="center" vertical="center"/>
    </xf>
    <xf numFmtId="1" fontId="26" fillId="0" borderId="0" xfId="0" applyNumberFormat="1" applyFont="1" applyFill="1" applyBorder="1" applyAlignment="1">
      <alignment horizontal="center"/>
    </xf>
    <xf numFmtId="0" fontId="26" fillId="0" borderId="0" xfId="0" applyFont="1" applyFill="1">
      <alignment vertical="center"/>
    </xf>
    <xf numFmtId="0" fontId="27" fillId="0" borderId="0" xfId="0" applyNumberFormat="1" applyFont="1" applyFill="1" applyAlignment="1">
      <alignment wrapText="1"/>
    </xf>
    <xf numFmtId="167" fontId="25" fillId="0" borderId="0" xfId="0" applyNumberFormat="1" applyFont="1">
      <alignment vertical="center"/>
    </xf>
    <xf numFmtId="0" fontId="0" fillId="17" borderId="15" xfId="0" applyFill="1" applyBorder="1" applyAlignment="1"/>
    <xf numFmtId="2" fontId="0" fillId="17" borderId="15" xfId="0" applyNumberFormat="1" applyFill="1" applyBorder="1" applyAlignment="1">
      <alignment horizontal="left"/>
    </xf>
    <xf numFmtId="0" fontId="0" fillId="0" borderId="9" xfId="0" applyBorder="1" applyAlignment="1"/>
    <xf numFmtId="2" fontId="0" fillId="0" borderId="9" xfId="0" applyNumberFormat="1" applyBorder="1" applyAlignment="1">
      <alignment horizontal="left"/>
    </xf>
    <xf numFmtId="0" fontId="0" fillId="17" borderId="9" xfId="0" applyFill="1" applyBorder="1" applyAlignment="1"/>
    <xf numFmtId="2" fontId="0" fillId="17" borderId="9" xfId="0" applyNumberFormat="1" applyFill="1" applyBorder="1" applyAlignment="1">
      <alignment horizontal="left"/>
    </xf>
    <xf numFmtId="0" fontId="0" fillId="0" borderId="9" xfId="0" applyFill="1" applyBorder="1" applyAlignment="1"/>
    <xf numFmtId="2" fontId="0" fillId="0" borderId="9" xfId="0" applyNumberFormat="1" applyFill="1" applyBorder="1" applyAlignment="1">
      <alignment horizontal="left"/>
    </xf>
    <xf numFmtId="167" fontId="0" fillId="17" borderId="9" xfId="0" applyNumberFormat="1" applyFill="1" applyBorder="1" applyAlignment="1">
      <alignment horizontal="left"/>
    </xf>
    <xf numFmtId="0" fontId="0" fillId="0" borderId="9" xfId="0" applyFill="1" applyBorder="1" applyAlignment="1">
      <alignment horizontal="left"/>
    </xf>
    <xf numFmtId="0" fontId="0" fillId="17" borderId="8" xfId="0" applyFill="1" applyBorder="1" applyAlignment="1"/>
    <xf numFmtId="0" fontId="3" fillId="0" borderId="5" xfId="0" applyNumberFormat="1" applyFont="1" applyFill="1" applyBorder="1" applyAlignment="1">
      <alignment horizontal="right" vertical="center"/>
    </xf>
    <xf numFmtId="0" fontId="3" fillId="0" borderId="1" xfId="0" applyNumberFormat="1" applyFont="1" applyFill="1" applyBorder="1" applyAlignment="1">
      <alignment horizontal="right" vertical="center"/>
    </xf>
    <xf numFmtId="2" fontId="39" fillId="0" borderId="1" xfId="0" applyNumberFormat="1" applyFont="1" applyFill="1" applyBorder="1" applyAlignment="1">
      <alignment horizontal="right" vertical="center"/>
    </xf>
    <xf numFmtId="2" fontId="39" fillId="0" borderId="11" xfId="0" applyNumberFormat="1" applyFont="1" applyFill="1" applyBorder="1" applyAlignment="1">
      <alignment horizontal="right" vertical="center"/>
    </xf>
    <xf numFmtId="0" fontId="2" fillId="0" borderId="19" xfId="0" applyNumberFormat="1" applyFont="1" applyFill="1" applyBorder="1" applyAlignment="1">
      <alignment horizontal="right" vertical="center"/>
    </xf>
    <xf numFmtId="0" fontId="2" fillId="0" borderId="12" xfId="0" applyNumberFormat="1" applyFont="1" applyFill="1" applyBorder="1" applyAlignment="1">
      <alignment horizontal="right" vertical="center"/>
    </xf>
    <xf numFmtId="0" fontId="2" fillId="0" borderId="12" xfId="0" applyNumberFormat="1" applyFont="1" applyFill="1" applyBorder="1" applyAlignment="1">
      <alignment horizontal="left" vertical="center"/>
    </xf>
    <xf numFmtId="0" fontId="2" fillId="0" borderId="20" xfId="0" applyNumberFormat="1" applyFont="1" applyFill="1" applyBorder="1" applyAlignment="1">
      <alignment horizontal="right"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19" xfId="0" applyFont="1" applyBorder="1" applyAlignment="1">
      <alignment horizontal="right" vertical="center"/>
    </xf>
    <xf numFmtId="0" fontId="17" fillId="0" borderId="12" xfId="0" applyFont="1" applyBorder="1" applyAlignment="1">
      <alignment horizontal="right" vertical="center"/>
    </xf>
    <xf numFmtId="0" fontId="2" fillId="0" borderId="20" xfId="0" applyNumberFormat="1" applyFont="1" applyFill="1" applyBorder="1" applyAlignment="1">
      <alignment horizontal="center" vertical="center"/>
    </xf>
    <xf numFmtId="2" fontId="3" fillId="0" borderId="0" xfId="0" applyNumberFormat="1" applyFont="1" applyFill="1" applyAlignment="1">
      <alignment wrapText="1"/>
    </xf>
    <xf numFmtId="0" fontId="16" fillId="0" borderId="0" xfId="0" applyFont="1">
      <alignment vertical="center"/>
    </xf>
    <xf numFmtId="0" fontId="17" fillId="0" borderId="0" xfId="0" applyFont="1" applyBorder="1" applyAlignment="1"/>
    <xf numFmtId="0" fontId="10" fillId="0" borderId="0" xfId="0" applyNumberFormat="1" applyFont="1" applyFill="1" applyBorder="1" applyAlignment="1">
      <alignment horizontal="right" wrapText="1"/>
    </xf>
    <xf numFmtId="0" fontId="3" fillId="0" borderId="19" xfId="0" applyNumberFormat="1" applyFont="1" applyFill="1" applyBorder="1" applyAlignment="1">
      <alignment horizontal="left"/>
    </xf>
    <xf numFmtId="0" fontId="3" fillId="0" borderId="12" xfId="0" applyNumberFormat="1" applyFont="1" applyFill="1" applyBorder="1" applyAlignment="1">
      <alignment vertical="center"/>
    </xf>
    <xf numFmtId="0" fontId="3" fillId="0" borderId="12" xfId="0" applyNumberFormat="1" applyFont="1" applyFill="1" applyBorder="1" applyAlignment="1">
      <alignment wrapText="1"/>
    </xf>
    <xf numFmtId="0" fontId="3" fillId="0" borderId="12" xfId="0" applyNumberFormat="1" applyFont="1" applyFill="1" applyBorder="1" applyAlignment="1">
      <alignment horizontal="center" vertical="center"/>
    </xf>
    <xf numFmtId="0" fontId="3" fillId="0" borderId="20" xfId="0" applyNumberFormat="1" applyFont="1" applyFill="1" applyBorder="1" applyAlignment="1"/>
    <xf numFmtId="0" fontId="16" fillId="0" borderId="0" xfId="0" applyFont="1" applyBorder="1">
      <alignment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17" fillId="0" borderId="0" xfId="0" applyFont="1" applyBorder="1" applyAlignment="1">
      <alignment horizontal="center" vertical="center"/>
    </xf>
    <xf numFmtId="0" fontId="17" fillId="0" borderId="0" xfId="0" applyFont="1" applyFill="1" applyBorder="1" applyAlignment="1">
      <alignment horizontal="center" vertical="center"/>
    </xf>
    <xf numFmtId="0" fontId="0" fillId="0" borderId="0" xfId="0" applyBorder="1" applyAlignment="1">
      <alignment horizontal="right" vertical="center"/>
    </xf>
    <xf numFmtId="14" fontId="16" fillId="0" borderId="0" xfId="0" applyNumberFormat="1" applyFont="1" applyAlignment="1">
      <alignment vertical="center" wrapText="1"/>
    </xf>
    <xf numFmtId="0" fontId="17" fillId="0" borderId="31" xfId="0" applyFont="1" applyBorder="1" applyAlignment="1">
      <alignment horizontal="center" vertical="center"/>
    </xf>
    <xf numFmtId="0" fontId="17" fillId="0" borderId="16" xfId="0" applyFont="1" applyBorder="1" applyAlignment="1">
      <alignment horizontal="center" vertical="center"/>
    </xf>
    <xf numFmtId="0" fontId="17" fillId="0" borderId="32" xfId="0" applyFont="1" applyBorder="1" applyAlignment="1">
      <alignment horizontal="center" vertical="center"/>
    </xf>
    <xf numFmtId="0" fontId="48" fillId="9" borderId="33" xfId="0" applyFont="1" applyFill="1" applyBorder="1" applyAlignment="1">
      <alignment horizontal="right" vertical="center"/>
    </xf>
    <xf numFmtId="170" fontId="42" fillId="9" borderId="34" xfId="0" applyNumberFormat="1" applyFont="1" applyFill="1" applyBorder="1" applyAlignment="1">
      <alignment horizontal="center" vertical="center" wrapText="1"/>
    </xf>
    <xf numFmtId="170" fontId="42" fillId="9" borderId="26" xfId="0" applyNumberFormat="1" applyFont="1" applyFill="1" applyBorder="1" applyAlignment="1">
      <alignment horizontal="center" vertical="center" wrapText="1"/>
    </xf>
    <xf numFmtId="0" fontId="48" fillId="10" borderId="35" xfId="0" applyFont="1" applyFill="1" applyBorder="1" applyAlignment="1">
      <alignment horizontal="right" vertical="center"/>
    </xf>
    <xf numFmtId="170" fontId="42" fillId="10" borderId="36" xfId="0" applyNumberFormat="1" applyFont="1" applyFill="1" applyBorder="1" applyAlignment="1">
      <alignment horizontal="center" vertical="center" wrapText="1"/>
    </xf>
    <xf numFmtId="170" fontId="42" fillId="10" borderId="37" xfId="0" applyNumberFormat="1" applyFont="1" applyFill="1" applyBorder="1" applyAlignment="1">
      <alignment horizontal="center" vertical="center" wrapText="1"/>
    </xf>
    <xf numFmtId="0" fontId="48" fillId="8" borderId="35" xfId="0" applyFont="1" applyFill="1" applyBorder="1" applyAlignment="1">
      <alignment horizontal="right" vertical="center"/>
    </xf>
    <xf numFmtId="170" fontId="42" fillId="8" borderId="36" xfId="0" applyNumberFormat="1" applyFont="1" applyFill="1" applyBorder="1" applyAlignment="1">
      <alignment horizontal="center" vertical="center" wrapText="1"/>
    </xf>
    <xf numFmtId="170" fontId="42" fillId="8" borderId="37" xfId="0" applyNumberFormat="1" applyFont="1" applyFill="1" applyBorder="1" applyAlignment="1">
      <alignment horizontal="center" vertical="center" wrapText="1"/>
    </xf>
    <xf numFmtId="0" fontId="48" fillId="11" borderId="35" xfId="0" applyFont="1" applyFill="1" applyBorder="1" applyAlignment="1">
      <alignment horizontal="right" vertical="center"/>
    </xf>
    <xf numFmtId="170" fontId="42" fillId="11" borderId="36" xfId="0" applyNumberFormat="1" applyFont="1" applyFill="1" applyBorder="1" applyAlignment="1">
      <alignment horizontal="center" vertical="center" wrapText="1"/>
    </xf>
    <xf numFmtId="170" fontId="42" fillId="11" borderId="37" xfId="0" applyNumberFormat="1" applyFont="1" applyFill="1" applyBorder="1" applyAlignment="1">
      <alignment horizontal="center" vertical="center" wrapText="1"/>
    </xf>
    <xf numFmtId="0" fontId="48" fillId="12" borderId="35" xfId="0" applyFont="1" applyFill="1" applyBorder="1" applyAlignment="1">
      <alignment horizontal="right" vertical="center"/>
    </xf>
    <xf numFmtId="170" fontId="42" fillId="12" borderId="36" xfId="0" applyNumberFormat="1" applyFont="1" applyFill="1" applyBorder="1" applyAlignment="1">
      <alignment horizontal="center" vertical="center" wrapText="1"/>
    </xf>
    <xf numFmtId="170" fontId="42" fillId="12" borderId="37" xfId="0" applyNumberFormat="1" applyFont="1" applyFill="1" applyBorder="1" applyAlignment="1">
      <alignment horizontal="center" vertical="center" wrapText="1"/>
    </xf>
    <xf numFmtId="0" fontId="48" fillId="13" borderId="38" xfId="0" applyFont="1" applyFill="1" applyBorder="1" applyAlignment="1">
      <alignment horizontal="right" vertical="center"/>
    </xf>
    <xf numFmtId="170" fontId="42" fillId="13" borderId="39" xfId="0" applyNumberFormat="1" applyFont="1" applyFill="1" applyBorder="1" applyAlignment="1">
      <alignment horizontal="center" vertical="center" wrapText="1"/>
    </xf>
    <xf numFmtId="170" fontId="42" fillId="13" borderId="40" xfId="0" applyNumberFormat="1" applyFont="1" applyFill="1" applyBorder="1" applyAlignment="1">
      <alignment horizontal="center" vertical="center" wrapText="1"/>
    </xf>
    <xf numFmtId="1" fontId="16" fillId="0" borderId="0" xfId="0" applyNumberFormat="1" applyFont="1" applyAlignment="1"/>
    <xf numFmtId="175" fontId="0" fillId="0" borderId="0" xfId="0" applyNumberFormat="1" applyAlignment="1"/>
    <xf numFmtId="0" fontId="3" fillId="0" borderId="0" xfId="0" applyNumberFormat="1" applyFont="1" applyFill="1" applyAlignment="1">
      <alignment horizontal="left"/>
    </xf>
    <xf numFmtId="0" fontId="3" fillId="0" borderId="0" xfId="0" applyNumberFormat="1" applyFont="1" applyFill="1" applyAlignment="1">
      <alignment horizontal="left" vertical="top" wrapText="1"/>
    </xf>
    <xf numFmtId="0" fontId="27" fillId="0" borderId="0" xfId="0" applyNumberFormat="1" applyFont="1" applyFill="1" applyAlignment="1">
      <alignment horizontal="left"/>
    </xf>
    <xf numFmtId="0" fontId="3" fillId="0" borderId="0" xfId="0" applyNumberFormat="1" applyFont="1" applyFill="1" applyAlignment="1">
      <alignment vertical="top" wrapText="1"/>
    </xf>
    <xf numFmtId="0" fontId="3" fillId="0" borderId="1" xfId="0" applyNumberFormat="1" applyFont="1" applyFill="1" applyBorder="1" applyAlignment="1">
      <alignment vertical="top" wrapText="1"/>
    </xf>
    <xf numFmtId="0" fontId="3" fillId="0" borderId="0" xfId="0" applyNumberFormat="1" applyFont="1" applyFill="1" applyAlignment="1">
      <alignment horizontal="right" vertical="top" wrapText="1"/>
    </xf>
    <xf numFmtId="0" fontId="3" fillId="0" borderId="0" xfId="0" applyNumberFormat="1" applyFont="1" applyFill="1" applyAlignment="1">
      <alignment horizontal="left" vertical="top"/>
    </xf>
    <xf numFmtId="0" fontId="3" fillId="0" borderId="0" xfId="0" applyNumberFormat="1" applyFont="1" applyFill="1" applyAlignment="1">
      <alignment vertical="top"/>
    </xf>
    <xf numFmtId="0" fontId="0" fillId="0" borderId="0" xfId="0" applyAlignment="1">
      <alignment horizontal="right" vertical="center"/>
    </xf>
    <xf numFmtId="0" fontId="2" fillId="0" borderId="0" xfId="0" applyNumberFormat="1" applyFont="1" applyFill="1" applyAlignment="1">
      <alignment vertical="top"/>
    </xf>
    <xf numFmtId="0" fontId="20" fillId="0" borderId="0" xfId="0" applyFont="1">
      <alignment vertical="center"/>
    </xf>
    <xf numFmtId="2" fontId="16" fillId="0" borderId="0" xfId="0" applyNumberFormat="1" applyFont="1">
      <alignment vertical="center"/>
    </xf>
    <xf numFmtId="0" fontId="16" fillId="0" borderId="0" xfId="0" applyFont="1" applyFill="1" applyBorder="1" applyAlignment="1">
      <alignment horizontal="center" vertical="center"/>
    </xf>
    <xf numFmtId="0" fontId="29" fillId="0" borderId="0" xfId="0" applyFont="1" applyAlignment="1">
      <alignment horizontal="center" vertical="center"/>
    </xf>
    <xf numFmtId="2" fontId="0" fillId="0" borderId="15" xfId="0" applyNumberFormat="1" applyBorder="1" applyAlignment="1">
      <alignment horizontal="center" vertical="center"/>
    </xf>
    <xf numFmtId="2" fontId="0" fillId="0" borderId="41" xfId="0" applyNumberFormat="1" applyBorder="1" applyAlignment="1">
      <alignment horizontal="center" vertical="center"/>
    </xf>
    <xf numFmtId="2" fontId="0" fillId="0" borderId="30" xfId="0" applyNumberFormat="1" applyBorder="1" applyAlignment="1">
      <alignment horizontal="center" vertical="center"/>
    </xf>
    <xf numFmtId="2" fontId="0" fillId="0" borderId="42" xfId="0" applyNumberFormat="1" applyBorder="1" applyAlignment="1">
      <alignment horizontal="center" vertical="center"/>
    </xf>
    <xf numFmtId="2" fontId="0" fillId="0" borderId="14" xfId="0" applyNumberFormat="1" applyBorder="1" applyAlignment="1">
      <alignment horizontal="center" vertical="center"/>
    </xf>
    <xf numFmtId="0" fontId="17" fillId="0" borderId="43" xfId="0" applyFont="1" applyFill="1" applyBorder="1" applyAlignment="1">
      <alignment horizontal="center" vertical="center"/>
    </xf>
    <xf numFmtId="0" fontId="17" fillId="0" borderId="44" xfId="0" applyFont="1" applyFill="1" applyBorder="1" applyAlignment="1">
      <alignment horizontal="center" vertical="center"/>
    </xf>
    <xf numFmtId="0" fontId="0" fillId="0" borderId="45" xfId="0" applyBorder="1" applyAlignment="1">
      <alignment horizontal="center" vertical="center"/>
    </xf>
    <xf numFmtId="0" fontId="0" fillId="0" borderId="29" xfId="0" applyBorder="1" applyAlignment="1">
      <alignment horizontal="center" vertical="center"/>
    </xf>
    <xf numFmtId="0" fontId="0" fillId="0" borderId="13" xfId="0" applyBorder="1" applyAlignment="1">
      <alignment horizontal="center" vertical="center"/>
    </xf>
    <xf numFmtId="0" fontId="17" fillId="0" borderId="13" xfId="0" applyFont="1" applyBorder="1" applyAlignment="1">
      <alignment horizontal="center" vertical="center" wrapText="1"/>
    </xf>
    <xf numFmtId="0" fontId="17" fillId="0" borderId="42" xfId="0" applyFont="1" applyBorder="1" applyAlignment="1">
      <alignment horizontal="center" vertical="center" wrapText="1"/>
    </xf>
    <xf numFmtId="0" fontId="17" fillId="0" borderId="42" xfId="0" applyFont="1" applyBorder="1" applyAlignment="1">
      <alignment horizontal="center" vertical="center"/>
    </xf>
    <xf numFmtId="0" fontId="17" fillId="0" borderId="40" xfId="0" applyFont="1" applyBorder="1" applyAlignment="1">
      <alignment horizontal="center" vertical="center"/>
    </xf>
    <xf numFmtId="0" fontId="16" fillId="0" borderId="25" xfId="0" applyFont="1" applyBorder="1" applyAlignment="1">
      <alignment horizontal="center" vertical="center"/>
    </xf>
    <xf numFmtId="0" fontId="16" fillId="0" borderId="15" xfId="0" applyFont="1" applyFill="1" applyBorder="1" applyAlignment="1">
      <alignment horizontal="center" vertical="center"/>
    </xf>
    <xf numFmtId="2" fontId="0" fillId="0" borderId="26" xfId="0" applyNumberFormat="1" applyBorder="1" applyAlignment="1">
      <alignment horizontal="center" vertical="center"/>
    </xf>
    <xf numFmtId="2" fontId="0" fillId="0" borderId="26" xfId="0" applyNumberFormat="1" applyBorder="1">
      <alignment vertical="center"/>
    </xf>
    <xf numFmtId="0" fontId="16" fillId="0" borderId="35" xfId="0" applyFont="1" applyBorder="1" applyAlignment="1">
      <alignment horizontal="center" vertical="center"/>
    </xf>
    <xf numFmtId="0" fontId="16" fillId="0" borderId="9" xfId="0" applyFont="1" applyFill="1" applyBorder="1" applyAlignment="1">
      <alignment horizontal="center" vertical="center"/>
    </xf>
    <xf numFmtId="2" fontId="0" fillId="0" borderId="37" xfId="0" applyNumberFormat="1" applyBorder="1" applyAlignment="1">
      <alignment horizontal="center" vertical="center"/>
    </xf>
    <xf numFmtId="2" fontId="0" fillId="0" borderId="37" xfId="0" applyNumberFormat="1" applyBorder="1">
      <alignment vertical="center"/>
    </xf>
    <xf numFmtId="0" fontId="16" fillId="0" borderId="38" xfId="0" applyFont="1" applyBorder="1" applyAlignment="1">
      <alignment horizontal="center" vertical="center"/>
    </xf>
    <xf numFmtId="2" fontId="16" fillId="0" borderId="42" xfId="0" applyNumberFormat="1" applyFont="1" applyBorder="1" applyAlignment="1">
      <alignment horizontal="center" vertical="center"/>
    </xf>
    <xf numFmtId="0" fontId="16" fillId="0" borderId="42" xfId="0" applyFont="1" applyFill="1" applyBorder="1" applyAlignment="1">
      <alignment horizontal="center" vertical="center"/>
    </xf>
    <xf numFmtId="2" fontId="0" fillId="0" borderId="40" xfId="0" applyNumberFormat="1" applyBorder="1" applyAlignment="1">
      <alignment horizontal="center" vertical="center"/>
    </xf>
    <xf numFmtId="2" fontId="0" fillId="0" borderId="40" xfId="0" applyNumberFormat="1" applyBorder="1">
      <alignment vertical="center"/>
    </xf>
    <xf numFmtId="0" fontId="17" fillId="0" borderId="43" xfId="0" applyFont="1" applyBorder="1" applyAlignment="1">
      <alignment horizontal="center" vertical="center"/>
    </xf>
    <xf numFmtId="0" fontId="17" fillId="0" borderId="46" xfId="0" applyFont="1" applyBorder="1" applyAlignment="1">
      <alignment horizontal="center" vertical="center"/>
    </xf>
    <xf numFmtId="0" fontId="17" fillId="0" borderId="44" xfId="0" applyFont="1" applyBorder="1" applyAlignment="1">
      <alignment horizontal="center" vertical="center"/>
    </xf>
    <xf numFmtId="2" fontId="0" fillId="18" borderId="41" xfId="0" applyNumberFormat="1" applyFill="1" applyBorder="1" applyAlignment="1">
      <alignment horizontal="center" vertical="center"/>
    </xf>
    <xf numFmtId="2" fontId="0" fillId="18" borderId="30" xfId="0" applyNumberFormat="1" applyFill="1" applyBorder="1" applyAlignment="1">
      <alignment horizontal="center" vertical="center"/>
    </xf>
    <xf numFmtId="2" fontId="0" fillId="18" borderId="14" xfId="0" applyNumberFormat="1" applyFill="1" applyBorder="1" applyAlignment="1">
      <alignment horizontal="center" vertical="center"/>
    </xf>
    <xf numFmtId="0" fontId="16" fillId="0" borderId="0" xfId="0" applyFont="1" applyFill="1">
      <alignment vertical="center"/>
    </xf>
    <xf numFmtId="2" fontId="16" fillId="0" borderId="15" xfId="0" applyNumberFormat="1" applyFont="1" applyBorder="1" applyAlignment="1">
      <alignment horizontal="center" vertical="center"/>
    </xf>
    <xf numFmtId="2" fontId="16" fillId="0" borderId="9" xfId="0" applyNumberFormat="1" applyFont="1" applyBorder="1" applyAlignment="1">
      <alignment horizontal="center" vertical="center"/>
    </xf>
    <xf numFmtId="2" fontId="0" fillId="0" borderId="15" xfId="0" applyNumberFormat="1" applyFill="1" applyBorder="1" applyAlignment="1">
      <alignment horizontal="center" vertical="center"/>
    </xf>
    <xf numFmtId="2" fontId="0" fillId="0" borderId="42" xfId="0" applyNumberFormat="1" applyFill="1" applyBorder="1" applyAlignment="1">
      <alignment horizontal="center" vertical="center"/>
    </xf>
    <xf numFmtId="0" fontId="16" fillId="8" borderId="0" xfId="0" applyFont="1" applyFill="1">
      <alignment vertical="center"/>
    </xf>
    <xf numFmtId="2" fontId="0" fillId="8" borderId="45" xfId="0" applyNumberFormat="1" applyFill="1" applyBorder="1" applyAlignment="1">
      <alignment horizontal="center" vertical="center"/>
    </xf>
    <xf numFmtId="2" fontId="0" fillId="8" borderId="29" xfId="0" applyNumberFormat="1" applyFill="1" applyBorder="1" applyAlignment="1">
      <alignment horizontal="center" vertical="center"/>
    </xf>
    <xf numFmtId="2" fontId="0" fillId="8" borderId="13" xfId="0" applyNumberFormat="1" applyFill="1" applyBorder="1" applyAlignment="1">
      <alignment horizontal="center" vertical="center"/>
    </xf>
    <xf numFmtId="2" fontId="16" fillId="8" borderId="29" xfId="0" applyNumberFormat="1" applyFont="1" applyFill="1" applyBorder="1" applyAlignment="1">
      <alignment horizontal="center" vertical="center"/>
    </xf>
    <xf numFmtId="0" fontId="0" fillId="8" borderId="0" xfId="0" applyFill="1" applyAlignment="1">
      <alignment horizontal="right" vertical="center"/>
    </xf>
    <xf numFmtId="1" fontId="16" fillId="8" borderId="0" xfId="0" applyNumberFormat="1" applyFont="1" applyFill="1">
      <alignment vertical="center"/>
    </xf>
    <xf numFmtId="0" fontId="17" fillId="0" borderId="47" xfId="0" applyFont="1" applyFill="1" applyBorder="1" applyAlignment="1">
      <alignment horizontal="center" vertical="center"/>
    </xf>
    <xf numFmtId="176" fontId="17" fillId="0" borderId="48" xfId="0" applyNumberFormat="1" applyFont="1" applyFill="1" applyBorder="1" applyAlignment="1">
      <alignment horizontal="center" vertical="center"/>
    </xf>
    <xf numFmtId="0" fontId="17" fillId="0" borderId="48" xfId="0" applyFont="1" applyFill="1" applyBorder="1" applyAlignment="1">
      <alignment horizontal="center" vertical="center"/>
    </xf>
    <xf numFmtId="0" fontId="17" fillId="0" borderId="49" xfId="0" applyFont="1" applyFill="1" applyBorder="1" applyAlignment="1">
      <alignment horizontal="center" vertical="center"/>
    </xf>
    <xf numFmtId="0" fontId="17" fillId="0" borderId="50" xfId="0" applyFont="1" applyFill="1" applyBorder="1" applyAlignment="1">
      <alignment horizontal="center" vertical="center"/>
    </xf>
    <xf numFmtId="0" fontId="17" fillId="0" borderId="51" xfId="0" applyFont="1" applyFill="1" applyBorder="1" applyAlignment="1">
      <alignment horizontal="center" vertical="center"/>
    </xf>
    <xf numFmtId="0" fontId="17" fillId="0" borderId="52" xfId="0" applyFont="1" applyFill="1" applyBorder="1" applyAlignment="1">
      <alignment horizontal="center" vertical="center"/>
    </xf>
    <xf numFmtId="0" fontId="16" fillId="0" borderId="43" xfId="0" applyFont="1" applyFill="1" applyBorder="1" applyAlignment="1">
      <alignment horizontal="center" vertical="center"/>
    </xf>
    <xf numFmtId="0" fontId="16" fillId="0" borderId="46" xfId="0" applyFont="1" applyFill="1" applyBorder="1" applyAlignment="1">
      <alignment horizontal="center" vertical="center"/>
    </xf>
    <xf numFmtId="2" fontId="16" fillId="0" borderId="44" xfId="0" applyNumberFormat="1" applyFont="1" applyFill="1" applyBorder="1" applyAlignment="1">
      <alignment horizontal="center" vertical="center"/>
    </xf>
    <xf numFmtId="2" fontId="0" fillId="0" borderId="5" xfId="0" applyNumberFormat="1" applyBorder="1" applyAlignment="1">
      <alignment horizontal="center" vertical="center"/>
    </xf>
    <xf numFmtId="2" fontId="0" fillId="0" borderId="19" xfId="0" applyNumberFormat="1" applyBorder="1" applyAlignment="1">
      <alignment horizontal="center" vertical="center"/>
    </xf>
    <xf numFmtId="2" fontId="0" fillId="0" borderId="53" xfId="0" applyNumberFormat="1" applyBorder="1" applyAlignment="1">
      <alignment horizontal="center" vertical="center"/>
    </xf>
    <xf numFmtId="0" fontId="17" fillId="0" borderId="17" xfId="0" applyFont="1" applyBorder="1" applyAlignment="1">
      <alignment horizontal="center" vertical="center"/>
    </xf>
    <xf numFmtId="2" fontId="16" fillId="0" borderId="0" xfId="0" applyNumberFormat="1" applyFont="1" applyFill="1">
      <alignment vertical="center"/>
    </xf>
    <xf numFmtId="2" fontId="0" fillId="0" borderId="54" xfId="0" applyNumberFormat="1" applyBorder="1">
      <alignment vertical="center"/>
    </xf>
    <xf numFmtId="2" fontId="0" fillId="0" borderId="36" xfId="0" applyNumberFormat="1" applyBorder="1">
      <alignment vertical="center"/>
    </xf>
    <xf numFmtId="2" fontId="0" fillId="0" borderId="39" xfId="0" applyNumberFormat="1" applyBorder="1">
      <alignment vertical="center"/>
    </xf>
    <xf numFmtId="0" fontId="0" fillId="8" borderId="0" xfId="0" applyFill="1">
      <alignment vertical="center"/>
    </xf>
    <xf numFmtId="0" fontId="0" fillId="0" borderId="0" xfId="0">
      <alignment vertical="center"/>
    </xf>
    <xf numFmtId="0" fontId="3" fillId="0" borderId="1" xfId="0" applyNumberFormat="1" applyFont="1" applyFill="1" applyBorder="1" applyAlignment="1">
      <alignment vertical="center"/>
    </xf>
    <xf numFmtId="0" fontId="17" fillId="0" borderId="0" xfId="0" applyNumberFormat="1" applyFont="1">
      <alignment vertical="center"/>
    </xf>
    <xf numFmtId="174" fontId="3" fillId="3" borderId="9" xfId="0" applyNumberFormat="1" applyFont="1" applyFill="1" applyBorder="1" applyAlignment="1">
      <alignment horizontal="center" vertical="center"/>
    </xf>
    <xf numFmtId="0" fontId="0" fillId="0" borderId="0" xfId="0" applyAlignment="1">
      <alignment horizontal="center" vertical="center"/>
    </xf>
    <xf numFmtId="0" fontId="0" fillId="0" borderId="0" xfId="0" applyBorder="1">
      <alignment vertical="center"/>
    </xf>
    <xf numFmtId="0" fontId="0" fillId="0" borderId="0" xfId="0">
      <alignment vertical="center"/>
    </xf>
    <xf numFmtId="2" fontId="3" fillId="8" borderId="6" xfId="0" applyNumberFormat="1" applyFont="1" applyFill="1" applyBorder="1" applyAlignment="1">
      <alignment vertical="center"/>
    </xf>
    <xf numFmtId="2" fontId="2" fillId="0" borderId="1" xfId="0" applyNumberFormat="1" applyFont="1" applyFill="1" applyBorder="1" applyAlignment="1">
      <alignment vertical="center"/>
    </xf>
    <xf numFmtId="2" fontId="2" fillId="0" borderId="11" xfId="0" applyNumberFormat="1" applyFont="1" applyFill="1" applyBorder="1" applyAlignment="1">
      <alignment horizontal="right" vertical="center"/>
    </xf>
    <xf numFmtId="0" fontId="39" fillId="0" borderId="3" xfId="0" applyFont="1" applyBorder="1" applyAlignment="1">
      <alignment horizontal="right" vertical="center"/>
    </xf>
    <xf numFmtId="0" fontId="39" fillId="0" borderId="10" xfId="0" applyFont="1" applyBorder="1" applyAlignment="1">
      <alignment horizontal="right" vertical="center"/>
    </xf>
    <xf numFmtId="0" fontId="39" fillId="0" borderId="0" xfId="0" applyFont="1" applyBorder="1" applyAlignment="1">
      <alignment horizontal="right" vertical="center"/>
    </xf>
    <xf numFmtId="0" fontId="39" fillId="0" borderId="6" xfId="0" applyFont="1" applyBorder="1" applyAlignment="1">
      <alignment horizontal="right" vertical="center"/>
    </xf>
    <xf numFmtId="0" fontId="39" fillId="0" borderId="1" xfId="0" applyFont="1" applyBorder="1" applyAlignment="1">
      <alignment horizontal="right" vertical="center"/>
    </xf>
    <xf numFmtId="0" fontId="39" fillId="0" borderId="11" xfId="0" applyFont="1" applyBorder="1" applyAlignment="1">
      <alignment horizontal="right" vertical="center"/>
    </xf>
    <xf numFmtId="2" fontId="57" fillId="0" borderId="0" xfId="0" applyNumberFormat="1" applyFont="1">
      <alignment vertical="center"/>
    </xf>
    <xf numFmtId="167" fontId="57" fillId="0" borderId="0" xfId="0" applyNumberFormat="1" applyFont="1">
      <alignment vertical="center"/>
    </xf>
    <xf numFmtId="0" fontId="57" fillId="0" borderId="0" xfId="0" applyFont="1">
      <alignment vertical="center"/>
    </xf>
    <xf numFmtId="1" fontId="42" fillId="29" borderId="9" xfId="0" applyNumberFormat="1" applyFont="1" applyFill="1" applyBorder="1" applyAlignment="1">
      <alignment horizontal="center" vertical="center" wrapText="1"/>
    </xf>
    <xf numFmtId="2" fontId="17" fillId="19" borderId="0" xfId="0" applyNumberFormat="1" applyFont="1" applyFill="1" applyBorder="1">
      <alignment vertical="center"/>
    </xf>
    <xf numFmtId="2" fontId="0" fillId="19" borderId="0" xfId="0" applyNumberFormat="1" applyFill="1" applyBorder="1">
      <alignment vertical="center"/>
    </xf>
    <xf numFmtId="0" fontId="16" fillId="19" borderId="0" xfId="0" applyNumberFormat="1" applyFont="1" applyFill="1" applyBorder="1" applyAlignment="1">
      <alignment horizontal="left" vertical="center"/>
    </xf>
    <xf numFmtId="0" fontId="0" fillId="19" borderId="0" xfId="0" applyNumberFormat="1" applyFill="1" applyBorder="1" applyAlignment="1">
      <alignment horizontal="center" vertical="center"/>
    </xf>
    <xf numFmtId="0" fontId="0" fillId="19" borderId="0" xfId="0" applyNumberFormat="1" applyFill="1" applyBorder="1">
      <alignment vertical="center"/>
    </xf>
    <xf numFmtId="2" fontId="0" fillId="19" borderId="0" xfId="0" applyNumberFormat="1" applyFill="1" applyBorder="1" applyAlignment="1">
      <alignment horizontal="right" vertical="center"/>
    </xf>
    <xf numFmtId="1" fontId="0" fillId="19" borderId="0" xfId="0" applyNumberFormat="1" applyFill="1" applyBorder="1" applyAlignment="1">
      <alignment horizontal="left" vertical="center"/>
    </xf>
    <xf numFmtId="1" fontId="42" fillId="19" borderId="0" xfId="0" applyNumberFormat="1" applyFont="1" applyFill="1" applyBorder="1" applyAlignment="1">
      <alignment horizontal="center" vertical="center" wrapText="1"/>
    </xf>
    <xf numFmtId="2" fontId="0" fillId="19" borderId="0" xfId="0" applyNumberFormat="1" applyFill="1" applyBorder="1" applyAlignment="1">
      <alignment horizontal="center" vertical="center"/>
    </xf>
    <xf numFmtId="2" fontId="0" fillId="14" borderId="0" xfId="0" applyNumberFormat="1" applyFill="1" applyBorder="1">
      <alignment vertical="center"/>
    </xf>
    <xf numFmtId="0" fontId="0" fillId="14" borderId="0" xfId="0" applyNumberFormat="1" applyFill="1" applyBorder="1">
      <alignment vertical="center"/>
    </xf>
    <xf numFmtId="0" fontId="0" fillId="19" borderId="0" xfId="0" applyFill="1" applyBorder="1">
      <alignment vertical="center"/>
    </xf>
    <xf numFmtId="2" fontId="54" fillId="19" borderId="0" xfId="0" applyNumberFormat="1" applyFont="1" applyFill="1" applyBorder="1" applyAlignment="1">
      <alignment vertical="top" wrapText="1"/>
    </xf>
    <xf numFmtId="2" fontId="17" fillId="19" borderId="0" xfId="0" applyNumberFormat="1" applyFont="1" applyFill="1" applyBorder="1" applyAlignment="1">
      <alignment horizontal="center" vertical="center"/>
    </xf>
    <xf numFmtId="2" fontId="54" fillId="19" borderId="0" xfId="0" applyNumberFormat="1" applyFont="1" applyFill="1" applyBorder="1" applyAlignment="1">
      <alignment vertical="top"/>
    </xf>
    <xf numFmtId="2" fontId="42" fillId="19" borderId="0" xfId="0" applyNumberFormat="1" applyFont="1" applyFill="1" applyBorder="1" applyAlignment="1">
      <alignment vertical="center" wrapText="1"/>
    </xf>
    <xf numFmtId="2" fontId="0" fillId="19" borderId="0" xfId="0" applyNumberFormat="1" applyFill="1" applyBorder="1" applyAlignment="1">
      <alignment vertical="top" wrapText="1"/>
    </xf>
    <xf numFmtId="2" fontId="16" fillId="19" borderId="0" xfId="0" applyNumberFormat="1" applyFont="1" applyFill="1" applyBorder="1" applyAlignment="1">
      <alignment horizontal="center" vertical="top" wrapText="1"/>
    </xf>
    <xf numFmtId="2" fontId="24" fillId="19" borderId="0" xfId="0" applyNumberFormat="1" applyFont="1" applyFill="1" applyBorder="1" applyAlignment="1">
      <alignment horizontal="center" vertical="center" wrapText="1"/>
    </xf>
    <xf numFmtId="2" fontId="16" fillId="19" borderId="0" xfId="0" applyNumberFormat="1" applyFont="1" applyFill="1" applyBorder="1" applyAlignment="1">
      <alignment vertical="top" wrapText="1"/>
    </xf>
    <xf numFmtId="170" fontId="42" fillId="19" borderId="9" xfId="0" applyNumberFormat="1" applyFont="1" applyFill="1" applyBorder="1" applyAlignment="1">
      <alignment horizontal="center" vertical="center" wrapText="1"/>
    </xf>
    <xf numFmtId="12" fontId="17" fillId="19" borderId="0" xfId="0" applyNumberFormat="1" applyFont="1" applyFill="1" applyBorder="1" applyAlignment="1">
      <alignment horizontal="left" vertical="center"/>
    </xf>
    <xf numFmtId="12" fontId="0" fillId="19" borderId="0" xfId="0" applyNumberFormat="1" applyFill="1" applyBorder="1" applyAlignment="1">
      <alignment horizontal="center" vertical="center"/>
    </xf>
    <xf numFmtId="12" fontId="0" fillId="19" borderId="0" xfId="0" applyNumberFormat="1" applyFill="1" applyBorder="1">
      <alignment vertical="center"/>
    </xf>
    <xf numFmtId="12" fontId="42" fillId="19" borderId="0" xfId="0" applyNumberFormat="1" applyFont="1" applyFill="1" applyBorder="1" applyAlignment="1">
      <alignment horizontal="center" vertical="center" wrapText="1"/>
    </xf>
    <xf numFmtId="0" fontId="42" fillId="19" borderId="0" xfId="0" applyNumberFormat="1" applyFont="1" applyFill="1" applyBorder="1" applyAlignment="1">
      <alignment horizontal="center" vertical="center" wrapText="1"/>
    </xf>
    <xf numFmtId="1" fontId="0" fillId="19" borderId="0" xfId="0" applyNumberFormat="1" applyFill="1" applyBorder="1">
      <alignment vertical="center"/>
    </xf>
    <xf numFmtId="2" fontId="55" fillId="19" borderId="0" xfId="0" applyNumberFormat="1" applyFont="1" applyFill="1" applyBorder="1" applyAlignment="1">
      <alignment horizontal="left" vertical="center"/>
    </xf>
    <xf numFmtId="1" fontId="0" fillId="19" borderId="0" xfId="0" applyNumberFormat="1" applyFill="1" applyBorder="1" applyAlignment="1">
      <alignment horizontal="center" vertical="center"/>
    </xf>
    <xf numFmtId="0" fontId="59" fillId="29" borderId="9" xfId="0" applyNumberFormat="1" applyFont="1" applyFill="1" applyBorder="1" applyAlignment="1">
      <alignment horizontal="center" vertical="center" wrapText="1"/>
    </xf>
    <xf numFmtId="1" fontId="42" fillId="19" borderId="4" xfId="0" applyNumberFormat="1" applyFont="1" applyFill="1" applyBorder="1" applyAlignment="1">
      <alignment vertical="center" wrapText="1"/>
    </xf>
    <xf numFmtId="1" fontId="42" fillId="19" borderId="0" xfId="0" applyNumberFormat="1" applyFont="1" applyFill="1" applyBorder="1" applyAlignment="1">
      <alignment vertical="center" wrapText="1"/>
    </xf>
    <xf numFmtId="12" fontId="42" fillId="29" borderId="9" xfId="0" applyNumberFormat="1" applyFont="1" applyFill="1" applyBorder="1" applyAlignment="1">
      <alignment horizontal="center" vertical="center" wrapText="1"/>
    </xf>
    <xf numFmtId="0" fontId="0" fillId="19" borderId="12" xfId="0" applyNumberFormat="1" applyFill="1" applyBorder="1">
      <alignment vertical="center"/>
    </xf>
    <xf numFmtId="2" fontId="42" fillId="30" borderId="7" xfId="0" applyNumberFormat="1" applyFont="1" applyFill="1" applyBorder="1" applyAlignment="1">
      <alignment horizontal="center" vertical="center" wrapText="1"/>
    </xf>
    <xf numFmtId="2" fontId="42" fillId="30" borderId="15" xfId="0" applyNumberFormat="1" applyFont="1" applyFill="1" applyBorder="1" applyAlignment="1">
      <alignment horizontal="center" vertical="center" wrapText="1"/>
    </xf>
    <xf numFmtId="2" fontId="0" fillId="0" borderId="0" xfId="0" applyNumberFormat="1" applyAlignment="1">
      <alignment horizontal="center" vertical="center"/>
    </xf>
    <xf numFmtId="1" fontId="24" fillId="19" borderId="0" xfId="0" applyNumberFormat="1" applyFont="1" applyFill="1" applyBorder="1" applyAlignment="1">
      <alignment horizontal="center" vertical="center"/>
    </xf>
    <xf numFmtId="0" fontId="0" fillId="14" borderId="0" xfId="0" applyNumberFormat="1" applyFill="1" applyBorder="1" applyAlignment="1">
      <alignment horizontal="center" vertical="center"/>
    </xf>
    <xf numFmtId="0" fontId="42" fillId="29" borderId="9" xfId="0" applyNumberFormat="1" applyFont="1" applyFill="1" applyBorder="1" applyAlignment="1">
      <alignment horizontal="center" vertical="center" wrapText="1"/>
    </xf>
    <xf numFmtId="0" fontId="0" fillId="19" borderId="20" xfId="0" applyNumberFormat="1" applyFill="1" applyBorder="1">
      <alignment vertical="center"/>
    </xf>
    <xf numFmtId="0" fontId="0" fillId="19" borderId="19" xfId="0" applyNumberFormat="1" applyFill="1" applyBorder="1">
      <alignment vertical="center"/>
    </xf>
    <xf numFmtId="170" fontId="42" fillId="19" borderId="0" xfId="0" applyNumberFormat="1" applyFont="1" applyFill="1" applyBorder="1" applyAlignment="1">
      <alignment horizontal="center" vertical="center" wrapText="1"/>
    </xf>
    <xf numFmtId="0" fontId="16" fillId="0" borderId="0" xfId="0" applyFont="1" applyAlignment="1">
      <alignment horizontal="right" vertical="center"/>
    </xf>
    <xf numFmtId="0" fontId="64" fillId="0" borderId="0" xfId="0" applyNumberFormat="1" applyFont="1" applyFill="1" applyAlignment="1">
      <alignment horizontal="left" vertical="top"/>
    </xf>
    <xf numFmtId="0" fontId="62" fillId="0" borderId="0" xfId="0" applyFont="1" applyAlignment="1">
      <alignment vertical="top"/>
    </xf>
    <xf numFmtId="0" fontId="64" fillId="0" borderId="0" xfId="0" applyNumberFormat="1" applyFont="1" applyFill="1" applyBorder="1" applyAlignment="1">
      <alignment horizontal="left" vertical="top"/>
    </xf>
    <xf numFmtId="0" fontId="62" fillId="0" borderId="0" xfId="0" applyFont="1" applyAlignment="1">
      <alignment horizontal="left" vertical="top"/>
    </xf>
    <xf numFmtId="0" fontId="66" fillId="0" borderId="0" xfId="0" applyFont="1" applyAlignment="1">
      <alignment horizontal="left" vertical="top"/>
    </xf>
    <xf numFmtId="0" fontId="62" fillId="0" borderId="0" xfId="0" applyFont="1" applyBorder="1" applyAlignment="1">
      <alignment horizontal="left" vertical="top"/>
    </xf>
    <xf numFmtId="0" fontId="66" fillId="0" borderId="1" xfId="0" applyFont="1" applyBorder="1" applyAlignment="1">
      <alignment horizontal="left" vertical="top"/>
    </xf>
    <xf numFmtId="0" fontId="64" fillId="0" borderId="0" xfId="0" applyNumberFormat="1" applyFont="1" applyFill="1" applyBorder="1" applyAlignment="1">
      <alignment vertical="top" wrapText="1"/>
    </xf>
    <xf numFmtId="0" fontId="62" fillId="0" borderId="0" xfId="0" applyFont="1" applyAlignment="1">
      <alignment vertical="top" wrapText="1"/>
    </xf>
    <xf numFmtId="0" fontId="68"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40" fillId="0" borderId="6" xfId="0" applyFont="1" applyBorder="1" applyAlignment="1">
      <alignment horizontal="left" vertical="top"/>
    </xf>
    <xf numFmtId="0" fontId="40" fillId="0" borderId="11" xfId="0" applyFont="1" applyBorder="1" applyAlignment="1">
      <alignment horizontal="left" vertical="top"/>
    </xf>
    <xf numFmtId="0" fontId="62" fillId="0" borderId="0" xfId="0" applyFont="1" applyBorder="1" applyAlignment="1">
      <alignment vertical="top" wrapText="1"/>
    </xf>
    <xf numFmtId="0" fontId="69" fillId="0" borderId="0" xfId="0" applyNumberFormat="1" applyFont="1" applyFill="1" applyBorder="1" applyAlignment="1">
      <alignment horizontal="left" vertical="top"/>
    </xf>
    <xf numFmtId="0" fontId="63" fillId="0" borderId="0" xfId="0" applyFont="1" applyAlignment="1">
      <alignment horizontal="left" vertical="top"/>
    </xf>
    <xf numFmtId="0" fontId="63" fillId="0" borderId="0" xfId="0" applyFont="1" applyAlignment="1">
      <alignment vertical="top"/>
    </xf>
    <xf numFmtId="0" fontId="62" fillId="0" borderId="0" xfId="0" applyFont="1" applyBorder="1" applyAlignment="1">
      <alignment horizontal="left" vertical="top"/>
    </xf>
    <xf numFmtId="0" fontId="66" fillId="0" borderId="0" xfId="0" applyFont="1" applyBorder="1" applyAlignment="1">
      <alignment horizontal="left" vertical="top"/>
    </xf>
    <xf numFmtId="0" fontId="20" fillId="0" borderId="0" xfId="0" applyNumberFormat="1" applyFont="1" applyAlignment="1">
      <alignment horizontal="center" vertical="center"/>
    </xf>
    <xf numFmtId="0" fontId="18" fillId="0" borderId="0" xfId="0" applyFont="1" applyBorder="1" applyAlignment="1">
      <alignment vertical="center" wrapText="1"/>
    </xf>
    <xf numFmtId="0" fontId="62" fillId="0" borderId="0" xfId="0" applyFont="1" applyBorder="1" applyAlignment="1">
      <alignment horizontal="left" vertical="top"/>
    </xf>
    <xf numFmtId="0" fontId="81" fillId="0" borderId="0" xfId="0" applyFont="1" applyAlignment="1">
      <alignment horizontal="left" vertical="top" wrapText="1"/>
    </xf>
    <xf numFmtId="0" fontId="81" fillId="0" borderId="0" xfId="0" applyFont="1" applyAlignment="1">
      <alignment vertical="top" wrapText="1"/>
    </xf>
    <xf numFmtId="0" fontId="62" fillId="28" borderId="9" xfId="0" applyFont="1" applyFill="1" applyBorder="1" applyAlignment="1">
      <alignment horizontal="center" vertical="center"/>
    </xf>
    <xf numFmtId="0" fontId="62" fillId="0" borderId="73" xfId="0" applyFont="1" applyBorder="1" applyAlignment="1">
      <alignment horizontal="left" vertical="top"/>
    </xf>
    <xf numFmtId="0" fontId="62" fillId="0" borderId="75" xfId="0" applyFont="1" applyBorder="1" applyAlignment="1">
      <alignment horizontal="left" vertical="top"/>
    </xf>
    <xf numFmtId="0" fontId="62" fillId="0" borderId="76" xfId="0" applyFont="1" applyBorder="1" applyAlignment="1">
      <alignment horizontal="left" vertical="top"/>
    </xf>
    <xf numFmtId="0" fontId="62" fillId="0" borderId="80" xfId="0" applyFont="1" applyBorder="1" applyAlignment="1">
      <alignment horizontal="left" vertical="top"/>
    </xf>
    <xf numFmtId="0" fontId="62" fillId="38" borderId="9" xfId="0" applyFont="1" applyFill="1" applyBorder="1" applyAlignment="1">
      <alignment horizontal="center" vertical="center"/>
    </xf>
    <xf numFmtId="0" fontId="18" fillId="0" borderId="0" xfId="0" applyFont="1" applyAlignment="1">
      <alignment vertical="top" wrapText="1"/>
    </xf>
    <xf numFmtId="0" fontId="62" fillId="0" borderId="0" xfId="0" applyFont="1" applyAlignment="1">
      <alignment wrapText="1"/>
    </xf>
    <xf numFmtId="0" fontId="52" fillId="0" borderId="0" xfId="0" applyFont="1" applyAlignment="1">
      <alignment vertical="top" wrapText="1"/>
    </xf>
    <xf numFmtId="0" fontId="0" fillId="0" borderId="0" xfId="0" applyBorder="1">
      <alignment vertical="center"/>
    </xf>
    <xf numFmtId="0" fontId="0" fillId="0" borderId="0" xfId="0">
      <alignment vertical="center"/>
    </xf>
    <xf numFmtId="178" fontId="3" fillId="0" borderId="0" xfId="0" applyNumberFormat="1" applyFont="1" applyFill="1" applyBorder="1" applyAlignment="1">
      <alignment wrapText="1"/>
    </xf>
    <xf numFmtId="168" fontId="3" fillId="0" borderId="6" xfId="0" applyNumberFormat="1" applyFont="1" applyFill="1" applyBorder="1" applyAlignment="1">
      <alignment horizontal="righ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48" fillId="9" borderId="31" xfId="0" applyFont="1" applyFill="1" applyBorder="1" applyAlignment="1">
      <alignment horizontal="right" vertical="center"/>
    </xf>
    <xf numFmtId="0" fontId="0" fillId="0" borderId="23" xfId="0" applyBorder="1">
      <alignment vertical="center"/>
    </xf>
    <xf numFmtId="167" fontId="0" fillId="0" borderId="24" xfId="0" applyNumberFormat="1" applyBorder="1">
      <alignment vertical="center"/>
    </xf>
    <xf numFmtId="0" fontId="0" fillId="0" borderId="13" xfId="0" applyBorder="1">
      <alignment vertical="center"/>
    </xf>
    <xf numFmtId="0" fontId="0" fillId="0" borderId="14" xfId="0" applyBorder="1">
      <alignment vertical="center"/>
    </xf>
    <xf numFmtId="0" fontId="90" fillId="0" borderId="55" xfId="0" applyFont="1" applyBorder="1">
      <alignment vertical="center"/>
    </xf>
    <xf numFmtId="167" fontId="90" fillId="0" borderId="56" xfId="0" applyNumberFormat="1" applyFont="1" applyBorder="1">
      <alignment vertical="center"/>
    </xf>
    <xf numFmtId="0" fontId="90" fillId="0" borderId="27" xfId="0" applyFont="1" applyBorder="1">
      <alignment vertical="center"/>
    </xf>
    <xf numFmtId="167" fontId="90" fillId="0" borderId="28" xfId="0" applyNumberFormat="1" applyFont="1" applyBorder="1">
      <alignment vertical="center"/>
    </xf>
    <xf numFmtId="167" fontId="17" fillId="0" borderId="24" xfId="0" applyNumberFormat="1" applyFont="1" applyBorder="1">
      <alignment vertical="center"/>
    </xf>
    <xf numFmtId="0" fontId="0" fillId="0" borderId="84" xfId="0" applyBorder="1">
      <alignment vertical="center"/>
    </xf>
    <xf numFmtId="0" fontId="16" fillId="0" borderId="49" xfId="0" applyFont="1" applyBorder="1">
      <alignment vertical="center"/>
    </xf>
    <xf numFmtId="0" fontId="0" fillId="0" borderId="0" xfId="0" applyBorder="1">
      <alignment vertical="center"/>
    </xf>
    <xf numFmtId="0" fontId="62" fillId="0" borderId="0" xfId="0" applyFont="1" applyAlignment="1">
      <alignment horizontal="left" vertical="top" wrapText="1"/>
    </xf>
    <xf numFmtId="0" fontId="18" fillId="0" borderId="0" xfId="0" applyFont="1" applyAlignment="1">
      <alignment vertical="center" wrapText="1"/>
    </xf>
    <xf numFmtId="0" fontId="18" fillId="0" borderId="0" xfId="0" applyFont="1" applyAlignment="1">
      <alignment horizontal="left" vertical="top" wrapText="1"/>
    </xf>
    <xf numFmtId="0" fontId="16" fillId="0" borderId="0" xfId="0" applyFont="1" applyBorder="1" applyAlignment="1">
      <alignment vertical="center"/>
    </xf>
    <xf numFmtId="0" fontId="0" fillId="0" borderId="0" xfId="0" applyBorder="1" applyAlignment="1">
      <alignment vertical="center"/>
    </xf>
    <xf numFmtId="2" fontId="42" fillId="29" borderId="9" xfId="0" applyNumberFormat="1" applyFont="1" applyFill="1" applyBorder="1" applyAlignment="1">
      <alignment horizontal="center" vertical="center" wrapText="1"/>
    </xf>
    <xf numFmtId="2" fontId="0" fillId="19" borderId="12" xfId="0" applyNumberFormat="1" applyFill="1" applyBorder="1">
      <alignment vertical="center"/>
    </xf>
    <xf numFmtId="2" fontId="16" fillId="19" borderId="0" xfId="0" applyNumberFormat="1" applyFont="1" applyFill="1" applyBorder="1" applyAlignment="1">
      <alignment horizontal="center" vertical="center" wrapText="1"/>
    </xf>
    <xf numFmtId="2" fontId="42" fillId="19" borderId="7" xfId="0" applyNumberFormat="1" applyFont="1" applyFill="1" applyBorder="1" applyAlignment="1">
      <alignment vertical="center" wrapText="1"/>
    </xf>
    <xf numFmtId="2" fontId="42" fillId="19" borderId="15" xfId="0" applyNumberFormat="1" applyFont="1" applyFill="1" applyBorder="1" applyAlignment="1">
      <alignment vertical="center" wrapText="1"/>
    </xf>
    <xf numFmtId="170" fontId="0" fillId="19" borderId="0" xfId="0" applyNumberFormat="1" applyFill="1" applyBorder="1">
      <alignment vertical="center"/>
    </xf>
    <xf numFmtId="170" fontId="0" fillId="19" borderId="0" xfId="0" applyNumberFormat="1" applyFill="1" applyBorder="1" applyAlignment="1">
      <alignment horizontal="center" vertical="center"/>
    </xf>
    <xf numFmtId="170" fontId="24" fillId="19" borderId="0" xfId="0" applyNumberFormat="1" applyFont="1" applyFill="1" applyBorder="1" applyAlignment="1">
      <alignment horizontal="center" vertical="center"/>
    </xf>
    <xf numFmtId="170" fontId="42" fillId="29" borderId="9" xfId="0" applyNumberFormat="1" applyFont="1" applyFill="1" applyBorder="1" applyAlignment="1">
      <alignment horizontal="center" vertical="center" wrapText="1"/>
    </xf>
    <xf numFmtId="0" fontId="16" fillId="19" borderId="0" xfId="0" applyNumberFormat="1" applyFont="1" applyFill="1" applyBorder="1">
      <alignment vertical="center"/>
    </xf>
    <xf numFmtId="1" fontId="93" fillId="19" borderId="0" xfId="0" applyNumberFormat="1" applyFont="1" applyFill="1" applyBorder="1" applyAlignment="1">
      <alignment horizontal="left" vertical="top"/>
    </xf>
    <xf numFmtId="0" fontId="0" fillId="0" borderId="0" xfId="0" applyAlignment="1">
      <alignment horizontal="left" vertical="top"/>
    </xf>
    <xf numFmtId="0" fontId="97" fillId="0" borderId="0" xfId="0" applyFont="1" applyAlignment="1">
      <alignment horizontal="left" vertical="top"/>
    </xf>
    <xf numFmtId="0" fontId="0" fillId="0" borderId="0" xfId="0" applyAlignment="1" applyProtection="1">
      <alignment horizontal="left" vertical="top"/>
    </xf>
    <xf numFmtId="2" fontId="98" fillId="0" borderId="0" xfId="0" applyNumberFormat="1" applyFont="1" applyAlignment="1" applyProtection="1">
      <alignment horizontal="left" vertical="top"/>
    </xf>
    <xf numFmtId="0" fontId="99" fillId="0" borderId="0" xfId="0" applyFont="1" applyAlignment="1" applyProtection="1">
      <alignment horizontal="left" vertical="top"/>
    </xf>
    <xf numFmtId="0" fontId="99" fillId="0" borderId="0" xfId="0" applyFont="1" applyAlignment="1" applyProtection="1">
      <alignment vertical="top" wrapText="1"/>
    </xf>
    <xf numFmtId="2" fontId="98" fillId="0" borderId="0" xfId="0" applyNumberFormat="1" applyFont="1" applyAlignment="1" applyProtection="1">
      <alignment horizontal="left" vertical="top" wrapText="1"/>
    </xf>
    <xf numFmtId="0" fontId="99" fillId="0" borderId="0" xfId="0" applyFont="1" applyAlignment="1" applyProtection="1">
      <alignment vertical="top"/>
    </xf>
    <xf numFmtId="0" fontId="100" fillId="0" borderId="0" xfId="0" applyFont="1" applyAlignment="1" applyProtection="1">
      <alignment horizontal="left" vertical="top"/>
    </xf>
    <xf numFmtId="0" fontId="99" fillId="0" borderId="0" xfId="0" applyFont="1" applyAlignment="1" applyProtection="1">
      <alignment horizontal="left" vertical="top" wrapText="1"/>
    </xf>
    <xf numFmtId="0" fontId="102" fillId="0" borderId="0" xfId="0" applyFont="1" applyAlignment="1" applyProtection="1">
      <alignment horizontal="left" vertical="top"/>
    </xf>
    <xf numFmtId="2" fontId="102" fillId="0" borderId="61" xfId="0" applyNumberFormat="1" applyFont="1" applyBorder="1" applyAlignment="1" applyProtection="1">
      <alignment horizontal="left" vertical="top"/>
    </xf>
    <xf numFmtId="0" fontId="102" fillId="0" borderId="61" xfId="0" applyFont="1" applyBorder="1" applyAlignment="1" applyProtection="1">
      <alignment horizontal="left" vertical="top"/>
    </xf>
    <xf numFmtId="2" fontId="102" fillId="0" borderId="0" xfId="0" applyNumberFormat="1" applyFont="1" applyAlignment="1" applyProtection="1">
      <alignment horizontal="left" vertical="top"/>
    </xf>
    <xf numFmtId="0" fontId="103" fillId="0" borderId="0" xfId="0" applyFont="1" applyAlignment="1" applyProtection="1">
      <alignment horizontal="left" vertical="top"/>
    </xf>
    <xf numFmtId="2" fontId="102" fillId="0" borderId="0" xfId="0" applyNumberFormat="1" applyFont="1" applyAlignment="1">
      <alignment horizontal="left" vertical="top"/>
    </xf>
    <xf numFmtId="0" fontId="100" fillId="0" borderId="0" xfId="0" applyFont="1" applyAlignment="1">
      <alignment horizontal="left" vertical="top"/>
    </xf>
    <xf numFmtId="2" fontId="98" fillId="0" borderId="86" xfId="0" applyNumberFormat="1" applyFont="1" applyBorder="1" applyAlignment="1" applyProtection="1">
      <alignment horizontal="left" vertical="top"/>
    </xf>
    <xf numFmtId="0" fontId="0" fillId="0" borderId="87" xfId="0" applyBorder="1" applyAlignment="1" applyProtection="1">
      <alignment horizontal="left" vertical="top"/>
    </xf>
    <xf numFmtId="0" fontId="99" fillId="0" borderId="88" xfId="0" applyFont="1" applyBorder="1" applyAlignment="1" applyProtection="1">
      <alignment horizontal="left" vertical="top"/>
    </xf>
    <xf numFmtId="2" fontId="98" fillId="0" borderId="89" xfId="0" applyNumberFormat="1" applyFont="1" applyBorder="1" applyAlignment="1" applyProtection="1">
      <alignment horizontal="left" vertical="top"/>
    </xf>
    <xf numFmtId="0" fontId="0" fillId="0" borderId="90" xfId="0" applyBorder="1" applyAlignment="1" applyProtection="1">
      <alignment horizontal="left" vertical="top"/>
    </xf>
    <xf numFmtId="0" fontId="99" fillId="0" borderId="91" xfId="0" applyFont="1" applyBorder="1" applyAlignment="1" applyProtection="1">
      <alignment horizontal="left" vertical="top"/>
    </xf>
    <xf numFmtId="0" fontId="104" fillId="0" borderId="0" xfId="0" applyFont="1" applyAlignment="1" applyProtection="1">
      <alignment horizontal="left" vertical="top"/>
    </xf>
    <xf numFmtId="2" fontId="98" fillId="0" borderId="92" xfId="0" applyNumberFormat="1" applyFont="1" applyBorder="1" applyAlignment="1" applyProtection="1">
      <alignment horizontal="left" vertical="top"/>
    </xf>
    <xf numFmtId="0" fontId="0" fillId="0" borderId="93" xfId="0" applyBorder="1" applyAlignment="1" applyProtection="1">
      <alignment horizontal="left" vertical="top"/>
    </xf>
    <xf numFmtId="0" fontId="99" fillId="0" borderId="94" xfId="0" applyFont="1" applyBorder="1" applyAlignment="1" applyProtection="1">
      <alignment horizontal="left" vertical="top"/>
    </xf>
    <xf numFmtId="0" fontId="99" fillId="0" borderId="0" xfId="0" applyFont="1" applyAlignment="1">
      <alignment vertical="top" wrapText="1"/>
    </xf>
    <xf numFmtId="0" fontId="105" fillId="0" borderId="0" xfId="0" applyFont="1" applyAlignment="1" applyProtection="1">
      <alignment horizontal="left" vertical="top"/>
    </xf>
    <xf numFmtId="2" fontId="106" fillId="0" borderId="32" xfId="0" applyNumberFormat="1" applyFont="1" applyBorder="1" applyAlignment="1" applyProtection="1">
      <alignment horizontal="left" vertical="top"/>
    </xf>
    <xf numFmtId="0" fontId="97" fillId="0" borderId="16" xfId="0" applyFont="1" applyBorder="1" applyAlignment="1" applyProtection="1">
      <alignment horizontal="left" vertical="top"/>
    </xf>
    <xf numFmtId="0" fontId="107" fillId="0" borderId="95" xfId="0" applyFont="1" applyBorder="1" applyAlignment="1" applyProtection="1">
      <alignment horizontal="left" vertical="top"/>
    </xf>
    <xf numFmtId="0" fontId="107" fillId="0" borderId="87" xfId="0" applyFont="1" applyBorder="1" applyAlignment="1" applyProtection="1">
      <alignment horizontal="left" vertical="top"/>
    </xf>
    <xf numFmtId="0" fontId="107" fillId="0" borderId="88"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1" xfId="0" applyFont="1" applyBorder="1" applyAlignment="1" applyProtection="1">
      <alignment horizontal="left" vertical="top"/>
    </xf>
    <xf numFmtId="0" fontId="107" fillId="0" borderId="0" xfId="0" applyFont="1" applyAlignment="1" applyProtection="1"/>
    <xf numFmtId="0" fontId="97" fillId="0" borderId="18" xfId="0" applyFont="1" applyBorder="1" applyAlignment="1" applyProtection="1">
      <alignment horizontal="left" vertical="top" wrapText="1"/>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99" fillId="0" borderId="0" xfId="0" applyFont="1" applyAlignment="1" applyProtection="1">
      <alignment vertical="center" wrapText="1"/>
    </xf>
    <xf numFmtId="0" fontId="107" fillId="0" borderId="28" xfId="0" applyFont="1" applyBorder="1" applyAlignment="1" applyProtection="1">
      <alignment vertical="center"/>
    </xf>
    <xf numFmtId="2" fontId="107" fillId="0" borderId="61" xfId="0" applyNumberFormat="1" applyFont="1" applyBorder="1" applyAlignment="1" applyProtection="1">
      <alignment vertical="center"/>
    </xf>
    <xf numFmtId="0" fontId="97" fillId="0" borderId="18" xfId="0" applyFont="1" applyBorder="1" applyAlignment="1" applyProtection="1">
      <alignment vertical="center"/>
    </xf>
    <xf numFmtId="0" fontId="98" fillId="0" borderId="0" xfId="0" applyFont="1" applyAlignment="1" applyProtection="1">
      <alignment vertical="center" wrapText="1"/>
    </xf>
    <xf numFmtId="2" fontId="98" fillId="0" borderId="0" xfId="0" applyNumberFormat="1" applyFont="1" applyAlignment="1" applyProtection="1">
      <alignment vertical="center"/>
    </xf>
    <xf numFmtId="0" fontId="99" fillId="0" borderId="0" xfId="0" applyFont="1" applyAlignment="1" applyProtection="1">
      <alignment vertical="center"/>
    </xf>
    <xf numFmtId="0" fontId="99" fillId="0" borderId="0" xfId="0" applyFont="1" applyAlignment="1" applyProtection="1"/>
    <xf numFmtId="0" fontId="106" fillId="0" borderId="0" xfId="0" applyFont="1" applyAlignment="1" applyProtection="1">
      <alignment horizontal="left" vertical="top"/>
    </xf>
    <xf numFmtId="0" fontId="107" fillId="0" borderId="61" xfId="0" applyFont="1" applyBorder="1" applyAlignment="1" applyProtection="1">
      <alignment horizontal="left" vertical="top" wrapText="1"/>
    </xf>
    <xf numFmtId="0" fontId="109" fillId="0" borderId="0" xfId="0" applyFont="1" applyAlignment="1" applyProtection="1">
      <alignment vertical="center"/>
    </xf>
    <xf numFmtId="0" fontId="106" fillId="0" borderId="0" xfId="0" applyFont="1" applyAlignment="1" applyProtection="1">
      <alignment horizontal="left" vertical="top" wrapText="1"/>
    </xf>
    <xf numFmtId="0" fontId="110" fillId="0" borderId="0" xfId="0" applyFont="1" applyAlignment="1" applyProtection="1">
      <alignment horizontal="left" vertical="top"/>
    </xf>
    <xf numFmtId="0" fontId="107" fillId="0" borderId="61" xfId="0" applyFont="1" applyBorder="1" applyAlignment="1" applyProtection="1">
      <alignment vertical="center"/>
    </xf>
    <xf numFmtId="2" fontId="98" fillId="0" borderId="0" xfId="0" applyNumberFormat="1" applyFont="1" applyAlignment="1" applyProtection="1">
      <alignment horizontal="left" vertical="center"/>
    </xf>
    <xf numFmtId="0" fontId="107" fillId="0" borderId="0" xfId="0" applyFont="1" applyAlignment="1" applyProtection="1">
      <alignment horizontal="left" vertical="top"/>
    </xf>
    <xf numFmtId="0" fontId="113" fillId="0" borderId="0" xfId="0" applyFont="1" applyAlignment="1" applyProtection="1">
      <alignment horizontal="left" vertical="top"/>
    </xf>
    <xf numFmtId="0" fontId="37" fillId="0" borderId="0" xfId="0" applyFont="1" applyAlignment="1" applyProtection="1">
      <alignment horizontal="left" vertical="top"/>
    </xf>
    <xf numFmtId="0" fontId="114" fillId="0" borderId="98" xfId="0" applyFont="1" applyBorder="1" applyAlignment="1" applyProtection="1">
      <alignment horizontal="left" vertical="top"/>
    </xf>
    <xf numFmtId="2" fontId="105" fillId="0" borderId="99" xfId="0" applyNumberFormat="1" applyFont="1" applyBorder="1" applyAlignment="1" applyProtection="1">
      <alignment horizontal="left" vertical="top"/>
    </xf>
    <xf numFmtId="0" fontId="105" fillId="0" borderId="16" xfId="0" applyFont="1" applyBorder="1" applyAlignment="1" applyProtection="1">
      <alignment horizontal="left" vertical="top"/>
    </xf>
    <xf numFmtId="0" fontId="94" fillId="39" borderId="102" xfId="11" applyBorder="1" applyAlignment="1" applyProtection="1">
      <alignment horizontal="center" vertical="center"/>
    </xf>
    <xf numFmtId="0" fontId="95" fillId="40" borderId="105" xfId="12" applyBorder="1" applyAlignment="1" applyProtection="1">
      <alignment horizontal="center" vertical="center"/>
    </xf>
    <xf numFmtId="0" fontId="115" fillId="0" borderId="18" xfId="13" applyFont="1" applyBorder="1" applyAlignment="1" applyProtection="1">
      <alignment horizontal="center" vertical="center"/>
    </xf>
    <xf numFmtId="0" fontId="105" fillId="0" borderId="9" xfId="0" applyFont="1" applyBorder="1" applyAlignment="1">
      <alignment horizontal="center" vertical="center"/>
    </xf>
    <xf numFmtId="0" fontId="107" fillId="0" borderId="9" xfId="0" applyFont="1" applyBorder="1" applyAlignment="1">
      <alignment horizontal="center" vertical="center"/>
    </xf>
    <xf numFmtId="0" fontId="97" fillId="0" borderId="9" xfId="0" quotePrefix="1" applyNumberFormat="1" applyFont="1" applyBorder="1" applyAlignment="1">
      <alignment horizontal="center" vertical="center"/>
    </xf>
    <xf numFmtId="0" fontId="97" fillId="0" borderId="9" xfId="0" applyFont="1" applyBorder="1" applyAlignment="1">
      <alignment horizontal="center" vertical="center"/>
    </xf>
    <xf numFmtId="0" fontId="38" fillId="0" borderId="0" xfId="0" applyFont="1" applyAlignment="1">
      <alignment vertical="center"/>
    </xf>
    <xf numFmtId="0" fontId="38" fillId="0" borderId="0" xfId="0" applyFont="1" applyBorder="1" applyAlignment="1">
      <alignment vertical="center"/>
    </xf>
    <xf numFmtId="0" fontId="38" fillId="0" borderId="0" xfId="0" applyFont="1" applyFill="1" applyBorder="1" applyAlignment="1">
      <alignment vertical="center"/>
    </xf>
    <xf numFmtId="0" fontId="41" fillId="0" borderId="0" xfId="0" applyFont="1" applyBorder="1" applyAlignment="1">
      <alignment horizontal="left" vertical="top"/>
    </xf>
    <xf numFmtId="2" fontId="97" fillId="0" borderId="0" xfId="0" applyNumberFormat="1" applyFont="1" applyAlignment="1">
      <alignment horizontal="left" vertical="top"/>
    </xf>
    <xf numFmtId="0" fontId="116" fillId="0" borderId="0" xfId="0" applyFont="1" applyAlignment="1">
      <alignment horizontal="left" vertical="top"/>
    </xf>
    <xf numFmtId="0" fontId="41" fillId="0" borderId="0" xfId="0" applyFont="1" applyAlignment="1">
      <alignment horizontal="left" vertical="top"/>
    </xf>
    <xf numFmtId="2" fontId="97" fillId="0" borderId="116" xfId="0" applyNumberFormat="1" applyFont="1" applyBorder="1" applyAlignment="1" applyProtection="1">
      <alignment horizontal="left" vertical="top"/>
    </xf>
    <xf numFmtId="0" fontId="97" fillId="0" borderId="116" xfId="0" applyFont="1" applyBorder="1" applyAlignment="1" applyProtection="1">
      <alignment horizontal="left" vertical="top"/>
    </xf>
    <xf numFmtId="0" fontId="97" fillId="0" borderId="56" xfId="0" applyFont="1" applyBorder="1" applyAlignment="1" applyProtection="1">
      <alignment horizontal="left" vertical="top"/>
    </xf>
    <xf numFmtId="0" fontId="41" fillId="0" borderId="23" xfId="0" applyNumberFormat="1" applyFont="1" applyFill="1" applyBorder="1" applyAlignment="1" applyProtection="1">
      <alignment horizontal="left" vertical="top"/>
    </xf>
    <xf numFmtId="2" fontId="41" fillId="0" borderId="0" xfId="0" applyNumberFormat="1" applyFont="1" applyFill="1" applyBorder="1" applyAlignment="1" applyProtection="1">
      <alignment horizontal="left" vertical="top"/>
    </xf>
    <xf numFmtId="0" fontId="97" fillId="0" borderId="0" xfId="0" applyFont="1" applyBorder="1" applyAlignment="1" applyProtection="1">
      <alignment horizontal="left" vertical="top"/>
    </xf>
    <xf numFmtId="0" fontId="97" fillId="0" borderId="24" xfId="0" applyFont="1" applyBorder="1" applyAlignment="1" applyProtection="1">
      <alignment horizontal="left" vertical="top"/>
    </xf>
    <xf numFmtId="2" fontId="41" fillId="0" borderId="0" xfId="0" applyNumberFormat="1" applyFont="1" applyBorder="1" applyAlignment="1" applyProtection="1">
      <alignment horizontal="left" vertical="top"/>
    </xf>
    <xf numFmtId="0" fontId="41" fillId="0" borderId="23" xfId="0" applyFont="1" applyBorder="1" applyAlignment="1" applyProtection="1">
      <alignment horizontal="left" vertical="top"/>
    </xf>
    <xf numFmtId="2" fontId="97" fillId="0" borderId="0" xfId="0" applyNumberFormat="1" applyFont="1" applyBorder="1" applyAlignment="1" applyProtection="1">
      <alignment horizontal="left" vertical="top"/>
    </xf>
    <xf numFmtId="0" fontId="41" fillId="0" borderId="0" xfId="0" applyFont="1" applyBorder="1" applyAlignment="1" applyProtection="1">
      <alignment horizontal="left" vertical="top"/>
    </xf>
    <xf numFmtId="2" fontId="0" fillId="0" borderId="0" xfId="0" applyNumberFormat="1" applyBorder="1" applyAlignment="1" applyProtection="1">
      <alignment horizontal="left" vertical="top"/>
    </xf>
    <xf numFmtId="0" fontId="0" fillId="0" borderId="24" xfId="0" applyBorder="1" applyAlignment="1" applyProtection="1">
      <alignment horizontal="left" vertical="top"/>
    </xf>
    <xf numFmtId="0" fontId="118" fillId="0" borderId="24" xfId="0" applyFont="1" applyBorder="1" applyAlignment="1" applyProtection="1">
      <alignment horizontal="left" vertical="top" wrapText="1"/>
    </xf>
    <xf numFmtId="0" fontId="41" fillId="0" borderId="27" xfId="0" applyFont="1" applyBorder="1" applyAlignment="1" applyProtection="1">
      <alignment horizontal="left" vertical="top"/>
    </xf>
    <xf numFmtId="2" fontId="97" fillId="0" borderId="61" xfId="0" applyNumberFormat="1" applyFont="1" applyBorder="1" applyAlignment="1" applyProtection="1">
      <alignment horizontal="left" vertical="top"/>
    </xf>
    <xf numFmtId="0" fontId="97" fillId="0" borderId="61" xfId="0" applyFont="1" applyBorder="1" applyAlignment="1" applyProtection="1">
      <alignment horizontal="left" vertical="top"/>
    </xf>
    <xf numFmtId="0" fontId="97" fillId="0" borderId="28" xfId="0" applyFont="1" applyBorder="1" applyAlignment="1" applyProtection="1">
      <alignment horizontal="left" vertical="top"/>
    </xf>
    <xf numFmtId="2" fontId="96" fillId="0" borderId="110" xfId="13" applyNumberFormat="1" applyFill="1" applyBorder="1" applyAlignment="1" applyProtection="1">
      <alignment horizontal="left" vertical="top" wrapText="1"/>
      <protection locked="0"/>
    </xf>
    <xf numFmtId="2" fontId="96" fillId="0" borderId="111" xfId="13" applyNumberFormat="1" applyFill="1" applyBorder="1" applyAlignment="1" applyProtection="1">
      <alignment horizontal="left" vertical="top" wrapText="1"/>
      <protection locked="0"/>
    </xf>
    <xf numFmtId="2" fontId="96" fillId="0" borderId="108" xfId="13" applyNumberFormat="1" applyFill="1" applyBorder="1" applyAlignment="1" applyProtection="1">
      <alignment horizontal="left" vertical="top" wrapText="1"/>
      <protection locked="0"/>
    </xf>
    <xf numFmtId="2" fontId="96" fillId="0" borderId="101" xfId="13" applyNumberFormat="1" applyFill="1" applyBorder="1" applyAlignment="1" applyProtection="1">
      <alignment horizontal="left" vertical="top"/>
      <protection locked="0"/>
    </xf>
    <xf numFmtId="2" fontId="96" fillId="0" borderId="104" xfId="13" applyNumberFormat="1" applyFill="1" applyBorder="1" applyAlignment="1" applyProtection="1">
      <alignment horizontal="left" vertical="top"/>
      <protection locked="0"/>
    </xf>
    <xf numFmtId="2" fontId="96" fillId="0" borderId="113" xfId="13" applyNumberFormat="1" applyFill="1" applyBorder="1" applyAlignment="1" applyProtection="1">
      <alignment horizontal="left" vertical="top"/>
      <protection locked="0"/>
    </xf>
    <xf numFmtId="0" fontId="100" fillId="0" borderId="0" xfId="0" quotePrefix="1" applyFont="1" applyAlignment="1">
      <alignment horizontal="left" vertical="top"/>
    </xf>
    <xf numFmtId="0" fontId="41" fillId="0" borderId="55" xfId="0" applyFont="1" applyBorder="1" applyAlignment="1" applyProtection="1">
      <alignment horizontal="left" vertical="top"/>
    </xf>
    <xf numFmtId="0" fontId="16" fillId="0" borderId="23" xfId="0" applyFont="1" applyBorder="1" applyAlignment="1" applyProtection="1">
      <alignment horizontal="left" vertical="top"/>
    </xf>
    <xf numFmtId="0" fontId="97" fillId="0" borderId="23" xfId="0" applyFont="1" applyBorder="1" applyAlignment="1" applyProtection="1">
      <alignment horizontal="left" vertical="top"/>
    </xf>
    <xf numFmtId="0" fontId="16" fillId="0" borderId="23" xfId="0" applyFont="1" applyBorder="1" applyAlignment="1" applyProtection="1"/>
    <xf numFmtId="2" fontId="106" fillId="0" borderId="28" xfId="0" applyNumberFormat="1" applyFont="1" applyBorder="1" applyAlignment="1" applyProtection="1">
      <alignment horizontal="left" vertical="top" wrapText="1"/>
    </xf>
    <xf numFmtId="0" fontId="119" fillId="0" borderId="0" xfId="0" applyFont="1" applyAlignment="1" applyProtection="1">
      <alignment horizontal="left" vertical="top"/>
    </xf>
    <xf numFmtId="0" fontId="19" fillId="0" borderId="0" xfId="0" applyFont="1" applyAlignment="1" applyProtection="1">
      <alignment horizontal="left" vertical="top"/>
    </xf>
    <xf numFmtId="0" fontId="19" fillId="0" borderId="0" xfId="0" applyFont="1" applyAlignment="1">
      <alignment horizontal="left" vertical="top"/>
    </xf>
    <xf numFmtId="0" fontId="1" fillId="0" borderId="0" xfId="14"/>
    <xf numFmtId="0" fontId="1" fillId="0" borderId="17" xfId="14" applyBorder="1"/>
    <xf numFmtId="0" fontId="1" fillId="0" borderId="18"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54" xfId="14" applyBorder="1"/>
    <xf numFmtId="0" fontId="1" fillId="0" borderId="39" xfId="14" applyBorder="1"/>
    <xf numFmtId="0" fontId="1" fillId="0" borderId="36" xfId="14" applyBorder="1"/>
    <xf numFmtId="0" fontId="1" fillId="0" borderId="84" xfId="14" applyBorder="1"/>
    <xf numFmtId="0" fontId="1" fillId="0" borderId="48" xfId="14" applyBorder="1"/>
    <xf numFmtId="0" fontId="1" fillId="0" borderId="49"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84" xfId="14" applyBorder="1"/>
    <xf numFmtId="0" fontId="1" fillId="0" borderId="48" xfId="14" applyBorder="1"/>
    <xf numFmtId="0" fontId="1" fillId="0" borderId="49" xfId="14" applyBorder="1"/>
    <xf numFmtId="0" fontId="97" fillId="0" borderId="9" xfId="0" applyFont="1" applyBorder="1" applyAlignment="1">
      <alignment horizontal="left" vertical="top"/>
    </xf>
    <xf numFmtId="0" fontId="97" fillId="0" borderId="4" xfId="0" applyFont="1" applyBorder="1" applyAlignment="1">
      <alignment horizontal="left" vertical="top"/>
    </xf>
    <xf numFmtId="0" fontId="97" fillId="0" borderId="0" xfId="0" applyFont="1" applyBorder="1" applyAlignment="1">
      <alignment vertical="top"/>
    </xf>
    <xf numFmtId="0" fontId="107" fillId="0" borderId="9" xfId="0" applyFont="1" applyBorder="1" applyAlignment="1">
      <alignment horizontal="left" vertical="top"/>
    </xf>
    <xf numFmtId="0" fontId="107" fillId="0" borderId="7" xfId="0" applyFont="1" applyBorder="1" applyAlignment="1">
      <alignment horizontal="left" vertical="top"/>
    </xf>
    <xf numFmtId="0" fontId="120" fillId="0" borderId="18" xfId="0" applyFont="1" applyBorder="1" applyAlignment="1" applyProtection="1">
      <alignment horizontal="left" vertical="center" wrapText="1"/>
    </xf>
    <xf numFmtId="0" fontId="106" fillId="0" borderId="28" xfId="0" applyFont="1" applyBorder="1" applyAlignment="1" applyProtection="1">
      <alignment horizontal="left" vertical="center" wrapText="1"/>
    </xf>
    <xf numFmtId="0" fontId="96" fillId="0" borderId="112" xfId="13" applyFill="1" applyBorder="1" applyAlignment="1" applyProtection="1">
      <alignment horizontal="left" vertical="top" wrapText="1"/>
    </xf>
    <xf numFmtId="0" fontId="96" fillId="0" borderId="109" xfId="13" applyFill="1" applyBorder="1" applyAlignment="1" applyProtection="1">
      <alignment horizontal="left" vertical="top" wrapText="1"/>
    </xf>
    <xf numFmtId="0" fontId="96" fillId="0" borderId="114" xfId="13" applyFill="1" applyBorder="1" applyAlignment="1" applyProtection="1">
      <alignment horizontal="left" vertical="top" wrapText="1"/>
    </xf>
    <xf numFmtId="0" fontId="96" fillId="0" borderId="100" xfId="13" applyFill="1" applyBorder="1" applyAlignment="1" applyProtection="1">
      <alignment horizontal="left" vertical="top"/>
    </xf>
    <xf numFmtId="0" fontId="96" fillId="0" borderId="103" xfId="13" applyFill="1" applyBorder="1" applyAlignment="1" applyProtection="1">
      <alignment horizontal="left" vertical="top"/>
    </xf>
    <xf numFmtId="0" fontId="96" fillId="0" borderId="107" xfId="13" applyFill="1" applyBorder="1" applyAlignment="1" applyProtection="1">
      <alignment horizontal="left" vertical="top" wrapText="1"/>
    </xf>
    <xf numFmtId="0" fontId="96" fillId="0" borderId="103" xfId="13" applyFill="1" applyBorder="1" applyAlignment="1" applyProtection="1">
      <alignment horizontal="left" vertical="top" wrapText="1"/>
    </xf>
    <xf numFmtId="0" fontId="96" fillId="0" borderId="106" xfId="13" applyFill="1" applyBorder="1" applyAlignment="1" applyProtection="1">
      <alignment horizontal="left" vertical="top" wrapText="1"/>
    </xf>
    <xf numFmtId="2" fontId="96" fillId="0" borderId="110" xfId="13" applyNumberFormat="1" applyFill="1" applyBorder="1" applyAlignment="1" applyProtection="1">
      <alignment horizontal="left" vertical="top"/>
    </xf>
    <xf numFmtId="2" fontId="96" fillId="0" borderId="115" xfId="13" applyNumberFormat="1" applyFill="1" applyBorder="1" applyAlignment="1" applyProtection="1">
      <alignment horizontal="left" vertical="top"/>
    </xf>
    <xf numFmtId="0" fontId="96" fillId="0" borderId="109" xfId="13" applyFill="1" applyBorder="1" applyAlignment="1" applyProtection="1">
      <alignment horizontal="left" vertical="top"/>
    </xf>
    <xf numFmtId="0" fontId="96" fillId="0" borderId="106" xfId="13" applyFill="1" applyBorder="1" applyAlignment="1" applyProtection="1">
      <alignment horizontal="left" vertical="top"/>
    </xf>
    <xf numFmtId="2" fontId="96" fillId="0" borderId="111" xfId="13" applyNumberFormat="1" applyFill="1" applyBorder="1" applyAlignment="1" applyProtection="1">
      <alignment horizontal="left" vertical="top"/>
    </xf>
    <xf numFmtId="1" fontId="96" fillId="0" borderId="104" xfId="13" applyNumberFormat="1" applyFill="1" applyBorder="1" applyAlignment="1" applyProtection="1">
      <alignment horizontal="left" vertical="top" wrapText="1"/>
      <protection locked="0"/>
    </xf>
    <xf numFmtId="0" fontId="96" fillId="0" borderId="23" xfId="13" applyFill="1" applyBorder="1" applyAlignment="1">
      <alignment vertical="center"/>
    </xf>
    <xf numFmtId="0" fontId="96" fillId="0" borderId="24" xfId="13" applyFill="1" applyBorder="1" applyAlignment="1">
      <alignment horizontal="left" vertical="center"/>
    </xf>
    <xf numFmtId="0" fontId="96" fillId="0" borderId="118" xfId="13" applyFill="1" applyBorder="1" applyAlignment="1" applyProtection="1">
      <alignment horizontal="left" vertical="top" wrapText="1"/>
    </xf>
    <xf numFmtId="2" fontId="96" fillId="0" borderId="104" xfId="13" applyNumberFormat="1" applyFill="1" applyBorder="1" applyAlignment="1" applyProtection="1">
      <alignment horizontal="left" vertical="top" wrapText="1"/>
      <protection locked="0"/>
    </xf>
    <xf numFmtId="0" fontId="0" fillId="0" borderId="0" xfId="0">
      <alignment vertical="center"/>
    </xf>
    <xf numFmtId="0" fontId="0" fillId="0" borderId="0" xfId="0">
      <alignment vertical="center"/>
    </xf>
    <xf numFmtId="0" fontId="89" fillId="0" borderId="0" xfId="0" applyFont="1" applyBorder="1">
      <alignment vertical="center"/>
    </xf>
    <xf numFmtId="0" fontId="89" fillId="0" borderId="0" xfId="0" applyFont="1">
      <alignment vertical="center"/>
    </xf>
    <xf numFmtId="2" fontId="16" fillId="0" borderId="0" xfId="0" applyNumberFormat="1" applyFont="1" applyFill="1" applyBorder="1" applyAlignment="1">
      <alignment horizontal="right" vertical="center"/>
    </xf>
    <xf numFmtId="2" fontId="16" fillId="0" borderId="6" xfId="0" applyNumberFormat="1" applyFont="1" applyFill="1" applyBorder="1" applyAlignment="1">
      <alignment horizontal="right" vertical="center"/>
    </xf>
    <xf numFmtId="0" fontId="2" fillId="0" borderId="3" xfId="0" applyNumberFormat="1" applyFont="1" applyFill="1" applyBorder="1" applyAlignment="1">
      <alignment horizontal="center" vertical="center"/>
    </xf>
    <xf numFmtId="0" fontId="16" fillId="0" borderId="4" xfId="0" applyNumberFormat="1" applyFont="1" applyFill="1" applyBorder="1" applyAlignment="1">
      <alignment horizontal="right" vertical="center"/>
    </xf>
    <xf numFmtId="0" fontId="16" fillId="0" borderId="0" xfId="0" applyNumberFormat="1" applyFont="1" applyFill="1" applyBorder="1" applyAlignment="1">
      <alignment horizontal="right" vertical="center"/>
    </xf>
    <xf numFmtId="0" fontId="121" fillId="0" borderId="3" xfId="0" applyFont="1" applyBorder="1">
      <alignment vertical="center"/>
    </xf>
    <xf numFmtId="0" fontId="121" fillId="0" borderId="10" xfId="0" applyFont="1" applyBorder="1">
      <alignment vertical="center"/>
    </xf>
    <xf numFmtId="0" fontId="121" fillId="0" borderId="0" xfId="0" applyFont="1" applyBorder="1">
      <alignment vertical="center"/>
    </xf>
    <xf numFmtId="0" fontId="121" fillId="0" borderId="6" xfId="0" applyFont="1" applyBorder="1">
      <alignment vertical="center"/>
    </xf>
    <xf numFmtId="0" fontId="121" fillId="0" borderId="0" xfId="0" applyFont="1">
      <alignment vertical="center"/>
    </xf>
    <xf numFmtId="2" fontId="121" fillId="0" borderId="0" xfId="0" applyNumberFormat="1" applyFont="1" applyFill="1" applyBorder="1" applyAlignment="1">
      <alignment horizontal="right" vertical="center"/>
    </xf>
    <xf numFmtId="2" fontId="121" fillId="0" borderId="6" xfId="0" applyNumberFormat="1" applyFont="1" applyFill="1" applyBorder="1" applyAlignment="1">
      <alignment horizontal="right" vertical="center"/>
    </xf>
    <xf numFmtId="0" fontId="16" fillId="19" borderId="0" xfId="0" applyNumberFormat="1" applyFont="1" applyFill="1" applyBorder="1" applyAlignment="1">
      <alignment horizontal="center" vertical="center"/>
    </xf>
    <xf numFmtId="167" fontId="0" fillId="0" borderId="24" xfId="0" applyNumberFormat="1" applyFill="1" applyBorder="1">
      <alignment vertical="center"/>
    </xf>
    <xf numFmtId="167" fontId="42" fillId="9" borderId="16" xfId="0" applyNumberFormat="1" applyFont="1" applyFill="1" applyBorder="1" applyAlignment="1">
      <alignment horizontal="center" vertical="center" wrapText="1"/>
    </xf>
    <xf numFmtId="170" fontId="17" fillId="0" borderId="23" xfId="0" applyNumberFormat="1" applyFont="1" applyBorder="1">
      <alignment vertical="center"/>
    </xf>
    <xf numFmtId="0" fontId="0" fillId="0" borderId="0" xfId="0">
      <alignment vertical="center"/>
    </xf>
    <xf numFmtId="0" fontId="108" fillId="0" borderId="0" xfId="0" applyFont="1" applyBorder="1" applyAlignment="1" applyProtection="1">
      <alignment horizontal="left" vertical="top"/>
    </xf>
    <xf numFmtId="0" fontId="99" fillId="0" borderId="0" xfId="0" applyFont="1" applyBorder="1" applyAlignment="1" applyProtection="1">
      <alignment horizontal="left" vertical="top"/>
    </xf>
    <xf numFmtId="0" fontId="0" fillId="0" borderId="0" xfId="0">
      <alignment vertical="center"/>
    </xf>
    <xf numFmtId="0" fontId="0" fillId="0" borderId="0" xfId="0" applyBorder="1">
      <alignment vertical="center"/>
    </xf>
    <xf numFmtId="0" fontId="0" fillId="0" borderId="0" xfId="0">
      <alignment vertical="center"/>
    </xf>
    <xf numFmtId="0" fontId="16" fillId="0" borderId="0" xfId="0" applyFont="1" applyBorder="1" applyAlignment="1">
      <alignment horizontal="center" vertical="center"/>
    </xf>
    <xf numFmtId="2" fontId="19" fillId="19" borderId="0" xfId="0" applyNumberFormat="1" applyFont="1" applyFill="1" applyBorder="1" applyProtection="1">
      <alignment vertical="center"/>
    </xf>
    <xf numFmtId="2" fontId="19" fillId="19" borderId="23" xfId="0" applyNumberFormat="1" applyFont="1" applyFill="1" applyBorder="1" applyProtection="1">
      <alignment vertical="center"/>
    </xf>
    <xf numFmtId="2" fontId="19" fillId="19" borderId="27" xfId="0" applyNumberFormat="1" applyFont="1" applyFill="1" applyBorder="1">
      <alignment vertical="center"/>
    </xf>
    <xf numFmtId="2" fontId="19" fillId="19" borderId="61" xfId="0" applyNumberFormat="1" applyFont="1" applyFill="1" applyBorder="1">
      <alignment vertical="center"/>
    </xf>
    <xf numFmtId="2" fontId="19" fillId="19" borderId="0" xfId="0" applyNumberFormat="1" applyFont="1" applyFill="1" applyBorder="1">
      <alignment vertical="center"/>
    </xf>
    <xf numFmtId="0" fontId="20" fillId="0" borderId="0" xfId="0" applyFont="1" applyBorder="1">
      <alignment vertical="center"/>
    </xf>
    <xf numFmtId="0" fontId="54" fillId="0" borderId="4" xfId="0" applyFont="1" applyBorder="1">
      <alignment vertical="center"/>
    </xf>
    <xf numFmtId="0" fontId="54" fillId="0" borderId="0" xfId="0" applyFont="1" applyBorder="1">
      <alignment vertical="center"/>
    </xf>
    <xf numFmtId="0" fontId="17" fillId="0" borderId="0" xfId="0" applyFont="1" applyBorder="1">
      <alignment vertical="center"/>
    </xf>
    <xf numFmtId="0" fontId="89" fillId="0" borderId="0" xfId="0" quotePrefix="1" applyFont="1" applyBorder="1">
      <alignment vertical="center"/>
    </xf>
    <xf numFmtId="0" fontId="16" fillId="0" borderId="0" xfId="0" quotePrefix="1" applyFont="1" applyBorder="1">
      <alignment vertical="center"/>
    </xf>
    <xf numFmtId="0" fontId="54" fillId="0" borderId="0" xfId="0" quotePrefix="1" applyFont="1" applyBorder="1">
      <alignment vertical="center"/>
    </xf>
    <xf numFmtId="1" fontId="19" fillId="19" borderId="0" xfId="0" applyNumberFormat="1" applyFont="1" applyFill="1" applyBorder="1" applyAlignment="1" applyProtection="1">
      <alignment horizontal="center" vertical="center"/>
      <protection locked="0"/>
    </xf>
    <xf numFmtId="0" fontId="123" fillId="0" borderId="0" xfId="0" applyFont="1" applyBorder="1" applyAlignment="1">
      <alignment horizontal="center" vertical="center"/>
    </xf>
    <xf numFmtId="0" fontId="89" fillId="0" borderId="0" xfId="0" applyFont="1" applyFill="1" applyBorder="1">
      <alignment vertical="center"/>
    </xf>
    <xf numFmtId="0" fontId="125" fillId="0" borderId="0" xfId="0" applyFont="1" applyFill="1" applyBorder="1">
      <alignment vertical="center"/>
    </xf>
    <xf numFmtId="2" fontId="0" fillId="19" borderId="119" xfId="0" applyNumberFormat="1" applyFill="1" applyBorder="1">
      <alignment vertical="center"/>
    </xf>
    <xf numFmtId="2" fontId="0" fillId="19" borderId="32" xfId="0" applyNumberFormat="1" applyFill="1" applyBorder="1">
      <alignment vertical="center"/>
    </xf>
    <xf numFmtId="0" fontId="123" fillId="0" borderId="0" xfId="0" applyFont="1" applyBorder="1">
      <alignment vertical="center"/>
    </xf>
    <xf numFmtId="0" fontId="89" fillId="0" borderId="0" xfId="0" applyFont="1" applyBorder="1" applyAlignment="1">
      <alignment horizontal="center" vertical="center"/>
    </xf>
    <xf numFmtId="0" fontId="17" fillId="0" borderId="0" xfId="0" quotePrefix="1" applyFont="1" applyBorder="1">
      <alignment vertical="center"/>
    </xf>
    <xf numFmtId="0" fontId="124" fillId="0" borderId="0" xfId="0" applyFont="1" applyBorder="1">
      <alignment vertical="center"/>
    </xf>
    <xf numFmtId="170" fontId="89" fillId="0" borderId="0" xfId="0" applyNumberFormat="1" applyFont="1" applyBorder="1" applyAlignment="1">
      <alignment horizontal="center" vertical="center"/>
    </xf>
    <xf numFmtId="170" fontId="0" fillId="0" borderId="0" xfId="0" applyNumberFormat="1" applyBorder="1" applyAlignment="1">
      <alignment horizontal="center" vertical="center"/>
    </xf>
    <xf numFmtId="170" fontId="54" fillId="0" borderId="0" xfId="0" applyNumberFormat="1" applyFont="1" applyBorder="1" applyAlignment="1">
      <alignment horizontal="center" vertical="center"/>
    </xf>
    <xf numFmtId="0" fontId="54" fillId="0" borderId="0" xfId="0" applyFont="1" applyBorder="1" applyAlignment="1">
      <alignment horizontal="center" vertical="center"/>
    </xf>
    <xf numFmtId="0" fontId="89" fillId="0" borderId="0" xfId="0" quotePrefix="1" applyFont="1" applyBorder="1" applyAlignment="1">
      <alignment horizontal="center" vertical="center"/>
    </xf>
    <xf numFmtId="0" fontId="16" fillId="0" borderId="0" xfId="0" quotePrefix="1" applyFont="1" applyBorder="1" applyAlignment="1">
      <alignment horizontal="center" vertical="center"/>
    </xf>
    <xf numFmtId="0" fontId="125" fillId="0" borderId="0" xfId="0" applyFont="1" applyBorder="1">
      <alignment vertical="center"/>
    </xf>
    <xf numFmtId="0" fontId="125" fillId="0" borderId="6" xfId="0" applyFont="1" applyFill="1" applyBorder="1">
      <alignment vertical="center"/>
    </xf>
    <xf numFmtId="167" fontId="125" fillId="0" borderId="0" xfId="0" applyNumberFormat="1" applyFont="1" applyBorder="1">
      <alignment vertical="center"/>
    </xf>
    <xf numFmtId="167" fontId="125" fillId="0" borderId="6" xfId="0" applyNumberFormat="1" applyFont="1" applyBorder="1">
      <alignment vertical="center"/>
    </xf>
    <xf numFmtId="0" fontId="125" fillId="0" borderId="1" xfId="0" applyFont="1" applyBorder="1">
      <alignment vertical="center"/>
    </xf>
    <xf numFmtId="167" fontId="125" fillId="0" borderId="1" xfId="0" applyNumberFormat="1" applyFont="1" applyBorder="1">
      <alignment vertical="center"/>
    </xf>
    <xf numFmtId="167" fontId="125" fillId="0" borderId="11" xfId="0" applyNumberFormat="1" applyFont="1" applyBorder="1">
      <alignment vertical="center"/>
    </xf>
    <xf numFmtId="0" fontId="16" fillId="0" borderId="121" xfId="0" applyFont="1" applyBorder="1" applyAlignment="1">
      <alignment horizontal="center" vertical="center"/>
    </xf>
    <xf numFmtId="0" fontId="16" fillId="0" borderId="16" xfId="0" applyFont="1" applyBorder="1" applyAlignment="1">
      <alignment horizontal="center" vertical="center"/>
    </xf>
    <xf numFmtId="0" fontId="129" fillId="0" borderId="0" xfId="0" applyFont="1" applyFill="1" applyBorder="1">
      <alignment vertical="center"/>
    </xf>
    <xf numFmtId="0" fontId="89" fillId="0" borderId="55" xfId="0" quotePrefix="1" applyFont="1" applyBorder="1" applyAlignment="1">
      <alignment horizontal="center" vertical="center"/>
    </xf>
    <xf numFmtId="0" fontId="123" fillId="0" borderId="116" xfId="0" applyFont="1" applyBorder="1">
      <alignment vertical="center"/>
    </xf>
    <xf numFmtId="0" fontId="0" fillId="0" borderId="116" xfId="0" applyBorder="1">
      <alignment vertical="center"/>
    </xf>
    <xf numFmtId="0" fontId="0" fillId="0" borderId="56" xfId="0" applyBorder="1">
      <alignment vertical="center"/>
    </xf>
    <xf numFmtId="0" fontId="16" fillId="0" borderId="23" xfId="0" quotePrefix="1" applyFont="1" applyBorder="1" applyAlignment="1">
      <alignment horizontal="center" vertical="center"/>
    </xf>
    <xf numFmtId="0" fontId="0" fillId="0" borderId="24" xfId="0" applyBorder="1">
      <alignment vertical="center"/>
    </xf>
    <xf numFmtId="0" fontId="16" fillId="0" borderId="23" xfId="0" applyFont="1" applyBorder="1" applyAlignment="1">
      <alignment horizontal="center" vertical="center"/>
    </xf>
    <xf numFmtId="0" fontId="89" fillId="0" borderId="23" xfId="0" applyFont="1" applyBorder="1" applyAlignment="1">
      <alignment horizontal="center" vertical="center"/>
    </xf>
    <xf numFmtId="0" fontId="0" fillId="0" borderId="27" xfId="0" applyBorder="1">
      <alignment vertical="center"/>
    </xf>
    <xf numFmtId="0" fontId="0" fillId="0" borderId="61" xfId="0" applyBorder="1">
      <alignment vertical="center"/>
    </xf>
    <xf numFmtId="0" fontId="0" fillId="0" borderId="28" xfId="0" applyBorder="1">
      <alignment vertical="center"/>
    </xf>
    <xf numFmtId="170" fontId="17" fillId="0" borderId="0" xfId="0" applyNumberFormat="1" applyFont="1" applyBorder="1" applyAlignment="1">
      <alignment horizontal="center" vertical="center"/>
    </xf>
    <xf numFmtId="170" fontId="123" fillId="0" borderId="6" xfId="0" applyNumberFormat="1" applyFont="1" applyBorder="1" applyAlignment="1">
      <alignment horizontal="center" vertical="center"/>
    </xf>
    <xf numFmtId="170" fontId="123" fillId="0" borderId="0" xfId="0" applyNumberFormat="1" applyFont="1" applyBorder="1" applyAlignment="1">
      <alignment horizontal="center" vertical="center"/>
    </xf>
    <xf numFmtId="0" fontId="0" fillId="0" borderId="0" xfId="0" applyBorder="1">
      <alignment vertical="center"/>
    </xf>
    <xf numFmtId="0" fontId="0" fillId="0" borderId="0" xfId="0">
      <alignment vertical="center"/>
    </xf>
    <xf numFmtId="0" fontId="26" fillId="0" borderId="0" xfId="0" applyFont="1" applyAlignment="1">
      <alignment horizontal="right" vertical="center"/>
    </xf>
    <xf numFmtId="2" fontId="17" fillId="19" borderId="31" xfId="0" applyNumberFormat="1" applyFont="1" applyFill="1" applyBorder="1">
      <alignment vertical="center"/>
    </xf>
    <xf numFmtId="2" fontId="16" fillId="19" borderId="119" xfId="0" applyNumberFormat="1" applyFont="1" applyFill="1" applyBorder="1">
      <alignment vertical="center"/>
    </xf>
    <xf numFmtId="0" fontId="0" fillId="0" borderId="0" xfId="0" applyBorder="1">
      <alignment vertical="center"/>
    </xf>
    <xf numFmtId="0" fontId="0" fillId="0" borderId="0" xfId="0">
      <alignment vertical="center"/>
    </xf>
    <xf numFmtId="169" fontId="3" fillId="3" borderId="15" xfId="0" applyNumberFormat="1" applyFont="1" applyFill="1" applyBorder="1" applyAlignment="1">
      <alignment vertical="center"/>
    </xf>
    <xf numFmtId="0" fontId="16" fillId="0" borderId="5" xfId="0" applyFont="1" applyBorder="1">
      <alignment vertical="center"/>
    </xf>
    <xf numFmtId="0" fontId="0" fillId="0" borderId="0" xfId="0" applyBorder="1">
      <alignment vertical="center"/>
    </xf>
    <xf numFmtId="0" fontId="16" fillId="8" borderId="9" xfId="0" applyFont="1" applyFill="1" applyBorder="1" applyAlignment="1">
      <alignment horizontal="center" vertical="center"/>
    </xf>
    <xf numFmtId="0" fontId="89" fillId="16" borderId="9" xfId="0" applyFont="1" applyFill="1" applyBorder="1" applyAlignment="1">
      <alignment horizontal="center" vertical="center"/>
    </xf>
    <xf numFmtId="170" fontId="17" fillId="0" borderId="0" xfId="0" applyNumberFormat="1" applyFont="1">
      <alignment vertical="center"/>
    </xf>
    <xf numFmtId="0" fontId="40" fillId="0" borderId="0" xfId="0" applyFont="1" applyBorder="1" applyAlignment="1">
      <alignment horizontal="left" vertical="top"/>
    </xf>
    <xf numFmtId="1" fontId="0" fillId="19" borderId="122" xfId="0" applyNumberFormat="1" applyFill="1" applyBorder="1" applyAlignment="1">
      <alignment horizontal="center" vertical="center"/>
    </xf>
    <xf numFmtId="1" fontId="16" fillId="19" borderId="123" xfId="0" applyNumberFormat="1" applyFont="1" applyFill="1" applyBorder="1" applyAlignment="1">
      <alignment horizontal="center" vertical="center"/>
    </xf>
    <xf numFmtId="1" fontId="0" fillId="19" borderId="123" xfId="0" applyNumberFormat="1" applyFill="1" applyBorder="1" applyAlignment="1">
      <alignment horizontal="center" vertical="center"/>
    </xf>
    <xf numFmtId="1" fontId="0" fillId="19" borderId="124" xfId="0" applyNumberFormat="1" applyFill="1" applyBorder="1" applyAlignment="1">
      <alignment horizontal="center" vertical="center"/>
    </xf>
    <xf numFmtId="1" fontId="0" fillId="19" borderId="125" xfId="0" applyNumberFormat="1" applyFill="1" applyBorder="1" applyAlignment="1">
      <alignment horizontal="center" vertical="center"/>
    </xf>
    <xf numFmtId="1" fontId="0" fillId="19" borderId="126" xfId="0" applyNumberFormat="1" applyFill="1" applyBorder="1" applyAlignment="1">
      <alignment horizontal="center" vertical="center"/>
    </xf>
    <xf numFmtId="1" fontId="0" fillId="19" borderId="127" xfId="0" applyNumberFormat="1" applyFill="1" applyBorder="1" applyAlignment="1">
      <alignment horizontal="center" vertical="center"/>
    </xf>
    <xf numFmtId="1" fontId="0" fillId="19" borderId="128" xfId="0" applyNumberFormat="1" applyFill="1" applyBorder="1" applyAlignment="1">
      <alignment horizontal="center" vertical="center"/>
    </xf>
    <xf numFmtId="1" fontId="0" fillId="19" borderId="129" xfId="0" applyNumberFormat="1" applyFill="1" applyBorder="1" applyAlignment="1">
      <alignment horizontal="center" vertical="center"/>
    </xf>
    <xf numFmtId="1" fontId="0" fillId="19" borderId="130" xfId="0" applyNumberFormat="1" applyFill="1" applyBorder="1" applyAlignment="1">
      <alignment horizontal="center" vertical="center"/>
    </xf>
    <xf numFmtId="1" fontId="0" fillId="19" borderId="131" xfId="0" applyNumberFormat="1" applyFill="1" applyBorder="1" applyAlignment="1">
      <alignment horizontal="center" vertical="center"/>
    </xf>
    <xf numFmtId="1" fontId="16" fillId="19" borderId="132" xfId="0" applyNumberFormat="1" applyFont="1" applyFill="1" applyBorder="1" applyAlignment="1">
      <alignment horizontal="center" vertical="center"/>
    </xf>
    <xf numFmtId="1" fontId="0" fillId="19" borderId="132" xfId="0" applyNumberFormat="1" applyFill="1" applyBorder="1" applyAlignment="1">
      <alignment horizontal="center" vertical="center"/>
    </xf>
    <xf numFmtId="1" fontId="0" fillId="19" borderId="133" xfId="0" applyNumberFormat="1" applyFill="1" applyBorder="1" applyAlignment="1">
      <alignment horizontal="center" vertical="center"/>
    </xf>
    <xf numFmtId="2" fontId="19" fillId="19" borderId="23" xfId="0" applyNumberFormat="1" applyFont="1" applyFill="1" applyBorder="1">
      <alignment vertical="center"/>
    </xf>
    <xf numFmtId="9" fontId="0" fillId="0" borderId="6" xfId="0" applyNumberFormat="1" applyBorder="1">
      <alignment vertical="center"/>
    </xf>
    <xf numFmtId="0" fontId="17" fillId="0" borderId="55" xfId="0" quotePrefix="1" applyFont="1" applyBorder="1">
      <alignment vertical="center"/>
    </xf>
    <xf numFmtId="0" fontId="17" fillId="0" borderId="23" xfId="0" applyFont="1" applyBorder="1">
      <alignment vertical="center"/>
    </xf>
    <xf numFmtId="170" fontId="0" fillId="0" borderId="23" xfId="0" applyNumberFormat="1" applyBorder="1" applyAlignment="1">
      <alignment horizontal="center" vertical="center"/>
    </xf>
    <xf numFmtId="170" fontId="54" fillId="0" borderId="23" xfId="0" applyNumberFormat="1" applyFont="1" applyBorder="1" applyAlignment="1">
      <alignment horizontal="center" vertical="center"/>
    </xf>
    <xf numFmtId="170" fontId="39" fillId="0" borderId="23" xfId="0" applyNumberFormat="1" applyFont="1" applyBorder="1" applyAlignment="1">
      <alignment horizontal="center" vertical="center"/>
    </xf>
    <xf numFmtId="170" fontId="89" fillId="0" borderId="4" xfId="0" applyNumberFormat="1" applyFont="1" applyBorder="1" applyAlignment="1">
      <alignment horizontal="center" vertical="center"/>
    </xf>
    <xf numFmtId="170" fontId="0" fillId="0" borderId="4" xfId="0" applyNumberFormat="1" applyBorder="1" applyAlignment="1">
      <alignment horizontal="center" vertical="center"/>
    </xf>
    <xf numFmtId="0" fontId="8" fillId="0" borderId="0" xfId="0" applyNumberFormat="1" applyFont="1" applyFill="1" applyAlignment="1"/>
    <xf numFmtId="0" fontId="17" fillId="0" borderId="6" xfId="0" applyFont="1" applyBorder="1">
      <alignment vertical="center"/>
    </xf>
    <xf numFmtId="1" fontId="19" fillId="19" borderId="0" xfId="0" applyNumberFormat="1" applyFont="1" applyFill="1" applyBorder="1" applyAlignment="1">
      <alignment horizontal="center" vertical="center"/>
    </xf>
    <xf numFmtId="2" fontId="125" fillId="19" borderId="0" xfId="0" applyNumberFormat="1" applyFont="1" applyFill="1" applyBorder="1" applyAlignment="1">
      <alignment horizontal="left" vertical="center"/>
    </xf>
    <xf numFmtId="1" fontId="132" fillId="19" borderId="0" xfId="0" applyNumberFormat="1" applyFont="1" applyFill="1" applyBorder="1" applyAlignment="1">
      <alignment horizontal="left"/>
    </xf>
    <xf numFmtId="2" fontId="130" fillId="19" borderId="0" xfId="0" applyNumberFormat="1" applyFont="1" applyFill="1" applyBorder="1" applyAlignment="1">
      <alignment horizontal="center" vertical="center"/>
    </xf>
    <xf numFmtId="2" fontId="131" fillId="19" borderId="0" xfId="0" applyNumberFormat="1" applyFont="1" applyFill="1" applyBorder="1" applyAlignment="1">
      <alignment horizontal="center" vertical="center"/>
    </xf>
    <xf numFmtId="0" fontId="19" fillId="0" borderId="0" xfId="0" applyFont="1" applyBorder="1" applyAlignment="1">
      <alignment horizontal="left" vertical="center"/>
    </xf>
    <xf numFmtId="0" fontId="19" fillId="0" borderId="24" xfId="0" applyFont="1" applyBorder="1" applyAlignment="1">
      <alignment horizontal="left" vertical="center"/>
    </xf>
    <xf numFmtId="0" fontId="134" fillId="0" borderId="0" xfId="0" applyFont="1">
      <alignment vertical="center"/>
    </xf>
    <xf numFmtId="0" fontId="123" fillId="0" borderId="0" xfId="0" applyFont="1">
      <alignment vertical="center"/>
    </xf>
    <xf numFmtId="0" fontId="0" fillId="0" borderId="0" xfId="0" applyBorder="1">
      <alignment vertical="center"/>
    </xf>
    <xf numFmtId="0" fontId="0" fillId="0" borderId="0" xfId="0">
      <alignment vertical="center"/>
    </xf>
    <xf numFmtId="0" fontId="62" fillId="0" borderId="0" xfId="0" applyFont="1" applyBorder="1" applyAlignment="1">
      <alignment horizontal="left" vertical="top" wrapText="1"/>
    </xf>
    <xf numFmtId="44" fontId="3" fillId="0" borderId="3" xfId="0" applyNumberFormat="1" applyFont="1" applyFill="1" applyBorder="1" applyAlignment="1">
      <alignment horizontal="left" vertical="center" wrapText="1"/>
    </xf>
    <xf numFmtId="44" fontId="3" fillId="0" borderId="0" xfId="0" applyNumberFormat="1" applyFont="1" applyFill="1" applyBorder="1" applyAlignment="1">
      <alignment horizontal="left" vertical="center" wrapText="1"/>
    </xf>
    <xf numFmtId="0" fontId="17" fillId="0" borderId="5" xfId="0" applyFont="1" applyBorder="1">
      <alignment vertical="center"/>
    </xf>
    <xf numFmtId="2" fontId="130" fillId="41" borderId="0" xfId="0" applyNumberFormat="1" applyFont="1" applyFill="1" applyBorder="1" applyAlignment="1">
      <alignment horizontal="center" vertical="center"/>
    </xf>
    <xf numFmtId="0" fontId="62" fillId="0" borderId="0" xfId="0" applyFont="1" applyBorder="1" applyAlignment="1">
      <alignment horizontal="left" vertical="top" wrapText="1"/>
    </xf>
    <xf numFmtId="0" fontId="18" fillId="0" borderId="0" xfId="0" applyFont="1" applyAlignment="1">
      <alignment horizontal="left" vertical="top" wrapText="1"/>
    </xf>
    <xf numFmtId="0" fontId="60" fillId="0" borderId="136" xfId="0" applyNumberFormat="1" applyFont="1" applyFill="1" applyBorder="1" applyAlignment="1">
      <alignment horizontal="left" vertical="top"/>
    </xf>
    <xf numFmtId="0" fontId="40" fillId="0" borderId="138" xfId="0" applyFont="1" applyBorder="1" applyAlignment="1">
      <alignment horizontal="left" vertical="top"/>
    </xf>
    <xf numFmtId="2" fontId="0" fillId="19" borderId="61" xfId="0" applyNumberFormat="1" applyFill="1" applyBorder="1">
      <alignment vertical="center"/>
    </xf>
    <xf numFmtId="0" fontId="62" fillId="0" borderId="0" xfId="0" applyFont="1" applyAlignment="1">
      <alignment vertical="top" wrapText="1"/>
    </xf>
    <xf numFmtId="0" fontId="40" fillId="0" borderId="0" xfId="0" applyFont="1" applyAlignment="1">
      <alignment vertical="top" wrapText="1"/>
    </xf>
    <xf numFmtId="2" fontId="19" fillId="19" borderId="61" xfId="0" applyNumberFormat="1" applyFont="1" applyFill="1" applyBorder="1" applyProtection="1">
      <alignment vertical="center"/>
    </xf>
    <xf numFmtId="2" fontId="17" fillId="19" borderId="33" xfId="0" applyNumberFormat="1" applyFont="1" applyFill="1" applyBorder="1" applyProtection="1">
      <alignment vertical="center"/>
    </xf>
    <xf numFmtId="2" fontId="16" fillId="19" borderId="57" xfId="0" applyNumberFormat="1" applyFont="1" applyFill="1" applyBorder="1" applyProtection="1">
      <alignment vertical="center"/>
    </xf>
    <xf numFmtId="2" fontId="0" fillId="19" borderId="58" xfId="0" applyNumberFormat="1" applyFill="1" applyBorder="1" applyAlignment="1">
      <alignment horizontal="center" vertical="center"/>
    </xf>
    <xf numFmtId="2" fontId="19" fillId="19" borderId="57" xfId="0" applyNumberFormat="1" applyFont="1" applyFill="1" applyBorder="1" applyProtection="1">
      <alignment vertical="center"/>
    </xf>
    <xf numFmtId="2" fontId="19" fillId="19" borderId="57" xfId="0" applyNumberFormat="1" applyFont="1" applyFill="1" applyBorder="1">
      <alignment vertical="center"/>
    </xf>
    <xf numFmtId="1" fontId="19" fillId="19" borderId="57" xfId="0" applyNumberFormat="1" applyFont="1" applyFill="1" applyBorder="1" applyAlignment="1" applyProtection="1">
      <alignment horizontal="center" vertical="center"/>
      <protection locked="0"/>
    </xf>
    <xf numFmtId="2" fontId="19" fillId="19" borderId="58" xfId="0" applyNumberFormat="1" applyFont="1" applyFill="1" applyBorder="1">
      <alignment vertical="center"/>
    </xf>
    <xf numFmtId="2" fontId="0" fillId="19" borderId="57" xfId="0" applyNumberFormat="1" applyFill="1" applyBorder="1">
      <alignment vertical="center"/>
    </xf>
    <xf numFmtId="1" fontId="19" fillId="19" borderId="57" xfId="0" applyNumberFormat="1" applyFont="1" applyFill="1" applyBorder="1" applyAlignment="1" applyProtection="1">
      <alignment horizontal="center" vertical="center"/>
    </xf>
    <xf numFmtId="1" fontId="19" fillId="19" borderId="61" xfId="0" applyNumberFormat="1" applyFont="1" applyFill="1" applyBorder="1" applyAlignment="1">
      <alignment horizontal="center" vertical="center"/>
    </xf>
    <xf numFmtId="2" fontId="16" fillId="19" borderId="35" xfId="0" applyNumberFormat="1" applyFont="1" applyFill="1" applyBorder="1">
      <alignment vertical="center"/>
    </xf>
    <xf numFmtId="2" fontId="19" fillId="19" borderId="12" xfId="0" applyNumberFormat="1" applyFont="1" applyFill="1" applyBorder="1">
      <alignment vertical="center"/>
    </xf>
    <xf numFmtId="0" fontId="0" fillId="0" borderId="0" xfId="0" applyBorder="1">
      <alignment vertical="center"/>
    </xf>
    <xf numFmtId="0" fontId="0" fillId="0" borderId="0" xfId="0">
      <alignment vertical="center"/>
    </xf>
    <xf numFmtId="0" fontId="0" fillId="0" borderId="0" xfId="0">
      <alignment vertical="center"/>
    </xf>
    <xf numFmtId="0" fontId="17" fillId="0" borderId="0" xfId="0" applyFont="1" applyFill="1" applyBorder="1">
      <alignment vertical="center"/>
    </xf>
    <xf numFmtId="0" fontId="17" fillId="0" borderId="1" xfId="0" applyFont="1" applyFill="1" applyBorder="1">
      <alignment vertical="center"/>
    </xf>
    <xf numFmtId="0" fontId="17" fillId="0" borderId="1" xfId="0" applyFont="1" applyBorder="1">
      <alignment vertical="center"/>
    </xf>
    <xf numFmtId="0" fontId="125" fillId="0" borderId="4" xfId="0" applyFont="1" applyBorder="1">
      <alignment vertical="center"/>
    </xf>
    <xf numFmtId="0" fontId="125" fillId="0" borderId="5" xfId="0" applyFont="1" applyBorder="1">
      <alignment vertical="center"/>
    </xf>
    <xf numFmtId="0" fontId="0" fillId="0" borderId="0" xfId="0" applyFont="1" applyFill="1" applyBorder="1">
      <alignment vertical="center"/>
    </xf>
    <xf numFmtId="0" fontId="29" fillId="0" borderId="0" xfId="0" applyFont="1">
      <alignment vertical="center"/>
    </xf>
    <xf numFmtId="0" fontId="0" fillId="0" borderId="0" xfId="0" applyBorder="1">
      <alignment vertical="center"/>
    </xf>
    <xf numFmtId="0" fontId="0" fillId="0" borderId="0" xfId="0">
      <alignmen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0" fillId="0" borderId="0" xfId="0" applyBorder="1">
      <alignment vertical="center"/>
    </xf>
    <xf numFmtId="0" fontId="0" fillId="0" borderId="0" xfId="0">
      <alignment vertical="center"/>
    </xf>
    <xf numFmtId="0" fontId="0" fillId="0" borderId="0" xfId="0" applyBorder="1">
      <alignment vertical="center"/>
    </xf>
    <xf numFmtId="0" fontId="0" fillId="0" borderId="0" xfId="0">
      <alignment vertical="center"/>
    </xf>
    <xf numFmtId="2" fontId="39" fillId="0" borderId="0" xfId="0" applyNumberFormat="1" applyFont="1" applyFill="1" applyAlignment="1"/>
    <xf numFmtId="1" fontId="0" fillId="0" borderId="0" xfId="0" applyNumberFormat="1" applyFont="1" applyBorder="1">
      <alignment vertical="center"/>
    </xf>
    <xf numFmtId="1" fontId="46" fillId="0" borderId="0" xfId="0" applyNumberFormat="1" applyFont="1" applyBorder="1" applyAlignment="1">
      <alignment horizontal="right" vertical="center"/>
    </xf>
    <xf numFmtId="1" fontId="0" fillId="0" borderId="0" xfId="0" applyNumberFormat="1" applyFont="1" applyFill="1" applyBorder="1" applyAlignment="1"/>
    <xf numFmtId="170" fontId="17" fillId="0" borderId="0" xfId="0" applyNumberFormat="1" applyFont="1" applyBorder="1">
      <alignment vertical="center"/>
    </xf>
    <xf numFmtId="0" fontId="0" fillId="0" borderId="0" xfId="0" applyFont="1" applyBorder="1">
      <alignment vertical="center"/>
    </xf>
    <xf numFmtId="1" fontId="47" fillId="0" borderId="0" xfId="0" applyNumberFormat="1" applyFont="1" applyBorder="1">
      <alignment vertical="center"/>
    </xf>
    <xf numFmtId="0" fontId="19" fillId="0" borderId="0" xfId="0" applyFont="1" applyBorder="1" applyAlignment="1">
      <alignment horizontal="right"/>
    </xf>
    <xf numFmtId="167" fontId="19" fillId="0" borderId="0" xfId="0" applyNumberFormat="1" applyFont="1" applyBorder="1" applyAlignment="1">
      <alignment horizontal="left"/>
    </xf>
    <xf numFmtId="0" fontId="19" fillId="0" borderId="27" xfId="0" applyFont="1" applyBorder="1" applyAlignment="1">
      <alignment horizontal="right"/>
    </xf>
    <xf numFmtId="0" fontId="19" fillId="0" borderId="61" xfId="0" applyFont="1" applyBorder="1" applyAlignment="1">
      <alignment horizontal="right"/>
    </xf>
    <xf numFmtId="1" fontId="19" fillId="0" borderId="61" xfId="0" applyNumberFormat="1" applyFont="1" applyBorder="1" applyAlignment="1">
      <alignment horizontal="left"/>
    </xf>
    <xf numFmtId="0" fontId="16" fillId="0" borderId="28" xfId="0" applyFont="1" applyBorder="1">
      <alignment vertical="center"/>
    </xf>
    <xf numFmtId="0" fontId="16" fillId="0" borderId="33" xfId="0" applyFont="1" applyBorder="1" applyAlignment="1">
      <alignment horizontal="right" vertical="center"/>
    </xf>
    <xf numFmtId="0" fontId="0" fillId="0" borderId="57" xfId="0" applyBorder="1">
      <alignment vertical="center"/>
    </xf>
    <xf numFmtId="1" fontId="0" fillId="0" borderId="57" xfId="0" applyNumberFormat="1" applyBorder="1" applyAlignment="1">
      <alignment horizontal="center" vertical="center"/>
    </xf>
    <xf numFmtId="0" fontId="0" fillId="0" borderId="58" xfId="0" applyBorder="1">
      <alignment vertical="center"/>
    </xf>
    <xf numFmtId="0" fontId="19" fillId="0" borderId="23" xfId="0" applyFont="1" applyBorder="1" applyAlignment="1">
      <alignment horizontal="right"/>
    </xf>
    <xf numFmtId="0" fontId="19" fillId="0" borderId="0" xfId="0" applyFont="1" applyBorder="1" applyAlignment="1">
      <alignment horizontal="left"/>
    </xf>
    <xf numFmtId="0" fontId="16" fillId="0" borderId="24" xfId="0" applyFont="1" applyBorder="1">
      <alignment vertical="center"/>
    </xf>
    <xf numFmtId="170" fontId="0" fillId="0" borderId="0" xfId="0" applyNumberFormat="1" applyBorder="1">
      <alignment vertical="center"/>
    </xf>
    <xf numFmtId="2" fontId="3" fillId="0" borderId="0" xfId="0" applyNumberFormat="1" applyFont="1" applyFill="1" applyBorder="1" applyAlignment="1"/>
    <xf numFmtId="1" fontId="3" fillId="0" borderId="0" xfId="0" applyNumberFormat="1" applyFont="1" applyFill="1" applyBorder="1" applyAlignment="1"/>
    <xf numFmtId="2" fontId="0" fillId="0" borderId="0" xfId="0" applyNumberFormat="1" applyFont="1" applyFill="1" applyBorder="1" applyAlignment="1"/>
    <xf numFmtId="0" fontId="17" fillId="0" borderId="0" xfId="0" applyNumberFormat="1" applyFont="1" applyFill="1" applyBorder="1" applyAlignment="1"/>
    <xf numFmtId="0" fontId="39" fillId="0" borderId="0" xfId="0" applyFont="1" applyBorder="1">
      <alignment vertical="center"/>
    </xf>
    <xf numFmtId="14" fontId="0" fillId="0" borderId="0" xfId="0" applyNumberFormat="1" applyAlignment="1">
      <alignment vertical="center" wrapText="1"/>
    </xf>
    <xf numFmtId="0" fontId="0" fillId="0" borderId="0" xfId="0" applyNumberFormat="1" applyAlignment="1">
      <alignment vertical="center" wrapText="1"/>
    </xf>
    <xf numFmtId="0" fontId="16" fillId="0" borderId="0" xfId="0" applyNumberFormat="1" applyFont="1" applyAlignment="1">
      <alignment vertical="center" wrapText="1"/>
    </xf>
    <xf numFmtId="0" fontId="16" fillId="19" borderId="31" xfId="0" applyNumberFormat="1" applyFont="1" applyFill="1" applyBorder="1" applyAlignment="1">
      <alignment horizontal="left" vertical="center"/>
    </xf>
    <xf numFmtId="2" fontId="54" fillId="19" borderId="119" xfId="0" applyNumberFormat="1" applyFont="1" applyFill="1" applyBorder="1">
      <alignment vertical="center"/>
    </xf>
    <xf numFmtId="2" fontId="58" fillId="27" borderId="119" xfId="10" applyNumberFormat="1" applyBorder="1" applyAlignment="1">
      <alignment vertical="center"/>
    </xf>
    <xf numFmtId="2" fontId="0" fillId="19" borderId="116" xfId="0" applyNumberFormat="1" applyFill="1" applyBorder="1">
      <alignment vertical="center"/>
    </xf>
    <xf numFmtId="2" fontId="19" fillId="19" borderId="116" xfId="0" applyNumberFormat="1" applyFont="1" applyFill="1" applyBorder="1" applyProtection="1">
      <alignment vertical="center"/>
    </xf>
    <xf numFmtId="1" fontId="122" fillId="28" borderId="60" xfId="0" applyNumberFormat="1" applyFont="1" applyFill="1" applyBorder="1" applyAlignment="1" applyProtection="1">
      <alignment horizontal="center" vertical="center"/>
    </xf>
    <xf numFmtId="2" fontId="17" fillId="19" borderId="0" xfId="0" applyNumberFormat="1" applyFont="1" applyFill="1" applyBorder="1" applyProtection="1">
      <alignment vertical="center"/>
    </xf>
    <xf numFmtId="2" fontId="0" fillId="19" borderId="0" xfId="0" applyNumberFormat="1" applyFill="1" applyBorder="1" applyProtection="1">
      <alignment vertical="center"/>
    </xf>
    <xf numFmtId="0" fontId="0" fillId="19" borderId="119" xfId="0" applyFill="1" applyBorder="1">
      <alignment vertical="center"/>
    </xf>
    <xf numFmtId="2" fontId="19" fillId="19" borderId="27" xfId="0" applyNumberFormat="1" applyFont="1" applyFill="1" applyBorder="1" applyProtection="1">
      <alignment vertical="center"/>
    </xf>
    <xf numFmtId="2" fontId="19" fillId="19" borderId="55" xfId="0" applyNumberFormat="1" applyFont="1" applyFill="1" applyBorder="1" applyProtection="1">
      <alignment vertical="center"/>
    </xf>
    <xf numFmtId="1" fontId="122" fillId="19" borderId="116" xfId="0" applyNumberFormat="1" applyFont="1" applyFill="1" applyBorder="1" applyAlignment="1" applyProtection="1">
      <alignment horizontal="center" vertical="center"/>
    </xf>
    <xf numFmtId="2" fontId="16" fillId="19" borderId="119" xfId="0" applyNumberFormat="1" applyFont="1" applyFill="1" applyBorder="1" applyProtection="1">
      <alignment vertical="center"/>
    </xf>
    <xf numFmtId="2" fontId="0" fillId="19" borderId="119" xfId="0" applyNumberFormat="1" applyFill="1" applyBorder="1" applyProtection="1">
      <alignment vertical="center"/>
    </xf>
    <xf numFmtId="1" fontId="139" fillId="42" borderId="41" xfId="15" applyNumberFormat="1" applyBorder="1" applyAlignment="1" applyProtection="1">
      <alignment horizontal="center" vertical="center"/>
      <protection locked="0"/>
    </xf>
    <xf numFmtId="2" fontId="51" fillId="0" borderId="0" xfId="0" applyNumberFormat="1" applyFont="1" applyBorder="1" applyAlignment="1">
      <alignment horizontal="center" vertical="center" wrapText="1"/>
    </xf>
    <xf numFmtId="0" fontId="0" fillId="0" borderId="0" xfId="0" applyBorder="1">
      <alignment vertical="center"/>
    </xf>
    <xf numFmtId="0" fontId="16" fillId="0" borderId="0" xfId="0" applyFont="1" applyBorder="1" applyAlignment="1">
      <alignment horizontal="center" vertical="center"/>
    </xf>
    <xf numFmtId="170" fontId="16" fillId="0" borderId="0" xfId="0" applyNumberFormat="1" applyFont="1" applyBorder="1" applyAlignment="1">
      <alignment horizontal="center" vertical="center"/>
    </xf>
    <xf numFmtId="170" fontId="16" fillId="0" borderId="23" xfId="0" applyNumberFormat="1" applyFont="1" applyBorder="1" applyAlignment="1">
      <alignment horizontal="center" vertical="center"/>
    </xf>
    <xf numFmtId="0" fontId="54" fillId="0" borderId="5" xfId="0" applyFont="1" applyBorder="1">
      <alignment vertical="center"/>
    </xf>
    <xf numFmtId="0" fontId="54" fillId="0" borderId="1" xfId="0" applyFont="1" applyFill="1" applyBorder="1" applyAlignment="1">
      <alignment horizontal="center" vertical="center"/>
    </xf>
    <xf numFmtId="170" fontId="0" fillId="0" borderId="1" xfId="0" applyNumberFormat="1" applyFill="1" applyBorder="1" applyAlignment="1">
      <alignment horizontal="center" vertical="center"/>
    </xf>
    <xf numFmtId="170" fontId="54" fillId="0" borderId="25" xfId="0" applyNumberFormat="1" applyFont="1" applyBorder="1" applyAlignment="1">
      <alignment horizontal="center" vertical="center"/>
    </xf>
    <xf numFmtId="170" fontId="0" fillId="0" borderId="5" xfId="0" applyNumberFormat="1" applyFill="1" applyBorder="1" applyAlignment="1">
      <alignment horizontal="center" vertical="center"/>
    </xf>
    <xf numFmtId="170" fontId="17" fillId="0" borderId="1" xfId="0" applyNumberFormat="1" applyFont="1" applyFill="1" applyBorder="1" applyAlignment="1">
      <alignment horizontal="center" vertical="center"/>
    </xf>
    <xf numFmtId="170" fontId="123" fillId="0" borderId="1" xfId="0" applyNumberFormat="1" applyFont="1" applyBorder="1" applyAlignment="1">
      <alignment horizontal="center" vertical="center"/>
    </xf>
    <xf numFmtId="170" fontId="17" fillId="0" borderId="1" xfId="0" applyNumberFormat="1" applyFont="1" applyBorder="1" applyAlignment="1">
      <alignment horizontal="center" vertical="center"/>
    </xf>
    <xf numFmtId="170" fontId="123" fillId="0" borderId="11" xfId="0" applyNumberFormat="1" applyFont="1" applyBorder="1" applyAlignment="1">
      <alignment horizontal="center" vertical="center"/>
    </xf>
    <xf numFmtId="0" fontId="16" fillId="0" borderId="0" xfId="0" applyFont="1" applyAlignment="1"/>
    <xf numFmtId="0" fontId="64" fillId="0" borderId="0" xfId="0" applyNumberFormat="1" applyFont="1" applyFill="1" applyBorder="1" applyAlignment="1">
      <alignment horizontal="left" vertical="top" wrapText="1"/>
    </xf>
    <xf numFmtId="167" fontId="0" fillId="0" borderId="0" xfId="0" applyNumberFormat="1" applyAlignment="1">
      <alignment horizontal="center" vertical="center"/>
    </xf>
    <xf numFmtId="167" fontId="140" fillId="0" borderId="0" xfId="0" applyNumberFormat="1" applyFont="1" applyAlignment="1">
      <alignment horizontal="center" vertical="center"/>
    </xf>
    <xf numFmtId="167" fontId="0" fillId="0" borderId="0" xfId="0" applyNumberFormat="1">
      <alignment vertical="center"/>
    </xf>
    <xf numFmtId="0" fontId="142" fillId="0" borderId="0" xfId="0" applyNumberFormat="1" applyFont="1" applyFill="1" applyAlignment="1">
      <alignment horizontal="right" vertical="top" wrapText="1"/>
    </xf>
    <xf numFmtId="0" fontId="16" fillId="0" borderId="0" xfId="0" applyNumberFormat="1" applyFont="1" applyFill="1" applyAlignment="1"/>
    <xf numFmtId="0" fontId="16" fillId="0" borderId="0" xfId="0" applyNumberFormat="1" applyFont="1" applyFill="1" applyAlignment="1">
      <alignment wrapText="1"/>
    </xf>
    <xf numFmtId="2" fontId="16" fillId="0" borderId="0" xfId="0" applyNumberFormat="1" applyFont="1" applyFill="1" applyAlignment="1"/>
    <xf numFmtId="0" fontId="62" fillId="0" borderId="0" xfId="0" applyFont="1" applyAlignment="1">
      <alignment horizontal="left" vertical="top" wrapText="1"/>
    </xf>
    <xf numFmtId="0" fontId="62" fillId="0" borderId="0" xfId="0" applyFont="1" applyBorder="1" applyAlignment="1">
      <alignment horizontal="left" vertical="top" wrapText="1"/>
    </xf>
    <xf numFmtId="0" fontId="81" fillId="0" borderId="0" xfId="0" applyFont="1" applyAlignment="1">
      <alignment horizontal="left" vertical="top" wrapText="1"/>
    </xf>
    <xf numFmtId="0" fontId="60" fillId="0" borderId="6"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18" fillId="0" borderId="0" xfId="0" applyFont="1" applyAlignment="1">
      <alignment horizontal="left" vertical="top" wrapText="1"/>
    </xf>
    <xf numFmtId="0" fontId="17" fillId="0" borderId="0" xfId="0" applyFont="1" applyAlignment="1">
      <alignment horizontal="center" vertical="center"/>
    </xf>
    <xf numFmtId="0" fontId="62" fillId="0" borderId="0" xfId="0" applyFont="1" applyFill="1" applyAlignment="1">
      <alignment horizontal="left" vertical="top"/>
    </xf>
    <xf numFmtId="0" fontId="62" fillId="0" borderId="0" xfId="0" applyFont="1" applyFill="1" applyBorder="1" applyAlignment="1">
      <alignment horizontal="left" vertical="top"/>
    </xf>
    <xf numFmtId="0" fontId="62" fillId="0" borderId="141" xfId="0" applyFont="1" applyBorder="1" applyAlignment="1">
      <alignment horizontal="left" vertical="top"/>
    </xf>
    <xf numFmtId="0" fontId="62" fillId="0" borderId="144" xfId="0" applyFont="1" applyBorder="1" applyAlignment="1">
      <alignment horizontal="left" vertical="top"/>
    </xf>
    <xf numFmtId="0" fontId="62" fillId="0" borderId="145" xfId="0" applyFont="1" applyBorder="1" applyAlignment="1">
      <alignment horizontal="left" vertical="top"/>
    </xf>
    <xf numFmtId="0" fontId="62" fillId="0" borderId="146" xfId="0" applyFont="1" applyBorder="1" applyAlignment="1">
      <alignment horizontal="left" vertical="top"/>
    </xf>
    <xf numFmtId="0" fontId="62" fillId="0" borderId="0" xfId="0" applyFont="1" applyBorder="1" applyAlignment="1">
      <alignment horizontal="left" vertical="center"/>
    </xf>
    <xf numFmtId="0" fontId="62" fillId="0" borderId="147" xfId="0" applyFont="1" applyBorder="1" applyAlignment="1">
      <alignment horizontal="left" vertical="top"/>
    </xf>
    <xf numFmtId="0" fontId="62" fillId="0" borderId="148" xfId="0" applyFont="1" applyBorder="1" applyAlignment="1">
      <alignment horizontal="left" vertical="top"/>
    </xf>
    <xf numFmtId="0" fontId="62" fillId="0" borderId="151" xfId="0" applyFont="1" applyBorder="1" applyAlignment="1">
      <alignment horizontal="left" vertical="top"/>
    </xf>
    <xf numFmtId="0" fontId="62" fillId="0" borderId="152" xfId="0" applyFont="1" applyBorder="1" applyAlignment="1">
      <alignment horizontal="left" vertical="top"/>
    </xf>
    <xf numFmtId="0" fontId="80" fillId="0" borderId="0" xfId="0" applyFont="1" applyAlignment="1">
      <alignment horizontal="left" vertical="top"/>
    </xf>
    <xf numFmtId="0" fontId="40" fillId="0" borderId="0" xfId="0" applyFont="1" applyBorder="1" applyAlignment="1">
      <alignment horizontal="left" vertical="top" wrapText="1"/>
    </xf>
    <xf numFmtId="0" fontId="88" fillId="0" borderId="0" xfId="0" applyFont="1" applyBorder="1" applyAlignment="1">
      <alignment horizontal="center" vertical="top"/>
    </xf>
    <xf numFmtId="0" fontId="40" fillId="0" borderId="0" xfId="0" applyFont="1" applyFill="1" applyBorder="1" applyAlignment="1">
      <alignment horizontal="left" vertical="top"/>
    </xf>
    <xf numFmtId="0" fontId="40" fillId="0" borderId="0" xfId="0" applyFont="1" applyFill="1" applyBorder="1" applyAlignment="1">
      <alignment horizontal="center" vertical="center" wrapText="1"/>
    </xf>
    <xf numFmtId="0" fontId="40" fillId="0" borderId="0" xfId="0" applyFont="1" applyFill="1" applyBorder="1" applyAlignment="1">
      <alignment horizontal="center" vertical="center" textRotation="90"/>
    </xf>
    <xf numFmtId="0" fontId="62" fillId="0" borderId="0" xfId="0" applyFont="1" applyFill="1" applyBorder="1" applyAlignment="1">
      <alignment horizontal="left" vertical="center"/>
    </xf>
    <xf numFmtId="0" fontId="40" fillId="0" borderId="0" xfId="0" applyFont="1" applyFill="1" applyBorder="1" applyAlignment="1">
      <alignment horizontal="center" vertical="center"/>
    </xf>
    <xf numFmtId="170" fontId="40" fillId="0" borderId="0" xfId="0" applyNumberFormat="1" applyFont="1" applyFill="1" applyBorder="1" applyAlignment="1">
      <alignment horizontal="center" vertical="center"/>
    </xf>
    <xf numFmtId="0" fontId="62" fillId="0" borderId="0" xfId="0" applyFont="1" applyFill="1" applyBorder="1" applyAlignment="1">
      <alignment horizontal="left" vertical="center" wrapText="1"/>
    </xf>
    <xf numFmtId="0" fontId="62" fillId="19" borderId="77" xfId="0" applyFont="1" applyFill="1" applyBorder="1" applyAlignment="1">
      <alignment horizontal="center" vertical="top"/>
    </xf>
    <xf numFmtId="0" fontId="62" fillId="19" borderId="78" xfId="0" applyFont="1" applyFill="1" applyBorder="1" applyAlignment="1">
      <alignment horizontal="center" vertical="top"/>
    </xf>
    <xf numFmtId="0" fontId="62" fillId="19" borderId="72" xfId="0" applyFont="1" applyFill="1" applyBorder="1" applyAlignment="1">
      <alignment horizontal="left" vertical="top"/>
    </xf>
    <xf numFmtId="0" fontId="62" fillId="19" borderId="74" xfId="0" applyFont="1" applyFill="1" applyBorder="1" applyAlignment="1">
      <alignment horizontal="left" vertical="top"/>
    </xf>
    <xf numFmtId="0" fontId="62" fillId="19" borderId="79" xfId="0" applyFont="1" applyFill="1" applyBorder="1" applyAlignment="1">
      <alignment horizontal="left" vertical="top"/>
    </xf>
    <xf numFmtId="0" fontId="62" fillId="19" borderId="83" xfId="0" applyFont="1" applyFill="1" applyBorder="1" applyAlignment="1">
      <alignment horizontal="left" vertical="top"/>
    </xf>
    <xf numFmtId="0" fontId="38" fillId="0" borderId="0" xfId="0" applyFont="1" applyBorder="1" applyAlignment="1">
      <alignment horizontal="center" vertical="center" wrapText="1"/>
    </xf>
    <xf numFmtId="0" fontId="81" fillId="0" borderId="147" xfId="0" applyFont="1" applyBorder="1" applyAlignment="1">
      <alignment horizontal="left" vertical="center" wrapText="1"/>
    </xf>
    <xf numFmtId="0" fontId="62" fillId="0" borderId="0" xfId="0" applyFont="1" applyFill="1" applyBorder="1" applyAlignment="1">
      <alignment vertical="top" wrapText="1"/>
    </xf>
    <xf numFmtId="0" fontId="79" fillId="0" borderId="0" xfId="0" applyFont="1" applyFill="1" applyBorder="1" applyAlignment="1">
      <alignment horizontal="center" wrapText="1"/>
    </xf>
    <xf numFmtId="0" fontId="62" fillId="0" borderId="0" xfId="0" applyFont="1" applyFill="1" applyBorder="1" applyAlignment="1">
      <alignment horizontal="center" vertical="center"/>
    </xf>
    <xf numFmtId="0" fontId="62" fillId="0" borderId="0" xfId="0" applyFont="1" applyFill="1" applyBorder="1" applyAlignment="1">
      <alignment horizontal="left" vertical="top" wrapText="1"/>
    </xf>
    <xf numFmtId="0" fontId="53" fillId="0" borderId="20" xfId="0" applyFont="1" applyFill="1" applyBorder="1" applyAlignment="1">
      <alignment horizontal="center" vertical="center"/>
    </xf>
    <xf numFmtId="0" fontId="53" fillId="0" borderId="20" xfId="0" applyFont="1" applyFill="1" applyBorder="1" applyAlignment="1">
      <alignment horizontal="center" vertical="center" wrapText="1"/>
    </xf>
    <xf numFmtId="0" fontId="40" fillId="0" borderId="2"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40" fillId="0" borderId="4" xfId="0" applyFont="1" applyBorder="1" applyAlignment="1">
      <alignment horizontal="left" vertical="top"/>
    </xf>
    <xf numFmtId="0" fontId="40" fillId="0" borderId="5" xfId="0" applyFont="1" applyBorder="1" applyAlignment="1">
      <alignment horizontal="left" vertical="top"/>
    </xf>
    <xf numFmtId="0" fontId="40" fillId="0" borderId="1" xfId="0" applyFont="1" applyBorder="1" applyAlignment="1">
      <alignment horizontal="left" vertical="top"/>
    </xf>
    <xf numFmtId="0" fontId="62" fillId="0" borderId="2" xfId="0" applyFont="1" applyBorder="1" applyAlignment="1">
      <alignment horizontal="left" vertical="top"/>
    </xf>
    <xf numFmtId="0" fontId="62" fillId="0" borderId="3" xfId="0" applyFont="1" applyBorder="1" applyAlignment="1">
      <alignment horizontal="left" vertical="top"/>
    </xf>
    <xf numFmtId="0" fontId="64" fillId="0" borderId="3"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5" xfId="0" applyNumberFormat="1" applyFont="1" applyFill="1" applyBorder="1" applyAlignment="1">
      <alignment horizontal="left" vertical="top"/>
    </xf>
    <xf numFmtId="0" fontId="64" fillId="0" borderId="1" xfId="0" applyNumberFormat="1" applyFont="1" applyFill="1" applyBorder="1" applyAlignment="1">
      <alignment horizontal="left" vertical="top"/>
    </xf>
    <xf numFmtId="0" fontId="62" fillId="0" borderId="1" xfId="0" applyFont="1" applyBorder="1" applyAlignment="1">
      <alignment horizontal="left" vertical="top"/>
    </xf>
    <xf numFmtId="0" fontId="0" fillId="0" borderId="0" xfId="0" applyNumberFormat="1" applyFont="1" applyFill="1" applyBorder="1" applyAlignment="1">
      <alignment wrapText="1"/>
    </xf>
    <xf numFmtId="0" fontId="0" fillId="0" borderId="0" xfId="0" applyBorder="1" applyAlignment="1">
      <alignment horizontal="left" vertical="center"/>
    </xf>
    <xf numFmtId="7" fontId="153" fillId="0" borderId="9" xfId="0" applyNumberFormat="1" applyFont="1" applyFill="1" applyBorder="1" applyAlignment="1">
      <alignment horizontal="right" vertical="center"/>
    </xf>
    <xf numFmtId="1" fontId="152" fillId="0" borderId="9" xfId="0" applyNumberFormat="1" applyFont="1" applyFill="1" applyBorder="1" applyAlignment="1">
      <alignment horizontal="center" vertical="center"/>
    </xf>
    <xf numFmtId="169" fontId="152" fillId="0" borderId="9" xfId="0" applyNumberFormat="1" applyFont="1" applyFill="1" applyBorder="1" applyAlignment="1">
      <alignment vertical="center"/>
    </xf>
    <xf numFmtId="169" fontId="152" fillId="0" borderId="9" xfId="0" applyNumberFormat="1" applyFont="1" applyFill="1" applyBorder="1" applyAlignment="1">
      <alignment horizontal="center" vertical="center"/>
    </xf>
    <xf numFmtId="9" fontId="2" fillId="0" borderId="0" xfId="0" applyNumberFormat="1" applyFont="1" applyFill="1" applyBorder="1" applyAlignment="1">
      <alignment horizontal="right"/>
    </xf>
    <xf numFmtId="166" fontId="3" fillId="0" borderId="5" xfId="0" applyNumberFormat="1" applyFont="1" applyFill="1" applyBorder="1" applyAlignment="1"/>
    <xf numFmtId="0" fontId="8" fillId="0" borderId="0" xfId="0" applyNumberFormat="1" applyFont="1" applyFill="1" applyBorder="1" applyAlignment="1">
      <alignment horizontal="center" wrapText="1"/>
    </xf>
    <xf numFmtId="166" fontId="0" fillId="0" borderId="0" xfId="0" applyNumberFormat="1" applyFont="1" applyFill="1" applyBorder="1" applyAlignment="1">
      <alignment wrapText="1"/>
    </xf>
    <xf numFmtId="2" fontId="16" fillId="19" borderId="0" xfId="8" applyNumberFormat="1" applyFill="1" applyBorder="1">
      <alignment vertical="center"/>
    </xf>
    <xf numFmtId="0" fontId="16" fillId="19" borderId="0" xfId="8" applyFill="1" applyBorder="1">
      <alignment vertical="center"/>
    </xf>
    <xf numFmtId="0" fontId="16" fillId="19" borderId="0" xfId="8" applyNumberFormat="1" applyFill="1" applyBorder="1">
      <alignment vertical="center"/>
    </xf>
    <xf numFmtId="12" fontId="16" fillId="44" borderId="0" xfId="8" applyNumberFormat="1" applyFill="1" applyBorder="1" applyAlignment="1">
      <alignment horizontal="center" vertical="center"/>
    </xf>
    <xf numFmtId="12" fontId="16" fillId="19" borderId="0" xfId="8" applyNumberFormat="1" applyFill="1" applyBorder="1" applyAlignment="1">
      <alignment horizontal="center" vertical="center"/>
    </xf>
    <xf numFmtId="12" fontId="16" fillId="19" borderId="0" xfId="8" applyNumberFormat="1" applyFill="1" applyBorder="1">
      <alignment vertical="center"/>
    </xf>
    <xf numFmtId="2" fontId="16" fillId="44" borderId="0" xfId="8" applyNumberFormat="1" applyFill="1" applyBorder="1">
      <alignment vertical="center"/>
    </xf>
    <xf numFmtId="2" fontId="16" fillId="19" borderId="0" xfId="8" applyNumberFormat="1" applyFill="1" applyBorder="1" applyAlignment="1">
      <alignment horizontal="center" vertical="center"/>
    </xf>
    <xf numFmtId="0" fontId="16" fillId="19" borderId="0" xfId="8" applyNumberFormat="1" applyFill="1" applyBorder="1" applyAlignment="1">
      <alignment horizontal="center" vertical="center"/>
    </xf>
    <xf numFmtId="2" fontId="42" fillId="19" borderId="0" xfId="8" applyNumberFormat="1" applyFont="1" applyFill="1" applyBorder="1" applyAlignment="1">
      <alignment vertical="center" wrapText="1"/>
    </xf>
    <xf numFmtId="2" fontId="24" fillId="19" borderId="0" xfId="8" applyNumberFormat="1" applyFont="1" applyFill="1" applyBorder="1" applyAlignment="1">
      <alignment horizontal="center" vertical="center" wrapText="1"/>
    </xf>
    <xf numFmtId="2" fontId="54" fillId="19" borderId="0" xfId="8" applyNumberFormat="1" applyFont="1" applyFill="1" applyBorder="1" applyAlignment="1">
      <alignment vertical="top" wrapText="1"/>
    </xf>
    <xf numFmtId="2" fontId="17" fillId="19" borderId="0" xfId="8" applyNumberFormat="1" applyFont="1" applyFill="1" applyBorder="1" applyAlignment="1">
      <alignment horizontal="center" vertical="center"/>
    </xf>
    <xf numFmtId="2" fontId="16" fillId="19" borderId="0" xfId="8" applyNumberFormat="1" applyFill="1" applyBorder="1" applyAlignment="1">
      <alignment vertical="top" wrapText="1"/>
    </xf>
    <xf numFmtId="2" fontId="16" fillId="19" borderId="0" xfId="8" applyNumberFormat="1" applyFont="1" applyFill="1" applyBorder="1" applyAlignment="1">
      <alignment horizontal="center" vertical="top" wrapText="1"/>
    </xf>
    <xf numFmtId="12" fontId="42" fillId="44" borderId="0" xfId="8" applyNumberFormat="1" applyFont="1" applyFill="1" applyBorder="1" applyAlignment="1">
      <alignment horizontal="center" vertical="center" wrapText="1"/>
    </xf>
    <xf numFmtId="12" fontId="42" fillId="19" borderId="0" xfId="8" applyNumberFormat="1" applyFont="1" applyFill="1" applyBorder="1" applyAlignment="1">
      <alignment horizontal="center" vertical="center" wrapText="1"/>
    </xf>
    <xf numFmtId="2" fontId="42" fillId="44" borderId="0" xfId="8" applyNumberFormat="1" applyFont="1" applyFill="1" applyBorder="1" applyAlignment="1">
      <alignment horizontal="center" vertical="center" wrapText="1"/>
    </xf>
    <xf numFmtId="1" fontId="42" fillId="29" borderId="9" xfId="8" applyNumberFormat="1" applyFont="1" applyFill="1" applyBorder="1" applyAlignment="1">
      <alignment horizontal="center" vertical="center" wrapText="1"/>
    </xf>
    <xf numFmtId="0" fontId="16" fillId="19" borderId="12" xfId="8" applyNumberFormat="1" applyFill="1" applyBorder="1">
      <alignment vertical="center"/>
    </xf>
    <xf numFmtId="12" fontId="42" fillId="29" borderId="9" xfId="8" applyNumberFormat="1" applyFont="1" applyFill="1" applyBorder="1" applyAlignment="1">
      <alignment horizontal="center" vertical="center" wrapText="1"/>
    </xf>
    <xf numFmtId="1" fontId="48" fillId="29" borderId="9" xfId="8" applyNumberFormat="1" applyFont="1" applyFill="1" applyBorder="1" applyAlignment="1">
      <alignment horizontal="center" vertical="center" wrapText="1"/>
    </xf>
    <xf numFmtId="0" fontId="59" fillId="29" borderId="9" xfId="8" applyNumberFormat="1" applyFont="1" applyFill="1" applyBorder="1" applyAlignment="1">
      <alignment horizontal="center" vertical="center" wrapText="1"/>
    </xf>
    <xf numFmtId="12" fontId="42" fillId="19" borderId="63" xfId="8" applyNumberFormat="1" applyFont="1" applyFill="1" applyBorder="1" applyAlignment="1">
      <alignment horizontal="center" vertical="center" wrapText="1"/>
    </xf>
    <xf numFmtId="12" fontId="42" fillId="19" borderId="62" xfId="8" applyNumberFormat="1" applyFont="1" applyFill="1" applyBorder="1" applyAlignment="1">
      <alignment horizontal="center" vertical="center" wrapText="1"/>
    </xf>
    <xf numFmtId="1" fontId="16" fillId="19" borderId="0" xfId="8" applyNumberFormat="1" applyFill="1" applyBorder="1" applyAlignment="1">
      <alignment horizontal="left" vertical="center"/>
    </xf>
    <xf numFmtId="1" fontId="42" fillId="19" borderId="0" xfId="8" applyNumberFormat="1" applyFont="1" applyFill="1" applyBorder="1" applyAlignment="1">
      <alignment horizontal="center" vertical="center" wrapText="1"/>
    </xf>
    <xf numFmtId="1" fontId="48" fillId="19" borderId="0" xfId="8" applyNumberFormat="1" applyFont="1" applyFill="1" applyBorder="1" applyAlignment="1">
      <alignment horizontal="center" vertical="center" wrapText="1"/>
    </xf>
    <xf numFmtId="0" fontId="16" fillId="19" borderId="0" xfId="8" applyNumberFormat="1" applyFont="1" applyFill="1" applyBorder="1">
      <alignment vertical="center"/>
    </xf>
    <xf numFmtId="1" fontId="17" fillId="19" borderId="0" xfId="8" applyNumberFormat="1" applyFont="1" applyFill="1" applyBorder="1">
      <alignment vertical="center"/>
    </xf>
    <xf numFmtId="0" fontId="16" fillId="19" borderId="0" xfId="8" applyNumberFormat="1" applyFont="1" applyFill="1" applyBorder="1" applyAlignment="1">
      <alignment horizontal="center" vertical="center"/>
    </xf>
    <xf numFmtId="2" fontId="17" fillId="19" borderId="0" xfId="8" applyNumberFormat="1" applyFont="1" applyFill="1" applyBorder="1">
      <alignment vertical="center"/>
    </xf>
    <xf numFmtId="2" fontId="16" fillId="19" borderId="0" xfId="8" applyNumberFormat="1" applyFill="1" applyBorder="1" applyAlignment="1">
      <alignment horizontal="right" vertical="center"/>
    </xf>
    <xf numFmtId="2" fontId="55" fillId="19" borderId="0" xfId="8" applyNumberFormat="1" applyFont="1" applyFill="1" applyBorder="1" applyAlignment="1">
      <alignment horizontal="left" vertical="center"/>
    </xf>
    <xf numFmtId="1" fontId="16" fillId="19" borderId="0" xfId="8" applyNumberFormat="1" applyFill="1" applyBorder="1" applyAlignment="1">
      <alignment horizontal="center" vertical="center"/>
    </xf>
    <xf numFmtId="12" fontId="16" fillId="44" borderId="0" xfId="8" applyNumberFormat="1" applyFill="1" applyBorder="1">
      <alignment vertical="center"/>
    </xf>
    <xf numFmtId="1" fontId="16" fillId="19" borderId="0" xfId="8" applyNumberFormat="1" applyFill="1" applyBorder="1">
      <alignment vertical="center"/>
    </xf>
    <xf numFmtId="12" fontId="17" fillId="19" borderId="0" xfId="8" applyNumberFormat="1" applyFont="1" applyFill="1" applyBorder="1" applyAlignment="1">
      <alignment horizontal="left" vertical="center"/>
    </xf>
    <xf numFmtId="2" fontId="42" fillId="2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wrapText="1"/>
    </xf>
    <xf numFmtId="2" fontId="19" fillId="19" borderId="0" xfId="8" applyNumberFormat="1" applyFont="1" applyFill="1" applyBorder="1" applyAlignment="1">
      <alignment horizontal="left" vertical="center"/>
    </xf>
    <xf numFmtId="0" fontId="16" fillId="44" borderId="0" xfId="8" applyNumberFormat="1" applyFill="1" applyBorder="1">
      <alignment vertical="center"/>
    </xf>
    <xf numFmtId="2" fontId="16" fillId="19" borderId="4" xfId="8" applyNumberFormat="1" applyFill="1" applyBorder="1">
      <alignment vertical="center"/>
    </xf>
    <xf numFmtId="2" fontId="42" fillId="37" borderId="9" xfId="8" applyNumberFormat="1" applyFont="1" applyFill="1" applyBorder="1" applyAlignment="1">
      <alignment horizontal="center" vertical="center" wrapText="1"/>
    </xf>
    <xf numFmtId="2" fontId="16" fillId="41" borderId="0" xfId="8" applyNumberFormat="1" applyFont="1" applyFill="1" applyBorder="1" applyAlignment="1">
      <alignment horizontal="center" vertical="center"/>
    </xf>
    <xf numFmtId="0" fontId="16" fillId="19" borderId="4" xfId="8" applyNumberFormat="1" applyFill="1" applyBorder="1">
      <alignment vertical="center"/>
    </xf>
    <xf numFmtId="1" fontId="16" fillId="41" borderId="0" xfId="8" applyNumberFormat="1" applyFill="1" applyBorder="1">
      <alignment vertical="center"/>
    </xf>
    <xf numFmtId="0" fontId="16" fillId="41" borderId="0" xfId="8" applyNumberFormat="1" applyFill="1" applyBorder="1">
      <alignment vertical="center"/>
    </xf>
    <xf numFmtId="2" fontId="16" fillId="41" borderId="0" xfId="8" applyNumberFormat="1" applyFill="1" applyBorder="1">
      <alignment vertical="center"/>
    </xf>
    <xf numFmtId="2" fontId="42" fillId="30" borderId="15" xfId="8" applyNumberFormat="1" applyFont="1" applyFill="1" applyBorder="1" applyAlignment="1">
      <alignment horizontal="center" vertical="center" wrapText="1"/>
    </xf>
    <xf numFmtId="2" fontId="42" fillId="19" borderId="7" xfId="8" applyNumberFormat="1" applyFont="1" applyFill="1" applyBorder="1" applyAlignment="1">
      <alignment horizontal="center" vertical="center" wrapText="1"/>
    </xf>
    <xf numFmtId="2" fontId="42" fillId="30" borderId="7" xfId="8" applyNumberFormat="1" applyFont="1" applyFill="1" applyBorder="1" applyAlignment="1">
      <alignment horizontal="center" vertical="center" wrapText="1"/>
    </xf>
    <xf numFmtId="2" fontId="16" fillId="19" borderId="0" xfId="8" applyNumberFormat="1" applyFont="1" applyFill="1" applyBorder="1" applyAlignment="1">
      <alignment vertical="top" wrapText="1"/>
    </xf>
    <xf numFmtId="1" fontId="42" fillId="19" borderId="0" xfId="8" applyNumberFormat="1" applyFont="1" applyFill="1" applyBorder="1" applyAlignment="1">
      <alignment vertical="center" wrapText="1"/>
    </xf>
    <xf numFmtId="1" fontId="93" fillId="19" borderId="0" xfId="8" applyNumberFormat="1" applyFont="1" applyFill="1" applyBorder="1" applyAlignment="1">
      <alignment horizontal="left" vertical="top"/>
    </xf>
    <xf numFmtId="170" fontId="42" fillId="19" borderId="0" xfId="8" applyNumberFormat="1" applyFont="1" applyFill="1" applyBorder="1" applyAlignment="1">
      <alignment horizontal="center" vertical="center" wrapText="1"/>
    </xf>
    <xf numFmtId="2" fontId="130" fillId="19" borderId="0" xfId="8" applyNumberFormat="1" applyFont="1" applyFill="1" applyBorder="1" applyAlignment="1">
      <alignment horizontal="center" vertical="center"/>
    </xf>
    <xf numFmtId="2" fontId="19" fillId="19" borderId="0" xfId="8" applyNumberFormat="1" applyFont="1" applyFill="1" applyBorder="1">
      <alignment vertical="center"/>
    </xf>
    <xf numFmtId="1" fontId="19" fillId="19" borderId="0" xfId="8" applyNumberFormat="1" applyFont="1" applyFill="1" applyBorder="1" applyAlignment="1">
      <alignment horizontal="center" vertical="center"/>
    </xf>
    <xf numFmtId="2" fontId="125" fillId="19" borderId="0" xfId="8" applyNumberFormat="1" applyFont="1" applyFill="1" applyBorder="1" applyAlignment="1">
      <alignment horizontal="left" vertical="center"/>
    </xf>
    <xf numFmtId="1" fontId="132" fillId="19" borderId="0" xfId="8" applyNumberFormat="1" applyFont="1" applyFill="1" applyBorder="1" applyAlignment="1">
      <alignment horizontal="left"/>
    </xf>
    <xf numFmtId="1" fontId="16" fillId="19" borderId="127" xfId="8" applyNumberFormat="1" applyFill="1" applyBorder="1" applyAlignment="1">
      <alignment horizontal="center" vertical="center"/>
    </xf>
    <xf numFmtId="1" fontId="16" fillId="19" borderId="126" xfId="8" applyNumberFormat="1" applyFill="1" applyBorder="1" applyAlignment="1">
      <alignment horizontal="center" vertical="center"/>
    </xf>
    <xf numFmtId="1" fontId="16" fillId="19" borderId="125" xfId="8" applyNumberFormat="1" applyFill="1" applyBorder="1" applyAlignment="1">
      <alignment horizontal="center" vertical="center"/>
    </xf>
    <xf numFmtId="1" fontId="19" fillId="28" borderId="14" xfId="8" applyNumberFormat="1" applyFont="1" applyFill="1" applyBorder="1" applyAlignment="1" applyProtection="1">
      <alignment horizontal="center" vertical="center"/>
    </xf>
    <xf numFmtId="2" fontId="16" fillId="19" borderId="61" xfId="8" applyNumberFormat="1" applyFill="1" applyBorder="1">
      <alignment vertical="center"/>
    </xf>
    <xf numFmtId="2" fontId="19" fillId="19" borderId="61" xfId="8" applyNumberFormat="1" applyFont="1" applyFill="1" applyBorder="1" applyProtection="1">
      <alignment vertical="center"/>
    </xf>
    <xf numFmtId="2" fontId="19" fillId="19" borderId="27" xfId="8" applyNumberFormat="1" applyFont="1" applyFill="1" applyBorder="1" applyProtection="1">
      <alignment vertical="center"/>
    </xf>
    <xf numFmtId="1" fontId="16" fillId="19" borderId="124" xfId="8" applyNumberFormat="1" applyFill="1" applyBorder="1" applyAlignment="1">
      <alignment horizontal="center" vertical="center"/>
    </xf>
    <xf numFmtId="1" fontId="16" fillId="19" borderId="123" xfId="8" applyNumberFormat="1" applyFill="1" applyBorder="1" applyAlignment="1">
      <alignment horizontal="center" vertical="center"/>
    </xf>
    <xf numFmtId="1" fontId="16" fillId="19" borderId="123" xfId="8" applyNumberFormat="1" applyFont="1" applyFill="1" applyBorder="1" applyAlignment="1">
      <alignment horizontal="center" vertical="center"/>
    </xf>
    <xf numFmtId="1" fontId="16" fillId="19" borderId="122" xfId="8" applyNumberFormat="1" applyFill="1" applyBorder="1" applyAlignment="1">
      <alignment horizontal="center" vertical="center"/>
    </xf>
    <xf numFmtId="1" fontId="122" fillId="28" borderId="41" xfId="8" applyNumberFormat="1" applyFont="1" applyFill="1" applyBorder="1" applyAlignment="1" applyProtection="1">
      <alignment horizontal="center" vertical="center"/>
    </xf>
    <xf numFmtId="2" fontId="19" fillId="19" borderId="0" xfId="8" applyNumberFormat="1" applyFont="1" applyFill="1" applyBorder="1" applyProtection="1">
      <alignment vertical="center"/>
    </xf>
    <xf numFmtId="2" fontId="19" fillId="19" borderId="23" xfId="8" applyNumberFormat="1" applyFont="1" applyFill="1" applyBorder="1" applyProtection="1">
      <alignment vertical="center"/>
    </xf>
    <xf numFmtId="2" fontId="16" fillId="19" borderId="32" xfId="8" applyNumberFormat="1" applyFill="1" applyBorder="1">
      <alignment vertical="center"/>
    </xf>
    <xf numFmtId="2" fontId="16" fillId="19" borderId="119" xfId="8" applyNumberFormat="1" applyFill="1" applyBorder="1">
      <alignment vertical="center"/>
    </xf>
    <xf numFmtId="2" fontId="54" fillId="19" borderId="119" xfId="8" applyNumberFormat="1" applyFont="1" applyFill="1" applyBorder="1">
      <alignment vertical="center"/>
    </xf>
    <xf numFmtId="0" fontId="16" fillId="19" borderId="31" xfId="8" applyNumberFormat="1" applyFont="1" applyFill="1" applyBorder="1" applyAlignment="1">
      <alignment horizontal="left" vertical="center"/>
    </xf>
    <xf numFmtId="170" fontId="42" fillId="19" borderId="3" xfId="8" applyNumberFormat="1" applyFont="1" applyFill="1" applyBorder="1" applyAlignment="1">
      <alignment horizontal="center" vertical="center" wrapText="1"/>
    </xf>
    <xf numFmtId="1" fontId="42" fillId="19" borderId="3" xfId="8" applyNumberFormat="1" applyFont="1" applyFill="1" applyBorder="1" applyAlignment="1">
      <alignment horizontal="center" vertical="center" wrapText="1"/>
    </xf>
    <xf numFmtId="1" fontId="16" fillId="19" borderId="130" xfId="8" applyNumberFormat="1" applyFill="1" applyBorder="1" applyAlignment="1">
      <alignment horizontal="center" vertical="center"/>
    </xf>
    <xf numFmtId="1" fontId="16" fillId="19" borderId="129" xfId="8" applyNumberFormat="1" applyFill="1" applyBorder="1" applyAlignment="1">
      <alignment horizontal="center" vertical="center"/>
    </xf>
    <xf numFmtId="1" fontId="16" fillId="19" borderId="128" xfId="8" applyNumberFormat="1" applyFill="1" applyBorder="1" applyAlignment="1">
      <alignment horizontal="center" vertical="center"/>
    </xf>
    <xf numFmtId="1" fontId="20" fillId="28" borderId="14" xfId="8" applyNumberFormat="1" applyFont="1" applyFill="1" applyBorder="1" applyAlignment="1" applyProtection="1">
      <alignment horizontal="center" vertical="center"/>
    </xf>
    <xf numFmtId="2" fontId="19" fillId="19" borderId="61" xfId="8" applyNumberFormat="1" applyFont="1" applyFill="1" applyBorder="1">
      <alignment vertical="center"/>
    </xf>
    <xf numFmtId="1" fontId="19" fillId="19" borderId="61" xfId="8" applyNumberFormat="1" applyFont="1" applyFill="1" applyBorder="1" applyAlignment="1">
      <alignment horizontal="center" vertical="center"/>
    </xf>
    <xf numFmtId="2" fontId="19" fillId="19" borderId="27" xfId="8" applyNumberFormat="1" applyFont="1" applyFill="1" applyBorder="1">
      <alignment vertical="center"/>
    </xf>
    <xf numFmtId="1" fontId="42" fillId="43" borderId="9" xfId="8" applyNumberFormat="1" applyFont="1" applyFill="1" applyBorder="1" applyAlignment="1">
      <alignment horizontal="center" vertical="center" wrapText="1"/>
    </xf>
    <xf numFmtId="1" fontId="42" fillId="19" borderId="9" xfId="8" applyNumberFormat="1" applyFont="1" applyFill="1" applyBorder="1" applyAlignment="1">
      <alignment horizontal="center" vertical="center" wrapText="1"/>
    </xf>
    <xf numFmtId="170" fontId="42" fillId="19" borderId="9" xfId="8" applyNumberFormat="1" applyFont="1" applyFill="1" applyBorder="1" applyAlignment="1">
      <alignment horizontal="center" vertical="center" wrapText="1"/>
    </xf>
    <xf numFmtId="1" fontId="16" fillId="19" borderId="133" xfId="8" applyNumberFormat="1" applyFill="1" applyBorder="1" applyAlignment="1">
      <alignment horizontal="center" vertical="center"/>
    </xf>
    <xf numFmtId="1" fontId="16" fillId="19" borderId="132" xfId="8" applyNumberFormat="1" applyFill="1" applyBorder="1" applyAlignment="1">
      <alignment horizontal="center" vertical="center"/>
    </xf>
    <xf numFmtId="1" fontId="16" fillId="19" borderId="132" xfId="8" applyNumberFormat="1" applyFont="1" applyFill="1" applyBorder="1" applyAlignment="1">
      <alignment horizontal="center" vertical="center"/>
    </xf>
    <xf numFmtId="1" fontId="16" fillId="19" borderId="131" xfId="8" applyNumberFormat="1" applyFill="1" applyBorder="1" applyAlignment="1">
      <alignment horizontal="center" vertical="center"/>
    </xf>
    <xf numFmtId="2" fontId="19" fillId="19" borderId="23" xfId="8" applyNumberFormat="1" applyFont="1" applyFill="1" applyBorder="1">
      <alignment vertical="center"/>
    </xf>
    <xf numFmtId="1" fontId="19" fillId="28" borderId="30" xfId="8" applyNumberFormat="1" applyFont="1" applyFill="1" applyBorder="1" applyAlignment="1" applyProtection="1">
      <alignment horizontal="center" vertical="center"/>
    </xf>
    <xf numFmtId="2" fontId="19" fillId="19" borderId="12" xfId="8" applyNumberFormat="1" applyFont="1" applyFill="1" applyBorder="1">
      <alignment vertical="center"/>
    </xf>
    <xf numFmtId="2" fontId="16" fillId="19" borderId="12" xfId="8" applyNumberFormat="1" applyFill="1" applyBorder="1">
      <alignment vertical="center"/>
    </xf>
    <xf numFmtId="2" fontId="16" fillId="19" borderId="35" xfId="8" applyNumberFormat="1" applyFont="1" applyFill="1" applyBorder="1">
      <alignment vertical="center"/>
    </xf>
    <xf numFmtId="0" fontId="16" fillId="19" borderId="0" xfId="8" applyNumberFormat="1" applyFont="1" applyFill="1" applyBorder="1" applyAlignment="1">
      <alignment horizontal="left" vertical="center"/>
    </xf>
    <xf numFmtId="2" fontId="16" fillId="19" borderId="119" xfId="8" applyNumberFormat="1" applyFont="1" applyFill="1" applyBorder="1">
      <alignment vertical="center"/>
    </xf>
    <xf numFmtId="2" fontId="17" fillId="19" borderId="31" xfId="8" applyNumberFormat="1" applyFont="1" applyFill="1" applyBorder="1">
      <alignment vertical="center"/>
    </xf>
    <xf numFmtId="2" fontId="16" fillId="19" borderId="58" xfId="8" applyNumberFormat="1" applyFill="1" applyBorder="1" applyAlignment="1">
      <alignment horizontal="center" vertical="center"/>
    </xf>
    <xf numFmtId="2" fontId="16" fillId="19" borderId="57" xfId="8" applyNumberFormat="1" applyFill="1" applyBorder="1">
      <alignment vertical="center"/>
    </xf>
    <xf numFmtId="2" fontId="16" fillId="19" borderId="57" xfId="8" applyNumberFormat="1" applyFont="1" applyFill="1" applyBorder="1" applyProtection="1">
      <alignment vertical="center"/>
    </xf>
    <xf numFmtId="2" fontId="17" fillId="19" borderId="33" xfId="8" applyNumberFormat="1" applyFont="1" applyFill="1" applyBorder="1" applyProtection="1">
      <alignment vertical="center"/>
    </xf>
    <xf numFmtId="2" fontId="19" fillId="19" borderId="58" xfId="8" applyNumberFormat="1" applyFont="1" applyFill="1" applyBorder="1">
      <alignment vertical="center"/>
    </xf>
    <xf numFmtId="2" fontId="19" fillId="19" borderId="57" xfId="8" applyNumberFormat="1" applyFont="1" applyFill="1" applyBorder="1">
      <alignment vertical="center"/>
    </xf>
    <xf numFmtId="1" fontId="19" fillId="19" borderId="57" xfId="8" applyNumberFormat="1" applyFont="1" applyFill="1" applyBorder="1" applyAlignment="1" applyProtection="1">
      <alignment horizontal="center" vertical="center"/>
      <protection locked="0"/>
    </xf>
    <xf numFmtId="2" fontId="19" fillId="19" borderId="57" xfId="8" applyNumberFormat="1" applyFont="1" applyFill="1" applyBorder="1" applyProtection="1">
      <alignment vertical="center"/>
    </xf>
    <xf numFmtId="2" fontId="0" fillId="0" borderId="0" xfId="0" applyNumberFormat="1" applyAlignment="1">
      <alignment horizontal="center" vertical="center"/>
    </xf>
    <xf numFmtId="0" fontId="0" fillId="0" borderId="0" xfId="0" applyBorder="1">
      <alignment vertical="center"/>
    </xf>
    <xf numFmtId="0" fontId="0" fillId="0" borderId="0" xfId="0" applyBorder="1">
      <alignment vertical="center"/>
    </xf>
    <xf numFmtId="0" fontId="0" fillId="0" borderId="0" xfId="0">
      <alignment vertical="center"/>
    </xf>
    <xf numFmtId="1" fontId="16" fillId="0" borderId="0" xfId="0" applyNumberFormat="1" applyFont="1" applyAlignment="1">
      <alignment horizontal="center" vertical="center"/>
    </xf>
    <xf numFmtId="1" fontId="94" fillId="39" borderId="85" xfId="11" applyNumberFormat="1" applyAlignment="1">
      <alignment horizontal="center" vertical="center"/>
    </xf>
    <xf numFmtId="0" fontId="156" fillId="0" borderId="23" xfId="0" applyFont="1" applyBorder="1" applyAlignment="1">
      <alignment horizontal="right"/>
    </xf>
    <xf numFmtId="0" fontId="89" fillId="0" borderId="56" xfId="0" applyFont="1" applyBorder="1">
      <alignment vertical="center"/>
    </xf>
    <xf numFmtId="0" fontId="156" fillId="0" borderId="0" xfId="0" applyFont="1" applyBorder="1" applyAlignment="1">
      <alignment horizontal="right"/>
    </xf>
    <xf numFmtId="170" fontId="156" fillId="0" borderId="0" xfId="0" applyNumberFormat="1" applyFont="1" applyBorder="1" applyAlignment="1">
      <alignment horizontal="left"/>
    </xf>
    <xf numFmtId="0" fontId="89" fillId="0" borderId="24" xfId="0" applyFont="1" applyBorder="1">
      <alignment vertical="center"/>
    </xf>
    <xf numFmtId="0" fontId="156" fillId="0" borderId="116" xfId="0" applyFont="1" applyBorder="1" applyAlignment="1">
      <alignment horizontal="right"/>
    </xf>
    <xf numFmtId="170" fontId="156" fillId="0" borderId="116" xfId="0" applyNumberFormat="1" applyFont="1" applyBorder="1" applyAlignment="1">
      <alignment horizontal="left"/>
    </xf>
    <xf numFmtId="1" fontId="139" fillId="42" borderId="49" xfId="15" applyNumberFormat="1" applyBorder="1" applyAlignment="1" applyProtection="1">
      <alignment horizontal="center" vertical="center"/>
      <protection locked="0"/>
    </xf>
    <xf numFmtId="1" fontId="94" fillId="39" borderId="153" xfId="11" applyNumberFormat="1" applyBorder="1" applyAlignment="1">
      <alignment horizontal="center" vertical="center"/>
    </xf>
    <xf numFmtId="0" fontId="16" fillId="0" borderId="9" xfId="0" applyFont="1" applyBorder="1" applyAlignment="1">
      <alignment horizontal="center" vertical="center"/>
    </xf>
    <xf numFmtId="0" fontId="156" fillId="0" borderId="55" xfId="0" applyFont="1" applyBorder="1" applyAlignment="1">
      <alignment horizontal="right"/>
    </xf>
    <xf numFmtId="0" fontId="79" fillId="0" borderId="0" xfId="0" applyFont="1" applyAlignment="1">
      <alignment horizontal="left" vertical="top"/>
    </xf>
    <xf numFmtId="0" fontId="0" fillId="0" borderId="0" xfId="0" applyBorder="1">
      <alignment vertical="center"/>
    </xf>
    <xf numFmtId="0" fontId="0" fillId="0" borderId="0" xfId="0">
      <alignment vertical="center"/>
    </xf>
    <xf numFmtId="0" fontId="17" fillId="0" borderId="0" xfId="0" applyFont="1" applyBorder="1" applyAlignment="1">
      <alignment horizontal="center"/>
    </xf>
    <xf numFmtId="1" fontId="54" fillId="19" borderId="0" xfId="8" applyNumberFormat="1" applyFont="1" applyFill="1" applyBorder="1">
      <alignment vertical="center"/>
    </xf>
    <xf numFmtId="1" fontId="157" fillId="29" borderId="9" xfId="8" applyNumberFormat="1" applyFont="1" applyFill="1" applyBorder="1" applyAlignment="1">
      <alignment horizontal="center" vertical="center" wrapText="1"/>
    </xf>
    <xf numFmtId="2" fontId="54" fillId="19" borderId="0" xfId="8" applyNumberFormat="1" applyFont="1" applyFill="1" applyBorder="1" applyAlignment="1">
      <alignment horizontal="center" vertical="center"/>
    </xf>
    <xf numFmtId="12" fontId="42" fillId="29" borderId="7" xfId="8" applyNumberFormat="1" applyFont="1" applyFill="1" applyBorder="1" applyAlignment="1">
      <alignment horizontal="center" vertical="center" wrapText="1"/>
    </xf>
    <xf numFmtId="1" fontId="20" fillId="19" borderId="0" xfId="8" applyNumberFormat="1" applyFont="1" applyFill="1" applyBorder="1" applyAlignment="1">
      <alignment vertical="center"/>
    </xf>
    <xf numFmtId="0" fontId="0" fillId="0" borderId="0" xfId="0">
      <alignment vertical="center"/>
    </xf>
    <xf numFmtId="1" fontId="16" fillId="0" borderId="0" xfId="0" applyNumberFormat="1" applyFont="1" applyFill="1" applyAlignment="1"/>
    <xf numFmtId="1" fontId="17" fillId="0" borderId="0" xfId="0" applyNumberFormat="1" applyFont="1" applyFill="1" applyAlignment="1"/>
    <xf numFmtId="2" fontId="17" fillId="0" borderId="0" xfId="0" applyNumberFormat="1" applyFont="1">
      <alignment vertical="center"/>
    </xf>
    <xf numFmtId="0" fontId="17" fillId="0" borderId="0" xfId="0" applyFont="1" applyBorder="1" applyAlignment="1">
      <alignment horizontal="left"/>
    </xf>
    <xf numFmtId="0" fontId="0" fillId="0" borderId="0" xfId="0" applyBorder="1" applyAlignment="1">
      <alignment horizontal="left"/>
    </xf>
    <xf numFmtId="0" fontId="21" fillId="0" borderId="0" xfId="0" applyFont="1" applyBorder="1" applyAlignment="1">
      <alignment horizontal="left" vertical="center" wrapText="1"/>
    </xf>
    <xf numFmtId="0" fontId="48" fillId="0" borderId="0" xfId="0" applyFont="1" applyBorder="1" applyAlignment="1">
      <alignment horizontal="left" vertical="center" wrapText="1"/>
    </xf>
    <xf numFmtId="0" fontId="48" fillId="9" borderId="0" xfId="0" applyFont="1" applyFill="1" applyBorder="1" applyAlignment="1">
      <alignment horizontal="left" vertical="center"/>
    </xf>
    <xf numFmtId="0" fontId="48" fillId="10" borderId="0" xfId="0" applyFont="1" applyFill="1" applyBorder="1" applyAlignment="1">
      <alignment horizontal="left" vertical="center"/>
    </xf>
    <xf numFmtId="0" fontId="48" fillId="8" borderId="0" xfId="0" applyFont="1" applyFill="1" applyBorder="1" applyAlignment="1">
      <alignment horizontal="left" vertical="center"/>
    </xf>
    <xf numFmtId="0" fontId="48" fillId="11" borderId="0" xfId="0" applyFont="1" applyFill="1" applyBorder="1" applyAlignment="1">
      <alignment horizontal="left" vertical="center"/>
    </xf>
    <xf numFmtId="0" fontId="48" fillId="12" borderId="0" xfId="0" applyFont="1" applyFill="1" applyBorder="1" applyAlignment="1">
      <alignment horizontal="left" vertical="center"/>
    </xf>
    <xf numFmtId="0" fontId="48" fillId="13" borderId="0" xfId="0" applyFont="1" applyFill="1" applyBorder="1" applyAlignment="1">
      <alignment horizontal="left" vertical="center"/>
    </xf>
    <xf numFmtId="2" fontId="42" fillId="9" borderId="55" xfId="0" applyNumberFormat="1" applyFont="1" applyFill="1" applyBorder="1" applyAlignment="1">
      <alignment horizontal="center" vertical="center" wrapText="1"/>
    </xf>
    <xf numFmtId="2" fontId="42" fillId="9" borderId="116" xfId="0" applyNumberFormat="1" applyFont="1" applyFill="1" applyBorder="1" applyAlignment="1">
      <alignment horizontal="center" vertical="center" wrapText="1"/>
    </xf>
    <xf numFmtId="2" fontId="43" fillId="9" borderId="52" xfId="0" applyNumberFormat="1" applyFont="1" applyFill="1" applyBorder="1" applyAlignment="1">
      <alignment horizontal="center" vertical="center" wrapText="1"/>
    </xf>
    <xf numFmtId="2" fontId="42" fillId="10" borderId="23" xfId="0" applyNumberFormat="1" applyFont="1" applyFill="1" applyBorder="1" applyAlignment="1">
      <alignment horizontal="center" vertical="center" wrapText="1"/>
    </xf>
    <xf numFmtId="2" fontId="43" fillId="10" borderId="154" xfId="0" applyNumberFormat="1" applyFont="1" applyFill="1" applyBorder="1" applyAlignment="1">
      <alignment horizontal="center" vertical="center" wrapText="1"/>
    </xf>
    <xf numFmtId="2" fontId="42" fillId="8" borderId="23" xfId="0" applyNumberFormat="1" applyFont="1" applyFill="1" applyBorder="1" applyAlignment="1">
      <alignment horizontal="center" vertical="center" wrapText="1"/>
    </xf>
    <xf numFmtId="2" fontId="43" fillId="8" borderId="154" xfId="0" applyNumberFormat="1" applyFont="1" applyFill="1" applyBorder="1" applyAlignment="1">
      <alignment horizontal="center" vertical="center" wrapText="1"/>
    </xf>
    <xf numFmtId="2" fontId="42" fillId="11" borderId="23" xfId="0" applyNumberFormat="1" applyFont="1" applyFill="1" applyBorder="1" applyAlignment="1">
      <alignment horizontal="center" vertical="center" wrapText="1"/>
    </xf>
    <xf numFmtId="2" fontId="43" fillId="11" borderId="154" xfId="0" applyNumberFormat="1" applyFont="1" applyFill="1" applyBorder="1" applyAlignment="1">
      <alignment horizontal="center" vertical="center" wrapText="1"/>
    </xf>
    <xf numFmtId="2" fontId="42" fillId="12" borderId="23" xfId="0" applyNumberFormat="1" applyFont="1" applyFill="1" applyBorder="1" applyAlignment="1">
      <alignment horizontal="center" vertical="center" wrapText="1"/>
    </xf>
    <xf numFmtId="2" fontId="43" fillId="12" borderId="154" xfId="0" applyNumberFormat="1" applyFont="1" applyFill="1" applyBorder="1" applyAlignment="1">
      <alignment horizontal="center" vertical="center" wrapText="1"/>
    </xf>
    <xf numFmtId="2" fontId="158" fillId="13" borderId="27" xfId="0" applyNumberFormat="1" applyFont="1" applyFill="1" applyBorder="1" applyAlignment="1">
      <alignment horizontal="center" vertical="center" wrapText="1"/>
    </xf>
    <xf numFmtId="2" fontId="158" fillId="13" borderId="61" xfId="0" applyNumberFormat="1" applyFont="1" applyFill="1" applyBorder="1" applyAlignment="1">
      <alignment horizontal="center" vertical="center" wrapText="1"/>
    </xf>
    <xf numFmtId="2" fontId="43" fillId="13" borderId="49" xfId="0" applyNumberFormat="1" applyFont="1" applyFill="1" applyBorder="1" applyAlignment="1">
      <alignment horizontal="center" vertical="center" wrapText="1"/>
    </xf>
    <xf numFmtId="0" fontId="160" fillId="0" borderId="17" xfId="0" applyFont="1" applyBorder="1" applyAlignment="1">
      <alignment horizontal="center" vertical="center" wrapText="1"/>
    </xf>
    <xf numFmtId="0" fontId="159" fillId="19" borderId="31" xfId="0" quotePrefix="1" applyFont="1" applyFill="1" applyBorder="1" applyAlignment="1">
      <alignment horizontal="center" vertical="center" wrapText="1"/>
    </xf>
    <xf numFmtId="0" fontId="159" fillId="19" borderId="119" xfId="0" quotePrefix="1" applyFont="1" applyFill="1" applyBorder="1" applyAlignment="1">
      <alignment horizontal="center" vertical="center" wrapText="1"/>
    </xf>
    <xf numFmtId="0" fontId="159" fillId="19" borderId="16" xfId="0" quotePrefix="1" applyFont="1" applyFill="1" applyBorder="1" applyAlignment="1">
      <alignment horizontal="center" vertical="center" wrapText="1"/>
    </xf>
    <xf numFmtId="0" fontId="31" fillId="19" borderId="17" xfId="0" quotePrefix="1" applyFont="1" applyFill="1" applyBorder="1" applyAlignment="1">
      <alignment horizontal="center" vertical="center" wrapText="1"/>
    </xf>
    <xf numFmtId="0" fontId="23" fillId="19" borderId="18" xfId="0" applyFont="1" applyFill="1" applyBorder="1" applyAlignment="1">
      <alignment horizontal="center" vertical="center" wrapText="1"/>
    </xf>
    <xf numFmtId="2" fontId="43" fillId="9" borderId="17" xfId="0" applyNumberFormat="1" applyFont="1" applyFill="1" applyBorder="1" applyAlignment="1">
      <alignment horizontal="center" vertical="center" wrapText="1"/>
    </xf>
    <xf numFmtId="2" fontId="43" fillId="10" borderId="120" xfId="0" applyNumberFormat="1" applyFont="1" applyFill="1" applyBorder="1" applyAlignment="1">
      <alignment horizontal="center" vertical="center" wrapText="1"/>
    </xf>
    <xf numFmtId="2" fontId="43" fillId="8" borderId="120" xfId="0" applyNumberFormat="1" applyFont="1" applyFill="1" applyBorder="1" applyAlignment="1">
      <alignment horizontal="center" vertical="center" wrapText="1"/>
    </xf>
    <xf numFmtId="2" fontId="43" fillId="11" borderId="120" xfId="0" applyNumberFormat="1" applyFont="1" applyFill="1" applyBorder="1" applyAlignment="1">
      <alignment horizontal="center" vertical="center" wrapText="1"/>
    </xf>
    <xf numFmtId="2" fontId="43" fillId="12" borderId="120" xfId="0" applyNumberFormat="1" applyFont="1" applyFill="1" applyBorder="1" applyAlignment="1">
      <alignment horizontal="center" vertical="center" wrapText="1"/>
    </xf>
    <xf numFmtId="2" fontId="43" fillId="13" borderId="18" xfId="0" applyNumberFormat="1" applyFont="1" applyFill="1" applyBorder="1" applyAlignment="1">
      <alignment horizontal="center" vertical="center" wrapText="1"/>
    </xf>
    <xf numFmtId="0" fontId="48" fillId="0" borderId="55" xfId="0" applyFont="1" applyBorder="1" applyAlignment="1">
      <alignment horizontal="left" vertical="center"/>
    </xf>
    <xf numFmtId="0" fontId="48" fillId="0" borderId="23" xfId="0" applyFont="1" applyBorder="1" applyAlignment="1">
      <alignment horizontal="left" vertical="center" wrapText="1"/>
    </xf>
    <xf numFmtId="0" fontId="49" fillId="0" borderId="23" xfId="0" applyFont="1" applyBorder="1" applyAlignment="1">
      <alignment horizontal="left" vertical="center" wrapText="1"/>
    </xf>
    <xf numFmtId="0" fontId="48" fillId="9" borderId="23" xfId="0" applyFont="1" applyFill="1" applyBorder="1" applyAlignment="1">
      <alignment horizontal="left" vertical="center"/>
    </xf>
    <xf numFmtId="0" fontId="48" fillId="10" borderId="23" xfId="0" applyFont="1" applyFill="1" applyBorder="1" applyAlignment="1">
      <alignment horizontal="left" vertical="center"/>
    </xf>
    <xf numFmtId="0" fontId="48" fillId="8" borderId="23" xfId="0" applyFont="1" applyFill="1" applyBorder="1" applyAlignment="1">
      <alignment horizontal="left" vertical="center"/>
    </xf>
    <xf numFmtId="0" fontId="48" fillId="11" borderId="23" xfId="0" applyFont="1" applyFill="1" applyBorder="1" applyAlignment="1">
      <alignment horizontal="left" vertical="center"/>
    </xf>
    <xf numFmtId="0" fontId="48" fillId="12" borderId="23" xfId="0" applyFont="1" applyFill="1" applyBorder="1" applyAlignment="1">
      <alignment horizontal="left" vertical="center"/>
    </xf>
    <xf numFmtId="0" fontId="48" fillId="13" borderId="27" xfId="0" applyFont="1" applyFill="1" applyBorder="1" applyAlignment="1">
      <alignment horizontal="left" vertical="center"/>
    </xf>
    <xf numFmtId="0" fontId="49" fillId="0" borderId="120" xfId="0" applyFont="1" applyBorder="1" applyAlignment="1">
      <alignment horizontal="right" vertical="center"/>
    </xf>
    <xf numFmtId="2" fontId="42" fillId="9" borderId="120" xfId="0" applyNumberFormat="1" applyFont="1" applyFill="1" applyBorder="1" applyAlignment="1">
      <alignment horizontal="center" vertical="center" wrapText="1"/>
    </xf>
    <xf numFmtId="2" fontId="42" fillId="10" borderId="120" xfId="0" applyNumberFormat="1" applyFont="1" applyFill="1" applyBorder="1" applyAlignment="1">
      <alignment horizontal="center" vertical="center" wrapText="1"/>
    </xf>
    <xf numFmtId="2" fontId="42" fillId="8" borderId="120" xfId="0" applyNumberFormat="1" applyFont="1" applyFill="1" applyBorder="1" applyAlignment="1">
      <alignment horizontal="center" vertical="center" wrapText="1"/>
    </xf>
    <xf numFmtId="2" fontId="42" fillId="11" borderId="120" xfId="0" applyNumberFormat="1" applyFont="1" applyFill="1" applyBorder="1" applyAlignment="1">
      <alignment horizontal="center" vertical="center" wrapText="1"/>
    </xf>
    <xf numFmtId="2" fontId="42" fillId="12" borderId="120" xfId="0" applyNumberFormat="1" applyFont="1" applyFill="1" applyBorder="1" applyAlignment="1">
      <alignment horizontal="center" vertical="center" wrapText="1"/>
    </xf>
    <xf numFmtId="2" fontId="42" fillId="13" borderId="18" xfId="0" applyNumberFormat="1" applyFont="1" applyFill="1" applyBorder="1" applyAlignment="1">
      <alignment horizontal="center" vertical="center" wrapText="1"/>
    </xf>
    <xf numFmtId="0" fontId="49" fillId="0" borderId="18" xfId="0" applyFont="1" applyBorder="1" applyAlignment="1">
      <alignment horizontal="center" vertical="center" wrapText="1"/>
    </xf>
    <xf numFmtId="0" fontId="49" fillId="0" borderId="16" xfId="0" applyFont="1" applyBorder="1" applyAlignment="1">
      <alignment horizontal="center" vertical="center" wrapText="1"/>
    </xf>
    <xf numFmtId="0" fontId="48" fillId="0" borderId="17" xfId="0" applyFont="1" applyBorder="1" applyAlignment="1">
      <alignment horizontal="left" vertical="center"/>
    </xf>
    <xf numFmtId="0" fontId="48" fillId="0" borderId="120" xfId="0" applyFont="1" applyBorder="1" applyAlignment="1">
      <alignment horizontal="left" vertical="center" wrapText="1"/>
    </xf>
    <xf numFmtId="0" fontId="49" fillId="0" borderId="120" xfId="0" applyFont="1" applyBorder="1" applyAlignment="1">
      <alignment horizontal="left" vertical="center" wrapText="1"/>
    </xf>
    <xf numFmtId="0" fontId="48" fillId="9" borderId="120" xfId="0" applyFont="1" applyFill="1" applyBorder="1" applyAlignment="1">
      <alignment horizontal="left" vertical="center"/>
    </xf>
    <xf numFmtId="0" fontId="48" fillId="10" borderId="120" xfId="0" applyFont="1" applyFill="1" applyBorder="1" applyAlignment="1">
      <alignment horizontal="left" vertical="center"/>
    </xf>
    <xf numFmtId="0" fontId="48" fillId="8" borderId="120" xfId="0" applyFont="1" applyFill="1" applyBorder="1" applyAlignment="1">
      <alignment horizontal="left" vertical="center"/>
    </xf>
    <xf numFmtId="0" fontId="48" fillId="11" borderId="120" xfId="0" applyFont="1" applyFill="1" applyBorder="1" applyAlignment="1">
      <alignment horizontal="left" vertical="center"/>
    </xf>
    <xf numFmtId="0" fontId="48" fillId="12" borderId="120" xfId="0" applyFont="1" applyFill="1" applyBorder="1" applyAlignment="1">
      <alignment horizontal="left" vertical="center"/>
    </xf>
    <xf numFmtId="0" fontId="48" fillId="13" borderId="18" xfId="0" applyFont="1" applyFill="1" applyBorder="1" applyAlignment="1">
      <alignment horizontal="left" vertical="center"/>
    </xf>
    <xf numFmtId="0" fontId="48" fillId="0" borderId="0" xfId="0" applyFont="1" applyFill="1" applyBorder="1" applyAlignment="1">
      <alignment horizontal="right" vertical="center"/>
    </xf>
    <xf numFmtId="0" fontId="0" fillId="0" borderId="0" xfId="0" applyFill="1" applyBorder="1" applyAlignment="1"/>
    <xf numFmtId="2" fontId="44" fillId="0" borderId="0" xfId="0" applyNumberFormat="1" applyFont="1" applyFill="1" applyBorder="1" applyAlignment="1">
      <alignment horizontal="center" vertical="center" wrapText="1"/>
    </xf>
    <xf numFmtId="0" fontId="51" fillId="0" borderId="0" xfId="0" applyFont="1" applyFill="1" applyBorder="1" applyAlignment="1">
      <alignment horizontal="center" vertical="center" wrapText="1"/>
    </xf>
    <xf numFmtId="170" fontId="89" fillId="0" borderId="116" xfId="0" applyNumberFormat="1" applyFont="1" applyBorder="1" applyAlignment="1">
      <alignment horizontal="left" vertical="center"/>
    </xf>
    <xf numFmtId="0" fontId="16" fillId="0" borderId="56" xfId="0" applyFont="1" applyBorder="1">
      <alignment vertical="center"/>
    </xf>
    <xf numFmtId="0" fontId="156" fillId="0" borderId="27" xfId="0" applyFont="1" applyBorder="1" applyAlignment="1">
      <alignment horizontal="right"/>
    </xf>
    <xf numFmtId="0" fontId="156" fillId="0" borderId="61" xfId="0" applyFont="1" applyBorder="1" applyAlignment="1">
      <alignment horizontal="right"/>
    </xf>
    <xf numFmtId="170" fontId="156" fillId="0" borderId="61" xfId="0" applyNumberFormat="1" applyFont="1" applyBorder="1" applyAlignment="1">
      <alignment horizontal="left"/>
    </xf>
    <xf numFmtId="0" fontId="159" fillId="19" borderId="32" xfId="0" quotePrefix="1" applyFont="1" applyFill="1" applyBorder="1" applyAlignment="1">
      <alignment horizontal="center" vertical="center" wrapText="1"/>
    </xf>
    <xf numFmtId="0" fontId="49" fillId="0" borderId="18" xfId="0" applyFont="1" applyBorder="1" applyAlignment="1">
      <alignment horizontal="right" vertical="center" wrapText="1"/>
    </xf>
    <xf numFmtId="0" fontId="159" fillId="19" borderId="47" xfId="0" quotePrefix="1" applyFont="1" applyFill="1" applyBorder="1" applyAlignment="1">
      <alignment horizontal="center" vertical="center" wrapText="1"/>
    </xf>
    <xf numFmtId="2" fontId="42" fillId="9" borderId="155" xfId="0" applyNumberFormat="1" applyFont="1" applyFill="1" applyBorder="1" applyAlignment="1">
      <alignment horizontal="center" vertical="center" wrapText="1"/>
    </xf>
    <xf numFmtId="2" fontId="42" fillId="10" borderId="4" xfId="0" applyNumberFormat="1" applyFont="1" applyFill="1" applyBorder="1" applyAlignment="1">
      <alignment horizontal="center" vertical="center" wrapText="1"/>
    </xf>
    <xf numFmtId="2" fontId="42" fillId="8" borderId="4" xfId="0" applyNumberFormat="1" applyFont="1" applyFill="1" applyBorder="1" applyAlignment="1">
      <alignment horizontal="center" vertical="center" wrapText="1"/>
    </xf>
    <xf numFmtId="2" fontId="42" fillId="11" borderId="4" xfId="0" applyNumberFormat="1" applyFont="1" applyFill="1" applyBorder="1" applyAlignment="1">
      <alignment horizontal="center" vertical="center" wrapText="1"/>
    </xf>
    <xf numFmtId="2" fontId="42" fillId="12" borderId="4" xfId="0" applyNumberFormat="1" applyFont="1" applyFill="1" applyBorder="1" applyAlignment="1">
      <alignment horizontal="center" vertical="center" wrapText="1"/>
    </xf>
    <xf numFmtId="2" fontId="158" fillId="13" borderId="137" xfId="0" applyNumberFormat="1" applyFont="1" applyFill="1" applyBorder="1" applyAlignment="1">
      <alignment horizontal="center" vertical="center" wrapText="1"/>
    </xf>
    <xf numFmtId="0" fontId="159" fillId="19" borderId="156" xfId="0" quotePrefix="1" applyFont="1" applyFill="1" applyBorder="1" applyAlignment="1">
      <alignment horizontal="center" vertical="center" wrapText="1"/>
    </xf>
    <xf numFmtId="2" fontId="42" fillId="9" borderId="140" xfId="0" applyNumberFormat="1" applyFont="1" applyFill="1" applyBorder="1" applyAlignment="1">
      <alignment horizontal="center" vertical="center" wrapText="1"/>
    </xf>
    <xf numFmtId="2" fontId="42" fillId="10" borderId="6" xfId="0" applyNumberFormat="1" applyFont="1" applyFill="1" applyBorder="1" applyAlignment="1">
      <alignment horizontal="center" vertical="center" wrapText="1"/>
    </xf>
    <xf numFmtId="2" fontId="42" fillId="8" borderId="6" xfId="0" applyNumberFormat="1" applyFont="1" applyFill="1" applyBorder="1" applyAlignment="1">
      <alignment horizontal="center" vertical="center" wrapText="1"/>
    </xf>
    <xf numFmtId="2" fontId="42" fillId="11" borderId="6" xfId="0" applyNumberFormat="1" applyFont="1" applyFill="1" applyBorder="1" applyAlignment="1">
      <alignment horizontal="center" vertical="center" wrapText="1"/>
    </xf>
    <xf numFmtId="2" fontId="42" fillId="12" borderId="6" xfId="0" applyNumberFormat="1" applyFont="1" applyFill="1" applyBorder="1" applyAlignment="1">
      <alignment horizontal="center" vertical="center" wrapText="1"/>
    </xf>
    <xf numFmtId="2" fontId="158" fillId="13" borderId="138" xfId="0" applyNumberFormat="1" applyFont="1" applyFill="1" applyBorder="1" applyAlignment="1">
      <alignment horizontal="center" vertical="center" wrapText="1"/>
    </xf>
    <xf numFmtId="0" fontId="134" fillId="0" borderId="0" xfId="0" applyFont="1" applyAlignment="1">
      <alignment horizontal="right" vertical="center"/>
    </xf>
    <xf numFmtId="0" fontId="17" fillId="0" borderId="0" xfId="0" applyFont="1" applyAlignment="1">
      <alignment horizontal="right" vertical="center"/>
    </xf>
    <xf numFmtId="0" fontId="17" fillId="19" borderId="12" xfId="8" applyNumberFormat="1" applyFont="1" applyFill="1" applyBorder="1">
      <alignment vertical="center"/>
    </xf>
    <xf numFmtId="2" fontId="162" fillId="19" borderId="0" xfId="8" applyNumberFormat="1" applyFont="1" applyFill="1" applyBorder="1">
      <alignment vertical="center"/>
    </xf>
    <xf numFmtId="2" fontId="17" fillId="0" borderId="0" xfId="0" applyNumberFormat="1" applyFont="1" applyFill="1" applyAlignment="1">
      <alignment wrapText="1"/>
    </xf>
    <xf numFmtId="2" fontId="17" fillId="0" borderId="0" xfId="0" applyNumberFormat="1" applyFont="1" applyFill="1" applyAlignment="1"/>
    <xf numFmtId="2" fontId="54" fillId="0" borderId="0" xfId="0" applyNumberFormat="1" applyFont="1">
      <alignment vertical="center"/>
    </xf>
    <xf numFmtId="0" fontId="0" fillId="0" borderId="0" xfId="0">
      <alignment vertical="center"/>
    </xf>
    <xf numFmtId="0" fontId="3" fillId="0" borderId="0" xfId="0" applyNumberFormat="1" applyFont="1" applyFill="1" applyAlignment="1">
      <alignment vertical="center"/>
    </xf>
    <xf numFmtId="0" fontId="63" fillId="0" borderId="3" xfId="0" applyFont="1" applyBorder="1" applyAlignment="1">
      <alignment vertical="top" wrapText="1"/>
    </xf>
    <xf numFmtId="0" fontId="63" fillId="0" borderId="10" xfId="0" applyFont="1" applyBorder="1" applyAlignment="1">
      <alignment vertical="top" wrapText="1"/>
    </xf>
    <xf numFmtId="0" fontId="63" fillId="0" borderId="0" xfId="0" applyFont="1" applyBorder="1" applyAlignment="1">
      <alignment vertical="top" wrapText="1"/>
    </xf>
    <xf numFmtId="0" fontId="63" fillId="0" borderId="6" xfId="0" applyFont="1" applyBorder="1" applyAlignment="1">
      <alignment vertical="top" wrapText="1"/>
    </xf>
    <xf numFmtId="0" fontId="144" fillId="0" borderId="1" xfId="0" applyFont="1" applyBorder="1" applyAlignment="1">
      <alignment vertical="top" wrapText="1"/>
    </xf>
    <xf numFmtId="0" fontId="144" fillId="0" borderId="11" xfId="0" applyFont="1" applyBorder="1" applyAlignment="1">
      <alignment vertical="top" wrapText="1"/>
    </xf>
    <xf numFmtId="0" fontId="17" fillId="0" borderId="0" xfId="0" applyFont="1" applyAlignment="1">
      <alignment horizontal="center" vertical="center"/>
    </xf>
    <xf numFmtId="2" fontId="0" fillId="0" borderId="0" xfId="0" applyNumberFormat="1" applyBorder="1" applyAlignment="1"/>
    <xf numFmtId="0" fontId="16" fillId="19" borderId="0" xfId="8" quotePrefix="1" applyNumberFormat="1" applyFill="1" applyBorder="1">
      <alignment vertical="center"/>
    </xf>
    <xf numFmtId="2" fontId="42" fillId="30" borderId="9" xfId="8" applyNumberFormat="1" applyFont="1" applyFill="1" applyBorder="1" applyAlignment="1">
      <alignment horizontal="center" vertical="center" wrapText="1"/>
    </xf>
    <xf numFmtId="2" fontId="157" fillId="19" borderId="0" xfId="8" applyNumberFormat="1" applyFont="1" applyFill="1" applyBorder="1" applyAlignment="1">
      <alignment horizontal="center" vertical="center" wrapText="1"/>
    </xf>
    <xf numFmtId="1" fontId="24" fillId="29" borderId="9" xfId="8" applyNumberFormat="1" applyFont="1" applyFill="1" applyBorder="1" applyAlignment="1">
      <alignment horizontal="center" vertical="center" wrapText="1"/>
    </xf>
    <xf numFmtId="1" fontId="21" fillId="29" borderId="9" xfId="8" applyNumberFormat="1" applyFont="1" applyFill="1" applyBorder="1" applyAlignment="1">
      <alignment horizontal="center" vertical="center" wrapText="1"/>
    </xf>
    <xf numFmtId="2" fontId="21" fillId="37" borderId="9" xfId="8" applyNumberFormat="1" applyFont="1" applyFill="1" applyBorder="1" applyAlignment="1">
      <alignment horizontal="center" vertical="center" wrapText="1"/>
    </xf>
    <xf numFmtId="2" fontId="21" fillId="30" borderId="15" xfId="8" applyNumberFormat="1" applyFont="1" applyFill="1" applyBorder="1" applyAlignment="1">
      <alignment horizontal="center" vertical="center" wrapText="1"/>
    </xf>
    <xf numFmtId="2" fontId="21" fillId="34" borderId="15" xfId="8" applyNumberFormat="1" applyFont="1" applyFill="1" applyBorder="1" applyAlignment="1">
      <alignment horizontal="center" vertical="center" wrapText="1"/>
    </xf>
    <xf numFmtId="1" fontId="21" fillId="19" borderId="0" xfId="8" applyNumberFormat="1" applyFont="1" applyFill="1" applyBorder="1" applyAlignment="1">
      <alignment horizontal="center" vertical="center" wrapText="1"/>
    </xf>
    <xf numFmtId="166" fontId="13" fillId="0" borderId="0" xfId="0" applyNumberFormat="1" applyFont="1" applyFill="1" applyAlignment="1"/>
    <xf numFmtId="166" fontId="13" fillId="0" borderId="0" xfId="0" applyNumberFormat="1" applyFont="1" applyFill="1" applyAlignment="1">
      <alignment wrapText="1"/>
    </xf>
    <xf numFmtId="166" fontId="13" fillId="0" borderId="0" xfId="0" applyNumberFormat="1" applyFont="1" applyFill="1" applyBorder="1" applyAlignment="1"/>
    <xf numFmtId="166" fontId="13" fillId="0" borderId="0" xfId="0" applyNumberFormat="1" applyFont="1" applyFill="1" applyBorder="1" applyAlignment="1">
      <alignment wrapText="1"/>
    </xf>
    <xf numFmtId="169" fontId="3" fillId="0" borderId="0" xfId="0" applyNumberFormat="1" applyFont="1" applyFill="1" applyBorder="1" applyAlignment="1">
      <alignment vertical="center"/>
    </xf>
    <xf numFmtId="4" fontId="3" fillId="0" borderId="0" xfId="0" applyNumberFormat="1" applyFont="1" applyFill="1" applyBorder="1" applyAlignment="1">
      <alignment vertical="center"/>
    </xf>
    <xf numFmtId="174" fontId="3" fillId="0" borderId="0" xfId="0" applyNumberFormat="1" applyFont="1" applyFill="1" applyBorder="1" applyAlignment="1">
      <alignment horizontal="center" vertical="center"/>
    </xf>
    <xf numFmtId="0" fontId="2" fillId="29" borderId="0" xfId="0" applyNumberFormat="1" applyFont="1" applyFill="1" applyBorder="1" applyAlignment="1">
      <alignment horizontal="right"/>
    </xf>
    <xf numFmtId="169" fontId="3" fillId="29" borderId="0" xfId="0" applyNumberFormat="1" applyFont="1" applyFill="1" applyBorder="1" applyAlignment="1">
      <alignment vertical="center"/>
    </xf>
    <xf numFmtId="0" fontId="69" fillId="0" borderId="0" xfId="0" applyNumberFormat="1" applyFont="1" applyFill="1" applyAlignment="1"/>
    <xf numFmtId="0" fontId="165" fillId="0" borderId="0" xfId="0" applyNumberFormat="1" applyFont="1" applyFill="1" applyAlignment="1"/>
    <xf numFmtId="0" fontId="69" fillId="0" borderId="2" xfId="0" applyNumberFormat="1" applyFont="1" applyFill="1" applyBorder="1" applyAlignment="1"/>
    <xf numFmtId="0" fontId="69" fillId="0" borderId="4" xfId="0" applyNumberFormat="1" applyFont="1" applyFill="1" applyBorder="1" applyAlignment="1"/>
    <xf numFmtId="0" fontId="165" fillId="0" borderId="5" xfId="0" applyNumberFormat="1" applyFont="1" applyFill="1" applyBorder="1" applyAlignment="1"/>
    <xf numFmtId="0" fontId="144" fillId="0" borderId="0" xfId="0" applyFont="1" applyBorder="1" applyAlignment="1">
      <alignment vertical="top" wrapText="1"/>
    </xf>
    <xf numFmtId="0" fontId="144" fillId="0" borderId="6" xfId="0" applyFont="1" applyBorder="1" applyAlignment="1">
      <alignment vertical="top" wrapText="1"/>
    </xf>
    <xf numFmtId="0" fontId="13" fillId="0" borderId="0" xfId="0" applyNumberFormat="1" applyFont="1" applyFill="1" applyAlignment="1">
      <alignment horizontal="left"/>
    </xf>
    <xf numFmtId="0" fontId="0" fillId="0" borderId="0" xfId="0">
      <alignment vertical="center"/>
    </xf>
    <xf numFmtId="0" fontId="0" fillId="0" borderId="0" xfId="0" applyNumberFormat="1" applyFont="1" applyFill="1" applyBorder="1" applyAlignment="1">
      <alignment wrapText="1"/>
    </xf>
    <xf numFmtId="1" fontId="3" fillId="0" borderId="0" xfId="0" applyNumberFormat="1" applyFont="1" applyFill="1" applyBorder="1" applyAlignment="1">
      <alignment horizontal="center" vertical="center"/>
    </xf>
    <xf numFmtId="169" fontId="8" fillId="0" borderId="0" xfId="0" applyNumberFormat="1" applyFont="1" applyFill="1" applyBorder="1" applyAlignment="1">
      <alignment horizontal="center" vertical="center"/>
    </xf>
    <xf numFmtId="169" fontId="8" fillId="0" borderId="0" xfId="0" applyNumberFormat="1" applyFont="1" applyFill="1" applyBorder="1" applyAlignment="1">
      <alignment vertical="center"/>
    </xf>
    <xf numFmtId="0" fontId="0" fillId="29" borderId="0" xfId="0" applyFill="1" applyBorder="1">
      <alignment vertical="center"/>
    </xf>
    <xf numFmtId="0" fontId="19" fillId="0" borderId="0" xfId="0" applyFont="1">
      <alignment vertical="center"/>
    </xf>
    <xf numFmtId="1" fontId="152" fillId="0" borderId="158" xfId="0" applyNumberFormat="1" applyFont="1" applyFill="1" applyBorder="1" applyAlignment="1">
      <alignment horizontal="center" vertical="center"/>
    </xf>
    <xf numFmtId="169" fontId="152" fillId="0" borderId="158" xfId="0" applyNumberFormat="1" applyFont="1" applyFill="1" applyBorder="1" applyAlignment="1">
      <alignment vertical="center"/>
    </xf>
    <xf numFmtId="1" fontId="152" fillId="0" borderId="90" xfId="0" applyNumberFormat="1" applyFont="1" applyFill="1" applyBorder="1" applyAlignment="1">
      <alignment horizontal="center" vertical="center"/>
    </xf>
    <xf numFmtId="169" fontId="152" fillId="0" borderId="90" xfId="0" applyNumberFormat="1" applyFont="1" applyFill="1" applyBorder="1" applyAlignment="1">
      <alignment vertical="center"/>
    </xf>
    <xf numFmtId="1" fontId="152" fillId="0" borderId="157" xfId="0" applyNumberFormat="1" applyFont="1" applyFill="1" applyBorder="1" applyAlignment="1">
      <alignment horizontal="center" vertical="center"/>
    </xf>
    <xf numFmtId="169" fontId="152" fillId="0" borderId="157" xfId="0" applyNumberFormat="1" applyFont="1" applyFill="1" applyBorder="1" applyAlignment="1">
      <alignment vertical="center"/>
    </xf>
    <xf numFmtId="1" fontId="163" fillId="0" borderId="0" xfId="0" applyNumberFormat="1" applyFont="1" applyFill="1" applyBorder="1" applyAlignment="1">
      <alignment horizontal="center" vertical="center"/>
    </xf>
    <xf numFmtId="172" fontId="14" fillId="0" borderId="0" xfId="0" applyNumberFormat="1" applyFont="1" applyFill="1" applyBorder="1" applyAlignment="1">
      <alignment horizontal="center" vertical="center"/>
    </xf>
    <xf numFmtId="1" fontId="14" fillId="0" borderId="0" xfId="0" applyNumberFormat="1" applyFont="1" applyFill="1" applyBorder="1" applyAlignment="1">
      <alignment horizontal="center" vertical="center"/>
    </xf>
    <xf numFmtId="0" fontId="0" fillId="0" borderId="0" xfId="0" applyFill="1">
      <alignment vertical="center"/>
    </xf>
    <xf numFmtId="0" fontId="13" fillId="0" borderId="0" xfId="0" applyNumberFormat="1" applyFont="1" applyFill="1" applyAlignment="1">
      <alignment horizontal="left" vertical="center"/>
    </xf>
    <xf numFmtId="172" fontId="14" fillId="29" borderId="157" xfId="0" applyNumberFormat="1" applyFont="1" applyFill="1" applyBorder="1" applyAlignment="1">
      <alignment horizontal="center" vertical="center"/>
    </xf>
    <xf numFmtId="1" fontId="163"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14" fillId="2" borderId="157" xfId="0" applyNumberFormat="1" applyFont="1" applyFill="1" applyBorder="1" applyAlignment="1">
      <alignment horizontal="center" vertical="center"/>
    </xf>
    <xf numFmtId="0" fontId="13" fillId="0" borderId="159" xfId="0" applyNumberFormat="1" applyFont="1" applyFill="1" applyBorder="1" applyAlignment="1">
      <alignment horizontal="center" vertical="center"/>
    </xf>
    <xf numFmtId="172" fontId="136" fillId="2" borderId="160" xfId="0" applyNumberFormat="1" applyFont="1" applyFill="1" applyBorder="1" applyAlignment="1">
      <alignment horizontal="center" vertical="center"/>
    </xf>
    <xf numFmtId="0" fontId="136" fillId="2" borderId="160" xfId="0" applyNumberFormat="1" applyFont="1" applyFill="1" applyBorder="1" applyAlignment="1">
      <alignment horizontal="center" vertical="center"/>
    </xf>
    <xf numFmtId="169" fontId="136" fillId="0" borderId="157" xfId="0" applyNumberFormat="1" applyFont="1" applyFill="1" applyBorder="1" applyAlignment="1">
      <alignment horizontal="right"/>
    </xf>
    <xf numFmtId="169" fontId="136" fillId="0" borderId="159" xfId="0" applyNumberFormat="1" applyFont="1" applyFill="1" applyBorder="1" applyAlignment="1">
      <alignment horizontal="right"/>
    </xf>
    <xf numFmtId="169" fontId="152" fillId="0" borderId="0" xfId="0" applyNumberFormat="1" applyFont="1" applyFill="1" applyBorder="1" applyAlignment="1">
      <alignment horizontal="right"/>
    </xf>
    <xf numFmtId="169" fontId="136" fillId="0" borderId="0" xfId="0" applyNumberFormat="1" applyFont="1" applyFill="1" applyBorder="1" applyAlignment="1">
      <alignment horizontal="right"/>
    </xf>
    <xf numFmtId="0" fontId="123" fillId="0" borderId="0" xfId="0" applyNumberFormat="1" applyFont="1" applyFill="1" applyBorder="1" applyAlignment="1">
      <alignment wrapText="1"/>
    </xf>
    <xf numFmtId="0" fontId="8" fillId="0" borderId="0" xfId="0" applyNumberFormat="1" applyFont="1" applyFill="1" applyBorder="1" applyAlignment="1">
      <alignment vertical="center"/>
    </xf>
    <xf numFmtId="0" fontId="13" fillId="0" borderId="0" xfId="0" applyNumberFormat="1" applyFont="1" applyFill="1" applyAlignment="1">
      <alignment vertical="center"/>
    </xf>
    <xf numFmtId="171" fontId="13" fillId="0" borderId="0" xfId="0" applyNumberFormat="1" applyFont="1" applyFill="1" applyAlignment="1">
      <alignment vertical="center"/>
    </xf>
    <xf numFmtId="0" fontId="12" fillId="0" borderId="0" xfId="0" applyNumberFormat="1" applyFont="1" applyFill="1" applyBorder="1" applyAlignment="1">
      <alignment horizontal="left"/>
    </xf>
    <xf numFmtId="14" fontId="3" fillId="0" borderId="0" xfId="0" applyNumberFormat="1" applyFont="1" applyFill="1" applyBorder="1" applyAlignment="1">
      <alignment horizontal="right" vertical="center"/>
    </xf>
    <xf numFmtId="0" fontId="167" fillId="0" borderId="0" xfId="0" applyNumberFormat="1" applyFont="1" applyFill="1" applyBorder="1" applyAlignment="1">
      <alignment horizontal="center" vertical="center"/>
    </xf>
    <xf numFmtId="14" fontId="2" fillId="0" borderId="0" xfId="0" applyNumberFormat="1" applyFont="1" applyFill="1" applyBorder="1" applyAlignment="1">
      <alignment horizontal="right" vertical="center"/>
    </xf>
    <xf numFmtId="0" fontId="3" fillId="0" borderId="0" xfId="0" applyNumberFormat="1" applyFont="1" applyFill="1" applyBorder="1" applyAlignment="1">
      <alignment horizontal="center" vertical="center"/>
    </xf>
    <xf numFmtId="0" fontId="166" fillId="0" borderId="0" xfId="0" applyNumberFormat="1" applyFont="1" applyFill="1" applyBorder="1" applyAlignment="1">
      <alignment horizontal="center" vertical="center"/>
    </xf>
    <xf numFmtId="0" fontId="13" fillId="0" borderId="0" xfId="0" applyNumberFormat="1" applyFont="1" applyFill="1" applyAlignment="1">
      <alignment horizontal="right" vertical="center"/>
    </xf>
    <xf numFmtId="14" fontId="0" fillId="0" borderId="0" xfId="0" applyNumberFormat="1">
      <alignment vertical="center"/>
    </xf>
    <xf numFmtId="0" fontId="170" fillId="24" borderId="0" xfId="0" applyFont="1" applyFill="1" applyBorder="1" applyAlignment="1" applyProtection="1">
      <alignment vertical="center"/>
    </xf>
    <xf numFmtId="0" fontId="173" fillId="24" borderId="0" xfId="0" applyFont="1" applyFill="1" applyBorder="1" applyAlignment="1" applyProtection="1">
      <alignment vertical="center"/>
    </xf>
    <xf numFmtId="0" fontId="174" fillId="19" borderId="0" xfId="0" applyFont="1" applyFill="1" applyBorder="1" applyAlignment="1" applyProtection="1">
      <alignment vertical="center" wrapText="1"/>
    </xf>
    <xf numFmtId="0" fontId="173" fillId="19" borderId="0" xfId="0" applyFont="1" applyFill="1" applyBorder="1" applyAlignment="1" applyProtection="1">
      <alignment vertical="center"/>
    </xf>
    <xf numFmtId="0" fontId="170" fillId="21" borderId="0" xfId="0" applyFont="1" applyFill="1" applyBorder="1" applyAlignment="1" applyProtection="1">
      <alignment vertical="center"/>
    </xf>
    <xf numFmtId="0" fontId="173" fillId="21" borderId="0" xfId="0" applyFont="1" applyFill="1" applyBorder="1" applyAlignment="1" applyProtection="1">
      <alignment vertical="center"/>
    </xf>
    <xf numFmtId="0" fontId="174" fillId="21" borderId="0" xfId="0" applyFont="1" applyFill="1" applyBorder="1" applyAlignment="1" applyProtection="1">
      <alignment vertical="center" wrapText="1"/>
    </xf>
    <xf numFmtId="0" fontId="176" fillId="19" borderId="0" xfId="0" applyFont="1" applyFill="1" applyBorder="1" applyAlignment="1" applyProtection="1">
      <alignment vertical="center"/>
    </xf>
    <xf numFmtId="0" fontId="170" fillId="20" borderId="0" xfId="0" applyFont="1" applyFill="1" applyBorder="1" applyAlignment="1" applyProtection="1">
      <alignment vertical="center"/>
    </xf>
    <xf numFmtId="0" fontId="171" fillId="25" borderId="0" xfId="0" applyFont="1" applyFill="1" applyBorder="1" applyAlignment="1" applyProtection="1">
      <alignment horizontal="center" vertical="center"/>
      <protection locked="0"/>
    </xf>
    <xf numFmtId="0" fontId="171" fillId="26" borderId="0" xfId="0" applyFont="1" applyFill="1" applyBorder="1" applyAlignment="1" applyProtection="1">
      <alignment horizontal="center" vertical="center"/>
      <protection locked="0"/>
    </xf>
    <xf numFmtId="173" fontId="171" fillId="25" borderId="0" xfId="0" applyNumberFormat="1" applyFont="1" applyFill="1" applyBorder="1" applyAlignment="1" applyProtection="1">
      <alignment horizontal="left" vertical="center"/>
    </xf>
    <xf numFmtId="0" fontId="175" fillId="19" borderId="0" xfId="0" applyFont="1" applyFill="1" applyBorder="1" applyAlignment="1" applyProtection="1">
      <alignment vertical="center" wrapText="1"/>
    </xf>
    <xf numFmtId="175" fontId="171" fillId="26" borderId="0" xfId="0" applyNumberFormat="1" applyFont="1" applyFill="1" applyBorder="1" applyAlignment="1" applyProtection="1">
      <alignment horizontal="center" vertical="center"/>
      <protection locked="0"/>
    </xf>
    <xf numFmtId="0" fontId="174" fillId="19" borderId="0" xfId="0" applyFont="1" applyFill="1" applyBorder="1" applyAlignment="1" applyProtection="1">
      <alignment horizontal="left" vertical="center" wrapText="1"/>
    </xf>
    <xf numFmtId="0" fontId="171" fillId="24" borderId="0" xfId="0" applyFont="1" applyFill="1" applyBorder="1" applyAlignment="1" applyProtection="1">
      <alignment horizontal="center" vertical="center"/>
      <protection locked="0"/>
    </xf>
    <xf numFmtId="0" fontId="171" fillId="23" borderId="0" xfId="0" applyFont="1" applyFill="1" applyBorder="1" applyAlignment="1" applyProtection="1">
      <alignment horizontal="center" vertical="center"/>
      <protection locked="0"/>
    </xf>
    <xf numFmtId="2" fontId="171" fillId="23" borderId="0" xfId="0" applyNumberFormat="1" applyFont="1" applyFill="1" applyBorder="1" applyAlignment="1" applyProtection="1">
      <alignment horizontal="center" vertical="center"/>
      <protection locked="0"/>
    </xf>
    <xf numFmtId="2" fontId="171" fillId="24" borderId="0" xfId="0" applyNumberFormat="1" applyFont="1" applyFill="1" applyBorder="1" applyAlignment="1" applyProtection="1">
      <alignment horizontal="center" vertical="center"/>
      <protection locked="0"/>
    </xf>
    <xf numFmtId="0" fontId="184" fillId="25" borderId="16" xfId="0" applyFont="1" applyFill="1" applyBorder="1" applyAlignment="1" applyProtection="1">
      <alignment horizontal="center" vertical="center"/>
    </xf>
    <xf numFmtId="0" fontId="184" fillId="24" borderId="16" xfId="0" applyFont="1" applyFill="1" applyBorder="1" applyAlignment="1" applyProtection="1">
      <alignment horizontal="center" vertical="center"/>
    </xf>
    <xf numFmtId="0" fontId="185" fillId="24" borderId="16" xfId="0" applyFont="1" applyFill="1" applyBorder="1" applyAlignment="1" applyProtection="1">
      <alignment horizontal="center" vertical="center"/>
    </xf>
    <xf numFmtId="0" fontId="184" fillId="22" borderId="17" xfId="0" applyFont="1" applyFill="1" applyBorder="1" applyAlignment="1" applyProtection="1">
      <alignment horizontal="center" vertical="center"/>
    </xf>
    <xf numFmtId="0" fontId="184" fillId="26" borderId="17" xfId="0" applyFont="1" applyFill="1" applyBorder="1" applyAlignment="1" applyProtection="1">
      <alignment horizontal="center" vertical="center"/>
    </xf>
    <xf numFmtId="0" fontId="184" fillId="23" borderId="17" xfId="0" applyFont="1" applyFill="1" applyBorder="1" applyAlignment="1" applyProtection="1">
      <alignment horizontal="center" vertical="center"/>
    </xf>
    <xf numFmtId="0" fontId="184" fillId="22" borderId="18" xfId="0" applyFont="1" applyFill="1" applyBorder="1" applyAlignment="1" applyProtection="1">
      <alignment horizontal="center" vertical="center"/>
    </xf>
    <xf numFmtId="0" fontId="186" fillId="26" borderId="18" xfId="0" applyFont="1" applyFill="1" applyBorder="1" applyAlignment="1" applyProtection="1">
      <alignment horizontal="center" vertical="center"/>
    </xf>
    <xf numFmtId="0" fontId="184" fillId="26" borderId="18" xfId="0" applyFont="1" applyFill="1" applyBorder="1" applyAlignment="1" applyProtection="1">
      <alignment horizontal="center" vertical="center"/>
    </xf>
    <xf numFmtId="0" fontId="184" fillId="23" borderId="18" xfId="0" applyFont="1" applyFill="1" applyBorder="1" applyAlignment="1" applyProtection="1">
      <alignment horizontal="center" vertical="center"/>
    </xf>
    <xf numFmtId="170" fontId="174" fillId="19" borderId="0" xfId="0" applyNumberFormat="1" applyFont="1" applyFill="1" applyBorder="1" applyAlignment="1" applyProtection="1">
      <alignment vertical="center" wrapText="1"/>
    </xf>
    <xf numFmtId="0" fontId="188" fillId="19" borderId="0" xfId="0" applyFont="1" applyFill="1" applyBorder="1" applyAlignment="1" applyProtection="1">
      <alignment vertical="center" wrapText="1"/>
    </xf>
    <xf numFmtId="0" fontId="184" fillId="21" borderId="16" xfId="0" applyFont="1" applyFill="1" applyBorder="1" applyAlignment="1" applyProtection="1">
      <alignment horizontal="left" vertical="center"/>
    </xf>
    <xf numFmtId="0" fontId="171" fillId="21" borderId="16" xfId="0" applyFont="1" applyFill="1" applyBorder="1" applyAlignment="1" applyProtection="1">
      <alignment horizontal="center" vertical="center"/>
    </xf>
    <xf numFmtId="0" fontId="184" fillId="19" borderId="55" xfId="0" applyFont="1" applyFill="1" applyBorder="1" applyAlignment="1" applyProtection="1">
      <alignment vertical="center"/>
    </xf>
    <xf numFmtId="0" fontId="184" fillId="19" borderId="116" xfId="0" applyFont="1" applyFill="1" applyBorder="1" applyAlignment="1" applyProtection="1">
      <alignment vertical="center"/>
    </xf>
    <xf numFmtId="0" fontId="184" fillId="19" borderId="56" xfId="0" applyFont="1" applyFill="1" applyBorder="1" applyAlignment="1" applyProtection="1">
      <alignment vertical="center"/>
    </xf>
    <xf numFmtId="0" fontId="184" fillId="19" borderId="23" xfId="0" applyFont="1" applyFill="1" applyBorder="1" applyAlignment="1" applyProtection="1">
      <alignment horizontal="center" vertical="center"/>
    </xf>
    <xf numFmtId="0" fontId="184" fillId="19" borderId="0" xfId="0" applyFont="1" applyFill="1" applyBorder="1" applyAlignment="1" applyProtection="1">
      <alignment horizontal="center" vertical="center"/>
    </xf>
    <xf numFmtId="0" fontId="184" fillId="19" borderId="24" xfId="0" applyFont="1" applyFill="1" applyBorder="1" applyAlignment="1" applyProtection="1">
      <alignment horizontal="center" vertical="center"/>
    </xf>
    <xf numFmtId="0" fontId="190" fillId="20" borderId="16" xfId="0" applyFont="1" applyFill="1" applyBorder="1" applyAlignment="1" applyProtection="1">
      <alignment horizontal="right" vertical="center"/>
    </xf>
    <xf numFmtId="2" fontId="191" fillId="20" borderId="16" xfId="0" applyNumberFormat="1" applyFont="1" applyFill="1" applyBorder="1" applyAlignment="1" applyProtection="1">
      <alignment horizontal="center" vertical="center"/>
    </xf>
    <xf numFmtId="0" fontId="184" fillId="19" borderId="27" xfId="0" applyFont="1" applyFill="1" applyBorder="1" applyAlignment="1" applyProtection="1">
      <alignment horizontal="center" vertical="center"/>
    </xf>
    <xf numFmtId="0" fontId="184" fillId="19" borderId="61" xfId="0" applyFont="1" applyFill="1" applyBorder="1" applyAlignment="1" applyProtection="1">
      <alignment horizontal="center" vertical="center"/>
    </xf>
    <xf numFmtId="0" fontId="184" fillId="19" borderId="28" xfId="0" applyFont="1" applyFill="1" applyBorder="1" applyAlignment="1" applyProtection="1">
      <alignment horizontal="center" vertical="center"/>
    </xf>
    <xf numFmtId="0" fontId="174" fillId="20" borderId="0" xfId="0" applyFont="1" applyFill="1" applyBorder="1" applyAlignment="1" applyProtection="1">
      <alignment vertical="center"/>
    </xf>
    <xf numFmtId="0" fontId="186" fillId="19" borderId="0" xfId="0" applyFont="1" applyFill="1" applyBorder="1" applyAlignment="1" applyProtection="1">
      <alignment horizontal="center" vertical="center"/>
    </xf>
    <xf numFmtId="2" fontId="171" fillId="25"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xf>
    <xf numFmtId="0" fontId="174" fillId="25" borderId="0" xfId="0" applyFont="1" applyFill="1" applyBorder="1" applyAlignment="1" applyProtection="1">
      <alignment vertical="center"/>
    </xf>
    <xf numFmtId="2" fontId="171" fillId="26"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wrapText="1"/>
    </xf>
    <xf numFmtId="0" fontId="174" fillId="26" borderId="0" xfId="0" applyFont="1" applyFill="1" applyBorder="1" applyAlignment="1" applyProtection="1">
      <alignment vertical="center"/>
    </xf>
    <xf numFmtId="0" fontId="195" fillId="19" borderId="0" xfId="0" applyFont="1" applyFill="1" applyBorder="1" applyAlignment="1" applyProtection="1">
      <alignment vertical="center"/>
    </xf>
    <xf numFmtId="0" fontId="196" fillId="19" borderId="0" xfId="0" applyNumberFormat="1" applyFont="1" applyFill="1" applyBorder="1" applyAlignment="1" applyProtection="1">
      <alignment vertical="center"/>
    </xf>
    <xf numFmtId="0" fontId="180" fillId="19" borderId="0" xfId="0" applyNumberFormat="1" applyFont="1" applyFill="1" applyBorder="1" applyAlignment="1" applyProtection="1">
      <alignment vertical="center"/>
    </xf>
    <xf numFmtId="1" fontId="198" fillId="20" borderId="0" xfId="0" applyNumberFormat="1" applyFont="1" applyFill="1" applyBorder="1" applyAlignment="1" applyProtection="1">
      <alignment horizontal="center" vertical="center"/>
      <protection locked="0"/>
    </xf>
    <xf numFmtId="0" fontId="175" fillId="21" borderId="0" xfId="0" applyFont="1" applyFill="1" applyBorder="1" applyAlignment="1" applyProtection="1">
      <alignment vertical="center"/>
    </xf>
    <xf numFmtId="0" fontId="174" fillId="21" borderId="0" xfId="0" applyFont="1" applyFill="1" applyBorder="1" applyAlignment="1" applyProtection="1">
      <alignment vertical="center"/>
    </xf>
    <xf numFmtId="0" fontId="171" fillId="19" borderId="0" xfId="0" applyFont="1" applyFill="1" applyBorder="1" applyAlignment="1" applyProtection="1">
      <alignment vertical="center"/>
    </xf>
    <xf numFmtId="0" fontId="199" fillId="19" borderId="0" xfId="0" applyFont="1" applyFill="1" applyBorder="1" applyAlignment="1" applyProtection="1">
      <alignment vertical="center"/>
    </xf>
    <xf numFmtId="0" fontId="200" fillId="24" borderId="0" xfId="0" applyNumberFormat="1" applyFont="1" applyFill="1" applyBorder="1" applyAlignment="1" applyProtection="1">
      <alignment vertical="center"/>
    </xf>
    <xf numFmtId="0" fontId="201" fillId="7" borderId="0" xfId="3" applyNumberFormat="1" applyFont="1" applyBorder="1" applyAlignment="1" applyProtection="1">
      <alignment horizontal="center" vertical="center"/>
    </xf>
    <xf numFmtId="0" fontId="200" fillId="23" borderId="0" xfId="0" applyNumberFormat="1" applyFont="1" applyFill="1" applyBorder="1" applyAlignment="1" applyProtection="1">
      <alignment vertical="center"/>
    </xf>
    <xf numFmtId="0" fontId="170" fillId="23" borderId="0" xfId="0" applyFont="1" applyFill="1" applyBorder="1" applyAlignment="1" applyProtection="1">
      <alignment vertical="center"/>
    </xf>
    <xf numFmtId="0" fontId="173" fillId="23" borderId="0" xfId="0" applyFont="1" applyFill="1" applyBorder="1" applyAlignment="1" applyProtection="1">
      <alignment vertical="center"/>
    </xf>
    <xf numFmtId="0" fontId="200" fillId="24" borderId="0" xfId="0" applyNumberFormat="1" applyFont="1" applyFill="1" applyBorder="1" applyAlignment="1" applyProtection="1">
      <alignment horizontal="left" vertical="center"/>
    </xf>
    <xf numFmtId="0" fontId="200" fillId="23" borderId="0" xfId="0" applyNumberFormat="1" applyFont="1" applyFill="1" applyBorder="1" applyAlignment="1" applyProtection="1">
      <alignment horizontal="left" vertical="center"/>
    </xf>
    <xf numFmtId="1" fontId="201" fillId="7" borderId="0" xfId="3" applyNumberFormat="1" applyFont="1" applyBorder="1" applyAlignment="1" applyProtection="1">
      <alignment horizontal="center" vertical="center"/>
    </xf>
    <xf numFmtId="0" fontId="174" fillId="15" borderId="0" xfId="0" applyFont="1" applyFill="1" applyBorder="1" applyAlignment="1" applyProtection="1">
      <alignment vertical="center"/>
    </xf>
    <xf numFmtId="0" fontId="180" fillId="19" borderId="0" xfId="0" applyFont="1" applyFill="1" applyBorder="1" applyAlignment="1" applyProtection="1">
      <alignment vertical="center"/>
    </xf>
    <xf numFmtId="0" fontId="194" fillId="19" borderId="0" xfId="3" applyFont="1" applyFill="1" applyBorder="1" applyAlignment="1" applyProtection="1">
      <alignment vertical="center"/>
    </xf>
    <xf numFmtId="0" fontId="174" fillId="23" borderId="0" xfId="0" applyFont="1" applyFill="1" applyBorder="1" applyAlignment="1" applyProtection="1">
      <alignment vertical="center"/>
    </xf>
    <xf numFmtId="0" fontId="174" fillId="19" borderId="0" xfId="0" applyNumberFormat="1" applyFont="1" applyFill="1" applyBorder="1" applyAlignment="1" applyProtection="1">
      <alignment vertical="center"/>
    </xf>
    <xf numFmtId="2" fontId="173" fillId="24" borderId="0" xfId="0" applyNumberFormat="1" applyFont="1" applyFill="1" applyBorder="1" applyAlignment="1" applyProtection="1">
      <alignment vertical="center"/>
    </xf>
    <xf numFmtId="2" fontId="173" fillId="24" borderId="0" xfId="0" applyNumberFormat="1" applyFont="1" applyFill="1" applyBorder="1" applyAlignment="1" applyProtection="1">
      <alignment horizontal="center" vertical="center"/>
    </xf>
    <xf numFmtId="2" fontId="173" fillId="23" borderId="0" xfId="0" applyNumberFormat="1" applyFont="1" applyFill="1" applyBorder="1" applyAlignment="1" applyProtection="1">
      <alignment vertical="center"/>
    </xf>
    <xf numFmtId="2" fontId="173" fillId="23" borderId="0" xfId="0" applyNumberFormat="1" applyFont="1" applyFill="1" applyBorder="1" applyAlignment="1" applyProtection="1">
      <alignment horizontal="center" vertical="center"/>
    </xf>
    <xf numFmtId="0" fontId="175" fillId="20" borderId="0" xfId="0" applyFont="1" applyFill="1" applyBorder="1" applyAlignment="1" applyProtection="1">
      <alignment vertical="center"/>
    </xf>
    <xf numFmtId="0" fontId="173" fillId="20" borderId="0" xfId="0" applyFont="1" applyFill="1" applyBorder="1" applyAlignment="1" applyProtection="1">
      <alignment vertical="center"/>
    </xf>
    <xf numFmtId="0" fontId="189" fillId="19" borderId="0" xfId="0" applyFont="1" applyFill="1" applyBorder="1" applyAlignment="1" applyProtection="1">
      <alignment vertical="center"/>
    </xf>
    <xf numFmtId="0" fontId="200" fillId="25" borderId="0" xfId="0" applyNumberFormat="1" applyFont="1" applyFill="1" applyBorder="1" applyAlignment="1" applyProtection="1">
      <alignment vertical="center"/>
    </xf>
    <xf numFmtId="0" fontId="171" fillId="25" borderId="0" xfId="0" applyFont="1" applyFill="1" applyBorder="1" applyAlignment="1" applyProtection="1">
      <alignment vertical="center"/>
    </xf>
    <xf numFmtId="0" fontId="181" fillId="25" borderId="0" xfId="0" applyFont="1" applyFill="1" applyBorder="1" applyAlignment="1" applyProtection="1">
      <alignment vertical="center"/>
    </xf>
    <xf numFmtId="0" fontId="202" fillId="25" borderId="0" xfId="0" applyNumberFormat="1" applyFont="1" applyFill="1" applyBorder="1" applyAlignment="1" applyProtection="1">
      <alignment horizontal="center" vertical="center"/>
    </xf>
    <xf numFmtId="0" fontId="200" fillId="26" borderId="0" xfId="0" applyNumberFormat="1" applyFont="1" applyFill="1" applyBorder="1" applyAlignment="1" applyProtection="1">
      <alignment horizontal="left" vertical="center" wrapText="1"/>
    </xf>
    <xf numFmtId="0" fontId="200" fillId="26" borderId="0" xfId="0" applyNumberFormat="1" applyFont="1" applyFill="1" applyBorder="1" applyAlignment="1" applyProtection="1">
      <alignment vertical="center"/>
    </xf>
    <xf numFmtId="0" fontId="171" fillId="26" borderId="0" xfId="0" applyFont="1" applyFill="1" applyBorder="1" applyAlignment="1" applyProtection="1">
      <alignment vertical="center"/>
    </xf>
    <xf numFmtId="0" fontId="203" fillId="26" borderId="0" xfId="0" applyNumberFormat="1" applyFont="1" applyFill="1" applyBorder="1" applyAlignment="1" applyProtection="1">
      <alignment horizontal="center" vertical="center"/>
    </xf>
    <xf numFmtId="0" fontId="202" fillId="26" borderId="0" xfId="0" applyNumberFormat="1" applyFont="1" applyFill="1" applyBorder="1" applyAlignment="1" applyProtection="1">
      <alignment horizontal="center" vertical="center"/>
    </xf>
    <xf numFmtId="0" fontId="204" fillId="19" borderId="0" xfId="0" applyFont="1" applyFill="1" applyBorder="1" applyAlignment="1" applyProtection="1">
      <alignment vertical="center"/>
    </xf>
    <xf numFmtId="0" fontId="200" fillId="25" borderId="0" xfId="0" applyNumberFormat="1" applyFont="1" applyFill="1" applyBorder="1" applyAlignment="1" applyProtection="1">
      <alignment horizontal="left" vertical="center" wrapText="1"/>
    </xf>
    <xf numFmtId="0" fontId="203" fillId="25" borderId="0" xfId="0" applyNumberFormat="1" applyFont="1" applyFill="1" applyBorder="1" applyAlignment="1" applyProtection="1">
      <alignment horizontal="center" vertical="center"/>
    </xf>
    <xf numFmtId="1" fontId="202" fillId="25" borderId="0" xfId="0" applyNumberFormat="1" applyFont="1" applyFill="1" applyBorder="1" applyAlignment="1" applyProtection="1">
      <alignment horizontal="center" vertical="center"/>
    </xf>
    <xf numFmtId="0" fontId="205" fillId="20" borderId="0" xfId="0" applyNumberFormat="1" applyFont="1" applyFill="1" applyBorder="1" applyAlignment="1" applyProtection="1">
      <alignment vertical="center"/>
    </xf>
    <xf numFmtId="0" fontId="205" fillId="20" borderId="0" xfId="0" applyNumberFormat="1" applyFont="1" applyFill="1" applyBorder="1" applyAlignment="1" applyProtection="1">
      <alignment vertical="center" wrapText="1"/>
    </xf>
    <xf numFmtId="0" fontId="206" fillId="20" borderId="0" xfId="0" applyFont="1" applyFill="1" applyBorder="1" applyAlignment="1" applyProtection="1">
      <alignment vertical="center"/>
    </xf>
    <xf numFmtId="1" fontId="202" fillId="20" borderId="0" xfId="0" applyNumberFormat="1" applyFont="1" applyFill="1" applyBorder="1" applyAlignment="1" applyProtection="1">
      <alignment horizontal="center" vertical="center"/>
    </xf>
    <xf numFmtId="0" fontId="207" fillId="20" borderId="0" xfId="0" applyNumberFormat="1" applyFont="1" applyFill="1" applyBorder="1" applyAlignment="1" applyProtection="1">
      <alignment vertical="center"/>
    </xf>
    <xf numFmtId="0" fontId="182" fillId="25" borderId="0" xfId="0" applyFont="1" applyFill="1" applyBorder="1" applyAlignment="1" applyProtection="1">
      <alignment vertical="center"/>
    </xf>
    <xf numFmtId="0" fontId="206" fillId="25" borderId="0" xfId="0" applyFont="1" applyFill="1" applyBorder="1" applyAlignment="1" applyProtection="1">
      <alignment vertical="center"/>
    </xf>
    <xf numFmtId="0" fontId="182" fillId="26" borderId="0" xfId="0" applyFont="1" applyFill="1" applyBorder="1" applyAlignment="1" applyProtection="1">
      <alignment vertical="center"/>
    </xf>
    <xf numFmtId="0" fontId="207" fillId="19" borderId="0" xfId="0" applyNumberFormat="1" applyFont="1" applyFill="1" applyBorder="1" applyAlignment="1" applyProtection="1">
      <alignment vertical="center"/>
    </xf>
    <xf numFmtId="0" fontId="180" fillId="19" borderId="0" xfId="0" applyFont="1" applyFill="1" applyBorder="1" applyAlignment="1" applyProtection="1">
      <alignment horizontal="center" vertical="center"/>
    </xf>
    <xf numFmtId="0" fontId="208" fillId="19" borderId="0" xfId="0" applyFont="1" applyFill="1" applyBorder="1" applyAlignment="1" applyProtection="1">
      <alignment vertical="center"/>
    </xf>
    <xf numFmtId="0" fontId="173" fillId="20" borderId="0" xfId="0" applyFont="1" applyFill="1" applyBorder="1" applyAlignment="1" applyProtection="1">
      <alignment horizontal="center" vertical="center"/>
    </xf>
    <xf numFmtId="0" fontId="170" fillId="19" borderId="0" xfId="0" applyFont="1" applyFill="1" applyBorder="1" applyAlignment="1" applyProtection="1">
      <alignment vertical="center"/>
    </xf>
    <xf numFmtId="0" fontId="173" fillId="19" borderId="0" xfId="0" applyFont="1" applyFill="1" applyBorder="1" applyAlignment="1" applyProtection="1">
      <alignment horizontal="center" vertical="center"/>
    </xf>
    <xf numFmtId="14" fontId="173" fillId="19" borderId="0" xfId="0" applyNumberFormat="1" applyFont="1" applyFill="1" applyBorder="1" applyAlignment="1" applyProtection="1">
      <alignment vertical="center"/>
    </xf>
    <xf numFmtId="4" fontId="0" fillId="0" borderId="0" xfId="0" applyNumberFormat="1" applyAlignment="1">
      <alignment horizontal="center" vertical="center"/>
    </xf>
    <xf numFmtId="4" fontId="17" fillId="0" borderId="0" xfId="0" applyNumberFormat="1" applyFont="1">
      <alignment vertical="center"/>
    </xf>
    <xf numFmtId="4" fontId="17" fillId="0" borderId="4" xfId="0" applyNumberFormat="1" applyFont="1" applyBorder="1">
      <alignment vertical="center"/>
    </xf>
    <xf numFmtId="4" fontId="17" fillId="0" borderId="0" xfId="0" applyNumberFormat="1" applyFont="1" applyBorder="1">
      <alignment vertical="center"/>
    </xf>
    <xf numFmtId="4" fontId="17" fillId="0" borderId="6" xfId="0" applyNumberFormat="1" applyFont="1" applyBorder="1">
      <alignment vertical="center"/>
    </xf>
    <xf numFmtId="4" fontId="16" fillId="0" borderId="0" xfId="0" applyNumberFormat="1" applyFont="1" applyFill="1" applyAlignment="1"/>
    <xf numFmtId="4" fontId="16" fillId="0" borderId="4" xfId="0" applyNumberFormat="1" applyFont="1" applyFill="1" applyBorder="1" applyAlignment="1"/>
    <xf numFmtId="4" fontId="16" fillId="0" borderId="0" xfId="0" applyNumberFormat="1" applyFont="1" applyFill="1" applyBorder="1" applyAlignment="1"/>
    <xf numFmtId="4" fontId="16" fillId="0" borderId="6" xfId="0" applyNumberFormat="1" applyFont="1" applyFill="1" applyBorder="1" applyAlignment="1"/>
    <xf numFmtId="4" fontId="17" fillId="0" borderId="0" xfId="0" applyNumberFormat="1" applyFont="1" applyFill="1" applyAlignment="1"/>
    <xf numFmtId="4" fontId="17" fillId="0" borderId="4" xfId="0" applyNumberFormat="1" applyFont="1" applyFill="1" applyBorder="1" applyAlignment="1"/>
    <xf numFmtId="4" fontId="161" fillId="0" borderId="0" xfId="0" applyNumberFormat="1" applyFont="1" applyFill="1" applyAlignment="1"/>
    <xf numFmtId="4" fontId="17" fillId="0" borderId="0" xfId="0" applyNumberFormat="1" applyFont="1" applyFill="1" applyBorder="1" applyAlignment="1"/>
    <xf numFmtId="4" fontId="17" fillId="0" borderId="6" xfId="0" applyNumberFormat="1" applyFont="1" applyFill="1" applyBorder="1" applyAlignment="1"/>
    <xf numFmtId="4" fontId="16" fillId="0" borderId="0" xfId="0" applyNumberFormat="1" applyFont="1">
      <alignment vertical="center"/>
    </xf>
    <xf numFmtId="4" fontId="16" fillId="0" borderId="4" xfId="0" applyNumberFormat="1" applyFont="1" applyBorder="1">
      <alignment vertical="center"/>
    </xf>
    <xf numFmtId="4" fontId="16" fillId="0" borderId="0" xfId="0" applyNumberFormat="1" applyFont="1" applyBorder="1">
      <alignment vertical="center"/>
    </xf>
    <xf numFmtId="4" fontId="16" fillId="0" borderId="6" xfId="0" applyNumberFormat="1" applyFont="1" applyBorder="1">
      <alignment vertical="center"/>
    </xf>
    <xf numFmtId="4" fontId="0" fillId="0" borderId="0" xfId="0" applyNumberFormat="1">
      <alignment vertical="center"/>
    </xf>
    <xf numFmtId="4" fontId="3" fillId="0" borderId="0" xfId="0" applyNumberFormat="1" applyFont="1" applyFill="1" applyAlignment="1"/>
    <xf numFmtId="2" fontId="2" fillId="0" borderId="0" xfId="0" applyNumberFormat="1" applyFont="1" applyFill="1" applyAlignment="1"/>
    <xf numFmtId="0" fontId="17" fillId="0" borderId="3" xfId="0" applyFont="1" applyBorder="1">
      <alignment vertical="center"/>
    </xf>
    <xf numFmtId="0" fontId="209" fillId="0" borderId="0" xfId="0" applyFont="1">
      <alignment vertical="center"/>
    </xf>
    <xf numFmtId="0" fontId="18" fillId="0" borderId="0" xfId="0" applyFont="1">
      <alignment vertical="center"/>
    </xf>
    <xf numFmtId="0" fontId="210" fillId="0" borderId="0" xfId="0" applyFont="1">
      <alignment vertical="center"/>
    </xf>
    <xf numFmtId="0" fontId="38" fillId="26" borderId="0" xfId="0" applyFont="1" applyFill="1" applyBorder="1" applyAlignment="1" applyProtection="1">
      <alignment horizontal="center" vertical="center"/>
      <protection locked="0"/>
    </xf>
    <xf numFmtId="0" fontId="38" fillId="25" borderId="0" xfId="0" applyFont="1" applyFill="1" applyBorder="1" applyAlignment="1" applyProtection="1">
      <alignment horizontal="center" vertical="center"/>
      <protection locked="0"/>
    </xf>
    <xf numFmtId="0" fontId="16" fillId="0" borderId="13" xfId="0" applyFont="1" applyBorder="1">
      <alignment vertical="center"/>
    </xf>
    <xf numFmtId="0" fontId="16" fillId="0" borderId="14" xfId="0" applyFont="1" applyBorder="1">
      <alignment vertical="center"/>
    </xf>
    <xf numFmtId="170" fontId="90" fillId="0" borderId="55" xfId="0" applyNumberFormat="1" applyFont="1" applyBorder="1">
      <alignment vertical="center"/>
    </xf>
    <xf numFmtId="2" fontId="16" fillId="19" borderId="0" xfId="0" applyNumberFormat="1" applyFont="1" applyFill="1" applyBorder="1" applyAlignment="1">
      <alignment horizontal="center" vertical="center"/>
    </xf>
    <xf numFmtId="2" fontId="16" fillId="19" borderId="0" xfId="0" applyNumberFormat="1" applyFont="1" applyFill="1" applyBorder="1" applyAlignment="1">
      <alignment horizontal="left" vertical="top" wrapText="1"/>
    </xf>
    <xf numFmtId="2" fontId="16" fillId="19" borderId="0" xfId="0" applyNumberFormat="1" applyFont="1" applyFill="1" applyBorder="1" applyAlignment="1">
      <alignment horizontal="left" vertical="top"/>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2" fontId="42" fillId="31" borderId="2" xfId="0" applyNumberFormat="1" applyFont="1" applyFill="1" applyBorder="1" applyAlignment="1">
      <alignment horizontal="center" vertical="center" wrapText="1"/>
    </xf>
    <xf numFmtId="2" fontId="42" fillId="31" borderId="5" xfId="0" applyNumberFormat="1" applyFont="1" applyFill="1" applyBorder="1" applyAlignment="1">
      <alignment horizontal="center" vertical="center" wrapText="1"/>
    </xf>
    <xf numFmtId="2" fontId="42" fillId="34" borderId="2" xfId="0" applyNumberFormat="1" applyFont="1" applyFill="1" applyBorder="1" applyAlignment="1">
      <alignment horizontal="center" vertical="center" wrapText="1"/>
    </xf>
    <xf numFmtId="2" fontId="42" fillId="34" borderId="5" xfId="0" applyNumberFormat="1" applyFont="1" applyFill="1" applyBorder="1" applyAlignment="1">
      <alignment horizontal="center" vertical="center" wrapText="1"/>
    </xf>
    <xf numFmtId="2" fontId="42" fillId="36" borderId="2" xfId="0" applyNumberFormat="1" applyFont="1" applyFill="1" applyBorder="1" applyAlignment="1">
      <alignment horizontal="center" vertical="center" wrapText="1"/>
    </xf>
    <xf numFmtId="2" fontId="42" fillId="36" borderId="5" xfId="0" applyNumberFormat="1" applyFont="1" applyFill="1" applyBorder="1" applyAlignment="1">
      <alignment horizontal="center" vertical="center" wrapText="1"/>
    </xf>
    <xf numFmtId="2" fontId="42" fillId="35" borderId="2" xfId="0" applyNumberFormat="1" applyFont="1" applyFill="1" applyBorder="1" applyAlignment="1">
      <alignment horizontal="center" vertical="center" wrapText="1"/>
    </xf>
    <xf numFmtId="2" fontId="42" fillId="35" borderId="5" xfId="0" applyNumberFormat="1" applyFont="1" applyFill="1" applyBorder="1" applyAlignment="1">
      <alignment horizontal="center" vertical="center" wrapText="1"/>
    </xf>
    <xf numFmtId="2" fontId="42" fillId="28" borderId="2" xfId="0" applyNumberFormat="1" applyFont="1" applyFill="1" applyBorder="1" applyAlignment="1">
      <alignment horizontal="center" vertical="center" wrapText="1"/>
    </xf>
    <xf numFmtId="2" fontId="42" fillId="28" borderId="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2" fontId="42" fillId="33" borderId="2" xfId="0" applyNumberFormat="1" applyFont="1" applyFill="1" applyBorder="1" applyAlignment="1">
      <alignment horizontal="center" vertical="center" wrapText="1"/>
    </xf>
    <xf numFmtId="2" fontId="42" fillId="33" borderId="5" xfId="0" applyNumberFormat="1" applyFont="1" applyFill="1" applyBorder="1" applyAlignment="1">
      <alignment horizontal="center" vertical="center" wrapText="1"/>
    </xf>
    <xf numFmtId="2" fontId="42" fillId="33" borderId="4" xfId="0" applyNumberFormat="1" applyFont="1" applyFill="1" applyBorder="1" applyAlignment="1">
      <alignment horizontal="center" vertical="center" wrapText="1"/>
    </xf>
    <xf numFmtId="2" fontId="42" fillId="35" borderId="4" xfId="0" applyNumberFormat="1" applyFont="1" applyFill="1" applyBorder="1" applyAlignment="1">
      <alignment horizontal="center" vertical="center" wrapText="1"/>
    </xf>
    <xf numFmtId="2" fontId="42" fillId="31" borderId="4" xfId="0" applyNumberFormat="1" applyFont="1" applyFill="1" applyBorder="1" applyAlignment="1">
      <alignment horizontal="center" vertical="center" wrapText="1"/>
    </xf>
    <xf numFmtId="2" fontId="42" fillId="34" borderId="4"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19" borderId="0" xfId="0" applyNumberFormat="1" applyFont="1" applyFill="1" applyBorder="1" applyAlignment="1">
      <alignment horizontal="center" vertical="center" wrapText="1"/>
    </xf>
    <xf numFmtId="2" fontId="42" fillId="32" borderId="7" xfId="8" applyNumberFormat="1" applyFont="1" applyFill="1" applyBorder="1" applyAlignment="1">
      <alignment horizontal="center" vertical="center" wrapText="1"/>
    </xf>
    <xf numFmtId="2" fontId="42" fillId="32" borderId="15" xfId="8" applyNumberFormat="1" applyFont="1" applyFill="1" applyBorder="1" applyAlignment="1">
      <alignment horizontal="center" vertical="center" wrapText="1"/>
    </xf>
    <xf numFmtId="12" fontId="42" fillId="1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left" vertical="top"/>
    </xf>
    <xf numFmtId="0" fontId="42" fillId="19" borderId="7" xfId="8" applyNumberFormat="1" applyFont="1" applyFill="1" applyBorder="1" applyAlignment="1">
      <alignment horizontal="center" vertical="center" wrapText="1"/>
    </xf>
    <xf numFmtId="0" fontId="42" fillId="19" borderId="15" xfId="8" applyNumberFormat="1" applyFont="1" applyFill="1" applyBorder="1" applyAlignment="1">
      <alignment horizontal="center" vertical="center" wrapText="1"/>
    </xf>
    <xf numFmtId="2" fontId="42" fillId="19" borderId="0"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xf>
    <xf numFmtId="2" fontId="16" fillId="19" borderId="0" xfId="8" applyNumberFormat="1" applyFont="1" applyFill="1" applyBorder="1" applyAlignment="1">
      <alignment horizontal="left" vertical="top" wrapText="1"/>
    </xf>
    <xf numFmtId="2" fontId="48" fillId="19" borderId="0" xfId="8" applyNumberFormat="1" applyFont="1" applyFill="1" applyBorder="1" applyAlignment="1">
      <alignment horizontal="center" vertical="center" wrapText="1"/>
    </xf>
    <xf numFmtId="0" fontId="48" fillId="19" borderId="0" xfId="8" applyNumberFormat="1" applyFont="1" applyFill="1" applyBorder="1" applyAlignment="1">
      <alignment horizontal="center" vertical="center" wrapText="1"/>
    </xf>
    <xf numFmtId="0" fontId="42" fillId="19" borderId="0" xfId="8" applyNumberFormat="1" applyFont="1" applyFill="1" applyBorder="1" applyAlignment="1">
      <alignment horizontal="center" vertical="center" wrapText="1"/>
    </xf>
    <xf numFmtId="12" fontId="42" fillId="19" borderId="7" xfId="8" applyNumberFormat="1" applyFont="1" applyFill="1" applyBorder="1" applyAlignment="1">
      <alignment horizontal="center" vertical="center" wrapText="1"/>
    </xf>
    <xf numFmtId="12" fontId="42" fillId="19" borderId="15" xfId="8" applyNumberFormat="1" applyFont="1" applyFill="1" applyBorder="1" applyAlignment="1">
      <alignment horizontal="center" vertical="center" wrapText="1"/>
    </xf>
    <xf numFmtId="2" fontId="42" fillId="33" borderId="7" xfId="8" applyNumberFormat="1" applyFont="1" applyFill="1" applyBorder="1" applyAlignment="1">
      <alignment horizontal="center" vertical="center" wrapText="1"/>
    </xf>
    <xf numFmtId="2" fontId="42" fillId="33" borderId="15" xfId="8" applyNumberFormat="1" applyFont="1" applyFill="1" applyBorder="1" applyAlignment="1">
      <alignment horizontal="center" vertical="center" wrapText="1"/>
    </xf>
    <xf numFmtId="2" fontId="155" fillId="19" borderId="0" xfId="8" applyNumberFormat="1" applyFont="1" applyFill="1" applyBorder="1" applyAlignment="1">
      <alignment horizontal="left" vertical="center" wrapText="1"/>
    </xf>
    <xf numFmtId="2" fontId="42" fillId="37" borderId="7" xfId="8" applyNumberFormat="1" applyFont="1" applyFill="1" applyBorder="1" applyAlignment="1">
      <alignment horizontal="center" vertical="center" wrapText="1"/>
    </xf>
    <xf numFmtId="2" fontId="42" fillId="37" borderId="15" xfId="8" applyNumberFormat="1" applyFont="1" applyFill="1" applyBorder="1" applyAlignment="1">
      <alignment horizontal="center" vertical="center" wrapText="1"/>
    </xf>
    <xf numFmtId="2" fontId="48" fillId="19" borderId="4" xfId="8" applyNumberFormat="1" applyFont="1" applyFill="1" applyBorder="1" applyAlignment="1">
      <alignment horizontal="center" vertical="center" wrapText="1"/>
    </xf>
    <xf numFmtId="2" fontId="42" fillId="28" borderId="7" xfId="8" applyNumberFormat="1" applyFont="1" applyFill="1" applyBorder="1" applyAlignment="1">
      <alignment horizontal="center" vertical="center" wrapText="1"/>
    </xf>
    <xf numFmtId="2" fontId="42" fillId="28" borderId="15" xfId="8" applyNumberFormat="1" applyFont="1" applyFill="1" applyBorder="1" applyAlignment="1">
      <alignment horizontal="center" vertical="center" wrapText="1"/>
    </xf>
    <xf numFmtId="2" fontId="42" fillId="31" borderId="7" xfId="8" applyNumberFormat="1" applyFont="1" applyFill="1" applyBorder="1" applyAlignment="1">
      <alignment horizontal="center" vertical="center" wrapText="1"/>
    </xf>
    <xf numFmtId="2" fontId="42" fillId="31" borderId="15" xfId="8" applyNumberFormat="1" applyFont="1" applyFill="1" applyBorder="1" applyAlignment="1">
      <alignment horizontal="center" vertical="center" wrapText="1"/>
    </xf>
    <xf numFmtId="2" fontId="42" fillId="34" borderId="7" xfId="8" applyNumberFormat="1" applyFont="1" applyFill="1" applyBorder="1" applyAlignment="1">
      <alignment horizontal="center" vertical="center" wrapText="1"/>
    </xf>
    <xf numFmtId="2" fontId="42" fillId="34" borderId="15" xfId="8" applyNumberFormat="1" applyFont="1" applyFill="1" applyBorder="1" applyAlignment="1">
      <alignment horizontal="center" vertical="center" wrapText="1"/>
    </xf>
    <xf numFmtId="2" fontId="42" fillId="34" borderId="9" xfId="8" applyNumberFormat="1" applyFont="1" applyFill="1" applyBorder="1" applyAlignment="1">
      <alignment horizontal="center" vertical="center" wrapText="1"/>
    </xf>
    <xf numFmtId="2" fontId="42" fillId="31" borderId="9" xfId="8" applyNumberFormat="1" applyFont="1" applyFill="1" applyBorder="1" applyAlignment="1">
      <alignment horizontal="center" vertical="center" wrapText="1"/>
    </xf>
    <xf numFmtId="2" fontId="42" fillId="35" borderId="7" xfId="8" applyNumberFormat="1" applyFont="1" applyFill="1" applyBorder="1" applyAlignment="1">
      <alignment horizontal="center" vertical="center" wrapText="1"/>
    </xf>
    <xf numFmtId="2" fontId="42" fillId="35" borderId="15" xfId="8" applyNumberFormat="1" applyFont="1" applyFill="1" applyBorder="1" applyAlignment="1">
      <alignment horizontal="center" vertical="center" wrapText="1"/>
    </xf>
    <xf numFmtId="2" fontId="42" fillId="33" borderId="9" xfId="8" applyNumberFormat="1" applyFont="1" applyFill="1" applyBorder="1" applyAlignment="1">
      <alignment horizontal="center" vertical="center" wrapText="1"/>
    </xf>
    <xf numFmtId="2" fontId="42" fillId="35" borderId="9" xfId="8" applyNumberFormat="1" applyFont="1" applyFill="1" applyBorder="1" applyAlignment="1">
      <alignment horizontal="center" vertical="center" wrapText="1"/>
    </xf>
    <xf numFmtId="2" fontId="42" fillId="36" borderId="7" xfId="8" applyNumberFormat="1" applyFont="1" applyFill="1" applyBorder="1" applyAlignment="1">
      <alignment horizontal="center" vertical="center" wrapText="1"/>
    </xf>
    <xf numFmtId="2" fontId="42" fillId="36" borderId="15" xfId="8" applyNumberFormat="1" applyFont="1" applyFill="1" applyBorder="1" applyAlignment="1">
      <alignment horizontal="center" vertical="center" wrapText="1"/>
    </xf>
    <xf numFmtId="2" fontId="42" fillId="28" borderId="9" xfId="8" applyNumberFormat="1" applyFont="1" applyFill="1" applyBorder="1" applyAlignment="1">
      <alignment horizontal="center" vertical="center" wrapText="1"/>
    </xf>
    <xf numFmtId="2" fontId="42" fillId="36" borderId="9" xfId="8" applyNumberFormat="1" applyFont="1" applyFill="1" applyBorder="1" applyAlignment="1">
      <alignment horizontal="center" vertical="center" wrapText="1"/>
    </xf>
    <xf numFmtId="2" fontId="16" fillId="19" borderId="23" xfId="8" applyNumberFormat="1" applyFont="1" applyFill="1" applyBorder="1">
      <alignment vertical="center"/>
    </xf>
    <xf numFmtId="2" fontId="16" fillId="19" borderId="0" xfId="8" applyNumberFormat="1" applyFont="1" applyFill="1" applyBorder="1">
      <alignment vertical="center"/>
    </xf>
    <xf numFmtId="2" fontId="16" fillId="19" borderId="27" xfId="8" applyNumberFormat="1" applyFont="1" applyFill="1" applyBorder="1">
      <alignment vertical="center"/>
    </xf>
    <xf numFmtId="2" fontId="16" fillId="19" borderId="61" xfId="8" applyNumberFormat="1" applyFont="1" applyFill="1" applyBorder="1">
      <alignment vertical="center"/>
    </xf>
    <xf numFmtId="1" fontId="19" fillId="28" borderId="14" xfId="0" applyNumberFormat="1" applyFont="1" applyFill="1" applyBorder="1" applyAlignment="1" applyProtection="1">
      <alignment horizontal="center" vertical="center"/>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1" fontId="19" fillId="28" borderId="30" xfId="0" applyNumberFormat="1" applyFont="1" applyFill="1" applyBorder="1" applyAlignment="1" applyProtection="1">
      <alignment horizontal="center" vertical="center"/>
    </xf>
    <xf numFmtId="1" fontId="20" fillId="28" borderId="14" xfId="0" applyNumberFormat="1" applyFont="1" applyFill="1" applyBorder="1" applyAlignment="1" applyProtection="1">
      <alignment horizontal="center" vertical="center"/>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2" fontId="42" fillId="19" borderId="15"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0" fontId="42" fillId="19" borderId="9" xfId="8" applyNumberFormat="1" applyFont="1" applyFill="1" applyBorder="1" applyAlignment="1">
      <alignment horizontal="center" vertical="center" wrapText="1"/>
    </xf>
    <xf numFmtId="2" fontId="0" fillId="19" borderId="7" xfId="0" applyNumberFormat="1" applyFill="1" applyBorder="1">
      <alignment vertical="center"/>
    </xf>
    <xf numFmtId="166" fontId="3" fillId="0" borderId="4" xfId="0" applyNumberFormat="1" applyFont="1" applyFill="1" applyBorder="1" applyAlignment="1"/>
    <xf numFmtId="0" fontId="0" fillId="0" borderId="0" xfId="0" applyBorder="1">
      <alignment vertical="center"/>
    </xf>
    <xf numFmtId="0" fontId="0" fillId="0" borderId="0" xfId="0" applyNumberFormat="1" applyFont="1" applyFill="1" applyBorder="1" applyAlignment="1">
      <alignment wrapText="1"/>
    </xf>
    <xf numFmtId="0" fontId="7" fillId="0" borderId="0" xfId="0" applyNumberFormat="1" applyFont="1" applyFill="1" applyBorder="1" applyAlignment="1">
      <alignment horizontal="left" vertical="center"/>
    </xf>
    <xf numFmtId="166" fontId="11" fillId="0" borderId="4" xfId="0" applyNumberFormat="1" applyFont="1" applyFill="1" applyBorder="1" applyAlignment="1"/>
    <xf numFmtId="0" fontId="3" fillId="0" borderId="4" xfId="0" applyNumberFormat="1" applyFont="1" applyFill="1" applyBorder="1" applyAlignment="1"/>
    <xf numFmtId="0" fontId="0" fillId="0" borderId="1" xfId="0" applyNumberFormat="1" applyFont="1" applyFill="1" applyBorder="1" applyAlignment="1">
      <alignment wrapText="1"/>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0" fontId="0" fillId="0" borderId="0" xfId="0">
      <alignment vertical="center"/>
    </xf>
    <xf numFmtId="0" fontId="0" fillId="0" borderId="3" xfId="0" applyNumberFormat="1" applyFont="1" applyFill="1" applyBorder="1" applyAlignment="1">
      <alignment wrapText="1"/>
    </xf>
    <xf numFmtId="0" fontId="3" fillId="0" borderId="3" xfId="0" applyNumberFormat="1" applyFont="1" applyFill="1" applyBorder="1" applyAlignment="1"/>
    <xf numFmtId="0" fontId="0" fillId="0" borderId="0" xfId="0">
      <alignment vertical="center"/>
    </xf>
    <xf numFmtId="8" fontId="0" fillId="0" borderId="0" xfId="0" applyNumberFormat="1" applyBorder="1" applyAlignment="1">
      <alignment horizontal="right"/>
    </xf>
    <xf numFmtId="0" fontId="6" fillId="19" borderId="0" xfId="0" applyNumberFormat="1" applyFont="1" applyFill="1" applyBorder="1" applyAlignment="1">
      <alignment horizontal="left" vertical="center"/>
    </xf>
    <xf numFmtId="0" fontId="0" fillId="19" borderId="0" xfId="0" applyNumberFormat="1" applyFont="1" applyFill="1" applyBorder="1" applyAlignment="1">
      <alignment wrapText="1"/>
    </xf>
    <xf numFmtId="0" fontId="7" fillId="19" borderId="0" xfId="0" applyNumberFormat="1" applyFont="1" applyFill="1" applyBorder="1" applyAlignment="1">
      <alignment horizontal="left" vertical="center"/>
    </xf>
    <xf numFmtId="10" fontId="3" fillId="0" borderId="0" xfId="0" applyNumberFormat="1" applyFont="1" applyFill="1" applyBorder="1" applyAlignment="1">
      <alignment horizontal="left" vertical="center"/>
    </xf>
    <xf numFmtId="0" fontId="3" fillId="0" borderId="0" xfId="0" applyNumberFormat="1" applyFont="1" applyFill="1" applyBorder="1" applyAlignment="1">
      <alignment horizontal="left" vertical="center" wrapText="1"/>
    </xf>
    <xf numFmtId="3" fontId="3" fillId="0" borderId="0" xfId="0" applyNumberFormat="1" applyFont="1" applyFill="1" applyBorder="1" applyAlignment="1">
      <alignment horizontal="left" vertical="center" wrapText="1"/>
    </xf>
    <xf numFmtId="178" fontId="3" fillId="0" borderId="0" xfId="0" applyNumberFormat="1" applyFont="1" applyFill="1" applyBorder="1" applyAlignment="1">
      <alignment horizontal="left" vertical="center" wrapText="1"/>
    </xf>
    <xf numFmtId="44" fontId="3" fillId="0" borderId="0" xfId="0" applyNumberFormat="1" applyFont="1" applyFill="1" applyBorder="1" applyAlignment="1">
      <alignment horizontal="right" vertical="center" wrapText="1"/>
    </xf>
    <xf numFmtId="166" fontId="8" fillId="4" borderId="161" xfId="0" applyNumberFormat="1" applyFont="1" applyFill="1" applyBorder="1" applyAlignment="1"/>
    <xf numFmtId="166" fontId="8" fillId="4" borderId="158" xfId="0" applyNumberFormat="1" applyFont="1" applyFill="1" applyBorder="1" applyAlignment="1"/>
    <xf numFmtId="166" fontId="8" fillId="4" borderId="158" xfId="0" applyNumberFormat="1" applyFont="1" applyFill="1" applyBorder="1" applyAlignment="1">
      <alignment horizontal="right"/>
    </xf>
    <xf numFmtId="0" fontId="8" fillId="4" borderId="158" xfId="0" applyNumberFormat="1" applyFont="1" applyFill="1" applyBorder="1" applyAlignment="1">
      <alignment horizontal="right"/>
    </xf>
    <xf numFmtId="0" fontId="8" fillId="4" borderId="162" xfId="0" applyNumberFormat="1" applyFont="1" applyFill="1" applyBorder="1" applyAlignment="1">
      <alignment horizontal="right"/>
    </xf>
    <xf numFmtId="0" fontId="0" fillId="0" borderId="90" xfId="0" applyBorder="1" applyAlignment="1">
      <alignment vertical="center"/>
    </xf>
    <xf numFmtId="44" fontId="3" fillId="0" borderId="90" xfId="0" applyNumberFormat="1" applyFont="1" applyFill="1" applyBorder="1" applyAlignment="1">
      <alignment horizontal="left" vertical="center" wrapText="1"/>
    </xf>
    <xf numFmtId="0" fontId="2" fillId="8" borderId="90" xfId="0" applyNumberFormat="1" applyFont="1" applyFill="1" applyBorder="1" applyAlignment="1">
      <alignment horizontal="center" vertical="center" wrapText="1"/>
    </xf>
    <xf numFmtId="44" fontId="3" fillId="0" borderId="164" xfId="0" applyNumberFormat="1" applyFont="1" applyFill="1" applyBorder="1" applyAlignment="1">
      <alignment horizontal="left" vertical="center" wrapText="1"/>
    </xf>
    <xf numFmtId="0" fontId="0" fillId="0" borderId="160" xfId="0" applyBorder="1" applyAlignment="1">
      <alignment vertical="center"/>
    </xf>
    <xf numFmtId="44" fontId="3" fillId="0" borderId="160" xfId="0" applyNumberFormat="1" applyFont="1" applyFill="1" applyBorder="1" applyAlignment="1">
      <alignment horizontal="left" vertical="center" wrapText="1"/>
    </xf>
    <xf numFmtId="0" fontId="2" fillId="8" borderId="160" xfId="0" applyNumberFormat="1" applyFont="1" applyFill="1" applyBorder="1" applyAlignment="1">
      <alignment horizontal="center" vertical="center" wrapText="1"/>
    </xf>
    <xf numFmtId="44" fontId="3" fillId="0" borderId="166" xfId="0" applyNumberFormat="1" applyFont="1" applyFill="1" applyBorder="1" applyAlignment="1">
      <alignment horizontal="left" vertical="center" wrapText="1"/>
    </xf>
    <xf numFmtId="0" fontId="0" fillId="0" borderId="90" xfId="0" applyBorder="1" applyAlignment="1"/>
    <xf numFmtId="44" fontId="3" fillId="0" borderId="90" xfId="0" applyNumberFormat="1" applyFont="1" applyFill="1" applyBorder="1" applyAlignment="1">
      <alignment horizontal="right" vertical="center" wrapText="1"/>
    </xf>
    <xf numFmtId="0" fontId="0" fillId="0" borderId="90" xfId="0" applyBorder="1" applyAlignment="1">
      <alignment horizontal="left" vertical="center"/>
    </xf>
    <xf numFmtId="0" fontId="0" fillId="0" borderId="160" xfId="0" applyBorder="1" applyAlignment="1"/>
    <xf numFmtId="44" fontId="3" fillId="0" borderId="160" xfId="0" applyNumberFormat="1" applyFont="1" applyFill="1" applyBorder="1" applyAlignment="1">
      <alignment horizontal="right" vertical="center" wrapText="1"/>
    </xf>
    <xf numFmtId="0" fontId="2" fillId="19" borderId="0" xfId="0" applyNumberFormat="1" applyFont="1" applyFill="1" applyBorder="1" applyAlignment="1">
      <alignment horizontal="center" vertical="center" wrapText="1"/>
    </xf>
    <xf numFmtId="0" fontId="17" fillId="0" borderId="163" xfId="0" applyFont="1" applyBorder="1">
      <alignment vertical="center"/>
    </xf>
    <xf numFmtId="0" fontId="0" fillId="0" borderId="90" xfId="0" applyBorder="1">
      <alignment vertical="center"/>
    </xf>
    <xf numFmtId="0" fontId="10" fillId="16" borderId="90" xfId="0" applyNumberFormat="1" applyFont="1" applyFill="1" applyBorder="1" applyAlignment="1">
      <alignment horizontal="center" vertical="center" wrapText="1"/>
    </xf>
    <xf numFmtId="0" fontId="17" fillId="0" borderId="165" xfId="0" applyFont="1" applyBorder="1">
      <alignment vertical="center"/>
    </xf>
    <xf numFmtId="0" fontId="0" fillId="0" borderId="160" xfId="0" applyBorder="1">
      <alignment vertical="center"/>
    </xf>
    <xf numFmtId="0" fontId="10" fillId="16" borderId="160" xfId="0" applyNumberFormat="1" applyFont="1" applyFill="1" applyBorder="1" applyAlignment="1">
      <alignment horizontal="center" vertical="center" wrapText="1"/>
    </xf>
    <xf numFmtId="0" fontId="10" fillId="19" borderId="0" xfId="0" applyNumberFormat="1" applyFont="1" applyFill="1" applyBorder="1" applyAlignment="1">
      <alignment horizontal="center" vertical="center" wrapText="1"/>
    </xf>
    <xf numFmtId="0" fontId="212" fillId="0" borderId="0" xfId="0" applyFont="1" applyBorder="1" applyAlignment="1"/>
    <xf numFmtId="0" fontId="16" fillId="0" borderId="163" xfId="0" applyFont="1" applyBorder="1">
      <alignment vertical="center"/>
    </xf>
    <xf numFmtId="0" fontId="2" fillId="8" borderId="90" xfId="0" applyNumberFormat="1" applyFont="1" applyFill="1" applyBorder="1" applyAlignment="1">
      <alignment horizontal="center" vertical="center"/>
    </xf>
    <xf numFmtId="0" fontId="0" fillId="0" borderId="90" xfId="0" applyFill="1" applyBorder="1">
      <alignment vertical="center"/>
    </xf>
    <xf numFmtId="0" fontId="89" fillId="16" borderId="90" xfId="0" applyFont="1" applyFill="1" applyBorder="1" applyAlignment="1">
      <alignment horizontal="center" vertical="center"/>
    </xf>
    <xf numFmtId="0" fontId="0" fillId="0" borderId="163" xfId="0" applyBorder="1">
      <alignment vertical="center"/>
    </xf>
    <xf numFmtId="0" fontId="10" fillId="16" borderId="90" xfId="0" applyNumberFormat="1" applyFont="1" applyFill="1" applyBorder="1" applyAlignment="1">
      <alignment horizontal="center" vertical="center"/>
    </xf>
    <xf numFmtId="0" fontId="16" fillId="0" borderId="165" xfId="0" applyFont="1" applyBorder="1">
      <alignment vertical="center"/>
    </xf>
    <xf numFmtId="0" fontId="89" fillId="16" borderId="160" xfId="0" applyFont="1" applyFill="1" applyBorder="1" applyAlignment="1">
      <alignment horizontal="center" vertical="center"/>
    </xf>
    <xf numFmtId="0" fontId="16" fillId="0" borderId="167" xfId="0" applyFont="1" applyBorder="1">
      <alignment vertical="center"/>
    </xf>
    <xf numFmtId="0" fontId="0" fillId="0" borderId="157" xfId="0" applyBorder="1">
      <alignment vertical="center"/>
    </xf>
    <xf numFmtId="44" fontId="3" fillId="0" borderId="157" xfId="0" applyNumberFormat="1" applyFont="1" applyFill="1" applyBorder="1" applyAlignment="1">
      <alignment horizontal="left" vertical="center" wrapText="1"/>
    </xf>
    <xf numFmtId="0" fontId="89" fillId="16" borderId="157" xfId="0" applyFont="1" applyFill="1" applyBorder="1" applyAlignment="1">
      <alignment horizontal="center" vertical="center"/>
    </xf>
    <xf numFmtId="44" fontId="3" fillId="0" borderId="168" xfId="0" applyNumberFormat="1" applyFont="1" applyFill="1" applyBorder="1" applyAlignment="1">
      <alignment horizontal="left" vertical="center" wrapText="1"/>
    </xf>
    <xf numFmtId="0" fontId="17" fillId="0" borderId="161" xfId="0" applyFont="1" applyFill="1" applyBorder="1">
      <alignment vertical="center"/>
    </xf>
    <xf numFmtId="0" fontId="3" fillId="19" borderId="158" xfId="0" quotePrefix="1" applyNumberFormat="1" applyFont="1" applyFill="1" applyBorder="1" applyAlignment="1">
      <alignment horizontal="center" vertical="center" wrapText="1"/>
    </xf>
    <xf numFmtId="44" fontId="3" fillId="19" borderId="158" xfId="0" quotePrefix="1" applyNumberFormat="1" applyFont="1" applyFill="1" applyBorder="1" applyAlignment="1">
      <alignment horizontal="center" vertical="center" wrapText="1"/>
    </xf>
    <xf numFmtId="44" fontId="3" fillId="0" borderId="162" xfId="0" applyNumberFormat="1" applyFont="1" applyFill="1" applyBorder="1" applyAlignment="1">
      <alignment horizontal="center" vertical="center" wrapText="1"/>
    </xf>
    <xf numFmtId="0" fontId="89" fillId="19" borderId="0" xfId="0" applyFont="1" applyFill="1" applyBorder="1" applyAlignment="1">
      <alignment horizontal="center" vertical="center"/>
    </xf>
    <xf numFmtId="0" fontId="16" fillId="0" borderId="90" xfId="0" applyFont="1" applyBorder="1">
      <alignment vertical="center"/>
    </xf>
    <xf numFmtId="0" fontId="16" fillId="0" borderId="160" xfId="0" applyFont="1" applyBorder="1">
      <alignment vertical="center"/>
    </xf>
    <xf numFmtId="0" fontId="6" fillId="5" borderId="2" xfId="0" applyNumberFormat="1" applyFont="1" applyFill="1" applyBorder="1" applyAlignment="1">
      <alignment vertical="center"/>
    </xf>
    <xf numFmtId="0" fontId="6" fillId="5" borderId="3" xfId="0" applyNumberFormat="1" applyFont="1" applyFill="1" applyBorder="1" applyAlignment="1">
      <alignment vertical="center"/>
    </xf>
    <xf numFmtId="0" fontId="6" fillId="5" borderId="10" xfId="0" applyNumberFormat="1" applyFont="1" applyFill="1" applyBorder="1" applyAlignment="1">
      <alignment vertical="center"/>
    </xf>
    <xf numFmtId="0" fontId="0" fillId="0" borderId="163" xfId="0" applyBorder="1" applyAlignment="1">
      <alignment vertical="center"/>
    </xf>
    <xf numFmtId="0" fontId="0" fillId="0" borderId="165" xfId="0" applyBorder="1" applyAlignment="1">
      <alignment vertical="center"/>
    </xf>
    <xf numFmtId="0" fontId="16" fillId="0" borderId="163" xfId="0" applyFont="1" applyBorder="1" applyAlignment="1">
      <alignment horizontal="left" vertical="center" wrapText="1"/>
    </xf>
    <xf numFmtId="0" fontId="20" fillId="19" borderId="0" xfId="0" applyFont="1" applyFill="1" applyBorder="1" applyAlignment="1">
      <alignment horizontal="center" vertical="center"/>
    </xf>
    <xf numFmtId="167" fontId="20" fillId="19" borderId="0" xfId="0" applyNumberFormat="1" applyFont="1" applyFill="1" applyBorder="1" applyAlignment="1">
      <alignment horizontal="center" vertical="center"/>
    </xf>
    <xf numFmtId="0" fontId="17" fillId="19" borderId="0" xfId="0" applyFont="1" applyFill="1" applyBorder="1">
      <alignment vertical="center"/>
    </xf>
    <xf numFmtId="0" fontId="2" fillId="8" borderId="160" xfId="0" applyNumberFormat="1" applyFont="1" applyFill="1" applyBorder="1" applyAlignment="1">
      <alignment horizontal="center" vertical="center"/>
    </xf>
    <xf numFmtId="0" fontId="2" fillId="19" borderId="0" xfId="0" applyNumberFormat="1" applyFont="1" applyFill="1" applyBorder="1" applyAlignment="1">
      <alignment horizontal="center" vertical="center"/>
    </xf>
    <xf numFmtId="0" fontId="17" fillId="19" borderId="0" xfId="0" applyFont="1" applyFill="1" applyBorder="1" applyAlignment="1">
      <alignment vertical="center"/>
    </xf>
    <xf numFmtId="0" fontId="0" fillId="16" borderId="3" xfId="0" applyFill="1" applyBorder="1">
      <alignment vertical="center"/>
    </xf>
    <xf numFmtId="0" fontId="2" fillId="16" borderId="2" xfId="0" applyNumberFormat="1" applyFont="1" applyFill="1" applyBorder="1" applyAlignment="1"/>
    <xf numFmtId="166" fontId="3" fillId="16" borderId="3" xfId="0" applyNumberFormat="1" applyFont="1" applyFill="1" applyBorder="1" applyAlignment="1">
      <alignment horizontal="right" wrapText="1"/>
    </xf>
    <xf numFmtId="0" fontId="3" fillId="16" borderId="3" xfId="0" applyNumberFormat="1" applyFont="1" applyFill="1" applyBorder="1" applyAlignment="1">
      <alignment horizontal="right"/>
    </xf>
    <xf numFmtId="166" fontId="3" fillId="8" borderId="10" xfId="0" applyNumberFormat="1" applyFont="1" applyFill="1" applyBorder="1" applyAlignment="1">
      <alignment horizontal="right" wrapText="1"/>
    </xf>
    <xf numFmtId="0" fontId="0" fillId="0" borderId="11" xfId="0" applyBorder="1">
      <alignment vertical="center"/>
    </xf>
    <xf numFmtId="44" fontId="0" fillId="0" borderId="90" xfId="16" applyFont="1" applyBorder="1" applyAlignment="1">
      <alignment horizontal="right" vertical="center"/>
    </xf>
    <xf numFmtId="44" fontId="0" fillId="0" borderId="160" xfId="16" applyFont="1" applyBorder="1" applyAlignment="1">
      <alignment horizontal="right" vertical="center"/>
    </xf>
    <xf numFmtId="0" fontId="0" fillId="0" borderId="0" xfId="0" applyNumberFormat="1" applyFont="1" applyFill="1" applyBorder="1" applyAlignment="1">
      <alignment horizontal="right" wrapText="1"/>
    </xf>
    <xf numFmtId="0" fontId="0" fillId="0" borderId="3" xfId="0" applyNumberFormat="1" applyFont="1" applyFill="1" applyBorder="1" applyAlignment="1">
      <alignment horizontal="right" wrapText="1"/>
    </xf>
    <xf numFmtId="0" fontId="0" fillId="19" borderId="0" xfId="0" applyNumberFormat="1" applyFont="1" applyFill="1" applyBorder="1" applyAlignment="1">
      <alignment horizontal="right" wrapText="1"/>
    </xf>
    <xf numFmtId="166" fontId="153" fillId="4" borderId="158" xfId="0" applyNumberFormat="1" applyFont="1" applyFill="1" applyBorder="1" applyAlignment="1">
      <alignment horizontal="right"/>
    </xf>
    <xf numFmtId="44" fontId="3" fillId="0" borderId="157" xfId="0" applyNumberFormat="1" applyFont="1" applyFill="1" applyBorder="1" applyAlignment="1">
      <alignment horizontal="right" vertical="center" wrapText="1"/>
    </xf>
    <xf numFmtId="44" fontId="3" fillId="19" borderId="158" xfId="0" quotePrefix="1" applyNumberFormat="1" applyFont="1" applyFill="1" applyBorder="1" applyAlignment="1">
      <alignment horizontal="right" vertical="center" wrapText="1"/>
    </xf>
    <xf numFmtId="165" fontId="3" fillId="16" borderId="3" xfId="0" applyNumberFormat="1" applyFont="1" applyFill="1" applyBorder="1" applyAlignment="1">
      <alignment horizontal="right" wrapText="1"/>
    </xf>
    <xf numFmtId="0" fontId="6" fillId="5" borderId="3" xfId="0" applyNumberFormat="1" applyFont="1" applyFill="1" applyBorder="1" applyAlignment="1">
      <alignment horizontal="right" vertical="center"/>
    </xf>
    <xf numFmtId="0" fontId="0" fillId="0" borderId="1" xfId="0" applyNumberFormat="1" applyFont="1" applyFill="1" applyBorder="1" applyAlignment="1">
      <alignment horizontal="right" wrapText="1"/>
    </xf>
    <xf numFmtId="166" fontId="3" fillId="0" borderId="0" xfId="0" applyNumberFormat="1" applyFont="1" applyFill="1" applyBorder="1" applyAlignment="1">
      <alignment horizontal="right" vertical="center"/>
    </xf>
    <xf numFmtId="44" fontId="3" fillId="0" borderId="90" xfId="16" applyFont="1" applyFill="1" applyBorder="1" applyAlignment="1">
      <alignment horizontal="right" vertical="center" wrapText="1"/>
    </xf>
    <xf numFmtId="0" fontId="16" fillId="19" borderId="0" xfId="0" applyFont="1" applyFill="1" applyBorder="1" applyAlignment="1">
      <alignment horizontal="right" vertical="center"/>
    </xf>
    <xf numFmtId="0" fontId="0" fillId="19" borderId="0" xfId="0" applyFill="1" applyBorder="1" applyAlignment="1">
      <alignment horizontal="right" vertical="center"/>
    </xf>
    <xf numFmtId="0" fontId="16" fillId="19" borderId="0" xfId="0" applyFont="1" applyFill="1" applyBorder="1">
      <alignment vertical="center"/>
    </xf>
    <xf numFmtId="0" fontId="17" fillId="19" borderId="0" xfId="0" applyFont="1" applyFill="1" applyBorder="1" applyAlignment="1">
      <alignment horizontal="left" vertical="center"/>
    </xf>
    <xf numFmtId="0" fontId="0" fillId="19" borderId="0" xfId="0" applyFill="1" applyBorder="1" applyAlignment="1">
      <alignment horizontal="left" vertical="center"/>
    </xf>
    <xf numFmtId="166" fontId="0" fillId="19" borderId="0" xfId="0" applyNumberFormat="1" applyFill="1" applyBorder="1" applyAlignment="1">
      <alignment horizontal="left" vertical="center"/>
    </xf>
    <xf numFmtId="2" fontId="0" fillId="19" borderId="0" xfId="0" applyNumberFormat="1" applyFill="1" applyBorder="1" applyAlignment="1">
      <alignment horizontal="left" vertical="center"/>
    </xf>
    <xf numFmtId="0" fontId="16" fillId="19" borderId="0" xfId="0" applyFont="1" applyFill="1" applyBorder="1" applyAlignment="1">
      <alignment horizontal="left" vertical="center"/>
    </xf>
    <xf numFmtId="0" fontId="0" fillId="19" borderId="0" xfId="0" applyFont="1" applyFill="1" applyBorder="1" applyAlignment="1">
      <alignment horizontal="left" vertical="center"/>
    </xf>
    <xf numFmtId="166" fontId="16" fillId="19" borderId="0" xfId="0" applyNumberFormat="1" applyFont="1" applyFill="1" applyBorder="1" applyAlignment="1">
      <alignment horizontal="left" vertical="center"/>
    </xf>
    <xf numFmtId="0" fontId="3" fillId="19" borderId="0" xfId="0" applyNumberFormat="1" applyFont="1" applyFill="1" applyBorder="1" applyAlignment="1">
      <alignment horizontal="right" vertical="center"/>
    </xf>
    <xf numFmtId="0" fontId="16" fillId="19" borderId="0" xfId="0" applyFont="1" applyFill="1" applyBorder="1" applyAlignment="1">
      <alignment horizontal="left" vertical="top"/>
    </xf>
    <xf numFmtId="166" fontId="0" fillId="19" borderId="0" xfId="0" applyNumberFormat="1" applyFill="1" applyBorder="1" applyAlignment="1">
      <alignment horizontal="left" vertical="top"/>
    </xf>
    <xf numFmtId="0" fontId="0" fillId="19" borderId="0" xfId="0" applyFill="1" applyBorder="1" applyAlignment="1">
      <alignment horizontal="left" vertical="top"/>
    </xf>
    <xf numFmtId="2" fontId="0" fillId="19" borderId="0" xfId="0" applyNumberFormat="1" applyFill="1" applyBorder="1" applyAlignment="1">
      <alignment horizontal="left" vertical="top"/>
    </xf>
    <xf numFmtId="0" fontId="17" fillId="19" borderId="0" xfId="0" applyFont="1" applyFill="1" applyBorder="1" applyAlignment="1">
      <alignment horizontal="right" vertical="center"/>
    </xf>
    <xf numFmtId="0" fontId="17" fillId="19" borderId="0" xfId="0" applyFont="1" applyFill="1" applyBorder="1" applyAlignment="1">
      <alignment horizontal="center" vertical="center"/>
    </xf>
    <xf numFmtId="166" fontId="0" fillId="19" borderId="0" xfId="0" applyNumberFormat="1" applyFill="1" applyBorder="1" applyAlignment="1">
      <alignment horizontal="right" vertical="center"/>
    </xf>
    <xf numFmtId="166" fontId="0" fillId="19" borderId="0" xfId="0" applyNumberFormat="1" applyFill="1" applyBorder="1">
      <alignment vertical="center"/>
    </xf>
    <xf numFmtId="0" fontId="0" fillId="19" borderId="0" xfId="0" applyFont="1" applyFill="1" applyBorder="1">
      <alignment vertical="center"/>
    </xf>
    <xf numFmtId="4" fontId="0" fillId="19" borderId="0" xfId="0" applyNumberFormat="1" applyFill="1" applyBorder="1" applyAlignment="1">
      <alignment horizontal="left" vertical="center"/>
    </xf>
    <xf numFmtId="0" fontId="16" fillId="19" borderId="0" xfId="0" applyFont="1" applyFill="1" applyBorder="1" applyAlignment="1">
      <alignment horizontal="right" vertical="top"/>
    </xf>
    <xf numFmtId="0" fontId="0" fillId="19" borderId="0" xfId="0" applyFill="1" applyBorder="1" applyAlignment="1">
      <alignment horizontal="right" vertical="top"/>
    </xf>
    <xf numFmtId="0" fontId="0" fillId="19" borderId="0" xfId="0" applyNumberFormat="1" applyFill="1" applyBorder="1" applyAlignment="1">
      <alignment horizontal="left" vertical="center"/>
    </xf>
    <xf numFmtId="0" fontId="123" fillId="19" borderId="0" xfId="0" applyNumberFormat="1" applyFont="1" applyFill="1" applyBorder="1" applyAlignment="1">
      <alignment horizontal="right"/>
    </xf>
    <xf numFmtId="0" fontId="213" fillId="0" borderId="0" xfId="0" applyFont="1">
      <alignment vertical="center"/>
    </xf>
    <xf numFmtId="0" fontId="123" fillId="0" borderId="0" xfId="0" applyFont="1" applyAlignment="1">
      <alignment horizontal="center" vertical="center"/>
    </xf>
    <xf numFmtId="0" fontId="3" fillId="0" borderId="1" xfId="0" applyNumberFormat="1" applyFont="1" applyFill="1" applyBorder="1" applyAlignment="1">
      <alignment horizontal="right" wrapText="1"/>
    </xf>
    <xf numFmtId="0" fontId="164" fillId="0" borderId="0" xfId="0" applyFont="1" applyAlignment="1">
      <alignment horizontal="center" vertical="center"/>
    </xf>
    <xf numFmtId="0" fontId="214" fillId="0" borderId="0" xfId="0" applyFont="1" applyAlignment="1">
      <alignment vertical="center"/>
    </xf>
    <xf numFmtId="0" fontId="215" fillId="0" borderId="0" xfId="0" applyFont="1" applyAlignment="1">
      <alignment horizontal="left" vertical="center"/>
    </xf>
    <xf numFmtId="0" fontId="11" fillId="0" borderId="0" xfId="0" applyNumberFormat="1" applyFont="1" applyFill="1" applyBorder="1" applyAlignment="1">
      <alignment horizontal="center"/>
    </xf>
    <xf numFmtId="3" fontId="3" fillId="0" borderId="8" xfId="0" applyNumberFormat="1" applyFont="1" applyFill="1" applyBorder="1" applyAlignment="1">
      <alignment horizontal="right"/>
    </xf>
    <xf numFmtId="0" fontId="15" fillId="0" borderId="0" xfId="0" applyNumberFormat="1" applyFont="1" applyFill="1" applyAlignment="1">
      <alignment vertical="justify"/>
    </xf>
    <xf numFmtId="166" fontId="216" fillId="5" borderId="169" xfId="0" applyNumberFormat="1" applyFont="1" applyFill="1" applyBorder="1" applyAlignment="1">
      <alignment horizontal="center" vertical="center" wrapText="1"/>
    </xf>
    <xf numFmtId="0" fontId="3" fillId="8" borderId="45" xfId="0" applyNumberFormat="1" applyFont="1" applyFill="1" applyBorder="1" applyAlignment="1">
      <alignment horizontal="center" wrapText="1"/>
    </xf>
    <xf numFmtId="0" fontId="16" fillId="0" borderId="0" xfId="0" applyFont="1" applyAlignment="1">
      <alignment vertical="center"/>
    </xf>
    <xf numFmtId="0" fontId="16" fillId="0" borderId="0" xfId="0" applyNumberFormat="1" applyFont="1" applyFill="1" applyBorder="1" applyAlignment="1">
      <alignment wrapText="1"/>
    </xf>
    <xf numFmtId="0" fontId="19" fillId="0" borderId="0" xfId="0" applyNumberFormat="1" applyFont="1" applyFill="1" applyBorder="1" applyAlignment="1">
      <alignment wrapText="1"/>
    </xf>
    <xf numFmtId="0" fontId="19" fillId="0" borderId="4" xfId="0" applyNumberFormat="1" applyFont="1" applyFill="1" applyBorder="1" applyAlignment="1">
      <alignment wrapText="1"/>
    </xf>
    <xf numFmtId="0" fontId="171" fillId="21" borderId="23" xfId="0" applyFont="1" applyFill="1" applyBorder="1" applyAlignment="1" applyProtection="1">
      <alignment horizontal="center" vertical="center"/>
      <protection locked="0"/>
    </xf>
    <xf numFmtId="0" fontId="171" fillId="21" borderId="24" xfId="0" applyFont="1" applyFill="1" applyBorder="1" applyAlignment="1" applyProtection="1">
      <alignment horizontal="center" vertical="center"/>
      <protection locked="0"/>
    </xf>
    <xf numFmtId="0" fontId="171" fillId="21" borderId="27" xfId="0" applyFont="1" applyFill="1" applyBorder="1" applyAlignment="1" applyProtection="1">
      <alignment horizontal="center" vertical="center"/>
      <protection locked="0"/>
    </xf>
    <xf numFmtId="0" fontId="171" fillId="21" borderId="28" xfId="0" applyFont="1" applyFill="1" applyBorder="1" applyAlignment="1" applyProtection="1">
      <alignment horizontal="center" vertical="center"/>
      <protection locked="0"/>
    </xf>
    <xf numFmtId="0" fontId="16" fillId="19" borderId="0" xfId="0" applyFont="1" applyFill="1" applyBorder="1" applyAlignment="1" applyProtection="1">
      <alignment vertical="center"/>
    </xf>
    <xf numFmtId="0" fontId="174" fillId="24" borderId="0" xfId="0" applyFont="1" applyFill="1" applyBorder="1" applyAlignment="1" applyProtection="1">
      <alignment vertical="center" wrapText="1"/>
    </xf>
    <xf numFmtId="0" fontId="174" fillId="23"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73" fillId="26" borderId="0" xfId="0" applyFont="1" applyFill="1" applyBorder="1" applyAlignment="1" applyProtection="1">
      <alignment vertical="center"/>
    </xf>
    <xf numFmtId="0" fontId="173" fillId="24" borderId="0" xfId="0" applyFont="1" applyFill="1" applyBorder="1" applyAlignment="1" applyProtection="1">
      <alignment vertical="center"/>
    </xf>
    <xf numFmtId="0" fontId="173" fillId="23" borderId="0" xfId="0" applyFont="1" applyFill="1" applyBorder="1" applyAlignment="1" applyProtection="1">
      <alignment vertical="center"/>
    </xf>
    <xf numFmtId="0" fontId="174" fillId="20" borderId="0" xfId="0" applyFont="1" applyFill="1" applyBorder="1" applyAlignment="1" applyProtection="1">
      <alignment vertical="center" wrapText="1"/>
    </xf>
    <xf numFmtId="0" fontId="188" fillId="25" borderId="0" xfId="0" applyFont="1" applyFill="1" applyBorder="1" applyAlignment="1" applyProtection="1">
      <alignment vertical="center" wrapText="1"/>
    </xf>
    <xf numFmtId="0" fontId="170" fillId="16" borderId="0" xfId="0" applyFont="1" applyFill="1" applyBorder="1" applyAlignment="1" applyProtection="1">
      <alignment vertical="center"/>
    </xf>
    <xf numFmtId="0" fontId="174" fillId="16" borderId="0" xfId="0" applyFont="1" applyFill="1" applyBorder="1" applyAlignment="1" applyProtection="1">
      <alignment vertical="center" wrapText="1"/>
    </xf>
    <xf numFmtId="0" fontId="170" fillId="29" borderId="0" xfId="0" applyFont="1" applyFill="1" applyBorder="1" applyAlignment="1" applyProtection="1">
      <alignment vertical="center"/>
    </xf>
    <xf numFmtId="0" fontId="171" fillId="29" borderId="0" xfId="0" applyNumberFormat="1" applyFont="1" applyFill="1" applyBorder="1" applyAlignment="1" applyProtection="1">
      <alignment horizontal="left" vertical="center" wrapText="1"/>
    </xf>
    <xf numFmtId="0" fontId="172" fillId="29" borderId="0" xfId="0" applyNumberFormat="1" applyFont="1" applyFill="1" applyBorder="1" applyAlignment="1" applyProtection="1">
      <alignment horizontal="center" vertical="center"/>
    </xf>
    <xf numFmtId="0" fontId="173" fillId="29" borderId="0" xfId="0" applyFont="1" applyFill="1" applyBorder="1" applyAlignment="1" applyProtection="1">
      <alignment vertical="center"/>
    </xf>
    <xf numFmtId="0" fontId="174" fillId="29" borderId="0" xfId="0" applyFont="1" applyFill="1" applyBorder="1" applyAlignment="1" applyProtection="1">
      <alignment vertical="center" wrapText="1"/>
    </xf>
    <xf numFmtId="0" fontId="175" fillId="29" borderId="0" xfId="0" applyFont="1" applyFill="1" applyBorder="1" applyAlignment="1" applyProtection="1">
      <alignment horizontal="left" vertical="center"/>
    </xf>
    <xf numFmtId="0" fontId="177" fillId="16" borderId="0" xfId="0" applyFont="1" applyFill="1" applyBorder="1" applyAlignment="1" applyProtection="1">
      <alignment vertical="center"/>
    </xf>
    <xf numFmtId="0" fontId="178" fillId="16" borderId="0" xfId="0" applyFont="1" applyFill="1" applyBorder="1" applyAlignment="1" applyProtection="1">
      <alignment vertical="center"/>
    </xf>
    <xf numFmtId="0" fontId="178" fillId="16" borderId="0" xfId="0" applyFont="1" applyFill="1" applyBorder="1" applyAlignment="1" applyProtection="1">
      <alignment vertical="center"/>
      <protection locked="0"/>
    </xf>
    <xf numFmtId="0" fontId="181" fillId="16" borderId="0" xfId="0" applyFont="1" applyFill="1" applyBorder="1" applyAlignment="1" applyProtection="1">
      <alignment horizontal="center" vertical="center"/>
      <protection locked="0"/>
    </xf>
    <xf numFmtId="0" fontId="182" fillId="16" borderId="0" xfId="0" applyFont="1" applyFill="1" applyBorder="1" applyAlignment="1" applyProtection="1">
      <alignment vertical="center"/>
    </xf>
    <xf numFmtId="0" fontId="183" fillId="16" borderId="0" xfId="0" applyNumberFormat="1" applyFont="1" applyFill="1" applyBorder="1" applyAlignment="1" applyProtection="1">
      <alignment vertical="center"/>
    </xf>
    <xf numFmtId="0" fontId="173" fillId="16" borderId="0" xfId="0" applyFont="1" applyFill="1" applyBorder="1" applyAlignment="1" applyProtection="1">
      <alignment vertical="center"/>
      <protection locked="0"/>
    </xf>
    <xf numFmtId="0" fontId="173" fillId="16" borderId="0" xfId="0" applyFont="1" applyFill="1" applyBorder="1" applyAlignment="1" applyProtection="1">
      <alignment horizontal="center" vertical="center"/>
    </xf>
    <xf numFmtId="0" fontId="187" fillId="14" borderId="0" xfId="0" applyFont="1" applyFill="1" applyBorder="1" applyAlignment="1" applyProtection="1">
      <alignment horizontal="left" vertical="center"/>
      <protection locked="0"/>
    </xf>
    <xf numFmtId="170" fontId="174" fillId="14" borderId="0" xfId="0" applyNumberFormat="1" applyFont="1" applyFill="1" applyBorder="1" applyAlignment="1" applyProtection="1">
      <alignment vertical="center" wrapText="1"/>
    </xf>
    <xf numFmtId="0" fontId="192" fillId="16" borderId="0" xfId="0" applyFont="1" applyFill="1" applyBorder="1" applyAlignment="1" applyProtection="1">
      <alignment vertical="center"/>
    </xf>
    <xf numFmtId="0" fontId="193" fillId="16" borderId="0" xfId="0" applyFont="1" applyFill="1" applyBorder="1" applyAlignment="1" applyProtection="1">
      <alignment vertical="center"/>
    </xf>
    <xf numFmtId="0" fontId="174" fillId="16" borderId="0" xfId="0" applyFont="1" applyFill="1" applyBorder="1" applyAlignment="1" applyProtection="1">
      <alignment vertical="center"/>
    </xf>
    <xf numFmtId="0" fontId="184" fillId="16" borderId="0" xfId="0" applyFont="1" applyFill="1" applyBorder="1" applyAlignment="1" applyProtection="1">
      <alignment vertical="center"/>
    </xf>
    <xf numFmtId="0" fontId="193" fillId="16" borderId="0" xfId="0" applyFont="1" applyFill="1" applyBorder="1" applyAlignment="1" applyProtection="1">
      <alignment vertical="top" wrapText="1"/>
    </xf>
    <xf numFmtId="0" fontId="25" fillId="16" borderId="0" xfId="0" applyFont="1" applyFill="1" applyBorder="1" applyAlignment="1" applyProtection="1">
      <alignment vertical="center" wrapText="1"/>
    </xf>
    <xf numFmtId="0" fontId="217" fillId="16" borderId="0" xfId="0" applyFont="1" applyFill="1" applyBorder="1" applyAlignment="1" applyProtection="1">
      <alignment horizontal="right" vertical="center"/>
    </xf>
    <xf numFmtId="0" fontId="174" fillId="16" borderId="0" xfId="0" applyFont="1" applyFill="1" applyBorder="1" applyAlignment="1" applyProtection="1">
      <alignment horizontal="center" wrapText="1"/>
    </xf>
    <xf numFmtId="0" fontId="173" fillId="29" borderId="0" xfId="0" applyFont="1" applyFill="1" applyBorder="1" applyAlignment="1" applyProtection="1">
      <alignment horizontal="center" vertical="center"/>
    </xf>
    <xf numFmtId="0" fontId="164" fillId="0" borderId="0" xfId="0" applyFont="1">
      <alignment vertical="center"/>
    </xf>
    <xf numFmtId="0" fontId="164" fillId="0" borderId="0" xfId="0" applyFont="1" applyAlignment="1">
      <alignment vertical="center"/>
    </xf>
    <xf numFmtId="0" fontId="218" fillId="0" borderId="0" xfId="0" applyFont="1">
      <alignment vertical="center"/>
    </xf>
    <xf numFmtId="0" fontId="164" fillId="0" borderId="0" xfId="0" applyFont="1" applyAlignment="1">
      <alignment horizontal="right" vertical="center"/>
    </xf>
    <xf numFmtId="0" fontId="219" fillId="0" borderId="0" xfId="0" applyFont="1">
      <alignment vertical="center"/>
    </xf>
    <xf numFmtId="0" fontId="220" fillId="0" borderId="0" xfId="0" applyFont="1" applyAlignment="1">
      <alignment horizontal="right" vertical="center"/>
    </xf>
    <xf numFmtId="0" fontId="220" fillId="0" borderId="0" xfId="0" applyFont="1">
      <alignment vertical="center"/>
    </xf>
    <xf numFmtId="0" fontId="3" fillId="0" borderId="0" xfId="0" applyNumberFormat="1" applyFont="1" applyFill="1" applyAlignment="1">
      <alignment vertical="center"/>
    </xf>
    <xf numFmtId="0" fontId="0" fillId="0" borderId="0" xfId="0">
      <alignment vertical="center"/>
    </xf>
    <xf numFmtId="172" fontId="14" fillId="2" borderId="19" xfId="0" applyNumberFormat="1" applyFont="1" applyFill="1" applyBorder="1" applyAlignment="1">
      <alignment horizontal="center" vertical="center"/>
    </xf>
    <xf numFmtId="0" fontId="14" fillId="2" borderId="20" xfId="0" applyNumberFormat="1" applyFont="1" applyFill="1" applyBorder="1" applyAlignment="1">
      <alignment horizontal="center" vertical="center"/>
    </xf>
    <xf numFmtId="0" fontId="14" fillId="2" borderId="19" xfId="0" applyNumberFormat="1" applyFont="1" applyFill="1" applyBorder="1" applyAlignment="1">
      <alignment horizontal="center" vertical="center" wrapText="1"/>
    </xf>
    <xf numFmtId="0" fontId="13" fillId="0" borderId="19" xfId="0" applyNumberFormat="1" applyFont="1" applyFill="1" applyBorder="1" applyAlignment="1">
      <alignment horizontal="center" vertical="center"/>
    </xf>
    <xf numFmtId="0" fontId="153" fillId="0" borderId="9" xfId="0" applyNumberFormat="1" applyFont="1" applyFill="1" applyBorder="1" applyAlignment="1">
      <alignment horizontal="left" vertical="center"/>
    </xf>
    <xf numFmtId="0" fontId="152" fillId="0" borderId="9" xfId="0" applyNumberFormat="1" applyFont="1" applyFill="1" applyBorder="1" applyAlignment="1">
      <alignment horizontal="center" vertical="center" wrapText="1"/>
    </xf>
    <xf numFmtId="0" fontId="16" fillId="0" borderId="0" xfId="0" applyFont="1" applyBorder="1" applyAlignment="1">
      <alignment horizontal="center" vertical="center"/>
    </xf>
    <xf numFmtId="0" fontId="20" fillId="0" borderId="0" xfId="0" applyFont="1" applyBorder="1" applyAlignment="1">
      <alignment horizontal="center" vertical="center"/>
    </xf>
    <xf numFmtId="0" fontId="0" fillId="0" borderId="161" xfId="0" applyBorder="1" applyAlignment="1"/>
    <xf numFmtId="0" fontId="0" fillId="0" borderId="158" xfId="0" applyBorder="1" applyAlignment="1"/>
    <xf numFmtId="44" fontId="0" fillId="0" borderId="158" xfId="16" applyFont="1" applyBorder="1" applyAlignment="1">
      <alignment horizontal="right" vertical="center"/>
    </xf>
    <xf numFmtId="44" fontId="3" fillId="0" borderId="158" xfId="0" applyNumberFormat="1" applyFont="1" applyFill="1" applyBorder="1" applyAlignment="1">
      <alignment horizontal="right" vertical="center" wrapText="1"/>
    </xf>
    <xf numFmtId="0" fontId="2" fillId="8" borderId="158" xfId="0" applyNumberFormat="1" applyFont="1" applyFill="1" applyBorder="1" applyAlignment="1">
      <alignment horizontal="center" vertical="center" wrapText="1"/>
    </xf>
    <xf numFmtId="44" fontId="3" fillId="0" borderId="162" xfId="0" applyNumberFormat="1" applyFont="1" applyFill="1" applyBorder="1" applyAlignment="1">
      <alignment horizontal="left" vertical="center" wrapText="1"/>
    </xf>
    <xf numFmtId="0" fontId="17" fillId="0" borderId="161" xfId="0" applyFont="1" applyBorder="1">
      <alignment vertical="center"/>
    </xf>
    <xf numFmtId="0" fontId="0" fillId="0" borderId="158" xfId="0" applyBorder="1">
      <alignment vertical="center"/>
    </xf>
    <xf numFmtId="44" fontId="3" fillId="0" borderId="158" xfId="0" applyNumberFormat="1" applyFont="1" applyFill="1" applyBorder="1" applyAlignment="1">
      <alignment horizontal="left" vertical="center" wrapText="1"/>
    </xf>
    <xf numFmtId="0" fontId="10" fillId="16" borderId="158" xfId="0" applyNumberFormat="1" applyFont="1" applyFill="1" applyBorder="1" applyAlignment="1">
      <alignment horizontal="center" vertical="center" wrapText="1"/>
    </xf>
    <xf numFmtId="0" fontId="16" fillId="0" borderId="158" xfId="0" applyFont="1" applyBorder="1">
      <alignment vertical="center"/>
    </xf>
    <xf numFmtId="0" fontId="2" fillId="8" borderId="158" xfId="0" applyNumberFormat="1" applyFont="1" applyFill="1" applyBorder="1" applyAlignment="1">
      <alignment horizontal="center" vertical="center"/>
    </xf>
    <xf numFmtId="0" fontId="0" fillId="0" borderId="9" xfId="0" applyBorder="1">
      <alignment vertical="center"/>
    </xf>
    <xf numFmtId="0" fontId="221" fillId="0" borderId="0" xfId="0" applyFont="1" applyAlignment="1">
      <alignment horizontal="left" vertical="center"/>
    </xf>
    <xf numFmtId="0" fontId="16" fillId="0" borderId="0" xfId="0" applyFont="1" applyBorder="1" applyAlignment="1">
      <alignment horizontal="center" vertical="center" wrapText="1"/>
    </xf>
    <xf numFmtId="0" fontId="16" fillId="0" borderId="0" xfId="0" applyFont="1" applyFill="1" applyBorder="1">
      <alignment vertical="center"/>
    </xf>
    <xf numFmtId="0" fontId="54" fillId="0" borderId="0" xfId="0" quotePrefix="1" applyFont="1" applyBorder="1" applyAlignment="1">
      <alignment horizontal="center" vertical="center"/>
    </xf>
    <xf numFmtId="0" fontId="20" fillId="24" borderId="27" xfId="0" applyFont="1" applyFill="1" applyBorder="1" applyAlignment="1" applyProtection="1">
      <alignment horizontal="center" vertical="center"/>
    </xf>
    <xf numFmtId="0" fontId="20" fillId="24" borderId="28" xfId="0" applyFont="1" applyFill="1" applyBorder="1" applyAlignment="1" applyProtection="1">
      <alignment horizontal="center" vertical="center"/>
    </xf>
    <xf numFmtId="0" fontId="175" fillId="29" borderId="0" xfId="0" applyFont="1" applyFill="1" applyBorder="1" applyAlignment="1" applyProtection="1">
      <alignment vertical="center"/>
    </xf>
    <xf numFmtId="0" fontId="175" fillId="16" borderId="0" xfId="0" applyFont="1" applyFill="1" applyBorder="1" applyAlignment="1" applyProtection="1">
      <alignment vertical="center"/>
    </xf>
    <xf numFmtId="0" fontId="171" fillId="16" borderId="16" xfId="0" applyFont="1" applyFill="1" applyBorder="1" applyAlignment="1" applyProtection="1">
      <alignment horizontal="center" vertical="center"/>
      <protection locked="0"/>
    </xf>
    <xf numFmtId="0" fontId="17" fillId="0" borderId="170" xfId="0" applyFont="1" applyBorder="1">
      <alignment vertical="center"/>
    </xf>
    <xf numFmtId="0" fontId="16" fillId="0" borderId="159" xfId="0" applyFont="1" applyBorder="1">
      <alignment vertical="center"/>
    </xf>
    <xf numFmtId="44" fontId="3" fillId="0" borderId="159" xfId="0" applyNumberFormat="1" applyFont="1" applyFill="1" applyBorder="1" applyAlignment="1">
      <alignment horizontal="right" vertical="center" wrapText="1"/>
    </xf>
    <xf numFmtId="44" fontId="3" fillId="0" borderId="159" xfId="0" applyNumberFormat="1" applyFont="1" applyFill="1" applyBorder="1" applyAlignment="1">
      <alignment horizontal="left" vertical="center" wrapText="1"/>
    </xf>
    <xf numFmtId="0" fontId="2" fillId="8" borderId="159" xfId="0" applyNumberFormat="1" applyFont="1" applyFill="1" applyBorder="1" applyAlignment="1">
      <alignment horizontal="center" vertical="center"/>
    </xf>
    <xf numFmtId="44" fontId="3" fillId="0" borderId="171" xfId="0" applyNumberFormat="1" applyFont="1" applyFill="1" applyBorder="1" applyAlignment="1">
      <alignment horizontal="left" vertical="center" wrapText="1"/>
    </xf>
    <xf numFmtId="0" fontId="174" fillId="26"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20" fillId="23" borderId="0" xfId="0" applyFont="1" applyFill="1" applyBorder="1" applyAlignment="1" applyProtection="1">
      <alignment horizontal="center" vertical="center" wrapText="1"/>
    </xf>
    <xf numFmtId="0" fontId="35" fillId="19" borderId="0" xfId="17" applyFill="1" applyBorder="1" applyAlignment="1" applyProtection="1">
      <alignment vertical="center"/>
    </xf>
    <xf numFmtId="0" fontId="16" fillId="26" borderId="0" xfId="0" applyFont="1" applyFill="1" applyBorder="1" applyAlignment="1" applyProtection="1">
      <alignment vertical="center"/>
    </xf>
    <xf numFmtId="0" fontId="16" fillId="24" borderId="0" xfId="0" applyFont="1" applyFill="1" applyBorder="1" applyAlignment="1" applyProtection="1">
      <alignment vertical="center"/>
    </xf>
    <xf numFmtId="0" fontId="188" fillId="25" borderId="0" xfId="0" applyFont="1" applyFill="1" applyBorder="1" applyAlignment="1" applyProtection="1">
      <alignment vertical="center"/>
    </xf>
    <xf numFmtId="0" fontId="170" fillId="26" borderId="0" xfId="0" applyFont="1" applyFill="1" applyBorder="1" applyAlignment="1" applyProtection="1">
      <alignment vertical="center"/>
    </xf>
    <xf numFmtId="0" fontId="171" fillId="26" borderId="0" xfId="0" applyFont="1" applyFill="1" applyBorder="1" applyAlignment="1" applyProtection="1">
      <alignment horizontal="center" vertical="center"/>
    </xf>
    <xf numFmtId="0" fontId="170" fillId="25" borderId="0" xfId="0" applyFont="1" applyFill="1" applyBorder="1" applyAlignment="1" applyProtection="1">
      <alignment vertical="center"/>
    </xf>
    <xf numFmtId="0" fontId="171" fillId="25" borderId="0" xfId="0" applyFont="1" applyFill="1" applyBorder="1" applyAlignment="1" applyProtection="1">
      <alignment horizontal="center" vertical="center"/>
    </xf>
    <xf numFmtId="0" fontId="194" fillId="25" borderId="172" xfId="0" applyFont="1" applyFill="1" applyBorder="1" applyAlignment="1" applyProtection="1">
      <alignment horizontal="center" vertical="center"/>
      <protection locked="0"/>
    </xf>
    <xf numFmtId="0" fontId="180" fillId="25" borderId="172" xfId="0" applyFont="1" applyFill="1" applyBorder="1" applyAlignment="1" applyProtection="1">
      <alignment horizontal="center" vertical="center"/>
    </xf>
    <xf numFmtId="0" fontId="180" fillId="25" borderId="172" xfId="0" applyFont="1" applyFill="1" applyBorder="1" applyAlignment="1" applyProtection="1">
      <alignment vertical="center"/>
    </xf>
    <xf numFmtId="0" fontId="173" fillId="25" borderId="172" xfId="0" applyFont="1" applyFill="1" applyBorder="1" applyAlignment="1" applyProtection="1">
      <alignment vertical="center"/>
    </xf>
    <xf numFmtId="0" fontId="171" fillId="26" borderId="172" xfId="0" applyFont="1" applyFill="1" applyBorder="1" applyAlignment="1" applyProtection="1">
      <alignment horizontal="center" vertical="center"/>
      <protection locked="0"/>
    </xf>
    <xf numFmtId="0" fontId="174" fillId="26" borderId="172" xfId="0" applyFont="1" applyFill="1" applyBorder="1" applyAlignment="1" applyProtection="1">
      <alignment vertical="center" wrapText="1"/>
    </xf>
    <xf numFmtId="170" fontId="171" fillId="26" borderId="0" xfId="0" applyNumberFormat="1" applyFont="1" applyFill="1" applyBorder="1" applyAlignment="1" applyProtection="1">
      <alignment horizontal="center" vertical="center"/>
      <protection locked="0"/>
    </xf>
    <xf numFmtId="0" fontId="194" fillId="26" borderId="172" xfId="0" applyFont="1" applyFill="1" applyBorder="1" applyAlignment="1" applyProtection="1">
      <alignment horizontal="center" vertical="center"/>
      <protection locked="0"/>
    </xf>
    <xf numFmtId="0" fontId="180" fillId="26" borderId="172" xfId="0" applyFont="1" applyFill="1" applyBorder="1" applyAlignment="1" applyProtection="1">
      <alignment horizontal="center" vertical="center"/>
    </xf>
    <xf numFmtId="0" fontId="180" fillId="26" borderId="172" xfId="0" applyFont="1" applyFill="1" applyBorder="1" applyAlignment="1" applyProtection="1">
      <alignment vertical="center"/>
    </xf>
    <xf numFmtId="0" fontId="173" fillId="26" borderId="172" xfId="0" applyFont="1" applyFill="1" applyBorder="1" applyAlignment="1" applyProtection="1">
      <alignment vertical="center"/>
    </xf>
    <xf numFmtId="0" fontId="16" fillId="0" borderId="163" xfId="0" applyFont="1" applyBorder="1" applyAlignment="1">
      <alignment vertical="center"/>
    </xf>
    <xf numFmtId="0" fontId="16" fillId="0" borderId="163" xfId="0" applyFont="1" applyBorder="1" applyAlignment="1"/>
    <xf numFmtId="0" fontId="16" fillId="0" borderId="165" xfId="0" applyFont="1" applyBorder="1" applyAlignment="1"/>
    <xf numFmtId="0" fontId="217" fillId="16" borderId="0" xfId="0" applyFont="1" applyFill="1" applyBorder="1" applyAlignment="1" applyProtection="1">
      <alignment vertical="center" wrapText="1"/>
      <protection locked="0"/>
    </xf>
    <xf numFmtId="0" fontId="184" fillId="22" borderId="16" xfId="0" applyFont="1" applyFill="1" applyBorder="1" applyAlignment="1" applyProtection="1">
      <alignment horizontal="center" vertical="center"/>
    </xf>
    <xf numFmtId="0" fontId="184" fillId="20" borderId="16" xfId="0" applyFont="1" applyFill="1" applyBorder="1" applyAlignment="1" applyProtection="1">
      <alignment horizontal="center" vertical="center"/>
    </xf>
    <xf numFmtId="0" fontId="184" fillId="21" borderId="16" xfId="0" applyFont="1" applyFill="1" applyBorder="1" applyAlignment="1" applyProtection="1">
      <alignment horizontal="center" vertical="center"/>
    </xf>
    <xf numFmtId="0" fontId="184" fillId="19" borderId="116" xfId="0" applyFont="1" applyFill="1" applyBorder="1" applyAlignment="1" applyProtection="1">
      <alignment horizontal="center" vertical="center" wrapText="1"/>
    </xf>
    <xf numFmtId="0" fontId="16" fillId="0" borderId="161" xfId="0" applyFont="1" applyBorder="1">
      <alignment vertical="center"/>
    </xf>
    <xf numFmtId="0" fontId="0" fillId="16" borderId="0" xfId="0" applyFill="1" applyBorder="1">
      <alignment vertical="center"/>
    </xf>
    <xf numFmtId="0" fontId="213" fillId="0" borderId="0" xfId="0" applyFont="1" applyFill="1">
      <alignment vertical="center"/>
    </xf>
    <xf numFmtId="0" fontId="213" fillId="0" borderId="0" xfId="0" applyFont="1" applyFill="1" applyAlignment="1">
      <alignment horizontal="center" vertical="center"/>
    </xf>
    <xf numFmtId="0" fontId="210" fillId="0" borderId="0" xfId="0" applyFont="1" applyFill="1">
      <alignment vertical="center"/>
    </xf>
    <xf numFmtId="0" fontId="16" fillId="0" borderId="0" xfId="0" applyFont="1" applyFill="1" applyAlignment="1">
      <alignment horizontal="center" vertical="center"/>
    </xf>
    <xf numFmtId="0" fontId="13" fillId="0" borderId="0" xfId="0" applyNumberFormat="1" applyFont="1" applyFill="1" applyBorder="1" applyAlignment="1">
      <alignment vertical="center"/>
    </xf>
    <xf numFmtId="0" fontId="17" fillId="0" borderId="0" xfId="0" applyFont="1" applyFill="1" applyBorder="1" applyAlignment="1">
      <alignment horizontal="right" vertical="center"/>
    </xf>
    <xf numFmtId="0" fontId="17" fillId="0" borderId="0" xfId="0" applyFont="1" applyFill="1" applyBorder="1" applyAlignment="1">
      <alignment horizontal="left" vertical="center"/>
    </xf>
    <xf numFmtId="0" fontId="20" fillId="0" borderId="0" xfId="0" applyFont="1" applyFill="1" applyBorder="1">
      <alignment vertical="center"/>
    </xf>
    <xf numFmtId="0" fontId="2" fillId="0" borderId="0" xfId="0" applyNumberFormat="1" applyFont="1" applyFill="1" applyBorder="1" applyAlignment="1">
      <alignment horizontal="center" vertical="center"/>
    </xf>
    <xf numFmtId="0" fontId="17" fillId="0" borderId="19" xfId="0" applyFont="1" applyFill="1" applyBorder="1">
      <alignment vertical="center"/>
    </xf>
    <xf numFmtId="0" fontId="0" fillId="0" borderId="12" xfId="0" applyFill="1" applyBorder="1">
      <alignment vertical="center"/>
    </xf>
    <xf numFmtId="0" fontId="2" fillId="8" borderId="20" xfId="0" applyNumberFormat="1" applyFont="1" applyFill="1" applyBorder="1" applyAlignment="1">
      <alignment horizontal="center" vertical="center"/>
    </xf>
    <xf numFmtId="0" fontId="123" fillId="19" borderId="0" xfId="0" applyNumberFormat="1" applyFont="1" applyFill="1" applyBorder="1" applyAlignment="1">
      <alignment horizontal="right" vertical="center"/>
    </xf>
    <xf numFmtId="0" fontId="16" fillId="16" borderId="0" xfId="0" applyFont="1" applyFill="1" applyBorder="1" applyAlignment="1">
      <alignment horizontal="center" vertical="center"/>
    </xf>
    <xf numFmtId="0" fontId="16" fillId="16" borderId="0" xfId="0" applyFont="1" applyFill="1" applyBorder="1">
      <alignment vertical="center"/>
    </xf>
    <xf numFmtId="0" fontId="16" fillId="16" borderId="173" xfId="0" applyFont="1" applyFill="1" applyBorder="1" applyAlignment="1">
      <alignment horizontal="center" vertical="center"/>
    </xf>
    <xf numFmtId="0" fontId="16" fillId="16" borderId="173" xfId="0" applyFont="1" applyFill="1" applyBorder="1">
      <alignment vertical="center"/>
    </xf>
    <xf numFmtId="0" fontId="16" fillId="16" borderId="174" xfId="0" applyFont="1" applyFill="1" applyBorder="1" applyAlignment="1">
      <alignment horizontal="center" vertical="center"/>
    </xf>
    <xf numFmtId="0" fontId="16" fillId="16" borderId="174" xfId="0" applyFont="1" applyFill="1" applyBorder="1">
      <alignment vertical="center"/>
    </xf>
    <xf numFmtId="0" fontId="134" fillId="0" borderId="0" xfId="0" applyFont="1" applyFill="1">
      <alignment vertical="center"/>
    </xf>
    <xf numFmtId="0" fontId="16" fillId="0" borderId="173" xfId="0" applyFont="1" applyFill="1" applyBorder="1" applyAlignment="1">
      <alignment horizontal="center" vertical="center"/>
    </xf>
    <xf numFmtId="0" fontId="16" fillId="0" borderId="173" xfId="0" applyFont="1" applyFill="1" applyBorder="1">
      <alignment vertical="center"/>
    </xf>
    <xf numFmtId="0" fontId="16" fillId="0" borderId="174" xfId="0" applyFont="1" applyFill="1" applyBorder="1" applyAlignment="1">
      <alignment horizontal="center" vertical="center"/>
    </xf>
    <xf numFmtId="0" fontId="16" fillId="0" borderId="174" xfId="0" applyFont="1" applyFill="1" applyBorder="1">
      <alignment vertical="center"/>
    </xf>
    <xf numFmtId="0" fontId="89" fillId="0" borderId="0" xfId="0" applyFont="1" applyFill="1" applyAlignment="1">
      <alignment horizontal="center" vertical="center"/>
    </xf>
    <xf numFmtId="2" fontId="16" fillId="0" borderId="0" xfId="0" applyNumberFormat="1" applyFont="1" applyFill="1" applyAlignment="1">
      <alignment horizontal="center" vertical="center"/>
    </xf>
    <xf numFmtId="0" fontId="223" fillId="0" borderId="0" xfId="0" applyFont="1">
      <alignment vertical="center"/>
    </xf>
    <xf numFmtId="0" fontId="224" fillId="0" borderId="0" xfId="0" applyFont="1">
      <alignment vertical="center"/>
    </xf>
    <xf numFmtId="0" fontId="224" fillId="0" borderId="0" xfId="0" applyFont="1" applyFill="1">
      <alignment vertical="center"/>
    </xf>
    <xf numFmtId="0" fontId="16" fillId="0" borderId="0" xfId="0" applyFont="1" applyBorder="1" applyAlignment="1">
      <alignment horizontal="left" vertical="center"/>
    </xf>
    <xf numFmtId="0" fontId="225" fillId="0" borderId="0" xfId="0" applyFont="1">
      <alignment vertical="center"/>
    </xf>
    <xf numFmtId="0" fontId="226" fillId="0" borderId="0" xfId="0" applyFont="1">
      <alignment vertical="center"/>
    </xf>
    <xf numFmtId="0" fontId="217" fillId="16" borderId="0" xfId="0" applyFont="1" applyFill="1" applyBorder="1" applyAlignment="1" applyProtection="1">
      <alignment horizontal="left" vertical="center"/>
      <protection locked="0"/>
    </xf>
    <xf numFmtId="0" fontId="16" fillId="16" borderId="0" xfId="0" applyFont="1" applyFill="1" applyBorder="1" applyAlignment="1">
      <alignment horizontal="left" vertical="center"/>
    </xf>
    <xf numFmtId="0" fontId="17" fillId="16" borderId="4" xfId="0" applyFont="1" applyFill="1" applyBorder="1">
      <alignment vertical="center"/>
    </xf>
    <xf numFmtId="0" fontId="16" fillId="16" borderId="6" xfId="0" applyFont="1" applyFill="1" applyBorder="1">
      <alignment vertical="center"/>
    </xf>
    <xf numFmtId="0" fontId="226" fillId="16" borderId="4" xfId="0" applyFont="1" applyFill="1" applyBorder="1">
      <alignment vertical="center"/>
    </xf>
    <xf numFmtId="0" fontId="226" fillId="16" borderId="0" xfId="0" applyFont="1" applyFill="1" applyBorder="1">
      <alignment vertical="center"/>
    </xf>
    <xf numFmtId="0" fontId="226" fillId="16" borderId="0" xfId="0" applyFont="1" applyFill="1" applyBorder="1" applyAlignment="1">
      <alignment horizontal="right" vertical="center"/>
    </xf>
    <xf numFmtId="0" fontId="16" fillId="16" borderId="6" xfId="0" applyFont="1" applyFill="1" applyBorder="1" applyAlignment="1">
      <alignment horizontal="left" vertical="center"/>
    </xf>
    <xf numFmtId="0" fontId="16" fillId="0" borderId="4" xfId="0" applyFont="1" applyBorder="1">
      <alignment vertical="center"/>
    </xf>
    <xf numFmtId="0" fontId="226" fillId="0" borderId="0" xfId="0" applyFont="1" applyBorder="1">
      <alignment vertical="center"/>
    </xf>
    <xf numFmtId="0" fontId="16" fillId="16" borderId="0" xfId="0" applyFont="1" applyFill="1" applyBorder="1" applyAlignment="1">
      <alignment horizontal="right" vertical="center"/>
    </xf>
    <xf numFmtId="0" fontId="226" fillId="0" borderId="1" xfId="0" applyFont="1" applyBorder="1">
      <alignment vertical="center"/>
    </xf>
    <xf numFmtId="0" fontId="16" fillId="0" borderId="1" xfId="0" applyFont="1" applyBorder="1">
      <alignment vertical="center"/>
    </xf>
    <xf numFmtId="0" fontId="16" fillId="16" borderId="1" xfId="0" applyFont="1" applyFill="1" applyBorder="1">
      <alignment vertical="center"/>
    </xf>
    <xf numFmtId="0" fontId="16" fillId="16" borderId="1" xfId="0" applyFont="1" applyFill="1" applyBorder="1" applyAlignment="1">
      <alignment horizontal="right" vertical="center"/>
    </xf>
    <xf numFmtId="0" fontId="16" fillId="16" borderId="11" xfId="0" applyFont="1" applyFill="1" applyBorder="1" applyAlignment="1">
      <alignment horizontal="left" vertical="center"/>
    </xf>
    <xf numFmtId="0" fontId="135" fillId="0" borderId="12" xfId="0" applyFont="1" applyBorder="1" applyAlignment="1">
      <alignment horizontal="right" vertical="center"/>
    </xf>
    <xf numFmtId="0" fontId="16" fillId="0" borderId="12" xfId="0" applyFont="1" applyBorder="1">
      <alignment vertical="center"/>
    </xf>
    <xf numFmtId="0" fontId="16" fillId="0" borderId="19" xfId="0" applyFont="1" applyBorder="1">
      <alignment vertical="center"/>
    </xf>
    <xf numFmtId="0" fontId="0" fillId="0" borderId="20" xfId="0" applyBorder="1">
      <alignment vertical="center"/>
    </xf>
    <xf numFmtId="0" fontId="227" fillId="8" borderId="9" xfId="0" applyFont="1" applyFill="1" applyBorder="1" applyAlignment="1">
      <alignment horizontal="center" vertical="center"/>
    </xf>
    <xf numFmtId="0" fontId="16" fillId="8" borderId="9" xfId="0" applyFont="1" applyFill="1" applyBorder="1">
      <alignment vertical="center"/>
    </xf>
    <xf numFmtId="0" fontId="228" fillId="16" borderId="0" xfId="0" applyFont="1" applyFill="1">
      <alignment vertical="center"/>
    </xf>
    <xf numFmtId="0" fontId="229" fillId="16" borderId="0" xfId="0" applyFont="1" applyFill="1">
      <alignment vertical="center"/>
    </xf>
    <xf numFmtId="0" fontId="40" fillId="0" borderId="0" xfId="10" applyFont="1" applyFill="1" applyAlignment="1">
      <alignment horizontal="center" vertical="center"/>
    </xf>
    <xf numFmtId="0" fontId="230" fillId="0" borderId="0" xfId="0" applyFont="1" applyFill="1">
      <alignment vertical="center"/>
    </xf>
    <xf numFmtId="0" fontId="29" fillId="0" borderId="0" xfId="0" applyFont="1" applyFill="1">
      <alignment vertical="center"/>
    </xf>
    <xf numFmtId="0" fontId="231" fillId="16" borderId="0" xfId="0" applyFont="1" applyFill="1">
      <alignment vertical="center"/>
    </xf>
    <xf numFmtId="0" fontId="232" fillId="16" borderId="0" xfId="10" applyFont="1" applyFill="1" applyAlignment="1">
      <alignment horizontal="center" vertical="center"/>
    </xf>
    <xf numFmtId="0" fontId="29" fillId="0" borderId="0" xfId="0" applyFont="1" applyFill="1" applyAlignment="1">
      <alignment horizontal="center" vertical="center"/>
    </xf>
    <xf numFmtId="0" fontId="40" fillId="0" borderId="0" xfId="15" applyFont="1" applyFill="1" applyAlignment="1">
      <alignment vertical="center"/>
    </xf>
    <xf numFmtId="0" fontId="233" fillId="0" borderId="0" xfId="15" applyFont="1" applyFill="1" applyAlignment="1">
      <alignment vertical="center"/>
    </xf>
    <xf numFmtId="0" fontId="234" fillId="0" borderId="0" xfId="10" applyFont="1" applyFill="1" applyAlignment="1">
      <alignment horizontal="center" vertical="center"/>
    </xf>
    <xf numFmtId="0" fontId="16" fillId="0" borderId="0" xfId="0" applyFont="1" applyAlignment="1">
      <alignment horizontal="center" vertical="center"/>
    </xf>
    <xf numFmtId="0" fontId="235" fillId="0" borderId="0" xfId="0" applyFont="1" applyFill="1" applyBorder="1">
      <alignment vertical="center"/>
    </xf>
    <xf numFmtId="0" fontId="235" fillId="0" borderId="0" xfId="0" applyFont="1" applyFill="1">
      <alignment vertical="center"/>
    </xf>
    <xf numFmtId="0" fontId="29" fillId="0" borderId="173" xfId="0" applyFont="1" applyFill="1" applyBorder="1">
      <alignment vertical="center"/>
    </xf>
    <xf numFmtId="44" fontId="29" fillId="0" borderId="173" xfId="16" applyFont="1" applyFill="1" applyBorder="1" applyAlignment="1">
      <alignment horizontal="right" vertical="center"/>
    </xf>
    <xf numFmtId="0" fontId="29" fillId="0" borderId="173" xfId="0" applyFont="1" applyFill="1" applyBorder="1" applyAlignment="1">
      <alignment horizontal="center" vertical="center"/>
    </xf>
    <xf numFmtId="44" fontId="16" fillId="0" borderId="173" xfId="0" applyNumberFormat="1" applyFont="1" applyFill="1" applyBorder="1">
      <alignment vertical="center"/>
    </xf>
    <xf numFmtId="0" fontId="29" fillId="0" borderId="0" xfId="0" applyFont="1" applyFill="1" applyBorder="1">
      <alignment vertical="center"/>
    </xf>
    <xf numFmtId="44" fontId="29" fillId="0" borderId="0" xfId="16" applyFont="1" applyFill="1" applyBorder="1" applyAlignment="1">
      <alignment horizontal="right" vertical="center"/>
    </xf>
    <xf numFmtId="0" fontId="29" fillId="0" borderId="0" xfId="0" applyFont="1" applyFill="1" applyBorder="1" applyAlignment="1">
      <alignment horizontal="center" vertical="center"/>
    </xf>
    <xf numFmtId="44" fontId="16" fillId="0" borderId="0" xfId="0" applyNumberFormat="1" applyFont="1" applyFill="1" applyBorder="1">
      <alignment vertical="center"/>
    </xf>
    <xf numFmtId="0" fontId="29" fillId="0" borderId="174" xfId="0" applyFont="1" applyFill="1" applyBorder="1">
      <alignment vertical="center"/>
    </xf>
    <xf numFmtId="44" fontId="29" fillId="0" borderId="174" xfId="16" applyFont="1" applyFill="1" applyBorder="1" applyAlignment="1">
      <alignment horizontal="right" vertical="center"/>
    </xf>
    <xf numFmtId="0" fontId="29" fillId="0" borderId="174" xfId="0" applyFont="1" applyFill="1" applyBorder="1" applyAlignment="1">
      <alignment horizontal="center" vertical="center"/>
    </xf>
    <xf numFmtId="44" fontId="16" fillId="0" borderId="174" xfId="0" applyNumberFormat="1" applyFont="1" applyFill="1" applyBorder="1">
      <alignment vertical="center"/>
    </xf>
    <xf numFmtId="0" fontId="29" fillId="16" borderId="0" xfId="0" applyFont="1" applyFill="1" applyBorder="1">
      <alignment vertical="center"/>
    </xf>
    <xf numFmtId="44" fontId="29" fillId="16" borderId="0" xfId="16" applyFont="1" applyFill="1" applyBorder="1" applyAlignment="1">
      <alignment horizontal="right" vertical="center"/>
    </xf>
    <xf numFmtId="0" fontId="29" fillId="16" borderId="0" xfId="0" applyFont="1" applyFill="1" applyBorder="1" applyAlignment="1">
      <alignment horizontal="center" vertical="center"/>
    </xf>
    <xf numFmtId="44" fontId="16" fillId="16" borderId="0" xfId="0" applyNumberFormat="1" applyFont="1" applyFill="1" applyBorder="1">
      <alignment vertical="center"/>
    </xf>
    <xf numFmtId="44" fontId="29" fillId="0" borderId="173" xfId="16" applyFont="1" applyFill="1" applyBorder="1" applyAlignment="1">
      <alignment vertical="center"/>
    </xf>
    <xf numFmtId="44" fontId="29" fillId="0" borderId="0" xfId="16" applyFont="1" applyFill="1" applyBorder="1" applyAlignment="1">
      <alignment vertical="center"/>
    </xf>
    <xf numFmtId="44" fontId="29" fillId="0" borderId="174" xfId="16" applyFont="1" applyFill="1" applyBorder="1" applyAlignment="1">
      <alignment vertical="center"/>
    </xf>
    <xf numFmtId="0" fontId="29" fillId="16" borderId="173" xfId="0" applyFont="1" applyFill="1" applyBorder="1">
      <alignment vertical="center"/>
    </xf>
    <xf numFmtId="44" fontId="29" fillId="16" borderId="173" xfId="16" applyFont="1" applyFill="1" applyBorder="1" applyAlignment="1">
      <alignment vertical="center"/>
    </xf>
    <xf numFmtId="44" fontId="29" fillId="16" borderId="173" xfId="16" applyFont="1" applyFill="1" applyBorder="1" applyAlignment="1">
      <alignment horizontal="right" vertical="center"/>
    </xf>
    <xf numFmtId="0" fontId="29" fillId="16" borderId="173" xfId="0" applyFont="1" applyFill="1" applyBorder="1" applyAlignment="1">
      <alignment horizontal="center" vertical="center"/>
    </xf>
    <xf numFmtId="44" fontId="29" fillId="16" borderId="0" xfId="16" applyFont="1" applyFill="1" applyBorder="1" applyAlignment="1">
      <alignment vertical="center"/>
    </xf>
    <xf numFmtId="0" fontId="29" fillId="16" borderId="174" xfId="0" applyFont="1" applyFill="1" applyBorder="1">
      <alignment vertical="center"/>
    </xf>
    <xf numFmtId="44" fontId="29" fillId="16" borderId="174" xfId="16" applyFont="1" applyFill="1" applyBorder="1" applyAlignment="1">
      <alignment vertical="center"/>
    </xf>
    <xf numFmtId="44" fontId="29" fillId="16" borderId="174" xfId="16" applyFont="1" applyFill="1" applyBorder="1" applyAlignment="1">
      <alignment horizontal="right" vertical="center"/>
    </xf>
    <xf numFmtId="0" fontId="29" fillId="16" borderId="174" xfId="0" applyFont="1" applyFill="1" applyBorder="1" applyAlignment="1">
      <alignment horizontal="center" vertical="center"/>
    </xf>
    <xf numFmtId="0" fontId="87" fillId="0" borderId="0" xfId="0" applyFont="1" applyFill="1" applyBorder="1">
      <alignment vertical="center"/>
    </xf>
    <xf numFmtId="0" fontId="87" fillId="0" borderId="0" xfId="0" applyFont="1" applyFill="1">
      <alignment vertical="center"/>
    </xf>
    <xf numFmtId="0" fontId="87" fillId="0" borderId="0" xfId="0" applyFont="1" applyFill="1" applyAlignment="1">
      <alignment horizontal="center" vertical="center"/>
    </xf>
    <xf numFmtId="0" fontId="236" fillId="0" borderId="0" xfId="0" applyFont="1" applyBorder="1">
      <alignment vertical="center"/>
    </xf>
    <xf numFmtId="0" fontId="236" fillId="0" borderId="0" xfId="0" applyFont="1">
      <alignment vertical="center"/>
    </xf>
    <xf numFmtId="0" fontId="16" fillId="47" borderId="0" xfId="0" applyFont="1" applyFill="1" applyBorder="1">
      <alignment vertical="center"/>
    </xf>
    <xf numFmtId="44" fontId="16" fillId="47" borderId="0" xfId="16" applyFont="1" applyFill="1" applyBorder="1" applyAlignment="1">
      <alignment vertical="center"/>
    </xf>
    <xf numFmtId="44" fontId="29" fillId="47" borderId="0" xfId="16" applyFont="1" applyFill="1" applyBorder="1" applyAlignment="1">
      <alignment horizontal="right" vertical="center"/>
    </xf>
    <xf numFmtId="0" fontId="16" fillId="47" borderId="0" xfId="0" applyFont="1" applyFill="1" applyBorder="1" applyAlignment="1">
      <alignment horizontal="center" vertical="center"/>
    </xf>
    <xf numFmtId="0" fontId="29" fillId="47" borderId="0" xfId="0" applyFont="1" applyFill="1" applyBorder="1" applyAlignment="1">
      <alignment horizontal="center" vertical="center"/>
    </xf>
    <xf numFmtId="44" fontId="16" fillId="47" borderId="0" xfId="0" applyNumberFormat="1" applyFont="1" applyFill="1" applyBorder="1">
      <alignment vertical="center"/>
    </xf>
    <xf numFmtId="0" fontId="29" fillId="17" borderId="0" xfId="0" applyFont="1" applyFill="1">
      <alignment vertical="center"/>
    </xf>
    <xf numFmtId="0" fontId="16" fillId="17" borderId="0" xfId="0" applyFont="1" applyFill="1" applyAlignment="1">
      <alignment horizontal="right" vertical="center"/>
    </xf>
    <xf numFmtId="0" fontId="16" fillId="17" borderId="0" xfId="0" applyFont="1" applyFill="1" applyAlignment="1">
      <alignment horizontal="center" vertical="center"/>
    </xf>
    <xf numFmtId="0" fontId="16" fillId="17" borderId="0" xfId="0" applyFont="1" applyFill="1">
      <alignment vertical="center"/>
    </xf>
    <xf numFmtId="0" fontId="40" fillId="17" borderId="0" xfId="10" applyFont="1" applyFill="1" applyAlignment="1">
      <alignment horizontal="right" vertical="center"/>
    </xf>
    <xf numFmtId="0" fontId="40" fillId="17" borderId="0" xfId="10" applyFont="1" applyFill="1" applyAlignment="1">
      <alignment vertical="center"/>
    </xf>
    <xf numFmtId="0" fontId="16" fillId="0" borderId="19" xfId="0" applyFont="1" applyBorder="1" applyAlignment="1">
      <alignment vertical="center"/>
    </xf>
    <xf numFmtId="0" fontId="16" fillId="17" borderId="0" xfId="0" applyFont="1" applyFill="1" applyAlignment="1">
      <alignment horizontal="left" vertical="center"/>
    </xf>
    <xf numFmtId="0" fontId="18" fillId="0" borderId="0" xfId="0" applyFont="1" applyAlignment="1">
      <alignment vertical="center" wrapText="1"/>
    </xf>
    <xf numFmtId="0" fontId="16" fillId="0" borderId="0" xfId="8">
      <alignment vertical="center"/>
    </xf>
    <xf numFmtId="0" fontId="2" fillId="0" borderId="0" xfId="8" applyNumberFormat="1" applyFont="1" applyFill="1" applyBorder="1" applyAlignment="1">
      <alignment wrapText="1"/>
    </xf>
    <xf numFmtId="0" fontId="2" fillId="8" borderId="0" xfId="8" applyNumberFormat="1" applyFont="1" applyFill="1" applyBorder="1" applyAlignment="1">
      <alignment horizontal="left" vertical="center" wrapText="1"/>
    </xf>
    <xf numFmtId="0" fontId="17" fillId="0" borderId="0" xfId="8" applyFont="1">
      <alignment vertical="center"/>
    </xf>
    <xf numFmtId="0" fontId="3" fillId="0" borderId="0" xfId="8" applyNumberFormat="1" applyFont="1" applyFill="1" applyBorder="1" applyAlignment="1"/>
    <xf numFmtId="0" fontId="3" fillId="0" borderId="0" xfId="8" applyNumberFormat="1" applyFont="1" applyFill="1" applyBorder="1" applyAlignment="1">
      <alignment horizontal="left" vertical="center"/>
    </xf>
    <xf numFmtId="0" fontId="3" fillId="0" borderId="0" xfId="8" applyNumberFormat="1" applyFont="1" applyFill="1" applyAlignment="1"/>
    <xf numFmtId="0" fontId="3" fillId="0" borderId="0" xfId="8" applyNumberFormat="1" applyFont="1" applyFill="1" applyAlignment="1">
      <alignment horizontal="left" vertical="center"/>
    </xf>
    <xf numFmtId="2" fontId="3" fillId="0" borderId="0" xfId="8" applyNumberFormat="1" applyFont="1" applyFill="1" applyAlignment="1">
      <alignment horizontal="left" vertical="center"/>
    </xf>
    <xf numFmtId="0" fontId="16" fillId="0" borderId="0" xfId="8" applyBorder="1">
      <alignment vertical="center"/>
    </xf>
    <xf numFmtId="0" fontId="17" fillId="0" borderId="0" xfId="8" applyFont="1" applyBorder="1">
      <alignment vertical="center"/>
    </xf>
    <xf numFmtId="0" fontId="89" fillId="0" borderId="0" xfId="8" applyFont="1" applyBorder="1">
      <alignment vertical="center"/>
    </xf>
    <xf numFmtId="0" fontId="3" fillId="0" borderId="0" xfId="8" applyNumberFormat="1" applyFont="1" applyFill="1" applyAlignment="1">
      <alignment wrapText="1"/>
    </xf>
    <xf numFmtId="2" fontId="3" fillId="0" borderId="0" xfId="8" applyNumberFormat="1" applyFont="1" applyFill="1" applyAlignment="1">
      <alignment horizontal="left" vertical="center" wrapText="1"/>
    </xf>
    <xf numFmtId="0" fontId="20" fillId="0" borderId="0" xfId="8" applyFont="1" applyBorder="1">
      <alignment vertical="center"/>
    </xf>
    <xf numFmtId="0" fontId="17" fillId="0" borderId="0" xfId="8" applyFont="1" applyBorder="1" applyAlignment="1">
      <alignment horizontal="center" vertical="center"/>
    </xf>
    <xf numFmtId="0" fontId="123" fillId="0" borderId="0" xfId="8" applyFont="1" applyBorder="1">
      <alignment vertical="center"/>
    </xf>
    <xf numFmtId="0" fontId="123" fillId="0" borderId="0" xfId="8" applyFont="1" applyBorder="1" applyAlignment="1">
      <alignment horizontal="center" vertical="center"/>
    </xf>
    <xf numFmtId="0" fontId="54" fillId="0" borderId="0" xfId="8" applyFont="1" applyBorder="1">
      <alignment vertical="center"/>
    </xf>
    <xf numFmtId="2" fontId="128" fillId="0" borderId="0" xfId="8" applyNumberFormat="1" applyFont="1" applyFill="1" applyAlignment="1">
      <alignment horizontal="left" vertical="center" wrapText="1"/>
    </xf>
    <xf numFmtId="0" fontId="89" fillId="0" borderId="0" xfId="8" applyFont="1">
      <alignment vertical="center"/>
    </xf>
    <xf numFmtId="0" fontId="124" fillId="0" borderId="0" xfId="8" applyFont="1" applyBorder="1">
      <alignment vertical="center"/>
    </xf>
    <xf numFmtId="0" fontId="2" fillId="0" borderId="0" xfId="8" applyNumberFormat="1" applyFont="1" applyFill="1" applyAlignment="1">
      <alignment wrapText="1"/>
    </xf>
    <xf numFmtId="2" fontId="2" fillId="23" borderId="0" xfId="8" applyNumberFormat="1" applyFont="1" applyFill="1" applyAlignment="1">
      <alignment horizontal="left" vertical="center" wrapText="1"/>
    </xf>
    <xf numFmtId="0" fontId="16" fillId="0" borderId="0" xfId="8" applyAlignment="1">
      <alignment horizontal="left" vertical="center"/>
    </xf>
    <xf numFmtId="2" fontId="16" fillId="0" borderId="0" xfId="8" applyNumberFormat="1">
      <alignment vertical="center"/>
    </xf>
    <xf numFmtId="0" fontId="16" fillId="0" borderId="0" xfId="8" applyFont="1" applyBorder="1">
      <alignment vertical="center"/>
    </xf>
    <xf numFmtId="0" fontId="16" fillId="0" borderId="0" xfId="8" applyFont="1" applyBorder="1" applyAlignment="1">
      <alignment horizontal="center" vertical="center"/>
    </xf>
    <xf numFmtId="0" fontId="89" fillId="0" borderId="0" xfId="8" quotePrefix="1" applyFont="1" applyBorder="1">
      <alignment vertical="center"/>
    </xf>
    <xf numFmtId="0" fontId="16" fillId="0" borderId="0" xfId="8" quotePrefix="1" applyFont="1" applyBorder="1">
      <alignment vertical="center"/>
    </xf>
    <xf numFmtId="0" fontId="54" fillId="0" borderId="0" xfId="8" quotePrefix="1" applyFont="1" applyBorder="1">
      <alignment vertical="center"/>
    </xf>
    <xf numFmtId="0" fontId="89" fillId="0" borderId="0" xfId="8" applyFont="1" applyFill="1" applyBorder="1">
      <alignment vertical="center"/>
    </xf>
    <xf numFmtId="0" fontId="208" fillId="19" borderId="0" xfId="0" applyFont="1" applyFill="1" applyBorder="1" applyAlignment="1">
      <alignment vertical="center"/>
    </xf>
    <xf numFmtId="0" fontId="238" fillId="19" borderId="0" xfId="0" applyFont="1" applyFill="1" applyBorder="1" applyAlignment="1">
      <alignment vertical="center"/>
    </xf>
    <xf numFmtId="2" fontId="16" fillId="0" borderId="0" xfId="0" applyNumberFormat="1" applyFont="1" applyAlignment="1">
      <alignment horizontal="center" vertical="center"/>
    </xf>
    <xf numFmtId="0" fontId="134" fillId="47" borderId="0" xfId="0" applyFont="1" applyFill="1">
      <alignment vertical="center"/>
    </xf>
    <xf numFmtId="0" fontId="16" fillId="47" borderId="0" xfId="0" applyFont="1" applyFill="1" applyAlignment="1">
      <alignment horizontal="center" vertical="center"/>
    </xf>
    <xf numFmtId="0" fontId="16" fillId="47" borderId="0" xfId="0" applyFont="1" applyFill="1">
      <alignment vertical="center"/>
    </xf>
    <xf numFmtId="170" fontId="89" fillId="0" borderId="0" xfId="0" applyNumberFormat="1" applyFont="1" applyBorder="1">
      <alignment vertical="center"/>
    </xf>
    <xf numFmtId="170" fontId="17" fillId="0" borderId="1" xfId="0" applyNumberFormat="1" applyFont="1" applyBorder="1">
      <alignment vertical="center"/>
    </xf>
    <xf numFmtId="1" fontId="0" fillId="19" borderId="24" xfId="0" applyNumberFormat="1" applyFill="1" applyBorder="1">
      <alignment vertical="center"/>
    </xf>
    <xf numFmtId="1" fontId="0" fillId="19" borderId="28" xfId="0" applyNumberFormat="1" applyFill="1" applyBorder="1">
      <alignment vertical="center"/>
    </xf>
    <xf numFmtId="0" fontId="62" fillId="0" borderId="0" xfId="0" applyFont="1" applyBorder="1" applyAlignment="1">
      <alignment horizontal="left" vertical="top"/>
    </xf>
    <xf numFmtId="0" fontId="122" fillId="16" borderId="0" xfId="0" applyFont="1" applyFill="1" applyBorder="1" applyAlignment="1" applyProtection="1">
      <alignment horizontal="left" vertical="center"/>
    </xf>
    <xf numFmtId="2" fontId="62" fillId="0" borderId="12" xfId="0" applyNumberFormat="1" applyFont="1" applyBorder="1" applyAlignment="1">
      <alignment vertical="top"/>
    </xf>
    <xf numFmtId="0" fontId="62" fillId="0" borderId="0" xfId="0" applyFont="1" applyBorder="1" applyAlignment="1">
      <alignment vertical="top"/>
    </xf>
    <xf numFmtId="2" fontId="62" fillId="0" borderId="0" xfId="0" applyNumberFormat="1" applyFont="1" applyBorder="1" applyAlignment="1">
      <alignment vertical="top"/>
    </xf>
    <xf numFmtId="0" fontId="80" fillId="0" borderId="0" xfId="0" applyFont="1" applyBorder="1">
      <alignment vertical="center"/>
    </xf>
    <xf numFmtId="0" fontId="40" fillId="0" borderId="0" xfId="0" applyFont="1" applyBorder="1">
      <alignment vertical="center"/>
    </xf>
    <xf numFmtId="0" fontId="145" fillId="0" borderId="0" xfId="0" applyFont="1" applyBorder="1">
      <alignment vertical="center"/>
    </xf>
    <xf numFmtId="0" fontId="145" fillId="0" borderId="1" xfId="0" applyFont="1" applyBorder="1">
      <alignment vertical="center"/>
    </xf>
    <xf numFmtId="2" fontId="40" fillId="0" borderId="0" xfId="0" applyNumberFormat="1" applyFont="1" applyBorder="1" applyAlignment="1">
      <alignment vertical="top"/>
    </xf>
    <xf numFmtId="0" fontId="40" fillId="0" borderId="0" xfId="0" applyFont="1" applyBorder="1" applyAlignment="1">
      <alignment vertical="top"/>
    </xf>
    <xf numFmtId="0" fontId="145" fillId="0" borderId="19" xfId="0" applyFont="1" applyBorder="1">
      <alignment vertical="center"/>
    </xf>
    <xf numFmtId="0" fontId="145" fillId="0" borderId="12" xfId="0" applyFont="1" applyBorder="1">
      <alignment vertical="center"/>
    </xf>
    <xf numFmtId="0" fontId="40" fillId="0" borderId="12" xfId="0" applyFont="1" applyBorder="1" applyAlignment="1">
      <alignment horizontal="left" vertical="top"/>
    </xf>
    <xf numFmtId="2" fontId="40" fillId="0" borderId="12" xfId="0" applyNumberFormat="1" applyFont="1" applyBorder="1" applyAlignment="1">
      <alignment vertical="top"/>
    </xf>
    <xf numFmtId="0" fontId="40" fillId="0" borderId="12" xfId="0" applyFont="1" applyBorder="1" applyAlignment="1">
      <alignment vertical="top"/>
    </xf>
    <xf numFmtId="0" fontId="40" fillId="0" borderId="20" xfId="0" applyFont="1" applyBorder="1" applyAlignment="1">
      <alignment vertical="top"/>
    </xf>
    <xf numFmtId="0" fontId="62" fillId="0" borderId="12" xfId="0" applyFont="1" applyBorder="1" applyAlignment="1">
      <alignment vertical="top"/>
    </xf>
    <xf numFmtId="0" fontId="62" fillId="0" borderId="12" xfId="0" applyFont="1" applyBorder="1" applyAlignment="1">
      <alignment horizontal="left" vertical="top"/>
    </xf>
    <xf numFmtId="0" fontId="62" fillId="0" borderId="20" xfId="0" applyFont="1" applyBorder="1" applyAlignment="1">
      <alignment vertical="top"/>
    </xf>
    <xf numFmtId="0" fontId="80" fillId="0" borderId="2" xfId="0" applyFont="1" applyBorder="1">
      <alignment vertical="center"/>
    </xf>
    <xf numFmtId="0" fontId="80" fillId="0" borderId="3" xfId="0" applyFont="1" applyBorder="1">
      <alignment vertical="center"/>
    </xf>
    <xf numFmtId="2" fontId="40" fillId="0" borderId="3" xfId="0" applyNumberFormat="1" applyFont="1" applyBorder="1" applyAlignment="1">
      <alignment vertical="top"/>
    </xf>
    <xf numFmtId="0" fontId="40" fillId="0" borderId="3" xfId="0" applyFont="1" applyBorder="1" applyAlignment="1">
      <alignment vertical="top"/>
    </xf>
    <xf numFmtId="0" fontId="40" fillId="0" borderId="10" xfId="0" applyFont="1" applyBorder="1" applyAlignment="1">
      <alignment vertical="top"/>
    </xf>
    <xf numFmtId="0" fontId="145" fillId="0" borderId="4" xfId="0" applyFont="1" applyBorder="1">
      <alignment vertical="center"/>
    </xf>
    <xf numFmtId="0" fontId="40" fillId="0" borderId="6" xfId="0" applyFont="1" applyBorder="1" applyAlignment="1">
      <alignment vertical="top"/>
    </xf>
    <xf numFmtId="0" fontId="80" fillId="0" borderId="4" xfId="0" applyFont="1" applyBorder="1">
      <alignment vertical="center"/>
    </xf>
    <xf numFmtId="0" fontId="145" fillId="0" borderId="4" xfId="0" applyFont="1" applyFill="1" applyBorder="1">
      <alignment vertical="center"/>
    </xf>
    <xf numFmtId="0" fontId="145" fillId="0" borderId="5" xfId="0" applyFont="1" applyFill="1" applyBorder="1">
      <alignment vertical="center"/>
    </xf>
    <xf numFmtId="2" fontId="40" fillId="0" borderId="1" xfId="0" applyNumberFormat="1" applyFont="1" applyBorder="1" applyAlignment="1">
      <alignment vertical="top"/>
    </xf>
    <xf numFmtId="0" fontId="40" fillId="0" borderId="1" xfId="0" applyFont="1" applyBorder="1" applyAlignment="1">
      <alignment vertical="top"/>
    </xf>
    <xf numFmtId="0" fontId="40" fillId="0" borderId="11" xfId="0" applyFont="1" applyBorder="1" applyAlignment="1">
      <alignment vertical="top"/>
    </xf>
    <xf numFmtId="0" fontId="80" fillId="0" borderId="10" xfId="0" applyFont="1" applyBorder="1">
      <alignment vertical="center"/>
    </xf>
    <xf numFmtId="0" fontId="145" fillId="0" borderId="6" xfId="0" applyFont="1" applyBorder="1">
      <alignment vertical="center"/>
    </xf>
    <xf numFmtId="0" fontId="80" fillId="0" borderId="6" xfId="0" applyFont="1" applyBorder="1">
      <alignment vertical="center"/>
    </xf>
    <xf numFmtId="0" fontId="145" fillId="0" borderId="11" xfId="0" applyFont="1" applyBorder="1">
      <alignment vertical="center"/>
    </xf>
    <xf numFmtId="0" fontId="40" fillId="0" borderId="2" xfId="0" applyFont="1" applyBorder="1">
      <alignment vertical="center"/>
    </xf>
    <xf numFmtId="0" fontId="62" fillId="0" borderId="3" xfId="0" applyFont="1" applyBorder="1" applyAlignment="1">
      <alignment vertical="top"/>
    </xf>
    <xf numFmtId="2" fontId="62" fillId="0" borderId="3" xfId="0" applyNumberFormat="1" applyFont="1" applyBorder="1" applyAlignment="1">
      <alignment vertical="top"/>
    </xf>
    <xf numFmtId="0" fontId="62" fillId="0" borderId="10" xfId="0" applyFont="1" applyBorder="1" applyAlignment="1">
      <alignment vertical="top"/>
    </xf>
    <xf numFmtId="0" fontId="40" fillId="0" borderId="4" xfId="0" applyFont="1" applyBorder="1">
      <alignment vertical="center"/>
    </xf>
    <xf numFmtId="0" fontId="62" fillId="0" borderId="6" xfId="0" applyFont="1" applyBorder="1" applyAlignment="1">
      <alignment vertical="top"/>
    </xf>
    <xf numFmtId="0" fontId="40" fillId="0" borderId="4" xfId="0" applyFont="1" applyFill="1" applyBorder="1">
      <alignment vertical="center"/>
    </xf>
    <xf numFmtId="0" fontId="62" fillId="0" borderId="6" xfId="0" applyFont="1" applyBorder="1" applyAlignment="1">
      <alignment horizontal="left" vertical="top"/>
    </xf>
    <xf numFmtId="0" fontId="40" fillId="0" borderId="5" xfId="0" applyFont="1" applyFill="1" applyBorder="1">
      <alignment vertical="center"/>
    </xf>
    <xf numFmtId="0" fontId="62" fillId="0" borderId="11" xfId="0" applyFont="1" applyBorder="1" applyAlignment="1">
      <alignment horizontal="left" vertical="top"/>
    </xf>
    <xf numFmtId="0" fontId="145" fillId="0" borderId="2" xfId="0" applyFont="1" applyBorder="1">
      <alignment vertical="center"/>
    </xf>
    <xf numFmtId="0" fontId="145" fillId="0" borderId="3" xfId="0" applyFont="1" applyBorder="1">
      <alignment vertical="center"/>
    </xf>
    <xf numFmtId="2" fontId="40" fillId="0" borderId="10" xfId="0" applyNumberFormat="1" applyFont="1" applyBorder="1" applyAlignment="1">
      <alignment vertical="top"/>
    </xf>
    <xf numFmtId="0" fontId="40" fillId="0" borderId="5" xfId="0" applyFont="1" applyBorder="1">
      <alignment vertical="center"/>
    </xf>
    <xf numFmtId="0" fontId="40" fillId="0" borderId="1" xfId="0" applyFont="1" applyBorder="1">
      <alignment vertical="center"/>
    </xf>
    <xf numFmtId="0" fontId="145" fillId="0" borderId="10" xfId="0" applyFont="1" applyBorder="1">
      <alignment vertical="center"/>
    </xf>
    <xf numFmtId="0" fontId="40" fillId="0" borderId="6" xfId="0" applyFont="1" applyBorder="1">
      <alignment vertical="center"/>
    </xf>
    <xf numFmtId="0" fontId="40" fillId="0" borderId="11" xfId="0" applyFont="1" applyBorder="1">
      <alignment vertical="center"/>
    </xf>
    <xf numFmtId="0" fontId="62" fillId="0" borderId="10" xfId="0" applyFont="1" applyBorder="1" applyAlignment="1">
      <alignment horizontal="left" vertical="top"/>
    </xf>
    <xf numFmtId="0" fontId="145" fillId="0" borderId="12" xfId="0" applyFont="1" applyBorder="1" applyAlignment="1">
      <alignment vertical="center"/>
    </xf>
    <xf numFmtId="0" fontId="145" fillId="0" borderId="20" xfId="0" applyFont="1" applyBorder="1" applyAlignment="1">
      <alignment vertical="center"/>
    </xf>
    <xf numFmtId="0" fontId="145" fillId="0" borderId="19" xfId="0" applyFont="1" applyBorder="1" applyAlignment="1">
      <alignment vertical="center"/>
    </xf>
    <xf numFmtId="0" fontId="63" fillId="0" borderId="0" xfId="0" applyFont="1" applyBorder="1" applyAlignment="1">
      <alignment horizontal="left" vertical="top"/>
    </xf>
    <xf numFmtId="0" fontId="84" fillId="0" borderId="0" xfId="0" applyFont="1" applyBorder="1" applyAlignment="1">
      <alignment vertical="top"/>
    </xf>
    <xf numFmtId="0" fontId="151" fillId="0" borderId="0" xfId="0" applyFont="1" applyBorder="1" applyAlignment="1"/>
    <xf numFmtId="0" fontId="221" fillId="0" borderId="0" xfId="0" applyFont="1" applyBorder="1" applyAlignment="1">
      <alignment vertical="center"/>
    </xf>
    <xf numFmtId="0" fontId="164" fillId="0" borderId="0" xfId="0" applyFont="1" applyFill="1">
      <alignment vertical="center"/>
    </xf>
    <xf numFmtId="0" fontId="240" fillId="0" borderId="0" xfId="0" applyFont="1" applyBorder="1" applyAlignment="1">
      <alignment vertical="center"/>
    </xf>
    <xf numFmtId="0" fontId="16"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vertical="center"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0" borderId="0" xfId="0" applyFont="1" applyAlignment="1">
      <alignment vertical="center" wrapText="1"/>
    </xf>
    <xf numFmtId="0" fontId="16" fillId="0" borderId="0" xfId="0" applyFont="1" applyAlignment="1">
      <alignment horizontal="left" vertical="center" wrapText="1"/>
    </xf>
    <xf numFmtId="0" fontId="16" fillId="0" borderId="0" xfId="0" quotePrefix="1" applyFont="1" applyAlignment="1">
      <alignment vertical="center" wrapText="1"/>
    </xf>
    <xf numFmtId="14" fontId="16" fillId="0" borderId="0" xfId="0" applyNumberFormat="1" applyFont="1" applyAlignment="1">
      <alignment vertical="center" wrapText="1"/>
    </xf>
    <xf numFmtId="0" fontId="19" fillId="23" borderId="4" xfId="0" applyFont="1" applyFill="1" applyBorder="1" applyAlignment="1" applyProtection="1">
      <alignment horizontal="right" vertical="center" wrapText="1"/>
    </xf>
    <xf numFmtId="0" fontId="19" fillId="23" borderId="0" xfId="0" applyFont="1" applyFill="1" applyBorder="1" applyAlignment="1" applyProtection="1">
      <alignment horizontal="right" vertical="center" wrapText="1"/>
    </xf>
    <xf numFmtId="0" fontId="19" fillId="24" borderId="5" xfId="0" applyFont="1" applyFill="1" applyBorder="1" applyAlignment="1" applyProtection="1">
      <alignment horizontal="right" vertical="center" wrapText="1"/>
    </xf>
    <xf numFmtId="0" fontId="19" fillId="24" borderId="1" xfId="0" applyFont="1" applyFill="1" applyBorder="1" applyAlignment="1" applyProtection="1">
      <alignment horizontal="right" vertical="center" wrapText="1"/>
    </xf>
    <xf numFmtId="0" fontId="173" fillId="25" borderId="4" xfId="0" applyFont="1" applyFill="1" applyBorder="1" applyAlignment="1" applyProtection="1">
      <alignment horizontal="right" vertical="center"/>
    </xf>
    <xf numFmtId="0" fontId="173" fillId="25" borderId="0" xfId="0" applyFont="1" applyFill="1" applyBorder="1" applyAlignment="1" applyProtection="1">
      <alignment horizontal="right" vertical="center"/>
    </xf>
    <xf numFmtId="0" fontId="16" fillId="26" borderId="4" xfId="0" applyFont="1" applyFill="1" applyBorder="1" applyAlignment="1" applyProtection="1">
      <alignment horizontal="right" vertical="center"/>
    </xf>
    <xf numFmtId="0" fontId="173" fillId="26" borderId="0" xfId="0" applyFont="1" applyFill="1" applyBorder="1" applyAlignment="1" applyProtection="1">
      <alignment horizontal="right" vertical="center"/>
    </xf>
    <xf numFmtId="0" fontId="16" fillId="25" borderId="4" xfId="0" applyFont="1" applyFill="1" applyBorder="1" applyAlignment="1" applyProtection="1">
      <alignment horizontal="right" vertical="center"/>
    </xf>
    <xf numFmtId="0" fontId="16" fillId="26" borderId="5" xfId="0" applyFont="1" applyFill="1" applyBorder="1" applyAlignment="1" applyProtection="1">
      <alignment horizontal="right" vertical="center"/>
    </xf>
    <xf numFmtId="0" fontId="16" fillId="26" borderId="1" xfId="0" applyFont="1" applyFill="1" applyBorder="1" applyAlignment="1" applyProtection="1">
      <alignment horizontal="right" vertical="center"/>
    </xf>
    <xf numFmtId="0" fontId="19" fillId="24" borderId="4" xfId="0" applyFont="1" applyFill="1" applyBorder="1" applyAlignment="1" applyProtection="1">
      <alignment horizontal="right" vertical="center" wrapText="1"/>
    </xf>
    <xf numFmtId="0" fontId="19" fillId="24" borderId="0" xfId="0" applyFont="1" applyFill="1" applyBorder="1" applyAlignment="1" applyProtection="1">
      <alignment horizontal="right" vertical="center" wrapText="1"/>
    </xf>
    <xf numFmtId="0" fontId="135" fillId="16" borderId="19" xfId="0" applyFont="1" applyFill="1" applyBorder="1" applyAlignment="1" applyProtection="1">
      <alignment horizontal="center" vertical="center"/>
    </xf>
    <xf numFmtId="0" fontId="135" fillId="16" borderId="12" xfId="0" applyFont="1" applyFill="1" applyBorder="1" applyAlignment="1" applyProtection="1">
      <alignment horizontal="center" vertical="center"/>
    </xf>
    <xf numFmtId="0" fontId="135" fillId="16" borderId="20" xfId="0" applyFont="1" applyFill="1" applyBorder="1" applyAlignment="1" applyProtection="1">
      <alignment horizontal="center" vertical="center"/>
    </xf>
    <xf numFmtId="0" fontId="19" fillId="16" borderId="3" xfId="0" applyFont="1" applyFill="1" applyBorder="1" applyAlignment="1" applyProtection="1">
      <alignment horizontal="left" vertical="center" wrapText="1"/>
    </xf>
    <xf numFmtId="0" fontId="19" fillId="16" borderId="10" xfId="0" applyFont="1" applyFill="1" applyBorder="1" applyAlignment="1" applyProtection="1">
      <alignment horizontal="left" vertical="center" wrapText="1"/>
    </xf>
    <xf numFmtId="0" fontId="19" fillId="25" borderId="0" xfId="0" applyFont="1" applyFill="1" applyBorder="1" applyAlignment="1" applyProtection="1">
      <alignment horizontal="left" vertical="center" wrapText="1"/>
    </xf>
    <xf numFmtId="0" fontId="19" fillId="25" borderId="6" xfId="0" applyFont="1" applyFill="1" applyBorder="1" applyAlignment="1" applyProtection="1">
      <alignment horizontal="left" vertical="center" wrapText="1"/>
    </xf>
    <xf numFmtId="0" fontId="19" fillId="26" borderId="0" xfId="0" applyFont="1" applyFill="1" applyBorder="1" applyAlignment="1" applyProtection="1">
      <alignment horizontal="left" vertical="center" wrapText="1"/>
    </xf>
    <xf numFmtId="0" fontId="19" fillId="26" borderId="6" xfId="0" applyFont="1" applyFill="1" applyBorder="1" applyAlignment="1" applyProtection="1">
      <alignment horizontal="left" vertical="center" wrapText="1"/>
    </xf>
    <xf numFmtId="0" fontId="20" fillId="23" borderId="0" xfId="0" applyFont="1" applyFill="1" applyBorder="1" applyAlignment="1" applyProtection="1">
      <alignment horizontal="left" vertical="center" wrapText="1"/>
    </xf>
    <xf numFmtId="0" fontId="174" fillId="23" borderId="0" xfId="0" applyFont="1" applyFill="1" applyBorder="1" applyAlignment="1" applyProtection="1">
      <alignment horizontal="left" vertical="center" wrapText="1"/>
    </xf>
    <xf numFmtId="0" fontId="20" fillId="26" borderId="0" xfId="0" applyFont="1" applyFill="1" applyBorder="1" applyAlignment="1" applyProtection="1">
      <alignment vertical="center" wrapText="1"/>
    </xf>
    <xf numFmtId="0" fontId="174" fillId="26" borderId="0" xfId="0" applyFont="1" applyFill="1" applyBorder="1" applyAlignment="1" applyProtection="1">
      <alignment vertical="center" wrapText="1"/>
    </xf>
    <xf numFmtId="0" fontId="20" fillId="25"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4" fillId="26" borderId="0" xfId="0" applyFont="1" applyFill="1" applyBorder="1" applyAlignment="1" applyProtection="1">
      <alignment horizontal="left" vertical="center" wrapText="1"/>
    </xf>
    <xf numFmtId="0" fontId="16" fillId="25" borderId="0" xfId="0" applyFont="1" applyFill="1" applyBorder="1" applyAlignment="1" applyProtection="1">
      <alignment horizontal="left" vertical="center" wrapText="1"/>
    </xf>
    <xf numFmtId="0" fontId="17" fillId="25" borderId="0" xfId="0" applyFont="1" applyFill="1" applyBorder="1" applyAlignment="1" applyProtection="1">
      <alignment horizontal="left" vertical="center" wrapText="1"/>
    </xf>
    <xf numFmtId="0" fontId="19" fillId="26" borderId="1" xfId="0" applyFont="1" applyFill="1" applyBorder="1" applyAlignment="1" applyProtection="1">
      <alignment horizontal="left" vertical="center" wrapText="1"/>
    </xf>
    <xf numFmtId="0" fontId="19" fillId="26" borderId="11" xfId="0" applyFont="1" applyFill="1" applyBorder="1" applyAlignment="1" applyProtection="1">
      <alignment horizontal="left" vertical="center" wrapText="1"/>
    </xf>
    <xf numFmtId="0" fontId="19" fillId="24" borderId="0" xfId="0" applyFont="1" applyFill="1" applyBorder="1" applyAlignment="1" applyProtection="1">
      <alignment horizontal="left" vertical="center" wrapText="1"/>
    </xf>
    <xf numFmtId="0" fontId="19" fillId="24" borderId="6" xfId="0" applyFont="1" applyFill="1" applyBorder="1" applyAlignment="1" applyProtection="1">
      <alignment horizontal="left" vertical="center" wrapText="1"/>
    </xf>
    <xf numFmtId="0" fontId="19" fillId="23" borderId="0" xfId="0" applyFont="1" applyFill="1" applyBorder="1" applyAlignment="1" applyProtection="1">
      <alignment horizontal="left" vertical="center" wrapText="1"/>
    </xf>
    <xf numFmtId="0" fontId="19" fillId="23" borderId="6" xfId="0" applyFont="1" applyFill="1" applyBorder="1" applyAlignment="1" applyProtection="1">
      <alignment horizontal="left" vertical="center" wrapText="1"/>
    </xf>
    <xf numFmtId="14" fontId="19" fillId="24" borderId="0" xfId="0" applyNumberFormat="1" applyFont="1" applyFill="1" applyBorder="1" applyAlignment="1" applyProtection="1">
      <alignment horizontal="left" vertical="center" wrapText="1"/>
    </xf>
    <xf numFmtId="14" fontId="19" fillId="24" borderId="6" xfId="0" applyNumberFormat="1" applyFont="1" applyFill="1" applyBorder="1" applyAlignment="1" applyProtection="1">
      <alignment horizontal="left" vertical="center" wrapText="1"/>
    </xf>
    <xf numFmtId="0" fontId="173" fillId="25" borderId="0" xfId="0" applyFont="1" applyFill="1" applyBorder="1" applyAlignment="1" applyProtection="1">
      <alignment vertical="center"/>
    </xf>
    <xf numFmtId="0" fontId="19" fillId="24" borderId="1" xfId="0" applyFont="1" applyFill="1" applyBorder="1" applyAlignment="1" applyProtection="1">
      <alignment horizontal="left" vertical="center" wrapText="1"/>
    </xf>
    <xf numFmtId="0" fontId="19" fillId="24" borderId="11" xfId="0" applyFont="1" applyFill="1" applyBorder="1" applyAlignment="1" applyProtection="1">
      <alignment horizontal="left" vertical="center" wrapText="1"/>
    </xf>
    <xf numFmtId="0" fontId="19" fillId="16" borderId="2" xfId="0" applyFont="1" applyFill="1" applyBorder="1" applyAlignment="1" applyProtection="1">
      <alignment horizontal="right" vertical="center" wrapText="1"/>
    </xf>
    <xf numFmtId="0" fontId="19" fillId="16" borderId="3" xfId="0" applyFont="1" applyFill="1" applyBorder="1" applyAlignment="1" applyProtection="1">
      <alignment horizontal="right" vertical="center" wrapText="1"/>
    </xf>
    <xf numFmtId="0" fontId="19" fillId="25" borderId="4" xfId="0" applyFont="1" applyFill="1" applyBorder="1" applyAlignment="1" applyProtection="1">
      <alignment horizontal="right" vertical="center" wrapText="1"/>
    </xf>
    <xf numFmtId="0" fontId="19" fillId="25" borderId="0" xfId="0" applyFont="1" applyFill="1" applyBorder="1" applyAlignment="1" applyProtection="1">
      <alignment horizontal="right" vertical="center" wrapText="1"/>
    </xf>
    <xf numFmtId="0" fontId="19" fillId="26" borderId="4" xfId="0" applyFont="1" applyFill="1" applyBorder="1" applyAlignment="1" applyProtection="1">
      <alignment horizontal="right" vertical="center" wrapText="1"/>
    </xf>
    <xf numFmtId="0" fontId="19" fillId="26" borderId="0" xfId="0" applyFont="1" applyFill="1" applyBorder="1" applyAlignment="1" applyProtection="1">
      <alignment horizontal="right" vertical="center" wrapText="1"/>
    </xf>
    <xf numFmtId="173" fontId="171" fillId="25" borderId="0" xfId="0" applyNumberFormat="1" applyFont="1" applyFill="1" applyBorder="1" applyAlignment="1" applyProtection="1">
      <alignment horizontal="left" vertical="center"/>
    </xf>
    <xf numFmtId="173" fontId="171" fillId="26" borderId="0" xfId="0" applyNumberFormat="1" applyFont="1" applyFill="1" applyBorder="1" applyAlignment="1" applyProtection="1">
      <alignment horizontal="left" vertical="center"/>
    </xf>
    <xf numFmtId="0" fontId="171" fillId="25" borderId="0" xfId="0" applyNumberFormat="1" applyFont="1" applyFill="1" applyBorder="1" applyAlignment="1" applyProtection="1">
      <alignment horizontal="left" vertical="center"/>
    </xf>
    <xf numFmtId="0" fontId="171" fillId="26" borderId="0" xfId="0" applyNumberFormat="1" applyFont="1" applyFill="1" applyBorder="1" applyAlignment="1" applyProtection="1">
      <alignment horizontal="left" vertical="center"/>
    </xf>
    <xf numFmtId="0" fontId="174" fillId="23" borderId="0" xfId="0" applyFont="1" applyFill="1" applyBorder="1" applyAlignment="1" applyProtection="1">
      <alignment vertical="center" wrapText="1"/>
    </xf>
    <xf numFmtId="0" fontId="174" fillId="24" borderId="0" xfId="0" applyFont="1" applyFill="1" applyBorder="1" applyAlignment="1" applyProtection="1">
      <alignment vertical="center" wrapText="1"/>
    </xf>
    <xf numFmtId="167" fontId="174" fillId="25" borderId="0" xfId="0" applyNumberFormat="1" applyFont="1" applyFill="1" applyBorder="1" applyAlignment="1" applyProtection="1">
      <alignment vertical="center"/>
    </xf>
    <xf numFmtId="170" fontId="174" fillId="25" borderId="0" xfId="0" applyNumberFormat="1" applyFont="1" applyFill="1" applyBorder="1" applyAlignment="1" applyProtection="1">
      <alignment vertical="center" wrapText="1"/>
    </xf>
    <xf numFmtId="0" fontId="171" fillId="24" borderId="0" xfId="0" applyNumberFormat="1" applyFont="1" applyFill="1" applyBorder="1" applyAlignment="1" applyProtection="1">
      <alignment horizontal="left" vertical="center"/>
    </xf>
    <xf numFmtId="0" fontId="171" fillId="23" borderId="0" xfId="0" applyNumberFormat="1" applyFont="1" applyFill="1" applyBorder="1" applyAlignment="1" applyProtection="1">
      <alignment horizontal="left" vertical="center"/>
    </xf>
    <xf numFmtId="0" fontId="30" fillId="23" borderId="0" xfId="0" applyFont="1" applyFill="1" applyBorder="1" applyAlignment="1" applyProtection="1">
      <alignment vertical="center" wrapText="1"/>
    </xf>
    <xf numFmtId="0" fontId="188" fillId="23" borderId="0" xfId="0" applyFont="1" applyFill="1" applyBorder="1" applyAlignment="1" applyProtection="1">
      <alignment vertical="center" wrapText="1"/>
    </xf>
    <xf numFmtId="0" fontId="189" fillId="24" borderId="0" xfId="0" applyFont="1" applyFill="1" applyBorder="1" applyAlignment="1" applyProtection="1">
      <alignment vertical="center"/>
    </xf>
    <xf numFmtId="0" fontId="174" fillId="24" borderId="0" xfId="0" applyFont="1" applyFill="1" applyBorder="1" applyAlignment="1" applyProtection="1">
      <alignment horizontal="left" vertical="center" wrapText="1"/>
    </xf>
    <xf numFmtId="0" fontId="122" fillId="23" borderId="55" xfId="0" applyFont="1" applyFill="1" applyBorder="1" applyAlignment="1" applyProtection="1">
      <alignment horizontal="center" vertical="center"/>
    </xf>
    <xf numFmtId="0" fontId="122" fillId="23" borderId="56" xfId="0" applyFont="1" applyFill="1" applyBorder="1" applyAlignment="1" applyProtection="1">
      <alignment horizontal="center" vertical="center"/>
    </xf>
    <xf numFmtId="173" fontId="38" fillId="25" borderId="0" xfId="0" applyNumberFormat="1" applyFont="1" applyFill="1" applyBorder="1" applyAlignment="1" applyProtection="1">
      <alignment horizontal="left" vertical="center"/>
    </xf>
    <xf numFmtId="0" fontId="38" fillId="26" borderId="0" xfId="0" applyNumberFormat="1" applyFont="1" applyFill="1" applyBorder="1" applyAlignment="1" applyProtection="1">
      <alignment horizontal="left" vertical="center"/>
    </xf>
    <xf numFmtId="0" fontId="171" fillId="14" borderId="0" xfId="0" applyNumberFormat="1" applyFont="1" applyFill="1" applyBorder="1" applyAlignment="1" applyProtection="1">
      <alignment horizontal="left" vertical="center"/>
    </xf>
    <xf numFmtId="0" fontId="191" fillId="20" borderId="0" xfId="0" applyNumberFormat="1" applyFont="1" applyFill="1" applyBorder="1" applyAlignment="1" applyProtection="1">
      <alignment horizontal="right" vertical="center"/>
    </xf>
    <xf numFmtId="0" fontId="171" fillId="26" borderId="172" xfId="0" applyNumberFormat="1" applyFont="1" applyFill="1" applyBorder="1" applyAlignment="1" applyProtection="1">
      <alignment horizontal="left" vertical="center"/>
    </xf>
    <xf numFmtId="173" fontId="171" fillId="25" borderId="172" xfId="0" applyNumberFormat="1" applyFont="1" applyFill="1" applyBorder="1" applyAlignment="1" applyProtection="1">
      <alignment horizontal="left" vertical="center"/>
    </xf>
    <xf numFmtId="173" fontId="171" fillId="26" borderId="172" xfId="0" applyNumberFormat="1" applyFont="1" applyFill="1" applyBorder="1" applyAlignment="1" applyProtection="1">
      <alignment horizontal="left" vertical="center"/>
    </xf>
    <xf numFmtId="0" fontId="105" fillId="0" borderId="9" xfId="0" applyFont="1" applyBorder="1" applyAlignment="1">
      <alignment horizontal="center" vertical="center" wrapText="1"/>
    </xf>
    <xf numFmtId="0" fontId="107" fillId="0" borderId="7" xfId="0" applyFont="1" applyBorder="1" applyAlignment="1">
      <alignment horizontal="center" vertical="center" wrapText="1"/>
    </xf>
    <xf numFmtId="0" fontId="107" fillId="0" borderId="15" xfId="0" applyFont="1" applyBorder="1" applyAlignment="1">
      <alignment horizontal="center" vertical="center"/>
    </xf>
    <xf numFmtId="0" fontId="106" fillId="0" borderId="9" xfId="0" applyFont="1" applyBorder="1" applyAlignment="1">
      <alignment horizontal="center" vertical="center" textRotation="90"/>
    </xf>
    <xf numFmtId="0" fontId="119" fillId="0" borderId="9" xfId="0" applyFont="1" applyBorder="1" applyAlignment="1">
      <alignment horizontal="center" vertical="center" wrapText="1"/>
    </xf>
    <xf numFmtId="0" fontId="1" fillId="0" borderId="55" xfId="14" applyBorder="1" applyAlignment="1">
      <alignment horizontal="center"/>
    </xf>
    <xf numFmtId="0" fontId="1" fillId="0" borderId="116" xfId="14" applyBorder="1" applyAlignment="1">
      <alignment horizontal="center"/>
    </xf>
    <xf numFmtId="0" fontId="1" fillId="0" borderId="56" xfId="14" applyBorder="1" applyAlignment="1">
      <alignment horizontal="center"/>
    </xf>
    <xf numFmtId="0" fontId="1" fillId="0" borderId="0" xfId="14" applyAlignment="1">
      <alignment horizontal="left"/>
    </xf>
    <xf numFmtId="0" fontId="106" fillId="0" borderId="15" xfId="0" applyFont="1" applyBorder="1" applyAlignment="1">
      <alignment horizontal="center" vertical="top"/>
    </xf>
    <xf numFmtId="0" fontId="152" fillId="0" borderId="90" xfId="0" applyNumberFormat="1" applyFont="1" applyFill="1" applyBorder="1" applyAlignment="1">
      <alignment horizontal="left" vertical="center"/>
    </xf>
    <xf numFmtId="0" fontId="19" fillId="0" borderId="90" xfId="0" applyNumberFormat="1" applyFont="1" applyFill="1" applyBorder="1" applyAlignment="1">
      <alignment wrapText="1"/>
    </xf>
    <xf numFmtId="0" fontId="152" fillId="0" borderId="157" xfId="0" applyNumberFormat="1" applyFont="1" applyFill="1" applyBorder="1" applyAlignment="1">
      <alignment horizontal="left" vertical="center"/>
    </xf>
    <xf numFmtId="0" fontId="19" fillId="0" borderId="157" xfId="0" applyNumberFormat="1" applyFont="1" applyFill="1" applyBorder="1" applyAlignment="1">
      <alignment wrapText="1"/>
    </xf>
    <xf numFmtId="0" fontId="152" fillId="0" borderId="0" xfId="0" applyNumberFormat="1" applyFont="1" applyFill="1" applyBorder="1" applyAlignment="1">
      <alignment horizontal="left" vertical="center"/>
    </xf>
    <xf numFmtId="0" fontId="19" fillId="0" borderId="0" xfId="0" applyNumberFormat="1" applyFont="1" applyFill="1" applyBorder="1" applyAlignment="1">
      <alignment wrapText="1"/>
    </xf>
    <xf numFmtId="0" fontId="136" fillId="2" borderId="160" xfId="0" applyNumberFormat="1" applyFont="1" applyFill="1" applyBorder="1" applyAlignment="1">
      <alignment horizontal="center" vertical="center"/>
    </xf>
    <xf numFmtId="0" fontId="19" fillId="0" borderId="160" xfId="0" applyNumberFormat="1" applyFont="1" applyFill="1" applyBorder="1" applyAlignment="1">
      <alignment wrapText="1"/>
    </xf>
    <xf numFmtId="172" fontId="136" fillId="2" borderId="160" xfId="0" applyNumberFormat="1" applyFont="1" applyFill="1" applyBorder="1" applyAlignment="1">
      <alignment horizontal="center" vertical="center"/>
    </xf>
    <xf numFmtId="0" fontId="122" fillId="0" borderId="0" xfId="0" applyFont="1" applyBorder="1" applyAlignment="1">
      <alignment horizontal="center" vertical="center"/>
    </xf>
    <xf numFmtId="0" fontId="13" fillId="0" borderId="159" xfId="0" applyNumberFormat="1" applyFont="1" applyFill="1" applyBorder="1" applyAlignment="1">
      <alignment horizontal="center" vertical="center"/>
    </xf>
    <xf numFmtId="0" fontId="0" fillId="0" borderId="159" xfId="0" applyNumberFormat="1" applyFont="1" applyFill="1" applyBorder="1" applyAlignment="1">
      <alignment wrapText="1"/>
    </xf>
    <xf numFmtId="0" fontId="152" fillId="0" borderId="158" xfId="0" applyNumberFormat="1" applyFont="1" applyFill="1" applyBorder="1" applyAlignment="1">
      <alignment horizontal="left" vertical="center"/>
    </xf>
    <xf numFmtId="0" fontId="19" fillId="0" borderId="158" xfId="0" applyNumberFormat="1" applyFont="1" applyFill="1" applyBorder="1" applyAlignment="1">
      <alignment wrapText="1"/>
    </xf>
    <xf numFmtId="169" fontId="152" fillId="0" borderId="159" xfId="0" applyNumberFormat="1" applyFont="1" applyFill="1" applyBorder="1" applyAlignment="1">
      <alignment horizontal="right"/>
    </xf>
    <xf numFmtId="172" fontId="14" fillId="29" borderId="157" xfId="0" applyNumberFormat="1" applyFont="1" applyFill="1" applyBorder="1" applyAlignment="1">
      <alignment horizontal="center" vertical="center"/>
    </xf>
    <xf numFmtId="172" fontId="14"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30" fillId="0" borderId="0" xfId="0" applyFont="1" applyBorder="1" applyAlignment="1">
      <alignment horizontal="center" vertical="center"/>
    </xf>
    <xf numFmtId="0" fontId="14" fillId="2" borderId="157" xfId="0" applyNumberFormat="1" applyFont="1" applyFill="1" applyBorder="1" applyAlignment="1">
      <alignment horizontal="center" vertical="center"/>
    </xf>
    <xf numFmtId="0" fontId="0" fillId="0" borderId="157" xfId="0" applyNumberFormat="1" applyFont="1" applyFill="1" applyBorder="1" applyAlignment="1">
      <alignment wrapText="1"/>
    </xf>
    <xf numFmtId="0" fontId="14" fillId="2" borderId="157" xfId="0" applyNumberFormat="1" applyFont="1" applyFill="1" applyBorder="1" applyAlignment="1">
      <alignment horizontal="center" vertical="center" wrapText="1"/>
    </xf>
    <xf numFmtId="0" fontId="168" fillId="0" borderId="0" xfId="0" applyNumberFormat="1" applyFont="1" applyFill="1" applyBorder="1" applyAlignment="1">
      <alignment horizontal="right" vertical="center"/>
    </xf>
    <xf numFmtId="0" fontId="169" fillId="0" borderId="0" xfId="0" applyNumberFormat="1" applyFont="1" applyFill="1" applyBorder="1" applyAlignment="1">
      <alignment horizontal="right" vertical="center" wrapText="1"/>
    </xf>
    <xf numFmtId="179" fontId="16" fillId="0" borderId="0" xfId="0" applyNumberFormat="1" applyFont="1" applyFill="1" applyBorder="1" applyAlignment="1">
      <alignment horizontal="right" vertical="center" wrapText="1"/>
    </xf>
    <xf numFmtId="0" fontId="3" fillId="0" borderId="0" xfId="0" applyNumberFormat="1" applyFont="1" applyFill="1" applyAlignment="1">
      <alignment vertical="center"/>
    </xf>
    <xf numFmtId="0" fontId="0" fillId="0" borderId="0" xfId="0" applyAlignment="1">
      <alignment vertical="center"/>
    </xf>
    <xf numFmtId="0" fontId="13" fillId="0" borderId="0" xfId="0" applyNumberFormat="1" applyFont="1" applyFill="1" applyAlignment="1">
      <alignment horizontal="left" vertical="top"/>
    </xf>
    <xf numFmtId="0" fontId="2" fillId="0" borderId="0" xfId="0" applyNumberFormat="1" applyFont="1" applyFill="1" applyAlignment="1">
      <alignment horizontal="center" vertical="center" wrapText="1"/>
    </xf>
    <xf numFmtId="0" fontId="2" fillId="2" borderId="0" xfId="0" applyNumberFormat="1" applyFont="1" applyFill="1" applyBorder="1" applyAlignment="1"/>
    <xf numFmtId="0" fontId="0" fillId="0" borderId="9" xfId="0" applyFill="1" applyBorder="1" applyAlignment="1"/>
    <xf numFmtId="0" fontId="0" fillId="17" borderId="9" xfId="0" applyFill="1" applyBorder="1" applyAlignment="1"/>
    <xf numFmtId="0" fontId="160" fillId="16" borderId="55" xfId="0" applyFont="1" applyFill="1" applyBorder="1" applyAlignment="1">
      <alignment horizontal="center" vertical="center" wrapText="1"/>
    </xf>
    <xf numFmtId="0" fontId="160" fillId="16" borderId="56" xfId="0" applyFont="1" applyFill="1" applyBorder="1" applyAlignment="1">
      <alignment horizontal="center" vertical="center" wrapText="1"/>
    </xf>
    <xf numFmtId="0" fontId="160" fillId="16" borderId="27" xfId="0" applyFont="1" applyFill="1" applyBorder="1" applyAlignment="1">
      <alignment horizontal="center" vertical="center" wrapText="1"/>
    </xf>
    <xf numFmtId="0" fontId="160" fillId="16" borderId="28" xfId="0" applyFont="1" applyFill="1" applyBorder="1" applyAlignment="1">
      <alignment horizontal="center" vertical="center" wrapText="1"/>
    </xf>
    <xf numFmtId="0" fontId="0" fillId="17" borderId="15" xfId="0" applyFill="1" applyBorder="1" applyAlignment="1"/>
    <xf numFmtId="0" fontId="0" fillId="0" borderId="19" xfId="0" applyFill="1" applyBorder="1" applyAlignment="1"/>
    <xf numFmtId="0" fontId="0" fillId="0" borderId="20" xfId="0" applyFill="1" applyBorder="1" applyAlignment="1"/>
    <xf numFmtId="0" fontId="160" fillId="16" borderId="54" xfId="0" applyFont="1" applyFill="1" applyBorder="1" applyAlignment="1">
      <alignment horizontal="center" vertical="center" wrapText="1"/>
    </xf>
    <xf numFmtId="0" fontId="160" fillId="16" borderId="39" xfId="0" applyFont="1" applyFill="1" applyBorder="1" applyAlignment="1">
      <alignment horizontal="center" vertical="center" wrapText="1"/>
    </xf>
    <xf numFmtId="0" fontId="5" fillId="6" borderId="0" xfId="0" applyNumberFormat="1" applyFont="1" applyFill="1" applyBorder="1" applyAlignment="1">
      <alignment horizontal="center"/>
    </xf>
    <xf numFmtId="0" fontId="5" fillId="6" borderId="1" xfId="0" applyNumberFormat="1" applyFont="1" applyFill="1" applyBorder="1" applyAlignment="1">
      <alignment horizontal="center"/>
    </xf>
    <xf numFmtId="0" fontId="17" fillId="0" borderId="2" xfId="0" applyFont="1" applyBorder="1" applyAlignment="1">
      <alignment horizontal="center" vertical="center"/>
    </xf>
    <xf numFmtId="0" fontId="17" fillId="0" borderId="5" xfId="0" applyFont="1" applyBorder="1" applyAlignment="1">
      <alignment horizontal="center" vertical="center"/>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166" fontId="13" fillId="0" borderId="0" xfId="0" applyNumberFormat="1" applyFont="1" applyFill="1" applyAlignment="1">
      <alignment horizontal="right" wrapText="1"/>
    </xf>
    <xf numFmtId="0" fontId="0" fillId="0" borderId="6" xfId="0" applyNumberFormat="1" applyFont="1" applyFill="1" applyBorder="1" applyAlignment="1">
      <alignment wrapText="1"/>
    </xf>
    <xf numFmtId="171" fontId="3" fillId="0" borderId="0" xfId="0" applyNumberFormat="1" applyFont="1" applyFill="1" applyAlignment="1">
      <alignment horizontal="right"/>
    </xf>
    <xf numFmtId="0" fontId="16" fillId="0" borderId="0" xfId="0" applyFont="1" applyAlignment="1">
      <alignment horizontal="left" vertical="center"/>
    </xf>
    <xf numFmtId="0" fontId="0" fillId="0" borderId="0" xfId="0" applyAlignment="1">
      <alignment horizontal="left" vertical="center"/>
    </xf>
    <xf numFmtId="171" fontId="13" fillId="0" borderId="0" xfId="0" applyNumberFormat="1" applyFont="1" applyFill="1" applyAlignment="1">
      <alignment horizontal="left" vertical="center"/>
    </xf>
    <xf numFmtId="0" fontId="13" fillId="0" borderId="1" xfId="0" applyNumberFormat="1" applyFont="1" applyFill="1" applyBorder="1" applyAlignment="1">
      <alignment horizontal="left" vertical="center"/>
    </xf>
    <xf numFmtId="0" fontId="15" fillId="0" borderId="0" xfId="0" applyNumberFormat="1" applyFont="1" applyFill="1" applyAlignment="1">
      <alignment vertical="justify" wrapText="1"/>
    </xf>
    <xf numFmtId="0" fontId="241" fillId="0" borderId="0" xfId="0" applyFont="1" applyFill="1" applyAlignment="1">
      <alignment horizontal="center" vertical="center"/>
    </xf>
    <xf numFmtId="166" fontId="13" fillId="0" borderId="0" xfId="0" applyNumberFormat="1" applyFont="1" applyFill="1" applyAlignment="1">
      <alignment horizontal="right"/>
    </xf>
    <xf numFmtId="0" fontId="14" fillId="2" borderId="19" xfId="0" applyNumberFormat="1" applyFont="1" applyFill="1" applyBorder="1" applyAlignment="1">
      <alignment horizontal="center" vertical="center" wrapText="1"/>
    </xf>
    <xf numFmtId="0" fontId="14" fillId="2" borderId="20" xfId="0" applyNumberFormat="1" applyFont="1" applyFill="1" applyBorder="1" applyAlignment="1">
      <alignment horizontal="center" vertical="center" wrapText="1"/>
    </xf>
    <xf numFmtId="0" fontId="13" fillId="0" borderId="19" xfId="0" applyNumberFormat="1" applyFont="1" applyFill="1" applyBorder="1" applyAlignment="1">
      <alignment horizontal="left" vertical="center"/>
    </xf>
    <xf numFmtId="0" fontId="13" fillId="0" borderId="20" xfId="0" applyNumberFormat="1" applyFont="1" applyFill="1" applyBorder="1" applyAlignment="1">
      <alignment horizontal="left" vertical="center"/>
    </xf>
    <xf numFmtId="0" fontId="3" fillId="0" borderId="0" xfId="0" applyNumberFormat="1" applyFont="1" applyFill="1" applyAlignment="1">
      <alignment horizontal="left" vertical="top" wrapText="1"/>
    </xf>
    <xf numFmtId="0" fontId="32" fillId="0" borderId="1" xfId="0" applyNumberFormat="1" applyFont="1" applyFill="1" applyBorder="1" applyAlignment="1">
      <alignment horizontal="right"/>
    </xf>
    <xf numFmtId="0" fontId="3" fillId="0" borderId="0" xfId="0" applyNumberFormat="1" applyFont="1" applyFill="1" applyAlignment="1">
      <alignment horizontal="left"/>
    </xf>
    <xf numFmtId="0" fontId="9" fillId="0" borderId="3" xfId="0" applyNumberFormat="1" applyFont="1" applyFill="1" applyBorder="1" applyAlignment="1"/>
    <xf numFmtId="0" fontId="0" fillId="0" borderId="3" xfId="0" applyNumberFormat="1" applyFont="1" applyFill="1" applyBorder="1" applyAlignment="1">
      <alignment wrapText="1"/>
    </xf>
    <xf numFmtId="0" fontId="3" fillId="0" borderId="3" xfId="0" applyNumberFormat="1" applyFont="1" applyFill="1" applyBorder="1" applyAlignment="1"/>
    <xf numFmtId="0" fontId="12" fillId="0" borderId="0" xfId="0" applyNumberFormat="1" applyFont="1" applyFill="1" applyAlignment="1">
      <alignment vertical="top" wrapText="1"/>
    </xf>
    <xf numFmtId="0" fontId="17" fillId="0" borderId="0" xfId="0" applyFont="1" applyBorder="1" applyAlignment="1">
      <alignment horizontal="center"/>
    </xf>
    <xf numFmtId="0" fontId="17" fillId="0" borderId="59" xfId="0" applyFont="1" applyBorder="1" applyAlignment="1">
      <alignment horizontal="center" vertical="center" wrapText="1"/>
    </xf>
    <xf numFmtId="0" fontId="17" fillId="0" borderId="60" xfId="0" applyFont="1" applyBorder="1" applyAlignment="1">
      <alignment horizontal="center"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16" fillId="0" borderId="59" xfId="0" applyFont="1" applyBorder="1" applyAlignment="1">
      <alignment horizontal="center" vertical="center" wrapText="1"/>
    </xf>
    <xf numFmtId="0" fontId="0" fillId="0" borderId="60"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2" fontId="139" fillId="42" borderId="19" xfId="15" applyNumberFormat="1" applyBorder="1" applyAlignment="1">
      <alignment horizontal="center" vertical="center"/>
    </xf>
    <xf numFmtId="2" fontId="139" fillId="42" borderId="12" xfId="15" applyNumberFormat="1" applyBorder="1" applyAlignment="1">
      <alignment horizontal="center" vertical="center"/>
    </xf>
    <xf numFmtId="2" fontId="139" fillId="42" borderId="37" xfId="15" applyNumberFormat="1" applyBorder="1" applyAlignment="1">
      <alignment horizontal="center" vertical="center"/>
    </xf>
    <xf numFmtId="0" fontId="159" fillId="0" borderId="31" xfId="0" quotePrefix="1" applyFont="1" applyBorder="1" applyAlignment="1">
      <alignment horizontal="center" vertical="center"/>
    </xf>
    <xf numFmtId="0" fontId="159" fillId="0" borderId="119" xfId="0" quotePrefix="1" applyFont="1" applyBorder="1" applyAlignment="1">
      <alignment horizontal="center" vertical="center"/>
    </xf>
    <xf numFmtId="0" fontId="159" fillId="0" borderId="32" xfId="0" quotePrefix="1" applyFont="1" applyBorder="1" applyAlignment="1">
      <alignment horizontal="center" vertical="center"/>
    </xf>
    <xf numFmtId="0" fontId="16" fillId="0" borderId="0" xfId="0" applyFont="1" applyBorder="1" applyAlignment="1">
      <alignment horizontal="center" vertical="center"/>
    </xf>
    <xf numFmtId="0" fontId="0" fillId="0" borderId="0" xfId="0" applyBorder="1" applyAlignment="1">
      <alignment horizontal="center" vertical="center"/>
    </xf>
    <xf numFmtId="0" fontId="16" fillId="0" borderId="55" xfId="0" applyFont="1" applyBorder="1" applyAlignment="1">
      <alignment horizontal="center" vertical="center" wrapText="1"/>
    </xf>
    <xf numFmtId="0" fontId="16" fillId="0" borderId="56" xfId="0" applyFont="1" applyBorder="1" applyAlignment="1">
      <alignment horizontal="center" vertical="center" wrapText="1"/>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8" xfId="0" applyFont="1" applyBorder="1" applyAlignment="1">
      <alignment horizontal="center" vertical="center" wrapText="1"/>
    </xf>
    <xf numFmtId="1" fontId="19" fillId="28" borderId="53" xfId="0" applyNumberFormat="1" applyFont="1" applyFill="1" applyBorder="1" applyAlignment="1" applyProtection="1">
      <alignment horizontal="center" vertical="center"/>
    </xf>
    <xf numFmtId="1" fontId="19" fillId="28" borderId="40" xfId="0" applyNumberFormat="1" applyFont="1" applyFill="1" applyBorder="1" applyAlignment="1" applyProtection="1">
      <alignment horizontal="center" vertical="center"/>
    </xf>
    <xf numFmtId="2" fontId="58" fillId="27" borderId="119" xfId="10" applyNumberFormat="1" applyBorder="1" applyAlignment="1">
      <alignment horizontal="center" vertical="center"/>
    </xf>
    <xf numFmtId="1" fontId="19" fillId="28" borderId="19" xfId="0" applyNumberFormat="1" applyFont="1" applyFill="1" applyBorder="1" applyAlignment="1" applyProtection="1">
      <alignment horizontal="center" vertical="center"/>
    </xf>
    <xf numFmtId="1" fontId="19" fillId="28" borderId="37" xfId="0" applyNumberFormat="1" applyFont="1" applyFill="1" applyBorder="1" applyAlignment="1" applyProtection="1">
      <alignment horizontal="center" vertical="center"/>
    </xf>
    <xf numFmtId="1" fontId="20" fillId="28" borderId="53" xfId="0" applyNumberFormat="1" applyFont="1" applyFill="1" applyBorder="1" applyAlignment="1" applyProtection="1">
      <alignment horizontal="center" vertical="center"/>
    </xf>
    <xf numFmtId="1" fontId="20" fillId="28" borderId="40" xfId="0" applyNumberFormat="1" applyFont="1" applyFill="1" applyBorder="1" applyAlignment="1" applyProtection="1">
      <alignment horizontal="center" vertical="center"/>
    </xf>
    <xf numFmtId="1" fontId="139" fillId="42" borderId="53" xfId="15" applyNumberFormat="1" applyBorder="1" applyAlignment="1" applyProtection="1">
      <alignment horizontal="center" vertical="center"/>
    </xf>
    <xf numFmtId="1" fontId="139" fillId="42" borderId="40" xfId="15" applyNumberFormat="1" applyBorder="1" applyAlignment="1" applyProtection="1">
      <alignment horizontal="center" vertical="center"/>
    </xf>
    <xf numFmtId="1" fontId="19" fillId="28" borderId="139" xfId="0" applyNumberFormat="1" applyFont="1" applyFill="1" applyBorder="1" applyAlignment="1" applyProtection="1">
      <alignment horizontal="center" vertical="center"/>
    </xf>
    <xf numFmtId="1" fontId="19" fillId="28" borderId="58" xfId="0" applyNumberFormat="1" applyFont="1" applyFill="1" applyBorder="1" applyAlignment="1" applyProtection="1">
      <alignment horizontal="center" vertical="center"/>
    </xf>
    <xf numFmtId="0" fontId="62" fillId="0" borderId="0" xfId="0" applyFont="1" applyAlignment="1">
      <alignment vertical="top" wrapText="1"/>
    </xf>
    <xf numFmtId="0" fontId="62" fillId="0" borderId="9" xfId="0" applyFont="1" applyBorder="1" applyAlignment="1">
      <alignment vertical="top"/>
    </xf>
    <xf numFmtId="2" fontId="62" fillId="0" borderId="9" xfId="0" applyNumberFormat="1" applyFont="1" applyFill="1" applyBorder="1" applyAlignment="1">
      <alignment horizontal="center" vertical="center"/>
    </xf>
    <xf numFmtId="2" fontId="62" fillId="0" borderId="19" xfId="0" applyNumberFormat="1" applyFont="1" applyFill="1" applyBorder="1" applyAlignment="1">
      <alignment horizontal="center" vertical="center"/>
    </xf>
    <xf numFmtId="0" fontId="62" fillId="0" borderId="9" xfId="0" applyFont="1" applyFill="1" applyBorder="1" applyAlignment="1">
      <alignment horizontal="left" vertical="top"/>
    </xf>
    <xf numFmtId="0" fontId="84" fillId="0" borderId="2" xfId="0" applyFont="1" applyBorder="1" applyAlignment="1">
      <alignment horizontal="left" vertical="center"/>
    </xf>
    <xf numFmtId="0" fontId="84" fillId="0" borderId="3" xfId="0" applyFont="1" applyBorder="1" applyAlignment="1">
      <alignment horizontal="left" vertical="center"/>
    </xf>
    <xf numFmtId="0" fontId="84" fillId="0" borderId="10" xfId="0" applyFont="1" applyBorder="1" applyAlignment="1">
      <alignment horizontal="left" vertical="center"/>
    </xf>
    <xf numFmtId="0" fontId="84" fillId="0" borderId="5" xfId="0" applyFont="1" applyBorder="1" applyAlignment="1">
      <alignment horizontal="left" vertical="center"/>
    </xf>
    <xf numFmtId="0" fontId="84" fillId="0" borderId="1" xfId="0" applyFont="1" applyBorder="1" applyAlignment="1">
      <alignment horizontal="left" vertical="center"/>
    </xf>
    <xf numFmtId="0" fontId="84" fillId="0" borderId="11" xfId="0" applyFont="1" applyBorder="1" applyAlignment="1">
      <alignment horizontal="left" vertical="center"/>
    </xf>
    <xf numFmtId="0" fontId="62" fillId="0" borderId="9" xfId="0" applyFont="1" applyBorder="1" applyAlignment="1">
      <alignment horizontal="left" vertical="top"/>
    </xf>
    <xf numFmtId="0" fontId="66" fillId="36" borderId="9" xfId="0" applyFont="1" applyFill="1" applyBorder="1" applyAlignment="1">
      <alignment horizontal="left" vertical="top"/>
    </xf>
    <xf numFmtId="2" fontId="62" fillId="0" borderId="9" xfId="0" applyNumberFormat="1" applyFont="1" applyFill="1" applyBorder="1" applyAlignment="1">
      <alignment horizontal="center" vertical="center" wrapText="1"/>
    </xf>
    <xf numFmtId="2" fontId="62" fillId="0" borderId="19" xfId="0" applyNumberFormat="1" applyFont="1" applyFill="1" applyBorder="1" applyAlignment="1">
      <alignment horizontal="center" vertical="center" wrapText="1"/>
    </xf>
    <xf numFmtId="0" fontId="66" fillId="46" borderId="9" xfId="0" applyFont="1" applyFill="1" applyBorder="1" applyAlignment="1">
      <alignment horizontal="left" vertical="top"/>
    </xf>
    <xf numFmtId="0" fontId="148" fillId="0" borderId="0" xfId="0" applyFont="1" applyAlignment="1">
      <alignment horizontal="center" vertical="top"/>
    </xf>
    <xf numFmtId="0" fontId="143" fillId="0" borderId="0" xfId="0" applyFont="1" applyFill="1" applyAlignment="1">
      <alignment horizontal="center"/>
    </xf>
    <xf numFmtId="0" fontId="66" fillId="45" borderId="9" xfId="0" applyFont="1" applyFill="1" applyBorder="1" applyAlignment="1">
      <alignment horizontal="left" vertical="top"/>
    </xf>
    <xf numFmtId="0" fontId="62" fillId="0" borderId="19" xfId="0" applyFont="1" applyBorder="1" applyAlignment="1">
      <alignment horizontal="center" vertical="top"/>
    </xf>
    <xf numFmtId="0" fontId="62" fillId="0" borderId="20" xfId="0" applyFont="1" applyBorder="1" applyAlignment="1">
      <alignment horizontal="center" vertical="top"/>
    </xf>
    <xf numFmtId="0" fontId="62" fillId="0" borderId="7" xfId="0" applyFont="1" applyBorder="1" applyAlignment="1">
      <alignment horizontal="center" vertical="top"/>
    </xf>
    <xf numFmtId="0" fontId="62" fillId="0" borderId="15" xfId="0" applyFont="1" applyBorder="1" applyAlignment="1">
      <alignment horizontal="center" vertical="top"/>
    </xf>
    <xf numFmtId="0" fontId="62" fillId="19" borderId="142" xfId="0" applyFont="1" applyFill="1" applyBorder="1" applyAlignment="1">
      <alignment horizontal="center" vertical="top"/>
    </xf>
    <xf numFmtId="0" fontId="62" fillId="19" borderId="143" xfId="0" applyFont="1" applyFill="1" applyBorder="1" applyAlignment="1">
      <alignment horizontal="center" vertical="top"/>
    </xf>
    <xf numFmtId="0" fontId="62" fillId="19" borderId="73" xfId="0" applyFont="1" applyFill="1" applyBorder="1" applyAlignment="1">
      <alignment horizontal="center" vertical="top"/>
    </xf>
    <xf numFmtId="0" fontId="62" fillId="19" borderId="9" xfId="0" applyFont="1" applyFill="1" applyBorder="1" applyAlignment="1">
      <alignment horizontal="center" vertical="center"/>
    </xf>
    <xf numFmtId="0" fontId="62" fillId="19" borderId="75" xfId="0" applyFont="1" applyFill="1" applyBorder="1" applyAlignment="1">
      <alignment horizontal="center" vertical="top"/>
    </xf>
    <xf numFmtId="0" fontId="62" fillId="38" borderId="19" xfId="0" applyFont="1" applyFill="1" applyBorder="1" applyAlignment="1">
      <alignment horizontal="center" vertical="center"/>
    </xf>
    <xf numFmtId="0" fontId="62" fillId="38" borderId="20" xfId="0" applyFont="1" applyFill="1" applyBorder="1" applyAlignment="1">
      <alignment horizontal="center" vertical="center"/>
    </xf>
    <xf numFmtId="0" fontId="62" fillId="0" borderId="9" xfId="0" applyFont="1" applyBorder="1" applyAlignment="1">
      <alignment horizontal="center" vertical="top"/>
    </xf>
    <xf numFmtId="170" fontId="40" fillId="0" borderId="3" xfId="0" applyNumberFormat="1" applyFont="1" applyBorder="1" applyAlignment="1">
      <alignment horizontal="left" vertical="top" wrapText="1"/>
    </xf>
    <xf numFmtId="170" fontId="40" fillId="0" borderId="10" xfId="0" applyNumberFormat="1" applyFont="1" applyBorder="1" applyAlignment="1">
      <alignment horizontal="left" vertical="top" wrapText="1"/>
    </xf>
    <xf numFmtId="0" fontId="63" fillId="0" borderId="7" xfId="0" applyFont="1" applyBorder="1" applyAlignment="1">
      <alignment horizontal="center" vertical="center" textRotation="90"/>
    </xf>
    <xf numFmtId="0" fontId="63" fillId="0" borderId="8" xfId="0" applyFont="1" applyBorder="1" applyAlignment="1">
      <alignment horizontal="center" vertical="center" textRotation="90"/>
    </xf>
    <xf numFmtId="0" fontId="63" fillId="0" borderId="15" xfId="0" applyFont="1" applyBorder="1" applyAlignment="1">
      <alignment horizontal="center" vertical="center" textRotation="90"/>
    </xf>
    <xf numFmtId="170" fontId="40" fillId="0" borderId="1" xfId="0" applyNumberFormat="1" applyFont="1" applyBorder="1" applyAlignment="1">
      <alignment horizontal="left" vertical="top" wrapText="1"/>
    </xf>
    <xf numFmtId="170" fontId="40" fillId="0" borderId="11" xfId="0" applyNumberFormat="1" applyFont="1" applyBorder="1" applyAlignment="1">
      <alignment horizontal="left" vertical="top" wrapText="1"/>
    </xf>
    <xf numFmtId="0" fontId="40" fillId="0" borderId="9" xfId="0" applyFont="1" applyBorder="1" applyAlignment="1">
      <alignment horizontal="center" vertical="center" wrapText="1"/>
    </xf>
    <xf numFmtId="0" fontId="40" fillId="0" borderId="7" xfId="0" applyFont="1" applyBorder="1" applyAlignment="1">
      <alignment horizontal="center" vertical="center" wrapText="1"/>
    </xf>
    <xf numFmtId="0" fontId="81" fillId="0" borderId="0" xfId="0" applyFont="1" applyAlignment="1">
      <alignment horizontal="center" vertical="center" wrapText="1"/>
    </xf>
    <xf numFmtId="0" fontId="62" fillId="0" borderId="0" xfId="0" applyFont="1" applyAlignment="1">
      <alignment horizontal="left" vertical="top" wrapText="1"/>
    </xf>
    <xf numFmtId="0" fontId="147" fillId="0" borderId="0" xfId="0" applyFont="1" applyAlignment="1">
      <alignment horizontal="center" vertical="top"/>
    </xf>
    <xf numFmtId="0" fontId="62" fillId="0" borderId="0" xfId="0" applyFont="1" applyBorder="1" applyAlignment="1">
      <alignment horizontal="left" vertical="top" wrapText="1"/>
    </xf>
    <xf numFmtId="0" fontId="62" fillId="19" borderId="2" xfId="0" applyFont="1" applyFill="1" applyBorder="1" applyAlignment="1">
      <alignment horizontal="center" vertical="center"/>
    </xf>
    <xf numFmtId="0" fontId="62" fillId="19" borderId="10" xfId="0" applyFont="1" applyFill="1" applyBorder="1" applyAlignment="1">
      <alignment horizontal="center" vertical="center"/>
    </xf>
    <xf numFmtId="0" fontId="62" fillId="19" borderId="5" xfId="0" applyFont="1" applyFill="1" applyBorder="1" applyAlignment="1">
      <alignment horizontal="center" vertical="center"/>
    </xf>
    <xf numFmtId="0" fontId="62" fillId="19" borderId="11" xfId="0" applyFont="1" applyFill="1" applyBorder="1" applyAlignment="1">
      <alignment horizontal="center" vertical="center"/>
    </xf>
    <xf numFmtId="2" fontId="145" fillId="0" borderId="2" xfId="0" applyNumberFormat="1" applyFont="1" applyFill="1" applyBorder="1" applyAlignment="1">
      <alignment horizontal="center" vertical="top"/>
    </xf>
    <xf numFmtId="2" fontId="145" fillId="0" borderId="3" xfId="0" applyNumberFormat="1" applyFont="1" applyFill="1" applyBorder="1" applyAlignment="1">
      <alignment horizontal="center" vertical="top"/>
    </xf>
    <xf numFmtId="2" fontId="145" fillId="0" borderId="10" xfId="0" applyNumberFormat="1" applyFont="1" applyFill="1" applyBorder="1" applyAlignment="1">
      <alignment horizontal="center" vertical="top"/>
    </xf>
    <xf numFmtId="2" fontId="40" fillId="0" borderId="5" xfId="0" applyNumberFormat="1" applyFont="1" applyFill="1" applyBorder="1" applyAlignment="1">
      <alignment horizontal="center" vertical="top"/>
    </xf>
    <xf numFmtId="2" fontId="40" fillId="0" borderId="1" xfId="0" applyNumberFormat="1" applyFont="1" applyFill="1" applyBorder="1" applyAlignment="1">
      <alignment horizontal="center" vertical="top"/>
    </xf>
    <xf numFmtId="2" fontId="40" fillId="0" borderId="11" xfId="0" applyNumberFormat="1" applyFont="1" applyFill="1" applyBorder="1" applyAlignment="1">
      <alignment horizontal="center" vertical="top"/>
    </xf>
    <xf numFmtId="2" fontId="40" fillId="0" borderId="4" xfId="0" applyNumberFormat="1" applyFont="1" applyFill="1" applyBorder="1" applyAlignment="1">
      <alignment horizontal="center" vertical="top"/>
    </xf>
    <xf numFmtId="2" fontId="40" fillId="0" borderId="0" xfId="0" applyNumberFormat="1" applyFont="1" applyFill="1" applyBorder="1" applyAlignment="1">
      <alignment horizontal="center" vertical="top"/>
    </xf>
    <xf numFmtId="2" fontId="40" fillId="0" borderId="6" xfId="0" applyNumberFormat="1" applyFont="1" applyFill="1" applyBorder="1" applyAlignment="1">
      <alignment horizontal="center" vertical="top"/>
    </xf>
    <xf numFmtId="0" fontId="82" fillId="0" borderId="0" xfId="0" applyFont="1" applyAlignment="1">
      <alignment horizontal="center" vertical="center"/>
    </xf>
    <xf numFmtId="0" fontId="62" fillId="0" borderId="4" xfId="0" applyFont="1" applyBorder="1" applyAlignment="1">
      <alignment horizontal="left" vertical="center"/>
    </xf>
    <xf numFmtId="0" fontId="62" fillId="0" borderId="0" xfId="0" applyFont="1" applyBorder="1" applyAlignment="1">
      <alignment horizontal="left" vertical="center"/>
    </xf>
    <xf numFmtId="2" fontId="0" fillId="0" borderId="0" xfId="0" applyNumberFormat="1" applyAlignment="1">
      <alignment horizontal="center" vertical="center"/>
    </xf>
    <xf numFmtId="0" fontId="80" fillId="0" borderId="0" xfId="0" applyFont="1" applyFill="1" applyAlignment="1">
      <alignment horizontal="left" vertical="top" wrapText="1"/>
    </xf>
    <xf numFmtId="0" fontId="20" fillId="0" borderId="0" xfId="0" applyNumberFormat="1" applyFont="1" applyAlignment="1">
      <alignment horizontal="center" vertical="center"/>
    </xf>
    <xf numFmtId="0" fontId="62" fillId="28" borderId="19" xfId="0" applyFont="1" applyFill="1" applyBorder="1" applyAlignment="1">
      <alignment horizontal="center" vertical="center"/>
    </xf>
    <xf numFmtId="0" fontId="62" fillId="28" borderId="20" xfId="0" applyFont="1" applyFill="1" applyBorder="1" applyAlignment="1">
      <alignment horizontal="center" vertical="center"/>
    </xf>
    <xf numFmtId="0" fontId="62" fillId="19" borderId="19" xfId="0" applyFont="1" applyFill="1" applyBorder="1" applyAlignment="1">
      <alignment horizontal="center" vertical="center"/>
    </xf>
    <xf numFmtId="0" fontId="62" fillId="19" borderId="20" xfId="0" applyFont="1" applyFill="1" applyBorder="1" applyAlignment="1">
      <alignment horizontal="center" vertical="center"/>
    </xf>
    <xf numFmtId="2" fontId="0" fillId="18" borderId="0" xfId="0" applyNumberFormat="1" applyFill="1" applyAlignment="1">
      <alignment horizontal="center" vertical="center"/>
    </xf>
    <xf numFmtId="170" fontId="40" fillId="36" borderId="0" xfId="0" applyNumberFormat="1" applyFont="1" applyFill="1" applyBorder="1" applyAlignment="1">
      <alignment horizontal="left" vertical="top" wrapText="1"/>
    </xf>
    <xf numFmtId="170" fontId="40" fillId="36" borderId="6" xfId="0" applyNumberFormat="1" applyFont="1" applyFill="1" applyBorder="1" applyAlignment="1">
      <alignment horizontal="left" vertical="top" wrapText="1"/>
    </xf>
    <xf numFmtId="0" fontId="40" fillId="0" borderId="19" xfId="0" applyFont="1" applyFill="1" applyBorder="1" applyAlignment="1">
      <alignment horizontal="center" vertical="top"/>
    </xf>
    <xf numFmtId="0" fontId="40" fillId="0" borderId="12" xfId="0" applyFont="1" applyFill="1" applyBorder="1" applyAlignment="1">
      <alignment horizontal="center" vertical="top"/>
    </xf>
    <xf numFmtId="0" fontId="40" fillId="0" borderId="20" xfId="0" applyFont="1" applyFill="1" applyBorder="1" applyAlignment="1">
      <alignment horizontal="center" vertical="top"/>
    </xf>
    <xf numFmtId="0" fontId="40" fillId="0" borderId="4" xfId="0" applyFont="1" applyFill="1" applyBorder="1" applyAlignment="1">
      <alignment horizontal="center" vertical="top"/>
    </xf>
    <xf numFmtId="0" fontId="40" fillId="0" borderId="0" xfId="0" applyFont="1" applyFill="1" applyBorder="1" applyAlignment="1">
      <alignment horizontal="center" vertical="top"/>
    </xf>
    <xf numFmtId="0" fontId="40" fillId="0" borderId="6" xfId="0" applyFont="1" applyFill="1" applyBorder="1" applyAlignment="1">
      <alignment horizontal="center" vertical="top"/>
    </xf>
    <xf numFmtId="0" fontId="143" fillId="0" borderId="0" xfId="0" applyFont="1" applyAlignment="1">
      <alignment horizontal="center"/>
    </xf>
    <xf numFmtId="0" fontId="40" fillId="0" borderId="4" xfId="0" applyFont="1" applyFill="1" applyBorder="1" applyAlignment="1">
      <alignment horizontal="left" vertical="top"/>
    </xf>
    <xf numFmtId="0" fontId="40" fillId="0" borderId="0" xfId="0" applyFont="1" applyFill="1" applyBorder="1" applyAlignment="1">
      <alignment horizontal="left" vertical="top"/>
    </xf>
    <xf numFmtId="0" fontId="66" fillId="0" borderId="5" xfId="0" applyFont="1" applyBorder="1" applyAlignment="1">
      <alignment horizontal="left" vertical="top"/>
    </xf>
    <xf numFmtId="0" fontId="66" fillId="0" borderId="1" xfId="0" applyFont="1" applyBorder="1" applyAlignment="1">
      <alignment horizontal="left" vertical="top"/>
    </xf>
    <xf numFmtId="1" fontId="145" fillId="0" borderId="5" xfId="0" applyNumberFormat="1" applyFont="1" applyFill="1" applyBorder="1" applyAlignment="1">
      <alignment horizontal="center" vertical="top"/>
    </xf>
    <xf numFmtId="1" fontId="145" fillId="0" borderId="1" xfId="0" applyNumberFormat="1" applyFont="1" applyFill="1" applyBorder="1" applyAlignment="1">
      <alignment horizontal="center" vertical="top"/>
    </xf>
    <xf numFmtId="1" fontId="145" fillId="0" borderId="11" xfId="0" applyNumberFormat="1" applyFont="1" applyFill="1" applyBorder="1" applyAlignment="1">
      <alignment horizontal="center" vertical="top"/>
    </xf>
    <xf numFmtId="170" fontId="40" fillId="0" borderId="0" xfId="0" applyNumberFormat="1" applyFont="1" applyBorder="1" applyAlignment="1">
      <alignment horizontal="left" vertical="top" wrapText="1"/>
    </xf>
    <xf numFmtId="170" fontId="40" fillId="0" borderId="6" xfId="0" applyNumberFormat="1" applyFont="1" applyBorder="1" applyAlignment="1">
      <alignment horizontal="left" vertical="top" wrapText="1"/>
    </xf>
    <xf numFmtId="0" fontId="62" fillId="19" borderId="149" xfId="0" applyFont="1" applyFill="1" applyBorder="1" applyAlignment="1">
      <alignment horizontal="left" vertical="top"/>
    </xf>
    <xf numFmtId="0" fontId="62" fillId="19" borderId="150" xfId="0" applyFont="1" applyFill="1" applyBorder="1" applyAlignment="1">
      <alignment horizontal="left" vertical="top"/>
    </xf>
    <xf numFmtId="0" fontId="62" fillId="0" borderId="0" xfId="0" applyFont="1" applyAlignment="1">
      <alignment horizontal="center" vertical="center" textRotation="90"/>
    </xf>
    <xf numFmtId="0" fontId="62" fillId="19" borderId="81" xfId="0" applyFont="1" applyFill="1" applyBorder="1" applyAlignment="1">
      <alignment horizontal="center" vertical="top"/>
    </xf>
    <xf numFmtId="0" fontId="62" fillId="19" borderId="82" xfId="0" applyFont="1" applyFill="1" applyBorder="1" applyAlignment="1">
      <alignment horizontal="center" vertical="top"/>
    </xf>
    <xf numFmtId="0" fontId="83" fillId="0" borderId="0" xfId="0" applyFont="1" applyAlignment="1">
      <alignment horizontal="center" vertical="center"/>
    </xf>
    <xf numFmtId="0" fontId="40" fillId="0" borderId="19" xfId="0" applyFont="1" applyFill="1" applyBorder="1" applyAlignment="1">
      <alignment horizontal="left" vertical="top"/>
    </xf>
    <xf numFmtId="0" fontId="40" fillId="0" borderId="12" xfId="0" applyFont="1" applyFill="1" applyBorder="1" applyAlignment="1">
      <alignment horizontal="left" vertical="top"/>
    </xf>
    <xf numFmtId="0" fontId="62" fillId="0" borderId="4" xfId="0" applyFont="1" applyFill="1" applyBorder="1" applyAlignment="1">
      <alignment horizontal="left" vertical="center"/>
    </xf>
    <xf numFmtId="0" fontId="62" fillId="0" borderId="0" xfId="0" applyFont="1" applyFill="1" applyBorder="1" applyAlignment="1">
      <alignment horizontal="left" vertical="center"/>
    </xf>
    <xf numFmtId="0" fontId="62" fillId="0" borderId="4" xfId="0" applyFont="1" applyBorder="1" applyAlignment="1">
      <alignment horizontal="left" vertical="top"/>
    </xf>
    <xf numFmtId="0" fontId="62" fillId="0" borderId="0" xfId="0" applyFont="1" applyBorder="1" applyAlignment="1">
      <alignment horizontal="left" vertical="top"/>
    </xf>
    <xf numFmtId="0" fontId="62" fillId="0" borderId="4" xfId="0" applyFont="1" applyFill="1" applyBorder="1" applyAlignment="1">
      <alignment horizontal="left" vertical="center" wrapText="1"/>
    </xf>
    <xf numFmtId="0" fontId="62" fillId="0" borderId="0" xfId="0" applyFont="1" applyFill="1" applyBorder="1" applyAlignment="1">
      <alignment horizontal="left" vertical="center" wrapText="1"/>
    </xf>
    <xf numFmtId="2" fontId="0" fillId="45" borderId="0" xfId="0" applyNumberFormat="1" applyFill="1" applyAlignment="1">
      <alignment horizontal="center" vertical="center"/>
    </xf>
    <xf numFmtId="0" fontId="147" fillId="0" borderId="0" xfId="0" applyFont="1" applyBorder="1" applyAlignment="1">
      <alignment horizontal="center" vertical="top"/>
    </xf>
    <xf numFmtId="0" fontId="63" fillId="0" borderId="0" xfId="0" applyFont="1" applyBorder="1" applyAlignment="1">
      <alignment horizontal="center"/>
    </xf>
    <xf numFmtId="0" fontId="82" fillId="0" borderId="0" xfId="0" applyFont="1" applyAlignment="1">
      <alignment horizontal="center" vertical="center" wrapText="1"/>
    </xf>
    <xf numFmtId="170" fontId="40" fillId="0" borderId="5" xfId="0" applyNumberFormat="1" applyFont="1" applyBorder="1" applyAlignment="1">
      <alignment horizontal="left" vertical="top" wrapText="1"/>
    </xf>
    <xf numFmtId="170" fontId="40" fillId="0" borderId="2" xfId="0" applyNumberFormat="1" applyFont="1" applyBorder="1" applyAlignment="1">
      <alignment horizontal="left" vertical="top" wrapText="1"/>
    </xf>
    <xf numFmtId="170" fontId="40" fillId="36" borderId="1" xfId="0" applyNumberFormat="1" applyFont="1" applyFill="1" applyBorder="1" applyAlignment="1">
      <alignment horizontal="left" vertical="top" wrapText="1"/>
    </xf>
    <xf numFmtId="170" fontId="40" fillId="36" borderId="11" xfId="0" applyNumberFormat="1" applyFont="1" applyFill="1" applyBorder="1" applyAlignment="1">
      <alignment horizontal="left" vertical="top" wrapText="1"/>
    </xf>
    <xf numFmtId="0" fontId="60" fillId="0" borderId="4" xfId="0" applyNumberFormat="1" applyFont="1" applyFill="1" applyBorder="1" applyAlignment="1">
      <alignment horizontal="left" vertical="top"/>
    </xf>
    <xf numFmtId="0" fontId="60"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60" fillId="0" borderId="134" xfId="0" applyNumberFormat="1" applyFont="1" applyFill="1" applyBorder="1" applyAlignment="1">
      <alignment horizontal="left" vertical="top"/>
    </xf>
    <xf numFmtId="0" fontId="60" fillId="0" borderId="135" xfId="0" applyNumberFormat="1" applyFont="1" applyFill="1" applyBorder="1" applyAlignment="1">
      <alignment horizontal="left" vertical="top"/>
    </xf>
    <xf numFmtId="0" fontId="60" fillId="0" borderId="136" xfId="0" applyNumberFormat="1" applyFont="1" applyFill="1" applyBorder="1" applyAlignment="1">
      <alignment horizontal="left" vertical="top"/>
    </xf>
    <xf numFmtId="0" fontId="64" fillId="0" borderId="0" xfId="0" applyNumberFormat="1" applyFont="1" applyFill="1" applyBorder="1" applyAlignment="1">
      <alignment horizontal="left" vertical="top" wrapText="1"/>
    </xf>
    <xf numFmtId="0" fontId="64" fillId="0" borderId="8" xfId="0" quotePrefix="1" applyNumberFormat="1" applyFont="1" applyFill="1" applyBorder="1" applyAlignment="1">
      <alignment horizontal="left" vertical="top"/>
    </xf>
    <xf numFmtId="0" fontId="64" fillId="0" borderId="8" xfId="0" applyNumberFormat="1" applyFont="1" applyFill="1" applyBorder="1" applyAlignment="1">
      <alignment horizontal="left" vertical="top"/>
    </xf>
    <xf numFmtId="0" fontId="60" fillId="0" borderId="8" xfId="0" applyNumberFormat="1" applyFont="1" applyFill="1" applyBorder="1" applyAlignment="1">
      <alignment horizontal="left" vertical="top"/>
    </xf>
    <xf numFmtId="2" fontId="60" fillId="0" borderId="5" xfId="0" applyNumberFormat="1" applyFont="1" applyFill="1" applyBorder="1" applyAlignment="1">
      <alignment horizontal="left" vertical="top"/>
    </xf>
    <xf numFmtId="2" fontId="60" fillId="0" borderId="1" xfId="0" applyNumberFormat="1" applyFont="1" applyFill="1" applyBorder="1" applyAlignment="1">
      <alignment horizontal="left" vertical="top"/>
    </xf>
    <xf numFmtId="0" fontId="85" fillId="0" borderId="1" xfId="0" applyNumberFormat="1" applyFont="1" applyFill="1" applyBorder="1" applyAlignment="1">
      <alignment horizontal="center" vertical="center"/>
    </xf>
    <xf numFmtId="0" fontId="60" fillId="0" borderId="137" xfId="0" applyNumberFormat="1" applyFont="1" applyFill="1" applyBorder="1" applyAlignment="1">
      <alignment horizontal="left" vertical="top"/>
    </xf>
    <xf numFmtId="0" fontId="60" fillId="0" borderId="61" xfId="0" applyNumberFormat="1" applyFont="1" applyFill="1" applyBorder="1" applyAlignment="1">
      <alignment horizontal="left" vertical="top"/>
    </xf>
    <xf numFmtId="0" fontId="60" fillId="0" borderId="138" xfId="0" applyNumberFormat="1" applyFont="1" applyFill="1" applyBorder="1" applyAlignment="1">
      <alignment horizontal="left" vertical="top"/>
    </xf>
    <xf numFmtId="2" fontId="60" fillId="0" borderId="4" xfId="0" applyNumberFormat="1" applyFont="1" applyFill="1" applyBorder="1" applyAlignment="1">
      <alignment horizontal="left" vertical="top"/>
    </xf>
    <xf numFmtId="2" fontId="60" fillId="0" borderId="0" xfId="0" applyNumberFormat="1" applyFont="1" applyFill="1" applyBorder="1" applyAlignment="1">
      <alignment horizontal="left" vertical="top"/>
    </xf>
    <xf numFmtId="0" fontId="64" fillId="0" borderId="7" xfId="0" applyNumberFormat="1" applyFont="1" applyFill="1" applyBorder="1" applyAlignment="1">
      <alignment horizontal="left" vertical="top"/>
    </xf>
    <xf numFmtId="0" fontId="64" fillId="0" borderId="7" xfId="0" quotePrefix="1" applyNumberFormat="1" applyFont="1" applyFill="1" applyBorder="1" applyAlignment="1">
      <alignment horizontal="left" vertical="top"/>
    </xf>
    <xf numFmtId="2" fontId="62" fillId="0" borderId="15" xfId="0" applyNumberFormat="1" applyFont="1" applyBorder="1" applyAlignment="1">
      <alignment horizontal="left" vertical="top"/>
    </xf>
    <xf numFmtId="0" fontId="62" fillId="0" borderId="15" xfId="0" applyFont="1" applyBorder="1" applyAlignment="1">
      <alignment horizontal="left" vertical="top"/>
    </xf>
    <xf numFmtId="177" fontId="64" fillId="0" borderId="8" xfId="0" applyNumberFormat="1" applyFont="1" applyFill="1" applyBorder="1" applyAlignment="1">
      <alignment horizontal="left" vertical="top"/>
    </xf>
    <xf numFmtId="170" fontId="64" fillId="0" borderId="8" xfId="0" applyNumberFormat="1" applyFont="1" applyFill="1" applyBorder="1" applyAlignment="1">
      <alignment horizontal="left" vertical="top"/>
    </xf>
    <xf numFmtId="170" fontId="40" fillId="0" borderId="4" xfId="0" applyNumberFormat="1" applyFont="1" applyBorder="1" applyAlignment="1">
      <alignment horizontal="left" vertical="top" wrapText="1"/>
    </xf>
    <xf numFmtId="0" fontId="62" fillId="0" borderId="8" xfId="0" applyFont="1" applyBorder="1" applyAlignment="1">
      <alignment horizontal="left" vertical="top"/>
    </xf>
    <xf numFmtId="0" fontId="60" fillId="0" borderId="5" xfId="0" applyNumberFormat="1" applyFont="1" applyFill="1" applyBorder="1" applyAlignment="1">
      <alignment horizontal="left"/>
    </xf>
    <xf numFmtId="0" fontId="60" fillId="0" borderId="1" xfId="0" applyNumberFormat="1" applyFont="1" applyFill="1" applyBorder="1" applyAlignment="1">
      <alignment horizontal="left"/>
    </xf>
    <xf numFmtId="0" fontId="60" fillId="0" borderId="11" xfId="0" applyNumberFormat="1" applyFont="1" applyFill="1" applyBorder="1" applyAlignment="1">
      <alignment horizontal="left"/>
    </xf>
    <xf numFmtId="0" fontId="60" fillId="0" borderId="7" xfId="0" applyNumberFormat="1" applyFont="1" applyFill="1" applyBorder="1" applyAlignment="1">
      <alignment horizontal="left" vertical="top"/>
    </xf>
    <xf numFmtId="0" fontId="64" fillId="0" borderId="8" xfId="0" applyNumberFormat="1" applyFont="1" applyFill="1" applyBorder="1" applyAlignment="1">
      <alignment horizontal="left" vertical="center"/>
    </xf>
    <xf numFmtId="2" fontId="62" fillId="0" borderId="8" xfId="0" applyNumberFormat="1" applyFont="1" applyBorder="1" applyAlignment="1">
      <alignment horizontal="left" vertical="top"/>
    </xf>
    <xf numFmtId="0" fontId="145" fillId="0" borderId="5" xfId="0" applyFont="1" applyBorder="1" applyAlignment="1">
      <alignment horizontal="left" vertical="top" wrapText="1"/>
    </xf>
    <xf numFmtId="0" fontId="145" fillId="0" borderId="1" xfId="0" applyFont="1" applyBorder="1" applyAlignment="1">
      <alignment horizontal="left" vertical="top" wrapText="1"/>
    </xf>
    <xf numFmtId="0" fontId="62" fillId="0" borderId="7" xfId="0" applyFont="1" applyBorder="1" applyAlignment="1">
      <alignment horizontal="left" vertical="top"/>
    </xf>
    <xf numFmtId="0" fontId="40" fillId="0" borderId="4" xfId="0" applyFont="1" applyBorder="1" applyAlignment="1">
      <alignment horizontal="left" vertical="top" wrapText="1"/>
    </xf>
    <xf numFmtId="0" fontId="40" fillId="0" borderId="0" xfId="0" applyFont="1" applyBorder="1" applyAlignment="1">
      <alignment horizontal="left" vertical="top" wrapText="1"/>
    </xf>
    <xf numFmtId="0" fontId="64" fillId="0" borderId="15" xfId="0" applyNumberFormat="1" applyFont="1" applyFill="1" applyBorder="1" applyAlignment="1">
      <alignment horizontal="left" vertical="top"/>
    </xf>
    <xf numFmtId="0" fontId="40" fillId="0" borderId="2" xfId="0" applyFont="1" applyBorder="1" applyAlignment="1">
      <alignment horizontal="left" vertical="top" wrapText="1"/>
    </xf>
    <xf numFmtId="0" fontId="40" fillId="0" borderId="3" xfId="0" applyFont="1" applyBorder="1" applyAlignment="1">
      <alignment horizontal="left" vertical="top" wrapText="1"/>
    </xf>
    <xf numFmtId="170" fontId="40" fillId="18" borderId="0" xfId="0" applyNumberFormat="1" applyFont="1" applyFill="1" applyBorder="1" applyAlignment="1">
      <alignment horizontal="left" vertical="top" wrapText="1"/>
    </xf>
    <xf numFmtId="170" fontId="40" fillId="18" borderId="1" xfId="0" applyNumberFormat="1" applyFont="1" applyFill="1" applyBorder="1" applyAlignment="1">
      <alignment horizontal="left" vertical="top" wrapText="1"/>
    </xf>
    <xf numFmtId="170" fontId="40" fillId="18" borderId="3" xfId="0" applyNumberFormat="1" applyFont="1" applyFill="1" applyBorder="1" applyAlignment="1">
      <alignment horizontal="left" vertical="top" wrapText="1"/>
    </xf>
    <xf numFmtId="170" fontId="40" fillId="36" borderId="3" xfId="0" applyNumberFormat="1" applyFont="1" applyFill="1" applyBorder="1" applyAlignment="1">
      <alignment horizontal="left" vertical="top" wrapText="1"/>
    </xf>
    <xf numFmtId="170" fontId="40" fillId="36" borderId="10" xfId="0" applyNumberFormat="1" applyFont="1" applyFill="1" applyBorder="1" applyAlignment="1">
      <alignment horizontal="left" vertical="top" wrapText="1"/>
    </xf>
    <xf numFmtId="2" fontId="0" fillId="36" borderId="0" xfId="0" applyNumberFormat="1" applyFill="1" applyAlignment="1">
      <alignment horizontal="center" vertical="center"/>
    </xf>
    <xf numFmtId="0" fontId="66" fillId="0" borderId="2" xfId="0" applyFont="1" applyBorder="1" applyAlignment="1">
      <alignment horizontal="left" vertical="top"/>
    </xf>
    <xf numFmtId="0" fontId="66" fillId="0" borderId="3" xfId="0" applyFont="1" applyBorder="1" applyAlignment="1">
      <alignment horizontal="left" vertical="top"/>
    </xf>
    <xf numFmtId="0" fontId="62" fillId="0" borderId="5" xfId="0" applyFont="1" applyBorder="1" applyAlignment="1">
      <alignment horizontal="left" vertical="center"/>
    </xf>
    <xf numFmtId="0" fontId="62" fillId="0" borderId="1" xfId="0" applyFont="1" applyBorder="1" applyAlignment="1">
      <alignment horizontal="left" vertical="center"/>
    </xf>
    <xf numFmtId="2" fontId="0" fillId="19" borderId="0" xfId="0" applyNumberFormat="1" applyFill="1" applyAlignment="1">
      <alignment horizontal="center" vertical="center"/>
    </xf>
    <xf numFmtId="170" fontId="40" fillId="45" borderId="2" xfId="0" applyNumberFormat="1" applyFont="1" applyFill="1" applyBorder="1" applyAlignment="1">
      <alignment horizontal="left" vertical="top" wrapText="1"/>
    </xf>
    <xf numFmtId="170" fontId="40" fillId="45" borderId="3" xfId="0" applyNumberFormat="1" applyFont="1" applyFill="1" applyBorder="1" applyAlignment="1">
      <alignment horizontal="left" vertical="top" wrapText="1"/>
    </xf>
    <xf numFmtId="0" fontId="137" fillId="0" borderId="0" xfId="0" applyNumberFormat="1" applyFont="1" applyFill="1" applyBorder="1" applyAlignment="1">
      <alignment horizontal="right" vertical="center"/>
    </xf>
    <xf numFmtId="170" fontId="40" fillId="45" borderId="4" xfId="0" applyNumberFormat="1" applyFont="1" applyFill="1" applyBorder="1" applyAlignment="1">
      <alignment horizontal="left" vertical="top" wrapText="1"/>
    </xf>
    <xf numFmtId="170" fontId="40" fillId="45" borderId="0" xfId="0" applyNumberFormat="1" applyFont="1" applyFill="1" applyBorder="1" applyAlignment="1">
      <alignment horizontal="left" vertical="top" wrapText="1"/>
    </xf>
    <xf numFmtId="170" fontId="40" fillId="45" borderId="5" xfId="0" applyNumberFormat="1" applyFont="1" applyFill="1" applyBorder="1" applyAlignment="1">
      <alignment horizontal="left" vertical="top" wrapText="1"/>
    </xf>
    <xf numFmtId="170" fontId="40" fillId="45" borderId="1" xfId="0" applyNumberFormat="1" applyFont="1" applyFill="1" applyBorder="1" applyAlignment="1">
      <alignment horizontal="left" vertical="top" wrapText="1"/>
    </xf>
    <xf numFmtId="0" fontId="61" fillId="0" borderId="0" xfId="0" applyNumberFormat="1" applyFont="1" applyFill="1" applyBorder="1" applyAlignment="1">
      <alignment horizontal="right" vertical="top"/>
    </xf>
    <xf numFmtId="0" fontId="64" fillId="0" borderId="2" xfId="0" applyNumberFormat="1" applyFont="1" applyFill="1" applyBorder="1" applyAlignment="1">
      <alignment horizontal="left" vertical="top"/>
    </xf>
    <xf numFmtId="0" fontId="64" fillId="0" borderId="3" xfId="0" applyNumberFormat="1" applyFont="1" applyFill="1" applyBorder="1" applyAlignment="1">
      <alignment horizontal="left" vertical="top"/>
    </xf>
    <xf numFmtId="0" fontId="64" fillId="0" borderId="10"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64" fillId="0" borderId="6" xfId="0" applyNumberFormat="1" applyFont="1" applyFill="1" applyBorder="1" applyAlignment="1">
      <alignment horizontal="left" vertical="top"/>
    </xf>
    <xf numFmtId="14" fontId="62" fillId="0" borderId="5" xfId="0" applyNumberFormat="1" applyFont="1" applyBorder="1" applyAlignment="1">
      <alignment horizontal="left" vertical="top"/>
    </xf>
    <xf numFmtId="14" fontId="62" fillId="0" borderId="1" xfId="0" applyNumberFormat="1" applyFont="1" applyBorder="1" applyAlignment="1">
      <alignment horizontal="left" vertical="top"/>
    </xf>
    <xf numFmtId="14" fontId="62" fillId="0" borderId="11" xfId="0" applyNumberFormat="1" applyFont="1" applyBorder="1" applyAlignment="1">
      <alignment horizontal="left" vertical="top"/>
    </xf>
    <xf numFmtId="0" fontId="40" fillId="0" borderId="0" xfId="0" applyFont="1" applyBorder="1" applyAlignment="1">
      <alignment horizontal="left" vertical="top"/>
    </xf>
    <xf numFmtId="0" fontId="40" fillId="0" borderId="6" xfId="0" applyFont="1" applyBorder="1" applyAlignment="1">
      <alignment horizontal="left" vertical="top"/>
    </xf>
    <xf numFmtId="0" fontId="40" fillId="0" borderId="1" xfId="0" applyFont="1" applyBorder="1" applyAlignment="1">
      <alignment horizontal="left" vertical="top"/>
    </xf>
    <xf numFmtId="0" fontId="40" fillId="0" borderId="11"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18" fillId="0" borderId="0" xfId="0" applyFont="1" applyAlignment="1">
      <alignment horizontal="left" vertical="top" wrapText="1"/>
    </xf>
    <xf numFmtId="0" fontId="18" fillId="0" borderId="4" xfId="0" applyFont="1" applyBorder="1" applyAlignment="1">
      <alignment vertical="center"/>
    </xf>
    <xf numFmtId="0" fontId="18" fillId="0" borderId="0" xfId="0" applyFont="1" applyBorder="1" applyAlignment="1">
      <alignment vertical="center"/>
    </xf>
    <xf numFmtId="0" fontId="18" fillId="0" borderId="4" xfId="0" applyFont="1" applyBorder="1" applyAlignment="1">
      <alignment horizontal="center" vertical="center"/>
    </xf>
    <xf numFmtId="0" fontId="18" fillId="0" borderId="6" xfId="0" applyFont="1" applyBorder="1" applyAlignment="1">
      <alignment horizontal="center" vertical="center"/>
    </xf>
    <xf numFmtId="0" fontId="149" fillId="0" borderId="1" xfId="0" applyNumberFormat="1" applyFont="1" applyFill="1" applyBorder="1" applyAlignment="1">
      <alignment horizontal="center"/>
    </xf>
    <xf numFmtId="0" fontId="18" fillId="0" borderId="2" xfId="0" applyFont="1" applyBorder="1" applyAlignment="1">
      <alignment horizontal="center" vertical="center"/>
    </xf>
    <xf numFmtId="0" fontId="18" fillId="0" borderId="10" xfId="0" applyFont="1" applyBorder="1" applyAlignment="1">
      <alignment horizontal="center" vertical="center"/>
    </xf>
    <xf numFmtId="0" fontId="82" fillId="0" borderId="1" xfId="0" applyFont="1" applyBorder="1" applyAlignment="1">
      <alignment horizontal="center"/>
    </xf>
    <xf numFmtId="0" fontId="18" fillId="0" borderId="2" xfId="0" applyFont="1" applyBorder="1">
      <alignment vertical="center"/>
    </xf>
    <xf numFmtId="0" fontId="18" fillId="0" borderId="3" xfId="0" applyFont="1" applyBorder="1">
      <alignment vertical="center"/>
    </xf>
    <xf numFmtId="0" fontId="18" fillId="0" borderId="10" xfId="0" applyFont="1" applyBorder="1">
      <alignment vertical="center"/>
    </xf>
    <xf numFmtId="0" fontId="18" fillId="0" borderId="3" xfId="0" applyFont="1" applyBorder="1" applyAlignment="1">
      <alignment horizontal="center" vertical="center"/>
    </xf>
    <xf numFmtId="0" fontId="73" fillId="0" borderId="19" xfId="0" applyFont="1" applyBorder="1" applyAlignment="1">
      <alignment horizontal="center" vertical="center"/>
    </xf>
    <xf numFmtId="0" fontId="73" fillId="0" borderId="12" xfId="0" applyFont="1" applyBorder="1" applyAlignment="1">
      <alignment horizontal="center" vertical="center"/>
    </xf>
    <xf numFmtId="0" fontId="73" fillId="0" borderId="20" xfId="0" applyFont="1" applyBorder="1" applyAlignment="1">
      <alignment horizontal="center" vertical="center"/>
    </xf>
    <xf numFmtId="0" fontId="18" fillId="0" borderId="5" xfId="0" applyFont="1" applyBorder="1">
      <alignment vertical="center"/>
    </xf>
    <xf numFmtId="0" fontId="18" fillId="0" borderId="1" xfId="0" applyFont="1" applyBorder="1">
      <alignment vertical="center"/>
    </xf>
    <xf numFmtId="0" fontId="18" fillId="0" borderId="11" xfId="0" applyFont="1" applyBorder="1">
      <alignment vertical="center"/>
    </xf>
    <xf numFmtId="0" fontId="18" fillId="0" borderId="5" xfId="0" applyFont="1" applyBorder="1" applyAlignment="1">
      <alignment horizontal="center" vertical="center"/>
    </xf>
    <xf numFmtId="0" fontId="18" fillId="0" borderId="1" xfId="0" applyFont="1" applyBorder="1" applyAlignment="1">
      <alignment horizontal="center" vertical="center"/>
    </xf>
    <xf numFmtId="0" fontId="18" fillId="0" borderId="11" xfId="0" applyFont="1" applyBorder="1" applyAlignment="1">
      <alignment horizontal="center" vertical="center"/>
    </xf>
    <xf numFmtId="0" fontId="73" fillId="0" borderId="2" xfId="0" applyFont="1" applyBorder="1" applyAlignment="1">
      <alignment horizontal="center" vertical="center"/>
    </xf>
    <xf numFmtId="0" fontId="73" fillId="0" borderId="3" xfId="0" applyFont="1" applyBorder="1" applyAlignment="1">
      <alignment horizontal="center" vertical="center"/>
    </xf>
    <xf numFmtId="0" fontId="18" fillId="0" borderId="4" xfId="0" applyFont="1" applyBorder="1" applyAlignment="1">
      <alignment wrapText="1"/>
    </xf>
    <xf numFmtId="0" fontId="18" fillId="0" borderId="0" xfId="0" applyFont="1" applyBorder="1" applyAlignment="1">
      <alignment wrapText="1"/>
    </xf>
    <xf numFmtId="0" fontId="18" fillId="0" borderId="6" xfId="0" applyFont="1" applyBorder="1" applyAlignment="1">
      <alignment wrapText="1"/>
    </xf>
    <xf numFmtId="0" fontId="82" fillId="0" borderId="11" xfId="0" applyFont="1" applyBorder="1" applyAlignment="1">
      <alignment horizontal="center" wrapText="1"/>
    </xf>
    <xf numFmtId="0" fontId="82" fillId="0" borderId="15" xfId="0" applyFont="1" applyBorder="1" applyAlignment="1">
      <alignment horizontal="center" wrapText="1"/>
    </xf>
    <xf numFmtId="0" fontId="82" fillId="0" borderId="5" xfId="0" applyFont="1" applyBorder="1" applyAlignment="1">
      <alignment horizontal="center" wrapText="1"/>
    </xf>
    <xf numFmtId="0" fontId="18" fillId="0" borderId="4" xfId="0" applyFont="1" applyBorder="1" applyAlignment="1">
      <alignment horizontal="center"/>
    </xf>
    <xf numFmtId="0" fontId="18" fillId="0" borderId="0" xfId="0" applyFont="1" applyBorder="1" applyAlignment="1">
      <alignment horizontal="center"/>
    </xf>
    <xf numFmtId="0" fontId="18" fillId="0" borderId="6" xfId="0" applyFont="1" applyBorder="1" applyAlignment="1">
      <alignment horizontal="center"/>
    </xf>
    <xf numFmtId="0" fontId="18" fillId="0" borderId="5" xfId="0" applyFont="1" applyBorder="1" applyAlignment="1">
      <alignment vertical="center"/>
    </xf>
    <xf numFmtId="0" fontId="18" fillId="0" borderId="1" xfId="0" applyFont="1" applyBorder="1" applyAlignment="1">
      <alignment vertical="center"/>
    </xf>
    <xf numFmtId="0" fontId="73" fillId="0" borderId="5" xfId="0" applyFont="1" applyBorder="1" applyAlignment="1">
      <alignment horizontal="center" wrapText="1"/>
    </xf>
    <xf numFmtId="0" fontId="73" fillId="0" borderId="1" xfId="0" applyFont="1" applyBorder="1" applyAlignment="1">
      <alignment horizontal="center" wrapText="1"/>
    </xf>
    <xf numFmtId="0" fontId="73" fillId="0" borderId="11" xfId="0" applyFont="1" applyBorder="1" applyAlignment="1">
      <alignment horizontal="center" wrapText="1"/>
    </xf>
    <xf numFmtId="0" fontId="18" fillId="0" borderId="0" xfId="0" applyFont="1" applyAlignment="1">
      <alignment vertical="center" wrapText="1"/>
    </xf>
    <xf numFmtId="0" fontId="25" fillId="0" borderId="9" xfId="0" applyFont="1" applyBorder="1" applyAlignment="1">
      <alignment vertical="center"/>
    </xf>
    <xf numFmtId="0" fontId="18" fillId="0" borderId="5" xfId="0" applyFont="1" applyBorder="1" applyAlignment="1">
      <alignment horizontal="center"/>
    </xf>
    <xf numFmtId="0" fontId="18" fillId="0" borderId="1" xfId="0" applyFont="1" applyBorder="1" applyAlignment="1">
      <alignment horizontal="center"/>
    </xf>
    <xf numFmtId="0" fontId="18" fillId="0" borderId="11" xfId="0" applyFont="1" applyBorder="1" applyAlignment="1">
      <alignment horizontal="center"/>
    </xf>
    <xf numFmtId="0" fontId="29" fillId="0" borderId="5" xfId="0" applyFont="1" applyBorder="1" applyAlignment="1">
      <alignment wrapText="1"/>
    </xf>
    <xf numFmtId="0" fontId="29" fillId="0" borderId="1" xfId="0" applyFont="1" applyBorder="1" applyAlignment="1">
      <alignment wrapText="1"/>
    </xf>
    <xf numFmtId="0" fontId="29" fillId="0" borderId="11" xfId="0" applyFont="1" applyBorder="1" applyAlignment="1">
      <alignment wrapText="1"/>
    </xf>
    <xf numFmtId="0" fontId="86" fillId="0" borderId="9" xfId="0" applyFont="1" applyBorder="1" applyAlignment="1">
      <alignment horizontal="center" vertical="center"/>
    </xf>
    <xf numFmtId="0" fontId="66" fillId="0" borderId="9" xfId="0" applyFont="1" applyBorder="1" applyAlignment="1">
      <alignment vertical="top"/>
    </xf>
    <xf numFmtId="0" fontId="18" fillId="0" borderId="4" xfId="0" applyFont="1" applyBorder="1" applyAlignment="1">
      <alignment horizontal="left" vertical="center"/>
    </xf>
    <xf numFmtId="0" fontId="18" fillId="0" borderId="0" xfId="0" applyFont="1" applyBorder="1" applyAlignment="1">
      <alignment horizontal="left" vertical="center"/>
    </xf>
    <xf numFmtId="0" fontId="18" fillId="0" borderId="6" xfId="0" applyFont="1" applyBorder="1" applyAlignment="1">
      <alignment horizontal="left" vertical="center"/>
    </xf>
    <xf numFmtId="0" fontId="18" fillId="0" borderId="0" xfId="0" applyFont="1" applyBorder="1" applyAlignment="1">
      <alignment horizontal="center" vertical="center"/>
    </xf>
    <xf numFmtId="2" fontId="18" fillId="0" borderId="4" xfId="0" applyNumberFormat="1" applyFont="1" applyBorder="1" applyAlignment="1">
      <alignment horizontal="center" vertical="center"/>
    </xf>
    <xf numFmtId="2" fontId="18" fillId="0" borderId="0" xfId="0" applyNumberFormat="1" applyFont="1" applyBorder="1" applyAlignment="1">
      <alignment horizontal="center" vertical="center"/>
    </xf>
    <xf numFmtId="2" fontId="18" fillId="0" borderId="6" xfId="0" applyNumberFormat="1" applyFont="1" applyBorder="1" applyAlignment="1">
      <alignment horizontal="center" vertical="center"/>
    </xf>
    <xf numFmtId="0" fontId="18" fillId="0" borderId="5" xfId="0" applyFont="1" applyBorder="1" applyAlignment="1">
      <alignment horizontal="left" vertical="center"/>
    </xf>
    <xf numFmtId="0" fontId="18" fillId="0" borderId="1" xfId="0" applyFont="1" applyBorder="1" applyAlignment="1">
      <alignment horizontal="left" vertical="center"/>
    </xf>
    <xf numFmtId="0" fontId="18" fillId="0" borderId="11" xfId="0" applyFont="1" applyBorder="1" applyAlignment="1">
      <alignment horizontal="left" vertical="center"/>
    </xf>
    <xf numFmtId="2" fontId="18" fillId="0" borderId="5" xfId="0" applyNumberFormat="1" applyFont="1" applyBorder="1" applyAlignment="1">
      <alignment horizontal="center" vertical="center"/>
    </xf>
    <xf numFmtId="2" fontId="18" fillId="0" borderId="1" xfId="0" applyNumberFormat="1" applyFont="1" applyBorder="1" applyAlignment="1">
      <alignment horizontal="center" vertical="center"/>
    </xf>
    <xf numFmtId="2" fontId="18" fillId="0" borderId="11" xfId="0" applyNumberFormat="1" applyFont="1" applyBorder="1" applyAlignment="1">
      <alignment horizontal="center" vertical="center"/>
    </xf>
    <xf numFmtId="0" fontId="88" fillId="0" borderId="0" xfId="0" applyFont="1" applyAlignment="1">
      <alignment horizontal="center" vertical="top"/>
    </xf>
    <xf numFmtId="0" fontId="87" fillId="0" borderId="19" xfId="0" applyFont="1" applyBorder="1" applyAlignment="1">
      <alignment vertical="center" wrapText="1"/>
    </xf>
    <xf numFmtId="0" fontId="87" fillId="0" borderId="12" xfId="0" applyFont="1" applyBorder="1" applyAlignment="1">
      <alignment vertical="center" wrapText="1"/>
    </xf>
    <xf numFmtId="0" fontId="87" fillId="0" borderId="20" xfId="0" applyFont="1" applyBorder="1" applyAlignment="1">
      <alignment vertical="center" wrapText="1"/>
    </xf>
    <xf numFmtId="0" fontId="80" fillId="0" borderId="19" xfId="0" applyFont="1" applyBorder="1" applyAlignment="1">
      <alignment vertical="top"/>
    </xf>
    <xf numFmtId="0" fontId="80" fillId="0" borderId="12" xfId="0" applyFont="1" applyBorder="1" applyAlignment="1">
      <alignment vertical="top"/>
    </xf>
    <xf numFmtId="0" fontId="80" fillId="0" borderId="20" xfId="0" applyFont="1" applyBorder="1" applyAlignment="1">
      <alignment vertical="top"/>
    </xf>
    <xf numFmtId="2" fontId="18" fillId="0" borderId="9" xfId="0" applyNumberFormat="1" applyFont="1" applyBorder="1" applyAlignment="1">
      <alignment horizontal="left" vertical="center" wrapText="1"/>
    </xf>
    <xf numFmtId="0" fontId="18" fillId="0" borderId="9" xfId="0" applyFont="1" applyBorder="1" applyAlignment="1">
      <alignment horizontal="left" vertical="center" wrapText="1"/>
    </xf>
    <xf numFmtId="0" fontId="29" fillId="0" borderId="9" xfId="0" applyFont="1" applyBorder="1" applyAlignment="1">
      <alignment vertical="center" wrapText="1"/>
    </xf>
    <xf numFmtId="0" fontId="84" fillId="0" borderId="0" xfId="0" applyFont="1" applyAlignment="1">
      <alignment horizontal="left" vertical="top"/>
    </xf>
    <xf numFmtId="0" fontId="151" fillId="0" borderId="11" xfId="0" applyFont="1" applyBorder="1" applyAlignment="1">
      <alignment horizontal="center"/>
    </xf>
    <xf numFmtId="0" fontId="151" fillId="0" borderId="15" xfId="0" applyFont="1" applyBorder="1" applyAlignment="1">
      <alignment horizontal="center"/>
    </xf>
    <xf numFmtId="0" fontId="151" fillId="0" borderId="5" xfId="0" applyFont="1" applyBorder="1" applyAlignment="1">
      <alignment horizontal="center"/>
    </xf>
    <xf numFmtId="0" fontId="18" fillId="0" borderId="9" xfId="0" applyFont="1" applyBorder="1" applyAlignment="1">
      <alignment vertical="center" wrapText="1"/>
    </xf>
    <xf numFmtId="2" fontId="62" fillId="0" borderId="9" xfId="0" applyNumberFormat="1" applyFont="1" applyBorder="1" applyAlignment="1">
      <alignment horizontal="left" vertical="top"/>
    </xf>
    <xf numFmtId="0" fontId="82" fillId="0" borderId="11" xfId="0" applyFont="1" applyBorder="1" applyAlignment="1">
      <alignment horizontal="center"/>
    </xf>
    <xf numFmtId="0" fontId="82" fillId="0" borderId="15" xfId="0" applyFont="1" applyBorder="1" applyAlignment="1">
      <alignment horizontal="center"/>
    </xf>
    <xf numFmtId="0" fontId="82" fillId="0" borderId="5" xfId="0" applyFont="1" applyBorder="1" applyAlignment="1">
      <alignment horizontal="center"/>
    </xf>
    <xf numFmtId="0" fontId="82" fillId="0" borderId="0" xfId="0" applyFont="1" applyAlignment="1">
      <alignment horizontal="center" vertical="top"/>
    </xf>
    <xf numFmtId="2" fontId="62" fillId="0" borderId="19" xfId="0" applyNumberFormat="1" applyFont="1" applyBorder="1" applyAlignment="1">
      <alignment horizontal="left" vertical="top"/>
    </xf>
    <xf numFmtId="2" fontId="62" fillId="0" borderId="12" xfId="0" applyNumberFormat="1" applyFont="1" applyBorder="1" applyAlignment="1">
      <alignment horizontal="left" vertical="top"/>
    </xf>
    <xf numFmtId="2" fontId="62" fillId="0" borderId="20" xfId="0" applyNumberFormat="1" applyFont="1" applyBorder="1" applyAlignment="1">
      <alignment horizontal="left" vertical="top"/>
    </xf>
    <xf numFmtId="0" fontId="18" fillId="0" borderId="0" xfId="0" applyFont="1" applyAlignment="1">
      <alignment vertical="top" wrapText="1"/>
    </xf>
    <xf numFmtId="170" fontId="80" fillId="0" borderId="5" xfId="0" applyNumberFormat="1" applyFont="1" applyBorder="1">
      <alignment vertical="center"/>
    </xf>
    <xf numFmtId="170" fontId="80" fillId="0" borderId="1" xfId="0" applyNumberFormat="1" applyFont="1" applyBorder="1">
      <alignment vertical="center"/>
    </xf>
    <xf numFmtId="0" fontId="239" fillId="0" borderId="1" xfId="0" applyFont="1" applyBorder="1" applyAlignment="1">
      <alignment horizontal="center" vertical="top"/>
    </xf>
    <xf numFmtId="170" fontId="80" fillId="0" borderId="4" xfId="0" applyNumberFormat="1" applyFont="1" applyBorder="1" applyAlignment="1">
      <alignment vertical="center"/>
    </xf>
    <xf numFmtId="170" fontId="80" fillId="0" borderId="0" xfId="0" applyNumberFormat="1" applyFont="1" applyBorder="1" applyAlignment="1">
      <alignment vertical="center"/>
    </xf>
    <xf numFmtId="170" fontId="80" fillId="0" borderId="2" xfId="0" applyNumberFormat="1" applyFont="1" applyBorder="1" applyAlignment="1">
      <alignment vertical="center"/>
    </xf>
    <xf numFmtId="170" fontId="80" fillId="0" borderId="3" xfId="0" applyNumberFormat="1" applyFont="1" applyBorder="1" applyAlignment="1">
      <alignment vertical="center"/>
    </xf>
    <xf numFmtId="0" fontId="151" fillId="0" borderId="0" xfId="0" applyFont="1" applyAlignment="1">
      <alignment horizontal="center" vertical="top" wrapText="1"/>
    </xf>
    <xf numFmtId="0" fontId="239" fillId="0" borderId="0" xfId="0" applyFont="1" applyAlignment="1">
      <alignment horizontal="center" vertical="top"/>
    </xf>
    <xf numFmtId="170" fontId="80" fillId="0" borderId="5" xfId="0" applyNumberFormat="1" applyFont="1" applyBorder="1" applyAlignment="1">
      <alignment vertical="center"/>
    </xf>
    <xf numFmtId="170" fontId="80" fillId="0" borderId="1" xfId="0" applyNumberFormat="1" applyFont="1" applyBorder="1" applyAlignment="1">
      <alignment vertical="center"/>
    </xf>
    <xf numFmtId="170" fontId="80" fillId="0" borderId="4" xfId="0" applyNumberFormat="1" applyFont="1" applyBorder="1">
      <alignment vertical="center"/>
    </xf>
    <xf numFmtId="170" fontId="80" fillId="0" borderId="0" xfId="0" applyNumberFormat="1" applyFont="1" applyBorder="1">
      <alignment vertical="center"/>
    </xf>
    <xf numFmtId="0" fontId="99" fillId="0" borderId="0" xfId="0" applyFont="1" applyAlignment="1" applyProtection="1">
      <alignment horizontal="left" vertical="center" wrapText="1"/>
    </xf>
    <xf numFmtId="0" fontId="99" fillId="0" borderId="0" xfId="0" applyFont="1" applyAlignment="1" applyProtection="1">
      <alignment horizontal="left" vertical="top" wrapText="1"/>
    </xf>
    <xf numFmtId="0" fontId="154" fillId="0" borderId="0" xfId="0" applyFont="1" applyAlignment="1" applyProtection="1">
      <alignment horizontal="left" vertical="top" wrapText="1"/>
    </xf>
    <xf numFmtId="0" fontId="0" fillId="0" borderId="0" xfId="0" applyAlignment="1" applyProtection="1">
      <alignment horizontal="left" vertical="top" wrapText="1"/>
    </xf>
    <xf numFmtId="2" fontId="110" fillId="0" borderId="0" xfId="0" applyNumberFormat="1" applyFont="1" applyAlignment="1" applyProtection="1">
      <alignment horizontal="left" vertical="top"/>
    </xf>
    <xf numFmtId="0" fontId="110" fillId="0" borderId="0" xfId="0" applyFont="1" applyAlignment="1" applyProtection="1">
      <alignment horizontal="left" vertical="top"/>
    </xf>
    <xf numFmtId="14" fontId="110" fillId="0" borderId="0" xfId="0" applyNumberFormat="1" applyFont="1" applyAlignment="1" applyProtection="1">
      <alignment horizontal="left" vertical="top"/>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107" fillId="0" borderId="97" xfId="0" applyFont="1" applyBorder="1" applyAlignment="1" applyProtection="1">
      <alignment horizontal="left" vertical="top"/>
    </xf>
    <xf numFmtId="0" fontId="97" fillId="0" borderId="91"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6" xfId="0" applyFont="1" applyBorder="1" applyAlignment="1" applyProtection="1">
      <alignment horizontal="left" vertical="top"/>
    </xf>
    <xf numFmtId="2" fontId="107" fillId="0" borderId="17" xfId="0" applyNumberFormat="1" applyFont="1" applyBorder="1" applyAlignment="1" applyProtection="1">
      <alignment horizontal="center" vertical="center" wrapText="1"/>
    </xf>
    <xf numFmtId="2" fontId="107" fillId="0" borderId="18" xfId="0" applyNumberFormat="1" applyFont="1" applyBorder="1" applyAlignment="1" applyProtection="1">
      <alignment horizontal="center" vertical="center" wrapText="1"/>
    </xf>
    <xf numFmtId="2" fontId="97" fillId="0" borderId="91" xfId="0" applyNumberFormat="1" applyFont="1" applyBorder="1" applyAlignment="1" applyProtection="1">
      <alignment horizontal="left" vertical="top"/>
    </xf>
    <xf numFmtId="2" fontId="97" fillId="0" borderId="90" xfId="0" applyNumberFormat="1" applyFont="1" applyBorder="1" applyAlignment="1" applyProtection="1">
      <alignment horizontal="left" vertical="top"/>
    </xf>
    <xf numFmtId="2" fontId="97" fillId="0" borderId="96" xfId="0" applyNumberFormat="1" applyFont="1" applyBorder="1" applyAlignment="1" applyProtection="1">
      <alignment horizontal="left" vertical="top"/>
    </xf>
    <xf numFmtId="0" fontId="0" fillId="0" borderId="0" xfId="0" applyAlignment="1" applyProtection="1">
      <alignment horizontal="left" vertical="center"/>
    </xf>
    <xf numFmtId="2" fontId="107" fillId="0" borderId="88" xfId="0" applyNumberFormat="1" applyFont="1" applyBorder="1" applyAlignment="1" applyProtection="1">
      <alignment horizontal="left" vertical="top"/>
    </xf>
    <xf numFmtId="2" fontId="107" fillId="0" borderId="87" xfId="0" applyNumberFormat="1" applyFont="1" applyBorder="1" applyAlignment="1" applyProtection="1">
      <alignment horizontal="left" vertical="top"/>
    </xf>
    <xf numFmtId="2" fontId="107" fillId="0" borderId="95" xfId="0" applyNumberFormat="1" applyFont="1" applyBorder="1" applyAlignment="1" applyProtection="1">
      <alignment horizontal="left" vertical="top"/>
    </xf>
    <xf numFmtId="0" fontId="107" fillId="0" borderId="17" xfId="0" applyFont="1" applyBorder="1" applyAlignment="1" applyProtection="1">
      <alignment horizontal="center" vertical="center"/>
    </xf>
    <xf numFmtId="0" fontId="107" fillId="0" borderId="18" xfId="0" applyFont="1" applyBorder="1" applyAlignment="1" applyProtection="1">
      <alignment horizontal="center"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43" xfId="0" applyFont="1" applyFill="1" applyBorder="1" applyAlignment="1">
      <alignment horizontal="center" vertical="center"/>
    </xf>
    <xf numFmtId="0" fontId="17" fillId="0" borderId="46" xfId="0" applyFont="1" applyFill="1" applyBorder="1" applyAlignment="1">
      <alignment horizontal="center" vertical="center"/>
    </xf>
    <xf numFmtId="0" fontId="17" fillId="0" borderId="44" xfId="0" applyFont="1" applyFill="1" applyBorder="1" applyAlignment="1">
      <alignment horizontal="center" vertical="center"/>
    </xf>
    <xf numFmtId="0" fontId="17" fillId="0" borderId="31" xfId="0" applyFont="1" applyFill="1" applyBorder="1" applyAlignment="1">
      <alignment horizontal="center" vertical="center"/>
    </xf>
    <xf numFmtId="0" fontId="17" fillId="0" borderId="32" xfId="0" applyFont="1" applyFill="1" applyBorder="1" applyAlignment="1">
      <alignment horizontal="center" vertical="center"/>
    </xf>
    <xf numFmtId="0" fontId="17" fillId="0" borderId="33" xfId="0" applyFont="1" applyBorder="1" applyAlignment="1">
      <alignment horizontal="center" vertical="center"/>
    </xf>
    <xf numFmtId="0" fontId="17" fillId="0" borderId="57" xfId="0" applyFont="1" applyBorder="1" applyAlignment="1">
      <alignment horizontal="center" vertical="center"/>
    </xf>
    <xf numFmtId="0" fontId="17" fillId="0" borderId="58" xfId="0" applyFont="1" applyBorder="1" applyAlignment="1">
      <alignment horizontal="center" vertical="center"/>
    </xf>
    <xf numFmtId="0" fontId="17" fillId="0" borderId="40" xfId="0" applyFont="1" applyBorder="1" applyAlignment="1">
      <alignment horizontal="center" vertical="center"/>
    </xf>
    <xf numFmtId="0" fontId="17" fillId="0" borderId="55" xfId="0" applyFont="1" applyBorder="1" applyAlignment="1">
      <alignment horizontal="center" vertical="center"/>
    </xf>
    <xf numFmtId="0" fontId="17" fillId="0" borderId="27" xfId="0" applyFont="1" applyBorder="1" applyAlignment="1">
      <alignment horizontal="center" vertical="center"/>
    </xf>
    <xf numFmtId="0" fontId="237" fillId="0" borderId="0" xfId="8" applyNumberFormat="1" applyFont="1" applyFill="1" applyAlignment="1">
      <alignment horizontal="center" vertical="center"/>
    </xf>
    <xf numFmtId="0" fontId="26" fillId="0" borderId="61" xfId="0" applyFont="1" applyBorder="1" applyAlignment="1">
      <alignment horizontal="center" vertical="center"/>
    </xf>
    <xf numFmtId="0" fontId="20" fillId="0" borderId="3" xfId="0" applyFont="1" applyBorder="1" applyAlignment="1">
      <alignment horizontal="center" vertical="center"/>
    </xf>
    <xf numFmtId="0" fontId="89" fillId="0" borderId="2" xfId="0" applyFont="1" applyBorder="1" applyAlignment="1">
      <alignment horizontal="center" vertical="center"/>
    </xf>
    <xf numFmtId="0" fontId="89" fillId="0" borderId="3" xfId="0" applyFont="1" applyBorder="1" applyAlignment="1">
      <alignment horizontal="center" vertical="center"/>
    </xf>
    <xf numFmtId="0" fontId="89" fillId="0" borderId="10" xfId="0" applyFont="1" applyBorder="1" applyAlignment="1">
      <alignment horizontal="center" vertical="center"/>
    </xf>
    <xf numFmtId="0" fontId="20" fillId="0" borderId="2" xfId="0" applyFont="1" applyBorder="1" applyAlignment="1">
      <alignment horizontal="center" vertical="center"/>
    </xf>
    <xf numFmtId="0" fontId="20" fillId="0" borderId="10" xfId="0" applyFont="1" applyBorder="1" applyAlignment="1">
      <alignment horizontal="center" vertical="center"/>
    </xf>
    <xf numFmtId="0" fontId="19" fillId="0" borderId="0" xfId="0" applyFont="1" applyBorder="1" applyAlignment="1">
      <alignment horizontal="left" vertical="center" wrapText="1"/>
    </xf>
    <xf numFmtId="0" fontId="19" fillId="0" borderId="24" xfId="0" applyFont="1" applyBorder="1" applyAlignment="1">
      <alignment horizontal="left" vertical="center" wrapText="1"/>
    </xf>
    <xf numFmtId="0" fontId="135" fillId="0" borderId="0" xfId="0" applyFont="1" applyAlignment="1">
      <alignment horizontal="center" vertical="center"/>
    </xf>
    <xf numFmtId="0" fontId="17" fillId="0" borderId="0" xfId="0" applyFont="1" applyAlignment="1">
      <alignment horizontal="center" vertical="center"/>
    </xf>
  </cellXfs>
  <cellStyles count="18">
    <cellStyle name="Bad" xfId="10" builtinId="27"/>
    <cellStyle name="Calculation" xfId="12" builtinId="22"/>
    <cellStyle name="Currency" xfId="16" builtinId="4"/>
    <cellStyle name="Currency 2" xfId="1" xr:uid="{00000000-0005-0000-0000-000003000000}"/>
    <cellStyle name="Currency 3" xfId="2" xr:uid="{00000000-0005-0000-0000-000004000000}"/>
    <cellStyle name="Explanatory Text" xfId="13" builtinId="53"/>
    <cellStyle name="Good" xfId="3" builtinId="26"/>
    <cellStyle name="Hyperlink" xfId="17" builtinId="8"/>
    <cellStyle name="Hyperlink 2" xfId="4" xr:uid="{00000000-0005-0000-0000-000008000000}"/>
    <cellStyle name="Hyperlink 3" xfId="5" xr:uid="{00000000-0005-0000-0000-000009000000}"/>
    <cellStyle name="Hyperlink 4" xfId="6" xr:uid="{00000000-0005-0000-0000-00000A000000}"/>
    <cellStyle name="Input" xfId="11" builtinId="20"/>
    <cellStyle name="Neutral" xfId="15" builtinId="28"/>
    <cellStyle name="Normal" xfId="0" builtinId="0"/>
    <cellStyle name="Normal 2" xfId="7" xr:uid="{00000000-0005-0000-0000-00000E000000}"/>
    <cellStyle name="Normal 3" xfId="8" xr:uid="{00000000-0005-0000-0000-00000F000000}"/>
    <cellStyle name="Normal 4" xfId="9" xr:uid="{00000000-0005-0000-0000-000010000000}"/>
    <cellStyle name="Normal 5" xfId="14" xr:uid="{00000000-0005-0000-0000-000011000000}"/>
  </cellStyles>
  <dxfs count="6271">
    <dxf>
      <font>
        <color indexed="19"/>
      </font>
      <fill>
        <patternFill patternType="solid">
          <bgColor rgb="FFFFC7CE"/>
        </patternFill>
      </fill>
    </dxf>
    <dxf>
      <font>
        <color rgb="FF006100"/>
      </font>
      <fill>
        <patternFill patternType="solid">
          <bgColor rgb="FFC6EFCE"/>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theme="1" tint="0.499984740745262"/>
      </font>
      <fill>
        <patternFill>
          <bgColor theme="1" tint="0.499984740745262"/>
        </patternFill>
      </fill>
    </dxf>
    <dxf>
      <font>
        <color rgb="FFFF0000"/>
      </font>
      <fill>
        <patternFill>
          <bgColor rgb="FFFF0000"/>
        </patternFill>
      </fill>
    </dxf>
    <dxf>
      <font>
        <color rgb="FF00B050"/>
      </font>
      <fill>
        <patternFill>
          <bgColor rgb="FF00B050"/>
        </patternFill>
      </fill>
    </dxf>
    <dxf>
      <font>
        <color indexed="19"/>
      </font>
      <fill>
        <patternFill patternType="solid">
          <bgColor rgb="FFFFC7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patternType="lightUp">
          <fgColor rgb="FFFF0000"/>
          <bgColor theme="0"/>
        </patternFill>
      </fill>
    </dxf>
    <dxf>
      <fill>
        <patternFill patternType="darkDown">
          <fgColor rgb="FFFF0000"/>
          <bgColor theme="0"/>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theme="0"/>
      </font>
    </dxf>
    <dxf>
      <font>
        <strike val="0"/>
        <color theme="0"/>
      </font>
    </dxf>
    <dxf>
      <font>
        <color indexed="19"/>
      </font>
      <fill>
        <patternFill patternType="solid">
          <bgColor rgb="FFFFC7CE"/>
        </patternFill>
      </fill>
    </dxf>
    <dxf>
      <font>
        <color rgb="FF006100"/>
      </font>
      <fill>
        <patternFill patternType="solid">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auto="1"/>
      </font>
      <fill>
        <patternFill>
          <bgColor theme="0"/>
        </patternFill>
      </fill>
    </dxf>
    <dxf>
      <font>
        <color theme="0"/>
      </font>
      <fill>
        <patternFill patternType="lightDown">
          <fgColor theme="0" tint="-0.14996795556505021"/>
          <bgColor theme="0"/>
        </patternFill>
      </fill>
    </dxf>
    <dxf>
      <fill>
        <patternFill>
          <bgColor rgb="FFFFFF00"/>
        </patternFill>
      </fill>
    </dxf>
    <dxf>
      <fill>
        <patternFill>
          <bgColor theme="5" tint="0.59996337778862885"/>
        </patternFill>
      </fill>
    </dxf>
    <dxf>
      <fill>
        <patternFill>
          <bgColor rgb="FFFF0000"/>
        </patternFill>
      </fill>
    </dxf>
    <dxf>
      <fill>
        <patternFill>
          <bgColor rgb="FFFF0000"/>
        </patternFill>
      </fill>
    </dxf>
    <dxf>
      <fill>
        <patternFill>
          <bgColor rgb="FFFF0000"/>
        </patternFill>
      </fill>
    </dxf>
    <dxf>
      <fill>
        <patternFill>
          <bgColor rgb="FFFFCDD4"/>
        </patternFill>
      </fill>
    </dxf>
    <dxf>
      <font>
        <b/>
        <i val="0"/>
        <color theme="0"/>
      </font>
      <fill>
        <patternFill>
          <bgColor rgb="FFFF0000"/>
        </patternFill>
      </fill>
    </dxf>
    <dxf>
      <fill>
        <patternFill>
          <bgColor rgb="FFFFCDD4"/>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1C8"/>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A6A6A6"/>
      <rgbColor rgb="0000CC00"/>
      <rgbColor rgb="00FF9900"/>
      <rgbColor rgb="00F2F2F2"/>
      <rgbColor rgb="00FF6600"/>
      <rgbColor rgb="00808080"/>
      <rgbColor rgb="00B9CDE5"/>
      <rgbColor rgb="00B3A2C7"/>
      <rgbColor rgb="00B6D7A8"/>
      <rgbColor rgb="00FFFF00"/>
      <rgbColor rgb="00FF0000"/>
      <rgbColor rgb="00000000"/>
      <rgbColor rgb="00D7E4BD"/>
      <rgbColor rgb="00BFBFBF"/>
      <rgbColor rgb="00D9D9D9"/>
      <rgbColor rgb="003C3B38"/>
      <rgbColor rgb="00404040"/>
      <rgbColor rgb="00CCCCCC"/>
      <rgbColor rgb="00FFFFFF"/>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E9D54"/>
      <color rgb="FF87C67C"/>
      <color rgb="FF64B656"/>
      <color rgb="FFFEBC8A"/>
      <color rgb="FF2002D4"/>
      <color rgb="FF55A648"/>
      <color rgb="FFFFFFB9"/>
      <color rgb="FFEE6901"/>
      <color rgb="FF99FFCC"/>
      <color rgb="FFFF65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0</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Calcs'!$B$24:$D$24</c:f>
              <c:numCache>
                <c:formatCode>0.00</c:formatCode>
                <c:ptCount val="3"/>
                <c:pt idx="0">
                  <c:v>0.8</c:v>
                </c:pt>
                <c:pt idx="1">
                  <c:v>0.3</c:v>
                </c:pt>
                <c:pt idx="2">
                  <c:v>0.1</c:v>
                </c:pt>
              </c:numCache>
            </c:numRef>
          </c:yVal>
          <c:smooth val="0"/>
          <c:extLst>
            <c:ext xmlns:c16="http://schemas.microsoft.com/office/drawing/2014/chart" uri="{C3380CC4-5D6E-409C-BE32-E72D297353CC}">
              <c16:uniqueId val="{00000000-AC66-42AD-B35F-CB136C3A887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Calcs'!$B$25:$D$25</c:f>
              <c:numCache>
                <c:formatCode>0.00</c:formatCode>
                <c:ptCount val="3"/>
                <c:pt idx="0">
                  <c:v>1.5</c:v>
                </c:pt>
                <c:pt idx="1">
                  <c:v>0.35</c:v>
                </c:pt>
                <c:pt idx="2">
                  <c:v>0.1</c:v>
                </c:pt>
              </c:numCache>
            </c:numRef>
          </c:yVal>
          <c:smooth val="0"/>
          <c:extLst>
            <c:ext xmlns:c16="http://schemas.microsoft.com/office/drawing/2014/chart" uri="{C3380CC4-5D6E-409C-BE32-E72D297353CC}">
              <c16:uniqueId val="{00000001-AC66-42AD-B35F-CB136C3A887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Calcs'!$B$26:$D$26</c:f>
              <c:numCache>
                <c:formatCode>0.00</c:formatCode>
                <c:ptCount val="3"/>
                <c:pt idx="0">
                  <c:v>2</c:v>
                </c:pt>
                <c:pt idx="1">
                  <c:v>0.45</c:v>
                </c:pt>
                <c:pt idx="2">
                  <c:v>0.15</c:v>
                </c:pt>
              </c:numCache>
            </c:numRef>
          </c:yVal>
          <c:smooth val="0"/>
          <c:extLst>
            <c:ext xmlns:c16="http://schemas.microsoft.com/office/drawing/2014/chart" uri="{C3380CC4-5D6E-409C-BE32-E72D297353CC}">
              <c16:uniqueId val="{00000002-AC66-42AD-B35F-CB136C3A887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Calcs'!$B$27:$D$27</c:f>
              <c:numCache>
                <c:formatCode>0.00</c:formatCode>
                <c:ptCount val="3"/>
                <c:pt idx="0">
                  <c:v>2.2999999999999998</c:v>
                </c:pt>
                <c:pt idx="1">
                  <c:v>0.5</c:v>
                </c:pt>
                <c:pt idx="2">
                  <c:v>0.15</c:v>
                </c:pt>
              </c:numCache>
            </c:numRef>
          </c:yVal>
          <c:smooth val="0"/>
          <c:extLst>
            <c:ext xmlns:c16="http://schemas.microsoft.com/office/drawing/2014/chart" uri="{C3380CC4-5D6E-409C-BE32-E72D297353CC}">
              <c16:uniqueId val="{00000003-AC66-42AD-B35F-CB136C3A887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250</c:v>
                </c:pt>
                <c:pt idx="1">
                  <c:v>250</c:v>
                </c:pt>
                <c:pt idx="2">
                  <c:v>250</c:v>
                </c:pt>
                <c:pt idx="3">
                  <c:v>250</c:v>
                </c:pt>
              </c:numCache>
            </c:numRef>
          </c:xVal>
          <c:yVal>
            <c:numRef>
              <c:f>'SEAOC PV2 Calcs'!$H$31:$H$34</c:f>
              <c:numCache>
                <c:formatCode>0.00</c:formatCode>
                <c:ptCount val="4"/>
                <c:pt idx="0">
                  <c:v>0.4219584855112144</c:v>
                </c:pt>
                <c:pt idx="1">
                  <c:v>0.54874627044856494</c:v>
                </c:pt>
                <c:pt idx="2">
                  <c:v>0.7051352634821223</c:v>
                </c:pt>
                <c:pt idx="3">
                  <c:v>0.82543910586641855</c:v>
                </c:pt>
              </c:numCache>
            </c:numRef>
          </c:yVal>
          <c:smooth val="0"/>
          <c:extLst>
            <c:ext xmlns:c16="http://schemas.microsoft.com/office/drawing/2014/chart" uri="{C3380CC4-5D6E-409C-BE32-E72D297353CC}">
              <c16:uniqueId val="{00000004-AC66-42AD-B35F-CB136C3A8878}"/>
            </c:ext>
          </c:extLst>
        </c:ser>
        <c:dLbls>
          <c:showLegendKey val="0"/>
          <c:showVal val="0"/>
          <c:showCatName val="0"/>
          <c:showSerName val="0"/>
          <c:showPercent val="0"/>
          <c:showBubbleSize val="0"/>
        </c:dLbls>
        <c:axId val="-1531166160"/>
        <c:axId val="-1531165072"/>
      </c:scatterChart>
      <c:valAx>
        <c:axId val="-1531166160"/>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5072"/>
        <c:crosses val="autoZero"/>
        <c:crossBetween val="midCat"/>
      </c:valAx>
      <c:valAx>
        <c:axId val="-153116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6160"/>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15</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35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Calcs'!$E$24:$G$24</c:f>
              <c:numCache>
                <c:formatCode>0.00</c:formatCode>
                <c:ptCount val="3"/>
                <c:pt idx="0">
                  <c:v>1.1000000000000001</c:v>
                </c:pt>
                <c:pt idx="1">
                  <c:v>0.5</c:v>
                </c:pt>
                <c:pt idx="2">
                  <c:v>0.25</c:v>
                </c:pt>
              </c:numCache>
            </c:numRef>
          </c:yVal>
          <c:smooth val="0"/>
          <c:extLst>
            <c:ext xmlns:c16="http://schemas.microsoft.com/office/drawing/2014/chart" uri="{C3380CC4-5D6E-409C-BE32-E72D297353CC}">
              <c16:uniqueId val="{00000000-A711-4014-98CB-279BB2D9016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Calcs'!$E$25:$G$25</c:f>
              <c:numCache>
                <c:formatCode>0.00</c:formatCode>
                <c:ptCount val="3"/>
                <c:pt idx="0">
                  <c:v>2</c:v>
                </c:pt>
                <c:pt idx="1">
                  <c:v>0.55000000000000004</c:v>
                </c:pt>
                <c:pt idx="2">
                  <c:v>0.3</c:v>
                </c:pt>
              </c:numCache>
            </c:numRef>
          </c:yVal>
          <c:smooth val="0"/>
          <c:extLst>
            <c:ext xmlns:c16="http://schemas.microsoft.com/office/drawing/2014/chart" uri="{C3380CC4-5D6E-409C-BE32-E72D297353CC}">
              <c16:uniqueId val="{00000001-A711-4014-98CB-279BB2D9016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Calcs'!$E$26:$G$26</c:f>
              <c:numCache>
                <c:formatCode>0.00</c:formatCode>
                <c:ptCount val="3"/>
                <c:pt idx="0">
                  <c:v>2.9</c:v>
                </c:pt>
                <c:pt idx="1">
                  <c:v>0.65</c:v>
                </c:pt>
                <c:pt idx="2">
                  <c:v>0.4</c:v>
                </c:pt>
              </c:numCache>
            </c:numRef>
          </c:yVal>
          <c:smooth val="0"/>
          <c:extLst>
            <c:ext xmlns:c16="http://schemas.microsoft.com/office/drawing/2014/chart" uri="{C3380CC4-5D6E-409C-BE32-E72D297353CC}">
              <c16:uniqueId val="{00000002-A711-4014-98CB-279BB2D9016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Calcs'!$E$27:$G$27</c:f>
              <c:numCache>
                <c:formatCode>0.00</c:formatCode>
                <c:ptCount val="3"/>
                <c:pt idx="0">
                  <c:v>3.5</c:v>
                </c:pt>
                <c:pt idx="1">
                  <c:v>0.8</c:v>
                </c:pt>
                <c:pt idx="2">
                  <c:v>0.5</c:v>
                </c:pt>
              </c:numCache>
            </c:numRef>
          </c:yVal>
          <c:smooth val="0"/>
          <c:extLst>
            <c:ext xmlns:c16="http://schemas.microsoft.com/office/drawing/2014/chart" uri="{C3380CC4-5D6E-409C-BE32-E72D297353CC}">
              <c16:uniqueId val="{00000003-A711-4014-98CB-279BB2D9016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250</c:v>
                </c:pt>
                <c:pt idx="1">
                  <c:v>250</c:v>
                </c:pt>
                <c:pt idx="2">
                  <c:v>250</c:v>
                </c:pt>
                <c:pt idx="3">
                  <c:v>250</c:v>
                </c:pt>
              </c:numCache>
            </c:numRef>
          </c:xVal>
          <c:yVal>
            <c:numRef>
              <c:f>'SEAOC PV2 Calcs'!$H$31:$H$34</c:f>
              <c:numCache>
                <c:formatCode>0.00</c:formatCode>
                <c:ptCount val="4"/>
                <c:pt idx="0">
                  <c:v>0.4219584855112144</c:v>
                </c:pt>
                <c:pt idx="1">
                  <c:v>0.54874627044856494</c:v>
                </c:pt>
                <c:pt idx="2">
                  <c:v>0.7051352634821223</c:v>
                </c:pt>
                <c:pt idx="3">
                  <c:v>0.82543910586641855</c:v>
                </c:pt>
              </c:numCache>
            </c:numRef>
          </c:yVal>
          <c:smooth val="0"/>
          <c:extLst>
            <c:ext xmlns:c16="http://schemas.microsoft.com/office/drawing/2014/chart" uri="{C3380CC4-5D6E-409C-BE32-E72D297353CC}">
              <c16:uniqueId val="{00000004-A711-4014-98CB-279BB2D90168}"/>
            </c:ext>
          </c:extLst>
        </c:ser>
        <c:dLbls>
          <c:showLegendKey val="0"/>
          <c:showVal val="0"/>
          <c:showCatName val="0"/>
          <c:showSerName val="0"/>
          <c:showPercent val="0"/>
          <c:showBubbleSize val="0"/>
        </c:dLbls>
        <c:axId val="-1531175952"/>
        <c:axId val="-1531174320"/>
      </c:scatterChart>
      <c:valAx>
        <c:axId val="-1531175952"/>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4320"/>
        <c:crosses val="autoZero"/>
        <c:crossBetween val="midCat"/>
      </c:valAx>
      <c:valAx>
        <c:axId val="-153117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5952"/>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Lines="2" dropStyle="combo" dx="22" fmlaLink="$K$2" fmlaRange="$S$1:$S$2" noThreeD="1" sel="2" val="0"/>
</file>

<file path=xl/drawings/_rels/drawing2.xml.rels><?xml version="1.0" encoding="UTF-8" standalone="yes"?>
<Relationships xmlns="http://schemas.openxmlformats.org/package/2006/relationships"><Relationship Id="rId3" Type="http://schemas.openxmlformats.org/officeDocument/2006/relationships/hyperlink" Target="https://earthquake.usgs.gov/designmaps/us/application.php" TargetMode="External"/><Relationship Id="rId2" Type="http://schemas.openxmlformats.org/officeDocument/2006/relationships/hyperlink" Target="https://hazards.atcouncil.org/" TargetMode="External"/><Relationship Id="rId1" Type="http://schemas.openxmlformats.org/officeDocument/2006/relationships/image" Target="../media/image1.png"/><Relationship Id="rId5" Type="http://schemas.openxmlformats.org/officeDocument/2006/relationships/image" Target="../media/image2.png"/><Relationship Id="rId4" Type="http://schemas.openxmlformats.org/officeDocument/2006/relationships/hyperlink" Target="http://www.designcriteriabyzip.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 Id="rId5" Type="http://schemas.openxmlformats.org/officeDocument/2006/relationships/image" Target="../media/image2.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emf"/></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5.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emf"/><Relationship Id="rId1" Type="http://schemas.openxmlformats.org/officeDocument/2006/relationships/image" Target="../media/image17.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10" Type="http://schemas.openxmlformats.org/officeDocument/2006/relationships/chart" Target="../charts/chart2.xml"/><Relationship Id="rId4" Type="http://schemas.openxmlformats.org/officeDocument/2006/relationships/image" Target="../media/image23.png"/><Relationship Id="rId9"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image" Target="../media/image2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xdr:from>
      <xdr:col>8</xdr:col>
      <xdr:colOff>285752</xdr:colOff>
      <xdr:row>84</xdr:row>
      <xdr:rowOff>136072</xdr:rowOff>
    </xdr:from>
    <xdr:to>
      <xdr:col>10</xdr:col>
      <xdr:colOff>1564823</xdr:colOff>
      <xdr:row>93</xdr:row>
      <xdr:rowOff>13608</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5661823" y="13852072"/>
          <a:ext cx="4313464" cy="1347107"/>
        </a:xfrm>
        <a:prstGeom prst="rect">
          <a:avLst/>
        </a:prstGeom>
        <a:solidFill>
          <a:schemeClr val="accent3">
            <a:lumMod val="40000"/>
            <a:lumOff val="6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ROWS 81-87,</a:t>
          </a:r>
          <a:r>
            <a:rPr lang="en-US" sz="1400" baseline="0"/>
            <a:t> 94-97</a:t>
          </a:r>
          <a:br>
            <a:rPr lang="en-US" sz="1400" baseline="0"/>
          </a:br>
          <a:br>
            <a:rPr lang="en-US" sz="1400" baseline="0"/>
          </a:br>
          <a:r>
            <a:rPr lang="en-US" sz="1400" baseline="0"/>
            <a:t>These are the un-hidden wind deflector values. equations in 2-Inputs reflect these text and price values.</a:t>
          </a:r>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47625</xdr:colOff>
      <xdr:row>41</xdr:row>
      <xdr:rowOff>59003</xdr:rowOff>
    </xdr:from>
    <xdr:to>
      <xdr:col>17</xdr:col>
      <xdr:colOff>666750</xdr:colOff>
      <xdr:row>43</xdr:row>
      <xdr:rowOff>257175</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77925" y="11822378"/>
          <a:ext cx="2114550" cy="769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419099</xdr:colOff>
      <xdr:row>27</xdr:row>
      <xdr:rowOff>28576</xdr:rowOff>
    </xdr:from>
    <xdr:to>
      <xdr:col>1</xdr:col>
      <xdr:colOff>1543050</xdr:colOff>
      <xdr:row>27</xdr:row>
      <xdr:rowOff>257176</xdr:rowOff>
    </xdr:to>
    <xdr:sp macro="" textlink="">
      <xdr:nvSpPr>
        <xdr:cNvPr id="3" name="TextBox 2">
          <a:hlinkClick xmlns:r="http://schemas.openxmlformats.org/officeDocument/2006/relationships" r:id="rId2"/>
          <a:extLst>
            <a:ext uri="{FF2B5EF4-FFF2-40B4-BE49-F238E27FC236}">
              <a16:creationId xmlns:a16="http://schemas.microsoft.com/office/drawing/2014/main" id="{00000000-0008-0000-0200-000003000000}"/>
            </a:ext>
          </a:extLst>
        </xdr:cNvPr>
        <xdr:cNvSpPr txBox="1"/>
      </xdr:nvSpPr>
      <xdr:spPr>
        <a:xfrm>
          <a:off x="1904999" y="8048626"/>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(ASCE7</a:t>
          </a:r>
          <a:r>
            <a:rPr lang="en-US" sz="1100" b="1" u="sng" baseline="0">
              <a:solidFill>
                <a:srgbClr val="2002D4"/>
              </a:solidFill>
            </a:rPr>
            <a:t> WIND)</a:t>
          </a:r>
          <a:endParaRPr lang="en-US" sz="1100" b="1" u="sng">
            <a:solidFill>
              <a:srgbClr val="2002D4"/>
            </a:solidFill>
          </a:endParaRPr>
        </a:p>
      </xdr:txBody>
    </xdr:sp>
    <xdr:clientData/>
  </xdr:twoCellAnchor>
  <xdr:twoCellAnchor>
    <xdr:from>
      <xdr:col>1</xdr:col>
      <xdr:colOff>419099</xdr:colOff>
      <xdr:row>31</xdr:row>
      <xdr:rowOff>19051</xdr:rowOff>
    </xdr:from>
    <xdr:to>
      <xdr:col>1</xdr:col>
      <xdr:colOff>1543050</xdr:colOff>
      <xdr:row>31</xdr:row>
      <xdr:rowOff>247651</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200-000006000000}"/>
            </a:ext>
          </a:extLst>
        </xdr:cNvPr>
        <xdr:cNvSpPr txBox="1"/>
      </xdr:nvSpPr>
      <xdr:spPr>
        <a:xfrm>
          <a:off x="1904999" y="9182101"/>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(USGS</a:t>
          </a:r>
          <a:r>
            <a:rPr lang="en-US" sz="1100" b="1" u="sng" baseline="0">
              <a:solidFill>
                <a:srgbClr val="2002D4"/>
              </a:solidFill>
            </a:rPr>
            <a:t> SEISMIC)</a:t>
          </a:r>
          <a:endParaRPr lang="en-US" sz="1100" b="1" u="sng">
            <a:solidFill>
              <a:srgbClr val="2002D4"/>
            </a:solidFill>
          </a:endParaRPr>
        </a:p>
      </xdr:txBody>
    </xdr:sp>
    <xdr:clientData/>
  </xdr:twoCellAnchor>
  <xdr:twoCellAnchor>
    <xdr:from>
      <xdr:col>1</xdr:col>
      <xdr:colOff>409574</xdr:colOff>
      <xdr:row>24</xdr:row>
      <xdr:rowOff>76201</xdr:rowOff>
    </xdr:from>
    <xdr:to>
      <xdr:col>2</xdr:col>
      <xdr:colOff>609600</xdr:colOff>
      <xdr:row>24</xdr:row>
      <xdr:rowOff>333375</xdr:rowOff>
    </xdr:to>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200-000005000000}"/>
            </a:ext>
          </a:extLst>
        </xdr:cNvPr>
        <xdr:cNvSpPr txBox="1"/>
      </xdr:nvSpPr>
      <xdr:spPr>
        <a:xfrm>
          <a:off x="1895474" y="7143751"/>
          <a:ext cx="1781176" cy="257174"/>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DesignCriteriaByZip.com</a:t>
          </a:r>
        </a:p>
      </xdr:txBody>
    </xdr:sp>
    <xdr:clientData/>
  </xdr:twoCellAnchor>
  <xdr:twoCellAnchor editAs="absolute">
    <xdr:from>
      <xdr:col>12</xdr:col>
      <xdr:colOff>338137</xdr:colOff>
      <xdr:row>0</xdr:row>
      <xdr:rowOff>47625</xdr:rowOff>
    </xdr:from>
    <xdr:to>
      <xdr:col>14</xdr:col>
      <xdr:colOff>157162</xdr:colOff>
      <xdr:row>3</xdr:row>
      <xdr:rowOff>85725</xdr:rowOff>
    </xdr:to>
    <xdr:pic macro="[0]!SendToSugarCRM">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2615862" y="4762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0</xdr:rowOff>
    </xdr:from>
    <xdr:to>
      <xdr:col>2</xdr:col>
      <xdr:colOff>133350</xdr:colOff>
      <xdr:row>0</xdr:row>
      <xdr:rowOff>301413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0"/>
          <a:ext cx="1828800" cy="3014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301969</xdr:colOff>
      <xdr:row>5</xdr:row>
      <xdr:rowOff>28228</xdr:rowOff>
    </xdr:from>
    <xdr:to>
      <xdr:col>1</xdr:col>
      <xdr:colOff>1318200</xdr:colOff>
      <xdr:row>5</xdr:row>
      <xdr:rowOff>258551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6793" y="734199"/>
          <a:ext cx="1016231" cy="230323"/>
        </a:xfrm>
        <a:prstGeom prst="rect">
          <a:avLst/>
        </a:prstGeom>
      </xdr:spPr>
    </xdr:pic>
    <xdr:clientData/>
  </xdr:twoCellAnchor>
  <xdr:twoCellAnchor editAs="oneCell">
    <xdr:from>
      <xdr:col>1</xdr:col>
      <xdr:colOff>0</xdr:colOff>
      <xdr:row>16</xdr:row>
      <xdr:rowOff>30080</xdr:rowOff>
    </xdr:from>
    <xdr:to>
      <xdr:col>1</xdr:col>
      <xdr:colOff>1888709</xdr:colOff>
      <xdr:row>16</xdr:row>
      <xdr:rowOff>258680</xdr:rowOff>
    </xdr:to>
    <xdr:pic>
      <xdr:nvPicPr>
        <xdr:cNvPr id="7" name="Picture 6" descr="ecofoothd logo">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820027"/>
          <a:ext cx="1888709"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389846</xdr:colOff>
      <xdr:row>26</xdr:row>
      <xdr:rowOff>54442</xdr:rowOff>
    </xdr:from>
    <xdr:to>
      <xdr:col>1</xdr:col>
      <xdr:colOff>1138327</xdr:colOff>
      <xdr:row>26</xdr:row>
      <xdr:rowOff>281499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stretch>
          <a:fillRect/>
        </a:stretch>
      </xdr:blipFill>
      <xdr:spPr>
        <a:xfrm>
          <a:off x="434670" y="5657383"/>
          <a:ext cx="748481" cy="227057"/>
        </a:xfrm>
        <a:prstGeom prst="rect">
          <a:avLst/>
        </a:prstGeom>
      </xdr:spPr>
    </xdr:pic>
    <xdr:clientData/>
  </xdr:twoCellAnchor>
  <xdr:twoCellAnchor editAs="oneCell">
    <xdr:from>
      <xdr:col>1</xdr:col>
      <xdr:colOff>339539</xdr:colOff>
      <xdr:row>31</xdr:row>
      <xdr:rowOff>123149</xdr:rowOff>
    </xdr:from>
    <xdr:to>
      <xdr:col>1</xdr:col>
      <xdr:colOff>1562411</xdr:colOff>
      <xdr:row>32</xdr:row>
      <xdr:rowOff>161249</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stretch>
          <a:fillRect/>
        </a:stretch>
      </xdr:blipFill>
      <xdr:spPr>
        <a:xfrm>
          <a:off x="384363" y="6476884"/>
          <a:ext cx="1222872" cy="228600"/>
        </a:xfrm>
        <a:prstGeom prst="rect">
          <a:avLst/>
        </a:prstGeom>
      </xdr:spPr>
    </xdr:pic>
    <xdr:clientData/>
  </xdr:twoCellAnchor>
  <xdr:twoCellAnchor editAs="absolute">
    <xdr:from>
      <xdr:col>16</xdr:col>
      <xdr:colOff>257175</xdr:colOff>
      <xdr:row>1</xdr:row>
      <xdr:rowOff>19050</xdr:rowOff>
    </xdr:from>
    <xdr:to>
      <xdr:col>17</xdr:col>
      <xdr:colOff>504825</xdr:colOff>
      <xdr:row>5</xdr:row>
      <xdr:rowOff>257175</xdr:rowOff>
    </xdr:to>
    <xdr:pic macro="[0]!SendToSugarCRM">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3554075" y="6667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1</xdr:row>
          <xdr:rowOff>9525</xdr:rowOff>
        </xdr:from>
        <xdr:to>
          <xdr:col>11</xdr:col>
          <xdr:colOff>323850</xdr:colOff>
          <xdr:row>2</xdr:row>
          <xdr:rowOff>142875</xdr:rowOff>
        </xdr:to>
        <xdr:sp macro="" textlink="">
          <xdr:nvSpPr>
            <xdr:cNvPr id="51204" name="Drop Down 4" hidden="1">
              <a:extLst>
                <a:ext uri="{63B3BB69-23CF-44E3-9099-C40C66FF867C}">
                  <a14:compatExt spid="_x0000_s51204"/>
                </a:ext>
                <a:ext uri="{FF2B5EF4-FFF2-40B4-BE49-F238E27FC236}">
                  <a16:creationId xmlns:a16="http://schemas.microsoft.com/office/drawing/2014/main" id="{00000000-0008-0000-06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190500</xdr:rowOff>
    </xdr:from>
    <xdr:to>
      <xdr:col>2</xdr:col>
      <xdr:colOff>161925</xdr:colOff>
      <xdr:row>0</xdr:row>
      <xdr:rowOff>491913</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90500"/>
          <a:ext cx="1828800" cy="3014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962025</xdr:colOff>
      <xdr:row>44</xdr:row>
      <xdr:rowOff>152399</xdr:rowOff>
    </xdr:from>
    <xdr:to>
      <xdr:col>20</xdr:col>
      <xdr:colOff>257175</xdr:colOff>
      <xdr:row>63</xdr:row>
      <xdr:rowOff>7143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382375" y="7848599"/>
          <a:ext cx="4572000" cy="313134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504447</xdr:colOff>
      <xdr:row>2</xdr:row>
      <xdr:rowOff>58614</xdr:rowOff>
    </xdr:from>
    <xdr:to>
      <xdr:col>14</xdr:col>
      <xdr:colOff>443279</xdr:colOff>
      <xdr:row>29</xdr:row>
      <xdr:rowOff>29306</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20005" y="380999"/>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28</xdr:col>
      <xdr:colOff>19050</xdr:colOff>
      <xdr:row>47</xdr:row>
      <xdr:rowOff>0</xdr:rowOff>
    </xdr:from>
    <xdr:to>
      <xdr:col>32</xdr:col>
      <xdr:colOff>285750</xdr:colOff>
      <xdr:row>63</xdr:row>
      <xdr:rowOff>159544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8611850" y="8562975"/>
          <a:ext cx="4572000" cy="31313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28575</xdr:colOff>
      <xdr:row>2</xdr:row>
      <xdr:rowOff>19050</xdr:rowOff>
    </xdr:from>
    <xdr:to>
      <xdr:col>14</xdr:col>
      <xdr:colOff>530847</xdr:colOff>
      <xdr:row>28</xdr:row>
      <xdr:rowOff>132617</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3475" y="34290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9525</xdr:colOff>
      <xdr:row>45</xdr:row>
      <xdr:rowOff>28575</xdr:rowOff>
    </xdr:from>
    <xdr:to>
      <xdr:col>20</xdr:col>
      <xdr:colOff>276225</xdr:colOff>
      <xdr:row>63</xdr:row>
      <xdr:rowOff>54769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1410950" y="7991475"/>
          <a:ext cx="4572000" cy="313134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2</xdr:row>
      <xdr:rowOff>38100</xdr:rowOff>
    </xdr:from>
    <xdr:to>
      <xdr:col>14</xdr:col>
      <xdr:colOff>540372</xdr:colOff>
      <xdr:row>28</xdr:row>
      <xdr:rowOff>144340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0" y="36195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161</xdr:col>
      <xdr:colOff>183901</xdr:colOff>
      <xdr:row>6</xdr:row>
      <xdr:rowOff>92680</xdr:rowOff>
    </xdr:from>
    <xdr:to>
      <xdr:col>164</xdr:col>
      <xdr:colOff>26295</xdr:colOff>
      <xdr:row>9</xdr:row>
      <xdr:rowOff>91734</xdr:rowOff>
    </xdr:to>
    <xdr:grpSp>
      <xdr:nvGrpSpPr>
        <xdr:cNvPr id="38" name="Group 37">
          <a:extLst>
            <a:ext uri="{FF2B5EF4-FFF2-40B4-BE49-F238E27FC236}">
              <a16:creationId xmlns:a16="http://schemas.microsoft.com/office/drawing/2014/main" id="{00000000-0008-0000-1500-000026000000}"/>
            </a:ext>
          </a:extLst>
        </xdr:cNvPr>
        <xdr:cNvGrpSpPr/>
      </xdr:nvGrpSpPr>
      <xdr:grpSpPr>
        <a:xfrm>
          <a:off x="36153765" y="1131771"/>
          <a:ext cx="517803" cy="518599"/>
          <a:chOff x="24228982" y="7423824"/>
          <a:chExt cx="499923" cy="510312"/>
        </a:xfrm>
      </xdr:grpSpPr>
      <xdr:cxnSp macro="">
        <xdr:nvCxnSpPr>
          <xdr:cNvPr id="22" name="Straight Arrow Connector 21">
            <a:extLst>
              <a:ext uri="{FF2B5EF4-FFF2-40B4-BE49-F238E27FC236}">
                <a16:creationId xmlns:a16="http://schemas.microsoft.com/office/drawing/2014/main" id="{00000000-0008-0000-1500-000016000000}"/>
              </a:ext>
            </a:extLst>
          </xdr:cNvPr>
          <xdr:cNvCxnSpPr/>
        </xdr:nvCxnSpPr>
        <xdr:spPr>
          <a:xfrm flipH="1" flipV="1">
            <a:off x="24228982" y="7423824"/>
            <a:ext cx="499923" cy="4515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3" name="Straight Arrow Connector 22">
            <a:extLst>
              <a:ext uri="{FF2B5EF4-FFF2-40B4-BE49-F238E27FC236}">
                <a16:creationId xmlns:a16="http://schemas.microsoft.com/office/drawing/2014/main" id="{00000000-0008-0000-1500-000017000000}"/>
              </a:ext>
            </a:extLst>
          </xdr:cNvPr>
          <xdr:cNvCxnSpPr/>
        </xdr:nvCxnSpPr>
        <xdr:spPr>
          <a:xfrm flipH="1">
            <a:off x="24256744" y="7888485"/>
            <a:ext cx="472160" cy="4565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159</xdr:col>
      <xdr:colOff>184675</xdr:colOff>
      <xdr:row>12</xdr:row>
      <xdr:rowOff>97757</xdr:rowOff>
    </xdr:from>
    <xdr:to>
      <xdr:col>164</xdr:col>
      <xdr:colOff>80603</xdr:colOff>
      <xdr:row>14</xdr:row>
      <xdr:rowOff>11</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35704266" y="2175939"/>
          <a:ext cx="1021610" cy="248617"/>
          <a:chOff x="23879044" y="8103579"/>
          <a:chExt cx="997782" cy="240381"/>
        </a:xfrm>
      </xdr:grpSpPr>
      <xdr:cxnSp macro="">
        <xdr:nvCxnSpPr>
          <xdr:cNvPr id="25" name="Straight Arrow Connector 24">
            <a:extLst>
              <a:ext uri="{FF2B5EF4-FFF2-40B4-BE49-F238E27FC236}">
                <a16:creationId xmlns:a16="http://schemas.microsoft.com/office/drawing/2014/main" id="{00000000-0008-0000-1500-000019000000}"/>
              </a:ext>
            </a:extLst>
          </xdr:cNvPr>
          <xdr:cNvCxnSpPr/>
        </xdr:nvCxnSpPr>
        <xdr:spPr>
          <a:xfrm flipH="1" flipV="1">
            <a:off x="23879044" y="8124828"/>
            <a:ext cx="983091" cy="219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8" name="Straight Arrow Connector 27">
            <a:extLst>
              <a:ext uri="{FF2B5EF4-FFF2-40B4-BE49-F238E27FC236}">
                <a16:creationId xmlns:a16="http://schemas.microsoft.com/office/drawing/2014/main" id="{00000000-0008-0000-1500-00001C000000}"/>
              </a:ext>
            </a:extLst>
          </xdr:cNvPr>
          <xdr:cNvCxnSpPr/>
        </xdr:nvCxnSpPr>
        <xdr:spPr>
          <a:xfrm flipH="1" flipV="1">
            <a:off x="24508558" y="8103579"/>
            <a:ext cx="368268" cy="23302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163</xdr:col>
      <xdr:colOff>29308</xdr:colOff>
      <xdr:row>5</xdr:row>
      <xdr:rowOff>156429</xdr:rowOff>
    </xdr:from>
    <xdr:to>
      <xdr:col>164</xdr:col>
      <xdr:colOff>209872</xdr:colOff>
      <xdr:row>6</xdr:row>
      <xdr:rowOff>43962</xdr:rowOff>
    </xdr:to>
    <xdr:cxnSp macro="">
      <xdr:nvCxnSpPr>
        <xdr:cNvPr id="42" name="Straight Arrow Connector 41">
          <a:extLst>
            <a:ext uri="{FF2B5EF4-FFF2-40B4-BE49-F238E27FC236}">
              <a16:creationId xmlns:a16="http://schemas.microsoft.com/office/drawing/2014/main" id="{00000000-0008-0000-1500-00002A000000}"/>
            </a:ext>
          </a:extLst>
        </xdr:cNvPr>
        <xdr:cNvCxnSpPr/>
      </xdr:nvCxnSpPr>
      <xdr:spPr>
        <a:xfrm flipH="1">
          <a:off x="28714212" y="7571275"/>
          <a:ext cx="400372" cy="560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171</xdr:col>
      <xdr:colOff>109904</xdr:colOff>
      <xdr:row>5</xdr:row>
      <xdr:rowOff>139212</xdr:rowOff>
    </xdr:from>
    <xdr:to>
      <xdr:col>173</xdr:col>
      <xdr:colOff>9525</xdr:colOff>
      <xdr:row>6</xdr:row>
      <xdr:rowOff>57150</xdr:rowOff>
    </xdr:to>
    <xdr:cxnSp macro="">
      <xdr:nvCxnSpPr>
        <xdr:cNvPr id="24" name="Straight Arrow Connector 23">
          <a:extLst>
            <a:ext uri="{FF2B5EF4-FFF2-40B4-BE49-F238E27FC236}">
              <a16:creationId xmlns:a16="http://schemas.microsoft.com/office/drawing/2014/main" id="{00000000-0008-0000-1500-000018000000}"/>
            </a:ext>
          </a:extLst>
        </xdr:cNvPr>
        <xdr:cNvCxnSpPr/>
      </xdr:nvCxnSpPr>
      <xdr:spPr>
        <a:xfrm>
          <a:off x="30553269" y="7554058"/>
          <a:ext cx="339237" cy="86457"/>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172</xdr:col>
      <xdr:colOff>16545</xdr:colOff>
      <xdr:row>7</xdr:row>
      <xdr:rowOff>68679</xdr:rowOff>
    </xdr:from>
    <xdr:to>
      <xdr:col>174</xdr:col>
      <xdr:colOff>134356</xdr:colOff>
      <xdr:row>10</xdr:row>
      <xdr:rowOff>39710</xdr:rowOff>
    </xdr:to>
    <xdr:grpSp>
      <xdr:nvGrpSpPr>
        <xdr:cNvPr id="30" name="Group 29">
          <a:extLst>
            <a:ext uri="{FF2B5EF4-FFF2-40B4-BE49-F238E27FC236}">
              <a16:creationId xmlns:a16="http://schemas.microsoft.com/office/drawing/2014/main" id="{00000000-0008-0000-1500-00001E000000}"/>
            </a:ext>
          </a:extLst>
        </xdr:cNvPr>
        <xdr:cNvGrpSpPr/>
      </xdr:nvGrpSpPr>
      <xdr:grpSpPr>
        <a:xfrm rot="8937385">
          <a:off x="38462909" y="1280952"/>
          <a:ext cx="568083" cy="490576"/>
          <a:chOff x="24271663" y="7583970"/>
          <a:chExt cx="564746" cy="483936"/>
        </a:xfrm>
      </xdr:grpSpPr>
      <xdr:cxnSp macro="">
        <xdr:nvCxnSpPr>
          <xdr:cNvPr id="31" name="Straight Arrow Connector 30">
            <a:extLst>
              <a:ext uri="{FF2B5EF4-FFF2-40B4-BE49-F238E27FC236}">
                <a16:creationId xmlns:a16="http://schemas.microsoft.com/office/drawing/2014/main" id="{00000000-0008-0000-1500-00001F000000}"/>
              </a:ext>
            </a:extLst>
          </xdr:cNvPr>
          <xdr:cNvCxnSpPr/>
        </xdr:nvCxnSpPr>
        <xdr:spPr>
          <a:xfrm rot="12662615">
            <a:off x="24454275" y="7583970"/>
            <a:ext cx="382134" cy="317150"/>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2" name="Straight Arrow Connector 31">
            <a:extLst>
              <a:ext uri="{FF2B5EF4-FFF2-40B4-BE49-F238E27FC236}">
                <a16:creationId xmlns:a16="http://schemas.microsoft.com/office/drawing/2014/main" id="{00000000-0008-0000-1500-000020000000}"/>
              </a:ext>
            </a:extLst>
          </xdr:cNvPr>
          <xdr:cNvCxnSpPr/>
        </xdr:nvCxnSpPr>
        <xdr:spPr>
          <a:xfrm rot="12662615" flipV="1">
            <a:off x="24271663" y="7861774"/>
            <a:ext cx="438798" cy="206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171</xdr:col>
      <xdr:colOff>161197</xdr:colOff>
      <xdr:row>12</xdr:row>
      <xdr:rowOff>91106</xdr:rowOff>
    </xdr:from>
    <xdr:to>
      <xdr:col>177</xdr:col>
      <xdr:colOff>49707</xdr:colOff>
      <xdr:row>13</xdr:row>
      <xdr:rowOff>131881</xdr:rowOff>
    </xdr:to>
    <xdr:grpSp>
      <xdr:nvGrpSpPr>
        <xdr:cNvPr id="33" name="Group 32">
          <a:extLst>
            <a:ext uri="{FF2B5EF4-FFF2-40B4-BE49-F238E27FC236}">
              <a16:creationId xmlns:a16="http://schemas.microsoft.com/office/drawing/2014/main" id="{00000000-0008-0000-1500-000021000000}"/>
            </a:ext>
          </a:extLst>
        </xdr:cNvPr>
        <xdr:cNvGrpSpPr/>
      </xdr:nvGrpSpPr>
      <xdr:grpSpPr>
        <a:xfrm>
          <a:off x="38382424" y="2169288"/>
          <a:ext cx="1239328" cy="213957"/>
          <a:chOff x="23139423" y="7802293"/>
          <a:chExt cx="1217284" cy="210623"/>
        </a:xfrm>
      </xdr:grpSpPr>
      <xdr:cxnSp macro="">
        <xdr:nvCxnSpPr>
          <xdr:cNvPr id="34" name="Straight Arrow Connector 33">
            <a:extLst>
              <a:ext uri="{FF2B5EF4-FFF2-40B4-BE49-F238E27FC236}">
                <a16:creationId xmlns:a16="http://schemas.microsoft.com/office/drawing/2014/main" id="{00000000-0008-0000-1500-000022000000}"/>
              </a:ext>
            </a:extLst>
          </xdr:cNvPr>
          <xdr:cNvCxnSpPr/>
        </xdr:nvCxnSpPr>
        <xdr:spPr>
          <a:xfrm flipV="1">
            <a:off x="23139423" y="7802293"/>
            <a:ext cx="588548" cy="19587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6" name="Straight Arrow Connector 35">
            <a:extLst>
              <a:ext uri="{FF2B5EF4-FFF2-40B4-BE49-F238E27FC236}">
                <a16:creationId xmlns:a16="http://schemas.microsoft.com/office/drawing/2014/main" id="{00000000-0008-0000-1500-000024000000}"/>
              </a:ext>
            </a:extLst>
          </xdr:cNvPr>
          <xdr:cNvCxnSpPr/>
        </xdr:nvCxnSpPr>
        <xdr:spPr>
          <a:xfrm flipV="1">
            <a:off x="23146806" y="7834448"/>
            <a:ext cx="1209901" cy="17846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61</xdr:col>
      <xdr:colOff>15688</xdr:colOff>
      <xdr:row>26</xdr:row>
      <xdr:rowOff>9251</xdr:rowOff>
    </xdr:from>
    <xdr:to>
      <xdr:col>89</xdr:col>
      <xdr:colOff>20730</xdr:colOff>
      <xdr:row>40</xdr:row>
      <xdr:rowOff>146280</xdr:rowOff>
    </xdr:to>
    <xdr:sp macro="" textlink="">
      <xdr:nvSpPr>
        <xdr:cNvPr id="45" name="TextBox 44">
          <a:extLst>
            <a:ext uri="{FF2B5EF4-FFF2-40B4-BE49-F238E27FC236}">
              <a16:creationId xmlns:a16="http://schemas.microsoft.com/office/drawing/2014/main" id="{00000000-0008-0000-1500-00002D000000}"/>
            </a:ext>
          </a:extLst>
        </xdr:cNvPr>
        <xdr:cNvSpPr txBox="1"/>
      </xdr:nvSpPr>
      <xdr:spPr>
        <a:xfrm>
          <a:off x="13686864" y="4379545"/>
          <a:ext cx="6280337" cy="2490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Aft>
              <a:spcPts val="600"/>
            </a:spcAft>
          </a:pPr>
          <a:r>
            <a:rPr lang="en-US" sz="1100" u="sng"/>
            <a:t>An explanation of variables:</a:t>
          </a:r>
        </a:p>
        <a:p>
          <a:pPr>
            <a:lnSpc>
              <a:spcPct val="100000"/>
            </a:lnSpc>
            <a:spcAft>
              <a:spcPts val="600"/>
            </a:spcAft>
          </a:pPr>
          <a:r>
            <a:rPr lang="en-US" sz="1100" i="1"/>
            <a:t>Asymmetric Lift Load Ratio: </a:t>
          </a:r>
          <a:r>
            <a:rPr lang="en-US" sz="1100"/>
            <a:t>This is a ratio describing the leverage created by EcoFoot base dimensions, module attachment location and location of center of ballast mass. Assessed as a multiplier on top of ballast distribution scheme in Image 4.</a:t>
          </a:r>
        </a:p>
        <a:p>
          <a:pPr>
            <a:lnSpc>
              <a:spcPct val="100000"/>
            </a:lnSpc>
            <a:spcAft>
              <a:spcPts val="600"/>
            </a:spcAft>
          </a:pPr>
          <a:r>
            <a:rPr lang="en-US" sz="1100" i="1"/>
            <a:t>dLF1= Dead Load of Module and Attributed Racking: </a:t>
          </a:r>
          <a:r>
            <a:rPr lang="en-US" sz="1100"/>
            <a:t>the weight of one module and hardware attributed to that module, not including ballast.</a:t>
          </a:r>
        </a:p>
        <a:p>
          <a:pPr>
            <a:lnSpc>
              <a:spcPct val="100000"/>
            </a:lnSpc>
            <a:spcAft>
              <a:spcPts val="600"/>
            </a:spcAft>
          </a:pPr>
          <a:r>
            <a:rPr lang="en-US" sz="1100" i="1"/>
            <a:t>Ala= Effective Lift Area of PV Module:</a:t>
          </a:r>
          <a:r>
            <a:rPr lang="en-US" sz="1100"/>
            <a:t> The surface area of a module projected onto the horizontal plane for lift calculations.</a:t>
          </a:r>
        </a:p>
        <a:p>
          <a:pPr>
            <a:lnSpc>
              <a:spcPct val="100000"/>
            </a:lnSpc>
            <a:spcAft>
              <a:spcPts val="600"/>
            </a:spcAft>
          </a:pPr>
          <a:r>
            <a:rPr lang="en-US" sz="1100" i="1"/>
            <a:t>Ada= Effective Drag Area of PV Module: </a:t>
          </a:r>
          <a:r>
            <a:rPr lang="en-US" sz="1100"/>
            <a:t>The surface area of a module projected onto the horizontal plane for drag calculations.</a:t>
          </a:r>
        </a:p>
        <a:p>
          <a:pPr>
            <a:lnSpc>
              <a:spcPct val="100000"/>
            </a:lnSpc>
            <a:spcAft>
              <a:spcPts val="600"/>
            </a:spcAft>
          </a:pPr>
          <a:r>
            <a:rPr lang="en-US" sz="1100" i="1"/>
            <a:t>qh= Velocity Pressure at height "h":</a:t>
          </a:r>
          <a:r>
            <a:rPr lang="en-US" sz="1100"/>
            <a:t> Calculation prescribed by ASCE7-05, eq. 6-15, and ASCE7-10, eq. 30.3-1 (subscript "h" used here for clarity, ASCE7 utilizes subscript "z").</a:t>
          </a:r>
        </a:p>
      </xdr:txBody>
    </xdr:sp>
    <xdr:clientData/>
  </xdr:twoCellAnchor>
  <xdr:twoCellAnchor editAs="oneCell">
    <xdr:from>
      <xdr:col>94</xdr:col>
      <xdr:colOff>155557</xdr:colOff>
      <xdr:row>40</xdr:row>
      <xdr:rowOff>82295</xdr:rowOff>
    </xdr:from>
    <xdr:to>
      <xdr:col>117</xdr:col>
      <xdr:colOff>87923</xdr:colOff>
      <xdr:row>55</xdr:row>
      <xdr:rowOff>153074</xdr:rowOff>
    </xdr:to>
    <xdr:pic>
      <xdr:nvPicPr>
        <xdr:cNvPr id="46" name="Picture 45">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41634" y="6823064"/>
          <a:ext cx="4987943" cy="2598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123</xdr:col>
      <xdr:colOff>58224</xdr:colOff>
      <xdr:row>14</xdr:row>
      <xdr:rowOff>93639</xdr:rowOff>
    </xdr:from>
    <xdr:to>
      <xdr:col>151</xdr:col>
      <xdr:colOff>183730</xdr:colOff>
      <xdr:row>17</xdr:row>
      <xdr:rowOff>112708</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239" b="83985"/>
        <a:stretch/>
      </xdr:blipFill>
      <xdr:spPr bwMode="auto">
        <a:xfrm>
          <a:off x="27403633" y="2518184"/>
          <a:ext cx="6429324" cy="538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155</xdr:col>
      <xdr:colOff>109903</xdr:colOff>
      <xdr:row>40</xdr:row>
      <xdr:rowOff>19887</xdr:rowOff>
    </xdr:from>
    <xdr:to>
      <xdr:col>155</xdr:col>
      <xdr:colOff>109903</xdr:colOff>
      <xdr:row>43</xdr:row>
      <xdr:rowOff>139212</xdr:rowOff>
    </xdr:to>
    <xdr:cxnSp macro="">
      <xdr:nvCxnSpPr>
        <xdr:cNvPr id="62" name="Straight Arrow Connector 61">
          <a:extLst>
            <a:ext uri="{FF2B5EF4-FFF2-40B4-BE49-F238E27FC236}">
              <a16:creationId xmlns:a16="http://schemas.microsoft.com/office/drawing/2014/main" id="{00000000-0008-0000-1500-00003E000000}"/>
            </a:ext>
          </a:extLst>
        </xdr:cNvPr>
        <xdr:cNvCxnSpPr/>
      </xdr:nvCxnSpPr>
      <xdr:spPr>
        <a:xfrm flipV="1">
          <a:off x="33945634" y="6255099"/>
          <a:ext cx="0" cy="624882"/>
        </a:xfrm>
        <a:prstGeom prst="straightConnector1">
          <a:avLst/>
        </a:prstGeom>
        <a:ln w="76200">
          <a:solidFill>
            <a:sysClr val="windowText" lastClr="000000"/>
          </a:solidFill>
          <a:tailEnd type="triangle"/>
        </a:ln>
        <a:effectLst/>
      </xdr:spPr>
      <xdr:style>
        <a:lnRef idx="2">
          <a:schemeClr val="dk1"/>
        </a:lnRef>
        <a:fillRef idx="0">
          <a:schemeClr val="dk1"/>
        </a:fillRef>
        <a:effectRef idx="1">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38</xdr:col>
      <xdr:colOff>47625</xdr:colOff>
      <xdr:row>35</xdr:row>
      <xdr:rowOff>114300</xdr:rowOff>
    </xdr:from>
    <xdr:to>
      <xdr:col>54</xdr:col>
      <xdr:colOff>1271</xdr:colOff>
      <xdr:row>52</xdr:row>
      <xdr:rowOff>165735</xdr:rowOff>
    </xdr:to>
    <xdr:pic>
      <xdr:nvPicPr>
        <xdr:cNvPr id="2" name="Picture 1">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26475" y="6115050"/>
          <a:ext cx="3458845" cy="2966085"/>
        </a:xfrm>
        <a:prstGeom prst="rect">
          <a:avLst/>
        </a:prstGeom>
        <a:noFill/>
        <a:ln>
          <a:noFill/>
        </a:ln>
      </xdr:spPr>
    </xdr:pic>
    <xdr:clientData/>
  </xdr:twoCellAnchor>
  <xdr:twoCellAnchor>
    <xdr:from>
      <xdr:col>36</xdr:col>
      <xdr:colOff>200025</xdr:colOff>
      <xdr:row>37</xdr:row>
      <xdr:rowOff>28575</xdr:rowOff>
    </xdr:from>
    <xdr:to>
      <xdr:col>40</xdr:col>
      <xdr:colOff>38735</xdr:colOff>
      <xdr:row>39</xdr:row>
      <xdr:rowOff>90170</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21040725" y="6372225"/>
          <a:ext cx="715010" cy="4044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50</xdr:col>
      <xdr:colOff>133985</xdr:colOff>
      <xdr:row>43</xdr:row>
      <xdr:rowOff>57150</xdr:rowOff>
    </xdr:from>
    <xdr:to>
      <xdr:col>53</xdr:col>
      <xdr:colOff>152400</xdr:colOff>
      <xdr:row>46</xdr:row>
      <xdr:rowOff>23495</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flipH="1">
          <a:off x="24041735" y="742950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52</xdr:col>
      <xdr:colOff>200660</xdr:colOff>
      <xdr:row>48</xdr:row>
      <xdr:rowOff>19050</xdr:rowOff>
    </xdr:from>
    <xdr:to>
      <xdr:col>56</xdr:col>
      <xdr:colOff>0</xdr:colOff>
      <xdr:row>50</xdr:row>
      <xdr:rowOff>156845</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flipH="1">
          <a:off x="24546560" y="824865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190190</xdr:colOff>
      <xdr:row>38</xdr:row>
      <xdr:rowOff>16570</xdr:rowOff>
    </xdr:from>
    <xdr:to>
      <xdr:col>13</xdr:col>
      <xdr:colOff>115304</xdr:colOff>
      <xdr:row>53</xdr:row>
      <xdr:rowOff>66922</xdr:rowOff>
    </xdr:to>
    <xdr:grpSp>
      <xdr:nvGrpSpPr>
        <xdr:cNvPr id="22" name="Group 21">
          <a:extLst>
            <a:ext uri="{FF2B5EF4-FFF2-40B4-BE49-F238E27FC236}">
              <a16:creationId xmlns:a16="http://schemas.microsoft.com/office/drawing/2014/main" id="{00000000-0008-0000-1800-000016000000}"/>
            </a:ext>
          </a:extLst>
        </xdr:cNvPr>
        <xdr:cNvGrpSpPr/>
      </xdr:nvGrpSpPr>
      <xdr:grpSpPr>
        <a:xfrm>
          <a:off x="190190" y="6597479"/>
          <a:ext cx="2851887" cy="2648079"/>
          <a:chOff x="190190" y="6922195"/>
          <a:chExt cx="2788567" cy="2639961"/>
        </a:xfrm>
      </xdr:grpSpPr>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190" y="6922195"/>
            <a:ext cx="2788567" cy="1677896"/>
          </a:xfrm>
          <a:prstGeom prst="rect">
            <a:avLst/>
          </a:prstGeom>
          <a:ln w="3175">
            <a:solidFill>
              <a:schemeClr val="tx1"/>
            </a:solidFill>
          </a:ln>
        </xdr:spPr>
      </xdr:pic>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flipH="1" flipV="1">
            <a:off x="1483971" y="7982114"/>
            <a:ext cx="45983" cy="896047"/>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7" name="Straight Connector 6">
            <a:extLst>
              <a:ext uri="{FF2B5EF4-FFF2-40B4-BE49-F238E27FC236}">
                <a16:creationId xmlns:a16="http://schemas.microsoft.com/office/drawing/2014/main" id="{00000000-0008-0000-1800-000007000000}"/>
              </a:ext>
            </a:extLst>
          </xdr:cNvPr>
          <xdr:cNvCxnSpPr/>
        </xdr:nvCxnSpPr>
        <xdr:spPr>
          <a:xfrm flipH="1" flipV="1">
            <a:off x="1026814" y="8054373"/>
            <a:ext cx="52551" cy="1169071"/>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8" name="Straight Connector 7">
            <a:extLst>
              <a:ext uri="{FF2B5EF4-FFF2-40B4-BE49-F238E27FC236}">
                <a16:creationId xmlns:a16="http://schemas.microsoft.com/office/drawing/2014/main" id="{00000000-0008-0000-1800-000008000000}"/>
              </a:ext>
            </a:extLst>
          </xdr:cNvPr>
          <xdr:cNvCxnSpPr/>
        </xdr:nvCxnSpPr>
        <xdr:spPr>
          <a:xfrm flipH="1" flipV="1">
            <a:off x="380386" y="8353672"/>
            <a:ext cx="42903" cy="1208484"/>
          </a:xfrm>
          <a:prstGeom prst="line">
            <a:avLst/>
          </a:prstGeom>
        </xdr:spPr>
        <xdr:style>
          <a:lnRef idx="2">
            <a:schemeClr val="accent3"/>
          </a:lnRef>
          <a:fillRef idx="0">
            <a:schemeClr val="accent3"/>
          </a:fillRef>
          <a:effectRef idx="1">
            <a:schemeClr val="accent3"/>
          </a:effectRef>
          <a:fontRef idx="minor">
            <a:schemeClr val="tx1"/>
          </a:fontRef>
        </xdr:style>
      </xdr:cxnSp>
    </xdr:grpSp>
    <xdr:clientData/>
  </xdr:twoCellAnchor>
  <xdr:twoCellAnchor>
    <xdr:from>
      <xdr:col>13</xdr:col>
      <xdr:colOff>205538</xdr:colOff>
      <xdr:row>38</xdr:row>
      <xdr:rowOff>14988</xdr:rowOff>
    </xdr:from>
    <xdr:to>
      <xdr:col>30</xdr:col>
      <xdr:colOff>177361</xdr:colOff>
      <xdr:row>55</xdr:row>
      <xdr:rowOff>169237</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3132311" y="6595897"/>
          <a:ext cx="3816459" cy="3098340"/>
          <a:chOff x="3068991" y="7629031"/>
          <a:chExt cx="3746104" cy="3089140"/>
        </a:xfrm>
      </xdr:grpSpPr>
      <xdr:pic>
        <xdr:nvPicPr>
          <xdr:cNvPr id="12" name="Picture 11">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73660" y="7629031"/>
            <a:ext cx="3713846" cy="3018528"/>
          </a:xfrm>
          <a:prstGeom prst="rect">
            <a:avLst/>
          </a:prstGeom>
          <a:noFill/>
          <a:ln w="3175">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3" name="Rectangle 12">
            <a:extLst>
              <a:ext uri="{FF2B5EF4-FFF2-40B4-BE49-F238E27FC236}">
                <a16:creationId xmlns:a16="http://schemas.microsoft.com/office/drawing/2014/main" id="{00000000-0008-0000-1800-00000D000000}"/>
              </a:ext>
            </a:extLst>
          </xdr:cNvPr>
          <xdr:cNvSpPr/>
        </xdr:nvSpPr>
        <xdr:spPr>
          <a:xfrm>
            <a:off x="5388398" y="10118259"/>
            <a:ext cx="142669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4" name="Rectangle 13">
            <a:extLst>
              <a:ext uri="{FF2B5EF4-FFF2-40B4-BE49-F238E27FC236}">
                <a16:creationId xmlns:a16="http://schemas.microsoft.com/office/drawing/2014/main" id="{00000000-0008-0000-1800-00000E000000}"/>
              </a:ext>
            </a:extLst>
          </xdr:cNvPr>
          <xdr:cNvSpPr/>
        </xdr:nvSpPr>
        <xdr:spPr>
          <a:xfrm>
            <a:off x="3952957" y="10119573"/>
            <a:ext cx="143018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6" name="Rectangle 15">
            <a:extLst>
              <a:ext uri="{FF2B5EF4-FFF2-40B4-BE49-F238E27FC236}">
                <a16:creationId xmlns:a16="http://schemas.microsoft.com/office/drawing/2014/main" id="{00000000-0008-0000-1800-000010000000}"/>
              </a:ext>
            </a:extLst>
          </xdr:cNvPr>
          <xdr:cNvSpPr/>
        </xdr:nvSpPr>
        <xdr:spPr>
          <a:xfrm>
            <a:off x="5388156" y="9225150"/>
            <a:ext cx="1426697" cy="852763"/>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7" name="Rectangle 16">
            <a:extLst>
              <a:ext uri="{FF2B5EF4-FFF2-40B4-BE49-F238E27FC236}">
                <a16:creationId xmlns:a16="http://schemas.microsoft.com/office/drawing/2014/main" id="{00000000-0008-0000-1800-000011000000}"/>
              </a:ext>
            </a:extLst>
          </xdr:cNvPr>
          <xdr:cNvSpPr/>
        </xdr:nvSpPr>
        <xdr:spPr>
          <a:xfrm>
            <a:off x="4068331" y="9240189"/>
            <a:ext cx="1296826" cy="839734"/>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a:xfrm>
            <a:off x="5682783" y="7973848"/>
            <a:ext cx="1071744"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a:xfrm>
            <a:off x="4410919" y="7990896"/>
            <a:ext cx="1296826"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a:xfrm>
            <a:off x="3086312" y="8886369"/>
            <a:ext cx="1301839" cy="38902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a:xfrm>
            <a:off x="3068991" y="7995092"/>
            <a:ext cx="1341219" cy="889790"/>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20</xdr:col>
      <xdr:colOff>23813</xdr:colOff>
      <xdr:row>56</xdr:row>
      <xdr:rowOff>0</xdr:rowOff>
    </xdr:from>
    <xdr:to>
      <xdr:col>21</xdr:col>
      <xdr:colOff>178593</xdr:colOff>
      <xdr:row>57</xdr:row>
      <xdr:rowOff>95250</xdr:rowOff>
    </xdr:to>
    <xdr:cxnSp macro="">
      <xdr:nvCxnSpPr>
        <xdr:cNvPr id="24" name="Straight Connector 23">
          <a:extLst>
            <a:ext uri="{FF2B5EF4-FFF2-40B4-BE49-F238E27FC236}">
              <a16:creationId xmlns:a16="http://schemas.microsoft.com/office/drawing/2014/main" id="{00000000-0008-0000-1800-000018000000}"/>
            </a:ext>
          </a:extLst>
        </xdr:cNvPr>
        <xdr:cNvCxnSpPr/>
      </xdr:nvCxnSpPr>
      <xdr:spPr>
        <a:xfrm flipV="1">
          <a:off x="4458891" y="10013156"/>
          <a:ext cx="375046" cy="267891"/>
        </a:xfrm>
        <a:prstGeom prst="line">
          <a:avLst/>
        </a:prstGeom>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18</xdr:col>
      <xdr:colOff>207064</xdr:colOff>
      <xdr:row>4</xdr:row>
      <xdr:rowOff>38100</xdr:rowOff>
    </xdr:from>
    <xdr:to>
      <xdr:col>27</xdr:col>
      <xdr:colOff>279537</xdr:colOff>
      <xdr:row>10</xdr:row>
      <xdr:rowOff>37492</xdr:rowOff>
    </xdr:to>
    <xdr:grpSp>
      <xdr:nvGrpSpPr>
        <xdr:cNvPr id="2" name="Group 1">
          <a:extLst>
            <a:ext uri="{FF2B5EF4-FFF2-40B4-BE49-F238E27FC236}">
              <a16:creationId xmlns:a16="http://schemas.microsoft.com/office/drawing/2014/main" id="{00000000-0008-0000-1900-000002000000}"/>
            </a:ext>
          </a:extLst>
        </xdr:cNvPr>
        <xdr:cNvGrpSpPr>
          <a:grpSpLocks/>
        </xdr:cNvGrpSpPr>
      </xdr:nvGrpSpPr>
      <xdr:grpSpPr>
        <a:xfrm>
          <a:off x="14806291" y="973282"/>
          <a:ext cx="5545019" cy="1558028"/>
          <a:chOff x="-85725" y="90488"/>
          <a:chExt cx="6072188" cy="2153601"/>
        </a:xfrm>
      </xdr:grpSpPr>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52" r="5"/>
          <a:stretch/>
        </xdr:blipFill>
        <xdr:spPr bwMode="auto">
          <a:xfrm>
            <a:off x="-85725" y="176212"/>
            <a:ext cx="5943289" cy="2067877"/>
          </a:xfrm>
          <a:prstGeom prst="rect">
            <a:avLst/>
          </a:prstGeom>
          <a:noFill/>
          <a:ln>
            <a:noFill/>
          </a:ln>
        </xdr:spPr>
      </xdr:pic>
      <xdr:sp macro="" textlink="">
        <xdr:nvSpPr>
          <xdr:cNvPr id="4" name="Freeform 3">
            <a:extLst>
              <a:ext uri="{FF2B5EF4-FFF2-40B4-BE49-F238E27FC236}">
                <a16:creationId xmlns:a16="http://schemas.microsoft.com/office/drawing/2014/main" id="{00000000-0008-0000-1900-000004000000}"/>
              </a:ext>
            </a:extLst>
          </xdr:cNvPr>
          <xdr:cNvSpPr/>
        </xdr:nvSpPr>
        <xdr:spPr>
          <a:xfrm>
            <a:off x="5881688" y="90488"/>
            <a:ext cx="104775" cy="2143496"/>
          </a:xfrm>
          <a:custGeom>
            <a:avLst/>
            <a:gdLst>
              <a:gd name="connsiteX0" fmla="*/ 923 w 357182"/>
              <a:gd name="connsiteY0" fmla="*/ 0 h 2143496"/>
              <a:gd name="connsiteX1" fmla="*/ 357182 w 357182"/>
              <a:gd name="connsiteY1" fmla="*/ 611579 h 2143496"/>
              <a:gd name="connsiteX2" fmla="*/ 923 w 357182"/>
              <a:gd name="connsiteY2" fmla="*/ 1229096 h 2143496"/>
              <a:gd name="connsiteX3" fmla="*/ 250305 w 357182"/>
              <a:gd name="connsiteY3" fmla="*/ 2143496 h 2143496"/>
            </a:gdLst>
            <a:ahLst/>
            <a:cxnLst>
              <a:cxn ang="0">
                <a:pos x="connsiteX0" y="connsiteY0"/>
              </a:cxn>
              <a:cxn ang="0">
                <a:pos x="connsiteX1" y="connsiteY1"/>
              </a:cxn>
              <a:cxn ang="0">
                <a:pos x="connsiteX2" y="connsiteY2"/>
              </a:cxn>
              <a:cxn ang="0">
                <a:pos x="connsiteX3" y="connsiteY3"/>
              </a:cxn>
            </a:cxnLst>
            <a:rect l="l" t="t" r="r" b="b"/>
            <a:pathLst>
              <a:path w="357182" h="2143496">
                <a:moveTo>
                  <a:pt x="923" y="0"/>
                </a:moveTo>
                <a:cubicBezTo>
                  <a:pt x="179052" y="203365"/>
                  <a:pt x="357182" y="406730"/>
                  <a:pt x="357182" y="611579"/>
                </a:cubicBezTo>
                <a:cubicBezTo>
                  <a:pt x="357182" y="816428"/>
                  <a:pt x="18736" y="973777"/>
                  <a:pt x="923" y="1229096"/>
                </a:cubicBezTo>
                <a:cubicBezTo>
                  <a:pt x="-16890" y="1484415"/>
                  <a:pt x="228534" y="2037608"/>
                  <a:pt x="250305" y="2143496"/>
                </a:cubicBezTo>
              </a:path>
            </a:pathLst>
          </a:custGeom>
          <a:noFill/>
          <a:ln w="38100" cap="flat" cmpd="sng" algn="ctr">
            <a:solidFill>
              <a:srgbClr val="4F81BD">
                <a:shade val="50000"/>
              </a:srgbClr>
            </a:solid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oneCellAnchor>
    <xdr:from>
      <xdr:col>20</xdr:col>
      <xdr:colOff>33130</xdr:colOff>
      <xdr:row>20</xdr:row>
      <xdr:rowOff>150744</xdr:rowOff>
    </xdr:from>
    <xdr:ext cx="3078780" cy="1763781"/>
    <xdr:pic>
      <xdr:nvPicPr>
        <xdr:cNvPr id="5" name="Picture 4">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888239" y="5335657"/>
          <a:ext cx="3078780" cy="1763781"/>
        </a:xfrm>
        <a:prstGeom prst="rect">
          <a:avLst/>
        </a:prstGeom>
        <a:noFill/>
        <a:ln>
          <a:noFill/>
        </a:ln>
      </xdr:spPr>
    </xdr:pic>
    <xdr:clientData/>
  </xdr:oneCellAnchor>
  <xdr:oneCellAnchor>
    <xdr:from>
      <xdr:col>32</xdr:col>
      <xdr:colOff>938420</xdr:colOff>
      <xdr:row>38</xdr:row>
      <xdr:rowOff>0</xdr:rowOff>
    </xdr:from>
    <xdr:ext cx="65" cy="172227"/>
    <xdr:sp macro="" textlink="">
      <xdr:nvSpPr>
        <xdr:cNvPr id="7" name="TextBox 6">
          <a:extLst>
            <a:ext uri="{FF2B5EF4-FFF2-40B4-BE49-F238E27FC236}">
              <a16:creationId xmlns:a16="http://schemas.microsoft.com/office/drawing/2014/main" id="{00000000-0008-0000-1900-000007000000}"/>
            </a:ext>
          </a:extLst>
        </xdr:cNvPr>
        <xdr:cNvSpPr txBox="1"/>
      </xdr:nvSpPr>
      <xdr:spPr>
        <a:xfrm>
          <a:off x="20112245" y="438439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32</xdr:col>
      <xdr:colOff>371179</xdr:colOff>
      <xdr:row>24</xdr:row>
      <xdr:rowOff>40317</xdr:rowOff>
    </xdr:from>
    <xdr:ext cx="1456104" cy="219163"/>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a:rPr lang="en-US" sz="1400" i="1">
                            <a:solidFill>
                              <a:schemeClr val="tx1"/>
                            </a:solidFill>
                            <a:effectLst/>
                            <a:latin typeface="Cambria Math" panose="02040503050406030204" pitchFamily="18" charset="0"/>
                            <a:ea typeface="+mn-ea"/>
                            <a:cs typeface="+mn-cs"/>
                          </a:rPr>
                          <m:t>𝑛𝑒𝑡</m:t>
                        </m:r>
                      </m:sub>
                    </m:sSub>
                    <m:r>
                      <a:rPr lang="en-US" sz="1400" i="1">
                        <a:solidFill>
                          <a:schemeClr val="tx1"/>
                        </a:solidFill>
                        <a:effectLst/>
                        <a:latin typeface="Cambria Math" panose="02040503050406030204" pitchFamily="18" charset="0"/>
                        <a:ea typeface="+mn-ea"/>
                        <a:cs typeface="+mn-cs"/>
                      </a:rPr>
                      <m:t>=</m:t>
                    </m:r>
                    <m:r>
                      <m:rPr>
                        <m:sty m:val="p"/>
                      </m:rPr>
                      <a:rPr lang="en-US" sz="1400">
                        <a:solidFill>
                          <a:schemeClr val="tx1"/>
                        </a:solidFill>
                        <a:effectLst/>
                        <a:latin typeface="Cambria Math" panose="02040503050406030204" pitchFamily="18" charset="0"/>
                        <a:ea typeface="+mn-ea"/>
                        <a:cs typeface="+mn-cs"/>
                      </a:rPr>
                      <m:t>λ</m:t>
                    </m:r>
                    <m:sSub>
                      <m:sSubPr>
                        <m:ctrlPr>
                          <a:rPr lang="en-US" sz="1400" i="1">
                            <a:solidFill>
                              <a:schemeClr val="tx1"/>
                            </a:solidFill>
                            <a:effectLst/>
                            <a:latin typeface="Cambria Math" panose="02040503050406030204" pitchFamily="18" charset="0"/>
                            <a:ea typeface="+mn-ea"/>
                            <a:cs typeface="+mn-cs"/>
                          </a:rPr>
                        </m:ctrlPr>
                      </m:sSubPr>
                      <m:e>
                        <m:r>
                          <m:rPr>
                            <m:sty m:val="p"/>
                          </m:rPr>
                          <a:rPr lang="en-US" sz="1400">
                            <a:solidFill>
                              <a:schemeClr val="tx1"/>
                            </a:solidFill>
                            <a:effectLst/>
                            <a:latin typeface="Cambria Math" panose="02040503050406030204" pitchFamily="18" charset="0"/>
                            <a:ea typeface="+mn-ea"/>
                            <a:cs typeface="+mn-cs"/>
                          </a:rPr>
                          <m:t>K</m:t>
                        </m:r>
                      </m:e>
                      <m:sub>
                        <m:r>
                          <m:rPr>
                            <m:sty m:val="p"/>
                          </m:rPr>
                          <a:rPr lang="en-US" sz="1400">
                            <a:solidFill>
                              <a:schemeClr val="tx1"/>
                            </a:solidFill>
                            <a:effectLst/>
                            <a:latin typeface="Cambria Math" panose="02040503050406030204" pitchFamily="18" charset="0"/>
                            <a:ea typeface="+mn-ea"/>
                            <a:cs typeface="+mn-cs"/>
                          </a:rPr>
                          <m:t>zt</m:t>
                        </m:r>
                      </m:sub>
                    </m:sSub>
                    <m:r>
                      <a:rPr lang="en-US" sz="1400" b="0" i="1">
                        <a:solidFill>
                          <a:schemeClr val="tx1"/>
                        </a:solidFill>
                        <a:effectLst/>
                        <a:latin typeface="Cambria Math" panose="02040503050406030204" pitchFamily="18" charset="0"/>
                        <a:ea typeface="+mn-ea"/>
                        <a:cs typeface="+mn-cs"/>
                      </a:rPr>
                      <m:t>𝐼</m:t>
                    </m:r>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m:rPr>
                            <m:sty m:val="p"/>
                          </m:rPr>
                          <a:rPr lang="en-US" sz="1400">
                            <a:solidFill>
                              <a:schemeClr val="tx1"/>
                            </a:solidFill>
                            <a:effectLst/>
                            <a:latin typeface="Cambria Math" panose="02040503050406030204" pitchFamily="18" charset="0"/>
                            <a:ea typeface="+mn-ea"/>
                            <a:cs typeface="+mn-cs"/>
                          </a:rPr>
                          <m:t>net</m:t>
                        </m:r>
                        <m:r>
                          <a:rPr lang="en-US" sz="1400">
                            <a:solidFill>
                              <a:schemeClr val="tx1"/>
                            </a:solidFill>
                            <a:effectLst/>
                            <a:latin typeface="Cambria Math" panose="02040503050406030204" pitchFamily="18" charset="0"/>
                            <a:ea typeface="+mn-ea"/>
                            <a:cs typeface="+mn-cs"/>
                          </a:rPr>
                          <m:t>30</m:t>
                        </m:r>
                      </m:sub>
                    </m:sSub>
                  </m:oMath>
                </m:oMathPara>
              </a14:m>
              <a:endParaRPr lang="en-US" sz="1100"/>
            </a:p>
          </xdr:txBody>
        </xdr:sp>
      </mc:Choice>
      <mc:Fallback xmlns="">
        <xdr:sp macro="" textlink="">
          <xdr:nvSpPr>
            <xdr:cNvPr id="8" name="TextBox 7"/>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i="0">
                  <a:solidFill>
                    <a:schemeClr val="tx1"/>
                  </a:solidFill>
                  <a:effectLst/>
                  <a:latin typeface="Cambria Math" panose="02040503050406030204" pitchFamily="18" charset="0"/>
                  <a:ea typeface="+mn-ea"/>
                  <a:cs typeface="+mn-cs"/>
                </a:rPr>
                <a:t>𝑃_𝑛𝑒𝑡=λK_zt</a:t>
              </a:r>
              <a:r>
                <a:rPr lang="en-US" sz="1400" b="0" i="0">
                  <a:solidFill>
                    <a:schemeClr val="tx1"/>
                  </a:solidFill>
                  <a:effectLst/>
                  <a:latin typeface="Cambria Math" panose="02040503050406030204" pitchFamily="18" charset="0"/>
                  <a:ea typeface="+mn-ea"/>
                  <a:cs typeface="+mn-cs"/>
                </a:rPr>
                <a:t> 𝐼</a:t>
              </a:r>
              <a:r>
                <a:rPr lang="en-US" sz="1400" i="0">
                  <a:solidFill>
                    <a:schemeClr val="tx1"/>
                  </a:solidFill>
                  <a:effectLst/>
                  <a:latin typeface="Cambria Math" panose="02040503050406030204" pitchFamily="18" charset="0"/>
                  <a:ea typeface="+mn-ea"/>
                  <a:cs typeface="+mn-cs"/>
                </a:rPr>
                <a:t>𝑃_net30</a:t>
              </a:r>
              <a:endParaRPr lang="en-US" sz="1100"/>
            </a:p>
          </xdr:txBody>
        </xdr:sp>
      </mc:Fallback>
    </mc:AlternateContent>
    <xdr:clientData/>
  </xdr:oneCellAnchor>
  <xdr:oneCellAnchor>
    <xdr:from>
      <xdr:col>22</xdr:col>
      <xdr:colOff>611256</xdr:colOff>
      <xdr:row>34</xdr:row>
      <xdr:rowOff>184703</xdr:rowOff>
    </xdr:from>
    <xdr:ext cx="65" cy="172227"/>
    <xdr:sp macro="" textlink="">
      <xdr:nvSpPr>
        <xdr:cNvPr id="9" name="TextBox 8">
          <a:extLst>
            <a:ext uri="{FF2B5EF4-FFF2-40B4-BE49-F238E27FC236}">
              <a16:creationId xmlns:a16="http://schemas.microsoft.com/office/drawing/2014/main" id="{00000000-0008-0000-1900-000009000000}"/>
            </a:ext>
          </a:extLst>
        </xdr:cNvPr>
        <xdr:cNvSpPr txBox="1"/>
      </xdr:nvSpPr>
      <xdr:spPr>
        <a:xfrm>
          <a:off x="17714843" y="90802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baseline="-25000"/>
        </a:p>
      </xdr:txBody>
    </xdr:sp>
    <xdr:clientData/>
  </xdr:oneCellAnchor>
  <xdr:twoCellAnchor>
    <xdr:from>
      <xdr:col>19</xdr:col>
      <xdr:colOff>331304</xdr:colOff>
      <xdr:row>35</xdr:row>
      <xdr:rowOff>198783</xdr:rowOff>
    </xdr:from>
    <xdr:to>
      <xdr:col>25</xdr:col>
      <xdr:colOff>483704</xdr:colOff>
      <xdr:row>37</xdr:row>
      <xdr:rowOff>19464</xdr:rowOff>
    </xdr:to>
    <xdr:pic>
      <xdr:nvPicPr>
        <xdr:cNvPr id="10" name="Picture 9">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587869" y="9359348"/>
          <a:ext cx="3838161" cy="35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1666875</xdr:colOff>
      <xdr:row>4</xdr:row>
      <xdr:rowOff>9525</xdr:rowOff>
    </xdr:to>
    <xdr:pic>
      <xdr:nvPicPr>
        <xdr:cNvPr id="182876" name="Picture 3">
          <a:extLst>
            <a:ext uri="{FF2B5EF4-FFF2-40B4-BE49-F238E27FC236}">
              <a16:creationId xmlns:a16="http://schemas.microsoft.com/office/drawing/2014/main" id="{00000000-0008-0000-1C00-00005CCA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81375" y="485775"/>
          <a:ext cx="16668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1066800</xdr:colOff>
      <xdr:row>9</xdr:row>
      <xdr:rowOff>152400</xdr:rowOff>
    </xdr:from>
    <xdr:to>
      <xdr:col>4</xdr:col>
      <xdr:colOff>57150</xdr:colOff>
      <xdr:row>11</xdr:row>
      <xdr:rowOff>47625</xdr:rowOff>
    </xdr:to>
    <xdr:pic>
      <xdr:nvPicPr>
        <xdr:cNvPr id="182877" name="Picture 5">
          <a:extLst>
            <a:ext uri="{FF2B5EF4-FFF2-40B4-BE49-F238E27FC236}">
              <a16:creationId xmlns:a16="http://schemas.microsoft.com/office/drawing/2014/main" id="{00000000-0008-0000-1C00-00005DCA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8175" y="1609725"/>
          <a:ext cx="8953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15</xdr:row>
      <xdr:rowOff>152400</xdr:rowOff>
    </xdr:from>
    <xdr:to>
      <xdr:col>7</xdr:col>
      <xdr:colOff>95250</xdr:colOff>
      <xdr:row>18</xdr:row>
      <xdr:rowOff>28575</xdr:rowOff>
    </xdr:to>
    <xdr:pic>
      <xdr:nvPicPr>
        <xdr:cNvPr id="182878" name="Picture 6">
          <a:extLst>
            <a:ext uri="{FF2B5EF4-FFF2-40B4-BE49-F238E27FC236}">
              <a16:creationId xmlns:a16="http://schemas.microsoft.com/office/drawing/2014/main" id="{00000000-0008-0000-1C00-00005ECA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2581275"/>
          <a:ext cx="42291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85725</xdr:colOff>
      <xdr:row>16</xdr:row>
      <xdr:rowOff>161925</xdr:rowOff>
    </xdr:from>
    <xdr:to>
      <xdr:col>3</xdr:col>
      <xdr:colOff>628650</xdr:colOff>
      <xdr:row>16</xdr:row>
      <xdr:rowOff>161925</xdr:rowOff>
    </xdr:to>
    <xdr:cxnSp macro="">
      <xdr:nvCxnSpPr>
        <xdr:cNvPr id="15" name="Straight Arrow Connector 14">
          <a:extLst>
            <a:ext uri="{FF2B5EF4-FFF2-40B4-BE49-F238E27FC236}">
              <a16:creationId xmlns:a16="http://schemas.microsoft.com/office/drawing/2014/main" id="{00000000-0008-0000-1C00-00000F000000}"/>
            </a:ext>
          </a:extLst>
        </xdr:cNvPr>
        <xdr:cNvCxnSpPr/>
      </xdr:nvCxnSpPr>
      <xdr:spPr>
        <a:xfrm>
          <a:off x="3228975" y="2600325"/>
          <a:ext cx="542925" cy="0"/>
        </a:xfrm>
        <a:prstGeom prst="straightConnector1">
          <a:avLst/>
        </a:prstGeom>
        <a:ln w="38100">
          <a:solidFill>
            <a:srgbClr val="FF000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4</xdr:col>
      <xdr:colOff>809625</xdr:colOff>
      <xdr:row>38</xdr:row>
      <xdr:rowOff>38100</xdr:rowOff>
    </xdr:from>
    <xdr:to>
      <xdr:col>10</xdr:col>
      <xdr:colOff>238125</xdr:colOff>
      <xdr:row>39</xdr:row>
      <xdr:rowOff>142875</xdr:rowOff>
    </xdr:to>
    <xdr:pic>
      <xdr:nvPicPr>
        <xdr:cNvPr id="182880" name="Picture 11">
          <a:extLst>
            <a:ext uri="{FF2B5EF4-FFF2-40B4-BE49-F238E27FC236}">
              <a16:creationId xmlns:a16="http://schemas.microsoft.com/office/drawing/2014/main" id="{00000000-0008-0000-1C00-000060CA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0" y="6296025"/>
          <a:ext cx="37719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276225</xdr:colOff>
      <xdr:row>47</xdr:row>
      <xdr:rowOff>57150</xdr:rowOff>
    </xdr:from>
    <xdr:to>
      <xdr:col>21</xdr:col>
      <xdr:colOff>161925</xdr:colOff>
      <xdr:row>61</xdr:row>
      <xdr:rowOff>9525</xdr:rowOff>
    </xdr:to>
    <xdr:grpSp>
      <xdr:nvGrpSpPr>
        <xdr:cNvPr id="182881" name="Group 16">
          <a:extLst>
            <a:ext uri="{FF2B5EF4-FFF2-40B4-BE49-F238E27FC236}">
              <a16:creationId xmlns:a16="http://schemas.microsoft.com/office/drawing/2014/main" id="{00000000-0008-0000-1C00-000061CA0200}"/>
            </a:ext>
          </a:extLst>
        </xdr:cNvPr>
        <xdr:cNvGrpSpPr>
          <a:grpSpLocks/>
        </xdr:cNvGrpSpPr>
      </xdr:nvGrpSpPr>
      <xdr:grpSpPr bwMode="auto">
        <a:xfrm>
          <a:off x="12534900" y="7962900"/>
          <a:ext cx="2771775" cy="2247900"/>
          <a:chOff x="9896475" y="2857500"/>
          <a:chExt cx="2771429" cy="2247619"/>
        </a:xfrm>
      </xdr:grpSpPr>
      <xdr:pic>
        <xdr:nvPicPr>
          <xdr:cNvPr id="182886" name="Picture 12">
            <a:extLst>
              <a:ext uri="{FF2B5EF4-FFF2-40B4-BE49-F238E27FC236}">
                <a16:creationId xmlns:a16="http://schemas.microsoft.com/office/drawing/2014/main" id="{00000000-0008-0000-1C00-000066CA02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96475" y="2857500"/>
            <a:ext cx="2771429" cy="224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2887" name="Picture 14">
            <a:extLst>
              <a:ext uri="{FF2B5EF4-FFF2-40B4-BE49-F238E27FC236}">
                <a16:creationId xmlns:a16="http://schemas.microsoft.com/office/drawing/2014/main" id="{00000000-0008-0000-1C00-000067CA02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763262" y="4105273"/>
            <a:ext cx="1666875" cy="3797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0</xdr:col>
      <xdr:colOff>0</xdr:colOff>
      <xdr:row>47</xdr:row>
      <xdr:rowOff>85725</xdr:rowOff>
    </xdr:from>
    <xdr:to>
      <xdr:col>3</xdr:col>
      <xdr:colOff>1514475</xdr:colOff>
      <xdr:row>52</xdr:row>
      <xdr:rowOff>76200</xdr:rowOff>
    </xdr:to>
    <xdr:pic>
      <xdr:nvPicPr>
        <xdr:cNvPr id="182882" name="Picture 2">
          <a:extLst>
            <a:ext uri="{FF2B5EF4-FFF2-40B4-BE49-F238E27FC236}">
              <a16:creationId xmlns:a16="http://schemas.microsoft.com/office/drawing/2014/main" id="{00000000-0008-0000-1C00-000062CA02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7991475"/>
          <a:ext cx="489585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352425</xdr:colOff>
      <xdr:row>47</xdr:row>
      <xdr:rowOff>66675</xdr:rowOff>
    </xdr:from>
    <xdr:to>
      <xdr:col>14</xdr:col>
      <xdr:colOff>342900</xdr:colOff>
      <xdr:row>52</xdr:row>
      <xdr:rowOff>66675</xdr:rowOff>
    </xdr:to>
    <xdr:pic>
      <xdr:nvPicPr>
        <xdr:cNvPr id="182883" name="Picture 3">
          <a:extLst>
            <a:ext uri="{FF2B5EF4-FFF2-40B4-BE49-F238E27FC236}">
              <a16:creationId xmlns:a16="http://schemas.microsoft.com/office/drawing/2014/main" id="{00000000-0008-0000-1C00-000063CA02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48500" y="7972425"/>
          <a:ext cx="5019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190500</xdr:colOff>
      <xdr:row>18</xdr:row>
      <xdr:rowOff>123825</xdr:rowOff>
    </xdr:from>
    <xdr:to>
      <xdr:col>17</xdr:col>
      <xdr:colOff>190500</xdr:colOff>
      <xdr:row>35</xdr:row>
      <xdr:rowOff>76200</xdr:rowOff>
    </xdr:to>
    <xdr:graphicFrame macro="">
      <xdr:nvGraphicFramePr>
        <xdr:cNvPr id="182884" name="Chart 1">
          <a:extLst>
            <a:ext uri="{FF2B5EF4-FFF2-40B4-BE49-F238E27FC236}">
              <a16:creationId xmlns:a16="http://schemas.microsoft.com/office/drawing/2014/main" id="{00000000-0008-0000-1C00-000064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66675</xdr:colOff>
      <xdr:row>18</xdr:row>
      <xdr:rowOff>133350</xdr:rowOff>
    </xdr:from>
    <xdr:to>
      <xdr:col>27</xdr:col>
      <xdr:colOff>438150</xdr:colOff>
      <xdr:row>35</xdr:row>
      <xdr:rowOff>85725</xdr:rowOff>
    </xdr:to>
    <xdr:graphicFrame macro="">
      <xdr:nvGraphicFramePr>
        <xdr:cNvPr id="182885" name="Chart 12">
          <a:extLst>
            <a:ext uri="{FF2B5EF4-FFF2-40B4-BE49-F238E27FC236}">
              <a16:creationId xmlns:a16="http://schemas.microsoft.com/office/drawing/2014/main" id="{00000000-0008-0000-1C00-000065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28575</xdr:colOff>
      <xdr:row>17</xdr:row>
      <xdr:rowOff>28575</xdr:rowOff>
    </xdr:from>
    <xdr:to>
      <xdr:col>10</xdr:col>
      <xdr:colOff>323850</xdr:colOff>
      <xdr:row>46</xdr:row>
      <xdr:rowOff>28575</xdr:rowOff>
    </xdr:to>
    <xdr:pic>
      <xdr:nvPicPr>
        <xdr:cNvPr id="39355" name="Picture 1">
          <a:extLst>
            <a:ext uri="{FF2B5EF4-FFF2-40B4-BE49-F238E27FC236}">
              <a16:creationId xmlns:a16="http://schemas.microsoft.com/office/drawing/2014/main" id="{00000000-0008-0000-2100-0000BB9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82200" y="2781300"/>
          <a:ext cx="2619375" cy="46958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85725</xdr:colOff>
      <xdr:row>51</xdr:row>
      <xdr:rowOff>133350</xdr:rowOff>
    </xdr:from>
    <xdr:to>
      <xdr:col>17</xdr:col>
      <xdr:colOff>523875</xdr:colOff>
      <xdr:row>51</xdr:row>
      <xdr:rowOff>142875</xdr:rowOff>
    </xdr:to>
    <xdr:cxnSp macro="">
      <xdr:nvCxnSpPr>
        <xdr:cNvPr id="3" name="Straight Connector 2">
          <a:extLst>
            <a:ext uri="{FF2B5EF4-FFF2-40B4-BE49-F238E27FC236}">
              <a16:creationId xmlns:a16="http://schemas.microsoft.com/office/drawing/2014/main" id="{00000000-0008-0000-2300-000003000000}"/>
            </a:ext>
          </a:extLst>
        </xdr:cNvPr>
        <xdr:cNvCxnSpPr/>
      </xdr:nvCxnSpPr>
      <xdr:spPr>
        <a:xfrm>
          <a:off x="10801350" y="5181600"/>
          <a:ext cx="22955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85725</xdr:colOff>
      <xdr:row>51</xdr:row>
      <xdr:rowOff>133350</xdr:rowOff>
    </xdr:from>
    <xdr:to>
      <xdr:col>17</xdr:col>
      <xdr:colOff>523875</xdr:colOff>
      <xdr:row>51</xdr:row>
      <xdr:rowOff>142875</xdr:rowOff>
    </xdr:to>
    <xdr:cxnSp macro="">
      <xdr:nvCxnSpPr>
        <xdr:cNvPr id="4" name="Straight Connector 3">
          <a:extLst>
            <a:ext uri="{FF2B5EF4-FFF2-40B4-BE49-F238E27FC236}">
              <a16:creationId xmlns:a16="http://schemas.microsoft.com/office/drawing/2014/main" id="{00000000-0008-0000-2300-000004000000}"/>
            </a:ext>
          </a:extLst>
        </xdr:cNvPr>
        <xdr:cNvCxnSpPr/>
      </xdr:nvCxnSpPr>
      <xdr:spPr>
        <a:xfrm>
          <a:off x="10591800" y="8972550"/>
          <a:ext cx="27908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85725</xdr:colOff>
      <xdr:row>0</xdr:row>
      <xdr:rowOff>95250</xdr:rowOff>
    </xdr:from>
    <xdr:to>
      <xdr:col>39</xdr:col>
      <xdr:colOff>304800</xdr:colOff>
      <xdr:row>20</xdr:row>
      <xdr:rowOff>89187</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0950" y="95250"/>
          <a:ext cx="4486275" cy="3232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85725</xdr:colOff>
      <xdr:row>21</xdr:row>
      <xdr:rowOff>133350</xdr:rowOff>
    </xdr:from>
    <xdr:to>
      <xdr:col>43</xdr:col>
      <xdr:colOff>95250</xdr:colOff>
      <xdr:row>30</xdr:row>
      <xdr:rowOff>122809</xdr:rowOff>
    </xdr:to>
    <xdr:pic>
      <xdr:nvPicPr>
        <xdr:cNvPr id="3" name="Picture 2">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0" y="3533775"/>
          <a:ext cx="6715125" cy="1446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26.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7.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0.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3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0.vml"/><Relationship Id="rId1" Type="http://schemas.openxmlformats.org/officeDocument/2006/relationships/printerSettings" Target="../printerSettings/printerSettings4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V47"/>
  <sheetViews>
    <sheetView workbookViewId="0">
      <pane ySplit="1" topLeftCell="A44" activePane="bottomLeft" state="frozen"/>
      <selection pane="bottomLeft" activeCell="N58" sqref="N57:N58"/>
    </sheetView>
  </sheetViews>
  <sheetFormatPr defaultColWidth="8.7109375" defaultRowHeight="12.75"/>
  <cols>
    <col min="1" max="1" width="10.140625" bestFit="1" customWidth="1"/>
    <col min="2" max="2" width="9.140625" style="52" customWidth="1"/>
    <col min="3" max="11" width="8.7109375" style="51" customWidth="1"/>
    <col min="12" max="16" width="8.7109375" style="51"/>
  </cols>
  <sheetData>
    <row r="1" spans="1:22">
      <c r="A1" s="104" t="s">
        <v>140</v>
      </c>
      <c r="B1" s="331" t="s">
        <v>142</v>
      </c>
      <c r="C1" s="2005" t="s">
        <v>141</v>
      </c>
      <c r="D1" s="2005"/>
      <c r="E1" s="2005"/>
      <c r="F1" s="2005"/>
      <c r="G1" s="2005"/>
      <c r="H1" s="2005"/>
      <c r="I1" s="2005"/>
      <c r="J1" s="2005"/>
      <c r="K1" s="2005"/>
      <c r="L1" s="2005"/>
      <c r="M1" s="2005"/>
      <c r="N1" s="2005"/>
      <c r="O1" s="2005"/>
      <c r="P1" s="2005"/>
      <c r="Q1" s="2005"/>
      <c r="R1" s="2005"/>
      <c r="S1" s="2005"/>
      <c r="T1" s="2005"/>
      <c r="U1" s="2005"/>
      <c r="V1" s="2005"/>
    </row>
    <row r="2" spans="1:22" s="51" customFormat="1" ht="42.75" customHeight="1">
      <c r="A2" s="822">
        <v>41449</v>
      </c>
      <c r="B2" s="823" t="s">
        <v>236</v>
      </c>
      <c r="C2" s="2001" t="s">
        <v>381</v>
      </c>
      <c r="D2" s="2001"/>
      <c r="E2" s="2001"/>
      <c r="F2" s="2001"/>
      <c r="G2" s="2001"/>
      <c r="H2" s="2001"/>
      <c r="I2" s="2001"/>
      <c r="J2" s="2001"/>
      <c r="K2" s="2001"/>
      <c r="L2" s="2001"/>
      <c r="M2" s="2001"/>
      <c r="N2" s="2001"/>
      <c r="O2" s="2001"/>
      <c r="P2" s="2001"/>
      <c r="Q2" s="2001"/>
      <c r="R2" s="2001"/>
      <c r="S2" s="2001"/>
      <c r="T2" s="2001"/>
      <c r="U2" s="2001"/>
      <c r="V2" s="2001"/>
    </row>
    <row r="3" spans="1:22" s="51" customFormat="1" ht="42.75" customHeight="1">
      <c r="A3" s="822">
        <v>41466</v>
      </c>
      <c r="B3" s="823" t="s">
        <v>248</v>
      </c>
      <c r="C3" s="2001" t="s">
        <v>382</v>
      </c>
      <c r="D3" s="2001"/>
      <c r="E3" s="2001"/>
      <c r="F3" s="2001"/>
      <c r="G3" s="2001"/>
      <c r="H3" s="2001"/>
      <c r="I3" s="2001"/>
      <c r="J3" s="2001"/>
      <c r="K3" s="2001"/>
      <c r="L3" s="2001"/>
      <c r="M3" s="2001"/>
      <c r="N3" s="2001"/>
      <c r="O3" s="2001"/>
      <c r="P3" s="2001"/>
      <c r="Q3" s="2001"/>
      <c r="R3" s="2001"/>
      <c r="S3" s="2001"/>
      <c r="T3" s="2001"/>
      <c r="U3" s="2001"/>
      <c r="V3" s="2001"/>
    </row>
    <row r="4" spans="1:22" s="51" customFormat="1" ht="42.75" customHeight="1">
      <c r="A4" s="822">
        <v>41481</v>
      </c>
      <c r="B4" s="823" t="s">
        <v>249</v>
      </c>
      <c r="C4" s="2002" t="s">
        <v>259</v>
      </c>
      <c r="D4" s="2002"/>
      <c r="E4" s="2002"/>
      <c r="F4" s="2002"/>
      <c r="G4" s="2002"/>
      <c r="H4" s="2002"/>
      <c r="I4" s="2002"/>
      <c r="J4" s="2002"/>
      <c r="K4" s="2002"/>
      <c r="L4" s="2002"/>
      <c r="M4" s="2002"/>
      <c r="N4" s="2002"/>
      <c r="O4" s="2002"/>
      <c r="P4" s="2002"/>
      <c r="Q4" s="2002"/>
      <c r="R4" s="2002"/>
      <c r="S4" s="2002"/>
      <c r="T4" s="2002"/>
      <c r="U4" s="2002"/>
      <c r="V4" s="2002"/>
    </row>
    <row r="5" spans="1:22" s="51" customFormat="1" ht="42.75" customHeight="1">
      <c r="A5" s="822">
        <v>41502</v>
      </c>
      <c r="B5" s="823" t="s">
        <v>265</v>
      </c>
      <c r="C5" s="2002" t="s">
        <v>266</v>
      </c>
      <c r="D5" s="2002"/>
      <c r="E5" s="2002"/>
      <c r="F5" s="2002"/>
      <c r="G5" s="2002"/>
      <c r="H5" s="2002"/>
      <c r="I5" s="2002"/>
      <c r="J5" s="2002"/>
      <c r="K5" s="2002"/>
      <c r="L5" s="2002"/>
      <c r="M5" s="2002"/>
      <c r="N5" s="2002"/>
      <c r="O5" s="2002"/>
      <c r="P5" s="2002"/>
      <c r="Q5" s="2002"/>
      <c r="R5" s="2002"/>
      <c r="S5" s="2002"/>
      <c r="T5" s="2002"/>
      <c r="U5" s="2002"/>
      <c r="V5" s="2002"/>
    </row>
    <row r="6" spans="1:22" s="51" customFormat="1" ht="42.75" customHeight="1">
      <c r="A6" s="822">
        <v>41509</v>
      </c>
      <c r="B6" s="823" t="s">
        <v>269</v>
      </c>
      <c r="C6" s="2002" t="s">
        <v>270</v>
      </c>
      <c r="D6" s="2002"/>
      <c r="E6" s="2002"/>
      <c r="F6" s="2002"/>
      <c r="G6" s="2002"/>
      <c r="H6" s="2002"/>
      <c r="I6" s="2002"/>
      <c r="J6" s="2002"/>
      <c r="K6" s="2002"/>
      <c r="L6" s="2002"/>
      <c r="M6" s="2002"/>
      <c r="N6" s="2002"/>
      <c r="O6" s="2002"/>
      <c r="P6" s="2002"/>
      <c r="Q6" s="2002"/>
      <c r="R6" s="2002"/>
      <c r="S6" s="2002"/>
      <c r="T6" s="2002"/>
      <c r="U6" s="2002"/>
      <c r="V6" s="2002"/>
    </row>
    <row r="7" spans="1:22" s="51" customFormat="1" ht="42.75" customHeight="1">
      <c r="A7" s="822">
        <v>41515</v>
      </c>
      <c r="B7" s="823" t="s">
        <v>271</v>
      </c>
      <c r="C7" s="2001" t="s">
        <v>383</v>
      </c>
      <c r="D7" s="2001"/>
      <c r="E7" s="2001"/>
      <c r="F7" s="2001"/>
      <c r="G7" s="2001"/>
      <c r="H7" s="2001"/>
      <c r="I7" s="2001"/>
      <c r="J7" s="2001"/>
      <c r="K7" s="2001"/>
      <c r="L7" s="2001"/>
      <c r="M7" s="2001"/>
      <c r="N7" s="2001"/>
      <c r="O7" s="2001"/>
      <c r="P7" s="2001"/>
      <c r="Q7" s="2001"/>
      <c r="R7" s="2001"/>
      <c r="S7" s="2001"/>
      <c r="T7" s="2001"/>
      <c r="U7" s="2001"/>
      <c r="V7" s="2001"/>
    </row>
    <row r="8" spans="1:22" s="51" customFormat="1" ht="42.75" customHeight="1">
      <c r="A8" s="822">
        <v>41527</v>
      </c>
      <c r="B8" s="823" t="s">
        <v>272</v>
      </c>
      <c r="C8" s="2002" t="s">
        <v>273</v>
      </c>
      <c r="D8" s="2002"/>
      <c r="E8" s="2002"/>
      <c r="F8" s="2002"/>
      <c r="G8" s="2002"/>
      <c r="H8" s="2002"/>
      <c r="I8" s="2002"/>
      <c r="J8" s="2002"/>
      <c r="K8" s="2002"/>
      <c r="L8" s="2002"/>
      <c r="M8" s="2002"/>
      <c r="N8" s="2002"/>
      <c r="O8" s="2002"/>
      <c r="P8" s="2002"/>
      <c r="Q8" s="2002"/>
      <c r="R8" s="2002"/>
      <c r="S8" s="2002"/>
      <c r="T8" s="2002"/>
      <c r="U8" s="2002"/>
      <c r="V8" s="2002"/>
    </row>
    <row r="9" spans="1:22" s="51" customFormat="1" ht="42.75" customHeight="1">
      <c r="A9" s="822">
        <v>41647</v>
      </c>
      <c r="B9" s="823" t="s">
        <v>276</v>
      </c>
      <c r="C9" s="2002" t="s">
        <v>277</v>
      </c>
      <c r="D9" s="2002"/>
      <c r="E9" s="2002"/>
      <c r="F9" s="2002"/>
      <c r="G9" s="2002"/>
      <c r="H9" s="2002"/>
      <c r="I9" s="2002"/>
      <c r="J9" s="2002"/>
      <c r="K9" s="2002"/>
      <c r="L9" s="2002"/>
      <c r="M9" s="2002"/>
      <c r="N9" s="2002"/>
      <c r="O9" s="2002"/>
      <c r="P9" s="2002"/>
      <c r="Q9" s="2002"/>
      <c r="R9" s="2002"/>
      <c r="S9" s="2002"/>
      <c r="T9" s="2002"/>
      <c r="U9" s="2002"/>
      <c r="V9" s="2002"/>
    </row>
    <row r="10" spans="1:22" s="51" customFormat="1" ht="42.75" customHeight="1">
      <c r="A10" s="822">
        <v>41761</v>
      </c>
      <c r="B10" s="823" t="s">
        <v>278</v>
      </c>
      <c r="C10" s="2002" t="s">
        <v>279</v>
      </c>
      <c r="D10" s="2002"/>
      <c r="E10" s="2002"/>
      <c r="F10" s="2002"/>
      <c r="G10" s="2002"/>
      <c r="H10" s="2002"/>
      <c r="I10" s="2002"/>
      <c r="J10" s="2002"/>
      <c r="K10" s="2002"/>
      <c r="L10" s="2002"/>
      <c r="M10" s="2002"/>
      <c r="N10" s="2002"/>
      <c r="O10" s="2002"/>
      <c r="P10" s="2002"/>
      <c r="Q10" s="2002"/>
      <c r="R10" s="2002"/>
      <c r="S10" s="2002"/>
      <c r="T10" s="2002"/>
      <c r="U10" s="2002"/>
      <c r="V10" s="2002"/>
    </row>
    <row r="11" spans="1:22" s="51" customFormat="1" ht="42.75" customHeight="1">
      <c r="A11" s="822">
        <v>41792</v>
      </c>
      <c r="B11" s="823" t="s">
        <v>314</v>
      </c>
      <c r="C11" s="2002" t="s">
        <v>330</v>
      </c>
      <c r="D11" s="2002"/>
      <c r="E11" s="2002"/>
      <c r="F11" s="2002"/>
      <c r="G11" s="2002"/>
      <c r="H11" s="2002"/>
      <c r="I11" s="2002"/>
      <c r="J11" s="2002"/>
      <c r="K11" s="2002"/>
      <c r="L11" s="2002"/>
      <c r="M11" s="2002"/>
      <c r="N11" s="2002"/>
      <c r="O11" s="2002"/>
      <c r="P11" s="2002"/>
      <c r="Q11" s="2002"/>
      <c r="R11" s="2002"/>
      <c r="S11" s="2002"/>
      <c r="T11" s="2002"/>
      <c r="U11" s="2002"/>
      <c r="V11" s="2002"/>
    </row>
    <row r="12" spans="1:22" s="51" customFormat="1" ht="42.75" customHeight="1">
      <c r="A12" s="822">
        <v>41857</v>
      </c>
      <c r="B12" s="823" t="s">
        <v>332</v>
      </c>
      <c r="C12" s="2002" t="s">
        <v>333</v>
      </c>
      <c r="D12" s="2002"/>
      <c r="E12" s="2002"/>
      <c r="F12" s="2002"/>
      <c r="G12" s="2002"/>
      <c r="H12" s="2002"/>
      <c r="I12" s="2002"/>
      <c r="J12" s="2002"/>
      <c r="K12" s="2002"/>
      <c r="L12" s="2002"/>
      <c r="M12" s="2002"/>
      <c r="N12" s="2002"/>
      <c r="O12" s="2002"/>
      <c r="P12" s="2002"/>
      <c r="Q12" s="2002"/>
      <c r="R12" s="2002"/>
      <c r="S12" s="2002"/>
      <c r="T12" s="2002"/>
      <c r="U12" s="2002"/>
      <c r="V12" s="2002"/>
    </row>
    <row r="13" spans="1:22" s="51" customFormat="1" ht="42.75" customHeight="1">
      <c r="A13" s="822">
        <v>41934</v>
      </c>
      <c r="B13" s="823" t="s">
        <v>358</v>
      </c>
      <c r="C13" s="2002" t="s">
        <v>359</v>
      </c>
      <c r="D13" s="2002"/>
      <c r="E13" s="2002"/>
      <c r="F13" s="2002"/>
      <c r="G13" s="2002"/>
      <c r="H13" s="2002"/>
      <c r="I13" s="2002"/>
      <c r="J13" s="2002"/>
      <c r="K13" s="2002"/>
      <c r="L13" s="2002"/>
      <c r="M13" s="2002"/>
      <c r="N13" s="2002"/>
      <c r="O13" s="2002"/>
      <c r="P13" s="2002"/>
      <c r="Q13" s="2002"/>
      <c r="R13" s="2002"/>
      <c r="S13" s="2002"/>
      <c r="T13" s="2002"/>
      <c r="U13" s="2002"/>
      <c r="V13" s="2002"/>
    </row>
    <row r="14" spans="1:22" s="51" customFormat="1" ht="42.75" customHeight="1">
      <c r="A14" s="822">
        <v>41936</v>
      </c>
      <c r="B14" s="824" t="s">
        <v>380</v>
      </c>
      <c r="C14" s="2001" t="s">
        <v>384</v>
      </c>
      <c r="D14" s="2001"/>
      <c r="E14" s="2001"/>
      <c r="F14" s="2001"/>
      <c r="G14" s="2001"/>
      <c r="H14" s="2001"/>
      <c r="I14" s="2001"/>
      <c r="J14" s="2001"/>
      <c r="K14" s="2001"/>
      <c r="L14" s="2001"/>
      <c r="M14" s="2001"/>
      <c r="N14" s="2001"/>
      <c r="O14" s="2001"/>
      <c r="P14" s="2001"/>
      <c r="Q14" s="2001"/>
      <c r="R14" s="2001"/>
      <c r="S14" s="2001"/>
      <c r="T14" s="2001"/>
      <c r="U14" s="2001"/>
      <c r="V14" s="2001"/>
    </row>
    <row r="15" spans="1:22" s="51" customFormat="1" ht="42.75" customHeight="1">
      <c r="A15" s="822">
        <v>41983</v>
      </c>
      <c r="B15" s="824" t="s">
        <v>390</v>
      </c>
      <c r="C15" s="2007" t="s">
        <v>404</v>
      </c>
      <c r="D15" s="2007"/>
      <c r="E15" s="2007"/>
      <c r="F15" s="2007"/>
      <c r="G15" s="2007"/>
      <c r="H15" s="2007"/>
      <c r="I15" s="2007"/>
      <c r="J15" s="2007"/>
      <c r="K15" s="2007"/>
      <c r="L15" s="2007"/>
      <c r="M15" s="2007"/>
      <c r="N15" s="2007"/>
      <c r="O15" s="2007"/>
      <c r="P15" s="2007"/>
      <c r="Q15" s="2007"/>
      <c r="R15" s="2007"/>
      <c r="S15" s="2007"/>
      <c r="T15" s="2007"/>
      <c r="U15" s="2007"/>
      <c r="V15" s="2007"/>
    </row>
    <row r="16" spans="1:22" s="51" customFormat="1" ht="63.75" customHeight="1">
      <c r="A16" s="822">
        <v>42082</v>
      </c>
      <c r="B16" s="824" t="s">
        <v>408</v>
      </c>
      <c r="C16" s="2008" t="s">
        <v>467</v>
      </c>
      <c r="D16" s="2008"/>
      <c r="E16" s="2008"/>
      <c r="F16" s="2008"/>
      <c r="G16" s="2008"/>
      <c r="H16" s="2008"/>
      <c r="I16" s="2008"/>
      <c r="J16" s="2008"/>
      <c r="K16" s="2008"/>
      <c r="L16" s="2008"/>
      <c r="M16" s="2008"/>
      <c r="N16" s="2008"/>
      <c r="O16" s="2008"/>
      <c r="P16" s="2008"/>
      <c r="Q16" s="2008"/>
      <c r="R16" s="2008"/>
      <c r="S16" s="2008"/>
      <c r="T16" s="2008"/>
      <c r="U16" s="2008"/>
      <c r="V16" s="2008"/>
    </row>
    <row r="17" spans="1:22" s="51" customFormat="1" ht="42.75" customHeight="1">
      <c r="A17" s="822">
        <v>42088</v>
      </c>
      <c r="B17" s="824" t="s">
        <v>468</v>
      </c>
      <c r="C17" s="2001" t="s">
        <v>469</v>
      </c>
      <c r="D17" s="2001"/>
      <c r="E17" s="2001"/>
      <c r="F17" s="2001"/>
      <c r="G17" s="2001"/>
      <c r="H17" s="2001"/>
      <c r="I17" s="2001"/>
      <c r="J17" s="2001"/>
      <c r="K17" s="2001"/>
      <c r="L17" s="2001"/>
      <c r="M17" s="2001"/>
      <c r="N17" s="2001"/>
      <c r="O17" s="2001"/>
      <c r="P17" s="2001"/>
      <c r="Q17" s="2001"/>
      <c r="R17" s="2001"/>
      <c r="S17" s="2001"/>
      <c r="T17" s="2001"/>
      <c r="U17" s="2001"/>
      <c r="V17" s="2001"/>
    </row>
    <row r="18" spans="1:22" s="51" customFormat="1" ht="42.75" customHeight="1">
      <c r="A18" s="822">
        <v>42117</v>
      </c>
      <c r="B18" s="824" t="s">
        <v>19233</v>
      </c>
      <c r="C18" s="2007" t="s">
        <v>19344</v>
      </c>
      <c r="D18" s="2007"/>
      <c r="E18" s="2007"/>
      <c r="F18" s="2007"/>
      <c r="G18" s="2007"/>
      <c r="H18" s="2007"/>
      <c r="I18" s="2007"/>
      <c r="J18" s="2007"/>
      <c r="K18" s="2007"/>
      <c r="L18" s="2007"/>
      <c r="M18" s="2007"/>
      <c r="N18" s="2007"/>
      <c r="O18" s="2007"/>
      <c r="P18" s="2007"/>
      <c r="Q18" s="2007"/>
      <c r="R18" s="2007"/>
      <c r="S18" s="2007"/>
      <c r="T18" s="2007"/>
      <c r="U18" s="2007"/>
      <c r="V18" s="2007"/>
    </row>
    <row r="19" spans="1:22" s="51" customFormat="1" ht="42.75" customHeight="1">
      <c r="A19" s="822">
        <v>42130</v>
      </c>
      <c r="B19" s="824" t="s">
        <v>19263</v>
      </c>
      <c r="C19" s="2002" t="s">
        <v>19345</v>
      </c>
      <c r="D19" s="2002"/>
      <c r="E19" s="2002"/>
      <c r="F19" s="2002"/>
      <c r="G19" s="2002"/>
      <c r="H19" s="2002"/>
      <c r="I19" s="2002"/>
      <c r="J19" s="2002"/>
      <c r="K19" s="2002"/>
      <c r="L19" s="2002"/>
      <c r="M19" s="2002"/>
      <c r="N19" s="2002"/>
      <c r="O19" s="2002"/>
      <c r="P19" s="2002"/>
      <c r="Q19" s="2002"/>
      <c r="R19" s="2002"/>
      <c r="S19" s="2002"/>
      <c r="T19" s="2002"/>
      <c r="U19" s="2002"/>
      <c r="V19" s="2002"/>
    </row>
    <row r="20" spans="1:22" s="51" customFormat="1" ht="42.75" customHeight="1">
      <c r="A20" s="822">
        <v>42151</v>
      </c>
      <c r="B20" s="824" t="s">
        <v>19323</v>
      </c>
      <c r="C20" s="2001" t="s">
        <v>19346</v>
      </c>
      <c r="D20" s="2001"/>
      <c r="E20" s="2001"/>
      <c r="F20" s="2001"/>
      <c r="G20" s="2001"/>
      <c r="H20" s="2001"/>
      <c r="I20" s="2001"/>
      <c r="J20" s="2001"/>
      <c r="K20" s="2001"/>
      <c r="L20" s="2001"/>
      <c r="M20" s="2001"/>
      <c r="N20" s="2001"/>
      <c r="O20" s="2001"/>
      <c r="P20" s="2001"/>
      <c r="Q20" s="2001"/>
      <c r="R20" s="2001"/>
      <c r="S20" s="2001"/>
      <c r="T20" s="2001"/>
      <c r="U20" s="2001"/>
      <c r="V20" s="2001"/>
    </row>
    <row r="21" spans="1:22" s="51" customFormat="1" ht="42.75" customHeight="1">
      <c r="A21" s="822">
        <v>42194</v>
      </c>
      <c r="B21" s="824" t="s">
        <v>19341</v>
      </c>
      <c r="C21" s="2001" t="s">
        <v>19342</v>
      </c>
      <c r="D21" s="2001"/>
      <c r="E21" s="2001"/>
      <c r="F21" s="2001"/>
      <c r="G21" s="2001"/>
      <c r="H21" s="2001"/>
      <c r="I21" s="2001"/>
      <c r="J21" s="2001"/>
      <c r="K21" s="2001"/>
      <c r="L21" s="2001"/>
      <c r="M21" s="2001"/>
      <c r="N21" s="2001"/>
      <c r="O21" s="2001"/>
      <c r="P21" s="2001"/>
      <c r="Q21" s="2001"/>
      <c r="R21" s="2001"/>
      <c r="S21" s="2001"/>
      <c r="T21" s="2001"/>
      <c r="U21" s="2001"/>
      <c r="V21" s="2001"/>
    </row>
    <row r="22" spans="1:22" s="51" customFormat="1" ht="42.75" customHeight="1">
      <c r="A22" s="822">
        <v>42201</v>
      </c>
      <c r="B22" s="824" t="s">
        <v>19343</v>
      </c>
      <c r="C22" s="2002" t="s">
        <v>19347</v>
      </c>
      <c r="D22" s="2002"/>
      <c r="E22" s="2002"/>
      <c r="F22" s="2002"/>
      <c r="G22" s="2002"/>
      <c r="H22" s="2002"/>
      <c r="I22" s="2002"/>
      <c r="J22" s="2002"/>
      <c r="K22" s="2002"/>
      <c r="L22" s="2002"/>
      <c r="M22" s="2002"/>
      <c r="N22" s="2002"/>
      <c r="O22" s="2002"/>
      <c r="P22" s="2002"/>
      <c r="Q22" s="2002"/>
      <c r="R22" s="2002"/>
      <c r="S22" s="2002"/>
      <c r="T22" s="2002"/>
      <c r="U22" s="2002"/>
      <c r="V22" s="2002"/>
    </row>
    <row r="23" spans="1:22" s="51" customFormat="1" ht="42.75" customHeight="1">
      <c r="A23" s="822">
        <v>42208</v>
      </c>
      <c r="B23" s="824" t="s">
        <v>19350</v>
      </c>
      <c r="C23" s="2001" t="s">
        <v>19351</v>
      </c>
      <c r="D23" s="2001"/>
      <c r="E23" s="2001"/>
      <c r="F23" s="2001"/>
      <c r="G23" s="2001"/>
      <c r="H23" s="2001"/>
      <c r="I23" s="2001"/>
      <c r="J23" s="2001"/>
      <c r="K23" s="2001"/>
      <c r="L23" s="2001"/>
      <c r="M23" s="2001"/>
      <c r="N23" s="2001"/>
      <c r="O23" s="2001"/>
      <c r="P23" s="2001"/>
      <c r="Q23" s="2001"/>
      <c r="R23" s="2001"/>
      <c r="S23" s="2001"/>
      <c r="T23" s="2001"/>
      <c r="U23" s="2001"/>
      <c r="V23" s="2001"/>
    </row>
    <row r="24" spans="1:22" s="51" customFormat="1" ht="42.75" customHeight="1">
      <c r="A24" s="822">
        <v>42214</v>
      </c>
      <c r="B24" s="824" t="s">
        <v>19352</v>
      </c>
      <c r="C24" s="2002" t="s">
        <v>19353</v>
      </c>
      <c r="D24" s="2002"/>
      <c r="E24" s="2002"/>
      <c r="F24" s="2002"/>
      <c r="G24" s="2002"/>
      <c r="H24" s="2002"/>
      <c r="I24" s="2002"/>
      <c r="J24" s="2002"/>
      <c r="K24" s="2002"/>
      <c r="L24" s="2002"/>
      <c r="M24" s="2002"/>
      <c r="N24" s="2002"/>
      <c r="O24" s="2002"/>
      <c r="P24" s="2002"/>
      <c r="Q24" s="2002"/>
      <c r="R24" s="2002"/>
      <c r="S24" s="2002"/>
      <c r="T24" s="2002"/>
      <c r="U24" s="2002"/>
      <c r="V24" s="2002"/>
    </row>
    <row r="25" spans="1:22" s="51" customFormat="1" ht="42.75" customHeight="1">
      <c r="A25" s="822">
        <v>42216</v>
      </c>
      <c r="B25" s="824" t="s">
        <v>19354</v>
      </c>
      <c r="C25" s="2002" t="s">
        <v>19355</v>
      </c>
      <c r="D25" s="2002"/>
      <c r="E25" s="2002"/>
      <c r="F25" s="2002"/>
      <c r="G25" s="2002"/>
      <c r="H25" s="2002"/>
      <c r="I25" s="2002"/>
      <c r="J25" s="2002"/>
      <c r="K25" s="2002"/>
      <c r="L25" s="2002"/>
      <c r="M25" s="2002"/>
      <c r="N25" s="2002"/>
      <c r="O25" s="2002"/>
      <c r="P25" s="2002"/>
      <c r="Q25" s="2002"/>
      <c r="R25" s="2002"/>
      <c r="S25" s="2002"/>
      <c r="T25" s="2002"/>
      <c r="U25" s="2002"/>
      <c r="V25" s="2002"/>
    </row>
    <row r="26" spans="1:22" s="51" customFormat="1" ht="42.75" customHeight="1">
      <c r="A26" s="822">
        <v>42240</v>
      </c>
      <c r="B26" s="824" t="s">
        <v>19356</v>
      </c>
      <c r="C26" s="2001" t="s">
        <v>19362</v>
      </c>
      <c r="D26" s="2001"/>
      <c r="E26" s="2001"/>
      <c r="F26" s="2001"/>
      <c r="G26" s="2001"/>
      <c r="H26" s="2001"/>
      <c r="I26" s="2001"/>
      <c r="J26" s="2001"/>
      <c r="K26" s="2001"/>
      <c r="L26" s="2001"/>
      <c r="M26" s="2001"/>
      <c r="N26" s="2001"/>
      <c r="O26" s="2001"/>
      <c r="P26" s="2001"/>
      <c r="Q26" s="2001"/>
      <c r="R26" s="2001"/>
      <c r="S26" s="2001"/>
      <c r="T26" s="2001"/>
      <c r="U26" s="2001"/>
      <c r="V26" s="2001"/>
    </row>
    <row r="27" spans="1:22" s="51" customFormat="1" ht="42.75" customHeight="1">
      <c r="A27" s="822">
        <v>42291</v>
      </c>
      <c r="B27" s="824" t="s">
        <v>19363</v>
      </c>
      <c r="C27" s="2001" t="s">
        <v>19381</v>
      </c>
      <c r="D27" s="2001"/>
      <c r="E27" s="2001"/>
      <c r="F27" s="2001"/>
      <c r="G27" s="2001"/>
      <c r="H27" s="2001"/>
      <c r="I27" s="2001"/>
      <c r="J27" s="2001"/>
      <c r="K27" s="2001"/>
      <c r="L27" s="2001"/>
      <c r="M27" s="2001"/>
      <c r="N27" s="2001"/>
      <c r="O27" s="2001"/>
      <c r="P27" s="2001"/>
      <c r="Q27" s="2001"/>
      <c r="R27" s="2001"/>
      <c r="S27" s="2001"/>
      <c r="T27" s="2001"/>
      <c r="U27" s="2001"/>
      <c r="V27" s="2001"/>
    </row>
    <row r="28" spans="1:22" s="51" customFormat="1" ht="42.75" customHeight="1">
      <c r="A28" s="822">
        <v>42347</v>
      </c>
      <c r="B28" s="824" t="s">
        <v>19379</v>
      </c>
      <c r="C28" s="2002" t="s">
        <v>19382</v>
      </c>
      <c r="D28" s="2002"/>
      <c r="E28" s="2002"/>
      <c r="F28" s="2002"/>
      <c r="G28" s="2002"/>
      <c r="H28" s="2002"/>
      <c r="I28" s="2002"/>
      <c r="J28" s="2002"/>
      <c r="K28" s="2002"/>
      <c r="L28" s="2002"/>
      <c r="M28" s="2002"/>
      <c r="N28" s="2002"/>
      <c r="O28" s="2002"/>
      <c r="P28" s="2002"/>
      <c r="Q28" s="2002"/>
      <c r="R28" s="2002"/>
      <c r="S28" s="2002"/>
      <c r="T28" s="2002"/>
      <c r="U28" s="2002"/>
      <c r="V28" s="2002"/>
    </row>
    <row r="29" spans="1:22" s="51" customFormat="1" ht="42.75" customHeight="1">
      <c r="A29" s="822">
        <v>42402</v>
      </c>
      <c r="B29" s="824" t="s">
        <v>19417</v>
      </c>
      <c r="C29" s="2002" t="s">
        <v>19418</v>
      </c>
      <c r="D29" s="2002"/>
      <c r="E29" s="2002"/>
      <c r="F29" s="2002"/>
      <c r="G29" s="2002"/>
      <c r="H29" s="2002"/>
      <c r="I29" s="2002"/>
      <c r="J29" s="2002"/>
      <c r="K29" s="2002"/>
      <c r="L29" s="2002"/>
      <c r="M29" s="2002"/>
      <c r="N29" s="2002"/>
      <c r="O29" s="2002"/>
      <c r="P29" s="2002"/>
      <c r="Q29" s="2002"/>
      <c r="R29" s="2002"/>
      <c r="S29" s="2002"/>
      <c r="T29" s="2002"/>
      <c r="U29" s="2002"/>
      <c r="V29" s="2002"/>
    </row>
    <row r="30" spans="1:22" s="51" customFormat="1" ht="42.75" customHeight="1">
      <c r="A30" s="822">
        <v>42405</v>
      </c>
      <c r="B30" s="824" t="s">
        <v>19419</v>
      </c>
      <c r="C30" s="2001" t="s">
        <v>19420</v>
      </c>
      <c r="D30" s="2001"/>
      <c r="E30" s="2001"/>
      <c r="F30" s="2001"/>
      <c r="G30" s="2001"/>
      <c r="H30" s="2001"/>
      <c r="I30" s="2001"/>
      <c r="J30" s="2001"/>
      <c r="K30" s="2001"/>
      <c r="L30" s="2001"/>
      <c r="M30" s="2001"/>
      <c r="N30" s="2001"/>
      <c r="O30" s="2001"/>
      <c r="P30" s="2001"/>
      <c r="Q30" s="2001"/>
      <c r="R30" s="2001"/>
      <c r="S30" s="2001"/>
      <c r="T30" s="2001"/>
      <c r="U30" s="2001"/>
      <c r="V30" s="2001"/>
    </row>
    <row r="31" spans="1:22" s="51" customFormat="1" ht="42.75" customHeight="1">
      <c r="A31" s="822">
        <v>42409</v>
      </c>
      <c r="B31" s="824" t="s">
        <v>19421</v>
      </c>
      <c r="C31" s="2001" t="s">
        <v>19422</v>
      </c>
      <c r="D31" s="2001"/>
      <c r="E31" s="2001"/>
      <c r="F31" s="2001"/>
      <c r="G31" s="2001"/>
      <c r="H31" s="2001"/>
      <c r="I31" s="2001"/>
      <c r="J31" s="2001"/>
      <c r="K31" s="2001"/>
      <c r="L31" s="2001"/>
      <c r="M31" s="2001"/>
      <c r="N31" s="2001"/>
      <c r="O31" s="2001"/>
      <c r="P31" s="2001"/>
      <c r="Q31" s="2001"/>
      <c r="R31" s="2001"/>
      <c r="S31" s="2001"/>
      <c r="T31" s="2001"/>
      <c r="U31" s="2001"/>
      <c r="V31" s="2001"/>
    </row>
    <row r="32" spans="1:22" s="51" customFormat="1" ht="84.75" customHeight="1">
      <c r="A32" s="822">
        <v>42390</v>
      </c>
      <c r="B32" s="824" t="s">
        <v>19392</v>
      </c>
      <c r="C32" s="2001" t="s">
        <v>19529</v>
      </c>
      <c r="D32" s="2001"/>
      <c r="E32" s="2001"/>
      <c r="F32" s="2001"/>
      <c r="G32" s="2001"/>
      <c r="H32" s="2001"/>
      <c r="I32" s="2001"/>
      <c r="J32" s="2001"/>
      <c r="K32" s="2001"/>
      <c r="L32" s="2001"/>
      <c r="M32" s="2001"/>
      <c r="N32" s="2001"/>
      <c r="O32" s="2001"/>
      <c r="P32" s="2001"/>
      <c r="Q32" s="2001"/>
      <c r="R32" s="2001"/>
      <c r="S32" s="2001"/>
      <c r="T32" s="2001"/>
      <c r="U32" s="2001"/>
      <c r="V32" s="2001"/>
    </row>
    <row r="33" spans="1:22" s="51" customFormat="1" ht="84.75" customHeight="1">
      <c r="A33" s="822">
        <v>42500</v>
      </c>
      <c r="B33" s="824" t="s">
        <v>19530</v>
      </c>
      <c r="C33" s="2001" t="s">
        <v>19706</v>
      </c>
      <c r="D33" s="2001"/>
      <c r="E33" s="2001"/>
      <c r="F33" s="2001"/>
      <c r="G33" s="2001"/>
      <c r="H33" s="2001"/>
      <c r="I33" s="2001"/>
      <c r="J33" s="2001"/>
      <c r="K33" s="2001"/>
      <c r="L33" s="2001"/>
      <c r="M33" s="2001"/>
      <c r="N33" s="2001"/>
      <c r="O33" s="2001"/>
      <c r="P33" s="2001"/>
      <c r="Q33" s="2001"/>
      <c r="R33" s="2001"/>
      <c r="S33" s="2001"/>
      <c r="T33" s="2001"/>
      <c r="U33" s="2001"/>
      <c r="V33" s="2001"/>
    </row>
    <row r="34" spans="1:22" s="51" customFormat="1" ht="42.75" customHeight="1">
      <c r="A34" s="822">
        <v>42591</v>
      </c>
      <c r="B34" s="824" t="s">
        <v>19707</v>
      </c>
      <c r="C34" s="2001" t="s">
        <v>19709</v>
      </c>
      <c r="D34" s="2001"/>
      <c r="E34" s="2001"/>
      <c r="F34" s="2001"/>
      <c r="G34" s="2001"/>
      <c r="H34" s="2001"/>
      <c r="I34" s="2001"/>
      <c r="J34" s="2001"/>
      <c r="K34" s="2001"/>
      <c r="L34" s="2001"/>
      <c r="M34" s="2001"/>
      <c r="N34" s="2001"/>
      <c r="O34" s="2001"/>
      <c r="P34" s="2001"/>
      <c r="Q34" s="2001"/>
      <c r="R34" s="2001"/>
      <c r="S34" s="2001"/>
      <c r="T34" s="2001"/>
      <c r="U34" s="2001"/>
      <c r="V34" s="2001"/>
    </row>
    <row r="35" spans="1:22" s="51" customFormat="1" ht="42.75" customHeight="1">
      <c r="A35" s="822">
        <v>42621</v>
      </c>
      <c r="B35" s="824" t="s">
        <v>19710</v>
      </c>
      <c r="C35" s="2002" t="s">
        <v>19713</v>
      </c>
      <c r="D35" s="2002"/>
      <c r="E35" s="2002"/>
      <c r="F35" s="2002"/>
      <c r="G35" s="2002"/>
      <c r="H35" s="2002"/>
      <c r="I35" s="2002"/>
      <c r="J35" s="2002"/>
      <c r="K35" s="2002"/>
      <c r="L35" s="2002"/>
      <c r="M35" s="2002"/>
      <c r="N35" s="2002"/>
      <c r="O35" s="2002"/>
      <c r="P35" s="2002"/>
      <c r="Q35" s="2002"/>
      <c r="R35" s="2002"/>
      <c r="S35" s="2002"/>
      <c r="T35" s="2002"/>
      <c r="U35" s="2002"/>
      <c r="V35" s="2002"/>
    </row>
    <row r="36" spans="1:22" s="51" customFormat="1" ht="69.75" customHeight="1">
      <c r="A36" s="227">
        <v>42695</v>
      </c>
      <c r="B36" s="824" t="s">
        <v>19820</v>
      </c>
      <c r="C36" s="2001" t="s">
        <v>19819</v>
      </c>
      <c r="D36" s="2001"/>
      <c r="E36" s="2001"/>
      <c r="F36" s="2001"/>
      <c r="G36" s="2001"/>
      <c r="H36" s="2001"/>
      <c r="I36" s="2001"/>
      <c r="J36" s="2001"/>
      <c r="K36" s="2001"/>
      <c r="L36" s="2001"/>
      <c r="M36" s="2001"/>
      <c r="N36" s="2001"/>
      <c r="O36" s="2001"/>
      <c r="P36" s="2001"/>
      <c r="Q36" s="2001"/>
      <c r="R36" s="2001"/>
      <c r="S36" s="2001"/>
      <c r="T36" s="2001"/>
      <c r="U36" s="2001"/>
      <c r="V36" s="2001"/>
    </row>
    <row r="37" spans="1:22" s="51" customFormat="1" ht="42.75" customHeight="1">
      <c r="A37" s="822">
        <v>42828</v>
      </c>
      <c r="B37" s="824" t="s">
        <v>19849</v>
      </c>
      <c r="C37" s="2001" t="s">
        <v>19870</v>
      </c>
      <c r="D37" s="2001"/>
      <c r="E37" s="2001"/>
      <c r="F37" s="2001"/>
      <c r="G37" s="2001"/>
      <c r="H37" s="2001"/>
      <c r="I37" s="2001"/>
      <c r="J37" s="2001"/>
      <c r="K37" s="2001"/>
      <c r="L37" s="2001"/>
      <c r="M37" s="2001"/>
      <c r="N37" s="2001"/>
      <c r="O37" s="2001"/>
      <c r="P37" s="2001"/>
      <c r="Q37" s="2001"/>
      <c r="R37" s="2001"/>
      <c r="S37" s="2001"/>
      <c r="T37" s="2001"/>
      <c r="U37" s="2001"/>
      <c r="V37" s="2001"/>
    </row>
    <row r="38" spans="1:22" s="51" customFormat="1" ht="42.75" customHeight="1">
      <c r="A38" s="822">
        <v>42837</v>
      </c>
      <c r="B38" s="824" t="s">
        <v>19888</v>
      </c>
      <c r="C38" s="2001" t="s">
        <v>19889</v>
      </c>
      <c r="D38" s="2001"/>
      <c r="E38" s="2001"/>
      <c r="F38" s="2001"/>
      <c r="G38" s="2001"/>
      <c r="H38" s="2001"/>
      <c r="I38" s="2001"/>
      <c r="J38" s="2001"/>
      <c r="K38" s="2001"/>
      <c r="L38" s="2001"/>
      <c r="M38" s="2001"/>
      <c r="N38" s="2001"/>
      <c r="O38" s="2001"/>
      <c r="P38" s="2001"/>
      <c r="Q38" s="2001"/>
      <c r="R38" s="2001"/>
      <c r="S38" s="2001"/>
      <c r="T38" s="2001"/>
      <c r="U38" s="2001"/>
      <c r="V38" s="2001"/>
    </row>
    <row r="39" spans="1:22" s="51" customFormat="1" ht="65.25" customHeight="1">
      <c r="A39" s="822">
        <v>42886</v>
      </c>
      <c r="B39" s="824" t="s">
        <v>19897</v>
      </c>
      <c r="C39" s="2001" t="s">
        <v>20052</v>
      </c>
      <c r="D39" s="2002"/>
      <c r="E39" s="2002"/>
      <c r="F39" s="2002"/>
      <c r="G39" s="2002"/>
      <c r="H39" s="2002"/>
      <c r="I39" s="2002"/>
      <c r="J39" s="2002"/>
      <c r="K39" s="2002"/>
      <c r="L39" s="2002"/>
      <c r="M39" s="2002"/>
      <c r="N39" s="2002"/>
      <c r="O39" s="2002"/>
      <c r="P39" s="2002"/>
      <c r="Q39" s="2002"/>
      <c r="R39" s="2002"/>
      <c r="S39" s="2002"/>
      <c r="T39" s="2002"/>
      <c r="U39" s="2002"/>
      <c r="V39" s="2002"/>
    </row>
    <row r="40" spans="1:22" ht="15" customHeight="1">
      <c r="A40" s="822">
        <v>42891</v>
      </c>
      <c r="B40" s="824" t="s">
        <v>20053</v>
      </c>
      <c r="C40" s="2004" t="s">
        <v>20055</v>
      </c>
      <c r="D40" s="2004"/>
      <c r="E40" s="2004"/>
      <c r="F40" s="2004"/>
      <c r="G40" s="2004"/>
      <c r="H40" s="2004"/>
      <c r="I40" s="2004"/>
      <c r="J40" s="2004"/>
      <c r="K40" s="2004"/>
      <c r="L40" s="2004"/>
      <c r="M40" s="2004"/>
      <c r="N40" s="2004"/>
      <c r="O40" s="2004"/>
      <c r="P40" s="2004"/>
      <c r="Q40" s="2004"/>
      <c r="R40" s="2004"/>
      <c r="S40" s="2004"/>
      <c r="T40" s="2004"/>
      <c r="U40" s="2004"/>
      <c r="V40" s="2004"/>
    </row>
    <row r="41" spans="1:22" ht="66" customHeight="1">
      <c r="A41" s="822">
        <v>42983</v>
      </c>
      <c r="B41" s="824" t="s">
        <v>20063</v>
      </c>
      <c r="C41" s="2001" t="s">
        <v>20147</v>
      </c>
      <c r="D41" s="2001"/>
      <c r="E41" s="2001"/>
      <c r="F41" s="2001"/>
      <c r="G41" s="2001"/>
      <c r="H41" s="2001"/>
      <c r="I41" s="2001"/>
      <c r="J41" s="2001"/>
      <c r="K41" s="2001"/>
      <c r="L41" s="2001"/>
      <c r="M41" s="2001"/>
      <c r="N41" s="2001"/>
      <c r="O41" s="2001"/>
      <c r="P41" s="2001"/>
      <c r="Q41" s="2001"/>
      <c r="R41" s="2001"/>
      <c r="S41" s="2001"/>
      <c r="T41" s="2001"/>
      <c r="U41" s="2001"/>
      <c r="V41" s="2001"/>
    </row>
    <row r="42" spans="1:22" ht="31.5" customHeight="1">
      <c r="A42" s="1240">
        <v>43031</v>
      </c>
      <c r="B42" s="824" t="s">
        <v>20151</v>
      </c>
      <c r="C42" s="2003" t="s">
        <v>20152</v>
      </c>
      <c r="D42" s="2003"/>
      <c r="E42" s="2003"/>
      <c r="F42" s="2003"/>
      <c r="G42" s="2003"/>
      <c r="H42" s="2003"/>
      <c r="I42" s="2003"/>
      <c r="J42" s="2003"/>
      <c r="K42" s="2003"/>
      <c r="L42" s="2003"/>
      <c r="M42" s="2003"/>
      <c r="N42" s="2003"/>
      <c r="O42" s="2003"/>
      <c r="P42" s="2003"/>
      <c r="Q42" s="2003"/>
      <c r="R42" s="2003"/>
      <c r="S42" s="2003"/>
      <c r="T42" s="2003"/>
      <c r="U42" s="2003"/>
      <c r="V42" s="2003"/>
    </row>
    <row r="43" spans="1:22" ht="73.5" customHeight="1">
      <c r="A43" s="1240">
        <v>43118</v>
      </c>
      <c r="B43" s="824" t="s">
        <v>20155</v>
      </c>
      <c r="C43" s="2001" t="s">
        <v>20334</v>
      </c>
      <c r="D43" s="2001"/>
      <c r="E43" s="2001"/>
      <c r="F43" s="2001"/>
      <c r="G43" s="2001"/>
      <c r="H43" s="2001"/>
      <c r="I43" s="2001"/>
      <c r="J43" s="2001"/>
      <c r="K43" s="2001"/>
      <c r="L43" s="2001"/>
      <c r="M43" s="2001"/>
      <c r="N43" s="2001"/>
      <c r="O43" s="2001"/>
      <c r="P43" s="2001"/>
      <c r="Q43" s="2001"/>
      <c r="R43" s="2001"/>
      <c r="S43" s="2001"/>
      <c r="T43" s="2001"/>
      <c r="U43" s="2001"/>
      <c r="V43" s="2001"/>
    </row>
    <row r="44" spans="1:22" ht="61.5" customHeight="1">
      <c r="A44" s="1240">
        <v>43207</v>
      </c>
      <c r="B44" s="824" t="s">
        <v>20229</v>
      </c>
      <c r="C44" s="2006" t="s">
        <v>20344</v>
      </c>
      <c r="D44" s="2006"/>
      <c r="E44" s="2006"/>
      <c r="F44" s="2006"/>
      <c r="G44" s="2006"/>
      <c r="H44" s="2006"/>
      <c r="I44" s="2006"/>
      <c r="J44" s="2006"/>
      <c r="K44" s="2006"/>
      <c r="L44" s="2006"/>
      <c r="M44" s="2006"/>
      <c r="N44" s="2006"/>
      <c r="O44" s="2006"/>
      <c r="P44" s="2006"/>
      <c r="Q44" s="2006"/>
      <c r="R44" s="2006"/>
      <c r="S44" s="2006"/>
      <c r="T44" s="2006"/>
      <c r="U44" s="2006"/>
      <c r="V44" s="2006"/>
    </row>
    <row r="45" spans="1:22" ht="45" customHeight="1">
      <c r="A45" s="1240">
        <v>43221</v>
      </c>
      <c r="B45" s="824" t="s">
        <v>20345</v>
      </c>
      <c r="C45" s="1999" t="s">
        <v>20443</v>
      </c>
      <c r="D45" s="2000"/>
      <c r="E45" s="2000"/>
      <c r="F45" s="2000"/>
      <c r="G45" s="2000"/>
      <c r="H45" s="2000"/>
      <c r="I45" s="2000"/>
      <c r="J45" s="2000"/>
      <c r="K45" s="2000"/>
      <c r="L45" s="2000"/>
      <c r="M45" s="2000"/>
      <c r="N45" s="2000"/>
      <c r="O45" s="2000"/>
      <c r="P45" s="2000"/>
      <c r="Q45" s="2000"/>
      <c r="R45" s="2000"/>
      <c r="S45" s="2000"/>
      <c r="T45" s="2000"/>
      <c r="U45" s="2000"/>
      <c r="V45" s="2000"/>
    </row>
    <row r="46" spans="1:22" ht="69" customHeight="1">
      <c r="B46" s="824" t="s">
        <v>20444</v>
      </c>
      <c r="C46" s="2001" t="s">
        <v>20475</v>
      </c>
      <c r="D46" s="2002"/>
      <c r="E46" s="2002"/>
      <c r="F46" s="2002"/>
      <c r="G46" s="2002"/>
      <c r="H46" s="2002"/>
      <c r="I46" s="2002"/>
      <c r="J46" s="2002"/>
      <c r="K46" s="2002"/>
      <c r="L46" s="2002"/>
      <c r="M46" s="2002"/>
      <c r="N46" s="2002"/>
      <c r="O46" s="2002"/>
      <c r="P46" s="2002"/>
      <c r="Q46" s="2002"/>
      <c r="R46" s="2002"/>
      <c r="S46" s="2002"/>
      <c r="T46" s="2002"/>
      <c r="U46" s="2002"/>
      <c r="V46" s="2002"/>
    </row>
    <row r="47" spans="1:22" ht="18" customHeight="1"/>
  </sheetData>
  <customSheetViews>
    <customSheetView guid="{F2CCAFB5-9C02-49AC-87E7-8695C5014AAE}" state="hidden">
      <selection activeCell="C21" sqref="C21"/>
      <pageMargins left="0.7" right="0.7" top="0.75" bottom="0.75" header="0.3" footer="0.3"/>
      <pageSetup orientation="portrait"/>
    </customSheetView>
  </customSheetViews>
  <mergeCells count="46">
    <mergeCell ref="C46:V46"/>
    <mergeCell ref="C44:V44"/>
    <mergeCell ref="C43:V43"/>
    <mergeCell ref="C13:V13"/>
    <mergeCell ref="C14:V14"/>
    <mergeCell ref="C15:V15"/>
    <mergeCell ref="C16:V16"/>
    <mergeCell ref="C24:V24"/>
    <mergeCell ref="C19:V19"/>
    <mergeCell ref="C17:V17"/>
    <mergeCell ref="C18:V18"/>
    <mergeCell ref="C20:V20"/>
    <mergeCell ref="C21:V21"/>
    <mergeCell ref="C22:V22"/>
    <mergeCell ref="C23:V23"/>
    <mergeCell ref="C29:V29"/>
    <mergeCell ref="C30:V30"/>
    <mergeCell ref="C25:V25"/>
    <mergeCell ref="C12:V12"/>
    <mergeCell ref="C1:V1"/>
    <mergeCell ref="C2:V2"/>
    <mergeCell ref="C3:V3"/>
    <mergeCell ref="C4:V4"/>
    <mergeCell ref="C5:V5"/>
    <mergeCell ref="C6:V6"/>
    <mergeCell ref="C7:V7"/>
    <mergeCell ref="C8:V8"/>
    <mergeCell ref="C9:V9"/>
    <mergeCell ref="C10:V10"/>
    <mergeCell ref="C11:V11"/>
    <mergeCell ref="C45:V45"/>
    <mergeCell ref="C26:V26"/>
    <mergeCell ref="C27:V27"/>
    <mergeCell ref="C28:V28"/>
    <mergeCell ref="C42:V42"/>
    <mergeCell ref="C40:V40"/>
    <mergeCell ref="C38:V38"/>
    <mergeCell ref="C39:V39"/>
    <mergeCell ref="C31:V31"/>
    <mergeCell ref="C32:V32"/>
    <mergeCell ref="C33:V33"/>
    <mergeCell ref="C34:V34"/>
    <mergeCell ref="C35:V35"/>
    <mergeCell ref="C36:V36"/>
    <mergeCell ref="C41:V41"/>
    <mergeCell ref="C37:V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theme="0" tint="-0.249977111117893"/>
  </sheetPr>
  <dimension ref="A1:L134"/>
  <sheetViews>
    <sheetView zoomScale="85" zoomScaleNormal="85" workbookViewId="0">
      <selection activeCell="H32" sqref="H32"/>
    </sheetView>
  </sheetViews>
  <sheetFormatPr defaultColWidth="9.140625" defaultRowHeight="12.75"/>
  <cols>
    <col min="1" max="1" width="30.5703125" style="207" bestFit="1" customWidth="1"/>
    <col min="2" max="2" width="56.28515625" style="207" bestFit="1" customWidth="1"/>
    <col min="3" max="3" width="42.5703125" style="207" bestFit="1" customWidth="1"/>
    <col min="4" max="4" width="10.7109375" style="207" bestFit="1" customWidth="1"/>
    <col min="5" max="5" width="26" style="1841" bestFit="1" customWidth="1"/>
    <col min="6" max="6" width="25.85546875" style="1841" bestFit="1" customWidth="1"/>
    <col min="7" max="7" width="14.42578125" style="207" bestFit="1" customWidth="1"/>
    <col min="8" max="8" width="23.85546875" style="207" bestFit="1" customWidth="1"/>
    <col min="9" max="9" width="32" style="207" bestFit="1" customWidth="1"/>
    <col min="10" max="10" width="13.42578125" style="207" bestFit="1" customWidth="1"/>
    <col min="11" max="11" width="26.28515625" style="207" bestFit="1" customWidth="1"/>
    <col min="12" max="16384" width="9.140625" style="207"/>
  </cols>
  <sheetData>
    <row r="1" spans="1:9">
      <c r="A1" s="1776" t="s">
        <v>20185</v>
      </c>
      <c r="B1" s="1777" t="s">
        <v>20183</v>
      </c>
      <c r="C1" s="1777" t="s">
        <v>20184</v>
      </c>
      <c r="D1" s="1643"/>
      <c r="E1" s="1643" t="s">
        <v>20193</v>
      </c>
      <c r="F1" s="1643" t="s">
        <v>20194</v>
      </c>
      <c r="G1" s="1802" t="s">
        <v>20200</v>
      </c>
      <c r="H1" s="1802" t="s">
        <v>20243</v>
      </c>
      <c r="I1" s="1643" t="s">
        <v>19788</v>
      </c>
    </row>
    <row r="2" spans="1:9">
      <c r="A2" s="298"/>
      <c r="B2" s="1779"/>
      <c r="C2" s="1779"/>
      <c r="E2" s="207"/>
      <c r="F2" s="207"/>
      <c r="G2" s="1803"/>
      <c r="H2" s="1803"/>
    </row>
    <row r="3" spans="1:9">
      <c r="A3" s="1778" t="s">
        <v>20181</v>
      </c>
      <c r="B3" s="1779"/>
      <c r="C3" s="1779"/>
      <c r="E3" s="207"/>
      <c r="F3" s="207"/>
      <c r="G3" s="1803"/>
      <c r="H3" s="1803"/>
    </row>
    <row r="4" spans="1:9">
      <c r="A4" s="298" t="s">
        <v>20373</v>
      </c>
      <c r="B4" s="1779"/>
      <c r="C4" s="1779">
        <f>B4</f>
        <v>0</v>
      </c>
      <c r="E4" s="207" t="s">
        <v>20374</v>
      </c>
      <c r="F4" s="207" t="s">
        <v>20299</v>
      </c>
      <c r="G4" s="1803"/>
      <c r="H4" s="1803"/>
    </row>
    <row r="5" spans="1:9">
      <c r="A5" s="298" t="s">
        <v>20160</v>
      </c>
      <c r="B5" s="1779"/>
      <c r="C5" s="1779" t="str">
        <f>IF(NOT('1-Eng Inputs'!C6=0),'1-Eng Inputs'!C6,"")</f>
        <v xml:space="preserve">CED greentech Denver </v>
      </c>
      <c r="E5" s="207" t="s">
        <v>20374</v>
      </c>
      <c r="F5" s="207" t="s">
        <v>20249</v>
      </c>
      <c r="G5" s="1803" t="s">
        <v>20202</v>
      </c>
      <c r="H5" s="1803"/>
    </row>
    <row r="6" spans="1:9">
      <c r="A6" s="298" t="s">
        <v>20431</v>
      </c>
      <c r="B6" s="1779"/>
      <c r="C6" s="1779">
        <f>B6</f>
        <v>0</v>
      </c>
      <c r="E6" s="207" t="s">
        <v>20375</v>
      </c>
      <c r="F6" s="207" t="s">
        <v>20299</v>
      </c>
      <c r="G6" s="1803"/>
      <c r="H6" s="1803"/>
    </row>
    <row r="7" spans="1:9">
      <c r="A7" s="298" t="s">
        <v>20197</v>
      </c>
      <c r="B7" s="1832"/>
      <c r="C7" s="1779" t="str">
        <f>IF(NOT('1-Eng Inputs'!Q7=0),'1-Eng Inputs'!Q7,"")</f>
        <v/>
      </c>
      <c r="E7" s="207" t="s">
        <v>20375</v>
      </c>
      <c r="F7" s="207" t="s">
        <v>20249</v>
      </c>
      <c r="G7" s="1803" t="s">
        <v>20202</v>
      </c>
      <c r="H7" s="1803"/>
    </row>
    <row r="8" spans="1:9">
      <c r="A8" s="298" t="s">
        <v>20198</v>
      </c>
      <c r="B8" s="1832"/>
      <c r="C8" s="1779" t="str">
        <f>IF(NOT('1-Eng Inputs'!Q8=0),'1-Eng Inputs'!Q8,"")</f>
        <v/>
      </c>
      <c r="E8" s="207" t="s">
        <v>20375</v>
      </c>
      <c r="F8" s="207" t="s">
        <v>20376</v>
      </c>
      <c r="G8" s="1803" t="s">
        <v>20203</v>
      </c>
      <c r="H8" s="1803" t="s">
        <v>20209</v>
      </c>
    </row>
    <row r="9" spans="1:9">
      <c r="A9" s="298" t="s">
        <v>20199</v>
      </c>
      <c r="B9" s="1832"/>
      <c r="C9" s="1779" t="str">
        <f>IF(NOT('1-Eng Inputs'!Q9=0),'1-Eng Inputs'!Q9,"")</f>
        <v/>
      </c>
      <c r="E9" s="207" t="s">
        <v>20375</v>
      </c>
      <c r="F9" s="207" t="s">
        <v>20377</v>
      </c>
      <c r="G9" s="1803" t="s">
        <v>20204</v>
      </c>
      <c r="H9" s="1803" t="s">
        <v>20206</v>
      </c>
    </row>
    <row r="10" spans="1:9">
      <c r="A10" s="298" t="s">
        <v>20389</v>
      </c>
      <c r="B10" s="1832"/>
      <c r="C10" s="1779" t="str">
        <f>IF(NOT('1-Eng Inputs'!Q10=0),'1-Eng Inputs'!Q10,"")</f>
        <v/>
      </c>
      <c r="E10" s="207" t="s">
        <v>20375</v>
      </c>
      <c r="F10" s="207" t="s">
        <v>20378</v>
      </c>
      <c r="G10" s="1803" t="s">
        <v>20202</v>
      </c>
      <c r="H10" s="1803"/>
    </row>
    <row r="11" spans="1:9">
      <c r="A11" s="298" t="s">
        <v>20390</v>
      </c>
      <c r="B11" s="1832"/>
      <c r="C11" s="1779" t="str">
        <f>IF(NOT('1-Eng Inputs'!Q11=0),'1-Eng Inputs'!Q11,"")</f>
        <v/>
      </c>
      <c r="E11" s="207" t="s">
        <v>20375</v>
      </c>
      <c r="F11" s="207" t="s">
        <v>20379</v>
      </c>
      <c r="G11" s="1803" t="s">
        <v>20202</v>
      </c>
      <c r="H11" s="1803"/>
    </row>
    <row r="12" spans="1:9">
      <c r="A12" s="298" t="s">
        <v>20391</v>
      </c>
      <c r="B12" s="1832"/>
      <c r="C12" s="1779" t="str">
        <f>IF(NOT('1-Eng Inputs'!Q12=0),'1-Eng Inputs'!Q12,"")</f>
        <v/>
      </c>
      <c r="E12" s="207" t="s">
        <v>20375</v>
      </c>
      <c r="F12" s="207" t="s">
        <v>20380</v>
      </c>
      <c r="G12" s="1803" t="s">
        <v>20202</v>
      </c>
      <c r="H12" s="1803"/>
    </row>
    <row r="13" spans="1:9">
      <c r="A13" s="298" t="s">
        <v>20392</v>
      </c>
      <c r="B13" s="1832"/>
      <c r="C13" s="1779" t="str">
        <f>IF(NOT('1-Eng Inputs'!Q13=0),'1-Eng Inputs'!Q13,"")</f>
        <v/>
      </c>
      <c r="E13" s="207" t="s">
        <v>20375</v>
      </c>
      <c r="F13" s="207" t="s">
        <v>20381</v>
      </c>
      <c r="G13" s="1803" t="s">
        <v>19232</v>
      </c>
      <c r="H13" s="1803" t="s">
        <v>20205</v>
      </c>
    </row>
    <row r="14" spans="1:9">
      <c r="A14" s="298" t="s">
        <v>20393</v>
      </c>
      <c r="B14" s="1832"/>
      <c r="C14" s="1779" t="str">
        <f>IF(NOT('1-Eng Inputs'!Q14=0),'1-Eng Inputs'!Q14,"")</f>
        <v/>
      </c>
      <c r="E14" s="207" t="s">
        <v>20375</v>
      </c>
      <c r="F14" s="207" t="s">
        <v>20382</v>
      </c>
      <c r="G14" s="1803" t="s">
        <v>20207</v>
      </c>
      <c r="H14" s="1803" t="s">
        <v>20208</v>
      </c>
    </row>
    <row r="15" spans="1:9">
      <c r="A15" s="298"/>
      <c r="B15" s="1779"/>
      <c r="C15" s="1779"/>
      <c r="E15" s="207"/>
      <c r="F15" s="207"/>
      <c r="G15" s="1803"/>
      <c r="H15" s="1803"/>
    </row>
    <row r="16" spans="1:9">
      <c r="A16" s="1833" t="s">
        <v>20159</v>
      </c>
      <c r="B16" s="1779"/>
      <c r="C16" s="1779"/>
      <c r="E16" s="207"/>
      <c r="F16" s="207"/>
      <c r="G16" s="1803"/>
      <c r="H16" s="1803"/>
    </row>
    <row r="17" spans="1:8">
      <c r="A17" s="1834" t="s">
        <v>19945</v>
      </c>
      <c r="B17" s="1779"/>
      <c r="C17" s="1779" t="str">
        <f>'1-Eng Inputs'!C3</f>
        <v>EcoFoot 2+</v>
      </c>
      <c r="E17" s="207" t="s">
        <v>20186</v>
      </c>
      <c r="F17" s="207" t="s">
        <v>20248</v>
      </c>
      <c r="G17" s="1803" t="s">
        <v>20205</v>
      </c>
      <c r="H17" s="1803" t="s">
        <v>20205</v>
      </c>
    </row>
    <row r="18" spans="1:8">
      <c r="A18" s="1835" t="s">
        <v>20282</v>
      </c>
      <c r="B18" s="1836"/>
      <c r="C18" s="1836" t="s">
        <v>20283</v>
      </c>
      <c r="D18" s="1830"/>
      <c r="E18" s="1830" t="s">
        <v>20186</v>
      </c>
      <c r="F18" s="1830" t="s">
        <v>20284</v>
      </c>
      <c r="G18" s="1831" t="s">
        <v>20205</v>
      </c>
      <c r="H18" s="1831" t="s">
        <v>20210</v>
      </c>
    </row>
    <row r="19" spans="1:8">
      <c r="A19" s="1834" t="s">
        <v>19704</v>
      </c>
      <c r="B19" s="1837"/>
      <c r="C19" s="1779" t="str">
        <f>'1-Eng Inputs'!C7</f>
        <v xml:space="preserve">Namaste Solar </v>
      </c>
      <c r="E19" s="207" t="s">
        <v>20186</v>
      </c>
      <c r="F19" s="207" t="s">
        <v>20285</v>
      </c>
      <c r="G19" s="1803" t="s">
        <v>20202</v>
      </c>
      <c r="H19" s="1803"/>
    </row>
    <row r="20" spans="1:8">
      <c r="A20" s="1834" t="s">
        <v>19592</v>
      </c>
      <c r="B20" s="1779"/>
      <c r="C20" s="1779" t="str">
        <f>'1-Eng Inputs'!C8</f>
        <v>Patagonia Reno</v>
      </c>
      <c r="D20" s="787"/>
      <c r="E20" s="207" t="s">
        <v>20186</v>
      </c>
      <c r="F20" s="207" t="s">
        <v>20249</v>
      </c>
      <c r="G20" s="1803" t="s">
        <v>20202</v>
      </c>
      <c r="H20" s="1803"/>
    </row>
    <row r="21" spans="1:8">
      <c r="A21" s="1834" t="s">
        <v>19487</v>
      </c>
      <c r="B21" s="1779"/>
      <c r="C21" s="1779" t="str">
        <f>'1-Eng Inputs'!C9</f>
        <v xml:space="preserve">7590 Suagr Pine Court </v>
      </c>
      <c r="E21" s="207" t="s">
        <v>20186</v>
      </c>
      <c r="F21" s="207" t="s">
        <v>20250</v>
      </c>
      <c r="G21" s="1803" t="s">
        <v>20211</v>
      </c>
      <c r="H21" s="1803"/>
    </row>
    <row r="22" spans="1:8" s="298" customFormat="1">
      <c r="A22" s="1834" t="s">
        <v>20313</v>
      </c>
      <c r="B22" s="1832"/>
      <c r="C22" s="1832">
        <f>B22</f>
        <v>0</v>
      </c>
      <c r="E22" s="207" t="s">
        <v>20186</v>
      </c>
      <c r="F22" s="298" t="s">
        <v>20385</v>
      </c>
      <c r="G22" s="1804"/>
      <c r="H22" s="1804"/>
    </row>
    <row r="23" spans="1:8" s="298" customFormat="1">
      <c r="A23" s="1834" t="s">
        <v>20314</v>
      </c>
      <c r="B23" s="1832"/>
      <c r="C23" s="1832">
        <f>B23</f>
        <v>0</v>
      </c>
      <c r="E23" s="207" t="s">
        <v>20186</v>
      </c>
      <c r="F23" s="298" t="s">
        <v>20386</v>
      </c>
      <c r="G23" s="1804"/>
      <c r="H23" s="1804"/>
    </row>
    <row r="24" spans="1:8">
      <c r="A24" s="1834" t="s">
        <v>20161</v>
      </c>
      <c r="B24" s="1837"/>
      <c r="C24" s="1779">
        <f>'1-Eng Inputs'!C10</f>
        <v>89523</v>
      </c>
      <c r="E24" s="207" t="s">
        <v>20186</v>
      </c>
      <c r="F24" s="207" t="s">
        <v>20387</v>
      </c>
      <c r="G24" s="1803" t="s">
        <v>20182</v>
      </c>
      <c r="H24" s="1803" t="s">
        <v>20212</v>
      </c>
    </row>
    <row r="25" spans="1:8">
      <c r="A25" s="1834" t="s">
        <v>20162</v>
      </c>
      <c r="B25" s="1837"/>
      <c r="C25" s="1779" t="str">
        <f>'1-Eng Inputs'!C11</f>
        <v>TPO</v>
      </c>
      <c r="E25" s="207" t="s">
        <v>20186</v>
      </c>
      <c r="F25" s="207" t="s">
        <v>20251</v>
      </c>
      <c r="G25" s="1803" t="s">
        <v>20210</v>
      </c>
      <c r="H25" s="1803"/>
    </row>
    <row r="26" spans="1:8">
      <c r="A26" s="1834" t="s">
        <v>20163</v>
      </c>
      <c r="B26" s="1832"/>
      <c r="C26" s="1779" t="str">
        <f>'1-Eng Inputs'!C13</f>
        <v>NO</v>
      </c>
      <c r="E26" s="207" t="s">
        <v>20186</v>
      </c>
      <c r="F26" s="207" t="s">
        <v>20286</v>
      </c>
      <c r="G26" s="1803" t="s">
        <v>20213</v>
      </c>
      <c r="H26" s="1803" t="s">
        <v>20214</v>
      </c>
    </row>
    <row r="27" spans="1:8">
      <c r="A27" s="1834" t="s">
        <v>20164</v>
      </c>
      <c r="B27" s="1779"/>
      <c r="C27" s="1779" t="str">
        <f>'1-Eng Inputs'!C15</f>
        <v>REC</v>
      </c>
      <c r="E27" s="207" t="s">
        <v>20186</v>
      </c>
      <c r="F27" s="207" t="s">
        <v>20252</v>
      </c>
      <c r="G27" s="1803" t="s">
        <v>20202</v>
      </c>
      <c r="H27" s="1803"/>
    </row>
    <row r="28" spans="1:8">
      <c r="A28" s="1834" t="s">
        <v>20165</v>
      </c>
      <c r="B28" s="1837"/>
      <c r="C28" s="1779" t="str">
        <f>'1-Eng Inputs'!C16</f>
        <v>REC350TP2S-72</v>
      </c>
      <c r="E28" s="207" t="s">
        <v>20186</v>
      </c>
      <c r="F28" s="207" t="s">
        <v>20253</v>
      </c>
      <c r="G28" s="1803" t="s">
        <v>20202</v>
      </c>
      <c r="H28" s="1803"/>
    </row>
    <row r="29" spans="1:8">
      <c r="A29" s="1834" t="s">
        <v>20166</v>
      </c>
      <c r="B29" s="1779"/>
      <c r="C29" s="1779">
        <f>'1-Eng Inputs'!C17</f>
        <v>350</v>
      </c>
      <c r="E29" s="207" t="s">
        <v>20186</v>
      </c>
      <c r="F29" s="207" t="s">
        <v>20254</v>
      </c>
      <c r="G29" s="1803" t="s">
        <v>20207</v>
      </c>
      <c r="H29" s="1803" t="s">
        <v>20215</v>
      </c>
    </row>
    <row r="30" spans="1:8">
      <c r="A30" s="1834" t="s">
        <v>20167</v>
      </c>
      <c r="B30" s="1779"/>
      <c r="C30" s="1801">
        <f>'1-Eng Inputs'!C18</f>
        <v>78.900000000000006</v>
      </c>
      <c r="E30" s="207" t="s">
        <v>20186</v>
      </c>
      <c r="F30" s="207" t="s">
        <v>20287</v>
      </c>
      <c r="G30" s="1803" t="s">
        <v>20216</v>
      </c>
      <c r="H30" s="1803" t="s">
        <v>20217</v>
      </c>
    </row>
    <row r="31" spans="1:8">
      <c r="A31" s="1834" t="s">
        <v>20168</v>
      </c>
      <c r="B31" s="1779"/>
      <c r="C31" s="1801">
        <f>'1-Eng Inputs'!C19</f>
        <v>39.4</v>
      </c>
      <c r="E31" s="207" t="s">
        <v>20186</v>
      </c>
      <c r="F31" s="207" t="s">
        <v>20255</v>
      </c>
      <c r="G31" s="1803" t="s">
        <v>20216</v>
      </c>
      <c r="H31" s="1803" t="s">
        <v>20217</v>
      </c>
    </row>
    <row r="32" spans="1:8">
      <c r="A32" s="1834" t="s">
        <v>20169</v>
      </c>
      <c r="B32" s="1779"/>
      <c r="C32" s="1801">
        <f>'1-Eng Inputs'!C20</f>
        <v>48.5</v>
      </c>
      <c r="E32" s="207" t="s">
        <v>20186</v>
      </c>
      <c r="F32" s="207" t="s">
        <v>20256</v>
      </c>
      <c r="G32" s="1803" t="s">
        <v>20216</v>
      </c>
      <c r="H32" s="1803" t="s">
        <v>20217</v>
      </c>
    </row>
    <row r="33" spans="1:8">
      <c r="A33" s="1834" t="s">
        <v>20170</v>
      </c>
      <c r="B33" s="1837"/>
      <c r="C33" s="1779">
        <f>'1-Eng Inputs'!C23</f>
        <v>208</v>
      </c>
      <c r="E33" s="207" t="s">
        <v>20186</v>
      </c>
      <c r="F33" s="207" t="s">
        <v>20288</v>
      </c>
      <c r="G33" s="1803" t="s">
        <v>20207</v>
      </c>
      <c r="H33" s="1803"/>
    </row>
    <row r="34" spans="1:8">
      <c r="A34" s="1834" t="s">
        <v>20171</v>
      </c>
      <c r="B34" s="1779"/>
      <c r="C34" s="1779">
        <f>'1-Eng Inputs'!C27</f>
        <v>20</v>
      </c>
      <c r="E34" s="207" t="s">
        <v>20186</v>
      </c>
      <c r="F34" s="207" t="s">
        <v>20257</v>
      </c>
      <c r="G34" s="1803" t="s">
        <v>20207</v>
      </c>
      <c r="H34" s="1803" t="s">
        <v>20207</v>
      </c>
    </row>
    <row r="35" spans="1:8">
      <c r="A35" s="1838" t="s">
        <v>20466</v>
      </c>
      <c r="B35" s="1779"/>
      <c r="C35" s="1779">
        <f>'1-Eng Inputs'!C28</f>
        <v>140</v>
      </c>
      <c r="E35" s="207" t="s">
        <v>20186</v>
      </c>
      <c r="F35" s="207" t="s">
        <v>20384</v>
      </c>
      <c r="G35" s="1803" t="s">
        <v>20207</v>
      </c>
      <c r="H35" s="1803" t="s">
        <v>20207</v>
      </c>
    </row>
    <row r="36" spans="1:8">
      <c r="A36" s="1838" t="s">
        <v>20187</v>
      </c>
      <c r="B36" s="1779"/>
      <c r="C36" s="1779" t="str">
        <f>IF(NOT(B36=0),B36,"")</f>
        <v/>
      </c>
      <c r="E36" s="207" t="s">
        <v>20186</v>
      </c>
      <c r="F36" s="207" t="s">
        <v>20289</v>
      </c>
      <c r="G36" s="1803" t="s">
        <v>20207</v>
      </c>
      <c r="H36" s="1803" t="s">
        <v>20207</v>
      </c>
    </row>
    <row r="37" spans="1:8">
      <c r="A37" s="1838" t="s">
        <v>20188</v>
      </c>
      <c r="B37" s="1779"/>
      <c r="C37" s="1779" t="str">
        <f t="shared" ref="C37:C39" si="0">IF(NOT(B37=0),B37,"")</f>
        <v/>
      </c>
      <c r="E37" s="207" t="s">
        <v>20186</v>
      </c>
      <c r="F37" s="207" t="s">
        <v>20290</v>
      </c>
      <c r="G37" s="1803" t="s">
        <v>20207</v>
      </c>
      <c r="H37" s="1803" t="s">
        <v>20207</v>
      </c>
    </row>
    <row r="38" spans="1:8">
      <c r="A38" s="1838" t="s">
        <v>20188</v>
      </c>
      <c r="B38" s="1779"/>
      <c r="C38" s="1779" t="str">
        <f t="shared" si="0"/>
        <v/>
      </c>
      <c r="E38" s="207" t="s">
        <v>20186</v>
      </c>
      <c r="F38" s="207" t="s">
        <v>20291</v>
      </c>
      <c r="G38" s="1803" t="s">
        <v>20207</v>
      </c>
      <c r="H38" s="1803" t="s">
        <v>20207</v>
      </c>
    </row>
    <row r="39" spans="1:8">
      <c r="A39" s="1838" t="s">
        <v>20188</v>
      </c>
      <c r="B39" s="1779"/>
      <c r="C39" s="1779" t="str">
        <f t="shared" si="0"/>
        <v/>
      </c>
      <c r="E39" s="207" t="s">
        <v>20186</v>
      </c>
      <c r="F39" s="207" t="s">
        <v>20292</v>
      </c>
      <c r="G39" s="1803" t="s">
        <v>20207</v>
      </c>
      <c r="H39" s="1803" t="s">
        <v>20207</v>
      </c>
    </row>
    <row r="40" spans="1:8">
      <c r="A40" s="1838" t="s">
        <v>20173</v>
      </c>
      <c r="B40" s="1779"/>
      <c r="C40" s="1779">
        <f>'1-Eng Inputs'!C31</f>
        <v>15</v>
      </c>
      <c r="E40" s="207" t="s">
        <v>20186</v>
      </c>
      <c r="F40" s="207" t="s">
        <v>20258</v>
      </c>
      <c r="G40" s="1803" t="s">
        <v>20207</v>
      </c>
      <c r="H40" s="1803" t="s">
        <v>20207</v>
      </c>
    </row>
    <row r="41" spans="1:8">
      <c r="A41" s="1838" t="s">
        <v>20174</v>
      </c>
      <c r="B41" s="1779"/>
      <c r="C41" s="1779">
        <f>'1-Eng Inputs'!C32</f>
        <v>1.675</v>
      </c>
      <c r="E41" s="207" t="s">
        <v>20186</v>
      </c>
      <c r="F41" s="207" t="s">
        <v>20259</v>
      </c>
      <c r="G41" s="1803" t="s">
        <v>20217</v>
      </c>
      <c r="H41" s="1803" t="s">
        <v>20217</v>
      </c>
    </row>
    <row r="42" spans="1:8">
      <c r="A42" s="1838" t="s">
        <v>19248</v>
      </c>
      <c r="B42" s="1779"/>
      <c r="C42" s="1779" t="str">
        <f>'1-Eng Inputs'!C29</f>
        <v>II</v>
      </c>
      <c r="E42" s="207" t="s">
        <v>20186</v>
      </c>
      <c r="F42" s="207" t="s">
        <v>20260</v>
      </c>
      <c r="G42" s="1803" t="s">
        <v>20205</v>
      </c>
      <c r="H42" s="1803" t="s">
        <v>20210</v>
      </c>
    </row>
    <row r="43" spans="1:8">
      <c r="A43" s="1838" t="s">
        <v>20172</v>
      </c>
      <c r="B43" s="1837"/>
      <c r="C43" s="1779" t="str">
        <f>'1-Eng Inputs'!C30</f>
        <v>C</v>
      </c>
      <c r="E43" s="207" t="s">
        <v>20186</v>
      </c>
      <c r="F43" s="207" t="s">
        <v>20261</v>
      </c>
      <c r="G43" s="1803" t="s">
        <v>20205</v>
      </c>
      <c r="H43" s="1803" t="s">
        <v>20210</v>
      </c>
    </row>
    <row r="44" spans="1:8">
      <c r="A44" s="1838" t="s">
        <v>20175</v>
      </c>
      <c r="B44" s="1837"/>
      <c r="C44" s="1779" t="str">
        <f>'1-Eng Inputs'!C33</f>
        <v>D</v>
      </c>
      <c r="E44" s="207" t="s">
        <v>20186</v>
      </c>
      <c r="F44" s="207" t="s">
        <v>20293</v>
      </c>
      <c r="G44" s="1803" t="s">
        <v>20205</v>
      </c>
      <c r="H44" s="1803" t="s">
        <v>20210</v>
      </c>
    </row>
    <row r="45" spans="1:8">
      <c r="A45" s="1838" t="s">
        <v>20176</v>
      </c>
      <c r="B45" s="1837"/>
      <c r="C45" s="1779">
        <f>'1-Eng Inputs'!C35</f>
        <v>2010</v>
      </c>
      <c r="E45" s="207" t="s">
        <v>20186</v>
      </c>
      <c r="F45" s="207" t="s">
        <v>20294</v>
      </c>
      <c r="G45" s="1803" t="s">
        <v>20205</v>
      </c>
      <c r="H45" s="1803" t="s">
        <v>20210</v>
      </c>
    </row>
    <row r="46" spans="1:8">
      <c r="A46" s="1838" t="s">
        <v>20177</v>
      </c>
      <c r="B46" s="1779"/>
      <c r="C46" s="1779" t="str">
        <f>'1-Eng Inputs'!C37</f>
        <v>Landscape</v>
      </c>
      <c r="E46" s="207" t="s">
        <v>20186</v>
      </c>
      <c r="F46" s="207" t="s">
        <v>20295</v>
      </c>
      <c r="G46" s="1803" t="s">
        <v>20205</v>
      </c>
      <c r="H46" s="1803" t="s">
        <v>20210</v>
      </c>
    </row>
    <row r="47" spans="1:8">
      <c r="A47" s="1838" t="s">
        <v>20178</v>
      </c>
      <c r="B47" s="1779"/>
      <c r="C47" s="1779">
        <f>'1-Eng Inputs'!C38</f>
        <v>32</v>
      </c>
      <c r="E47" s="207" t="s">
        <v>20186</v>
      </c>
      <c r="F47" s="207" t="s">
        <v>20296</v>
      </c>
      <c r="G47" s="1803" t="s">
        <v>20218</v>
      </c>
      <c r="H47" s="1803" t="s">
        <v>20207</v>
      </c>
    </row>
    <row r="48" spans="1:8">
      <c r="A48" s="1838" t="s">
        <v>20179</v>
      </c>
      <c r="B48" s="1779"/>
      <c r="C48" s="1801">
        <f>'1-Eng Inputs'!C41</f>
        <v>1</v>
      </c>
      <c r="E48" s="207" t="s">
        <v>20186</v>
      </c>
      <c r="F48" s="207" t="s">
        <v>20297</v>
      </c>
      <c r="G48" s="1803" t="s">
        <v>20216</v>
      </c>
      <c r="H48" s="1803" t="s">
        <v>20217</v>
      </c>
    </row>
    <row r="49" spans="1:8">
      <c r="A49" s="1838" t="s">
        <v>20180</v>
      </c>
      <c r="B49" s="1779"/>
      <c r="C49" s="1779">
        <f>'1-Eng Inputs'!C44</f>
        <v>27</v>
      </c>
      <c r="E49" s="207" t="s">
        <v>20186</v>
      </c>
      <c r="F49" s="207" t="s">
        <v>20388</v>
      </c>
      <c r="G49" s="1803" t="s">
        <v>20207</v>
      </c>
      <c r="H49" s="1803" t="s">
        <v>20207</v>
      </c>
    </row>
    <row r="50" spans="1:8">
      <c r="A50" s="1838" t="s">
        <v>20189</v>
      </c>
      <c r="B50" s="1832"/>
      <c r="C50" s="1832" t="str">
        <f>'1-Eng Inputs'!B4</f>
        <v/>
      </c>
      <c r="E50" s="207" t="s">
        <v>20186</v>
      </c>
      <c r="F50" s="207" t="s">
        <v>20262</v>
      </c>
      <c r="G50" s="1803" t="s">
        <v>20202</v>
      </c>
      <c r="H50" s="1803" t="s">
        <v>20202</v>
      </c>
    </row>
    <row r="51" spans="1:8">
      <c r="A51" s="1838" t="s">
        <v>20191</v>
      </c>
      <c r="B51" s="1832"/>
      <c r="C51" s="1832">
        <f>B51</f>
        <v>0</v>
      </c>
      <c r="E51" s="207" t="s">
        <v>20186</v>
      </c>
      <c r="F51" s="207" t="s">
        <v>20298</v>
      </c>
      <c r="G51" s="1803" t="s">
        <v>20192</v>
      </c>
      <c r="H51" s="1803" t="s">
        <v>20219</v>
      </c>
    </row>
    <row r="52" spans="1:8">
      <c r="A52" s="1838" t="s">
        <v>20190</v>
      </c>
      <c r="B52" s="1832"/>
      <c r="C52" s="1832">
        <f>B52</f>
        <v>0</v>
      </c>
      <c r="E52" s="207" t="s">
        <v>20186</v>
      </c>
      <c r="F52" s="207" t="s">
        <v>20299</v>
      </c>
      <c r="G52" s="1803" t="s">
        <v>20202</v>
      </c>
      <c r="H52" s="1803" t="s">
        <v>20202</v>
      </c>
    </row>
    <row r="53" spans="1:8">
      <c r="A53" s="1838" t="s">
        <v>20195</v>
      </c>
      <c r="B53" s="1832"/>
      <c r="C53" s="1779">
        <f>'2-Inputs'!G5</f>
        <v>0.6</v>
      </c>
      <c r="E53" s="207" t="s">
        <v>20186</v>
      </c>
      <c r="F53" s="207" t="s">
        <v>20263</v>
      </c>
      <c r="G53" s="1803" t="s">
        <v>20220</v>
      </c>
      <c r="H53" s="1803" t="s">
        <v>20221</v>
      </c>
    </row>
    <row r="54" spans="1:8">
      <c r="A54" s="1838" t="s">
        <v>20383</v>
      </c>
      <c r="B54" s="1832"/>
      <c r="C54" s="1779">
        <f>B54</f>
        <v>0</v>
      </c>
      <c r="E54" s="207" t="s">
        <v>20417</v>
      </c>
      <c r="F54" s="207" t="s">
        <v>20299</v>
      </c>
      <c r="G54" s="1803"/>
      <c r="H54" s="1803"/>
    </row>
    <row r="55" spans="1:8">
      <c r="A55" s="1839"/>
      <c r="B55" s="1840"/>
      <c r="C55" s="1779"/>
      <c r="E55" s="207"/>
      <c r="F55" s="207"/>
    </row>
    <row r="56" spans="1:8">
      <c r="A56" s="1839"/>
      <c r="B56" s="1840"/>
      <c r="C56" s="1779"/>
      <c r="E56" s="207"/>
      <c r="F56" s="207"/>
    </row>
    <row r="57" spans="1:8">
      <c r="A57" s="787"/>
      <c r="B57" s="1841"/>
      <c r="C57" s="1841"/>
      <c r="E57" s="207"/>
      <c r="F57" s="207"/>
    </row>
    <row r="58" spans="1:8" s="298" customFormat="1">
      <c r="A58" s="1883" t="s">
        <v>20300</v>
      </c>
      <c r="B58" s="1884"/>
      <c r="C58" s="1885"/>
      <c r="D58" s="1886"/>
      <c r="E58" s="1886" t="s">
        <v>20432</v>
      </c>
      <c r="F58" s="1886"/>
      <c r="G58" s="1886"/>
      <c r="H58" s="1886"/>
    </row>
    <row r="59" spans="1:8" s="298" customFormat="1">
      <c r="A59" s="1883" t="s">
        <v>20301</v>
      </c>
      <c r="B59" s="1884"/>
      <c r="C59" s="1885"/>
      <c r="D59" s="1886"/>
      <c r="E59" s="1886" t="s">
        <v>20432</v>
      </c>
      <c r="F59" s="1886"/>
      <c r="G59" s="1886"/>
      <c r="H59" s="1886"/>
    </row>
    <row r="60" spans="1:8" s="298" customFormat="1">
      <c r="A60" s="1883" t="s">
        <v>20302</v>
      </c>
      <c r="B60" s="1884"/>
      <c r="C60" s="1885"/>
      <c r="D60" s="1886"/>
      <c r="E60" s="1886" t="s">
        <v>20432</v>
      </c>
      <c r="F60" s="1886"/>
      <c r="G60" s="1886"/>
      <c r="H60" s="1886"/>
    </row>
    <row r="61" spans="1:8" s="298" customFormat="1">
      <c r="A61" s="1886" t="s">
        <v>20303</v>
      </c>
      <c r="B61" s="1884"/>
      <c r="C61" s="1886"/>
      <c r="D61" s="1886"/>
      <c r="E61" s="1890" t="s">
        <v>20432</v>
      </c>
      <c r="F61" s="1885"/>
      <c r="G61" s="1886"/>
      <c r="H61" s="1886"/>
    </row>
    <row r="62" spans="1:8" s="298" customFormat="1">
      <c r="A62" s="1886" t="s">
        <v>20304</v>
      </c>
      <c r="B62" s="1887"/>
      <c r="C62" s="1888">
        <f>'1-Eng Inputs'!C26</f>
        <v>0</v>
      </c>
      <c r="D62" s="1886"/>
      <c r="E62" s="1890" t="s">
        <v>20432</v>
      </c>
      <c r="F62" s="1885"/>
      <c r="G62" s="1886"/>
      <c r="H62" s="1886"/>
    </row>
    <row r="63" spans="1:8" s="298" customFormat="1">
      <c r="A63" s="1886" t="s">
        <v>20305</v>
      </c>
      <c r="B63" s="1884"/>
      <c r="C63" s="1886"/>
      <c r="D63" s="1886"/>
      <c r="E63" s="1890" t="s">
        <v>20432</v>
      </c>
      <c r="F63" s="1885"/>
      <c r="G63" s="1886"/>
      <c r="H63" s="1886"/>
    </row>
    <row r="64" spans="1:8" s="298" customFormat="1">
      <c r="A64" s="1886" t="s">
        <v>20306</v>
      </c>
      <c r="B64" s="1884"/>
      <c r="C64" s="1886"/>
      <c r="D64" s="1886"/>
      <c r="E64" s="1890" t="s">
        <v>20432</v>
      </c>
      <c r="F64" s="1885"/>
      <c r="G64" s="1886"/>
      <c r="H64" s="1886"/>
    </row>
    <row r="65" spans="1:12" s="298" customFormat="1">
      <c r="A65" s="1886" t="s">
        <v>20307</v>
      </c>
      <c r="B65" s="1887"/>
      <c r="C65" s="1888">
        <f>'1-Eng Inputs'!C45</f>
        <v>48</v>
      </c>
      <c r="D65" s="1886"/>
      <c r="E65" s="1890" t="s">
        <v>20432</v>
      </c>
      <c r="F65" s="1885"/>
      <c r="G65" s="1886"/>
      <c r="H65" s="1886"/>
    </row>
    <row r="66" spans="1:12" s="298" customFormat="1">
      <c r="A66" s="1886" t="s">
        <v>20308</v>
      </c>
      <c r="B66" s="1884"/>
      <c r="C66" s="1886"/>
      <c r="D66" s="1886"/>
      <c r="E66" s="1890" t="s">
        <v>20432</v>
      </c>
      <c r="F66" s="1885"/>
      <c r="G66" s="1886"/>
      <c r="H66" s="1886"/>
    </row>
    <row r="67" spans="1:12" s="298" customFormat="1">
      <c r="A67" s="1886" t="s">
        <v>20309</v>
      </c>
      <c r="B67" s="1884"/>
      <c r="C67" s="1886"/>
      <c r="D67" s="1886"/>
      <c r="E67" s="1890" t="s">
        <v>20432</v>
      </c>
      <c r="F67" s="1885"/>
      <c r="G67" s="1886"/>
      <c r="H67" s="1886"/>
    </row>
    <row r="68" spans="1:12" s="298" customFormat="1">
      <c r="A68" s="1886" t="s">
        <v>20310</v>
      </c>
      <c r="B68" s="1884"/>
      <c r="C68" s="1886"/>
      <c r="D68" s="1886"/>
      <c r="E68" s="1890" t="s">
        <v>20432</v>
      </c>
      <c r="F68" s="1885"/>
      <c r="G68" s="1886"/>
      <c r="H68" s="1886"/>
    </row>
    <row r="69" spans="1:12" s="298" customFormat="1">
      <c r="A69" s="1886" t="s">
        <v>20311</v>
      </c>
      <c r="B69" s="1884"/>
      <c r="C69" s="1886"/>
      <c r="D69" s="1886"/>
      <c r="E69" s="1890" t="s">
        <v>20432</v>
      </c>
      <c r="F69" s="1885"/>
      <c r="G69" s="1886"/>
      <c r="H69" s="1886"/>
    </row>
    <row r="70" spans="1:12" s="298" customFormat="1">
      <c r="A70" s="1886" t="s">
        <v>20312</v>
      </c>
      <c r="B70" s="1884"/>
      <c r="C70" s="1886"/>
      <c r="D70" s="1886"/>
      <c r="E70" s="1890" t="s">
        <v>20432</v>
      </c>
      <c r="F70" s="1885"/>
      <c r="G70" s="1886"/>
      <c r="H70" s="1886"/>
    </row>
    <row r="71" spans="1:12" s="298" customFormat="1">
      <c r="A71" s="1886" t="s">
        <v>20325</v>
      </c>
      <c r="B71" s="1884"/>
      <c r="C71" s="1886"/>
      <c r="D71" s="1886"/>
      <c r="E71" s="1890" t="s">
        <v>20432</v>
      </c>
      <c r="F71" s="1885"/>
      <c r="G71" s="1886"/>
      <c r="H71" s="1886"/>
    </row>
    <row r="72" spans="1:12" s="298" customFormat="1">
      <c r="A72" s="1886" t="s">
        <v>20324</v>
      </c>
      <c r="B72" s="1886"/>
      <c r="C72" s="1886"/>
      <c r="D72" s="1886"/>
      <c r="E72" s="1890" t="s">
        <v>20432</v>
      </c>
      <c r="F72" s="1885"/>
      <c r="G72" s="1886"/>
      <c r="H72" s="1886"/>
    </row>
    <row r="74" spans="1:12" s="298" customFormat="1">
      <c r="A74" s="1833"/>
      <c r="B74" s="1833"/>
      <c r="E74" s="1779"/>
      <c r="F74" s="1779"/>
    </row>
    <row r="75" spans="1:12" s="298" customFormat="1">
      <c r="A75" s="1842" t="str">
        <f>'2-Inputs'!C7</f>
        <v>PART NUMBER</v>
      </c>
      <c r="B75" s="1842" t="str">
        <f>'2-Inputs'!B7</f>
        <v>PART NAME</v>
      </c>
      <c r="C75" s="1843" t="str">
        <f>'2-Inputs'!D7</f>
        <v>LIST PRICE</v>
      </c>
      <c r="D75" s="1843" t="str">
        <f>'2-Inputs'!E7</f>
        <v>PRICE</v>
      </c>
      <c r="E75" s="1777" t="s">
        <v>20241</v>
      </c>
      <c r="F75" s="1777" t="s">
        <v>20242</v>
      </c>
      <c r="G75" s="1795"/>
      <c r="H75" s="1776" t="s">
        <v>20193</v>
      </c>
      <c r="I75" s="1776" t="s">
        <v>20194</v>
      </c>
      <c r="J75" s="1776" t="s">
        <v>20200</v>
      </c>
      <c r="K75" s="1776" t="s">
        <v>20201</v>
      </c>
      <c r="L75" s="1776" t="s">
        <v>19788</v>
      </c>
    </row>
    <row r="76" spans="1:12" s="298" customFormat="1">
      <c r="A76" s="1844" t="str">
        <f>'2-Inputs'!C8</f>
        <v>ECO-002_207</v>
      </c>
      <c r="B76" s="1844" t="str">
        <f>'2-Inputs'!B8</f>
        <v>EcoFoot2+ Base</v>
      </c>
      <c r="C76" s="1845">
        <f>'2-Inputs'!D8</f>
        <v>30.78</v>
      </c>
      <c r="D76" s="1845">
        <f>ROUND(C76*'2-Inputs'!$G$5,2)</f>
        <v>18.47</v>
      </c>
      <c r="E76" s="1796">
        <v>0</v>
      </c>
      <c r="F76" s="1846">
        <f>'2-Inputs'!F8</f>
        <v>0</v>
      </c>
      <c r="G76" s="1847"/>
      <c r="H76" s="1797" t="s">
        <v>20196</v>
      </c>
    </row>
    <row r="77" spans="1:12" s="298" customFormat="1">
      <c r="A77" s="1848" t="str">
        <f>'2-Inputs'!C9</f>
        <v>ECO-002_142</v>
      </c>
      <c r="B77" s="1848" t="str">
        <f>'2-Inputs'!B9</f>
        <v>EcoFoot2+ Base with EPDM Slip Strips</v>
      </c>
      <c r="C77" s="1849">
        <f>'2-Inputs'!D9</f>
        <v>35.71</v>
      </c>
      <c r="D77" s="1849">
        <f>ROUND(C77*'2-Inputs'!$G$5,2)</f>
        <v>21.43</v>
      </c>
      <c r="E77" s="263">
        <v>0</v>
      </c>
      <c r="F77" s="1850">
        <f>'2-Inputs'!F9</f>
        <v>0</v>
      </c>
      <c r="G77" s="1851"/>
      <c r="H77" s="1730" t="s">
        <v>20196</v>
      </c>
    </row>
    <row r="78" spans="1:12" s="298" customFormat="1">
      <c r="A78" s="1848" t="str">
        <f>'2-Inputs'!C10</f>
        <v>ECO-002_143</v>
      </c>
      <c r="B78" s="1848" t="str">
        <f>'2-Inputs'!B10</f>
        <v>EcoFoot2+ Base with TPO Slip Strips</v>
      </c>
      <c r="C78" s="1849">
        <f>'2-Inputs'!D10</f>
        <v>42.38</v>
      </c>
      <c r="D78" s="1849">
        <f>ROUND(C78*'2-Inputs'!$G$5,2)</f>
        <v>25.43</v>
      </c>
      <c r="E78" s="263">
        <v>0</v>
      </c>
      <c r="F78" s="1850">
        <f>'2-Inputs'!F10</f>
        <v>0</v>
      </c>
      <c r="G78" s="1851"/>
      <c r="H78" s="1730" t="s">
        <v>20196</v>
      </c>
    </row>
    <row r="79" spans="1:12" s="298" customFormat="1">
      <c r="A79" s="1848" t="str">
        <f>'2-Inputs'!C11</f>
        <v>ES10466</v>
      </c>
      <c r="B79" s="1848" t="str">
        <f>'2-Inputs'!B11</f>
        <v>EcoFoot Universal Clamp Kit</v>
      </c>
      <c r="C79" s="1849">
        <f>'2-Inputs'!D11</f>
        <v>28.48</v>
      </c>
      <c r="D79" s="1849">
        <f>ROUND(C79*'2-Inputs'!$G$5,2)</f>
        <v>17.09</v>
      </c>
      <c r="E79" s="263">
        <v>0</v>
      </c>
      <c r="F79" s="1850">
        <f>'2-Inputs'!F11+'2-Inputs'!F22</f>
        <v>0</v>
      </c>
      <c r="G79" s="1851"/>
      <c r="H79" s="1730" t="s">
        <v>20196</v>
      </c>
    </row>
    <row r="80" spans="1:12" s="298" customFormat="1">
      <c r="A80" s="1848" t="str">
        <f>'2-Inputs'!C12</f>
        <v>ES10493</v>
      </c>
      <c r="B80" s="1848" t="str">
        <f>'2-Inputs'!B12</f>
        <v>EcoFoot Universal Clamp Kit with Power Accessory Mount</v>
      </c>
      <c r="C80" s="1849">
        <f>'2-Inputs'!D12</f>
        <v>41.03</v>
      </c>
      <c r="D80" s="1849">
        <f>ROUND(C80*'2-Inputs'!$G$5,2)</f>
        <v>24.62</v>
      </c>
      <c r="E80" s="263">
        <v>0</v>
      </c>
      <c r="F80" s="1850">
        <f>'2-Inputs'!F12+'2-Inputs'!F20</f>
        <v>0</v>
      </c>
      <c r="G80" s="1851"/>
      <c r="H80" s="1730" t="s">
        <v>20196</v>
      </c>
    </row>
    <row r="81" spans="1:11" s="298" customFormat="1">
      <c r="A81" s="1877" t="s">
        <v>20355</v>
      </c>
      <c r="B81" s="1877" t="s">
        <v>20359</v>
      </c>
      <c r="C81" s="1878">
        <v>8.6199999999999992</v>
      </c>
      <c r="D81" s="1879">
        <f>ROUND(C81*'2-Inputs'!$G$5,2)</f>
        <v>5.17</v>
      </c>
      <c r="E81" s="1880">
        <v>0</v>
      </c>
      <c r="F81" s="1881">
        <f>IF(NOT(E81=0),'2-Inputs'!$F$13,0)</f>
        <v>0</v>
      </c>
      <c r="G81" s="1882"/>
      <c r="H81" s="1877" t="s">
        <v>20196</v>
      </c>
    </row>
    <row r="82" spans="1:11" s="298" customFormat="1">
      <c r="A82" s="1877" t="s">
        <v>20353</v>
      </c>
      <c r="B82" s="1877" t="s">
        <v>20360</v>
      </c>
      <c r="C82" s="1878">
        <v>13.72</v>
      </c>
      <c r="D82" s="1879">
        <f>ROUND(C82*'2-Inputs'!$G$5,2)</f>
        <v>8.23</v>
      </c>
      <c r="E82" s="1880">
        <v>0</v>
      </c>
      <c r="F82" s="1881">
        <f>IF(NOT(E82=0),'2-Inputs'!$F$13,0)</f>
        <v>0</v>
      </c>
      <c r="G82" s="1882"/>
      <c r="H82" s="1877" t="s">
        <v>20196</v>
      </c>
    </row>
    <row r="83" spans="1:11" s="298" customFormat="1">
      <c r="A83" s="1877" t="s">
        <v>20354</v>
      </c>
      <c r="B83" s="1877" t="s">
        <v>20361</v>
      </c>
      <c r="C83" s="1878">
        <v>16.07</v>
      </c>
      <c r="D83" s="1879">
        <f>ROUND(C83*'2-Inputs'!$G$5,2)</f>
        <v>9.64</v>
      </c>
      <c r="E83" s="1880" t="str">
        <f>IF('2-Inputs'!K17="YES",'2-Inputs'!L21,"0")</f>
        <v>0</v>
      </c>
      <c r="F83" s="1881" t="str">
        <f>IF(NOT(E83=0),'2-Inputs'!$F$13,0)</f>
        <v>0</v>
      </c>
      <c r="G83" s="1882"/>
      <c r="H83" s="1877" t="s">
        <v>20196</v>
      </c>
    </row>
    <row r="84" spans="1:11" s="298" customFormat="1">
      <c r="A84" s="1877" t="s">
        <v>20356</v>
      </c>
      <c r="B84" s="1877" t="s">
        <v>20362</v>
      </c>
      <c r="C84" s="1878">
        <v>32.630000000000003</v>
      </c>
      <c r="D84" s="1879">
        <f>ROUND(C84*'2-Inputs'!$G$5,2)</f>
        <v>19.579999999999998</v>
      </c>
      <c r="E84" s="1880">
        <v>0</v>
      </c>
      <c r="F84" s="1881">
        <f>IF(NOT(E84=0),'2-Inputs'!$F$13,0)</f>
        <v>0</v>
      </c>
      <c r="G84" s="1882"/>
      <c r="H84" s="1877" t="s">
        <v>20196</v>
      </c>
    </row>
    <row r="85" spans="1:11" s="298" customFormat="1">
      <c r="A85" s="1877" t="s">
        <v>20357</v>
      </c>
      <c r="B85" s="1877" t="s">
        <v>20363</v>
      </c>
      <c r="C85" s="1878">
        <v>31.08</v>
      </c>
      <c r="D85" s="1879">
        <f>ROUND(C85*'2-Inputs'!$G$5,2)</f>
        <v>18.649999999999999</v>
      </c>
      <c r="E85" s="1880">
        <v>0</v>
      </c>
      <c r="F85" s="1881">
        <f>IF(NOT(E85=0),'2-Inputs'!$F$13,0)</f>
        <v>0</v>
      </c>
      <c r="G85" s="1882"/>
      <c r="H85" s="1877" t="s">
        <v>20196</v>
      </c>
    </row>
    <row r="86" spans="1:11" s="298" customFormat="1">
      <c r="A86" s="1877" t="s">
        <v>20358</v>
      </c>
      <c r="B86" s="1877" t="s">
        <v>20364</v>
      </c>
      <c r="C86" s="1878">
        <v>36.4</v>
      </c>
      <c r="D86" s="1879">
        <f>ROUND(C86*'2-Inputs'!$G$5,2)</f>
        <v>21.84</v>
      </c>
      <c r="E86" s="1880">
        <v>0</v>
      </c>
      <c r="F86" s="1881">
        <f>IF(NOT(E86=0),'2-Inputs'!$F$13,0)</f>
        <v>0</v>
      </c>
      <c r="G86" s="1882"/>
      <c r="H86" s="1877" t="s">
        <v>20196</v>
      </c>
    </row>
    <row r="87" spans="1:11" s="298" customFormat="1">
      <c r="A87" s="1877" t="s">
        <v>20407</v>
      </c>
      <c r="B87" s="1877" t="s">
        <v>20406</v>
      </c>
      <c r="C87" s="1878">
        <v>18.739999999999998</v>
      </c>
      <c r="D87" s="1879">
        <f>ROUND(C87*'2-Inputs'!$G$5,2)</f>
        <v>11.24</v>
      </c>
      <c r="E87" s="1880">
        <v>0</v>
      </c>
      <c r="F87" s="1881">
        <f>IF(NOT(E87=0),'2-Inputs'!$F$13,0)</f>
        <v>0</v>
      </c>
      <c r="G87" s="1882"/>
      <c r="H87" s="1877" t="s">
        <v>20196</v>
      </c>
    </row>
    <row r="88" spans="1:11" s="298" customFormat="1">
      <c r="A88" s="1848" t="str">
        <f>'2-Inputs'!C14</f>
        <v>ES10498</v>
      </c>
      <c r="B88" s="1848" t="str">
        <f>'2-Inputs'!B14</f>
        <v>Lower Universal Mid-Support Bracket</v>
      </c>
      <c r="C88" s="1849">
        <f>'2-Inputs'!D14</f>
        <v>5.17</v>
      </c>
      <c r="D88" s="1849">
        <f>ROUND(C88*'2-Inputs'!$G$5,2)</f>
        <v>3.1</v>
      </c>
      <c r="E88" s="263">
        <v>0</v>
      </c>
      <c r="F88" s="1850">
        <f>'2-Inputs'!F14</f>
        <v>0</v>
      </c>
      <c r="G88" s="1851"/>
      <c r="H88" s="1730" t="s">
        <v>20196</v>
      </c>
    </row>
    <row r="89" spans="1:11" s="298" customFormat="1">
      <c r="A89" s="1848" t="str">
        <f>'2-Inputs'!C15</f>
        <v>ES10502</v>
      </c>
      <c r="B89" s="1848" t="str">
        <f>'2-Inputs'!B15</f>
        <v>Upper Universal Mid-Support Bracket</v>
      </c>
      <c r="C89" s="1849">
        <f>'2-Inputs'!D15</f>
        <v>5.17</v>
      </c>
      <c r="D89" s="1849">
        <f>ROUND(C89*'2-Inputs'!$G$5,2)</f>
        <v>3.1</v>
      </c>
      <c r="E89" s="263">
        <v>0</v>
      </c>
      <c r="F89" s="1850">
        <f>'2-Inputs'!F15</f>
        <v>0</v>
      </c>
      <c r="G89" s="1851"/>
      <c r="H89" s="1730" t="s">
        <v>20196</v>
      </c>
    </row>
    <row r="90" spans="1:11" s="298" customFormat="1">
      <c r="A90" s="1852" t="str">
        <f>'2-Inputs'!C16</f>
        <v>ES10378</v>
      </c>
      <c r="B90" s="1852" t="str">
        <f>'2-Inputs'!B16</f>
        <v>38" Bonding Jumper</v>
      </c>
      <c r="C90" s="1853">
        <f>'2-Inputs'!D16</f>
        <v>8.75</v>
      </c>
      <c r="D90" s="1853">
        <f>ROUND(C90*'2-Inputs'!$G$5,2)</f>
        <v>5.25</v>
      </c>
      <c r="E90" s="1798">
        <v>0</v>
      </c>
      <c r="F90" s="1854">
        <f>'2-Inputs'!F16</f>
        <v>0</v>
      </c>
      <c r="G90" s="1855"/>
      <c r="H90" s="1799" t="s">
        <v>20196</v>
      </c>
      <c r="K90" s="1730"/>
    </row>
    <row r="91" spans="1:11" s="298" customFormat="1">
      <c r="A91" s="1844" t="str">
        <f>'2-Inputs'!C18</f>
        <v>ES10490</v>
      </c>
      <c r="B91" s="1844" t="str">
        <f>'2-Inputs'!B18</f>
        <v>EcoFoot5D Base</v>
      </c>
      <c r="C91" s="1845">
        <f>'2-Inputs'!D18</f>
        <v>11.42</v>
      </c>
      <c r="D91" s="1845">
        <f>ROUND(C91*'2-Inputs'!$G$5,2)</f>
        <v>6.85</v>
      </c>
      <c r="E91" s="1796">
        <v>0</v>
      </c>
      <c r="F91" s="1846">
        <f>'2-Inputs'!F18</f>
        <v>0</v>
      </c>
      <c r="G91" s="1847"/>
      <c r="H91" s="1797" t="s">
        <v>20196</v>
      </c>
      <c r="K91" s="263"/>
    </row>
    <row r="92" spans="1:11" s="298" customFormat="1">
      <c r="A92" s="1856" t="str">
        <f>"$"&amp;'2-Inputs'!C22</f>
        <v>$ES10488</v>
      </c>
      <c r="B92" s="1856" t="str">
        <f>"$"&amp;'2-Inputs'!B19</f>
        <v>$EcoFoot Universal Clamp Kit</v>
      </c>
      <c r="C92" s="1857">
        <f>'2-Inputs'!D22</f>
        <v>24</v>
      </c>
      <c r="D92" s="1857">
        <f>ROUND(C92*'2-Inputs'!$G$5,2)</f>
        <v>14.4</v>
      </c>
      <c r="E92" s="1789">
        <v>0</v>
      </c>
      <c r="F92" s="1858">
        <f>'2-Inputs'!F19</f>
        <v>0</v>
      </c>
      <c r="G92" s="1859"/>
      <c r="H92" s="1790"/>
      <c r="K92" s="1730"/>
    </row>
    <row r="93" spans="1:11" s="298" customFormat="1">
      <c r="A93" s="1856" t="str">
        <f>"$"&amp;'2-Inputs'!C23</f>
        <v>$ES10480</v>
      </c>
      <c r="B93" s="1856" t="str">
        <f>"$"&amp;'2-Inputs'!B20</f>
        <v>$EcoFoot Universal Clamp Kit with Power Accessory Mount</v>
      </c>
      <c r="C93" s="1857">
        <f>'2-Inputs'!D23</f>
        <v>3.33</v>
      </c>
      <c r="D93" s="1857">
        <f>ROUND(C93*'2-Inputs'!$G$5,2)</f>
        <v>2</v>
      </c>
      <c r="E93" s="1789">
        <v>0</v>
      </c>
      <c r="F93" s="1858">
        <f>'2-Inputs'!F20</f>
        <v>0</v>
      </c>
      <c r="G93" s="1859"/>
      <c r="H93" s="1790"/>
      <c r="K93" s="1730"/>
    </row>
    <row r="94" spans="1:11" s="298" customFormat="1">
      <c r="A94" s="1877" t="s">
        <v>20365</v>
      </c>
      <c r="B94" s="1877" t="s">
        <v>20369</v>
      </c>
      <c r="C94" s="1878">
        <v>9.27</v>
      </c>
      <c r="D94" s="1879">
        <f>ROUND(C94*'2-Inputs'!$G$5,2)</f>
        <v>5.56</v>
      </c>
      <c r="E94" s="1880">
        <v>0</v>
      </c>
      <c r="F94" s="1881">
        <f>IF(NOT(E94=0),'2-Inputs'!$F$21,0)</f>
        <v>0</v>
      </c>
      <c r="G94" s="1882"/>
      <c r="H94" s="1877" t="s">
        <v>20196</v>
      </c>
    </row>
    <row r="95" spans="1:11" s="298" customFormat="1">
      <c r="A95" s="1877" t="s">
        <v>20366</v>
      </c>
      <c r="B95" s="1877" t="s">
        <v>20370</v>
      </c>
      <c r="C95" s="1878">
        <v>10.82</v>
      </c>
      <c r="D95" s="1879">
        <f>ROUND(C95*'2-Inputs'!$G$5,2)</f>
        <v>6.49</v>
      </c>
      <c r="E95" s="1880" t="str">
        <f>IF('2-Inputs'!K17="YES",'2-Inputs'!P21,"0")</f>
        <v>0</v>
      </c>
      <c r="F95" s="1881" t="str">
        <f>IF(NOT(E95=0),'2-Inputs'!$F$21,0)</f>
        <v>0</v>
      </c>
      <c r="G95" s="1882"/>
      <c r="H95" s="1877" t="s">
        <v>20196</v>
      </c>
    </row>
    <row r="96" spans="1:11" s="298" customFormat="1">
      <c r="A96" s="1877" t="s">
        <v>20367</v>
      </c>
      <c r="B96" s="1877" t="s">
        <v>20371</v>
      </c>
      <c r="C96" s="1878">
        <v>20.6</v>
      </c>
      <c r="D96" s="1879">
        <f>ROUND(C96*'2-Inputs'!$G$5,2)</f>
        <v>12.36</v>
      </c>
      <c r="E96" s="1880">
        <v>0</v>
      </c>
      <c r="F96" s="1881">
        <f>IF(NOT(E96=0),'2-Inputs'!$F$22,0)</f>
        <v>0</v>
      </c>
      <c r="G96" s="1882"/>
      <c r="H96" s="1877" t="s">
        <v>20196</v>
      </c>
    </row>
    <row r="97" spans="1:8" s="298" customFormat="1">
      <c r="A97" s="1877" t="s">
        <v>20368</v>
      </c>
      <c r="B97" s="1877" t="s">
        <v>20372</v>
      </c>
      <c r="C97" s="1878">
        <v>24</v>
      </c>
      <c r="D97" s="1879">
        <f>ROUND(C97*'2-Inputs'!$G$5,2)</f>
        <v>14.4</v>
      </c>
      <c r="E97" s="1880" t="str">
        <f>IF('2-Inputs'!K17="YES",'2-Inputs'!P23,"0")</f>
        <v>0</v>
      </c>
      <c r="F97" s="1881" t="str">
        <f>IF(NOT(E97=0),'2-Inputs'!$F$22,0)</f>
        <v>0</v>
      </c>
      <c r="G97" s="1882"/>
      <c r="H97" s="1877" t="s">
        <v>20196</v>
      </c>
    </row>
    <row r="98" spans="1:8" s="298" customFormat="1">
      <c r="A98" s="1848" t="str">
        <f>'2-Inputs'!C23</f>
        <v>ES10480</v>
      </c>
      <c r="B98" s="1848" t="str">
        <f>'2-Inputs'!B23</f>
        <v>EcoFoot5D Mid-Support Kit</v>
      </c>
      <c r="C98" s="1849">
        <f>'2-Inputs'!D23</f>
        <v>3.33</v>
      </c>
      <c r="D98" s="1849">
        <f>ROUND(C98*'2-Inputs'!$G$5,2)</f>
        <v>2</v>
      </c>
      <c r="E98" s="263">
        <v>0</v>
      </c>
      <c r="F98" s="1850">
        <f>'2-Inputs'!F23</f>
        <v>0</v>
      </c>
      <c r="G98" s="1851"/>
      <c r="H98" s="1730" t="s">
        <v>20196</v>
      </c>
    </row>
    <row r="99" spans="1:8" s="298" customFormat="1">
      <c r="A99" s="1848" t="str">
        <f>'2-Inputs'!C24</f>
        <v>ES10786</v>
      </c>
      <c r="B99" s="1848" t="str">
        <f>'2-Inputs'!B24</f>
        <v>Ecofoot5D Attachment Hardware Kit, Ballast Tray</v>
      </c>
      <c r="C99" s="1849">
        <f>'2-Inputs'!D24</f>
        <v>25.14</v>
      </c>
      <c r="D99" s="1849">
        <f>ROUND(C99*'2-Inputs'!$G$5,2)</f>
        <v>15.08</v>
      </c>
      <c r="E99" s="263">
        <v>0</v>
      </c>
      <c r="F99" s="1850">
        <f>'2-Inputs'!F24</f>
        <v>0</v>
      </c>
      <c r="G99" s="1851"/>
      <c r="H99" s="1730" t="s">
        <v>20196</v>
      </c>
    </row>
    <row r="100" spans="1:8" s="298" customFormat="1">
      <c r="A100" s="1848" t="str">
        <f>'2-Inputs'!C25</f>
        <v>ES10787</v>
      </c>
      <c r="B100" s="1848" t="str">
        <f>'2-Inputs'!B25</f>
        <v>Ecofoot5D Attachment Hardware Kit, Strut to Balast Tray</v>
      </c>
      <c r="C100" s="1849">
        <f>'2-Inputs'!D25</f>
        <v>6.93</v>
      </c>
      <c r="D100" s="1849">
        <f>ROUND(C100*'2-Inputs'!$G$5,2)</f>
        <v>4.16</v>
      </c>
      <c r="E100" s="263">
        <v>0</v>
      </c>
      <c r="F100" s="1850">
        <f>'2-Inputs'!F25</f>
        <v>0</v>
      </c>
      <c r="G100" s="1851"/>
      <c r="H100" s="1730" t="s">
        <v>20196</v>
      </c>
    </row>
    <row r="101" spans="1:8" s="298" customFormat="1">
      <c r="A101" s="1852" t="str">
        <f>'2-Inputs'!C26</f>
        <v>ES10788</v>
      </c>
      <c r="B101" s="1852" t="str">
        <f>'2-Inputs'!B26</f>
        <v>Ecofoot5D Attachment Hardware Kit, Strut</v>
      </c>
      <c r="C101" s="1853">
        <f>'2-Inputs'!D26</f>
        <v>56.8</v>
      </c>
      <c r="D101" s="1853">
        <f>ROUND(C101*'2-Inputs'!$G$5,2)</f>
        <v>34.08</v>
      </c>
      <c r="E101" s="1798">
        <v>0</v>
      </c>
      <c r="F101" s="1854">
        <f>'2-Inputs'!F26</f>
        <v>0</v>
      </c>
      <c r="G101" s="1855"/>
      <c r="H101" s="1799" t="s">
        <v>20196</v>
      </c>
    </row>
    <row r="102" spans="1:8" s="298" customFormat="1">
      <c r="A102" s="1844" t="str">
        <f>'2-Inputs'!C28</f>
        <v>ES10813</v>
      </c>
      <c r="B102" s="1844" t="str">
        <f>'2-Inputs'!B28</f>
        <v>EcoTray Rivet</v>
      </c>
      <c r="C102" s="1860">
        <f>'2-Inputs'!D28</f>
        <v>0.31</v>
      </c>
      <c r="D102" s="1845">
        <f>ROUND(C102*'2-Inputs'!$G$5,2)</f>
        <v>0.19</v>
      </c>
      <c r="E102" s="1796" t="s">
        <v>19952</v>
      </c>
      <c r="F102" s="1846">
        <f>'2-Inputs'!F28</f>
        <v>0</v>
      </c>
      <c r="G102" s="1847"/>
      <c r="H102" s="1797" t="s">
        <v>20196</v>
      </c>
    </row>
    <row r="103" spans="1:8" s="298" customFormat="1">
      <c r="A103" s="1848" t="str">
        <f>'2-Inputs'!C29</f>
        <v>ES10811</v>
      </c>
      <c r="B103" s="1848" t="str">
        <f>'2-Inputs'!B29</f>
        <v>EcoTray Cap</v>
      </c>
      <c r="C103" s="1861">
        <f>'2-Inputs'!D29</f>
        <v>61.08</v>
      </c>
      <c r="D103" s="1849">
        <f>ROUND(C103*'2-Inputs'!$G$5,2)</f>
        <v>36.65</v>
      </c>
      <c r="E103" s="263" t="s">
        <v>19952</v>
      </c>
      <c r="F103" s="1850">
        <f>'2-Inputs'!F29</f>
        <v>0</v>
      </c>
      <c r="G103" s="1851"/>
      <c r="H103" s="1730" t="s">
        <v>20196</v>
      </c>
    </row>
    <row r="104" spans="1:8" s="298" customFormat="1">
      <c r="A104" s="1848" t="str">
        <f>'2-Inputs'!C30</f>
        <v>ES10812</v>
      </c>
      <c r="B104" s="1848" t="str">
        <f>'2-Inputs'!B30</f>
        <v>EcoTray Tray</v>
      </c>
      <c r="C104" s="1861">
        <f>'2-Inputs'!D30</f>
        <v>72.58</v>
      </c>
      <c r="D104" s="1849">
        <f>ROUND(C104*'2-Inputs'!$G$5,2)</f>
        <v>43.55</v>
      </c>
      <c r="E104" s="263" t="s">
        <v>19952</v>
      </c>
      <c r="F104" s="1850">
        <f>'2-Inputs'!F30</f>
        <v>0</v>
      </c>
      <c r="G104" s="1851"/>
      <c r="H104" s="1730" t="s">
        <v>20196</v>
      </c>
    </row>
    <row r="105" spans="1:8" s="298" customFormat="1">
      <c r="A105" s="1852" t="str">
        <f>'2-Inputs'!C31</f>
        <v>ES10810</v>
      </c>
      <c r="B105" s="1852" t="str">
        <f>'2-Inputs'!B31</f>
        <v>EcoTray Base</v>
      </c>
      <c r="C105" s="1862">
        <f>'2-Inputs'!D31</f>
        <v>7.33</v>
      </c>
      <c r="D105" s="1853">
        <f>ROUND(C105*'2-Inputs'!$G$5,2)</f>
        <v>4.4000000000000004</v>
      </c>
      <c r="E105" s="1798" t="s">
        <v>19952</v>
      </c>
      <c r="F105" s="1854">
        <f>'2-Inputs'!F31</f>
        <v>0</v>
      </c>
      <c r="G105" s="1855"/>
      <c r="H105" s="1799" t="s">
        <v>20196</v>
      </c>
    </row>
    <row r="106" spans="1:8" s="298" customFormat="1">
      <c r="A106" s="1844" t="str">
        <f>'2-Inputs'!C34</f>
        <v>ECO-002_913</v>
      </c>
      <c r="B106" s="1844" t="str">
        <f>'2-Inputs'!B34</f>
        <v>EcoMount 1 Inverter Kit</v>
      </c>
      <c r="C106" s="1860">
        <f>'2-Inputs'!D34</f>
        <v>310</v>
      </c>
      <c r="D106" s="1845">
        <f>ROUND(C106*'2-Inputs'!$G$5,2)</f>
        <v>186</v>
      </c>
      <c r="E106" s="1796" t="s">
        <v>19952</v>
      </c>
      <c r="F106" s="1846">
        <f>'2-Inputs'!F34</f>
        <v>0</v>
      </c>
      <c r="G106" s="1847"/>
      <c r="H106" s="1797" t="s">
        <v>20196</v>
      </c>
    </row>
    <row r="107" spans="1:8" s="298" customFormat="1">
      <c r="A107" s="1852" t="str">
        <f>'2-Inputs'!C35</f>
        <v>ECO-002_914</v>
      </c>
      <c r="B107" s="1852" t="str">
        <f>'2-Inputs'!B35</f>
        <v>EcoMount 2 Inverter Kit</v>
      </c>
      <c r="C107" s="1862">
        <f>'2-Inputs'!D35</f>
        <v>390</v>
      </c>
      <c r="D107" s="1853">
        <f>ROUND(C107*'2-Inputs'!$G$5,2)</f>
        <v>234</v>
      </c>
      <c r="E107" s="1798" t="s">
        <v>19952</v>
      </c>
      <c r="F107" s="1854">
        <f>'2-Inputs'!F35</f>
        <v>0</v>
      </c>
      <c r="G107" s="1855"/>
      <c r="H107" s="1799" t="s">
        <v>20196</v>
      </c>
    </row>
    <row r="108" spans="1:8" s="298" customFormat="1">
      <c r="A108" s="1844" t="str">
        <f>'2-Inputs'!C38</f>
        <v>UA</v>
      </c>
      <c r="B108" s="1844" t="str">
        <f>'2-Inputs'!B38</f>
        <v>U-Anchor 2400</v>
      </c>
      <c r="C108" s="1860">
        <f>'2-Inputs'!D38</f>
        <v>95.344827586206875</v>
      </c>
      <c r="D108" s="1845">
        <f>ROUND(C108*'2-Inputs'!$G$5,2)</f>
        <v>57.21</v>
      </c>
      <c r="E108" s="1796" t="s">
        <v>19952</v>
      </c>
      <c r="F108" s="1846">
        <f>'2-Inputs'!F38+'2-Inputs'!F48</f>
        <v>0</v>
      </c>
      <c r="G108" s="1847"/>
      <c r="H108" s="1797" t="s">
        <v>20196</v>
      </c>
    </row>
    <row r="109" spans="1:8" s="298" customFormat="1">
      <c r="A109" s="1848" t="str">
        <f>'2-Inputs'!C39</f>
        <v>OMG</v>
      </c>
      <c r="B109" s="1848" t="str">
        <f>'2-Inputs'!B39</f>
        <v>OMG Powergrip Plus</v>
      </c>
      <c r="C109" s="1861">
        <f>'2-Inputs'!D39</f>
        <v>124.14</v>
      </c>
      <c r="D109" s="1849">
        <f>ROUND(C109*'2-Inputs'!$G$5,2)</f>
        <v>74.48</v>
      </c>
      <c r="E109" s="263" t="s">
        <v>19952</v>
      </c>
      <c r="F109" s="1850">
        <f>'2-Inputs'!F39+'2-Inputs'!F49</f>
        <v>0</v>
      </c>
      <c r="G109" s="1851"/>
      <c r="H109" s="1730" t="s">
        <v>20196</v>
      </c>
    </row>
    <row r="110" spans="1:8" s="298" customFormat="1">
      <c r="A110" s="1848" t="str">
        <f>'2-Inputs'!C40</f>
        <v>ECO-002_624</v>
      </c>
      <c r="B110" s="1848" t="str">
        <f>'2-Inputs'!B40</f>
        <v>OMG Powergrip Universal</v>
      </c>
      <c r="C110" s="1861">
        <f>'2-Inputs'!D40</f>
        <v>224.13800000000001</v>
      </c>
      <c r="D110" s="1849">
        <f>ROUND(C110*'2-Inputs'!$G$5,2)</f>
        <v>134.47999999999999</v>
      </c>
      <c r="E110" s="263" t="s">
        <v>19952</v>
      </c>
      <c r="F110" s="1850">
        <f>'2-Inputs'!F40+'2-Inputs'!F50</f>
        <v>0</v>
      </c>
      <c r="G110" s="1851"/>
      <c r="H110" s="1730" t="s">
        <v>20196</v>
      </c>
    </row>
    <row r="111" spans="1:8" s="298" customFormat="1">
      <c r="A111" s="1848" t="str">
        <f>'2-Inputs'!C41</f>
        <v>ECO-002_501</v>
      </c>
      <c r="B111" s="1848" t="str">
        <f>'2-Inputs'!B41</f>
        <v>B22 Galvanized Strut 10'</v>
      </c>
      <c r="C111" s="1861">
        <f>'2-Inputs'!D41</f>
        <v>55.171999999999997</v>
      </c>
      <c r="D111" s="1849">
        <f>ROUND(C111*'2-Inputs'!$G$5,2)</f>
        <v>33.1</v>
      </c>
      <c r="E111" s="263" t="s">
        <v>19952</v>
      </c>
      <c r="F111" s="1850">
        <f>'2-Inputs'!F41</f>
        <v>0</v>
      </c>
      <c r="G111" s="1851"/>
      <c r="H111" s="1730" t="s">
        <v>20196</v>
      </c>
    </row>
    <row r="112" spans="1:8" s="298" customFormat="1">
      <c r="A112" s="1848" t="str">
        <f>'2-Inputs'!C42</f>
        <v>ECO-002_508</v>
      </c>
      <c r="B112" s="1848" t="str">
        <f>'2-Inputs'!B42</f>
        <v>Splice Clevis with 2 Holes</v>
      </c>
      <c r="C112" s="1861">
        <f>'2-Inputs'!D42</f>
        <v>26.276</v>
      </c>
      <c r="D112" s="1849">
        <f>ROUND(C112*'2-Inputs'!$G$5,2)</f>
        <v>15.77</v>
      </c>
      <c r="E112" s="263" t="s">
        <v>19952</v>
      </c>
      <c r="F112" s="1850">
        <f>'2-Inputs'!F42</f>
        <v>0</v>
      </c>
      <c r="G112" s="1851"/>
      <c r="H112" s="1730" t="s">
        <v>20196</v>
      </c>
    </row>
    <row r="113" spans="1:8" s="298" customFormat="1">
      <c r="A113" s="1848" t="str">
        <f>'2-Inputs'!C43</f>
        <v>ECO-002_511</v>
      </c>
      <c r="B113" s="1848" t="str">
        <f>'2-Inputs'!B43</f>
        <v>N228 Galvanized Strut Nut 3/8"-16</v>
      </c>
      <c r="C113" s="1861">
        <f>'2-Inputs'!D43</f>
        <v>1.276</v>
      </c>
      <c r="D113" s="1849">
        <f>ROUND(C113*'2-Inputs'!$G$5,2)</f>
        <v>0.77</v>
      </c>
      <c r="E113" s="263" t="s">
        <v>19952</v>
      </c>
      <c r="F113" s="1850">
        <f>'2-Inputs'!F43</f>
        <v>0</v>
      </c>
      <c r="G113" s="1851"/>
      <c r="H113" s="1730" t="s">
        <v>20196</v>
      </c>
    </row>
    <row r="114" spans="1:8" s="298" customFormat="1">
      <c r="A114" s="1848" t="str">
        <f>'2-Inputs'!C44</f>
        <v>ECO-002_510</v>
      </c>
      <c r="B114" s="1848" t="str">
        <f>'2-Inputs'!B44</f>
        <v xml:space="preserve">Aluminum L-foot and Hardware </v>
      </c>
      <c r="C114" s="1861">
        <f>'2-Inputs'!D44</f>
        <v>7.6210000000000004</v>
      </c>
      <c r="D114" s="1849">
        <f>ROUND(C114*'2-Inputs'!$G$5,2)</f>
        <v>4.57</v>
      </c>
      <c r="E114" s="263" t="s">
        <v>19952</v>
      </c>
      <c r="F114" s="1850">
        <f>'2-Inputs'!F44+'2-Inputs'!F52</f>
        <v>0</v>
      </c>
      <c r="G114" s="1730"/>
      <c r="H114" s="1730" t="s">
        <v>20196</v>
      </c>
    </row>
    <row r="115" spans="1:8" s="298" customFormat="1">
      <c r="A115" s="1848" t="str">
        <f>'2-Inputs'!C45</f>
        <v>ECO-002_513</v>
      </c>
      <c r="B115" s="1848" t="str">
        <f>'2-Inputs'!B45</f>
        <v>3/8" x 1" SS Carriage Bolt</v>
      </c>
      <c r="C115" s="1861">
        <f>'2-Inputs'!D45</f>
        <v>0.41399999999999998</v>
      </c>
      <c r="D115" s="1849">
        <f>ROUND(C115*'2-Inputs'!$G$5,2)</f>
        <v>0.25</v>
      </c>
      <c r="E115" s="263" t="s">
        <v>19952</v>
      </c>
      <c r="F115" s="1850">
        <f>'2-Inputs'!F45</f>
        <v>0</v>
      </c>
      <c r="G115" s="1730"/>
      <c r="H115" s="1730" t="s">
        <v>20196</v>
      </c>
    </row>
    <row r="116" spans="1:8" s="298" customFormat="1">
      <c r="A116" s="1852" t="str">
        <f>'2-Inputs'!C46</f>
        <v>ECO-002_512</v>
      </c>
      <c r="B116" s="1852" t="str">
        <f>'2-Inputs'!B46</f>
        <v>3/8" x 1" SS serated flange bolt</v>
      </c>
      <c r="C116" s="1862">
        <f>'2-Inputs'!D46</f>
        <v>0.86199999999999999</v>
      </c>
      <c r="D116" s="1853">
        <f>ROUND(C116*'2-Inputs'!$G$5,2)</f>
        <v>0.52</v>
      </c>
      <c r="E116" s="1798" t="s">
        <v>19952</v>
      </c>
      <c r="F116" s="1854">
        <f>'2-Inputs'!F46+'2-Inputs'!F54</f>
        <v>0</v>
      </c>
      <c r="G116" s="1799"/>
      <c r="H116" s="1799" t="s">
        <v>20196</v>
      </c>
    </row>
    <row r="117" spans="1:8" s="298" customFormat="1">
      <c r="A117" s="1863" t="str">
        <f>"$"&amp;'2-Inputs'!C48</f>
        <v>$UA</v>
      </c>
      <c r="B117" s="1863" t="str">
        <f>"$"&amp;'2-Inputs'!B48</f>
        <v>$U-Anchor 2400</v>
      </c>
      <c r="C117" s="1864">
        <f>'2-Inputs'!D48</f>
        <v>95.344827586206875</v>
      </c>
      <c r="D117" s="1865">
        <f>ROUND(C117*'2-Inputs'!$G$5,2)</f>
        <v>57.21</v>
      </c>
      <c r="E117" s="1791" t="s">
        <v>19952</v>
      </c>
      <c r="F117" s="1866">
        <f>'2-Inputs'!F48</f>
        <v>0</v>
      </c>
      <c r="G117" s="1792"/>
      <c r="H117" s="1792"/>
    </row>
    <row r="118" spans="1:8" s="298" customFormat="1">
      <c r="A118" s="1856" t="str">
        <f>"$"&amp;'2-Inputs'!C49</f>
        <v>$OMG</v>
      </c>
      <c r="B118" s="1856" t="str">
        <f>"$"&amp;'2-Inputs'!B49</f>
        <v>$OMG Powergrip Plus</v>
      </c>
      <c r="C118" s="1867">
        <f>'2-Inputs'!D49</f>
        <v>124.13800000000001</v>
      </c>
      <c r="D118" s="1857">
        <f>ROUND(C118*'2-Inputs'!$G$5,2)</f>
        <v>74.48</v>
      </c>
      <c r="E118" s="1789" t="s">
        <v>19952</v>
      </c>
      <c r="F118" s="1858">
        <f>'2-Inputs'!F49</f>
        <v>0</v>
      </c>
      <c r="G118" s="1790"/>
      <c r="H118" s="1790"/>
    </row>
    <row r="119" spans="1:8" s="298" customFormat="1">
      <c r="A119" s="1856" t="str">
        <f>"$"&amp;'2-Inputs'!C50</f>
        <v>$ECO-002_624</v>
      </c>
      <c r="B119" s="1856" t="str">
        <f>"$"&amp;'2-Inputs'!B50</f>
        <v>$OMG Powergrip Universal</v>
      </c>
      <c r="C119" s="1867">
        <f>'2-Inputs'!D50</f>
        <v>224.13800000000001</v>
      </c>
      <c r="D119" s="1857">
        <f>ROUND(C119*'2-Inputs'!$G$5,2)</f>
        <v>134.47999999999999</v>
      </c>
      <c r="E119" s="1789" t="s">
        <v>19952</v>
      </c>
      <c r="F119" s="1858">
        <f>'2-Inputs'!F50</f>
        <v>0</v>
      </c>
      <c r="G119" s="1790"/>
      <c r="H119" s="1790"/>
    </row>
    <row r="120" spans="1:8" s="298" customFormat="1">
      <c r="A120" s="1848" t="str">
        <f>'2-Inputs'!C51</f>
        <v>ECO-002_505</v>
      </c>
      <c r="B120" s="1848" t="str">
        <f>'2-Inputs'!B51</f>
        <v>66'' Length Support Bar</v>
      </c>
      <c r="C120" s="1861">
        <f>'2-Inputs'!D51</f>
        <v>18.97</v>
      </c>
      <c r="D120" s="1849">
        <f>ROUND(C120*'2-Inputs'!$G$5,2)</f>
        <v>11.38</v>
      </c>
      <c r="E120" s="263" t="s">
        <v>19952</v>
      </c>
      <c r="F120" s="1850">
        <f>'2-Inputs'!F51</f>
        <v>0</v>
      </c>
      <c r="G120" s="1730"/>
      <c r="H120" s="1730" t="s">
        <v>20196</v>
      </c>
    </row>
    <row r="121" spans="1:8" s="298" customFormat="1">
      <c r="A121" s="1856" t="str">
        <f>"$"&amp;'2-Inputs'!C52</f>
        <v>$ECO-002_510</v>
      </c>
      <c r="B121" s="1856" t="str">
        <f>"$"&amp;'2-Inputs'!B52</f>
        <v xml:space="preserve">$Aluminum L-foot and Hardware </v>
      </c>
      <c r="C121" s="1867">
        <f>'2-Inputs'!D52</f>
        <v>7.6210000000000004</v>
      </c>
      <c r="D121" s="1857">
        <f>ROUND(C121*'2-Inputs'!$G$5,2)</f>
        <v>4.57</v>
      </c>
      <c r="E121" s="1789" t="s">
        <v>19952</v>
      </c>
      <c r="F121" s="1858">
        <f>'2-Inputs'!F52</f>
        <v>0</v>
      </c>
      <c r="G121" s="1790"/>
      <c r="H121" s="1790"/>
    </row>
    <row r="122" spans="1:8" s="298" customFormat="1">
      <c r="A122" s="1848" t="str">
        <f>'2-Inputs'!C53</f>
        <v>ECO-002_514</v>
      </c>
      <c r="B122" s="1848" t="str">
        <f>'2-Inputs'!B53</f>
        <v>EcoX Serrated Hex Flange nut 3/8"</v>
      </c>
      <c r="C122" s="1861">
        <f>'2-Inputs'!D53</f>
        <v>6.7000000000000004E-2</v>
      </c>
      <c r="D122" s="1849">
        <f>ROUND(C122*'2-Inputs'!$G$5,2)</f>
        <v>0.04</v>
      </c>
      <c r="E122" s="263" t="s">
        <v>19952</v>
      </c>
      <c r="F122" s="1850">
        <f>'2-Inputs'!F53</f>
        <v>0</v>
      </c>
      <c r="G122" s="1730"/>
      <c r="H122" s="1730" t="s">
        <v>20196</v>
      </c>
    </row>
    <row r="123" spans="1:8" s="298" customFormat="1">
      <c r="A123" s="1868" t="str">
        <f>"$"&amp;'2-Inputs'!C54</f>
        <v>$ECO-002_512</v>
      </c>
      <c r="B123" s="1868" t="str">
        <f>"$"&amp;'2-Inputs'!B54</f>
        <v>$3/8" x 1" SS serated flange bolt</v>
      </c>
      <c r="C123" s="1869">
        <f>'2-Inputs'!D54</f>
        <v>0.86199999999999999</v>
      </c>
      <c r="D123" s="1870">
        <f>ROUND(C123*'2-Inputs'!$G$5,2)</f>
        <v>0.52</v>
      </c>
      <c r="E123" s="1793" t="s">
        <v>19952</v>
      </c>
      <c r="F123" s="1871">
        <f>'2-Inputs'!F54</f>
        <v>0</v>
      </c>
      <c r="G123" s="1794"/>
      <c r="H123" s="1794"/>
    </row>
    <row r="124" spans="1:8" s="298" customFormat="1">
      <c r="A124" s="1872" t="str">
        <f>'2-Inputs'!C56</f>
        <v>ES10900</v>
      </c>
      <c r="B124" s="1872" t="str">
        <f>'2-Inputs'!B56</f>
        <v>Full PE Stamp</v>
      </c>
      <c r="C124" s="1873">
        <f>'2-Inputs'!D56</f>
        <v>450</v>
      </c>
      <c r="D124" s="1873">
        <f>'2-Inputs'!E56</f>
        <v>450</v>
      </c>
      <c r="E124" s="1800" t="s">
        <v>19952</v>
      </c>
      <c r="F124" s="1874">
        <f>'2-Inputs'!F56</f>
        <v>0</v>
      </c>
      <c r="H124" s="298" t="s">
        <v>20196</v>
      </c>
    </row>
    <row r="125" spans="1:8" s="298" customFormat="1">
      <c r="A125" s="1872" t="str">
        <f>'2-Inputs'!C57</f>
        <v>ES10901</v>
      </c>
      <c r="B125" s="1872" t="str">
        <f>'2-Inputs'!B57</f>
        <v>Full PE Stamp - California</v>
      </c>
      <c r="C125" s="1873">
        <f>'2-Inputs'!D57</f>
        <v>550</v>
      </c>
      <c r="D125" s="1873">
        <f>'2-Inputs'!E57</f>
        <v>550</v>
      </c>
      <c r="E125" s="1800" t="s">
        <v>19952</v>
      </c>
      <c r="F125" s="1874">
        <f>'2-Inputs'!F57</f>
        <v>0</v>
      </c>
      <c r="H125" s="298" t="s">
        <v>20196</v>
      </c>
    </row>
    <row r="126" spans="1:8" s="298" customFormat="1">
      <c r="A126" s="1872" t="str">
        <f>'2-Inputs'!C58</f>
        <v>ES10902</v>
      </c>
      <c r="B126" s="1872" t="str">
        <f>'2-Inputs'!B58</f>
        <v>Full PE Stamp - Canada</v>
      </c>
      <c r="C126" s="1873">
        <f>'2-Inputs'!D58</f>
        <v>550</v>
      </c>
      <c r="D126" s="1873">
        <f>'2-Inputs'!E58</f>
        <v>550</v>
      </c>
      <c r="E126" s="1800" t="s">
        <v>19952</v>
      </c>
      <c r="F126" s="1874">
        <f>'2-Inputs'!F58</f>
        <v>0</v>
      </c>
      <c r="H126" s="298" t="s">
        <v>20196</v>
      </c>
    </row>
    <row r="127" spans="1:8" s="298" customFormat="1">
      <c r="A127" s="1872" t="str">
        <f>'2-Inputs'!C59</f>
        <v>ES10903</v>
      </c>
      <c r="B127" s="1872" t="str">
        <f>'2-Inputs'!B59</f>
        <v>EcoMount Only PE</v>
      </c>
      <c r="C127" s="1873">
        <f>'2-Inputs'!D59</f>
        <v>350</v>
      </c>
      <c r="D127" s="1873">
        <f>'2-Inputs'!E59</f>
        <v>350</v>
      </c>
      <c r="E127" s="1800" t="s">
        <v>19952</v>
      </c>
      <c r="F127" s="1874">
        <f>'2-Inputs'!F59</f>
        <v>0</v>
      </c>
      <c r="H127" s="298" t="s">
        <v>20196</v>
      </c>
    </row>
    <row r="128" spans="1:8" s="298" customFormat="1">
      <c r="A128" s="1872" t="str">
        <f>'2-Inputs'!C60</f>
        <v>ES10904</v>
      </c>
      <c r="B128" s="1872" t="str">
        <f>'2-Inputs'!B60</f>
        <v>PE Re-stamp</v>
      </c>
      <c r="C128" s="1873">
        <f>'2-Inputs'!D60</f>
        <v>300</v>
      </c>
      <c r="D128" s="1873">
        <f>'2-Inputs'!E60</f>
        <v>300</v>
      </c>
      <c r="E128" s="1800" t="s">
        <v>19952</v>
      </c>
      <c r="F128" s="1874">
        <f>'2-Inputs'!F60</f>
        <v>0</v>
      </c>
      <c r="H128" s="298" t="s">
        <v>20196</v>
      </c>
    </row>
    <row r="129" spans="1:8" s="298" customFormat="1">
      <c r="A129" s="1872" t="str">
        <f>'2-Inputs'!C61</f>
        <v>ES10905</v>
      </c>
      <c r="B129" s="1872" t="str">
        <f>'2-Inputs'!B61</f>
        <v>PE Re-stamp (minor)</v>
      </c>
      <c r="C129" s="1873">
        <f>'2-Inputs'!D61</f>
        <v>150</v>
      </c>
      <c r="D129" s="1873">
        <f>'2-Inputs'!E61</f>
        <v>150</v>
      </c>
      <c r="E129" s="1800" t="s">
        <v>19952</v>
      </c>
      <c r="F129" s="1874">
        <f>'2-Inputs'!F61</f>
        <v>0</v>
      </c>
      <c r="H129" s="298" t="s">
        <v>20196</v>
      </c>
    </row>
    <row r="130" spans="1:8">
      <c r="A130" s="1875"/>
      <c r="B130" s="1875"/>
      <c r="C130" s="1876"/>
      <c r="D130" s="1876"/>
      <c r="E130" s="1644"/>
    </row>
    <row r="131" spans="1:8">
      <c r="A131" s="1875"/>
      <c r="B131" s="1875"/>
      <c r="C131" s="1876"/>
      <c r="D131" s="1876"/>
      <c r="E131" s="1644"/>
    </row>
    <row r="132" spans="1:8">
      <c r="A132" s="1875"/>
      <c r="B132" s="1875"/>
      <c r="C132" s="1876"/>
      <c r="D132" s="1876"/>
      <c r="E132" s="1644"/>
    </row>
    <row r="133" spans="1:8">
      <c r="A133" s="1875"/>
      <c r="B133" s="1875"/>
      <c r="C133" s="1876"/>
      <c r="D133" s="1876"/>
      <c r="E133" s="1644"/>
    </row>
    <row r="134" spans="1:8">
      <c r="A134" s="1875"/>
      <c r="B134" s="1875"/>
      <c r="C134" s="1876"/>
      <c r="D134" s="1876"/>
      <c r="E134" s="164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39997558519241921"/>
    <pageSetUpPr autoPageBreaks="0"/>
  </sheetPr>
  <dimension ref="A1:AD375"/>
  <sheetViews>
    <sheetView zoomScaleNormal="100" workbookViewId="0">
      <selection activeCell="C3" sqref="C3"/>
    </sheetView>
  </sheetViews>
  <sheetFormatPr defaultColWidth="8.7109375" defaultRowHeight="18"/>
  <cols>
    <col min="1" max="1" width="22.28515625" style="1346" customWidth="1"/>
    <col min="2" max="2" width="23.7109375" style="1346" customWidth="1"/>
    <col min="3" max="3" width="35.7109375" style="1347" customWidth="1"/>
    <col min="4" max="5" width="7.7109375" style="1244" customWidth="1"/>
    <col min="6" max="12" width="12.42578125" style="1243" customWidth="1"/>
    <col min="13" max="13" width="5.28515625" style="1243" customWidth="1"/>
    <col min="14" max="14" width="11.140625" style="1244" bestFit="1" customWidth="1"/>
    <col min="15" max="15" width="14.85546875" style="1244" bestFit="1" customWidth="1"/>
    <col min="16" max="16" width="10.7109375" style="1244" bestFit="1" customWidth="1"/>
    <col min="17" max="17" width="11.7109375" style="1244" customWidth="1"/>
    <col min="18" max="18" width="10.7109375" style="1244" bestFit="1" customWidth="1"/>
    <col min="19" max="19" width="6.5703125" style="1244" bestFit="1" customWidth="1"/>
    <col min="20" max="20" width="10.140625" style="1244" bestFit="1" customWidth="1"/>
    <col min="21" max="21" width="2.28515625" style="1244" bestFit="1" customWidth="1"/>
    <col min="22" max="22" width="6.42578125" style="1244" bestFit="1" customWidth="1"/>
    <col min="23" max="23" width="10.42578125" style="1244" bestFit="1" customWidth="1"/>
    <col min="24" max="24" width="6.5703125" style="1244" bestFit="1" customWidth="1"/>
    <col min="25" max="25" width="3" style="1244" bestFit="1" customWidth="1"/>
    <col min="26" max="28" width="8.7109375" style="1244"/>
    <col min="29" max="29" width="12.85546875" style="1244" customWidth="1"/>
    <col min="30" max="30" width="13" style="1244" customWidth="1"/>
    <col min="31" max="16384" width="8.7109375" style="1244"/>
  </cols>
  <sheetData>
    <row r="1" spans="1:20" ht="18.75">
      <c r="A1" s="1673"/>
      <c r="B1" s="1674"/>
      <c r="C1" s="1675" t="s">
        <v>267</v>
      </c>
      <c r="D1" s="1676"/>
      <c r="E1" s="1676"/>
      <c r="F1" s="1677"/>
      <c r="G1" s="1677"/>
      <c r="H1" s="1677"/>
      <c r="I1" s="1677"/>
      <c r="J1" s="1677"/>
      <c r="K1" s="1677"/>
      <c r="L1" s="1677"/>
    </row>
    <row r="2" spans="1:20" ht="28.5" customHeight="1" thickBot="1">
      <c r="A2" s="1734" t="s">
        <v>19946</v>
      </c>
      <c r="B2" s="1678"/>
      <c r="C2" s="1697"/>
      <c r="D2" s="1676"/>
      <c r="E2" s="1676"/>
      <c r="F2" s="1677"/>
      <c r="G2" s="1677"/>
      <c r="H2" s="1677"/>
      <c r="I2" s="1677"/>
      <c r="J2" s="1677"/>
      <c r="K2" s="1677"/>
      <c r="L2" s="1677"/>
      <c r="N2" s="1248"/>
    </row>
    <row r="3" spans="1:20" ht="21.75" customHeight="1" thickBot="1">
      <c r="A3" s="1694" t="s">
        <v>19945</v>
      </c>
      <c r="B3" s="1679"/>
      <c r="C3" s="1736" t="s">
        <v>19948</v>
      </c>
      <c r="D3" s="1679"/>
      <c r="E3" s="1679"/>
      <c r="F3" s="1696"/>
      <c r="G3" s="1696"/>
      <c r="H3" s="1696"/>
      <c r="I3" s="1935" t="s">
        <v>20446</v>
      </c>
      <c r="J3" s="1696"/>
      <c r="K3" s="1696"/>
      <c r="L3" s="1251" t="s">
        <v>144</v>
      </c>
    </row>
    <row r="4" spans="1:20" ht="30" customHeight="1">
      <c r="A4" s="1695" t="s">
        <v>20318</v>
      </c>
      <c r="B4" s="1808" t="str">
        <f>IF('2-Inputs'!K17="YES","STOCK ORDER","")&amp;'IN-N-OUT'!B50</f>
        <v/>
      </c>
      <c r="C4" s="1769"/>
      <c r="D4" s="1769"/>
      <c r="E4" s="1769"/>
      <c r="F4" s="1769"/>
      <c r="G4" s="1769"/>
      <c r="H4" s="1769"/>
      <c r="I4" s="1769"/>
      <c r="J4" s="1769"/>
      <c r="K4" s="1769"/>
      <c r="L4" s="1769"/>
    </row>
    <row r="5" spans="1:20" ht="22.5" customHeight="1">
      <c r="A5" s="2057" t="s">
        <v>143</v>
      </c>
      <c r="B5" s="2057"/>
      <c r="C5" s="1375" t="s">
        <v>20467</v>
      </c>
      <c r="D5" s="1665"/>
      <c r="E5" s="1665"/>
      <c r="F5" s="1665"/>
      <c r="G5" s="1665"/>
      <c r="H5" s="1665"/>
      <c r="I5" s="1665"/>
      <c r="J5" s="1665"/>
      <c r="K5" s="1665"/>
      <c r="L5" s="1665"/>
      <c r="N5" s="2022" t="s">
        <v>20319</v>
      </c>
      <c r="O5" s="2023"/>
      <c r="P5" s="2023"/>
      <c r="Q5" s="2023"/>
      <c r="R5" s="2023"/>
      <c r="S5" s="2023"/>
      <c r="T5" s="2024"/>
    </row>
    <row r="6" spans="1:20" ht="22.5" customHeight="1">
      <c r="A6" s="2058" t="s">
        <v>116</v>
      </c>
      <c r="B6" s="2058"/>
      <c r="C6" s="1374" t="s">
        <v>20468</v>
      </c>
      <c r="D6" s="1666"/>
      <c r="E6" s="1666"/>
      <c r="F6" s="1666"/>
      <c r="G6" s="1666"/>
      <c r="H6" s="1666"/>
      <c r="I6" s="1666"/>
      <c r="J6" s="1666"/>
      <c r="K6" s="1666"/>
      <c r="L6" s="1666"/>
      <c r="N6" s="2051" t="s">
        <v>20459</v>
      </c>
      <c r="O6" s="2052"/>
      <c r="P6" s="2052"/>
      <c r="Q6" s="2025">
        <f>'IN-N-OUT'!B5</f>
        <v>0</v>
      </c>
      <c r="R6" s="2025"/>
      <c r="S6" s="2025"/>
      <c r="T6" s="2026"/>
    </row>
    <row r="7" spans="1:20" ht="22.5" customHeight="1">
      <c r="A7" s="1252" t="s">
        <v>19703</v>
      </c>
      <c r="B7" s="1252"/>
      <c r="C7" s="1375" t="s">
        <v>20469</v>
      </c>
      <c r="D7" s="2048" t="s">
        <v>19705</v>
      </c>
      <c r="E7" s="2048"/>
      <c r="F7" s="2048"/>
      <c r="G7" s="2048"/>
      <c r="H7" s="2048"/>
      <c r="I7" s="2048"/>
      <c r="J7" s="2048"/>
      <c r="K7" s="2048"/>
      <c r="L7" s="2048"/>
      <c r="N7" s="2053" t="s">
        <v>20418</v>
      </c>
      <c r="O7" s="2054"/>
      <c r="P7" s="2054"/>
      <c r="Q7" s="2027">
        <f>'IN-N-OUT'!B7</f>
        <v>0</v>
      </c>
      <c r="R7" s="2027"/>
      <c r="S7" s="2027"/>
      <c r="T7" s="2028"/>
    </row>
    <row r="8" spans="1:20" ht="22.5" customHeight="1">
      <c r="A8" s="2058" t="s">
        <v>122</v>
      </c>
      <c r="B8" s="2058"/>
      <c r="C8" s="1374" t="s">
        <v>20470</v>
      </c>
      <c r="D8" s="1748" t="s">
        <v>20331</v>
      </c>
      <c r="E8" s="1666"/>
      <c r="F8" s="1666"/>
      <c r="G8" s="1666"/>
      <c r="H8" s="1666"/>
      <c r="I8" s="1666"/>
      <c r="J8" s="1666"/>
      <c r="K8" s="1666"/>
      <c r="L8" s="1666"/>
      <c r="N8" s="2055" t="s">
        <v>20198</v>
      </c>
      <c r="O8" s="2056"/>
      <c r="P8" s="2056"/>
      <c r="Q8" s="2029">
        <f>'IN-N-OUT'!B8</f>
        <v>0</v>
      </c>
      <c r="R8" s="2029"/>
      <c r="S8" s="2029"/>
      <c r="T8" s="2030"/>
    </row>
    <row r="9" spans="1:20" ht="22.5" customHeight="1">
      <c r="A9" s="2059" t="s">
        <v>100</v>
      </c>
      <c r="B9" s="2059"/>
      <c r="C9" s="1375" t="s">
        <v>20471</v>
      </c>
      <c r="D9" s="2038" t="s">
        <v>19324</v>
      </c>
      <c r="E9" s="2039"/>
      <c r="F9" s="2039"/>
      <c r="G9" s="2039"/>
      <c r="H9" s="2039"/>
      <c r="I9" s="2039"/>
      <c r="J9" s="2039"/>
      <c r="K9" s="2039"/>
      <c r="L9" s="2039"/>
      <c r="M9" s="1253"/>
      <c r="N9" s="2013" t="s">
        <v>20199</v>
      </c>
      <c r="O9" s="2014"/>
      <c r="P9" s="2014"/>
      <c r="Q9" s="2027">
        <f>'IN-N-OUT'!B9</f>
        <v>0</v>
      </c>
      <c r="R9" s="2027"/>
      <c r="S9" s="2027"/>
      <c r="T9" s="2028"/>
    </row>
    <row r="10" spans="1:20" ht="22.5" customHeight="1">
      <c r="A10" s="2060" t="s">
        <v>98</v>
      </c>
      <c r="B10" s="2060"/>
      <c r="C10" s="1254">
        <v>89523</v>
      </c>
      <c r="D10" s="2037" t="str">
        <f>C9&amp;", "&amp;(VLOOKUP('1-Eng Inputs'!C10,ZIPS!A3:B41874,2))&amp;", "&amp;(VLOOKUP('1-Eng Inputs'!C10,ZIPS!A3:C41874,3))&amp;" "&amp;'1-Eng Inputs'!C10</f>
        <v>7590 Suagr Pine Court , Reno, NV 89523</v>
      </c>
      <c r="E10" s="2037"/>
      <c r="F10" s="2037"/>
      <c r="G10" s="2037"/>
      <c r="H10" s="2037"/>
      <c r="I10" s="2037"/>
      <c r="J10" s="2037"/>
      <c r="K10" s="2037"/>
      <c r="L10" s="2037"/>
      <c r="M10" s="1255"/>
      <c r="N10" s="2015" t="s">
        <v>20389</v>
      </c>
      <c r="O10" s="2016"/>
      <c r="P10" s="2016"/>
      <c r="Q10" s="2029">
        <f>'IN-N-OUT'!B10</f>
        <v>0</v>
      </c>
      <c r="R10" s="2029"/>
      <c r="S10" s="2029"/>
      <c r="T10" s="2030"/>
    </row>
    <row r="11" spans="1:20" ht="22.5" customHeight="1">
      <c r="A11" s="2059" t="s">
        <v>138</v>
      </c>
      <c r="B11" s="2059"/>
      <c r="C11" s="1250" t="s">
        <v>121</v>
      </c>
      <c r="D11" s="2035" t="s">
        <v>155</v>
      </c>
      <c r="E11" s="2036"/>
      <c r="F11" s="2036"/>
      <c r="G11" s="2036"/>
      <c r="H11" s="2036"/>
      <c r="I11" s="2036"/>
      <c r="J11" s="2036"/>
      <c r="K11" s="2036"/>
      <c r="L11" s="2036"/>
      <c r="N11" s="2017" t="s">
        <v>20390</v>
      </c>
      <c r="O11" s="2014"/>
      <c r="P11" s="2014"/>
      <c r="Q11" s="2027">
        <f>'IN-N-OUT'!B11</f>
        <v>0</v>
      </c>
      <c r="R11" s="2027"/>
      <c r="S11" s="2027"/>
      <c r="T11" s="2028"/>
    </row>
    <row r="12" spans="1:20" ht="22.5" customHeight="1">
      <c r="A12" s="2060" t="s">
        <v>386</v>
      </c>
      <c r="B12" s="2060"/>
      <c r="C12" s="1251" t="s">
        <v>144</v>
      </c>
      <c r="D12" s="2033" t="s">
        <v>20332</v>
      </c>
      <c r="E12" s="2034"/>
      <c r="F12" s="2034"/>
      <c r="G12" s="2034"/>
      <c r="H12" s="2034"/>
      <c r="I12" s="2034"/>
      <c r="J12" s="2034"/>
      <c r="K12" s="2034"/>
      <c r="L12" s="2034"/>
      <c r="N12" s="2015" t="s">
        <v>20391</v>
      </c>
      <c r="O12" s="2016"/>
      <c r="P12" s="2016"/>
      <c r="Q12" s="2029">
        <f>'IN-N-OUT'!B12</f>
        <v>0</v>
      </c>
      <c r="R12" s="2029"/>
      <c r="S12" s="2029"/>
      <c r="T12" s="2030"/>
    </row>
    <row r="13" spans="1:20" ht="22.5" customHeight="1">
      <c r="A13" s="2059" t="s">
        <v>461</v>
      </c>
      <c r="B13" s="2059"/>
      <c r="C13" s="1250" t="s">
        <v>144</v>
      </c>
      <c r="D13" s="2036" t="s">
        <v>20153</v>
      </c>
      <c r="E13" s="2036"/>
      <c r="F13" s="2036"/>
      <c r="G13" s="2036"/>
      <c r="H13" s="2036"/>
      <c r="I13" s="2036"/>
      <c r="J13" s="2036"/>
      <c r="K13" s="2036"/>
      <c r="L13" s="2036"/>
      <c r="N13" s="2017" t="s">
        <v>20392</v>
      </c>
      <c r="O13" s="2014"/>
      <c r="P13" s="2014"/>
      <c r="Q13" s="2027">
        <f>'IN-N-OUT'!B13</f>
        <v>0</v>
      </c>
      <c r="R13" s="2027"/>
      <c r="S13" s="2027"/>
      <c r="T13" s="2028"/>
    </row>
    <row r="14" spans="1:20" ht="30" customHeight="1">
      <c r="A14" s="1735" t="s">
        <v>146</v>
      </c>
      <c r="B14" s="1671"/>
      <c r="C14" s="1681"/>
      <c r="D14" s="1680"/>
      <c r="E14" s="1680"/>
      <c r="F14" s="1672"/>
      <c r="G14" s="1672"/>
      <c r="H14" s="1672"/>
      <c r="I14" s="1672"/>
      <c r="J14" s="1672"/>
      <c r="K14" s="1672"/>
      <c r="L14" s="1672"/>
      <c r="N14" s="2018" t="s">
        <v>20393</v>
      </c>
      <c r="O14" s="2019"/>
      <c r="P14" s="2019"/>
      <c r="Q14" s="2040">
        <f>'IN-N-OUT'!B14</f>
        <v>0</v>
      </c>
      <c r="R14" s="2040"/>
      <c r="S14" s="2040"/>
      <c r="T14" s="2041"/>
    </row>
    <row r="15" spans="1:20" ht="22.5" customHeight="1" thickBot="1">
      <c r="A15" s="2065" t="s">
        <v>111</v>
      </c>
      <c r="B15" s="2065"/>
      <c r="C15" s="1256" t="s">
        <v>20472</v>
      </c>
      <c r="D15" s="1749" t="s">
        <v>20333</v>
      </c>
      <c r="E15" s="1667"/>
      <c r="F15" s="1667"/>
      <c r="G15" s="1667"/>
      <c r="H15" s="1667"/>
      <c r="I15" s="1667"/>
      <c r="J15" s="1667"/>
      <c r="K15" s="1667"/>
      <c r="L15" s="1667"/>
      <c r="N15" s="2020" t="s">
        <v>20422</v>
      </c>
      <c r="O15" s="2021"/>
      <c r="P15" s="2021"/>
      <c r="Q15" s="2042">
        <f>'IN-N-OUT'!B64</f>
        <v>0</v>
      </c>
      <c r="R15" s="2042"/>
      <c r="S15" s="2042"/>
      <c r="T15" s="2043"/>
    </row>
    <row r="16" spans="1:20" ht="22.5" customHeight="1">
      <c r="A16" s="2066" t="s">
        <v>38</v>
      </c>
      <c r="B16" s="2066"/>
      <c r="C16" s="1257" t="s">
        <v>20473</v>
      </c>
      <c r="D16" s="2071" t="s">
        <v>20326</v>
      </c>
      <c r="E16" s="2072"/>
      <c r="F16" s="1668"/>
      <c r="G16" s="1668"/>
      <c r="H16" s="1668"/>
      <c r="I16" s="1668"/>
      <c r="J16" s="1668"/>
      <c r="K16" s="1668"/>
      <c r="L16" s="1668"/>
      <c r="N16" s="2009" t="s">
        <v>20421</v>
      </c>
      <c r="O16" s="2010"/>
      <c r="P16" s="2010"/>
      <c r="Q16" s="2044">
        <f>'IN-N-OUT'!B58</f>
        <v>0</v>
      </c>
      <c r="R16" s="2044"/>
      <c r="S16" s="2044"/>
      <c r="T16" s="2045"/>
    </row>
    <row r="17" spans="1:20" ht="22.5" customHeight="1" thickBot="1">
      <c r="A17" s="2065" t="s">
        <v>147</v>
      </c>
      <c r="B17" s="2065"/>
      <c r="C17" s="1256">
        <v>350</v>
      </c>
      <c r="D17" s="1732" t="s">
        <v>19325</v>
      </c>
      <c r="E17" s="1733" t="s">
        <v>20315</v>
      </c>
      <c r="F17" s="1667"/>
      <c r="G17" s="1667"/>
      <c r="H17" s="1667"/>
      <c r="I17" s="1667"/>
      <c r="J17" s="1667"/>
      <c r="K17" s="1667"/>
      <c r="L17" s="1667"/>
      <c r="N17" s="2020" t="s">
        <v>20419</v>
      </c>
      <c r="O17" s="2021"/>
      <c r="P17" s="2021"/>
      <c r="Q17" s="2046">
        <f>'IN-N-OUT'!B59</f>
        <v>0</v>
      </c>
      <c r="R17" s="2046"/>
      <c r="S17" s="2046"/>
      <c r="T17" s="2047"/>
    </row>
    <row r="18" spans="1:20" ht="22.5" customHeight="1">
      <c r="A18" s="2066" t="s">
        <v>148</v>
      </c>
      <c r="B18" s="2066"/>
      <c r="C18" s="1258">
        <v>78.900000000000006</v>
      </c>
      <c r="D18" s="1658">
        <v>0</v>
      </c>
      <c r="E18" s="1659">
        <f>D18/25.4</f>
        <v>0</v>
      </c>
      <c r="F18" s="1664"/>
      <c r="G18" s="1664"/>
      <c r="H18" s="1664"/>
      <c r="I18" s="1664"/>
      <c r="J18" s="1664"/>
      <c r="K18" s="1664"/>
      <c r="L18" s="1664"/>
      <c r="N18" s="2009" t="s">
        <v>20420</v>
      </c>
      <c r="O18" s="2010"/>
      <c r="P18" s="2010"/>
      <c r="Q18" s="2044">
        <f>'IN-N-OUT'!B60</f>
        <v>0</v>
      </c>
      <c r="R18" s="2044"/>
      <c r="S18" s="2044"/>
      <c r="T18" s="2045"/>
    </row>
    <row r="19" spans="1:20" ht="22.5" customHeight="1">
      <c r="A19" s="2065" t="s">
        <v>149</v>
      </c>
      <c r="B19" s="2065"/>
      <c r="C19" s="1259">
        <v>39.4</v>
      </c>
      <c r="D19" s="1658">
        <v>0</v>
      </c>
      <c r="E19" s="1659">
        <f>D19/25.4</f>
        <v>0</v>
      </c>
      <c r="F19" s="1663"/>
      <c r="G19" s="1663"/>
      <c r="H19" s="1663"/>
      <c r="I19" s="1663"/>
      <c r="J19" s="1663"/>
      <c r="K19" s="1663"/>
      <c r="L19" s="1663"/>
      <c r="N19" s="2011" t="s">
        <v>20191</v>
      </c>
      <c r="O19" s="2012"/>
      <c r="P19" s="2012"/>
      <c r="Q19" s="2049">
        <f>'IN-N-OUT'!B51</f>
        <v>0</v>
      </c>
      <c r="R19" s="2049"/>
      <c r="S19" s="2049"/>
      <c r="T19" s="2050"/>
    </row>
    <row r="20" spans="1:20" ht="22.5" customHeight="1" thickBot="1">
      <c r="A20" s="2066" t="s">
        <v>374</v>
      </c>
      <c r="B20" s="2066"/>
      <c r="C20" s="1258">
        <v>48.5</v>
      </c>
      <c r="D20" s="1660">
        <v>0</v>
      </c>
      <c r="E20" s="1661">
        <f>D20*2.2046</f>
        <v>0</v>
      </c>
      <c r="F20" s="1664"/>
      <c r="G20" s="1664"/>
      <c r="H20" s="1664"/>
      <c r="I20" s="1664"/>
      <c r="J20" s="1664"/>
      <c r="K20" s="1664"/>
      <c r="L20" s="1664"/>
    </row>
    <row r="21" spans="1:20" ht="22.5" customHeight="1">
      <c r="A21" s="2065" t="s">
        <v>391</v>
      </c>
      <c r="B21" s="2065"/>
      <c r="C21" s="1256" t="s">
        <v>20474</v>
      </c>
      <c r="D21" s="2062" t="s">
        <v>392</v>
      </c>
      <c r="E21" s="2062"/>
      <c r="F21" s="2062"/>
      <c r="G21" s="2062"/>
      <c r="H21" s="2062"/>
      <c r="I21" s="2062"/>
      <c r="J21" s="2062"/>
      <c r="K21" s="2062"/>
      <c r="L21" s="2062"/>
    </row>
    <row r="22" spans="1:20" ht="22.5" customHeight="1">
      <c r="A22" s="2066" t="s">
        <v>385</v>
      </c>
      <c r="B22" s="2066"/>
      <c r="C22" s="1257" t="s">
        <v>355</v>
      </c>
      <c r="D22" s="2061" t="s">
        <v>389</v>
      </c>
      <c r="E22" s="2061"/>
      <c r="F22" s="2061"/>
      <c r="G22" s="2061"/>
      <c r="H22" s="2061"/>
      <c r="I22" s="2061"/>
      <c r="J22" s="2061"/>
      <c r="K22" s="2061"/>
      <c r="L22" s="2061"/>
    </row>
    <row r="23" spans="1:20" ht="22.5" customHeight="1">
      <c r="A23" s="2065" t="s">
        <v>51</v>
      </c>
      <c r="B23" s="2065"/>
      <c r="C23" s="1256">
        <v>208</v>
      </c>
      <c r="D23" s="2062" t="s">
        <v>20144</v>
      </c>
      <c r="E23" s="2062"/>
      <c r="F23" s="2062"/>
      <c r="G23" s="2062"/>
      <c r="H23" s="2062"/>
      <c r="I23" s="2062"/>
      <c r="J23" s="2062"/>
      <c r="K23" s="2062"/>
      <c r="L23" s="2062"/>
    </row>
    <row r="24" spans="1:20" ht="22.5" customHeight="1">
      <c r="A24" s="2066"/>
      <c r="B24" s="2066"/>
      <c r="C24" s="1257"/>
      <c r="D24" s="1664"/>
      <c r="E24" s="1664"/>
      <c r="F24" s="1664"/>
      <c r="G24" s="1664"/>
      <c r="H24" s="1664"/>
      <c r="I24" s="1664"/>
      <c r="J24" s="1664"/>
      <c r="K24" s="1664"/>
      <c r="L24" s="1664"/>
    </row>
    <row r="25" spans="1:20" ht="30" customHeight="1">
      <c r="A25" s="1735" t="s">
        <v>150</v>
      </c>
      <c r="B25" s="1671"/>
      <c r="C25" s="1682"/>
      <c r="D25" s="1683"/>
      <c r="E25" s="1683"/>
      <c r="F25" s="1672"/>
      <c r="G25" s="1672"/>
      <c r="H25" s="1672"/>
      <c r="I25" s="1672"/>
      <c r="J25" s="1672"/>
      <c r="K25" s="1672"/>
      <c r="L25" s="1672"/>
    </row>
    <row r="26" spans="1:20" ht="22.5" customHeight="1">
      <c r="A26" s="2060" t="s">
        <v>19517</v>
      </c>
      <c r="B26" s="2060"/>
      <c r="C26" s="1251">
        <v>0</v>
      </c>
      <c r="D26" s="2034" t="s">
        <v>19687</v>
      </c>
      <c r="E26" s="2034"/>
      <c r="F26" s="2034"/>
      <c r="G26" s="2034"/>
      <c r="H26" s="2034"/>
      <c r="I26" s="2034"/>
      <c r="J26" s="2034"/>
      <c r="K26" s="2034"/>
      <c r="L26" s="2034"/>
    </row>
    <row r="27" spans="1:20" ht="22.5" customHeight="1">
      <c r="A27" s="2057" t="s">
        <v>375</v>
      </c>
      <c r="B27" s="2057"/>
      <c r="C27" s="1250">
        <v>20</v>
      </c>
      <c r="D27" s="2063" t="str">
        <f>CONCATENATE("For these building dimensions, the RWDI building height modifier is ",IF(C37="Landscape",'Land Coeffs 10deg'!O38,'Port Coeffs'!O38),".")</f>
        <v>For these building dimensions, the RWDI building height modifier is 1.</v>
      </c>
      <c r="E27" s="2063"/>
      <c r="F27" s="2063"/>
      <c r="G27" s="2063"/>
      <c r="H27" s="2063"/>
      <c r="I27" s="2063"/>
      <c r="J27" s="2063"/>
      <c r="K27" s="2063"/>
      <c r="L27" s="2063"/>
    </row>
    <row r="28" spans="1:20" ht="22.5" customHeight="1">
      <c r="A28" s="2060" t="s">
        <v>156</v>
      </c>
      <c r="B28" s="2060"/>
      <c r="C28" s="1251">
        <v>140</v>
      </c>
      <c r="D28" s="2033" t="s">
        <v>20330</v>
      </c>
      <c r="E28" s="2034"/>
      <c r="F28" s="2034"/>
      <c r="G28" s="2034"/>
      <c r="H28" s="2034"/>
      <c r="I28" s="2034"/>
      <c r="J28" s="2034"/>
      <c r="K28" s="2034"/>
      <c r="L28" s="2034"/>
    </row>
    <row r="29" spans="1:20" ht="22.5" customHeight="1">
      <c r="A29" s="2057" t="s">
        <v>151</v>
      </c>
      <c r="B29" s="2057"/>
      <c r="C29" s="1250" t="s">
        <v>58</v>
      </c>
      <c r="D29" s="2036" t="s">
        <v>153</v>
      </c>
      <c r="E29" s="2036"/>
      <c r="F29" s="2036"/>
      <c r="G29" s="2036"/>
      <c r="H29" s="2036"/>
      <c r="I29" s="2036"/>
      <c r="J29" s="2036"/>
      <c r="K29" s="2036"/>
      <c r="L29" s="2036"/>
      <c r="O29" s="1662" t="s">
        <v>19574</v>
      </c>
    </row>
    <row r="30" spans="1:20" ht="22.5" customHeight="1">
      <c r="A30" s="2060" t="s">
        <v>152</v>
      </c>
      <c r="B30" s="2060"/>
      <c r="C30" s="1251" t="s">
        <v>14</v>
      </c>
      <c r="D30" s="2034" t="s">
        <v>250</v>
      </c>
      <c r="E30" s="2034"/>
      <c r="F30" s="2034"/>
      <c r="G30" s="2034"/>
      <c r="H30" s="2034"/>
      <c r="I30" s="2034"/>
      <c r="J30" s="2034"/>
      <c r="K30" s="2034"/>
      <c r="L30" s="2034"/>
      <c r="O30" s="1747"/>
    </row>
    <row r="31" spans="1:20" ht="22.5" customHeight="1">
      <c r="A31" s="2073" t="s">
        <v>157</v>
      </c>
      <c r="B31" s="2057"/>
      <c r="C31" s="1250">
        <v>15</v>
      </c>
      <c r="D31" s="2036" t="s">
        <v>154</v>
      </c>
      <c r="E31" s="2036"/>
      <c r="F31" s="2036"/>
      <c r="G31" s="2036"/>
      <c r="H31" s="2036"/>
      <c r="I31" s="2036"/>
      <c r="J31" s="2036"/>
      <c r="K31" s="2036"/>
      <c r="L31" s="2036"/>
    </row>
    <row r="32" spans="1:20" ht="22.5" customHeight="1">
      <c r="A32" s="2074" t="s">
        <v>376</v>
      </c>
      <c r="B32" s="2060"/>
      <c r="C32" s="1251">
        <v>1.675</v>
      </c>
      <c r="D32" s="2034" t="str">
        <f>IF(C41&gt;7,IF(E65&gt;0,"Seismic is too high for roof slope entered below","Seismic rating for the area identified.  Typically, if the seismic is greater than 1, the system will require attachment at select points. From ASCE 7-05.  Based on the address of the jobsite."),"Seismic rating for the area identified.  Typically, if the seismic is greater than 1, the system will require attachment at select points. From ASCE 7-05.  Based on the address of the jobsite.")</f>
        <v>Seismic rating for the area identified.  Typically, if the seismic is greater than 1, the system will require attachment at select points. From ASCE 7-05.  Based on the address of the jobsite.</v>
      </c>
      <c r="E32" s="2034"/>
      <c r="F32" s="2034"/>
      <c r="G32" s="2034"/>
      <c r="H32" s="2034"/>
      <c r="I32" s="2034"/>
      <c r="J32" s="2034"/>
      <c r="K32" s="2034"/>
      <c r="L32" s="2034"/>
    </row>
    <row r="33" spans="1:18" ht="22.5" customHeight="1" thickBot="1">
      <c r="A33" s="2057" t="s">
        <v>261</v>
      </c>
      <c r="B33" s="2057"/>
      <c r="C33" s="1250" t="s">
        <v>8</v>
      </c>
      <c r="D33" s="2064" t="s">
        <v>268</v>
      </c>
      <c r="E33" s="2064"/>
      <c r="F33" s="2064"/>
      <c r="G33" s="2064"/>
      <c r="H33" s="2064"/>
      <c r="I33" s="2064"/>
      <c r="J33" s="2064"/>
      <c r="K33" s="2064"/>
      <c r="L33" s="2064"/>
    </row>
    <row r="34" spans="1:18" ht="30" customHeight="1" thickBot="1">
      <c r="A34" s="1735" t="s">
        <v>174</v>
      </c>
      <c r="B34" s="1684"/>
      <c r="C34" s="1685"/>
      <c r="D34" s="1686"/>
      <c r="E34" s="1686"/>
      <c r="F34" s="1672"/>
      <c r="G34" s="1672"/>
      <c r="H34" s="1672"/>
      <c r="I34" s="1672"/>
      <c r="J34" s="1672"/>
      <c r="K34" s="1672"/>
      <c r="L34" s="1672"/>
      <c r="N34" s="1770" t="s">
        <v>28</v>
      </c>
      <c r="O34" s="1770"/>
      <c r="P34" s="1770"/>
      <c r="Q34" s="1770"/>
      <c r="R34" s="1770"/>
    </row>
    <row r="35" spans="1:18" ht="22.5" customHeight="1" thickBot="1">
      <c r="A35" s="2065" t="s">
        <v>19390</v>
      </c>
      <c r="B35" s="2065"/>
      <c r="C35" s="1256">
        <v>2010</v>
      </c>
      <c r="D35" s="2070" t="s">
        <v>172</v>
      </c>
      <c r="E35" s="2070"/>
      <c r="F35" s="2070"/>
      <c r="G35" s="2070"/>
      <c r="H35" s="2070"/>
      <c r="I35" s="2070"/>
      <c r="J35" s="2070"/>
      <c r="K35" s="2070"/>
      <c r="L35" s="2070"/>
      <c r="N35" s="1770" t="s">
        <v>97</v>
      </c>
      <c r="O35" s="1771" t="s">
        <v>162</v>
      </c>
      <c r="P35" s="1771"/>
      <c r="Q35" s="1772" t="s">
        <v>163</v>
      </c>
      <c r="R35" s="1772"/>
    </row>
    <row r="36" spans="1:18" ht="25.5" customHeight="1" thickBot="1">
      <c r="A36" s="2066" t="s">
        <v>275</v>
      </c>
      <c r="B36" s="2066"/>
      <c r="C36" s="1746" t="s">
        <v>274</v>
      </c>
      <c r="D36" s="2031" t="s">
        <v>20329</v>
      </c>
      <c r="E36" s="2032"/>
      <c r="F36" s="2032"/>
      <c r="G36" s="2032"/>
      <c r="H36" s="2032"/>
      <c r="I36" s="2032"/>
      <c r="J36" s="2032"/>
      <c r="K36" s="2032"/>
      <c r="L36" s="2032"/>
      <c r="N36" s="1770"/>
      <c r="O36" s="1771" t="s">
        <v>164</v>
      </c>
      <c r="P36" s="1771" t="s">
        <v>165</v>
      </c>
      <c r="Q36" s="1772" t="s">
        <v>164</v>
      </c>
      <c r="R36" s="1772" t="s">
        <v>165</v>
      </c>
    </row>
    <row r="37" spans="1:18" ht="22.5" customHeight="1" thickBot="1">
      <c r="A37" s="2065" t="s">
        <v>19383</v>
      </c>
      <c r="B37" s="2065"/>
      <c r="C37" s="1256" t="s">
        <v>44</v>
      </c>
      <c r="D37" s="2062" t="s">
        <v>377</v>
      </c>
      <c r="E37" s="2062"/>
      <c r="F37" s="2062"/>
      <c r="G37" s="2062"/>
      <c r="H37" s="2062"/>
      <c r="I37" s="2062"/>
      <c r="J37" s="2062"/>
      <c r="K37" s="2062"/>
      <c r="L37" s="2062"/>
      <c r="N37" s="1770" t="s">
        <v>251</v>
      </c>
      <c r="O37" s="1260" t="s">
        <v>253</v>
      </c>
      <c r="P37" s="1260" t="s">
        <v>252</v>
      </c>
      <c r="Q37" s="1261" t="s">
        <v>166</v>
      </c>
      <c r="R37" s="1262"/>
    </row>
    <row r="38" spans="1:18" ht="22.5" customHeight="1">
      <c r="A38" s="2066" t="s">
        <v>19386</v>
      </c>
      <c r="B38" s="2066"/>
      <c r="C38" s="1257">
        <v>32</v>
      </c>
      <c r="D38" s="2061" t="s">
        <v>19669</v>
      </c>
      <c r="E38" s="2061"/>
      <c r="F38" s="2061"/>
      <c r="G38" s="2061"/>
      <c r="H38" s="2061"/>
      <c r="I38" s="2061"/>
      <c r="J38" s="2061"/>
      <c r="K38" s="2061"/>
      <c r="L38" s="2061"/>
      <c r="M38" s="1255"/>
      <c r="N38" s="1263" t="s">
        <v>167</v>
      </c>
      <c r="O38" s="1264" t="s">
        <v>168</v>
      </c>
      <c r="P38" s="1264">
        <v>27</v>
      </c>
      <c r="Q38" s="1265" t="s">
        <v>169</v>
      </c>
      <c r="R38" s="1265" t="s">
        <v>170</v>
      </c>
    </row>
    <row r="39" spans="1:18" ht="22.5" customHeight="1" thickBot="1">
      <c r="A39" s="2065" t="s">
        <v>19387</v>
      </c>
      <c r="B39" s="2065"/>
      <c r="C39" s="1256"/>
      <c r="D39" s="2062" t="s">
        <v>19670</v>
      </c>
      <c r="E39" s="2062"/>
      <c r="F39" s="2062"/>
      <c r="G39" s="2062"/>
      <c r="H39" s="2062"/>
      <c r="I39" s="2062"/>
      <c r="J39" s="2062"/>
      <c r="K39" s="2062"/>
      <c r="L39" s="2062"/>
      <c r="M39" s="1255"/>
      <c r="N39" s="1266"/>
      <c r="O39" s="1267" t="s">
        <v>171</v>
      </c>
      <c r="P39" s="1268"/>
      <c r="Q39" s="1269"/>
      <c r="R39" s="1269"/>
    </row>
    <row r="40" spans="1:18" ht="22.5" customHeight="1" thickBot="1">
      <c r="A40" s="2075" t="s">
        <v>19388</v>
      </c>
      <c r="B40" s="2075"/>
      <c r="C40" s="1687" t="s">
        <v>19815</v>
      </c>
      <c r="D40" s="1688"/>
      <c r="E40" s="1688"/>
      <c r="F40" s="1688"/>
      <c r="G40" s="1688"/>
      <c r="H40" s="1688"/>
      <c r="I40" s="1688"/>
      <c r="J40" s="1688"/>
      <c r="K40" s="1688"/>
      <c r="L40" s="1688"/>
      <c r="M40" s="1270"/>
    </row>
    <row r="41" spans="1:18" ht="26.25" customHeight="1" thickBot="1">
      <c r="A41" s="2066" t="s">
        <v>331</v>
      </c>
      <c r="B41" s="2066"/>
      <c r="C41" s="1258">
        <v>1</v>
      </c>
      <c r="D41" s="2067" t="s">
        <v>20328</v>
      </c>
      <c r="E41" s="2068"/>
      <c r="F41" s="2068"/>
      <c r="G41" s="2068"/>
      <c r="H41" s="2068"/>
      <c r="I41" s="2068"/>
      <c r="J41" s="2068"/>
      <c r="K41" s="2068"/>
      <c r="L41" s="2068"/>
      <c r="M41" s="1271"/>
      <c r="N41" s="1770" t="s">
        <v>19682</v>
      </c>
      <c r="O41" s="1770"/>
      <c r="P41" s="1770"/>
      <c r="Q41" s="1770"/>
      <c r="R41" s="1770"/>
    </row>
    <row r="42" spans="1:18" ht="22.5" customHeight="1" thickBot="1">
      <c r="A42" s="2065" t="s">
        <v>319</v>
      </c>
      <c r="B42" s="2065"/>
      <c r="C42" s="1256" t="s">
        <v>320</v>
      </c>
      <c r="D42" s="2069" t="s">
        <v>19671</v>
      </c>
      <c r="E42" s="2069"/>
      <c r="F42" s="2069"/>
      <c r="G42" s="2069"/>
      <c r="H42" s="2069"/>
      <c r="I42" s="2069"/>
      <c r="J42" s="2069"/>
      <c r="K42" s="2069"/>
      <c r="L42" s="2069"/>
      <c r="N42" s="1272" t="s">
        <v>19684</v>
      </c>
      <c r="O42" s="1273">
        <v>0.25</v>
      </c>
      <c r="P42" s="1274"/>
      <c r="Q42" s="1275"/>
      <c r="R42" s="1276"/>
    </row>
    <row r="43" spans="1:18" ht="22.5" customHeight="1" thickBot="1">
      <c r="A43" s="2066" t="s">
        <v>134</v>
      </c>
      <c r="B43" s="2066"/>
      <c r="C43" s="1257" t="s">
        <v>41</v>
      </c>
      <c r="D43" s="2061" t="s">
        <v>378</v>
      </c>
      <c r="E43" s="2061"/>
      <c r="F43" s="2061"/>
      <c r="G43" s="2061"/>
      <c r="H43" s="2061"/>
      <c r="I43" s="2061"/>
      <c r="J43" s="2061"/>
      <c r="K43" s="2061"/>
      <c r="L43" s="2061"/>
      <c r="N43" s="1272" t="s">
        <v>19685</v>
      </c>
      <c r="O43" s="1273">
        <v>12</v>
      </c>
      <c r="P43" s="1277"/>
      <c r="Q43" s="1278"/>
      <c r="R43" s="1279"/>
    </row>
    <row r="44" spans="1:18" ht="22.5" customHeight="1" thickBot="1">
      <c r="A44" s="2065" t="s">
        <v>370</v>
      </c>
      <c r="B44" s="2065"/>
      <c r="C44" s="1256">
        <v>27</v>
      </c>
      <c r="D44" s="2062" t="s">
        <v>379</v>
      </c>
      <c r="E44" s="2062"/>
      <c r="F44" s="2062"/>
      <c r="G44" s="2062"/>
      <c r="H44" s="2062"/>
      <c r="I44" s="2062"/>
      <c r="J44" s="2062"/>
      <c r="K44" s="2062"/>
      <c r="L44" s="2062"/>
      <c r="N44" s="1280" t="s">
        <v>19683</v>
      </c>
      <c r="O44" s="1281">
        <f>DEGREES(ATAN(O42/O43))</f>
        <v>1.1934894239820351</v>
      </c>
      <c r="P44" s="1282"/>
      <c r="Q44" s="1283"/>
      <c r="R44" s="1284"/>
    </row>
    <row r="45" spans="1:18" ht="22.5" customHeight="1">
      <c r="A45" s="2066" t="s">
        <v>19389</v>
      </c>
      <c r="B45" s="2066"/>
      <c r="C45" s="1257">
        <v>48</v>
      </c>
      <c r="D45" s="2061" t="s">
        <v>19240</v>
      </c>
      <c r="E45" s="2061"/>
      <c r="F45" s="2061"/>
      <c r="G45" s="2061"/>
      <c r="H45" s="2061"/>
      <c r="I45" s="2061"/>
      <c r="J45" s="2061"/>
      <c r="K45" s="2061"/>
      <c r="L45" s="2061"/>
      <c r="N45" s="1773" t="s">
        <v>19686</v>
      </c>
      <c r="O45" s="1773"/>
      <c r="P45" s="1773"/>
      <c r="Q45" s="1773"/>
      <c r="R45" s="1773"/>
    </row>
    <row r="46" spans="1:18" ht="30" customHeight="1">
      <c r="A46" s="1735" t="s">
        <v>19666</v>
      </c>
      <c r="B46" s="1689"/>
      <c r="C46" s="1690" t="str">
        <f>IF(C27&lt;=60,"If Multiple EcoMount configurations are required, print the report tab for each desired configuration.","EcoMount calculations are currently only valid to 60 feet.")</f>
        <v>If Multiple EcoMount configurations are required, print the report tab for each desired configuration.</v>
      </c>
      <c r="D46" s="1691"/>
      <c r="E46" s="1692"/>
      <c r="F46" s="1693"/>
      <c r="G46" s="1693"/>
      <c r="H46" s="1693"/>
      <c r="I46" s="1693"/>
      <c r="J46" s="1693"/>
      <c r="K46" s="1693"/>
      <c r="L46" s="1693"/>
      <c r="N46" s="1278"/>
      <c r="O46" s="1286"/>
      <c r="P46" s="1278"/>
      <c r="Q46" s="1278"/>
      <c r="R46" s="1278"/>
    </row>
    <row r="47" spans="1:18" ht="22.5" customHeight="1">
      <c r="A47" s="2079" t="s">
        <v>19833</v>
      </c>
      <c r="B47" s="2079"/>
      <c r="C47" s="1762"/>
      <c r="D47" s="1763"/>
      <c r="E47" s="1764" t="s">
        <v>19325</v>
      </c>
      <c r="F47" s="1765"/>
      <c r="G47" s="1765"/>
      <c r="H47" s="1765"/>
      <c r="I47" s="1765"/>
      <c r="J47" s="1765"/>
      <c r="K47" s="1765"/>
      <c r="L47" s="1765"/>
    </row>
    <row r="48" spans="1:18" ht="22.5" customHeight="1">
      <c r="A48" s="2057" t="s">
        <v>19830</v>
      </c>
      <c r="B48" s="2057"/>
      <c r="C48" s="1287">
        <f>D48/25.4</f>
        <v>0</v>
      </c>
      <c r="D48" s="1288"/>
      <c r="E48" s="1289" t="s">
        <v>19679</v>
      </c>
      <c r="F48" s="1289"/>
      <c r="G48" s="1289"/>
      <c r="H48" s="1289"/>
      <c r="I48" s="1289"/>
      <c r="J48" s="1289"/>
      <c r="K48" s="1289"/>
      <c r="L48" s="1289"/>
    </row>
    <row r="49" spans="1:17" ht="22.5" customHeight="1">
      <c r="A49" s="2060" t="s">
        <v>19831</v>
      </c>
      <c r="B49" s="2060"/>
      <c r="C49" s="1290">
        <f>D49/25.4</f>
        <v>0</v>
      </c>
      <c r="D49" s="1291"/>
      <c r="E49" s="1292" t="s">
        <v>19680</v>
      </c>
      <c r="F49" s="1292"/>
      <c r="G49" s="1292"/>
      <c r="H49" s="1292"/>
      <c r="I49" s="1292"/>
      <c r="J49" s="1292"/>
      <c r="K49" s="1292"/>
      <c r="L49" s="1292"/>
    </row>
    <row r="50" spans="1:17" ht="22.5" customHeight="1">
      <c r="A50" s="2059" t="s">
        <v>19832</v>
      </c>
      <c r="B50" s="2059"/>
      <c r="C50" s="1287">
        <f>D50*2.2046</f>
        <v>0</v>
      </c>
      <c r="D50" s="1291"/>
      <c r="E50" s="1289" t="s">
        <v>19681</v>
      </c>
      <c r="F50" s="1289"/>
      <c r="G50" s="1289"/>
      <c r="H50" s="1289"/>
      <c r="I50" s="1289"/>
      <c r="J50" s="1289"/>
      <c r="K50" s="1289"/>
      <c r="L50" s="1289"/>
    </row>
    <row r="51" spans="1:17" ht="22.5" customHeight="1">
      <c r="A51" s="1327" t="s">
        <v>20047</v>
      </c>
      <c r="B51" s="1751"/>
      <c r="C51" s="1752"/>
      <c r="D51" s="1292" t="s">
        <v>19840</v>
      </c>
      <c r="E51" s="1666"/>
      <c r="F51" s="1743"/>
      <c r="G51" s="1743"/>
      <c r="H51" s="1743"/>
      <c r="I51" s="1743"/>
      <c r="J51" s="1743"/>
      <c r="K51" s="1743"/>
      <c r="L51" s="1743"/>
    </row>
    <row r="52" spans="1:17" ht="22.5" customHeight="1">
      <c r="A52" s="2078" t="s">
        <v>19834</v>
      </c>
      <c r="B52" s="2078"/>
      <c r="C52" s="1755"/>
      <c r="D52" s="1756"/>
      <c r="E52" s="1757" t="s">
        <v>19325</v>
      </c>
      <c r="F52" s="1758"/>
      <c r="G52" s="1758"/>
      <c r="H52" s="1758"/>
      <c r="I52" s="1758"/>
      <c r="J52" s="1758"/>
      <c r="K52" s="1758"/>
      <c r="L52" s="1758"/>
    </row>
    <row r="53" spans="1:17" ht="22.5" customHeight="1">
      <c r="A53" s="2058" t="s">
        <v>19835</v>
      </c>
      <c r="B53" s="2058"/>
      <c r="C53" s="1290">
        <f>D53/25.4</f>
        <v>0</v>
      </c>
      <c r="D53" s="1288"/>
      <c r="E53" s="1292" t="s">
        <v>19679</v>
      </c>
      <c r="F53" s="1292"/>
      <c r="G53" s="1292"/>
      <c r="H53" s="1292"/>
      <c r="I53" s="1292"/>
      <c r="J53" s="1292"/>
      <c r="K53" s="1292"/>
      <c r="L53" s="1292"/>
    </row>
    <row r="54" spans="1:17" ht="22.5" customHeight="1">
      <c r="A54" s="2059" t="s">
        <v>19836</v>
      </c>
      <c r="B54" s="2059"/>
      <c r="C54" s="1287">
        <f>D54/25.4</f>
        <v>0</v>
      </c>
      <c r="D54" s="1291"/>
      <c r="E54" s="1289" t="s">
        <v>19680</v>
      </c>
      <c r="F54" s="1289"/>
      <c r="G54" s="1289"/>
      <c r="H54" s="1289"/>
      <c r="I54" s="1289"/>
      <c r="J54" s="1289"/>
      <c r="K54" s="1289"/>
      <c r="L54" s="1289"/>
      <c r="M54" s="1270"/>
      <c r="N54" s="1293"/>
    </row>
    <row r="55" spans="1:17" ht="22.5" customHeight="1">
      <c r="A55" s="2060" t="s">
        <v>19837</v>
      </c>
      <c r="B55" s="2060"/>
      <c r="C55" s="1290">
        <f>D55*2.2046</f>
        <v>0</v>
      </c>
      <c r="D55" s="1291"/>
      <c r="E55" s="1292" t="s">
        <v>19681</v>
      </c>
      <c r="F55" s="1292"/>
      <c r="G55" s="1292"/>
      <c r="H55" s="1292"/>
      <c r="I55" s="1292"/>
      <c r="J55" s="1292"/>
      <c r="K55" s="1292"/>
      <c r="L55" s="1292"/>
      <c r="M55" s="1270"/>
      <c r="N55" s="1293"/>
    </row>
    <row r="56" spans="1:17" ht="22.5" customHeight="1">
      <c r="A56" s="1322" t="s">
        <v>20048</v>
      </c>
      <c r="B56" s="1753"/>
      <c r="C56" s="1754"/>
      <c r="D56" s="1289" t="s">
        <v>19839</v>
      </c>
      <c r="E56" s="1745"/>
      <c r="F56" s="1744"/>
      <c r="G56" s="1744"/>
      <c r="H56" s="1744"/>
      <c r="I56" s="1744"/>
      <c r="J56" s="1744"/>
      <c r="K56" s="1744"/>
      <c r="L56" s="1744"/>
      <c r="N56" s="1293"/>
    </row>
    <row r="57" spans="1:17" ht="22.5" customHeight="1">
      <c r="A57" s="2077" t="s">
        <v>20049</v>
      </c>
      <c r="B57" s="2077"/>
      <c r="C57" s="1759">
        <v>1</v>
      </c>
      <c r="D57" s="1760"/>
      <c r="E57" s="1760"/>
      <c r="F57" s="1760"/>
      <c r="G57" s="1760"/>
      <c r="H57" s="1760"/>
      <c r="I57" s="1760"/>
      <c r="J57" s="1760"/>
      <c r="K57" s="1760"/>
      <c r="L57" s="1760"/>
      <c r="N57" s="1294"/>
      <c r="O57" s="1294"/>
      <c r="P57" s="1295"/>
    </row>
    <row r="58" spans="1:17" ht="22.5" customHeight="1">
      <c r="A58" s="2059" t="s">
        <v>19576</v>
      </c>
      <c r="B58" s="2059"/>
      <c r="C58" s="1250"/>
      <c r="D58" s="1750" t="s">
        <v>19668</v>
      </c>
      <c r="E58" s="1750"/>
      <c r="F58" s="1750"/>
      <c r="G58" s="1670"/>
      <c r="H58" s="1670"/>
      <c r="I58" s="1670"/>
      <c r="J58" s="1670"/>
      <c r="K58" s="1670"/>
      <c r="L58" s="1670"/>
    </row>
    <row r="59" spans="1:17" ht="22.5" customHeight="1">
      <c r="A59" s="2060" t="str">
        <f>IFERROR(CONCATENATE("Edge Setback  --  default value = ",'EcoMount Inputs'!B17, " ft."),"Edge Setback")</f>
        <v>Edge Setback</v>
      </c>
      <c r="B59" s="2060"/>
      <c r="C59" s="1761" t="str">
        <f>IFERROR('EcoMount Inputs'!B17,"")</f>
        <v/>
      </c>
      <c r="D59" s="1292" t="s">
        <v>20154</v>
      </c>
      <c r="E59" s="1292"/>
      <c r="F59" s="1292"/>
      <c r="G59" s="1743"/>
      <c r="H59" s="1743"/>
      <c r="I59" s="1743"/>
      <c r="J59" s="1743"/>
      <c r="K59" s="1743"/>
      <c r="L59" s="1743"/>
    </row>
    <row r="60" spans="1:17" ht="22.5" customHeight="1">
      <c r="A60" s="2076" t="str">
        <f>IF(C60&lt;&gt;"","Ballast Blocks Required Per Base:","")</f>
        <v>Ballast Blocks Required Per Base:</v>
      </c>
      <c r="B60" s="2076"/>
      <c r="C60" s="1296">
        <f>IFERROR('EcoMount Inputs'!B70,"")</f>
        <v>2</v>
      </c>
      <c r="D60" s="1669" t="str">
        <f>IF(C60&lt;&gt;"","Number of Ballast Blocks per EcoFoot2+ base in the ecomount. See report tab for more information.","")</f>
        <v>Number of Ballast Blocks per EcoFoot2+ base in the ecomount. See report tab for more information.</v>
      </c>
      <c r="E60" s="1669"/>
      <c r="F60" s="1669"/>
      <c r="G60" s="1669"/>
      <c r="H60" s="1669"/>
      <c r="I60" s="1669"/>
      <c r="J60" s="1669"/>
      <c r="K60" s="1669"/>
      <c r="L60" s="1669"/>
    </row>
    <row r="61" spans="1:17" ht="22.5" customHeight="1">
      <c r="A61" s="1245" t="s">
        <v>132</v>
      </c>
      <c r="B61" s="1297"/>
      <c r="C61" s="1298" t="s">
        <v>254</v>
      </c>
      <c r="D61" s="1246"/>
      <c r="E61" s="1246"/>
      <c r="F61" s="1247"/>
      <c r="G61" s="1247"/>
      <c r="H61" s="1247"/>
      <c r="I61" s="1247"/>
      <c r="J61" s="1247"/>
      <c r="K61" s="1247"/>
      <c r="L61" s="1247"/>
      <c r="N61" s="1299"/>
      <c r="Q61" s="1300"/>
    </row>
    <row r="62" spans="1:17" ht="22.5" hidden="1" customHeight="1">
      <c r="A62" s="1301" t="s">
        <v>19384</v>
      </c>
      <c r="B62" s="1241"/>
      <c r="C62" s="1242"/>
      <c r="D62" s="1667"/>
      <c r="E62" s="1302" t="str">
        <f>E71</f>
        <v>NO</v>
      </c>
      <c r="F62" s="1667"/>
      <c r="G62" s="1667"/>
      <c r="H62" s="1667"/>
      <c r="I62" s="1667"/>
      <c r="J62" s="1667"/>
      <c r="K62" s="1667"/>
      <c r="L62" s="1667"/>
    </row>
    <row r="63" spans="1:17" ht="22.5" hidden="1" customHeight="1">
      <c r="A63" s="1303" t="s">
        <v>19385</v>
      </c>
      <c r="B63" s="1304"/>
      <c r="C63" s="1305"/>
      <c r="D63" s="1668"/>
      <c r="E63" s="1302" t="str">
        <f>E79</f>
        <v>NO</v>
      </c>
      <c r="F63" s="1668"/>
      <c r="G63" s="1668"/>
      <c r="H63" s="1668"/>
      <c r="I63" s="1668"/>
      <c r="J63" s="1668"/>
      <c r="K63" s="1668"/>
      <c r="L63" s="1668"/>
      <c r="N63" s="1299"/>
    </row>
    <row r="64" spans="1:17" ht="22.5" customHeight="1">
      <c r="A64" s="1306" t="s">
        <v>89</v>
      </c>
      <c r="B64" s="1241"/>
      <c r="C64" s="1242"/>
      <c r="D64" s="1667"/>
      <c r="E64" s="1302" t="str">
        <f>'snow load'!$B$1</f>
        <v>YES</v>
      </c>
      <c r="F64" s="1667"/>
      <c r="G64" s="1667"/>
      <c r="H64" s="1667"/>
      <c r="I64" s="1667"/>
      <c r="J64" s="1667"/>
      <c r="K64" s="1667"/>
      <c r="L64" s="1667"/>
      <c r="N64" s="1299"/>
    </row>
    <row r="65" spans="1:30" ht="22.5" customHeight="1">
      <c r="A65" s="1307" t="s">
        <v>318</v>
      </c>
      <c r="B65" s="1304"/>
      <c r="C65" s="1305"/>
      <c r="D65" s="1668"/>
      <c r="E65" s="1308">
        <f>IFERROR(IF(C42="unattached",0,IF('Seismic Calcs (Attached)'!B25&gt;0,ROUNDUP(C23/'Seismic Calcs (Attached)'!B25+1,0),0)),0)</f>
        <v>0</v>
      </c>
      <c r="F65" s="1309" t="str">
        <f>IF(C42="unattached","Ensure layout follows SEAOC seismic guidelines for unattached arrays","Number of attachments may be higher if layout is not monolithic")</f>
        <v>Ensure layout follows SEAOC seismic guidelines for unattached arrays</v>
      </c>
      <c r="G65" s="1309"/>
      <c r="H65" s="1309"/>
      <c r="I65" s="1309"/>
      <c r="J65" s="1309"/>
      <c r="K65" s="1309"/>
      <c r="L65" s="1309"/>
      <c r="N65" s="1299"/>
    </row>
    <row r="66" spans="1:30" ht="30" customHeight="1">
      <c r="A66" s="1306" t="s">
        <v>229</v>
      </c>
      <c r="B66" s="1241"/>
      <c r="C66" s="1242"/>
      <c r="D66" s="1667"/>
      <c r="E66" s="1302" t="str">
        <f>IFERROR(IF('Land Calcs 10deg (sliding)'!M25&lt;0,"YES","NO"),"YES")</f>
        <v>NO</v>
      </c>
      <c r="F66" s="1667"/>
      <c r="G66" s="1667"/>
      <c r="H66" s="1667"/>
      <c r="I66" s="1667"/>
      <c r="J66" s="1667"/>
      <c r="K66" s="1667"/>
      <c r="L66" s="1667"/>
      <c r="N66" s="1310"/>
      <c r="O66" s="1310"/>
      <c r="P66" s="1310"/>
      <c r="Q66" s="1311"/>
      <c r="R66" s="1310"/>
      <c r="S66" s="1310"/>
      <c r="T66" s="1310"/>
      <c r="U66" s="1310"/>
      <c r="V66" s="1310"/>
      <c r="W66" s="1310"/>
    </row>
    <row r="67" spans="1:30" ht="22.5" customHeight="1">
      <c r="A67" s="1307" t="s">
        <v>230</v>
      </c>
      <c r="B67" s="1304"/>
      <c r="C67" s="1305"/>
      <c r="D67" s="1668"/>
      <c r="E67" s="1308">
        <f>IFERROR(IF('Land Calcs 10deg (sliding)'!M25&lt;0,0,ROUNDUP('Land Calcs 10deg (sliding)'!M25, 0)),0)</f>
        <v>0</v>
      </c>
      <c r="F67" s="1312" t="str">
        <f>IF(E67&gt;0,"THIS SUB ARRAY REQUIRES EXTRA BALLAST", "")</f>
        <v/>
      </c>
      <c r="G67" s="1312"/>
      <c r="H67" s="1312"/>
      <c r="I67" s="1312"/>
      <c r="J67" s="1312"/>
      <c r="K67" s="1312"/>
      <c r="L67" s="1312"/>
      <c r="M67" s="1313"/>
      <c r="N67" s="1310"/>
      <c r="O67" s="1310"/>
      <c r="P67" s="1310"/>
      <c r="Q67" s="1310"/>
      <c r="R67" s="1310"/>
      <c r="S67" s="1310"/>
      <c r="T67" s="1310"/>
      <c r="U67" s="1310"/>
      <c r="V67" s="1310"/>
      <c r="W67" s="1310"/>
    </row>
    <row r="68" spans="1:30" ht="22.5" customHeight="1">
      <c r="A68" s="1306" t="s">
        <v>19516</v>
      </c>
      <c r="B68" s="1241"/>
      <c r="C68" s="1242"/>
      <c r="D68" s="1314"/>
      <c r="E68" s="1315" t="str">
        <f>"("&amp;MAX(ROUND('Friction Data'!F34,2),ROUND('Friction Data'!G34,2))&amp;")"</f>
        <v>(0.64)</v>
      </c>
      <c r="F68" s="1667"/>
      <c r="G68" s="1667"/>
      <c r="H68" s="1667"/>
      <c r="I68" s="1667"/>
      <c r="J68" s="1667"/>
      <c r="K68" s="1667"/>
      <c r="L68" s="1667"/>
      <c r="M68" s="1313"/>
      <c r="N68" s="1310"/>
      <c r="O68" s="1310"/>
      <c r="P68" s="1310"/>
      <c r="Q68" s="1310"/>
      <c r="R68" s="1310"/>
      <c r="S68" s="1310"/>
      <c r="T68" s="1310"/>
      <c r="U68" s="1310"/>
      <c r="V68" s="1310"/>
      <c r="W68" s="1310"/>
    </row>
    <row r="69" spans="1:30" ht="22.5" customHeight="1">
      <c r="A69" s="1307" t="s">
        <v>189</v>
      </c>
      <c r="B69" s="1304"/>
      <c r="C69" s="1305"/>
      <c r="D69" s="1316"/>
      <c r="E69" s="1317"/>
      <c r="F69" s="1668"/>
      <c r="G69" s="1668"/>
      <c r="H69" s="1668"/>
      <c r="I69" s="1668"/>
      <c r="J69" s="1668"/>
      <c r="K69" s="1668"/>
      <c r="L69" s="1668"/>
      <c r="M69" s="1313"/>
      <c r="N69" s="1310"/>
      <c r="O69" s="1310"/>
      <c r="P69" s="1310"/>
      <c r="Q69" s="1310"/>
      <c r="R69" s="1310"/>
      <c r="S69" s="1310"/>
      <c r="T69" s="1310"/>
      <c r="U69" s="1310"/>
      <c r="V69" s="1310"/>
      <c r="W69" s="1310"/>
    </row>
    <row r="70" spans="1:30" ht="22.5" customHeight="1">
      <c r="A70" s="1249" t="s">
        <v>158</v>
      </c>
      <c r="B70" s="1318"/>
      <c r="C70" s="1285" t="s">
        <v>19391</v>
      </c>
      <c r="D70" s="1319"/>
      <c r="E70" s="1319"/>
      <c r="F70" s="1669"/>
      <c r="G70" s="1669"/>
      <c r="H70" s="1669"/>
      <c r="I70" s="1669"/>
      <c r="J70" s="1669"/>
      <c r="K70" s="1669"/>
      <c r="L70" s="1669"/>
      <c r="M70" s="1313"/>
      <c r="N70" s="1310"/>
      <c r="O70" s="1310"/>
      <c r="P70" s="1310"/>
      <c r="Q70" s="1320"/>
      <c r="R70" s="1320"/>
      <c r="S70" s="1310"/>
      <c r="T70" s="1310"/>
      <c r="U70" s="1310"/>
      <c r="V70" s="1310"/>
      <c r="W70" s="1310"/>
    </row>
    <row r="71" spans="1:30" ht="22.5" customHeight="1">
      <c r="A71" s="1321" t="s">
        <v>19384</v>
      </c>
      <c r="B71" s="1322"/>
      <c r="C71" s="1322"/>
      <c r="D71" s="1323"/>
      <c r="E71" s="1324" t="str">
        <f>IF(D73="SINGLE","YES",IF(D73="","YES","NO"))</f>
        <v>NO</v>
      </c>
      <c r="F71" s="1665"/>
      <c r="G71" s="1665"/>
      <c r="H71" s="1665"/>
      <c r="I71" s="1665"/>
      <c r="J71" s="1665"/>
      <c r="K71" s="1665"/>
      <c r="L71" s="1665"/>
      <c r="M71" s="1313"/>
      <c r="N71" s="1310"/>
      <c r="O71" s="1310"/>
      <c r="P71" s="1310"/>
      <c r="Q71" s="1320"/>
      <c r="R71" s="1320"/>
      <c r="S71" s="1310"/>
      <c r="T71" s="1310"/>
      <c r="U71" s="1310"/>
      <c r="V71" s="1310"/>
      <c r="W71" s="1310"/>
    </row>
    <row r="72" spans="1:30" ht="22.5" customHeight="1">
      <c r="A72" s="1325" t="s">
        <v>32</v>
      </c>
      <c r="B72" s="1326" t="s">
        <v>53</v>
      </c>
      <c r="C72" s="1327"/>
      <c r="D72" s="1328" t="str">
        <f>IF(E72&lt;7,"SINGLE",IF(E72&lt;13,"CENTER",IF(E72="-","","ATTACH")))</f>
        <v>SINGLE</v>
      </c>
      <c r="E72" s="1329">
        <f>IFERROR(MAX('Land Matrix 10deg (lift)'!F11:P11),"-")</f>
        <v>5</v>
      </c>
      <c r="F72" s="1666"/>
      <c r="G72" s="1666"/>
      <c r="H72" s="1666"/>
      <c r="I72" s="1666"/>
      <c r="J72" s="1666"/>
      <c r="K72" s="1666"/>
      <c r="L72" s="1666"/>
      <c r="M72" s="1313"/>
      <c r="N72" s="1310"/>
      <c r="O72" s="1310"/>
      <c r="P72" s="1310"/>
      <c r="Q72" s="1310"/>
      <c r="R72" s="1310"/>
      <c r="S72" s="1310"/>
      <c r="T72" s="1310"/>
      <c r="U72" s="1310"/>
      <c r="V72" s="1310"/>
      <c r="W72" s="1310"/>
      <c r="X72" s="1330"/>
      <c r="Y72" s="1330"/>
      <c r="Z72" s="1330"/>
    </row>
    <row r="73" spans="1:30" ht="22.5" customHeight="1">
      <c r="A73" s="1331" t="s">
        <v>218</v>
      </c>
      <c r="B73" s="1321" t="s">
        <v>53</v>
      </c>
      <c r="C73" s="1322"/>
      <c r="D73" s="1332" t="str">
        <f>IF(E73&lt;4,"SINGLE",IF(E73&lt;7,"CENTER",IF(E73="-","","ATTACH")))</f>
        <v>CENTER</v>
      </c>
      <c r="E73" s="1324">
        <f>IFERROR(MAX('Land Matrix 10deg (lift)'!F32:P33,'Land Matrix 10deg (lift)'!F36:P36),"-")</f>
        <v>5</v>
      </c>
      <c r="F73" s="1665"/>
      <c r="G73" s="1665"/>
      <c r="H73" s="1665"/>
      <c r="I73" s="1665"/>
      <c r="J73" s="1665"/>
      <c r="K73" s="1665"/>
      <c r="L73" s="1665"/>
      <c r="M73" s="1313"/>
      <c r="Y73" s="1330">
        <v>60</v>
      </c>
      <c r="Z73" s="1330"/>
      <c r="AA73" s="1310"/>
      <c r="AB73" s="1310"/>
      <c r="AC73" s="1310"/>
      <c r="AD73" s="1310"/>
    </row>
    <row r="74" spans="1:30" ht="18.75">
      <c r="A74" s="1325" t="s">
        <v>222</v>
      </c>
      <c r="B74" s="1326" t="s">
        <v>53</v>
      </c>
      <c r="C74" s="1327"/>
      <c r="D74" s="1328" t="str">
        <f>IF(E74&lt;4,"SINGLE",IF(E74&lt;7,"CENTER",IF(E74="-","","ATTACH")))</f>
        <v>CENTER</v>
      </c>
      <c r="E74" s="1329">
        <f>IFERROR(MAX('Land Matrix 10deg (lift)'!F14:F30),"-")</f>
        <v>4</v>
      </c>
      <c r="F74" s="1666"/>
      <c r="G74" s="1666"/>
      <c r="H74" s="1666"/>
      <c r="I74" s="1666"/>
      <c r="J74" s="1666"/>
      <c r="K74" s="1666"/>
      <c r="L74" s="1666"/>
      <c r="M74" s="1313"/>
      <c r="Y74" s="1330">
        <v>72</v>
      </c>
      <c r="Z74" s="1330"/>
      <c r="AA74" s="1310"/>
      <c r="AB74" s="1310"/>
      <c r="AC74" s="1310"/>
      <c r="AD74" s="1310"/>
    </row>
    <row r="75" spans="1:30" ht="22.5" customHeight="1">
      <c r="A75" s="1331" t="s">
        <v>94</v>
      </c>
      <c r="B75" s="1321" t="s">
        <v>53</v>
      </c>
      <c r="C75" s="1322"/>
      <c r="D75" s="1332" t="str">
        <f>IF(E75&lt;4,"SINGLE",IF(E75&lt;7,"CENTER",IF(E75="-","","ATTACH")))</f>
        <v>CENTER</v>
      </c>
      <c r="E75" s="1324">
        <f>IFERROR(MAX('Land Matrix 10deg (lift)'!H14:H30,'Land Matrix 10deg (lift)'!J14:J30,'Land Matrix 10deg (lift)'!L14:L30),"-")</f>
        <v>5</v>
      </c>
      <c r="F75" s="1665"/>
      <c r="G75" s="1665"/>
      <c r="H75" s="1665"/>
      <c r="I75" s="1665"/>
      <c r="J75" s="1665"/>
      <c r="K75" s="1665"/>
      <c r="L75" s="1665"/>
      <c r="M75" s="1313"/>
      <c r="Y75" s="1330"/>
      <c r="Z75" s="1330"/>
      <c r="AA75" s="1310"/>
      <c r="AB75" s="1310"/>
      <c r="AC75" s="1310"/>
      <c r="AD75" s="1310"/>
    </row>
    <row r="76" spans="1:30" ht="22.5" customHeight="1">
      <c r="A76" s="1325" t="s">
        <v>241</v>
      </c>
      <c r="B76" s="1326" t="s">
        <v>53</v>
      </c>
      <c r="C76" s="1327"/>
      <c r="D76" s="1328" t="str">
        <f>IF(E76&lt;4,"SINGLE",IF(E76&lt;7,"CENTER",IF(E76="-","","ATTACH")))</f>
        <v>CENTER</v>
      </c>
      <c r="E76" s="1329">
        <f>IFERROR(MAX('Land Matrix 10deg (lift)'!N14:N30,'Land Matrix 10deg (lift)'!P14:P30),"-")</f>
        <v>4</v>
      </c>
      <c r="F76" s="1666"/>
      <c r="G76" s="1666"/>
      <c r="H76" s="1666"/>
      <c r="I76" s="1666"/>
      <c r="J76" s="1666"/>
      <c r="K76" s="1666"/>
      <c r="L76" s="1666"/>
      <c r="M76" s="1313"/>
      <c r="X76" s="1330"/>
      <c r="Y76" s="1330"/>
      <c r="Z76" s="1330"/>
      <c r="AA76" s="1310"/>
      <c r="AB76" s="1310"/>
      <c r="AC76" s="1310"/>
      <c r="AD76" s="1310"/>
    </row>
    <row r="77" spans="1:30" ht="22.5" customHeight="1">
      <c r="A77" s="1321"/>
      <c r="B77" s="1321" t="s">
        <v>19357</v>
      </c>
      <c r="C77" s="1322"/>
      <c r="D77" s="1323"/>
      <c r="E77" s="1333">
        <f>IFERROR(1.05*(($C$24/$C$23)*'2-Inputs'!F8*E72+($C$24/$C$23)*'2-Inputs'!F8*E73+(($C$23-2*$C$24)/$C$23)*'2-Inputs'!F8*E75),0)</f>
        <v>0</v>
      </c>
      <c r="F77" s="1665"/>
      <c r="G77" s="1665"/>
      <c r="H77" s="1665"/>
      <c r="I77" s="1665"/>
      <c r="J77" s="1665"/>
      <c r="K77" s="1665"/>
      <c r="L77" s="1665"/>
      <c r="M77" s="1313"/>
      <c r="X77" s="1330"/>
      <c r="Y77" s="1330"/>
      <c r="Z77" s="1330"/>
      <c r="AA77" s="1310"/>
      <c r="AB77" s="1310"/>
      <c r="AC77" s="1310"/>
      <c r="AD77" s="1310"/>
    </row>
    <row r="78" spans="1:30" ht="22.5" customHeight="1">
      <c r="A78" s="1334"/>
      <c r="B78" s="1335"/>
      <c r="C78" s="1319"/>
      <c r="D78" s="1336"/>
      <c r="E78" s="1337"/>
      <c r="F78" s="1338"/>
      <c r="G78" s="1338"/>
      <c r="H78" s="1338"/>
      <c r="I78" s="1338"/>
      <c r="J78" s="1338"/>
      <c r="K78" s="1338"/>
      <c r="L78" s="1338"/>
      <c r="M78" s="1313"/>
      <c r="X78" s="1330"/>
      <c r="Y78" s="1330"/>
      <c r="Z78" s="1330"/>
      <c r="AA78" s="1310"/>
      <c r="AB78" s="1310"/>
      <c r="AC78" s="1310"/>
      <c r="AD78" s="1310"/>
    </row>
    <row r="79" spans="1:30" ht="22.5" customHeight="1">
      <c r="A79" s="1321" t="s">
        <v>19385</v>
      </c>
      <c r="B79" s="1322"/>
      <c r="C79" s="1339"/>
      <c r="D79" s="1340"/>
      <c r="E79" s="1324" t="str">
        <f>IF(D81="SINGLE","YES",IF(D81="","YES","NO"))</f>
        <v>NO</v>
      </c>
      <c r="F79" s="1665"/>
      <c r="G79" s="1665"/>
      <c r="H79" s="1665"/>
      <c r="I79" s="1665"/>
      <c r="J79" s="1665"/>
      <c r="K79" s="1665"/>
      <c r="L79" s="1665"/>
      <c r="M79" s="1313"/>
      <c r="N79" s="1310"/>
      <c r="O79" s="1310"/>
      <c r="P79" s="1310"/>
      <c r="Q79" s="1320"/>
      <c r="R79" s="1310"/>
      <c r="S79" s="1310"/>
      <c r="T79" s="1310"/>
      <c r="U79" s="1310"/>
      <c r="V79" s="1310"/>
      <c r="W79" s="1310"/>
      <c r="X79" s="1330"/>
      <c r="Y79" s="1330"/>
      <c r="Z79" s="1330"/>
      <c r="AA79" s="1310"/>
      <c r="AB79" s="1310"/>
      <c r="AC79" s="1310"/>
      <c r="AD79" s="1310"/>
    </row>
    <row r="80" spans="1:30" ht="22.5" customHeight="1">
      <c r="A80" s="1325" t="s">
        <v>32</v>
      </c>
      <c r="B80" s="1326" t="s">
        <v>53</v>
      </c>
      <c r="C80" s="1341"/>
      <c r="D80" s="1328" t="str">
        <f>IF(E80&lt;7,"SINGLE",IF(E80&lt;13,"CENTER",IF(E80="-","","ATTACH")))</f>
        <v>SINGLE</v>
      </c>
      <c r="E80" s="1329">
        <f>IFERROR(MAX('Port Matrix (lift)'!F11:V11),"-")</f>
        <v>6</v>
      </c>
      <c r="F80" s="1666"/>
      <c r="G80" s="1666"/>
      <c r="H80" s="1666"/>
      <c r="I80" s="1666"/>
      <c r="J80" s="1666"/>
      <c r="K80" s="1666"/>
      <c r="L80" s="1666"/>
      <c r="M80" s="1313"/>
      <c r="N80" s="1310"/>
      <c r="O80" s="1310"/>
      <c r="P80" s="1310"/>
      <c r="Q80" s="1310"/>
      <c r="R80" s="1310"/>
      <c r="S80" s="1310"/>
      <c r="T80" s="1310"/>
      <c r="U80" s="1310"/>
      <c r="V80" s="1310"/>
      <c r="W80" s="1310"/>
      <c r="X80" s="1330"/>
      <c r="Y80" s="1330"/>
      <c r="Z80" s="1330"/>
      <c r="AA80" s="1310"/>
      <c r="AB80" s="1310"/>
      <c r="AC80" s="1310"/>
      <c r="AD80" s="1310"/>
    </row>
    <row r="81" spans="1:30" ht="22.5" customHeight="1">
      <c r="A81" s="1331" t="s">
        <v>218</v>
      </c>
      <c r="B81" s="1321" t="s">
        <v>53</v>
      </c>
      <c r="C81" s="1339"/>
      <c r="D81" s="1332" t="str">
        <f>IF(E81&lt;4,"SINGLE",IF(E81&lt;7,"CENTER",IF(E81="-","","ATTACH")))</f>
        <v>CENTER</v>
      </c>
      <c r="E81" s="1324">
        <f>IFERROR(MAX('Port Matrix (lift)'!F32:V32,'Port Matrix (lift)'!F36:V36),"-")</f>
        <v>6</v>
      </c>
      <c r="F81" s="1665"/>
      <c r="G81" s="1665"/>
      <c r="H81" s="1665"/>
      <c r="I81" s="1665"/>
      <c r="J81" s="1665"/>
      <c r="K81" s="1665"/>
      <c r="L81" s="1665"/>
      <c r="M81" s="1342"/>
      <c r="Q81" s="1320"/>
      <c r="R81" s="1310"/>
      <c r="S81" s="1310"/>
      <c r="T81" s="1310"/>
      <c r="U81" s="1310"/>
      <c r="V81" s="1310"/>
      <c r="W81" s="1310"/>
      <c r="X81" s="1310"/>
      <c r="Y81" s="1310"/>
      <c r="Z81" s="1310"/>
      <c r="AA81" s="1310"/>
      <c r="AB81" s="1310"/>
      <c r="AC81" s="1310"/>
      <c r="AD81" s="1310"/>
    </row>
    <row r="82" spans="1:30" ht="18.75">
      <c r="A82" s="1325" t="s">
        <v>222</v>
      </c>
      <c r="B82" s="1326" t="s">
        <v>53</v>
      </c>
      <c r="C82" s="1341"/>
      <c r="D82" s="1328" t="str">
        <f>IF(E82&lt;4,"SINGLE",IF(E82&lt;7,"CENTER",IF(E82="-","","ATTACH")))</f>
        <v>CENTER</v>
      </c>
      <c r="E82" s="1329">
        <f>IFERROR(MAX('Port Matrix (lift)'!F14:F30),"-")</f>
        <v>4</v>
      </c>
      <c r="F82" s="1666"/>
      <c r="G82" s="1666"/>
      <c r="H82" s="1666"/>
      <c r="I82" s="1666"/>
      <c r="J82" s="1666"/>
      <c r="K82" s="1666"/>
      <c r="L82" s="1666"/>
      <c r="Q82" s="1320"/>
      <c r="S82" s="1343"/>
    </row>
    <row r="83" spans="1:30" ht="18.75">
      <c r="A83" s="1331" t="s">
        <v>94</v>
      </c>
      <c r="B83" s="1321" t="s">
        <v>53</v>
      </c>
      <c r="C83" s="1339"/>
      <c r="D83" s="1332" t="str">
        <f>IF(E83&lt;4,"SINGLE",IF(E83&lt;7,"CENTER",IF(E83="-","","ATTACH")))</f>
        <v>CENTER</v>
      </c>
      <c r="E83" s="1324">
        <f>IFERROR(MAX('Port Matrix (lift)'!H14:H30,'Port Matrix (lift)'!J14:J30,'Port Matrix (lift)'!L14:L30,'Port Matrix (lift)'!N14:N30,'Port Matrix (lift)'!P14:P30,'Port Matrix (lift)'!R14:R30),"-")</f>
        <v>5</v>
      </c>
      <c r="F83" s="1665"/>
      <c r="G83" s="1665"/>
      <c r="H83" s="1665"/>
      <c r="I83" s="1665"/>
      <c r="J83" s="1665"/>
      <c r="K83" s="1665"/>
      <c r="L83" s="1665"/>
    </row>
    <row r="84" spans="1:30" ht="18.75">
      <c r="A84" s="1325" t="s">
        <v>241</v>
      </c>
      <c r="B84" s="1326" t="s">
        <v>53</v>
      </c>
      <c r="C84" s="1341"/>
      <c r="D84" s="1328" t="str">
        <f>IF(E84&lt;4,"SINGLE",IF(E84&lt;7,"CENTER",IF(E84="-","","ATTACH")))</f>
        <v>CENTER</v>
      </c>
      <c r="E84" s="1329">
        <f>IFERROR(MAX('Port Matrix (lift)'!T14:T30,'Port Matrix (lift)'!V14:V30),"-")</f>
        <v>4</v>
      </c>
      <c r="F84" s="1666"/>
      <c r="G84" s="1666"/>
      <c r="H84" s="1666"/>
      <c r="I84" s="1666"/>
      <c r="J84" s="1666"/>
      <c r="K84" s="1666"/>
      <c r="L84" s="1666"/>
      <c r="N84" s="1310" t="s">
        <v>41</v>
      </c>
      <c r="O84" s="1310" t="s">
        <v>12</v>
      </c>
      <c r="P84" s="1310" t="s">
        <v>16</v>
      </c>
      <c r="Q84" s="1310" t="s">
        <v>18</v>
      </c>
      <c r="R84" s="1310" t="s">
        <v>44</v>
      </c>
      <c r="S84" s="1310" t="s">
        <v>94</v>
      </c>
      <c r="T84" s="1310">
        <v>2005</v>
      </c>
      <c r="U84" s="1310" t="s">
        <v>8</v>
      </c>
      <c r="V84" s="1310" t="s">
        <v>274</v>
      </c>
      <c r="W84" s="1310" t="s">
        <v>320</v>
      </c>
      <c r="X84" s="1344" t="s">
        <v>355</v>
      </c>
      <c r="Z84" s="1310" t="s">
        <v>19948</v>
      </c>
      <c r="AC84" s="1925"/>
      <c r="AD84" s="1925"/>
    </row>
    <row r="85" spans="1:30" ht="18.75">
      <c r="A85" s="1321"/>
      <c r="B85" s="1321" t="s">
        <v>19357</v>
      </c>
      <c r="C85" s="1339"/>
      <c r="D85" s="1340"/>
      <c r="E85" s="1333">
        <f>IFERROR(1.05*(($C$24/$C$23)*'2-Inputs'!F8*E80+($C$24/$C$23)*'2-Inputs'!F8*E81+(($C$23-2*$C$24)/$C$23)*'2-Inputs'!F8*E83),0)</f>
        <v>0</v>
      </c>
      <c r="F85" s="1665"/>
      <c r="G85" s="1665"/>
      <c r="H85" s="1665"/>
      <c r="I85" s="1665"/>
      <c r="J85" s="1665"/>
      <c r="K85" s="1665"/>
      <c r="L85" s="1665"/>
      <c r="N85" s="1310" t="s">
        <v>144</v>
      </c>
      <c r="O85" s="1310" t="s">
        <v>14</v>
      </c>
      <c r="P85" s="1310" t="s">
        <v>58</v>
      </c>
      <c r="Q85" s="1310" t="s">
        <v>121</v>
      </c>
      <c r="R85" s="1662" t="s">
        <v>131</v>
      </c>
      <c r="S85" s="1310" t="s">
        <v>6</v>
      </c>
      <c r="T85" s="1310">
        <v>2010</v>
      </c>
      <c r="U85" s="1310" t="s">
        <v>260</v>
      </c>
      <c r="V85" s="1310" t="str">
        <f>IF(C3="EcoFoot 5D","","EPDM")</f>
        <v>EPDM</v>
      </c>
      <c r="W85" s="1310" t="s">
        <v>321</v>
      </c>
      <c r="X85" s="1344" t="s">
        <v>387</v>
      </c>
      <c r="Z85" s="1310" t="s">
        <v>19947</v>
      </c>
      <c r="AC85" s="1924"/>
      <c r="AD85" s="1924"/>
    </row>
    <row r="86" spans="1:30">
      <c r="A86" s="1249"/>
      <c r="B86" s="1249"/>
      <c r="C86" s="1345"/>
      <c r="D86" s="1336"/>
      <c r="E86" s="1336"/>
      <c r="F86" s="1669"/>
      <c r="G86" s="1669"/>
      <c r="H86" s="1669"/>
      <c r="I86" s="1669"/>
      <c r="J86" s="1669"/>
      <c r="K86" s="1669"/>
      <c r="L86" s="1669"/>
      <c r="N86" s="1310">
        <v>0</v>
      </c>
      <c r="O86" s="1310" t="s">
        <v>8</v>
      </c>
      <c r="P86" s="1310" t="s">
        <v>29</v>
      </c>
      <c r="Q86" s="1310" t="s">
        <v>129</v>
      </c>
      <c r="R86" s="1310">
        <v>0</v>
      </c>
      <c r="S86" s="1310" t="s">
        <v>40</v>
      </c>
      <c r="T86" s="1310">
        <v>0</v>
      </c>
      <c r="U86" s="1310">
        <v>0</v>
      </c>
      <c r="V86" s="1310" t="str">
        <f>IF(C3="EcoFoot 5D","","TPO")</f>
        <v>TPO</v>
      </c>
      <c r="W86" s="1310"/>
      <c r="X86" s="1310" t="s">
        <v>19708</v>
      </c>
      <c r="Z86" s="1244">
        <v>0</v>
      </c>
      <c r="AC86" s="1924"/>
      <c r="AD86" s="1924"/>
    </row>
    <row r="87" spans="1:30">
      <c r="N87" s="1310"/>
      <c r="O87" s="1310">
        <v>0</v>
      </c>
      <c r="P87" s="1310" t="s">
        <v>60</v>
      </c>
      <c r="Q87" s="1310" t="s">
        <v>19673</v>
      </c>
      <c r="R87" s="1310"/>
      <c r="S87" s="1310"/>
      <c r="T87" s="1310"/>
      <c r="U87" s="1310"/>
      <c r="W87" s="1310"/>
      <c r="X87" s="1344" t="s">
        <v>388</v>
      </c>
      <c r="AC87" s="1924"/>
      <c r="AD87" s="1924"/>
    </row>
    <row r="88" spans="1:30">
      <c r="N88" s="1310"/>
      <c r="O88" s="1310"/>
      <c r="P88" s="1310">
        <v>0</v>
      </c>
      <c r="Q88" s="1310" t="s">
        <v>19674</v>
      </c>
      <c r="R88" s="1310"/>
      <c r="S88" s="1310"/>
      <c r="T88" s="1310"/>
      <c r="U88" s="1310"/>
      <c r="V88" s="1310"/>
      <c r="W88" s="1310"/>
    </row>
    <row r="89" spans="1:30">
      <c r="N89" s="1310"/>
      <c r="O89" s="1310"/>
      <c r="P89" s="1310"/>
      <c r="Q89" s="1310" t="s">
        <v>59</v>
      </c>
      <c r="R89" s="1310"/>
      <c r="S89" s="1310"/>
      <c r="T89" s="1310"/>
      <c r="U89" s="1310"/>
      <c r="V89" s="1310"/>
      <c r="W89" s="1310"/>
    </row>
    <row r="90" spans="1:30">
      <c r="Q90" s="1244">
        <v>0</v>
      </c>
    </row>
    <row r="370" spans="20:23">
      <c r="W370" s="1348">
        <v>42298</v>
      </c>
    </row>
    <row r="375" spans="20:23">
      <c r="T375" s="1348">
        <v>42286</v>
      </c>
    </row>
  </sheetData>
  <sheetProtection selectLockedCells="1"/>
  <dataConsolidate/>
  <customSheetViews>
    <customSheetView guid="{F2CCAFB5-9C02-49AC-87E7-8695C5014AAE}" hiddenRows="1" topLeftCell="A22">
      <selection activeCell="C37" sqref="C37"/>
      <pageMargins left="0.7" right="0.7" top="0.75" bottom="0.75" header="0.3" footer="0.3"/>
      <pageSetup orientation="portrait" r:id="rId1"/>
    </customSheetView>
  </customSheetViews>
  <mergeCells count="106">
    <mergeCell ref="A40:B40"/>
    <mergeCell ref="A41:B41"/>
    <mergeCell ref="A42:B42"/>
    <mergeCell ref="A43:B43"/>
    <mergeCell ref="A60:B60"/>
    <mergeCell ref="A58:B58"/>
    <mergeCell ref="A59:B59"/>
    <mergeCell ref="A54:B54"/>
    <mergeCell ref="A55:B55"/>
    <mergeCell ref="A57:B57"/>
    <mergeCell ref="A52:B52"/>
    <mergeCell ref="A53:B53"/>
    <mergeCell ref="A49:B49"/>
    <mergeCell ref="A50:B50"/>
    <mergeCell ref="A44:B44"/>
    <mergeCell ref="A45:B45"/>
    <mergeCell ref="A47:B47"/>
    <mergeCell ref="A48:B48"/>
    <mergeCell ref="A35:B35"/>
    <mergeCell ref="A36:B36"/>
    <mergeCell ref="A37:B37"/>
    <mergeCell ref="A38:B38"/>
    <mergeCell ref="A30:B30"/>
    <mergeCell ref="A31:B31"/>
    <mergeCell ref="A32:B32"/>
    <mergeCell ref="A33:B33"/>
    <mergeCell ref="A39:B39"/>
    <mergeCell ref="A19:B19"/>
    <mergeCell ref="D16:E16"/>
    <mergeCell ref="A27:B27"/>
    <mergeCell ref="A28:B28"/>
    <mergeCell ref="A29:B29"/>
    <mergeCell ref="A20:B20"/>
    <mergeCell ref="A21:B21"/>
    <mergeCell ref="A22:B22"/>
    <mergeCell ref="A23:B23"/>
    <mergeCell ref="A24:B24"/>
    <mergeCell ref="A26:B26"/>
    <mergeCell ref="D41:L41"/>
    <mergeCell ref="D42:L42"/>
    <mergeCell ref="D43:L43"/>
    <mergeCell ref="D44:L44"/>
    <mergeCell ref="D45:L45"/>
    <mergeCell ref="D35:L35"/>
    <mergeCell ref="D21:L21"/>
    <mergeCell ref="D22:L22"/>
    <mergeCell ref="D23:L23"/>
    <mergeCell ref="A5:B5"/>
    <mergeCell ref="A6:B6"/>
    <mergeCell ref="A8:B8"/>
    <mergeCell ref="A9:B9"/>
    <mergeCell ref="A10:B10"/>
    <mergeCell ref="D38:L38"/>
    <mergeCell ref="D39:L39"/>
    <mergeCell ref="D26:L26"/>
    <mergeCell ref="D27:L27"/>
    <mergeCell ref="D28:L28"/>
    <mergeCell ref="D29:L29"/>
    <mergeCell ref="D30:L30"/>
    <mergeCell ref="D31:L31"/>
    <mergeCell ref="D32:L32"/>
    <mergeCell ref="D33:L33"/>
    <mergeCell ref="D37:L37"/>
    <mergeCell ref="D13:L13"/>
    <mergeCell ref="A11:B11"/>
    <mergeCell ref="A12:B12"/>
    <mergeCell ref="A13:B13"/>
    <mergeCell ref="A15:B15"/>
    <mergeCell ref="A16:B16"/>
    <mergeCell ref="A17:B17"/>
    <mergeCell ref="A18:B18"/>
    <mergeCell ref="N5:T5"/>
    <mergeCell ref="Q6:T6"/>
    <mergeCell ref="Q7:T7"/>
    <mergeCell ref="Q8:T8"/>
    <mergeCell ref="Q9:T9"/>
    <mergeCell ref="D36:L36"/>
    <mergeCell ref="D12:L12"/>
    <mergeCell ref="D11:L11"/>
    <mergeCell ref="D10:L10"/>
    <mergeCell ref="D9:L9"/>
    <mergeCell ref="Q10:T10"/>
    <mergeCell ref="Q11:T11"/>
    <mergeCell ref="Q12:T12"/>
    <mergeCell ref="Q13:T13"/>
    <mergeCell ref="Q14:T14"/>
    <mergeCell ref="Q15:T15"/>
    <mergeCell ref="Q16:T16"/>
    <mergeCell ref="Q17:T17"/>
    <mergeCell ref="D7:L7"/>
    <mergeCell ref="Q18:T18"/>
    <mergeCell ref="Q19:T19"/>
    <mergeCell ref="N6:P6"/>
    <mergeCell ref="N7:P7"/>
    <mergeCell ref="N8:P8"/>
    <mergeCell ref="N18:P18"/>
    <mergeCell ref="N19:P19"/>
    <mergeCell ref="N9:P9"/>
    <mergeCell ref="N10:P10"/>
    <mergeCell ref="N11:P11"/>
    <mergeCell ref="N12:P12"/>
    <mergeCell ref="N13:P13"/>
    <mergeCell ref="N14:P14"/>
    <mergeCell ref="N15:P15"/>
    <mergeCell ref="N16:P16"/>
    <mergeCell ref="N17:P17"/>
  </mergeCells>
  <conditionalFormatting sqref="E72:E78 E62:E64">
    <cfRule type="containsText" dxfId="6270" priority="167" operator="containsText" text="NO">
      <formula>NOT(ISERROR(SEARCH("NO",E62)))</formula>
    </cfRule>
  </conditionalFormatting>
  <conditionalFormatting sqref="E85">
    <cfRule type="containsText" dxfId="6269" priority="164" operator="containsText" text="YES">
      <formula>NOT(ISERROR(SEARCH("YES",E85)))</formula>
    </cfRule>
    <cfRule type="containsText" dxfId="6268" priority="165" operator="containsText" text="NO">
      <formula>NOT(ISERROR(SEARCH("NO",E85)))</formula>
    </cfRule>
  </conditionalFormatting>
  <conditionalFormatting sqref="E66">
    <cfRule type="containsText" dxfId="6267" priority="147" operator="containsText" text="NO">
      <formula>NOT(ISERROR(SEARCH("NO",E66)))</formula>
    </cfRule>
  </conditionalFormatting>
  <conditionalFormatting sqref="E80 E83">
    <cfRule type="containsText" dxfId="6266" priority="138" operator="containsText" text="YES">
      <formula>NOT(ISERROR(SEARCH("YES",E80)))</formula>
    </cfRule>
    <cfRule type="containsText" dxfId="6265" priority="139" operator="containsText" text="NO">
      <formula>NOT(ISERROR(SEARCH("NO",E80)))</formula>
    </cfRule>
  </conditionalFormatting>
  <conditionalFormatting sqref="E84">
    <cfRule type="containsText" dxfId="6264" priority="128" operator="containsText" text="YES">
      <formula>NOT(ISERROR(SEARCH("YES",E84)))</formula>
    </cfRule>
    <cfRule type="containsText" dxfId="6263" priority="129" operator="containsText" text="NO">
      <formula>NOT(ISERROR(SEARCH("NO",E84)))</formula>
    </cfRule>
  </conditionalFormatting>
  <conditionalFormatting sqref="E81">
    <cfRule type="containsText" dxfId="6262" priority="136" operator="containsText" text="YES">
      <formula>NOT(ISERROR(SEARCH("YES",E81)))</formula>
    </cfRule>
    <cfRule type="containsText" dxfId="6261" priority="137" operator="containsText" text="NO">
      <formula>NOT(ISERROR(SEARCH("NO",E81)))</formula>
    </cfRule>
  </conditionalFormatting>
  <conditionalFormatting sqref="E82">
    <cfRule type="containsText" dxfId="6260" priority="132" operator="containsText" text="YES">
      <formula>NOT(ISERROR(SEARCH("YES",E82)))</formula>
    </cfRule>
    <cfRule type="containsText" dxfId="6259" priority="133" operator="containsText" text="NO">
      <formula>NOT(ISERROR(SEARCH("NO",E82)))</formula>
    </cfRule>
  </conditionalFormatting>
  <conditionalFormatting sqref="E65">
    <cfRule type="cellIs" dxfId="6258" priority="36" operator="between">
      <formula>1</formula>
      <formula>10000</formula>
    </cfRule>
  </conditionalFormatting>
  <conditionalFormatting sqref="D21:D22 M21:M22">
    <cfRule type="expression" dxfId="6257" priority="33">
      <formula>$C$12="Yes"</formula>
    </cfRule>
  </conditionalFormatting>
  <conditionalFormatting sqref="E67">
    <cfRule type="cellIs" dxfId="6256" priority="31" operator="between">
      <formula>1</formula>
      <formula>10000</formula>
    </cfRule>
  </conditionalFormatting>
  <conditionalFormatting sqref="C26:D26">
    <cfRule type="expression" dxfId="6255" priority="23">
      <formula>AND($C$27&gt;60,OR($C$26="", T($C$26)&lt;&gt;""))</formula>
    </cfRule>
  </conditionalFormatting>
  <conditionalFormatting sqref="C60">
    <cfRule type="containsText" dxfId="6254" priority="17" stopIfTrue="1" operator="containsText" text="TOO MANY BLOCKS">
      <formula>NOT(ISERROR(SEARCH("TOO MANY BLOCKS",C60)))</formula>
    </cfRule>
    <cfRule type="containsText" dxfId="6253" priority="18" stopIfTrue="1" operator="containsText" text="ERROR">
      <formula>NOT(ISERROR(SEARCH("ERROR",C60)))</formula>
    </cfRule>
  </conditionalFormatting>
  <conditionalFormatting sqref="D72:D84">
    <cfRule type="expression" dxfId="6252" priority="16">
      <formula>CENTER</formula>
    </cfRule>
  </conditionalFormatting>
  <conditionalFormatting sqref="F67:L67">
    <cfRule type="expression" dxfId="6251" priority="15">
      <formula>$E$67&gt;0</formula>
    </cfRule>
  </conditionalFormatting>
  <conditionalFormatting sqref="A57:L60 A46:L50 A52:L55">
    <cfRule type="expression" dxfId="6250" priority="14">
      <formula>$C$27&gt;60</formula>
    </cfRule>
  </conditionalFormatting>
  <conditionalFormatting sqref="A46:L46">
    <cfRule type="expression" dxfId="6249" priority="12">
      <formula>$C$27&gt;60</formula>
    </cfRule>
  </conditionalFormatting>
  <conditionalFormatting sqref="C58 C52 C47">
    <cfRule type="expression" dxfId="6248" priority="10">
      <formula>ISBLANK($C$58)</formula>
    </cfRule>
  </conditionalFormatting>
  <conditionalFormatting sqref="C44 C41">
    <cfRule type="expression" dxfId="6247" priority="9">
      <formula>ISBLANK(C41)</formula>
    </cfRule>
  </conditionalFormatting>
  <conditionalFormatting sqref="D32">
    <cfRule type="expression" dxfId="6246" priority="3006">
      <formula>AND($C$41&gt;7,$E$65&gt;0)</formula>
    </cfRule>
  </conditionalFormatting>
  <conditionalFormatting sqref="C23">
    <cfRule type="expression" dxfId="6245" priority="7">
      <formula>$C$23=""</formula>
    </cfRule>
  </conditionalFormatting>
  <conditionalFormatting sqref="C45">
    <cfRule type="expression" dxfId="6244" priority="6">
      <formula>$C$45&lt;12</formula>
    </cfRule>
  </conditionalFormatting>
  <conditionalFormatting sqref="C38 C35 C32 C27:C30 C18:C20 C11">
    <cfRule type="expression" dxfId="6243" priority="5">
      <formula>C11=0</formula>
    </cfRule>
  </conditionalFormatting>
  <conditionalFormatting sqref="C3">
    <cfRule type="expression" dxfId="6242" priority="4">
      <formula>C3=0</formula>
    </cfRule>
  </conditionalFormatting>
  <conditionalFormatting sqref="C13">
    <cfRule type="expression" dxfId="6241" priority="3">
      <formula>C13=0</formula>
    </cfRule>
  </conditionalFormatting>
  <conditionalFormatting sqref="C33">
    <cfRule type="expression" dxfId="6240" priority="2">
      <formula>C33=0</formula>
    </cfRule>
  </conditionalFormatting>
  <conditionalFormatting sqref="C37">
    <cfRule type="expression" dxfId="6239" priority="1">
      <formula>C37=0</formula>
    </cfRule>
  </conditionalFormatting>
  <dataValidations xWindow="541" yWindow="447" count="21">
    <dataValidation type="list" allowBlank="1" showInputMessage="1" showErrorMessage="1" sqref="T71:T72" xr:uid="{00000000-0002-0000-0200-000000000000}">
      <formula1>$T$71:$T$72</formula1>
    </dataValidation>
    <dataValidation type="decimal" operator="greaterThanOrEqual" allowBlank="1" showInputMessage="1" showErrorMessage="1" sqref="C38 C44 C31:C32 C28 C17:C20" xr:uid="{00000000-0002-0000-0200-000001000000}">
      <formula1>0</formula1>
    </dataValidation>
    <dataValidation type="decimal" operator="lessThan" allowBlank="1" showErrorMessage="1" errorTitle="Invalid Block Weight" error="Secondary block weight must be less than primary block weight" sqref="C39" xr:uid="{00000000-0002-0000-0200-000002000000}">
      <formula1>$C$38</formula1>
    </dataValidation>
    <dataValidation type="custom" errorStyle="information" showInputMessage="1" showErrorMessage="1" errorTitle="Sub-Array Requires Extra Ballast" error="The size of the smallest sub-array requires extra ballast to offset sliding. Please check size (cell C38) or include extra ballast in layout._x000a_" sqref="E67" xr:uid="{00000000-0002-0000-0200-000003000000}">
      <formula1>E67&gt;0</formula1>
    </dataValidation>
    <dataValidation type="decimal" errorStyle="information" allowBlank="1" showInputMessage="1" showErrorMessage="1" errorTitle="Roof slope exceeds allowable max" error="For unattached method, roof slope must be ≤ 3°_x000a_For SEAOC attached seismic, roof slope must be ≤ 7°_x000a_" promptTitle="Roof Slope" prompt="Please enter roof slope in degrees. Typica large, flat roof buildings have 1.2 degrees slope." sqref="C41" xr:uid="{00000000-0002-0000-0200-000004000000}">
      <formula1>0</formula1>
      <formula2>IF(C42="Attached",IF($E$65=0,9,7),3)</formula2>
    </dataValidation>
    <dataValidation type="whole" operator="greaterThan" showInputMessage="1" showErrorMessage="1" errorTitle="Please enter roof least width" error="Integers greater than 0 only._x000a_" sqref="C58" xr:uid="{00000000-0002-0000-0200-000005000000}">
      <formula1>0</formula1>
    </dataValidation>
    <dataValidation type="list" allowBlank="1" showInputMessage="1" showErrorMessage="1" sqref="C29" xr:uid="{00000000-0002-0000-0200-000006000000}">
      <formula1>$P$84:$P$88</formula1>
    </dataValidation>
    <dataValidation type="list" allowBlank="1" showInputMessage="1" showErrorMessage="1" sqref="C30" xr:uid="{00000000-0002-0000-0200-000007000000}">
      <formula1>$O$84:$O$87</formula1>
    </dataValidation>
    <dataValidation type="list" allowBlank="1" showInputMessage="1" showErrorMessage="1" sqref="C33" xr:uid="{00000000-0002-0000-0200-000008000000}">
      <formula1>$U$84:$U$86</formula1>
    </dataValidation>
    <dataValidation type="list" allowBlank="1" showInputMessage="1" showErrorMessage="1" sqref="C37" xr:uid="{00000000-0002-0000-0200-000009000000}">
      <formula1>$R$84:$R$86</formula1>
    </dataValidation>
    <dataValidation type="list" allowBlank="1" showInputMessage="1" showErrorMessage="1" sqref="C43 C12 L3" xr:uid="{00000000-0002-0000-0200-00000A000000}">
      <formula1>$N$84:$N$85</formula1>
    </dataValidation>
    <dataValidation type="list" allowBlank="1" showInputMessage="1" showErrorMessage="1" sqref="C35" xr:uid="{00000000-0002-0000-0200-00000B000000}">
      <formula1>$T$84:$T$86</formula1>
    </dataValidation>
    <dataValidation type="decimal" operator="greaterThan" allowBlank="1" showInputMessage="1" showErrorMessage="1" errorTitle="Invalid" error="Rise must be greater than zero." sqref="O42" xr:uid="{00000000-0002-0000-0200-00000C000000}">
      <formula1>0</formula1>
    </dataValidation>
    <dataValidation type="decimal" operator="greaterThan" allowBlank="1" showInputMessage="1" showErrorMessage="1" errorTitle="Invalid" error="Run must be greater than zero" sqref="O43" xr:uid="{00000000-0002-0000-0200-00000D000000}">
      <formula1>0</formula1>
    </dataValidation>
    <dataValidation type="custom" errorStyle="information" allowBlank="1" showErrorMessage="1" errorTitle="Excessive Height" error="For buildings with height greater than 60', the building's greatest width is required in order to calculate the best ballast plan possible. Please provide above." sqref="C27" xr:uid="{00000000-0002-0000-0200-00000E000000}">
      <formula1>C27&lt;=60</formula1>
    </dataValidation>
    <dataValidation type="list" allowBlank="1" showInputMessage="1" showErrorMessage="1" sqref="C22" xr:uid="{00000000-0002-0000-0200-00000F000000}">
      <formula1>$X$84:$X$88</formula1>
    </dataValidation>
    <dataValidation type="list" allowBlank="1" showInputMessage="1" showErrorMessage="1" sqref="C11" xr:uid="{00000000-0002-0000-0200-000010000000}">
      <formula1>$Q$84:$Q$90</formula1>
    </dataValidation>
    <dataValidation type="list" allowBlank="1" showInputMessage="1" showErrorMessage="1" sqref="C3" xr:uid="{00000000-0002-0000-0200-000011000000}">
      <formula1>$Z$84:$Z$86</formula1>
    </dataValidation>
    <dataValidation type="list" allowBlank="1" showInputMessage="1" showErrorMessage="1" sqref="C42" xr:uid="{00000000-0002-0000-0200-000012000000}">
      <formula1>IF($C$41&lt;=3,$W$84:$W$85,$W$85)</formula1>
    </dataValidation>
    <dataValidation type="list" allowBlank="1" showInputMessage="1" showErrorMessage="1" sqref="C13" xr:uid="{00000000-0002-0000-0200-000013000000}">
      <formula1>$N$84:$N$86</formula1>
    </dataValidation>
    <dataValidation type="list" allowBlank="1" showInputMessage="1" showErrorMessage="1" sqref="C36" xr:uid="{00000000-0002-0000-0200-000014000000}">
      <formula1>$V$84:$V$86</formula1>
    </dataValidation>
  </dataValidations>
  <pageMargins left="0.7" right="0.7" top="0.75" bottom="0.75" header="0.3" footer="0.3"/>
  <pageSetup orientation="portrait" r:id="rId2"/>
  <ignoredErrors>
    <ignoredError sqref="C59:C60" unlockedFormula="1"/>
  </ignoredErrors>
  <drawing r:id="rId3"/>
  <extLst>
    <ext xmlns:x14="http://schemas.microsoft.com/office/spreadsheetml/2009/9/main" uri="{CCE6A557-97BC-4b89-ADB6-D9C93CAAB3DF}">
      <x14:dataValidations xmlns:xm="http://schemas.microsoft.com/office/excel/2006/main" xWindow="541" yWindow="447" count="1">
        <x14:dataValidation type="list" showInputMessage="1" showErrorMessage="1" errorTitle="Please select from Dropdown" xr:uid="{00000000-0002-0000-0200-000015000000}">
          <x14:formula1>
            <xm:f>'EcoMount Inputs'!$P$14:$P$15</xm:f>
          </x14:formula1>
          <xm:sqref>C57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theme="6" tint="0.59999389629810485"/>
  </sheetPr>
  <dimension ref="A1:CH71"/>
  <sheetViews>
    <sheetView topLeftCell="A32" zoomScale="70" zoomScaleNormal="70" workbookViewId="0">
      <selection activeCell="B67" sqref="B67"/>
    </sheetView>
  </sheetViews>
  <sheetFormatPr defaultColWidth="9.140625" defaultRowHeight="15.75"/>
  <cols>
    <col min="1" max="1" width="72.140625" style="535" bestFit="1" customWidth="1"/>
    <col min="2" max="2" width="45.7109375" style="533" bestFit="1" customWidth="1"/>
    <col min="3" max="3" width="9.42578125" style="462" customWidth="1"/>
    <col min="4" max="4" width="19.7109375" style="462" bestFit="1" customWidth="1"/>
    <col min="5" max="5" width="9.140625" style="462" customWidth="1"/>
    <col min="6" max="6" width="37.42578125" style="462" bestFit="1" customWidth="1"/>
    <col min="7" max="9" width="6.85546875" style="462" bestFit="1" customWidth="1"/>
    <col min="10" max="10" width="15.85546875" style="462" bestFit="1" customWidth="1"/>
    <col min="11" max="11" width="13.140625" style="462" bestFit="1" customWidth="1"/>
    <col min="12" max="12" width="10" style="462" bestFit="1" customWidth="1"/>
    <col min="13" max="13" width="7.140625" style="462" bestFit="1" customWidth="1"/>
    <col min="14" max="14" width="6.85546875" style="462" bestFit="1" customWidth="1"/>
    <col min="15" max="15" width="8.140625" style="462" bestFit="1" customWidth="1"/>
    <col min="16" max="16" width="2.5703125" style="462" bestFit="1" customWidth="1"/>
    <col min="17" max="17" width="37.42578125" style="462" bestFit="1" customWidth="1"/>
    <col min="18" max="25" width="6.85546875" style="462" bestFit="1" customWidth="1"/>
    <col min="26" max="26" width="11" style="462" bestFit="1" customWidth="1"/>
    <col min="27" max="35" width="4.42578125" style="462" bestFit="1" customWidth="1"/>
    <col min="36" max="45" width="5.28515625" style="462" bestFit="1" customWidth="1"/>
    <col min="46" max="86" width="5.7109375" style="462" bestFit="1" customWidth="1"/>
    <col min="87" max="16384" width="9.140625" style="462"/>
  </cols>
  <sheetData>
    <row r="1" spans="1:26" ht="19.5" thickBot="1">
      <c r="A1" s="519" t="s">
        <v>19653</v>
      </c>
      <c r="B1" s="520" t="s">
        <v>19605</v>
      </c>
      <c r="F1" s="2080" t="s">
        <v>19607</v>
      </c>
      <c r="G1" s="2080"/>
      <c r="H1" s="2080"/>
      <c r="I1" s="2080"/>
      <c r="J1" s="2080"/>
      <c r="K1" s="2080"/>
      <c r="L1" s="2080"/>
      <c r="M1" s="2080"/>
      <c r="N1" s="2080"/>
      <c r="O1" s="2080"/>
      <c r="Q1" s="2080" t="s">
        <v>19608</v>
      </c>
      <c r="R1" s="2080"/>
      <c r="S1" s="2080"/>
      <c r="T1" s="2080"/>
      <c r="U1" s="2080"/>
      <c r="V1" s="2080"/>
      <c r="W1" s="2080"/>
      <c r="X1" s="2080"/>
      <c r="Y1" s="2080"/>
      <c r="Z1" s="2080"/>
    </row>
    <row r="2" spans="1:26">
      <c r="A2" s="609" t="s">
        <v>19609</v>
      </c>
      <c r="B2" s="557" t="str">
        <f>'1-Eng Inputs'!C6</f>
        <v xml:space="preserve">CED greentech Denver </v>
      </c>
      <c r="F2" s="2080"/>
      <c r="G2" s="2080"/>
      <c r="H2" s="2080"/>
      <c r="I2" s="2080"/>
      <c r="J2" s="2080"/>
      <c r="K2" s="2080"/>
      <c r="L2" s="2080"/>
      <c r="M2" s="2080"/>
      <c r="N2" s="2080"/>
      <c r="O2" s="2080"/>
      <c r="Q2" s="2080"/>
      <c r="R2" s="2080"/>
      <c r="S2" s="2080"/>
      <c r="T2" s="2080"/>
      <c r="U2" s="2080"/>
      <c r="V2" s="2080"/>
      <c r="W2" s="2080"/>
      <c r="X2" s="2080"/>
      <c r="Y2" s="2080"/>
      <c r="Z2" s="2080"/>
    </row>
    <row r="3" spans="1:26" ht="16.5" thickBot="1">
      <c r="A3" s="610" t="s">
        <v>19611</v>
      </c>
      <c r="B3" s="558" t="str">
        <f>'1-Eng Inputs'!D10</f>
        <v>7590 Suagr Pine Court , Reno, NV 89523</v>
      </c>
      <c r="F3" s="2080"/>
      <c r="G3" s="2080"/>
      <c r="H3" s="2080"/>
      <c r="I3" s="2080"/>
      <c r="J3" s="2080"/>
      <c r="K3" s="2080"/>
      <c r="L3" s="2080"/>
      <c r="M3" s="2080"/>
      <c r="N3" s="2080"/>
      <c r="O3" s="2080"/>
      <c r="Q3" s="2080"/>
      <c r="R3" s="2080"/>
      <c r="S3" s="2080"/>
      <c r="T3" s="2080"/>
      <c r="U3" s="2080"/>
      <c r="V3" s="2080"/>
      <c r="W3" s="2080"/>
      <c r="X3" s="2080"/>
      <c r="Y3" s="2080"/>
      <c r="Z3" s="2080"/>
    </row>
    <row r="4" spans="1:26" ht="19.5" thickBot="1">
      <c r="A4" s="611" t="s">
        <v>19614</v>
      </c>
      <c r="B4" s="619">
        <f>'1-Eng Inputs'!C35</f>
        <v>2010</v>
      </c>
      <c r="D4" s="521" t="s">
        <v>19606</v>
      </c>
      <c r="F4" s="2080"/>
      <c r="G4" s="2080"/>
      <c r="H4" s="2080"/>
      <c r="I4" s="2080"/>
      <c r="J4" s="2080"/>
      <c r="K4" s="2080"/>
      <c r="L4" s="2080"/>
      <c r="M4" s="2080"/>
      <c r="N4" s="2080"/>
      <c r="O4" s="2080"/>
      <c r="Q4" s="2080"/>
      <c r="R4" s="2080"/>
      <c r="S4" s="2080"/>
      <c r="T4" s="2080"/>
      <c r="U4" s="2080"/>
      <c r="V4" s="2080"/>
      <c r="W4" s="2080"/>
      <c r="X4" s="2080"/>
      <c r="Y4" s="2080"/>
      <c r="Z4" s="2080"/>
    </row>
    <row r="5" spans="1:26" ht="18.75">
      <c r="A5" s="612" t="s">
        <v>138</v>
      </c>
      <c r="B5" s="556" t="str">
        <f>'1-Eng Inputs'!C11</f>
        <v>TPO</v>
      </c>
      <c r="D5" s="522" t="s">
        <v>19610</v>
      </c>
      <c r="F5" s="525"/>
      <c r="G5" s="525"/>
      <c r="H5" s="525"/>
      <c r="I5" s="525"/>
      <c r="J5" s="525"/>
      <c r="K5" s="525"/>
      <c r="L5" s="525"/>
      <c r="M5" s="525"/>
      <c r="N5" s="525"/>
      <c r="O5" s="525"/>
      <c r="Q5" s="525"/>
      <c r="R5" s="525"/>
      <c r="S5" s="525"/>
      <c r="T5" s="525"/>
      <c r="U5" s="525"/>
      <c r="V5" s="525"/>
      <c r="W5" s="525"/>
      <c r="X5" s="525"/>
      <c r="Y5" s="525"/>
      <c r="Z5" s="525"/>
    </row>
    <row r="6" spans="1:26" ht="18.75">
      <c r="A6" s="607" t="s">
        <v>134</v>
      </c>
      <c r="B6" s="554" t="str">
        <f>'1-Eng Inputs'!C43</f>
        <v>YES</v>
      </c>
      <c r="D6" s="523" t="s">
        <v>19612</v>
      </c>
      <c r="F6" s="525"/>
      <c r="G6" s="525"/>
      <c r="H6" s="525"/>
      <c r="I6" s="525"/>
      <c r="J6" s="525"/>
      <c r="K6" s="525"/>
      <c r="L6" s="525"/>
      <c r="M6" s="525"/>
      <c r="N6" s="525"/>
      <c r="O6" s="525"/>
      <c r="Q6" s="525"/>
      <c r="R6" s="525"/>
      <c r="S6" s="525"/>
      <c r="T6" s="525"/>
      <c r="U6" s="525"/>
      <c r="V6" s="525"/>
      <c r="W6" s="525"/>
      <c r="X6" s="525"/>
      <c r="Y6" s="525"/>
      <c r="Z6" s="525"/>
    </row>
    <row r="7" spans="1:26" ht="16.5" thickBot="1">
      <c r="A7" s="607" t="s">
        <v>19616</v>
      </c>
      <c r="B7" s="554" t="e">
        <f>'1-Eng Inputs'!#REF!</f>
        <v>#REF!</v>
      </c>
      <c r="D7" s="524" t="s">
        <v>19613</v>
      </c>
      <c r="F7" s="526" t="s">
        <v>19615</v>
      </c>
      <c r="G7" s="526">
        <v>110</v>
      </c>
      <c r="H7" s="526">
        <v>115</v>
      </c>
      <c r="I7" s="526">
        <v>120</v>
      </c>
      <c r="J7" s="526">
        <v>130</v>
      </c>
      <c r="K7" s="526">
        <v>140</v>
      </c>
      <c r="L7" s="526">
        <v>150</v>
      </c>
      <c r="M7" s="526">
        <v>160</v>
      </c>
      <c r="N7" s="526">
        <v>180</v>
      </c>
      <c r="O7" s="526">
        <v>200</v>
      </c>
      <c r="Q7" s="526" t="s">
        <v>19615</v>
      </c>
      <c r="R7" s="526">
        <v>85</v>
      </c>
      <c r="S7" s="526">
        <v>90</v>
      </c>
      <c r="T7" s="526">
        <v>100</v>
      </c>
      <c r="U7" s="526">
        <v>105</v>
      </c>
      <c r="V7" s="526">
        <v>110</v>
      </c>
      <c r="W7" s="526">
        <v>120</v>
      </c>
      <c r="X7" s="526">
        <v>125</v>
      </c>
      <c r="Y7" s="526">
        <v>130</v>
      </c>
      <c r="Z7" s="526">
        <v>140</v>
      </c>
    </row>
    <row r="8" spans="1:26">
      <c r="A8" s="607" t="s">
        <v>151</v>
      </c>
      <c r="B8" s="554" t="str">
        <f>'1-Eng Inputs'!C29</f>
        <v>II</v>
      </c>
      <c r="F8" s="2081" t="s">
        <v>19617</v>
      </c>
      <c r="G8" s="527">
        <v>-21.8</v>
      </c>
      <c r="H8" s="527">
        <v>-23.8</v>
      </c>
      <c r="I8" s="527">
        <v>-25.9</v>
      </c>
      <c r="J8" s="527">
        <v>-30.4</v>
      </c>
      <c r="K8" s="528">
        <f>-35.3</f>
        <v>-35.299999999999997</v>
      </c>
      <c r="L8" s="528">
        <f>-40.5</f>
        <v>-40.5</v>
      </c>
      <c r="M8" s="528">
        <f>-46.1</f>
        <v>-46.1</v>
      </c>
      <c r="N8" s="528">
        <v>-58.3</v>
      </c>
      <c r="O8" s="528">
        <v>-72</v>
      </c>
      <c r="Q8" s="2081" t="s">
        <v>19617</v>
      </c>
      <c r="R8" s="527">
        <v>-13</v>
      </c>
      <c r="S8" s="527">
        <v>-14.6</v>
      </c>
      <c r="T8" s="527">
        <v>-18</v>
      </c>
      <c r="U8" s="527">
        <v>-19.8</v>
      </c>
      <c r="V8" s="528">
        <v>-21.8</v>
      </c>
      <c r="W8" s="528">
        <v>-25.9</v>
      </c>
      <c r="X8" s="528">
        <v>-28.1</v>
      </c>
      <c r="Y8" s="528">
        <v>-30.4</v>
      </c>
      <c r="Z8" s="528">
        <v>-35.299999999999997</v>
      </c>
    </row>
    <row r="9" spans="1:26">
      <c r="A9" s="607" t="s">
        <v>19618</v>
      </c>
      <c r="B9" s="554" t="str">
        <f>'1-Eng Inputs'!C30</f>
        <v>C</v>
      </c>
      <c r="F9" s="2082"/>
      <c r="G9" s="527"/>
      <c r="H9" s="527"/>
      <c r="I9" s="527"/>
      <c r="J9" s="527"/>
      <c r="K9" s="528"/>
      <c r="L9" s="528"/>
      <c r="M9" s="528"/>
      <c r="N9" s="528"/>
      <c r="O9" s="528"/>
      <c r="Q9" s="2082"/>
      <c r="R9" s="527"/>
      <c r="S9" s="527"/>
      <c r="T9" s="527"/>
      <c r="U9" s="527"/>
      <c r="V9" s="528"/>
      <c r="W9" s="528"/>
      <c r="X9" s="528"/>
      <c r="Y9" s="528"/>
      <c r="Z9" s="528"/>
    </row>
    <row r="10" spans="1:26">
      <c r="A10" s="607" t="s">
        <v>261</v>
      </c>
      <c r="B10" s="554" t="str">
        <f>'1-Eng Inputs'!C33</f>
        <v>D</v>
      </c>
      <c r="F10" s="2081" t="s">
        <v>19619</v>
      </c>
      <c r="G10" s="528">
        <v>-36.5</v>
      </c>
      <c r="H10" s="528">
        <v>-39.9</v>
      </c>
      <c r="I10" s="528">
        <v>-43.5</v>
      </c>
      <c r="J10" s="528">
        <v>-51</v>
      </c>
      <c r="K10" s="528">
        <v>-59.2</v>
      </c>
      <c r="L10" s="528">
        <v>-67.900000000000006</v>
      </c>
      <c r="M10" s="528">
        <v>-77.3</v>
      </c>
      <c r="N10" s="528">
        <v>-97.8</v>
      </c>
      <c r="O10" s="528">
        <v>-120.7</v>
      </c>
      <c r="Q10" s="2081" t="s">
        <v>19619</v>
      </c>
      <c r="R10" s="528">
        <v>-21.8</v>
      </c>
      <c r="S10" s="528">
        <v>-24.4</v>
      </c>
      <c r="T10" s="528">
        <v>-30.2</v>
      </c>
      <c r="U10" s="528">
        <v>-33.299999999999997</v>
      </c>
      <c r="V10" s="528">
        <v>-36.5</v>
      </c>
      <c r="W10" s="528">
        <v>-43.5</v>
      </c>
      <c r="X10" s="528">
        <v>-47.2</v>
      </c>
      <c r="Y10" s="528">
        <v>-51</v>
      </c>
      <c r="Z10" s="528">
        <v>-59.2</v>
      </c>
    </row>
    <row r="11" spans="1:26">
      <c r="A11" s="620" t="s">
        <v>19576</v>
      </c>
      <c r="B11" s="621">
        <f>ROUNDUP('1-Eng Inputs'!C58,-1)</f>
        <v>0</v>
      </c>
      <c r="F11" s="2082"/>
      <c r="G11" s="528"/>
      <c r="H11" s="528"/>
      <c r="I11" s="528"/>
      <c r="J11" s="528"/>
      <c r="K11" s="528"/>
      <c r="L11" s="528"/>
      <c r="M11" s="528"/>
      <c r="N11" s="528"/>
      <c r="O11" s="528"/>
      <c r="Q11" s="2082"/>
      <c r="R11" s="528"/>
      <c r="S11" s="528"/>
      <c r="T11" s="528"/>
      <c r="U11" s="528"/>
      <c r="V11" s="528"/>
      <c r="W11" s="528"/>
      <c r="X11" s="528"/>
      <c r="Y11" s="528"/>
      <c r="Z11" s="528"/>
    </row>
    <row r="12" spans="1:26">
      <c r="A12" s="607" t="s">
        <v>19620</v>
      </c>
      <c r="B12" s="554">
        <f>'1-Eng Inputs'!C41</f>
        <v>1</v>
      </c>
    </row>
    <row r="13" spans="1:26">
      <c r="A13" s="607" t="s">
        <v>375</v>
      </c>
      <c r="B13" s="554">
        <f>IF('1-Eng Inputs'!C27&lt;15,15, ROUNDUP('1-Eng Inputs'!C27*2,-1)/2)</f>
        <v>20</v>
      </c>
    </row>
    <row r="14" spans="1:26" ht="18.75">
      <c r="A14" s="607" t="s">
        <v>156</v>
      </c>
      <c r="B14" s="554">
        <f>'1-Eng Inputs'!C28</f>
        <v>140</v>
      </c>
      <c r="D14" s="532"/>
      <c r="G14" s="529" t="s">
        <v>41</v>
      </c>
      <c r="H14" s="529" t="s">
        <v>12</v>
      </c>
      <c r="I14" s="529" t="s">
        <v>58</v>
      </c>
      <c r="J14" s="529" t="s">
        <v>18</v>
      </c>
      <c r="K14" s="529" t="s">
        <v>44</v>
      </c>
      <c r="L14" s="529" t="s">
        <v>94</v>
      </c>
      <c r="M14" s="529">
        <v>2005</v>
      </c>
      <c r="N14" s="530" t="s">
        <v>8</v>
      </c>
      <c r="O14" s="531" t="s">
        <v>274</v>
      </c>
      <c r="P14" s="462">
        <v>1</v>
      </c>
    </row>
    <row r="15" spans="1:26" ht="18.75">
      <c r="A15" s="607" t="s">
        <v>376</v>
      </c>
      <c r="B15" s="554">
        <f>'1-Eng Inputs'!C32</f>
        <v>1.675</v>
      </c>
      <c r="G15" s="529" t="s">
        <v>144</v>
      </c>
      <c r="H15" s="529" t="s">
        <v>14</v>
      </c>
      <c r="I15" s="529" t="s">
        <v>29</v>
      </c>
      <c r="J15" s="529" t="s">
        <v>121</v>
      </c>
      <c r="K15" s="529" t="s">
        <v>131</v>
      </c>
      <c r="L15" s="529" t="s">
        <v>6</v>
      </c>
      <c r="M15" s="529">
        <v>2010</v>
      </c>
      <c r="N15" s="529" t="s">
        <v>260</v>
      </c>
      <c r="O15" s="531" t="s">
        <v>18</v>
      </c>
      <c r="P15" s="462">
        <v>2</v>
      </c>
    </row>
    <row r="16" spans="1:26" ht="19.5" thickBot="1">
      <c r="A16" s="613" t="s">
        <v>19621</v>
      </c>
      <c r="B16" s="555">
        <f>'1-Eng Inputs'!C38</f>
        <v>32</v>
      </c>
      <c r="G16" s="73"/>
      <c r="H16" s="529" t="s">
        <v>8</v>
      </c>
      <c r="I16" s="529" t="s">
        <v>60</v>
      </c>
      <c r="J16" s="529" t="s">
        <v>129</v>
      </c>
      <c r="K16" s="529"/>
      <c r="L16" s="529" t="s">
        <v>40</v>
      </c>
      <c r="M16" s="529"/>
      <c r="N16" s="73"/>
      <c r="O16" s="531"/>
    </row>
    <row r="17" spans="1:86" ht="18.75">
      <c r="A17" s="622" t="s">
        <v>19650</v>
      </c>
      <c r="B17" s="462" t="e">
        <f>HLOOKUP('EcoMount Inputs'!B11,'EcoMount Inputs'!Z28:CH38,(MATCH('EcoMount Inputs'!B13,'EcoMount Inputs'!Z28:Z38,0)),FALSE)</f>
        <v>#N/A</v>
      </c>
      <c r="C17" s="560" t="s">
        <v>19652</v>
      </c>
      <c r="G17" s="73"/>
      <c r="H17" s="529"/>
      <c r="I17" s="529"/>
      <c r="J17" s="529" t="s">
        <v>360</v>
      </c>
      <c r="K17" s="529"/>
      <c r="L17" s="529"/>
      <c r="M17" s="529"/>
      <c r="N17" s="73"/>
      <c r="O17" s="531"/>
    </row>
    <row r="18" spans="1:86" ht="18.75">
      <c r="A18" s="622" t="s">
        <v>19702</v>
      </c>
      <c r="B18" s="623" t="str">
        <f>'1-Eng Inputs'!C59</f>
        <v/>
      </c>
      <c r="C18" s="560"/>
      <c r="G18" s="73"/>
      <c r="H18" s="529"/>
      <c r="I18" s="529"/>
      <c r="J18" s="529"/>
      <c r="K18" s="529"/>
      <c r="L18" s="529"/>
      <c r="M18" s="529"/>
      <c r="N18" s="73"/>
      <c r="O18" s="531"/>
    </row>
    <row r="19" spans="1:86" ht="18.75">
      <c r="A19" s="622" t="s">
        <v>19651</v>
      </c>
      <c r="B19" s="558">
        <f>HLOOKUP(B9,S28:V38,MATCH(B13,S28:S38,0),FALSE)</f>
        <v>1.29</v>
      </c>
      <c r="G19" s="73"/>
      <c r="H19" s="529"/>
      <c r="I19" s="529"/>
      <c r="J19" s="529" t="s">
        <v>145</v>
      </c>
      <c r="K19" s="529"/>
      <c r="L19" s="73"/>
      <c r="M19" s="73"/>
      <c r="N19" s="73"/>
      <c r="O19" s="73"/>
    </row>
    <row r="20" spans="1:86" ht="18.75">
      <c r="A20" s="606" t="s">
        <v>19622</v>
      </c>
      <c r="B20" s="559">
        <f>IF(B4=2005,IF(B8="II",1,1.15),1)</f>
        <v>1</v>
      </c>
      <c r="G20" s="73"/>
      <c r="H20" s="529"/>
      <c r="I20" s="529"/>
      <c r="J20" s="529" t="s">
        <v>257</v>
      </c>
      <c r="K20" s="529"/>
      <c r="L20" s="73"/>
      <c r="M20" s="73"/>
      <c r="N20" s="73"/>
      <c r="O20" s="73"/>
    </row>
    <row r="21" spans="1:86" ht="18.75">
      <c r="A21" s="607" t="s">
        <v>19623</v>
      </c>
      <c r="B21" s="614">
        <f>IF(B4=2010,IF(AND(T(B18)="",B18&lt;&gt;0),HLOOKUP(ROUNDUP(IF(B14&lt;110,110,B14),-1),G7:O9,2,FALSE),HLOOKUP(ROUNDUP(IF(B14&lt;110,110,B14),-1),G7:O11,4,FALSE)),IF(AND(T(B18)="",B18&lt;&gt;0),HLOOKUP(ROUNDUP(IF(2*B14&lt;170,170,B14*2),-1)/2,R7:Z9,2,FALSE),HLOOKUP(ROUNDUP(IF(2*B14&lt;170,170,B14*2),-1)/2,R7:Z11,4,FALSE)))</f>
        <v>-35.299999999999997</v>
      </c>
      <c r="G21" s="73"/>
      <c r="H21" s="73"/>
      <c r="I21" s="73"/>
      <c r="J21" s="529" t="s">
        <v>258</v>
      </c>
      <c r="K21" s="73"/>
      <c r="L21" s="73"/>
      <c r="M21" s="73"/>
      <c r="N21" s="73"/>
      <c r="O21" s="73"/>
    </row>
    <row r="22" spans="1:86" ht="19.5" thickBot="1">
      <c r="A22" s="608" t="s">
        <v>19624</v>
      </c>
      <c r="B22" s="615">
        <f>IF(B4=2010,1,1.6)</f>
        <v>1</v>
      </c>
      <c r="G22" s="73"/>
      <c r="H22" s="73"/>
      <c r="I22" s="73"/>
      <c r="J22" s="529"/>
      <c r="K22" s="73"/>
      <c r="L22" s="73"/>
      <c r="M22" s="73"/>
      <c r="N22" s="73"/>
      <c r="O22" s="73"/>
    </row>
    <row r="23" spans="1:86" ht="18.75">
      <c r="A23" s="622" t="s">
        <v>19625</v>
      </c>
      <c r="B23" s="623" t="str">
        <f>'1-Eng Inputs'!C51&amp;" - "&amp;'1-Eng Inputs'!C47&amp;IF('1-Eng Inputs'!C56=0,"",(" &amp; "&amp;'1-Eng Inputs'!C56&amp;" - "&amp;'1-Eng Inputs'!C52))</f>
        <v xml:space="preserve"> - </v>
      </c>
      <c r="G23" s="73"/>
      <c r="H23" s="73"/>
      <c r="I23" s="73"/>
      <c r="J23" s="529"/>
      <c r="K23" s="73"/>
      <c r="L23" s="73"/>
      <c r="M23" s="73"/>
      <c r="N23" s="73"/>
      <c r="O23" s="73"/>
    </row>
    <row r="24" spans="1:86" ht="18.75">
      <c r="A24" s="622" t="s">
        <v>19838</v>
      </c>
      <c r="B24" s="623">
        <f>'1-Eng Inputs'!C57</f>
        <v>1</v>
      </c>
      <c r="G24" s="73"/>
      <c r="H24" s="73"/>
      <c r="I24" s="73"/>
      <c r="J24" s="529" t="s">
        <v>59</v>
      </c>
      <c r="K24" s="73"/>
      <c r="L24" s="73"/>
      <c r="M24" s="73"/>
      <c r="N24" s="73"/>
      <c r="O24" s="73"/>
      <c r="Z24" s="569" t="s">
        <v>19658</v>
      </c>
      <c r="AA24" s="2088" t="s">
        <v>19659</v>
      </c>
      <c r="AB24" s="2088"/>
      <c r="AC24" s="2088"/>
      <c r="AD24" s="2088"/>
      <c r="AE24" s="2088"/>
      <c r="AF24" s="2088"/>
      <c r="AG24" s="2088"/>
      <c r="AH24" s="2088"/>
      <c r="AI24" s="2088"/>
      <c r="AJ24" s="2088"/>
      <c r="AK24" s="2088"/>
      <c r="AL24" s="2088"/>
      <c r="AM24" s="2088"/>
      <c r="AN24" s="2088"/>
      <c r="AO24" s="2088"/>
      <c r="AP24" s="2088"/>
      <c r="AQ24" s="2088"/>
      <c r="AR24" s="2088"/>
      <c r="AS24" s="2088"/>
      <c r="AT24" s="2088"/>
      <c r="AU24" s="2088"/>
      <c r="AV24" s="2088"/>
      <c r="AW24" s="2088"/>
      <c r="AX24" s="2088"/>
      <c r="AY24" s="2088"/>
      <c r="AZ24" s="2088"/>
      <c r="BA24" s="2088"/>
      <c r="BB24" s="2088"/>
      <c r="BC24" s="2088"/>
      <c r="BD24" s="2088"/>
    </row>
    <row r="25" spans="1:86">
      <c r="A25" s="622" t="s">
        <v>19841</v>
      </c>
      <c r="B25" s="623">
        <f>('1-Eng Inputs'!C55*'1-Eng Inputs'!C56)+('1-Eng Inputs'!C50*'1-Eng Inputs'!C51)</f>
        <v>0</v>
      </c>
      <c r="E25" s="534"/>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row>
    <row r="26" spans="1:86" ht="16.5" thickBot="1">
      <c r="A26" s="607" t="s">
        <v>19842</v>
      </c>
      <c r="B26" s="614">
        <f>(('1-Eng Inputs'!C48*'1-Eng Inputs'!C49*'1-Eng Inputs'!C51)+('1-Eng Inputs'!C53*'1-Eng Inputs'!C54*'1-Eng Inputs'!C56))/144</f>
        <v>0</v>
      </c>
      <c r="R26" s="2084" t="s">
        <v>19663</v>
      </c>
      <c r="S26" s="2084"/>
      <c r="T26" s="2084"/>
      <c r="U26" s="2084"/>
      <c r="V26" s="2084"/>
    </row>
    <row r="27" spans="1:86" ht="18.75">
      <c r="A27" s="616" t="s">
        <v>19626</v>
      </c>
      <c r="B27" s="614">
        <v>26</v>
      </c>
      <c r="R27" s="600"/>
      <c r="S27" s="601"/>
      <c r="T27" s="2089" t="s">
        <v>19664</v>
      </c>
      <c r="U27" s="2089"/>
      <c r="V27" s="2089"/>
      <c r="Z27" s="570" t="s">
        <v>19660</v>
      </c>
      <c r="AA27" s="2085" t="s">
        <v>19661</v>
      </c>
      <c r="AB27" s="2086"/>
      <c r="AC27" s="2086"/>
      <c r="AD27" s="2086"/>
      <c r="AE27" s="2086"/>
      <c r="AF27" s="2086"/>
      <c r="AG27" s="2086"/>
      <c r="AH27" s="2086"/>
      <c r="AI27" s="2086"/>
      <c r="AJ27" s="2086"/>
      <c r="AK27" s="2086"/>
      <c r="AL27" s="2086"/>
      <c r="AM27" s="2086"/>
      <c r="AN27" s="2086"/>
      <c r="AO27" s="2086"/>
      <c r="AP27" s="2086"/>
      <c r="AQ27" s="2086"/>
      <c r="AR27" s="2086"/>
      <c r="AS27" s="2086"/>
      <c r="AT27" s="2086"/>
      <c r="AU27" s="2086"/>
      <c r="AV27" s="2086"/>
      <c r="AW27" s="2086"/>
      <c r="AX27" s="2086"/>
      <c r="AY27" s="2086"/>
      <c r="AZ27" s="2086"/>
      <c r="BA27" s="2086"/>
      <c r="BB27" s="2086"/>
      <c r="BC27" s="2086"/>
      <c r="BD27" s="2087"/>
      <c r="BE27" s="2085" t="s">
        <v>19661</v>
      </c>
      <c r="BF27" s="2086"/>
      <c r="BG27" s="2086"/>
      <c r="BH27" s="2086"/>
      <c r="BI27" s="2086"/>
      <c r="BJ27" s="2086"/>
      <c r="BK27" s="2086"/>
      <c r="BL27" s="2086"/>
      <c r="BM27" s="2086"/>
      <c r="BN27" s="2086"/>
      <c r="BO27" s="2086"/>
      <c r="BP27" s="2086"/>
      <c r="BQ27" s="2086"/>
      <c r="BR27" s="2086"/>
      <c r="BS27" s="2086"/>
      <c r="BT27" s="2086"/>
      <c r="BU27" s="2086"/>
      <c r="BV27" s="2086"/>
      <c r="BW27" s="2086"/>
      <c r="BX27" s="2086"/>
      <c r="BY27" s="2086"/>
      <c r="BZ27" s="2086"/>
      <c r="CA27" s="2086"/>
      <c r="CB27" s="2086"/>
      <c r="CC27" s="2086"/>
      <c r="CD27" s="2086"/>
      <c r="CE27" s="2086"/>
      <c r="CF27" s="2086"/>
      <c r="CG27" s="2086"/>
      <c r="CH27" s="2087"/>
    </row>
    <row r="28" spans="1:86" ht="16.5" thickBot="1">
      <c r="A28" s="617" t="s">
        <v>19627</v>
      </c>
      <c r="B28" s="618">
        <v>48</v>
      </c>
      <c r="R28" s="600"/>
      <c r="S28" s="601"/>
      <c r="T28" s="603" t="s">
        <v>12</v>
      </c>
      <c r="U28" s="603" t="s">
        <v>14</v>
      </c>
      <c r="V28" s="603" t="s">
        <v>8</v>
      </c>
      <c r="Z28" s="571" t="s">
        <v>19662</v>
      </c>
      <c r="AA28" s="584">
        <v>10</v>
      </c>
      <c r="AB28" s="585">
        <v>20</v>
      </c>
      <c r="AC28" s="585">
        <v>30</v>
      </c>
      <c r="AD28" s="585">
        <v>40</v>
      </c>
      <c r="AE28" s="585">
        <v>50</v>
      </c>
      <c r="AF28" s="585">
        <v>60</v>
      </c>
      <c r="AG28" s="585">
        <v>70</v>
      </c>
      <c r="AH28" s="585">
        <v>80</v>
      </c>
      <c r="AI28" s="585">
        <v>90</v>
      </c>
      <c r="AJ28" s="585">
        <v>100</v>
      </c>
      <c r="AK28" s="585">
        <v>110</v>
      </c>
      <c r="AL28" s="585">
        <v>120</v>
      </c>
      <c r="AM28" s="585">
        <v>130</v>
      </c>
      <c r="AN28" s="585">
        <v>140</v>
      </c>
      <c r="AO28" s="585">
        <v>150</v>
      </c>
      <c r="AP28" s="585">
        <v>160</v>
      </c>
      <c r="AQ28" s="585">
        <v>170</v>
      </c>
      <c r="AR28" s="585">
        <v>180</v>
      </c>
      <c r="AS28" s="585">
        <v>190</v>
      </c>
      <c r="AT28" s="585">
        <v>200</v>
      </c>
      <c r="AU28" s="585">
        <v>210</v>
      </c>
      <c r="AV28" s="585">
        <v>220</v>
      </c>
      <c r="AW28" s="585">
        <v>230</v>
      </c>
      <c r="AX28" s="585">
        <v>240</v>
      </c>
      <c r="AY28" s="585">
        <v>250</v>
      </c>
      <c r="AZ28" s="585">
        <v>260</v>
      </c>
      <c r="BA28" s="585">
        <v>270</v>
      </c>
      <c r="BB28" s="585">
        <v>280</v>
      </c>
      <c r="BC28" s="585">
        <v>290</v>
      </c>
      <c r="BD28" s="586">
        <v>300</v>
      </c>
      <c r="BE28" s="596">
        <v>310</v>
      </c>
      <c r="BF28" s="597">
        <v>320</v>
      </c>
      <c r="BG28" s="597">
        <v>330</v>
      </c>
      <c r="BH28" s="597">
        <v>340</v>
      </c>
      <c r="BI28" s="597">
        <v>350</v>
      </c>
      <c r="BJ28" s="597">
        <v>360</v>
      </c>
      <c r="BK28" s="597">
        <v>370</v>
      </c>
      <c r="BL28" s="597">
        <v>380</v>
      </c>
      <c r="BM28" s="597">
        <v>390</v>
      </c>
      <c r="BN28" s="597">
        <v>400</v>
      </c>
      <c r="BO28" s="597">
        <v>410</v>
      </c>
      <c r="BP28" s="597">
        <v>420</v>
      </c>
      <c r="BQ28" s="597">
        <v>430</v>
      </c>
      <c r="BR28" s="597">
        <v>440</v>
      </c>
      <c r="BS28" s="597">
        <v>450</v>
      </c>
      <c r="BT28" s="597">
        <v>460</v>
      </c>
      <c r="BU28" s="597">
        <v>470</v>
      </c>
      <c r="BV28" s="597">
        <v>480</v>
      </c>
      <c r="BW28" s="597">
        <v>490</v>
      </c>
      <c r="BX28" s="597">
        <v>500</v>
      </c>
      <c r="BY28" s="597">
        <v>510</v>
      </c>
      <c r="BZ28" s="597">
        <v>520</v>
      </c>
      <c r="CA28" s="597">
        <v>530</v>
      </c>
      <c r="CB28" s="597">
        <v>540</v>
      </c>
      <c r="CC28" s="597">
        <v>550</v>
      </c>
      <c r="CD28" s="597">
        <v>560</v>
      </c>
      <c r="CE28" s="597">
        <v>570</v>
      </c>
      <c r="CF28" s="597">
        <v>580</v>
      </c>
      <c r="CG28" s="597">
        <v>590</v>
      </c>
      <c r="CH28" s="598">
        <v>600</v>
      </c>
    </row>
    <row r="29" spans="1:86" ht="16.5" thickBot="1">
      <c r="R29" s="2083" t="s">
        <v>19665</v>
      </c>
      <c r="S29" s="602">
        <v>15</v>
      </c>
      <c r="T29" s="599">
        <v>1</v>
      </c>
      <c r="U29" s="599">
        <v>1.21</v>
      </c>
      <c r="V29" s="599">
        <v>1.47</v>
      </c>
      <c r="Z29" s="581">
        <v>15</v>
      </c>
      <c r="AA29" s="573">
        <v>3</v>
      </c>
      <c r="AB29" s="574">
        <v>3</v>
      </c>
      <c r="AC29" s="574">
        <v>3</v>
      </c>
      <c r="AD29" s="574">
        <v>4</v>
      </c>
      <c r="AE29" s="574">
        <v>5</v>
      </c>
      <c r="AF29" s="574">
        <v>6</v>
      </c>
      <c r="AG29" s="574">
        <v>6</v>
      </c>
      <c r="AH29" s="574">
        <v>6</v>
      </c>
      <c r="AI29" s="574">
        <v>6</v>
      </c>
      <c r="AJ29" s="574">
        <v>6</v>
      </c>
      <c r="AK29" s="574">
        <v>6</v>
      </c>
      <c r="AL29" s="574">
        <v>6</v>
      </c>
      <c r="AM29" s="574">
        <v>6</v>
      </c>
      <c r="AN29" s="574">
        <v>6</v>
      </c>
      <c r="AO29" s="574">
        <v>6</v>
      </c>
      <c r="AP29" s="574">
        <v>6.4</v>
      </c>
      <c r="AQ29" s="574">
        <v>6.8</v>
      </c>
      <c r="AR29" s="574">
        <v>7.2</v>
      </c>
      <c r="AS29" s="574">
        <v>7.6</v>
      </c>
      <c r="AT29" s="574">
        <v>8</v>
      </c>
      <c r="AU29" s="574">
        <v>8.4</v>
      </c>
      <c r="AV29" s="574">
        <v>8.8000000000000007</v>
      </c>
      <c r="AW29" s="574">
        <v>9.1999999999999993</v>
      </c>
      <c r="AX29" s="574">
        <v>9.6</v>
      </c>
      <c r="AY29" s="574">
        <v>10</v>
      </c>
      <c r="AZ29" s="574">
        <v>10.4</v>
      </c>
      <c r="BA29" s="574">
        <v>10.8</v>
      </c>
      <c r="BB29" s="574">
        <v>11.2</v>
      </c>
      <c r="BC29" s="574">
        <v>11.6</v>
      </c>
      <c r="BD29" s="575">
        <v>12</v>
      </c>
      <c r="BE29" s="588">
        <v>12.4</v>
      </c>
      <c r="BF29" s="589">
        <v>12.8</v>
      </c>
      <c r="BG29" s="589">
        <v>13.2</v>
      </c>
      <c r="BH29" s="589">
        <v>13.6</v>
      </c>
      <c r="BI29" s="589">
        <v>14</v>
      </c>
      <c r="BJ29" s="589">
        <v>14.4</v>
      </c>
      <c r="BK29" s="589">
        <v>14.8</v>
      </c>
      <c r="BL29" s="589">
        <v>15.2</v>
      </c>
      <c r="BM29" s="589">
        <v>15.6</v>
      </c>
      <c r="BN29" s="589">
        <v>16</v>
      </c>
      <c r="BO29" s="589">
        <v>16.399999999999999</v>
      </c>
      <c r="BP29" s="589">
        <v>16.8</v>
      </c>
      <c r="BQ29" s="589">
        <v>17.2</v>
      </c>
      <c r="BR29" s="589">
        <v>17.600000000000001</v>
      </c>
      <c r="BS29" s="589">
        <v>18</v>
      </c>
      <c r="BT29" s="589">
        <v>18.399999999999999</v>
      </c>
      <c r="BU29" s="589">
        <v>18.8</v>
      </c>
      <c r="BV29" s="589">
        <v>19.2</v>
      </c>
      <c r="BW29" s="589">
        <v>19.600000000000001</v>
      </c>
      <c r="BX29" s="589">
        <v>20</v>
      </c>
      <c r="BY29" s="589">
        <v>20.399999999999999</v>
      </c>
      <c r="BZ29" s="589">
        <v>20.8</v>
      </c>
      <c r="CA29" s="589">
        <v>21.2</v>
      </c>
      <c r="CB29" s="589">
        <v>21.6</v>
      </c>
      <c r="CC29" s="589">
        <v>22</v>
      </c>
      <c r="CD29" s="589">
        <v>22.4</v>
      </c>
      <c r="CE29" s="589">
        <v>22.8</v>
      </c>
      <c r="CF29" s="589">
        <v>23.2</v>
      </c>
      <c r="CG29" s="589">
        <v>23.6</v>
      </c>
      <c r="CH29" s="590">
        <v>24</v>
      </c>
    </row>
    <row r="30" spans="1:86">
      <c r="A30" s="561" t="s">
        <v>19628</v>
      </c>
      <c r="B30" s="536"/>
      <c r="C30" s="537"/>
      <c r="D30" s="538"/>
      <c r="R30" s="2083"/>
      <c r="S30" s="602">
        <v>20</v>
      </c>
      <c r="T30" s="599">
        <v>1</v>
      </c>
      <c r="U30" s="599">
        <v>1.29</v>
      </c>
      <c r="V30" s="599">
        <v>1.55</v>
      </c>
      <c r="Z30" s="583">
        <v>20</v>
      </c>
      <c r="AA30" s="576">
        <v>3</v>
      </c>
      <c r="AB30" s="572">
        <v>3</v>
      </c>
      <c r="AC30" s="572">
        <v>3</v>
      </c>
      <c r="AD30" s="572">
        <v>4</v>
      </c>
      <c r="AE30" s="572">
        <v>5</v>
      </c>
      <c r="AF30" s="572">
        <v>6</v>
      </c>
      <c r="AG30" s="572">
        <v>7</v>
      </c>
      <c r="AH30" s="572">
        <v>8</v>
      </c>
      <c r="AI30" s="572">
        <v>8</v>
      </c>
      <c r="AJ30" s="572">
        <v>8</v>
      </c>
      <c r="AK30" s="572">
        <v>8</v>
      </c>
      <c r="AL30" s="572">
        <v>8</v>
      </c>
      <c r="AM30" s="572">
        <v>8</v>
      </c>
      <c r="AN30" s="572">
        <v>8</v>
      </c>
      <c r="AO30" s="572">
        <v>8</v>
      </c>
      <c r="AP30" s="572">
        <v>8</v>
      </c>
      <c r="AQ30" s="572">
        <v>8</v>
      </c>
      <c r="AR30" s="572">
        <v>8</v>
      </c>
      <c r="AS30" s="572">
        <v>8</v>
      </c>
      <c r="AT30" s="572">
        <v>8</v>
      </c>
      <c r="AU30" s="572">
        <v>8.4</v>
      </c>
      <c r="AV30" s="572">
        <v>8.8000000000000007</v>
      </c>
      <c r="AW30" s="572">
        <v>9.1999999999999993</v>
      </c>
      <c r="AX30" s="572">
        <v>9.6</v>
      </c>
      <c r="AY30" s="572">
        <v>10</v>
      </c>
      <c r="AZ30" s="572">
        <v>10.4</v>
      </c>
      <c r="BA30" s="572">
        <v>10.8</v>
      </c>
      <c r="BB30" s="572">
        <v>11.2</v>
      </c>
      <c r="BC30" s="572">
        <v>11.6</v>
      </c>
      <c r="BD30" s="577">
        <v>12</v>
      </c>
      <c r="BE30" s="591">
        <v>12.4</v>
      </c>
      <c r="BF30" s="587">
        <v>12.8</v>
      </c>
      <c r="BG30" s="587">
        <v>13.2</v>
      </c>
      <c r="BH30" s="587">
        <v>13.6</v>
      </c>
      <c r="BI30" s="587">
        <v>14</v>
      </c>
      <c r="BJ30" s="587">
        <v>14.4</v>
      </c>
      <c r="BK30" s="587">
        <v>14.8</v>
      </c>
      <c r="BL30" s="587">
        <v>15.2</v>
      </c>
      <c r="BM30" s="587">
        <v>15.6</v>
      </c>
      <c r="BN30" s="587">
        <v>16</v>
      </c>
      <c r="BO30" s="587">
        <v>16.399999999999999</v>
      </c>
      <c r="BP30" s="587">
        <v>16.8</v>
      </c>
      <c r="BQ30" s="587">
        <v>17.2</v>
      </c>
      <c r="BR30" s="587">
        <v>17.600000000000001</v>
      </c>
      <c r="BS30" s="587">
        <v>18</v>
      </c>
      <c r="BT30" s="587">
        <v>18.399999999999999</v>
      </c>
      <c r="BU30" s="587">
        <v>18.8</v>
      </c>
      <c r="BV30" s="587">
        <v>19.2</v>
      </c>
      <c r="BW30" s="587">
        <v>19.600000000000001</v>
      </c>
      <c r="BX30" s="587">
        <v>20</v>
      </c>
      <c r="BY30" s="587">
        <v>20.399999999999999</v>
      </c>
      <c r="BZ30" s="587">
        <v>20.8</v>
      </c>
      <c r="CA30" s="587">
        <v>21.2</v>
      </c>
      <c r="CB30" s="587">
        <v>21.6</v>
      </c>
      <c r="CC30" s="587">
        <v>22</v>
      </c>
      <c r="CD30" s="587">
        <v>22.4</v>
      </c>
      <c r="CE30" s="587">
        <v>22.8</v>
      </c>
      <c r="CF30" s="587">
        <v>23.2</v>
      </c>
      <c r="CG30" s="587">
        <v>23.6</v>
      </c>
      <c r="CH30" s="592">
        <v>24</v>
      </c>
    </row>
    <row r="31" spans="1:86">
      <c r="A31" s="539" t="s">
        <v>19629</v>
      </c>
      <c r="B31" s="540" t="str">
        <f>B10</f>
        <v>D</v>
      </c>
      <c r="C31" s="541"/>
      <c r="D31" s="542"/>
      <c r="R31" s="2083"/>
      <c r="S31" s="602">
        <v>25</v>
      </c>
      <c r="T31" s="599">
        <v>1</v>
      </c>
      <c r="U31" s="599">
        <v>1.35</v>
      </c>
      <c r="V31" s="599">
        <v>1.61</v>
      </c>
      <c r="Z31" s="583">
        <v>25</v>
      </c>
      <c r="AA31" s="576">
        <v>3</v>
      </c>
      <c r="AB31" s="572">
        <v>3</v>
      </c>
      <c r="AC31" s="572">
        <v>3</v>
      </c>
      <c r="AD31" s="572">
        <v>4</v>
      </c>
      <c r="AE31" s="572">
        <v>5</v>
      </c>
      <c r="AF31" s="572">
        <v>6</v>
      </c>
      <c r="AG31" s="572">
        <v>7</v>
      </c>
      <c r="AH31" s="572">
        <v>8</v>
      </c>
      <c r="AI31" s="572">
        <v>9</v>
      </c>
      <c r="AJ31" s="572">
        <v>10</v>
      </c>
      <c r="AK31" s="572">
        <v>10</v>
      </c>
      <c r="AL31" s="572">
        <v>10</v>
      </c>
      <c r="AM31" s="572">
        <v>10</v>
      </c>
      <c r="AN31" s="572">
        <v>10</v>
      </c>
      <c r="AO31" s="572">
        <v>10</v>
      </c>
      <c r="AP31" s="572">
        <v>10</v>
      </c>
      <c r="AQ31" s="572">
        <v>10</v>
      </c>
      <c r="AR31" s="572">
        <v>10</v>
      </c>
      <c r="AS31" s="572">
        <v>10</v>
      </c>
      <c r="AT31" s="572">
        <v>10</v>
      </c>
      <c r="AU31" s="572">
        <v>10</v>
      </c>
      <c r="AV31" s="572">
        <v>10</v>
      </c>
      <c r="AW31" s="572">
        <v>10</v>
      </c>
      <c r="AX31" s="572">
        <v>10</v>
      </c>
      <c r="AY31" s="572">
        <v>10</v>
      </c>
      <c r="AZ31" s="572">
        <v>10.4</v>
      </c>
      <c r="BA31" s="572">
        <v>10.8</v>
      </c>
      <c r="BB31" s="572">
        <v>11.2</v>
      </c>
      <c r="BC31" s="572">
        <v>11.6</v>
      </c>
      <c r="BD31" s="577">
        <v>12</v>
      </c>
      <c r="BE31" s="591">
        <v>12.4</v>
      </c>
      <c r="BF31" s="587">
        <v>12.8</v>
      </c>
      <c r="BG31" s="587">
        <v>13.2</v>
      </c>
      <c r="BH31" s="587">
        <v>13.6</v>
      </c>
      <c r="BI31" s="587">
        <v>14</v>
      </c>
      <c r="BJ31" s="587">
        <v>14.4</v>
      </c>
      <c r="BK31" s="587">
        <v>14.8</v>
      </c>
      <c r="BL31" s="587">
        <v>15.2</v>
      </c>
      <c r="BM31" s="587">
        <v>15.6</v>
      </c>
      <c r="BN31" s="587">
        <v>16</v>
      </c>
      <c r="BO31" s="587">
        <v>16.399999999999999</v>
      </c>
      <c r="BP31" s="587">
        <v>16.8</v>
      </c>
      <c r="BQ31" s="587">
        <v>17.2</v>
      </c>
      <c r="BR31" s="587">
        <v>17.600000000000001</v>
      </c>
      <c r="BS31" s="587">
        <v>18</v>
      </c>
      <c r="BT31" s="587">
        <v>18.399999999999999</v>
      </c>
      <c r="BU31" s="587">
        <v>18.8</v>
      </c>
      <c r="BV31" s="587">
        <v>19.2</v>
      </c>
      <c r="BW31" s="587">
        <v>19.600000000000001</v>
      </c>
      <c r="BX31" s="587">
        <v>20</v>
      </c>
      <c r="BY31" s="587">
        <v>20.399999999999999</v>
      </c>
      <c r="BZ31" s="587">
        <v>20.8</v>
      </c>
      <c r="CA31" s="587">
        <v>21.2</v>
      </c>
      <c r="CB31" s="587">
        <v>21.6</v>
      </c>
      <c r="CC31" s="587">
        <v>22</v>
      </c>
      <c r="CD31" s="587">
        <v>22.4</v>
      </c>
      <c r="CE31" s="587">
        <v>22.8</v>
      </c>
      <c r="CF31" s="587">
        <v>23.2</v>
      </c>
      <c r="CG31" s="587">
        <v>23.6</v>
      </c>
      <c r="CH31" s="592">
        <v>24</v>
      </c>
    </row>
    <row r="32" spans="1:86">
      <c r="A32" s="539" t="s">
        <v>19630</v>
      </c>
      <c r="B32" s="540" t="str">
        <f>IF(B37&lt;0.167,"A",IF(B37&lt;0.33,"B",IF(B37&lt;0.5,"C","D")))</f>
        <v>D</v>
      </c>
      <c r="C32" s="541"/>
      <c r="D32" s="542"/>
      <c r="R32" s="2083"/>
      <c r="S32" s="602">
        <v>30</v>
      </c>
      <c r="T32" s="599">
        <v>1</v>
      </c>
      <c r="U32" s="599">
        <v>1.4</v>
      </c>
      <c r="V32" s="599">
        <v>1.66</v>
      </c>
      <c r="Z32" s="583">
        <v>30</v>
      </c>
      <c r="AA32" s="576">
        <v>3</v>
      </c>
      <c r="AB32" s="572">
        <v>3</v>
      </c>
      <c r="AC32" s="572">
        <v>3</v>
      </c>
      <c r="AD32" s="572">
        <v>4</v>
      </c>
      <c r="AE32" s="572">
        <v>5</v>
      </c>
      <c r="AF32" s="572">
        <v>6</v>
      </c>
      <c r="AG32" s="572">
        <v>7</v>
      </c>
      <c r="AH32" s="572">
        <v>8</v>
      </c>
      <c r="AI32" s="572">
        <v>9</v>
      </c>
      <c r="AJ32" s="572">
        <v>10</v>
      </c>
      <c r="AK32" s="572">
        <v>11</v>
      </c>
      <c r="AL32" s="572">
        <v>12</v>
      </c>
      <c r="AM32" s="572">
        <v>12</v>
      </c>
      <c r="AN32" s="572">
        <v>12</v>
      </c>
      <c r="AO32" s="572">
        <v>12</v>
      </c>
      <c r="AP32" s="572">
        <v>12</v>
      </c>
      <c r="AQ32" s="572">
        <v>12</v>
      </c>
      <c r="AR32" s="572">
        <v>12</v>
      </c>
      <c r="AS32" s="572">
        <v>12</v>
      </c>
      <c r="AT32" s="572">
        <v>12</v>
      </c>
      <c r="AU32" s="572">
        <v>12</v>
      </c>
      <c r="AV32" s="572">
        <v>12</v>
      </c>
      <c r="AW32" s="572">
        <v>12</v>
      </c>
      <c r="AX32" s="572">
        <v>12</v>
      </c>
      <c r="AY32" s="572">
        <v>12</v>
      </c>
      <c r="AZ32" s="572">
        <v>12</v>
      </c>
      <c r="BA32" s="572">
        <v>12</v>
      </c>
      <c r="BB32" s="572">
        <v>12</v>
      </c>
      <c r="BC32" s="572">
        <v>12</v>
      </c>
      <c r="BD32" s="577">
        <v>12</v>
      </c>
      <c r="BE32" s="591">
        <v>12.4</v>
      </c>
      <c r="BF32" s="587">
        <v>12.8</v>
      </c>
      <c r="BG32" s="587">
        <v>13.2</v>
      </c>
      <c r="BH32" s="587">
        <v>13.6</v>
      </c>
      <c r="BI32" s="587">
        <v>14</v>
      </c>
      <c r="BJ32" s="587">
        <v>14.4</v>
      </c>
      <c r="BK32" s="587">
        <v>14.8</v>
      </c>
      <c r="BL32" s="587">
        <v>15.2</v>
      </c>
      <c r="BM32" s="587">
        <v>15.6</v>
      </c>
      <c r="BN32" s="587">
        <v>16</v>
      </c>
      <c r="BO32" s="587">
        <v>16.399999999999999</v>
      </c>
      <c r="BP32" s="587">
        <v>16.8</v>
      </c>
      <c r="BQ32" s="587">
        <v>17.2</v>
      </c>
      <c r="BR32" s="587">
        <v>17.600000000000001</v>
      </c>
      <c r="BS32" s="587">
        <v>18</v>
      </c>
      <c r="BT32" s="587">
        <v>18.399999999999999</v>
      </c>
      <c r="BU32" s="587">
        <v>18.8</v>
      </c>
      <c r="BV32" s="587">
        <v>19.2</v>
      </c>
      <c r="BW32" s="587">
        <v>19.600000000000001</v>
      </c>
      <c r="BX32" s="587">
        <v>20</v>
      </c>
      <c r="BY32" s="587">
        <v>20.399999999999999</v>
      </c>
      <c r="BZ32" s="587">
        <v>20.8</v>
      </c>
      <c r="CA32" s="587">
        <v>21.2</v>
      </c>
      <c r="CB32" s="587">
        <v>21.6</v>
      </c>
      <c r="CC32" s="587">
        <v>22</v>
      </c>
      <c r="CD32" s="587">
        <v>22.4</v>
      </c>
      <c r="CE32" s="587">
        <v>22.8</v>
      </c>
      <c r="CF32" s="587">
        <v>23.2</v>
      </c>
      <c r="CG32" s="587">
        <v>23.6</v>
      </c>
      <c r="CH32" s="592">
        <v>24</v>
      </c>
    </row>
    <row r="33" spans="1:86">
      <c r="A33" s="539" t="s">
        <v>19631</v>
      </c>
      <c r="B33" s="540">
        <v>1</v>
      </c>
      <c r="C33" s="541"/>
      <c r="D33" s="542"/>
      <c r="R33" s="2083"/>
      <c r="S33" s="602">
        <v>35</v>
      </c>
      <c r="T33" s="599">
        <v>1.05</v>
      </c>
      <c r="U33" s="599">
        <v>1.45</v>
      </c>
      <c r="V33" s="599">
        <v>1.7</v>
      </c>
      <c r="Z33" s="583">
        <v>35</v>
      </c>
      <c r="AA33" s="576">
        <v>3</v>
      </c>
      <c r="AB33" s="572">
        <v>3</v>
      </c>
      <c r="AC33" s="572">
        <v>3</v>
      </c>
      <c r="AD33" s="572">
        <v>4</v>
      </c>
      <c r="AE33" s="572">
        <v>5</v>
      </c>
      <c r="AF33" s="572">
        <v>6</v>
      </c>
      <c r="AG33" s="572">
        <v>7</v>
      </c>
      <c r="AH33" s="572">
        <v>8</v>
      </c>
      <c r="AI33" s="572">
        <v>9</v>
      </c>
      <c r="AJ33" s="572">
        <v>10</v>
      </c>
      <c r="AK33" s="572">
        <v>11</v>
      </c>
      <c r="AL33" s="572">
        <v>12</v>
      </c>
      <c r="AM33" s="572">
        <v>13</v>
      </c>
      <c r="AN33" s="572">
        <v>14</v>
      </c>
      <c r="AO33" s="572">
        <v>14</v>
      </c>
      <c r="AP33" s="572">
        <v>14</v>
      </c>
      <c r="AQ33" s="572">
        <v>14</v>
      </c>
      <c r="AR33" s="572">
        <v>14</v>
      </c>
      <c r="AS33" s="572">
        <v>14</v>
      </c>
      <c r="AT33" s="572">
        <v>14</v>
      </c>
      <c r="AU33" s="572">
        <v>14</v>
      </c>
      <c r="AV33" s="572">
        <v>14</v>
      </c>
      <c r="AW33" s="572">
        <v>14</v>
      </c>
      <c r="AX33" s="572">
        <v>14</v>
      </c>
      <c r="AY33" s="572">
        <v>14</v>
      </c>
      <c r="AZ33" s="572">
        <v>14</v>
      </c>
      <c r="BA33" s="572">
        <v>14</v>
      </c>
      <c r="BB33" s="572">
        <v>14</v>
      </c>
      <c r="BC33" s="572">
        <v>14</v>
      </c>
      <c r="BD33" s="577">
        <v>14</v>
      </c>
      <c r="BE33" s="591">
        <v>14</v>
      </c>
      <c r="BF33" s="587">
        <v>14</v>
      </c>
      <c r="BG33" s="587">
        <v>14</v>
      </c>
      <c r="BH33" s="587">
        <v>14</v>
      </c>
      <c r="BI33" s="587">
        <v>14</v>
      </c>
      <c r="BJ33" s="587">
        <v>14.4</v>
      </c>
      <c r="BK33" s="587">
        <v>14.8</v>
      </c>
      <c r="BL33" s="587">
        <v>15.2</v>
      </c>
      <c r="BM33" s="587">
        <v>15.6</v>
      </c>
      <c r="BN33" s="587">
        <v>16</v>
      </c>
      <c r="BO33" s="587">
        <v>16.399999999999999</v>
      </c>
      <c r="BP33" s="587">
        <v>16.8</v>
      </c>
      <c r="BQ33" s="587">
        <v>17.2</v>
      </c>
      <c r="BR33" s="587">
        <v>17.600000000000001</v>
      </c>
      <c r="BS33" s="587">
        <v>18</v>
      </c>
      <c r="BT33" s="587">
        <v>18.399999999999999</v>
      </c>
      <c r="BU33" s="587">
        <v>18.8</v>
      </c>
      <c r="BV33" s="587">
        <v>19.2</v>
      </c>
      <c r="BW33" s="587">
        <v>19.600000000000001</v>
      </c>
      <c r="BX33" s="587">
        <v>20</v>
      </c>
      <c r="BY33" s="587">
        <v>20.399999999999999</v>
      </c>
      <c r="BZ33" s="587">
        <v>20.8</v>
      </c>
      <c r="CA33" s="587">
        <v>21.2</v>
      </c>
      <c r="CB33" s="587">
        <v>21.6</v>
      </c>
      <c r="CC33" s="587">
        <v>22</v>
      </c>
      <c r="CD33" s="587">
        <v>22.4</v>
      </c>
      <c r="CE33" s="587">
        <v>22.8</v>
      </c>
      <c r="CF33" s="587">
        <v>23.2</v>
      </c>
      <c r="CG33" s="587">
        <v>23.6</v>
      </c>
      <c r="CH33" s="592">
        <v>24</v>
      </c>
    </row>
    <row r="34" spans="1:86">
      <c r="A34" s="539" t="s">
        <v>262</v>
      </c>
      <c r="B34" s="540">
        <f>IF((B15&lt;=0.25),1.6,IF((B15&lt;0.5),'Seismic Data (Unattached)'!E7,IF((B15&lt;0.75),'Seismic Data (Unattached)'!F7,IF((B15&lt;1),'Seismic Data (Unattached)'!G7,IF((B15&lt;=1.25),'Seismic Data (Unattached)'!H7,1)))))</f>
        <v>1</v>
      </c>
      <c r="C34" s="541"/>
      <c r="D34" s="542"/>
      <c r="R34" s="2083"/>
      <c r="S34" s="602">
        <v>40</v>
      </c>
      <c r="T34" s="599">
        <v>1.0900000000000001</v>
      </c>
      <c r="U34" s="599">
        <v>1.49</v>
      </c>
      <c r="V34" s="599">
        <v>1.74</v>
      </c>
      <c r="Z34" s="583">
        <v>40</v>
      </c>
      <c r="AA34" s="576">
        <v>3</v>
      </c>
      <c r="AB34" s="572">
        <v>3</v>
      </c>
      <c r="AC34" s="572">
        <v>3</v>
      </c>
      <c r="AD34" s="572">
        <v>4</v>
      </c>
      <c r="AE34" s="572">
        <v>5</v>
      </c>
      <c r="AF34" s="572">
        <v>6</v>
      </c>
      <c r="AG34" s="572">
        <v>7</v>
      </c>
      <c r="AH34" s="572">
        <v>8</v>
      </c>
      <c r="AI34" s="572">
        <v>9</v>
      </c>
      <c r="AJ34" s="572">
        <v>10</v>
      </c>
      <c r="AK34" s="572">
        <v>11</v>
      </c>
      <c r="AL34" s="572">
        <v>12</v>
      </c>
      <c r="AM34" s="572">
        <v>13</v>
      </c>
      <c r="AN34" s="572">
        <v>14</v>
      </c>
      <c r="AO34" s="572">
        <v>15</v>
      </c>
      <c r="AP34" s="572">
        <v>16</v>
      </c>
      <c r="AQ34" s="572">
        <v>16</v>
      </c>
      <c r="AR34" s="572">
        <v>16</v>
      </c>
      <c r="AS34" s="572">
        <v>16</v>
      </c>
      <c r="AT34" s="572">
        <v>16</v>
      </c>
      <c r="AU34" s="572">
        <v>16</v>
      </c>
      <c r="AV34" s="572">
        <v>16</v>
      </c>
      <c r="AW34" s="572">
        <v>16</v>
      </c>
      <c r="AX34" s="572">
        <v>16</v>
      </c>
      <c r="AY34" s="572">
        <v>16</v>
      </c>
      <c r="AZ34" s="572">
        <v>16</v>
      </c>
      <c r="BA34" s="572">
        <v>16</v>
      </c>
      <c r="BB34" s="572">
        <v>16</v>
      </c>
      <c r="BC34" s="572">
        <v>16</v>
      </c>
      <c r="BD34" s="577">
        <v>16</v>
      </c>
      <c r="BE34" s="591">
        <v>16</v>
      </c>
      <c r="BF34" s="587">
        <v>16</v>
      </c>
      <c r="BG34" s="587">
        <v>16</v>
      </c>
      <c r="BH34" s="587">
        <v>16</v>
      </c>
      <c r="BI34" s="587">
        <v>16</v>
      </c>
      <c r="BJ34" s="587">
        <v>16</v>
      </c>
      <c r="BK34" s="587">
        <v>16</v>
      </c>
      <c r="BL34" s="587">
        <v>16</v>
      </c>
      <c r="BM34" s="587">
        <v>16</v>
      </c>
      <c r="BN34" s="587">
        <v>16</v>
      </c>
      <c r="BO34" s="587">
        <v>16.399999999999999</v>
      </c>
      <c r="BP34" s="587">
        <v>16.8</v>
      </c>
      <c r="BQ34" s="587">
        <v>17.2</v>
      </c>
      <c r="BR34" s="587">
        <v>17.600000000000001</v>
      </c>
      <c r="BS34" s="587">
        <v>18</v>
      </c>
      <c r="BT34" s="587">
        <v>18.399999999999999</v>
      </c>
      <c r="BU34" s="587">
        <v>18.8</v>
      </c>
      <c r="BV34" s="587">
        <v>19.2</v>
      </c>
      <c r="BW34" s="587">
        <v>19.600000000000001</v>
      </c>
      <c r="BX34" s="587">
        <v>20</v>
      </c>
      <c r="BY34" s="587">
        <v>20.399999999999999</v>
      </c>
      <c r="BZ34" s="587">
        <v>20.8</v>
      </c>
      <c r="CA34" s="587">
        <v>21.2</v>
      </c>
      <c r="CB34" s="587">
        <v>21.6</v>
      </c>
      <c r="CC34" s="587">
        <v>22</v>
      </c>
      <c r="CD34" s="587">
        <v>22.4</v>
      </c>
      <c r="CE34" s="587">
        <v>22.8</v>
      </c>
      <c r="CF34" s="587">
        <v>23.2</v>
      </c>
      <c r="CG34" s="587">
        <v>23.6</v>
      </c>
      <c r="CH34" s="592">
        <v>24</v>
      </c>
    </row>
    <row r="35" spans="1:86">
      <c r="A35" s="539" t="s">
        <v>263</v>
      </c>
      <c r="B35" s="540">
        <f>IF((B10&lt;=0.25),1.6,IF((B10&lt;0.5),'Seismic Data (Unattached)'!E8,IF((B10&lt;0.75),'Seismic Data (Unattached)'!F8,IF((B10&lt;1),'Seismic Data (Unattached)'!G8,IF((B10&lt;=1.25),'Seismic Data (Unattached)'!H8,0.9)))))</f>
        <v>0.9</v>
      </c>
      <c r="C35" s="541"/>
      <c r="D35" s="542"/>
      <c r="R35" s="2083"/>
      <c r="S35" s="602">
        <v>45</v>
      </c>
      <c r="T35" s="599">
        <v>1.1200000000000001</v>
      </c>
      <c r="U35" s="599">
        <v>1.53</v>
      </c>
      <c r="V35" s="599">
        <v>1.78</v>
      </c>
      <c r="Z35" s="583">
        <v>45</v>
      </c>
      <c r="AA35" s="576">
        <v>3</v>
      </c>
      <c r="AB35" s="572">
        <v>3</v>
      </c>
      <c r="AC35" s="572">
        <v>3</v>
      </c>
      <c r="AD35" s="572">
        <v>4</v>
      </c>
      <c r="AE35" s="572">
        <v>5</v>
      </c>
      <c r="AF35" s="572">
        <v>6</v>
      </c>
      <c r="AG35" s="572">
        <v>7</v>
      </c>
      <c r="AH35" s="572">
        <v>8</v>
      </c>
      <c r="AI35" s="572">
        <v>9</v>
      </c>
      <c r="AJ35" s="572">
        <v>10</v>
      </c>
      <c r="AK35" s="572">
        <v>11</v>
      </c>
      <c r="AL35" s="572">
        <v>12</v>
      </c>
      <c r="AM35" s="572">
        <v>13</v>
      </c>
      <c r="AN35" s="572">
        <v>14</v>
      </c>
      <c r="AO35" s="572">
        <v>15</v>
      </c>
      <c r="AP35" s="572">
        <v>16</v>
      </c>
      <c r="AQ35" s="572">
        <v>17</v>
      </c>
      <c r="AR35" s="572">
        <v>18</v>
      </c>
      <c r="AS35" s="572">
        <v>18</v>
      </c>
      <c r="AT35" s="572">
        <v>18</v>
      </c>
      <c r="AU35" s="572">
        <v>18</v>
      </c>
      <c r="AV35" s="572">
        <v>18</v>
      </c>
      <c r="AW35" s="572">
        <v>18</v>
      </c>
      <c r="AX35" s="572">
        <v>18</v>
      </c>
      <c r="AY35" s="572">
        <v>18</v>
      </c>
      <c r="AZ35" s="572">
        <v>18</v>
      </c>
      <c r="BA35" s="572">
        <v>18</v>
      </c>
      <c r="BB35" s="572">
        <v>18</v>
      </c>
      <c r="BC35" s="572">
        <v>18</v>
      </c>
      <c r="BD35" s="577">
        <v>18</v>
      </c>
      <c r="BE35" s="591">
        <v>18</v>
      </c>
      <c r="BF35" s="587">
        <v>18</v>
      </c>
      <c r="BG35" s="587">
        <v>18</v>
      </c>
      <c r="BH35" s="587">
        <v>18</v>
      </c>
      <c r="BI35" s="587">
        <v>18</v>
      </c>
      <c r="BJ35" s="587">
        <v>18</v>
      </c>
      <c r="BK35" s="587">
        <v>18</v>
      </c>
      <c r="BL35" s="587">
        <v>18</v>
      </c>
      <c r="BM35" s="587">
        <v>18</v>
      </c>
      <c r="BN35" s="587">
        <v>18</v>
      </c>
      <c r="BO35" s="587">
        <v>18</v>
      </c>
      <c r="BP35" s="587">
        <v>18</v>
      </c>
      <c r="BQ35" s="587">
        <v>18</v>
      </c>
      <c r="BR35" s="587">
        <v>18</v>
      </c>
      <c r="BS35" s="587">
        <v>18</v>
      </c>
      <c r="BT35" s="587">
        <v>18.399999999999999</v>
      </c>
      <c r="BU35" s="587">
        <v>18.8</v>
      </c>
      <c r="BV35" s="587">
        <v>19.2</v>
      </c>
      <c r="BW35" s="587">
        <v>19.600000000000001</v>
      </c>
      <c r="BX35" s="587">
        <v>20</v>
      </c>
      <c r="BY35" s="587">
        <v>20.399999999999999</v>
      </c>
      <c r="BZ35" s="587">
        <v>20.8</v>
      </c>
      <c r="CA35" s="587">
        <v>21.2</v>
      </c>
      <c r="CB35" s="587">
        <v>21.6</v>
      </c>
      <c r="CC35" s="587">
        <v>22</v>
      </c>
      <c r="CD35" s="587">
        <v>22.4</v>
      </c>
      <c r="CE35" s="587">
        <v>22.8</v>
      </c>
      <c r="CF35" s="587">
        <v>23.2</v>
      </c>
      <c r="CG35" s="587">
        <v>23.6</v>
      </c>
      <c r="CH35" s="592">
        <v>24</v>
      </c>
    </row>
    <row r="36" spans="1:86">
      <c r="A36" s="539" t="s">
        <v>49</v>
      </c>
      <c r="B36" s="543">
        <f>IF(B10="D",B34*B15,B35*B15)</f>
        <v>1.675</v>
      </c>
      <c r="C36" s="541"/>
      <c r="D36" s="542"/>
      <c r="R36" s="2083"/>
      <c r="S36" s="602">
        <v>50</v>
      </c>
      <c r="T36" s="599">
        <v>1.1599999999999999</v>
      </c>
      <c r="U36" s="599">
        <v>1.56</v>
      </c>
      <c r="V36" s="599">
        <v>1.81</v>
      </c>
      <c r="Z36" s="583">
        <v>50</v>
      </c>
      <c r="AA36" s="576">
        <v>3</v>
      </c>
      <c r="AB36" s="572">
        <v>3</v>
      </c>
      <c r="AC36" s="572">
        <v>3</v>
      </c>
      <c r="AD36" s="572">
        <v>4</v>
      </c>
      <c r="AE36" s="572">
        <v>5</v>
      </c>
      <c r="AF36" s="572">
        <v>6</v>
      </c>
      <c r="AG36" s="572">
        <v>7</v>
      </c>
      <c r="AH36" s="572">
        <v>8</v>
      </c>
      <c r="AI36" s="572">
        <v>9</v>
      </c>
      <c r="AJ36" s="572">
        <v>10</v>
      </c>
      <c r="AK36" s="572">
        <v>11</v>
      </c>
      <c r="AL36" s="572">
        <v>12</v>
      </c>
      <c r="AM36" s="572">
        <v>13</v>
      </c>
      <c r="AN36" s="572">
        <v>14</v>
      </c>
      <c r="AO36" s="572">
        <v>15</v>
      </c>
      <c r="AP36" s="572">
        <v>16</v>
      </c>
      <c r="AQ36" s="572">
        <v>17</v>
      </c>
      <c r="AR36" s="572">
        <v>18</v>
      </c>
      <c r="AS36" s="572">
        <v>19</v>
      </c>
      <c r="AT36" s="572">
        <v>20</v>
      </c>
      <c r="AU36" s="572">
        <v>20</v>
      </c>
      <c r="AV36" s="572">
        <v>20</v>
      </c>
      <c r="AW36" s="572">
        <v>20</v>
      </c>
      <c r="AX36" s="572">
        <v>20</v>
      </c>
      <c r="AY36" s="572">
        <v>20</v>
      </c>
      <c r="AZ36" s="572">
        <v>20</v>
      </c>
      <c r="BA36" s="572">
        <v>20</v>
      </c>
      <c r="BB36" s="572">
        <v>20</v>
      </c>
      <c r="BC36" s="572">
        <v>20</v>
      </c>
      <c r="BD36" s="577">
        <v>20</v>
      </c>
      <c r="BE36" s="591">
        <v>20</v>
      </c>
      <c r="BF36" s="587">
        <v>20</v>
      </c>
      <c r="BG36" s="587">
        <v>20</v>
      </c>
      <c r="BH36" s="587">
        <v>20</v>
      </c>
      <c r="BI36" s="587">
        <v>20</v>
      </c>
      <c r="BJ36" s="587">
        <v>20</v>
      </c>
      <c r="BK36" s="587">
        <v>20</v>
      </c>
      <c r="BL36" s="587">
        <v>20</v>
      </c>
      <c r="BM36" s="587">
        <v>20</v>
      </c>
      <c r="BN36" s="587">
        <v>20</v>
      </c>
      <c r="BO36" s="587">
        <v>20</v>
      </c>
      <c r="BP36" s="587">
        <v>20</v>
      </c>
      <c r="BQ36" s="587">
        <v>20</v>
      </c>
      <c r="BR36" s="587">
        <v>20</v>
      </c>
      <c r="BS36" s="587">
        <v>20</v>
      </c>
      <c r="BT36" s="587">
        <v>20</v>
      </c>
      <c r="BU36" s="587">
        <v>20</v>
      </c>
      <c r="BV36" s="587">
        <v>20</v>
      </c>
      <c r="BW36" s="587">
        <v>20</v>
      </c>
      <c r="BX36" s="587">
        <v>20</v>
      </c>
      <c r="BY36" s="587">
        <v>20.399999999999999</v>
      </c>
      <c r="BZ36" s="587">
        <v>20.8</v>
      </c>
      <c r="CA36" s="587">
        <v>21.2</v>
      </c>
      <c r="CB36" s="587">
        <v>21.6</v>
      </c>
      <c r="CC36" s="587">
        <v>22</v>
      </c>
      <c r="CD36" s="587">
        <v>22.4</v>
      </c>
      <c r="CE36" s="587">
        <v>22.8</v>
      </c>
      <c r="CF36" s="587">
        <v>23.2</v>
      </c>
      <c r="CG36" s="587">
        <v>23.6</v>
      </c>
      <c r="CH36" s="592">
        <v>24</v>
      </c>
    </row>
    <row r="37" spans="1:86">
      <c r="A37" s="539" t="s">
        <v>123</v>
      </c>
      <c r="B37" s="543">
        <f>(2*B36)/3</f>
        <v>1.1166666666666667</v>
      </c>
      <c r="C37" s="541"/>
      <c r="D37" s="542"/>
      <c r="R37" s="2083"/>
      <c r="S37" s="602">
        <v>55</v>
      </c>
      <c r="T37" s="599">
        <v>1.19</v>
      </c>
      <c r="U37" s="599">
        <v>1.59</v>
      </c>
      <c r="V37" s="599">
        <v>1.84</v>
      </c>
      <c r="Z37" s="583">
        <v>55</v>
      </c>
      <c r="AA37" s="576">
        <v>3</v>
      </c>
      <c r="AB37" s="572">
        <v>3</v>
      </c>
      <c r="AC37" s="572">
        <v>3</v>
      </c>
      <c r="AD37" s="572">
        <v>4</v>
      </c>
      <c r="AE37" s="572">
        <v>5</v>
      </c>
      <c r="AF37" s="572">
        <v>6</v>
      </c>
      <c r="AG37" s="572">
        <v>7</v>
      </c>
      <c r="AH37" s="572">
        <v>8</v>
      </c>
      <c r="AI37" s="572">
        <v>9</v>
      </c>
      <c r="AJ37" s="572">
        <v>10</v>
      </c>
      <c r="AK37" s="572">
        <v>11</v>
      </c>
      <c r="AL37" s="572">
        <v>12</v>
      </c>
      <c r="AM37" s="572">
        <v>13</v>
      </c>
      <c r="AN37" s="572">
        <v>14</v>
      </c>
      <c r="AO37" s="572">
        <v>15</v>
      </c>
      <c r="AP37" s="572">
        <v>16</v>
      </c>
      <c r="AQ37" s="572">
        <v>17</v>
      </c>
      <c r="AR37" s="572">
        <v>18</v>
      </c>
      <c r="AS37" s="572">
        <v>19</v>
      </c>
      <c r="AT37" s="572">
        <v>20</v>
      </c>
      <c r="AU37" s="572">
        <v>21</v>
      </c>
      <c r="AV37" s="572">
        <v>22</v>
      </c>
      <c r="AW37" s="572">
        <v>22</v>
      </c>
      <c r="AX37" s="572">
        <v>22</v>
      </c>
      <c r="AY37" s="572">
        <v>22</v>
      </c>
      <c r="AZ37" s="572">
        <v>22</v>
      </c>
      <c r="BA37" s="572">
        <v>22</v>
      </c>
      <c r="BB37" s="572">
        <v>22</v>
      </c>
      <c r="BC37" s="572">
        <v>22</v>
      </c>
      <c r="BD37" s="577">
        <v>22</v>
      </c>
      <c r="BE37" s="591">
        <v>22</v>
      </c>
      <c r="BF37" s="587">
        <v>22</v>
      </c>
      <c r="BG37" s="587">
        <v>22</v>
      </c>
      <c r="BH37" s="587">
        <v>22</v>
      </c>
      <c r="BI37" s="587">
        <v>22</v>
      </c>
      <c r="BJ37" s="587">
        <v>22</v>
      </c>
      <c r="BK37" s="587">
        <v>22</v>
      </c>
      <c r="BL37" s="587">
        <v>22</v>
      </c>
      <c r="BM37" s="587">
        <v>22</v>
      </c>
      <c r="BN37" s="587">
        <v>22</v>
      </c>
      <c r="BO37" s="587">
        <v>22</v>
      </c>
      <c r="BP37" s="587">
        <v>22</v>
      </c>
      <c r="BQ37" s="587">
        <v>22</v>
      </c>
      <c r="BR37" s="587">
        <v>22</v>
      </c>
      <c r="BS37" s="587">
        <v>22</v>
      </c>
      <c r="BT37" s="587">
        <v>22</v>
      </c>
      <c r="BU37" s="587">
        <v>22</v>
      </c>
      <c r="BV37" s="587">
        <v>22</v>
      </c>
      <c r="BW37" s="587">
        <v>22</v>
      </c>
      <c r="BX37" s="587">
        <v>22</v>
      </c>
      <c r="BY37" s="587">
        <v>22</v>
      </c>
      <c r="BZ37" s="587">
        <v>22</v>
      </c>
      <c r="CA37" s="587">
        <v>22</v>
      </c>
      <c r="CB37" s="587">
        <v>22</v>
      </c>
      <c r="CC37" s="587">
        <v>22</v>
      </c>
      <c r="CD37" s="587">
        <v>22.4</v>
      </c>
      <c r="CE37" s="587">
        <v>22.8</v>
      </c>
      <c r="CF37" s="587">
        <v>23.2</v>
      </c>
      <c r="CG37" s="587">
        <v>23.6</v>
      </c>
      <c r="CH37" s="592">
        <v>24</v>
      </c>
    </row>
    <row r="38" spans="1:86" ht="16.5" thickBot="1">
      <c r="A38" s="544" t="s">
        <v>19632</v>
      </c>
      <c r="B38" s="543">
        <f>(IF(OR(B8="II",B8="I"),1,IF(B8="III",1.25,1.5)))</f>
        <v>1</v>
      </c>
      <c r="C38" s="541"/>
      <c r="D38" s="542"/>
      <c r="R38" s="2083"/>
      <c r="S38" s="602">
        <v>60</v>
      </c>
      <c r="T38" s="599">
        <v>1.22</v>
      </c>
      <c r="U38" s="599">
        <v>1.62</v>
      </c>
      <c r="V38" s="599">
        <v>1.87</v>
      </c>
      <c r="Z38" s="582">
        <v>60</v>
      </c>
      <c r="AA38" s="578">
        <v>3</v>
      </c>
      <c r="AB38" s="579">
        <v>3</v>
      </c>
      <c r="AC38" s="579">
        <v>3</v>
      </c>
      <c r="AD38" s="579">
        <v>4</v>
      </c>
      <c r="AE38" s="579">
        <v>5</v>
      </c>
      <c r="AF38" s="579">
        <v>6</v>
      </c>
      <c r="AG38" s="579">
        <v>7</v>
      </c>
      <c r="AH38" s="579">
        <v>8</v>
      </c>
      <c r="AI38" s="579">
        <v>9</v>
      </c>
      <c r="AJ38" s="579">
        <v>10</v>
      </c>
      <c r="AK38" s="579">
        <v>11</v>
      </c>
      <c r="AL38" s="579">
        <v>12</v>
      </c>
      <c r="AM38" s="579">
        <v>13</v>
      </c>
      <c r="AN38" s="579">
        <v>14</v>
      </c>
      <c r="AO38" s="579">
        <v>15</v>
      </c>
      <c r="AP38" s="579">
        <v>16</v>
      </c>
      <c r="AQ38" s="579">
        <v>17</v>
      </c>
      <c r="AR38" s="579">
        <v>18</v>
      </c>
      <c r="AS38" s="579">
        <v>19</v>
      </c>
      <c r="AT38" s="579">
        <v>20</v>
      </c>
      <c r="AU38" s="579">
        <v>21</v>
      </c>
      <c r="AV38" s="579">
        <v>22</v>
      </c>
      <c r="AW38" s="579">
        <v>23</v>
      </c>
      <c r="AX38" s="579">
        <v>24</v>
      </c>
      <c r="AY38" s="579">
        <v>24</v>
      </c>
      <c r="AZ38" s="579">
        <v>24</v>
      </c>
      <c r="BA38" s="579">
        <v>24</v>
      </c>
      <c r="BB38" s="579">
        <v>24</v>
      </c>
      <c r="BC38" s="579">
        <v>24</v>
      </c>
      <c r="BD38" s="580">
        <v>24</v>
      </c>
      <c r="BE38" s="593">
        <v>24</v>
      </c>
      <c r="BF38" s="594">
        <v>24</v>
      </c>
      <c r="BG38" s="594">
        <v>24</v>
      </c>
      <c r="BH38" s="594">
        <v>24</v>
      </c>
      <c r="BI38" s="594">
        <v>24</v>
      </c>
      <c r="BJ38" s="594">
        <v>24</v>
      </c>
      <c r="BK38" s="594">
        <v>24</v>
      </c>
      <c r="BL38" s="594">
        <v>24</v>
      </c>
      <c r="BM38" s="594">
        <v>24</v>
      </c>
      <c r="BN38" s="594">
        <v>24</v>
      </c>
      <c r="BO38" s="594">
        <v>24</v>
      </c>
      <c r="BP38" s="594">
        <v>24</v>
      </c>
      <c r="BQ38" s="594">
        <v>24</v>
      </c>
      <c r="BR38" s="594">
        <v>24</v>
      </c>
      <c r="BS38" s="594">
        <v>24</v>
      </c>
      <c r="BT38" s="594">
        <v>24</v>
      </c>
      <c r="BU38" s="594">
        <v>24</v>
      </c>
      <c r="BV38" s="594">
        <v>24</v>
      </c>
      <c r="BW38" s="594">
        <v>24</v>
      </c>
      <c r="BX38" s="594">
        <v>24</v>
      </c>
      <c r="BY38" s="594">
        <v>24</v>
      </c>
      <c r="BZ38" s="594">
        <v>24</v>
      </c>
      <c r="CA38" s="594">
        <v>24</v>
      </c>
      <c r="CB38" s="594">
        <v>24</v>
      </c>
      <c r="CC38" s="594">
        <v>24</v>
      </c>
      <c r="CD38" s="594">
        <v>24</v>
      </c>
      <c r="CE38" s="594">
        <v>24</v>
      </c>
      <c r="CF38" s="594">
        <v>24</v>
      </c>
      <c r="CG38" s="594">
        <v>24</v>
      </c>
      <c r="CH38" s="595">
        <v>24</v>
      </c>
    </row>
    <row r="39" spans="1:86">
      <c r="A39" s="544"/>
      <c r="B39" s="545"/>
      <c r="C39" s="541"/>
      <c r="D39" s="542"/>
    </row>
    <row r="40" spans="1:86">
      <c r="A40" s="544" t="s">
        <v>19633</v>
      </c>
      <c r="B40" s="545"/>
      <c r="C40" s="541"/>
      <c r="D40" s="542"/>
    </row>
    <row r="41" spans="1:86">
      <c r="A41" s="544" t="s">
        <v>283</v>
      </c>
      <c r="B41" s="545">
        <f>IF(((B37-0.4)^2)*60&gt;6, ((B37-0.4)^2)*60,6)</f>
        <v>30.816666666666666</v>
      </c>
      <c r="C41" s="546" t="s">
        <v>284</v>
      </c>
      <c r="D41" s="542"/>
    </row>
    <row r="42" spans="1:86">
      <c r="A42" s="544" t="s">
        <v>285</v>
      </c>
      <c r="B42" s="543">
        <f>0.5*B33*B41</f>
        <v>15.408333333333333</v>
      </c>
      <c r="C42" s="546" t="s">
        <v>284</v>
      </c>
      <c r="D42" s="542"/>
    </row>
    <row r="43" spans="1:86">
      <c r="A43" s="544" t="s">
        <v>286</v>
      </c>
      <c r="B43" s="543">
        <f>B33*B41</f>
        <v>30.816666666666666</v>
      </c>
      <c r="C43" s="546" t="s">
        <v>284</v>
      </c>
      <c r="D43" s="542"/>
    </row>
    <row r="44" spans="1:86">
      <c r="A44" s="544" t="s">
        <v>287</v>
      </c>
      <c r="B44" s="543">
        <f>B38*B41</f>
        <v>30.816666666666666</v>
      </c>
      <c r="C44" s="546" t="s">
        <v>284</v>
      </c>
      <c r="D44" s="542"/>
    </row>
    <row r="45" spans="1:86">
      <c r="A45" s="544" t="s">
        <v>288</v>
      </c>
      <c r="B45" s="543">
        <f>1.5*B38*B41</f>
        <v>46.225000000000001</v>
      </c>
      <c r="C45" s="546" t="s">
        <v>284</v>
      </c>
      <c r="D45" s="542"/>
    </row>
    <row r="46" spans="1:86">
      <c r="A46" s="462"/>
      <c r="B46" s="543"/>
      <c r="C46" s="546"/>
      <c r="D46" s="542"/>
    </row>
    <row r="47" spans="1:86">
      <c r="A47" s="544" t="s">
        <v>19634</v>
      </c>
      <c r="B47" s="543"/>
      <c r="C47" s="546"/>
      <c r="D47" s="542"/>
    </row>
    <row r="48" spans="1:86">
      <c r="A48" s="562" t="s">
        <v>19635</v>
      </c>
      <c r="B48" s="547">
        <f>B19*B21*B20</f>
        <v>-45.536999999999999</v>
      </c>
      <c r="C48" s="541" t="s">
        <v>87</v>
      </c>
      <c r="D48" s="542"/>
    </row>
    <row r="49" spans="1:4" ht="18">
      <c r="A49" s="562" t="s">
        <v>19654</v>
      </c>
      <c r="B49" s="545">
        <f>B48*B26*COS((RADIANS(15+B12)))</f>
        <v>0</v>
      </c>
      <c r="C49" s="541" t="s">
        <v>39</v>
      </c>
      <c r="D49" s="548" t="s">
        <v>19636</v>
      </c>
    </row>
    <row r="50" spans="1:4">
      <c r="A50" s="544" t="str">
        <f>CONCATENATE("BL = Wup/0.9 ",IF($B$4=2010,"","* 1.6")," =")</f>
        <v>BL = Wup/0.9  =</v>
      </c>
      <c r="B50" s="545">
        <f>B49/(-0.9)*B22</f>
        <v>0</v>
      </c>
      <c r="C50" s="541" t="s">
        <v>39</v>
      </c>
      <c r="D50" s="542"/>
    </row>
    <row r="51" spans="1:4">
      <c r="A51" s="544" t="s">
        <v>19637</v>
      </c>
      <c r="B51" s="545">
        <f>ROUNDUP(B50-IF($B$24=1,$B$27,$B$28)-$B$25,0)</f>
        <v>-26</v>
      </c>
      <c r="C51" s="541"/>
      <c r="D51" s="542"/>
    </row>
    <row r="52" spans="1:4">
      <c r="A52" s="544" t="s">
        <v>19638</v>
      </c>
      <c r="B52" s="545">
        <f>IF($B$24=1,2,3)</f>
        <v>2</v>
      </c>
      <c r="C52" s="541" t="s">
        <v>19639</v>
      </c>
      <c r="D52" s="542"/>
    </row>
    <row r="53" spans="1:4">
      <c r="A53" s="544" t="s">
        <v>19640</v>
      </c>
      <c r="B53" s="545">
        <f>ROUNDUP(B51/$B$16,0)</f>
        <v>-1</v>
      </c>
      <c r="C53" s="541" t="s">
        <v>295</v>
      </c>
      <c r="D53" s="542"/>
    </row>
    <row r="54" spans="1:4">
      <c r="A54" s="544" t="s">
        <v>19641</v>
      </c>
      <c r="B54" s="545">
        <f>IF(B53/B52&lt;2,2,B53/B52)</f>
        <v>2</v>
      </c>
      <c r="C54" s="541" t="s">
        <v>295</v>
      </c>
      <c r="D54" s="542"/>
    </row>
    <row r="55" spans="1:4">
      <c r="A55" s="544" t="s">
        <v>19642</v>
      </c>
      <c r="B55" s="545">
        <f>IF(B54=1,1,IF(B54=2,2,IF(B54=3,3,IF(B54=4,4,IF(B54=5,5,IF(B54&gt;5,"TOO MANY BLOCKS",CONCATENATE(ROUNDDOWN(B54,0)," or ", ROUNDUP(B54,0))))))))</f>
        <v>2</v>
      </c>
      <c r="C55" s="541" t="s">
        <v>295</v>
      </c>
      <c r="D55" s="542"/>
    </row>
    <row r="56" spans="1:4">
      <c r="A56" s="544" t="s">
        <v>19643</v>
      </c>
      <c r="B56" s="545">
        <f>(B50-B51)+B53*$B$16</f>
        <v>-6</v>
      </c>
      <c r="C56" s="541" t="s">
        <v>39</v>
      </c>
      <c r="D56" s="542"/>
    </row>
    <row r="57" spans="1:4">
      <c r="A57" s="544"/>
      <c r="B57" s="545"/>
      <c r="C57" s="541"/>
      <c r="D57" s="542"/>
    </row>
    <row r="58" spans="1:4">
      <c r="A58" s="563" t="s">
        <v>19644</v>
      </c>
      <c r="B58" s="541"/>
      <c r="C58" s="541"/>
      <c r="D58" s="542"/>
    </row>
    <row r="59" spans="1:4">
      <c r="A59" s="544" t="s">
        <v>19645</v>
      </c>
      <c r="B59" s="545">
        <f>'Friction Data'!G34</f>
        <v>0.57999999999999996</v>
      </c>
      <c r="C59" s="541"/>
      <c r="D59" s="542"/>
    </row>
    <row r="60" spans="1:4">
      <c r="A60" s="564" t="s">
        <v>19646</v>
      </c>
      <c r="B60" s="545">
        <f>B48*SIN(RADIANS(15))*B26</f>
        <v>0</v>
      </c>
      <c r="C60" s="541"/>
      <c r="D60" s="542"/>
    </row>
    <row r="61" spans="1:4">
      <c r="A61" s="564" t="str">
        <f>CONCATENATE("BD = (Wdg / µ)/.9 ",IF($B$4=2010,"","* 1.6")," =")</f>
        <v>BD = (Wdg / µ)/.9  =</v>
      </c>
      <c r="B61" s="545">
        <f>(B60/B59)/-0.9*B22</f>
        <v>0</v>
      </c>
      <c r="C61" s="541"/>
      <c r="D61" s="542"/>
    </row>
    <row r="62" spans="1:4" ht="18">
      <c r="A62" s="564" t="s">
        <v>19655</v>
      </c>
      <c r="B62" s="545">
        <f>B61+B50</f>
        <v>0</v>
      </c>
      <c r="C62" s="541"/>
      <c r="D62" s="542"/>
    </row>
    <row r="63" spans="1:4" ht="18">
      <c r="A63" s="564" t="s">
        <v>19656</v>
      </c>
      <c r="B63" s="545">
        <f>(B61*SIN(RADIANS(B12))/B59)+B62</f>
        <v>0</v>
      </c>
      <c r="C63" s="541"/>
      <c r="D63" s="542"/>
    </row>
    <row r="64" spans="1:4" ht="18">
      <c r="A64" s="564" t="s">
        <v>19657</v>
      </c>
      <c r="B64" s="545">
        <f>B62/(1-SIN(RADIANS(B12))/(0.9*B59))</f>
        <v>0</v>
      </c>
      <c r="C64" s="541"/>
      <c r="D64" s="542"/>
    </row>
    <row r="65" spans="1:4">
      <c r="A65" s="544" t="s">
        <v>19647</v>
      </c>
      <c r="B65" s="545">
        <f>ROUNDUP(B64-IF($B$24=1,$B$27,$B$28)-$B$25,0)</f>
        <v>-26</v>
      </c>
      <c r="C65" s="541"/>
      <c r="D65" s="542"/>
    </row>
    <row r="66" spans="1:4">
      <c r="A66" s="544" t="s">
        <v>19638</v>
      </c>
      <c r="B66" s="545">
        <f>IF($B$24=1,2, 3)</f>
        <v>2</v>
      </c>
      <c r="C66" s="541" t="s">
        <v>19639</v>
      </c>
      <c r="D66" s="542"/>
    </row>
    <row r="67" spans="1:4">
      <c r="A67" s="544" t="s">
        <v>19648</v>
      </c>
      <c r="B67" s="545">
        <f>ROUNDUP(B65/$B$16,0)</f>
        <v>-1</v>
      </c>
      <c r="C67" s="541" t="s">
        <v>295</v>
      </c>
      <c r="D67" s="542"/>
    </row>
    <row r="68" spans="1:4">
      <c r="A68" s="544" t="s">
        <v>19649</v>
      </c>
      <c r="B68" s="545">
        <v>2</v>
      </c>
      <c r="C68" s="541"/>
      <c r="D68" s="542"/>
    </row>
    <row r="69" spans="1:4" ht="141.75">
      <c r="A69" s="544" t="s">
        <v>19641</v>
      </c>
      <c r="B69" s="545">
        <f>IF(B67/B66&lt;2,2,B67/B66)</f>
        <v>2</v>
      </c>
      <c r="C69" s="541" t="s">
        <v>295</v>
      </c>
      <c r="D69" s="549" t="str">
        <f>IF(B67/B66&lt;2,". However, in order to satisfy the SEAOC stipulation regarding center of gravity, each Ecofoot Base shall have no fewer than 2 blocks. Therefore this site requires ", ", or ")</f>
        <v xml:space="preserve">. However, in order to satisfy the SEAOC stipulation regarding center of gravity, each Ecofoot Base shall have no fewer than 2 blocks. Therefore this site requires </v>
      </c>
    </row>
    <row r="70" spans="1:4">
      <c r="A70" s="544" t="s">
        <v>19642</v>
      </c>
      <c r="B70" s="545">
        <f>IF(B69=1,1,IF(B69=2,2,IF(B69=3,3,IF(B69=4,4,IF(B69=5,5,IF(B69&gt;5,"TOO MANY BLOCKS",CONCATENATE(ROUNDDOWN(B69,0)," or ", ROUNDUP(B69,0))))))))</f>
        <v>2</v>
      </c>
      <c r="C70" s="541" t="s">
        <v>295</v>
      </c>
      <c r="D70" s="542"/>
    </row>
    <row r="71" spans="1:4" ht="16.5" thickBot="1">
      <c r="A71" s="550" t="s">
        <v>19643</v>
      </c>
      <c r="B71" s="551">
        <f>(B64-B65)+B69*B66*$B$16</f>
        <v>154</v>
      </c>
      <c r="C71" s="552" t="s">
        <v>39</v>
      </c>
      <c r="D71" s="553"/>
    </row>
  </sheetData>
  <mergeCells count="12">
    <mergeCell ref="R29:R38"/>
    <mergeCell ref="R26:V26"/>
    <mergeCell ref="AA27:BD27"/>
    <mergeCell ref="AA24:BD24"/>
    <mergeCell ref="BE27:CH27"/>
    <mergeCell ref="T27:V27"/>
    <mergeCell ref="F1:O4"/>
    <mergeCell ref="Q1:Z4"/>
    <mergeCell ref="F8:F9"/>
    <mergeCell ref="Q8:Q9"/>
    <mergeCell ref="F10:F11"/>
    <mergeCell ref="Q10:Q11"/>
  </mergeCells>
  <conditionalFormatting sqref="A59:C71 A51:C57 D51:D71 C5:C8 A30:D45 B46:D46 A47:D50 D4:D7 E1:E79 A1:C4 A5:B16 A17 A18:B21 A23:B28 C9:D27">
    <cfRule type="containsText" dxfId="6238" priority="3" stopIfTrue="1" operator="containsText" text="TOO MANY BLOCKS">
      <formula>NOT(ISERROR(SEARCH("TOO MANY BLOCKS",A1)))</formula>
    </cfRule>
    <cfRule type="containsText" dxfId="6237" priority="4" stopIfTrue="1" operator="containsText" text="ERROR">
      <formula>NOT(ISERROR(SEARCH("ERROR",A1)))</formula>
    </cfRule>
  </conditionalFormatting>
  <conditionalFormatting sqref="A22:B22">
    <cfRule type="containsText" dxfId="6236" priority="1" stopIfTrue="1" operator="containsText" text="TOO MANY BLOCKS">
      <formula>NOT(ISERROR(SEARCH("TOO MANY BLOCKS",A22)))</formula>
    </cfRule>
    <cfRule type="containsText" dxfId="6235" priority="2" stopIfTrue="1" operator="containsText" text="ERROR">
      <formula>NOT(ISERROR(SEARCH("ERROR",A22)))</formula>
    </cfRule>
  </conditionalFormatting>
  <dataValidations disablePrompts="1" count="8">
    <dataValidation type="list" allowBlank="1" showInputMessage="1" showErrorMessage="1" sqref="B4" xr:uid="{00000000-0002-0000-0300-000000000000}">
      <formula1>$M$14:$M$15</formula1>
    </dataValidation>
    <dataValidation type="list" allowBlank="1" showInputMessage="1" showErrorMessage="1" sqref="B7" xr:uid="{00000000-0002-0000-0300-000001000000}">
      <formula1>$O$14:$O$16</formula1>
    </dataValidation>
    <dataValidation type="list" allowBlank="1" showInputMessage="1" showErrorMessage="1" sqref="B6" xr:uid="{00000000-0002-0000-0300-000002000000}">
      <formula1>$G$14:$G$15</formula1>
    </dataValidation>
    <dataValidation type="list" allowBlank="1" showInputMessage="1" showErrorMessage="1" sqref="B10" xr:uid="{00000000-0002-0000-0300-000003000000}">
      <formula1>$N$14:$N$15</formula1>
    </dataValidation>
    <dataValidation type="list" allowBlank="1" showInputMessage="1" showErrorMessage="1" sqref="B9" xr:uid="{00000000-0002-0000-0300-000004000000}">
      <formula1>$H$14:$H$16</formula1>
    </dataValidation>
    <dataValidation type="list" allowBlank="1" showInputMessage="1" showErrorMessage="1" sqref="B8" xr:uid="{00000000-0002-0000-0300-000005000000}">
      <formula1>$I$14:$I$16</formula1>
    </dataValidation>
    <dataValidation type="list" allowBlank="1" showInputMessage="1" showErrorMessage="1" sqref="B5" xr:uid="{00000000-0002-0000-0300-000006000000}">
      <formula1>$J$14:$J$24</formula1>
    </dataValidation>
    <dataValidation type="list" allowBlank="1" showInputMessage="1" showErrorMessage="1" sqref="K14:K15" xr:uid="{00000000-0002-0000-0300-000007000000}">
      <formula1>$M$82:$M$83</formula1>
    </dataValidation>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6" tint="0.39997558519241921"/>
  </sheetPr>
  <dimension ref="A1:Q59"/>
  <sheetViews>
    <sheetView view="pageBreakPreview" zoomScaleNormal="100" zoomScaleSheetLayoutView="100" workbookViewId="0">
      <selection activeCell="E31" sqref="E31"/>
    </sheetView>
  </sheetViews>
  <sheetFormatPr defaultColWidth="8.7109375" defaultRowHeight="12.75" customHeight="1"/>
  <cols>
    <col min="1" max="2" width="13" customWidth="1"/>
    <col min="3" max="3" width="25.85546875" customWidth="1"/>
    <col min="4" max="4" width="15.140625" customWidth="1"/>
    <col min="5" max="5" width="8" customWidth="1"/>
    <col min="6" max="6" width="11.28515625" customWidth="1"/>
    <col min="7" max="7" width="13" customWidth="1"/>
    <col min="8" max="8" width="9.140625" customWidth="1"/>
    <col min="9" max="13" width="8.7109375" style="1698"/>
    <col min="14" max="17" width="8.7109375" style="207"/>
  </cols>
  <sheetData>
    <row r="1" spans="1:17" ht="24" customHeight="1">
      <c r="A1" s="46"/>
      <c r="B1" s="1233"/>
      <c r="C1" s="1236"/>
      <c r="D1" s="2112" t="s">
        <v>20148</v>
      </c>
      <c r="E1" s="2113"/>
      <c r="F1" s="2113"/>
      <c r="G1" s="2113"/>
    </row>
    <row r="2" spans="1:17" s="1200" customFormat="1" ht="12" customHeight="1">
      <c r="A2" s="1217" t="s">
        <v>20141</v>
      </c>
      <c r="B2" s="73"/>
      <c r="C2" s="1234"/>
      <c r="D2" s="1235"/>
      <c r="E2" s="2114">
        <f ca="1">TODAY()</f>
        <v>43287</v>
      </c>
      <c r="F2" s="2114"/>
      <c r="G2" s="2114"/>
      <c r="I2" s="1698"/>
      <c r="J2" s="1698"/>
      <c r="K2" s="1698"/>
      <c r="L2" s="1698"/>
      <c r="M2" s="1698"/>
      <c r="N2" s="207"/>
      <c r="O2" s="207"/>
      <c r="P2" s="207"/>
      <c r="Q2" s="207"/>
    </row>
    <row r="3" spans="1:17" s="73" customFormat="1" ht="12" customHeight="1">
      <c r="A3" s="1217" t="s">
        <v>133</v>
      </c>
      <c r="D3" s="1231"/>
      <c r="E3" s="1232"/>
      <c r="F3" s="1232"/>
      <c r="G3" s="1232"/>
      <c r="I3" s="1699"/>
      <c r="J3" s="1699"/>
      <c r="K3" s="1699"/>
      <c r="L3" s="1699"/>
      <c r="M3" s="1699"/>
      <c r="N3" s="1654"/>
      <c r="O3" s="1654"/>
      <c r="P3" s="1654"/>
      <c r="Q3" s="1654"/>
    </row>
    <row r="4" spans="1:17" s="73" customFormat="1" ht="12" customHeight="1">
      <c r="A4" s="1217" t="s">
        <v>96</v>
      </c>
      <c r="D4" s="1217"/>
      <c r="E4" s="1232"/>
      <c r="F4" s="1232"/>
      <c r="G4" s="1232"/>
      <c r="I4" s="1699"/>
      <c r="J4" s="1699"/>
      <c r="K4" s="1699"/>
      <c r="L4" s="1699"/>
      <c r="M4" s="1699"/>
      <c r="N4" s="1654"/>
      <c r="O4" s="1654"/>
      <c r="P4" s="1654"/>
      <c r="Q4" s="1654"/>
    </row>
    <row r="5" spans="1:17" s="73" customFormat="1" ht="12" customHeight="1">
      <c r="A5" s="2115" t="s">
        <v>75</v>
      </c>
      <c r="B5" s="2116"/>
      <c r="D5" s="1217"/>
      <c r="E5" s="1232"/>
      <c r="F5" s="1232"/>
      <c r="G5" s="1232"/>
      <c r="I5" s="1699"/>
      <c r="J5" s="1699"/>
      <c r="K5" s="1699"/>
      <c r="L5" s="1699"/>
      <c r="M5" s="1699"/>
      <c r="N5" s="1654"/>
      <c r="O5" s="1654"/>
      <c r="P5" s="1654"/>
      <c r="Q5" s="1654"/>
    </row>
    <row r="6" spans="1:17" s="73" customFormat="1" ht="11.25" customHeight="1">
      <c r="D6" s="1217"/>
      <c r="E6" s="1231"/>
      <c r="F6" s="1231"/>
      <c r="G6" s="1231"/>
      <c r="H6" s="1654"/>
      <c r="I6" s="1699"/>
      <c r="J6" s="1699"/>
      <c r="K6" s="1699"/>
      <c r="L6" s="1699"/>
      <c r="M6" s="1699"/>
      <c r="N6" s="1654"/>
      <c r="O6" s="1654"/>
      <c r="P6" s="1654"/>
      <c r="Q6" s="1654"/>
    </row>
    <row r="7" spans="1:17" s="1164" customFormat="1">
      <c r="A7" s="1165"/>
      <c r="C7" s="1200"/>
      <c r="D7" s="1199"/>
      <c r="E7" s="1199"/>
      <c r="F7" s="1199"/>
      <c r="G7" s="1199"/>
      <c r="H7" s="207"/>
      <c r="I7" s="1698"/>
      <c r="J7" s="1698"/>
      <c r="K7" s="1698"/>
      <c r="L7" s="1698"/>
      <c r="M7" s="1698"/>
      <c r="N7" s="207"/>
      <c r="O7" s="207"/>
      <c r="P7" s="207"/>
      <c r="Q7" s="207"/>
    </row>
    <row r="8" spans="1:17" ht="12.75" customHeight="1">
      <c r="A8" s="1221" t="s">
        <v>113</v>
      </c>
      <c r="B8" s="2109" t="s">
        <v>108</v>
      </c>
      <c r="C8" s="2110"/>
      <c r="D8" s="2111" t="s">
        <v>31</v>
      </c>
      <c r="E8" s="2110"/>
      <c r="F8" s="2111" t="s">
        <v>85</v>
      </c>
      <c r="G8" s="2111"/>
      <c r="H8" s="207"/>
    </row>
    <row r="9" spans="1:17" ht="12.75" customHeight="1">
      <c r="A9" s="1222" t="str">
        <f>'1-Eng Inputs'!C5</f>
        <v xml:space="preserve">Robert Strishock </v>
      </c>
      <c r="B9" s="2100" t="str">
        <f>'1-Eng Inputs'!C8</f>
        <v>Patagonia Reno</v>
      </c>
      <c r="C9" s="2101"/>
      <c r="D9" s="2100" t="s">
        <v>109</v>
      </c>
      <c r="E9" s="2101"/>
      <c r="F9" s="2100" t="s">
        <v>62</v>
      </c>
      <c r="G9" s="2100"/>
      <c r="H9" s="207"/>
    </row>
    <row r="10" spans="1:17" ht="6" customHeight="1">
      <c r="H10" s="207"/>
    </row>
    <row r="11" spans="1:17" s="1164" customFormat="1" ht="9" customHeight="1">
      <c r="A11" s="2108" t="s">
        <v>20142</v>
      </c>
      <c r="B11" s="2108"/>
      <c r="C11" s="2108"/>
      <c r="D11" s="2108"/>
      <c r="E11" s="2108"/>
      <c r="F11" s="2108"/>
      <c r="G11" s="2108"/>
      <c r="H11" s="207"/>
      <c r="I11" s="1698"/>
      <c r="J11" s="1698"/>
      <c r="K11" s="1698"/>
      <c r="L11" s="1698"/>
      <c r="M11" s="1698"/>
      <c r="N11" s="207"/>
      <c r="O11" s="207"/>
      <c r="P11" s="207"/>
      <c r="Q11" s="207"/>
    </row>
    <row r="12" spans="1:17" ht="12.75" customHeight="1">
      <c r="A12" s="1218" t="s">
        <v>20121</v>
      </c>
      <c r="B12" s="2105" t="s">
        <v>20122</v>
      </c>
      <c r="C12" s="2105"/>
      <c r="D12" s="1218" t="s">
        <v>20123</v>
      </c>
      <c r="E12" s="2105" t="s">
        <v>20124</v>
      </c>
      <c r="F12" s="2105"/>
      <c r="G12" s="1218" t="s">
        <v>20125</v>
      </c>
      <c r="H12" s="1655"/>
      <c r="J12" s="1700" t="s">
        <v>20109</v>
      </c>
    </row>
    <row r="13" spans="1:17">
      <c r="A13" s="1219">
        <f>'1-Eng Inputs'!C23</f>
        <v>208</v>
      </c>
      <c r="B13" s="2106" t="str">
        <f>K13&amp;" - "&amp;M13</f>
        <v>EcoFoot 2+ - Landscape</v>
      </c>
      <c r="C13" s="2106"/>
      <c r="D13" s="1220">
        <f>'1-Eng Inputs'!C28</f>
        <v>140</v>
      </c>
      <c r="E13" s="2107">
        <f>'1-Eng Inputs'!C27</f>
        <v>20</v>
      </c>
      <c r="F13" s="2107"/>
      <c r="G13" s="1220">
        <f>'1-Eng Inputs'!C35</f>
        <v>2010</v>
      </c>
      <c r="H13" s="1655"/>
      <c r="J13" s="1701" t="s">
        <v>19349</v>
      </c>
      <c r="K13" s="1698" t="str">
        <f>'1-Eng Inputs'!C3</f>
        <v>EcoFoot 2+</v>
      </c>
      <c r="M13" s="1698" t="str">
        <f>'1-Eng Inputs'!C37</f>
        <v>Landscape</v>
      </c>
    </row>
    <row r="14" spans="1:17" s="1200" customFormat="1">
      <c r="A14" s="1213"/>
      <c r="B14" s="1214"/>
      <c r="C14" s="1214"/>
      <c r="D14" s="1215"/>
      <c r="E14" s="1215"/>
      <c r="F14" s="1215"/>
      <c r="G14" s="1215"/>
      <c r="H14" s="1655"/>
      <c r="I14" s="1698"/>
      <c r="J14" s="1701"/>
      <c r="K14" s="1698"/>
      <c r="L14" s="1698"/>
      <c r="M14" s="1698"/>
      <c r="N14" s="207"/>
      <c r="O14" s="207"/>
      <c r="P14" s="207"/>
      <c r="Q14" s="207"/>
    </row>
    <row r="15" spans="1:17" s="1200" customFormat="1">
      <c r="A15" s="1213"/>
      <c r="B15" s="1214"/>
      <c r="C15" s="1214"/>
      <c r="D15" s="1215"/>
      <c r="E15" s="1215"/>
      <c r="F15" s="1215"/>
      <c r="G15" s="1215"/>
      <c r="H15" s="1655"/>
      <c r="I15" s="1698"/>
      <c r="J15" s="1701"/>
      <c r="K15" s="1698"/>
      <c r="L15" s="1698"/>
      <c r="M15" s="1698"/>
      <c r="N15" s="207"/>
      <c r="O15" s="207"/>
      <c r="P15" s="207"/>
      <c r="Q15" s="207"/>
    </row>
    <row r="16" spans="1:17">
      <c r="A16" s="1216"/>
      <c r="B16" s="1216"/>
      <c r="C16" s="1216"/>
      <c r="D16" s="1216"/>
      <c r="E16" s="1216"/>
      <c r="F16" s="1216"/>
      <c r="G16" s="1216"/>
      <c r="H16" s="207"/>
    </row>
    <row r="17" spans="1:13" s="1206" customFormat="1" ht="12">
      <c r="A17" s="2099" t="s">
        <v>20139</v>
      </c>
      <c r="B17" s="2099"/>
      <c r="C17" s="2099"/>
      <c r="D17" s="2099"/>
      <c r="E17" s="2099"/>
      <c r="F17" s="2099"/>
      <c r="G17" s="2099"/>
      <c r="I17" s="1702"/>
      <c r="J17" s="1703" t="s">
        <v>20112</v>
      </c>
      <c r="K17" s="1704" t="s">
        <v>20110</v>
      </c>
      <c r="L17" s="1704" t="s">
        <v>19725</v>
      </c>
      <c r="M17" s="1704" t="s">
        <v>20111</v>
      </c>
    </row>
    <row r="18" spans="1:13" s="1206" customFormat="1" ht="13.15" customHeight="1">
      <c r="A18" s="2098" t="s">
        <v>135</v>
      </c>
      <c r="B18" s="2097"/>
      <c r="C18" s="2096" t="s">
        <v>105</v>
      </c>
      <c r="D18" s="2097"/>
      <c r="E18" s="1223" t="s">
        <v>112</v>
      </c>
      <c r="F18" s="1224" t="s">
        <v>30</v>
      </c>
      <c r="G18" s="1224" t="s">
        <v>74</v>
      </c>
      <c r="H18" s="1656"/>
      <c r="I18" s="1702"/>
      <c r="J18" s="1703" t="s">
        <v>20114</v>
      </c>
      <c r="K18" s="1702">
        <f>AVERAGE('Land Matrix 10deg (lift)'!F11:P36)</f>
        <v>3.9444444444444446</v>
      </c>
      <c r="L18" s="1702">
        <f>AVERAGE('Port Matrix (lift)'!F11:V36)</f>
        <v>4.8518518518518521</v>
      </c>
      <c r="M18" s="1702">
        <f>AVERAGE('Land Matrix 5deg (lift)'!F11:N36)</f>
        <v>8.1333333333333329</v>
      </c>
    </row>
    <row r="19" spans="1:13" s="1206" customFormat="1" ht="12.75" customHeight="1">
      <c r="A19" s="2102" t="str">
        <f>IF($K$13="EcoFoot 5D",'2-Inputs'!$C$18,'2-Inputs'!$C$8)</f>
        <v>ECO-002_207</v>
      </c>
      <c r="B19" s="2103"/>
      <c r="C19" s="2102" t="str">
        <f>IF($K$13="EcoFoot 5D",'2-Inputs'!$B$18,'2-Inputs'!$B$8)</f>
        <v>EcoFoot2+ Base</v>
      </c>
      <c r="D19" s="2103"/>
      <c r="E19" s="1207">
        <f>ROUNDUP($A$13*1.2,0)</f>
        <v>250</v>
      </c>
      <c r="F19" s="1208">
        <f>IF($K$13="EcoFoot 5D",'2-Inputs'!$E$18,'2-Inputs'!$E$8)</f>
        <v>18.47</v>
      </c>
      <c r="G19" s="1208">
        <f>E19*F19</f>
        <v>4617.5</v>
      </c>
      <c r="H19" s="1656"/>
      <c r="I19" s="1702"/>
      <c r="J19" s="1703" t="s">
        <v>20115</v>
      </c>
      <c r="K19" s="1702">
        <f>AVERAGE('Land Matrix 10deg (lift)'!F41:P51,'Land Matrix 10deg (lift)'!F77:L102)</f>
        <v>3.95</v>
      </c>
      <c r="L19" s="1702">
        <f>AVERAGE('Port Matrix (lift)'!F41:V51,'Port Matrix (lift)'!F77:L102)</f>
        <v>4.8194444444444446</v>
      </c>
      <c r="M19" s="1702">
        <f>AVERAGE('Land Matrix 5deg (lift)'!F41:N51,'Land Matrix 5deg (lift)'!F77:J102)</f>
        <v>10.212765957446809</v>
      </c>
    </row>
    <row r="20" spans="1:13" s="1206" customFormat="1" ht="12.75" customHeight="1">
      <c r="A20" s="2090" t="str">
        <f>'2-Inputs'!$C$11</f>
        <v>ES10466</v>
      </c>
      <c r="B20" s="2091"/>
      <c r="C20" s="2090" t="str">
        <f>'2-Inputs'!$B$11</f>
        <v>EcoFoot Universal Clamp Kit</v>
      </c>
      <c r="D20" s="2091"/>
      <c r="E20" s="1209">
        <f>ROUNDUP($A$13*1.15,0)</f>
        <v>240</v>
      </c>
      <c r="F20" s="1210">
        <f>'2-Inputs'!$E$11</f>
        <v>17.09</v>
      </c>
      <c r="G20" s="1210">
        <f>E20*F20</f>
        <v>4101.6000000000004</v>
      </c>
      <c r="H20" s="1656"/>
      <c r="I20" s="1702"/>
      <c r="J20" s="1703" t="s">
        <v>20116</v>
      </c>
      <c r="K20" s="1702">
        <f>AVERAGE('Land Matrix 10deg (lift)'!F56:P63,'Land Matrix 10deg (lift)'!F107:J132)</f>
        <v>4.0222222222222221</v>
      </c>
      <c r="L20" s="1702">
        <f>AVERAGE('Port Matrix (lift)'!F56:V63,'Port Matrix (lift)'!F107:J132)</f>
        <v>4.5740740740740744</v>
      </c>
      <c r="M20" s="1702">
        <f>AVERAGE('Land Matrix 5deg (lift)'!F56:N63,'Land Matrix 5deg (lift)'!F107:H132)</f>
        <v>11.333333333333334</v>
      </c>
    </row>
    <row r="21" spans="1:13" s="1206" customFormat="1" ht="12">
      <c r="A21" s="2090" t="str">
        <f>IF($K$13="EcoFoot 5D",'2-Inputs'!$C$21,'2-Inputs'!$C$13)</f>
        <v>ECO-002_311C</v>
      </c>
      <c r="B21" s="2091"/>
      <c r="C21" s="2090" t="str">
        <f>IF($K$13="EcoFoot 5D",'2-Inputs'!$B$21,'2-Inputs'!$B$13)</f>
        <v>EcoFoot2+ 82'' Wind Deflector</v>
      </c>
      <c r="D21" s="2091"/>
      <c r="E21" s="1209">
        <f>$A$13</f>
        <v>208</v>
      </c>
      <c r="F21" s="1210">
        <f>IF($K$13="EcoFoot 5D",'2-Inputs'!$E$21,'2-Inputs'!$E$13)</f>
        <v>9.64</v>
      </c>
      <c r="G21" s="1210">
        <f>E21*F21</f>
        <v>2005.1200000000001</v>
      </c>
      <c r="H21" s="1656"/>
      <c r="I21" s="1702"/>
      <c r="J21" s="1702"/>
      <c r="K21" s="1702"/>
      <c r="L21" s="1702"/>
      <c r="M21" s="1702"/>
    </row>
    <row r="22" spans="1:13" s="1206" customFormat="1" ht="12.75" customHeight="1">
      <c r="A22" s="2090" t="str">
        <f>IF($K$13="EcoFoot 5D",'2-Inputs'!$C$22,"")</f>
        <v/>
      </c>
      <c r="B22" s="2091"/>
      <c r="C22" s="2090" t="str">
        <f>IF($K$13="EcoFoot 5D",'2-Inputs'!$B$22,"")</f>
        <v/>
      </c>
      <c r="D22" s="2091"/>
      <c r="E22" s="1209" t="str">
        <f>IF($K$13="EcoFoot 5D",ROUNDUP($A$13*1.1,0),"")</f>
        <v/>
      </c>
      <c r="F22" s="1210" t="str">
        <f>IF($K$13="EcoFoot 5D",'2-Inputs'!$E$22,"")</f>
        <v/>
      </c>
      <c r="G22" s="1210" t="str">
        <f>IF($K$13="EcoFoot 5D",F22*E22,"")</f>
        <v/>
      </c>
      <c r="H22" s="1656"/>
      <c r="I22" s="1702"/>
      <c r="J22" s="1703" t="s">
        <v>20113</v>
      </c>
      <c r="K22" s="1704" t="s">
        <v>20110</v>
      </c>
      <c r="L22" s="1704" t="s">
        <v>19725</v>
      </c>
      <c r="M22" s="1704" t="s">
        <v>20111</v>
      </c>
    </row>
    <row r="23" spans="1:13" s="1206" customFormat="1" ht="12">
      <c r="A23" s="2092" t="str">
        <f>IF($K$13="EcoFoot 5D",'2-Inputs'!$C$23,"")</f>
        <v/>
      </c>
      <c r="B23" s="2093"/>
      <c r="C23" s="2092" t="str">
        <f>IF($K$13="EcoFoot 5D",'2-Inputs'!$B$23,"")</f>
        <v/>
      </c>
      <c r="D23" s="2093"/>
      <c r="E23" s="1209" t="str">
        <f>IF($K$13="EcoFoot 5D",ROUNDUP($A$13*1.1,0),"")</f>
        <v/>
      </c>
      <c r="F23" s="1210" t="str">
        <f>IF($K$13="EcoFoot 5D",'2-Inputs'!$E$23,"")</f>
        <v/>
      </c>
      <c r="G23" s="1210" t="str">
        <f>IF($K$13="EcoFoot 5D",F23*E23,"")</f>
        <v/>
      </c>
      <c r="H23" s="1656"/>
      <c r="I23" s="1702"/>
      <c r="J23" s="1703" t="s">
        <v>20114</v>
      </c>
      <c r="K23" s="1702">
        <f>_xlfn.STDEV.P('Land Matrix 10deg (lift)'!F11:P36)</f>
        <v>0.52411006289203355</v>
      </c>
      <c r="L23" s="1702">
        <f>_xlfn.STDEV.P('Port Matrix (lift)'!F11:V36)</f>
        <v>0.64999736202904612</v>
      </c>
      <c r="M23" s="1702">
        <f>_xlfn.STDEV.P('Land Matrix 5deg (lift)'!F11:N36)</f>
        <v>1.2927146286443545</v>
      </c>
    </row>
    <row r="24" spans="1:13" s="1206" customFormat="1" ht="12.75" customHeight="1">
      <c r="A24" s="2094"/>
      <c r="B24" s="2095"/>
      <c r="C24" s="2094" t="s">
        <v>20126</v>
      </c>
      <c r="D24" s="2095"/>
      <c r="E24" s="1211">
        <f>ROUNDUP(E19*$K$34,-1)</f>
        <v>990</v>
      </c>
      <c r="F24" s="1212" t="s">
        <v>20127</v>
      </c>
      <c r="G24" s="1225" t="str">
        <f>E24&amp;" Blocks"</f>
        <v>990 Blocks</v>
      </c>
      <c r="H24" s="1656"/>
      <c r="I24" s="1702"/>
      <c r="J24" s="1703" t="s">
        <v>20115</v>
      </c>
      <c r="K24" s="1702">
        <f>_xlfn.STDEV.P('Land Matrix 10deg (lift)'!F41:P51,'Land Matrix 10deg (lift)'!F77:L102)</f>
        <v>0.69342146875715738</v>
      </c>
      <c r="L24" s="1702">
        <f>_xlfn.STDEV.P('Port Matrix (lift)'!F41:V51,'Port Matrix (lift)'!F77:L102)</f>
        <v>0.76967505569430061</v>
      </c>
      <c r="M24" s="1702">
        <f>_xlfn.STDEV.P('Land Matrix 5deg (lift)'!F41:N51,'Land Matrix 5deg (lift)'!F77:J102)</f>
        <v>1.832753656796428</v>
      </c>
    </row>
    <row r="25" spans="1:13" s="1206" customFormat="1" ht="12.75" customHeight="1">
      <c r="A25" s="2104" t="str">
        <f>"Total estimate for "&amp;$A$13&amp;" modules: "</f>
        <v xml:space="preserve">Total estimate for 208 modules: </v>
      </c>
      <c r="B25" s="2104"/>
      <c r="C25" s="2104"/>
      <c r="D25" s="2104"/>
      <c r="E25" s="2104"/>
      <c r="F25" s="2104"/>
      <c r="G25" s="1226">
        <f>SUM(G19:G23)</f>
        <v>10724.220000000001</v>
      </c>
      <c r="H25" s="1656"/>
      <c r="I25" s="1702"/>
      <c r="J25" s="1703" t="s">
        <v>20116</v>
      </c>
      <c r="K25" s="1702">
        <f>_xlfn.STDEV.P('Land Matrix 10deg (lift)'!F56:P63,'Land Matrix 10deg (lift)'!F107:J132)</f>
        <v>0.80246533712301282</v>
      </c>
      <c r="L25" s="1702">
        <f>_xlfn.STDEV.P('Port Matrix (lift)'!F56:V63,'Port Matrix (lift)'!F107:J132)</f>
        <v>0.78414501332370856</v>
      </c>
      <c r="M25" s="1702">
        <f>_xlfn.STDEV.P('Land Matrix 5deg (lift)'!F56:N63,'Land Matrix 5deg (lift)'!F107:H132)</f>
        <v>2.1695784629901511</v>
      </c>
    </row>
    <row r="26" spans="1:13" s="1206" customFormat="1" ht="12.75" customHeight="1">
      <c r="A26" s="1227"/>
      <c r="B26" s="1227"/>
      <c r="C26" s="1227"/>
      <c r="D26" s="1227"/>
      <c r="E26" s="1227"/>
      <c r="F26" s="1227"/>
      <c r="G26" s="1228"/>
      <c r="H26" s="1656"/>
      <c r="I26" s="1702"/>
      <c r="J26" s="1703"/>
      <c r="K26" s="1702"/>
      <c r="L26" s="1702"/>
      <c r="M26" s="1702"/>
    </row>
    <row r="27" spans="1:13" s="1206" customFormat="1" ht="12.75" customHeight="1">
      <c r="H27" s="1657"/>
      <c r="I27" s="1702"/>
      <c r="J27" s="1702"/>
      <c r="K27" s="1702"/>
      <c r="L27" s="1702"/>
      <c r="M27" s="1702"/>
    </row>
    <row r="28" spans="1:13" s="1206" customFormat="1" ht="12.75" customHeight="1">
      <c r="H28" s="1657"/>
      <c r="I28" s="1702"/>
      <c r="J28" s="1703" t="s">
        <v>20117</v>
      </c>
      <c r="K28" s="1704" t="s">
        <v>20110</v>
      </c>
      <c r="L28" s="1704" t="s">
        <v>19725</v>
      </c>
      <c r="M28" s="1704" t="s">
        <v>20111</v>
      </c>
    </row>
    <row r="29" spans="1:13" s="1206" customFormat="1" ht="12.75" customHeight="1">
      <c r="A29" s="2099" t="s">
        <v>20128</v>
      </c>
      <c r="B29" s="2099"/>
      <c r="C29" s="2099"/>
      <c r="D29" s="2099"/>
      <c r="E29" s="2099"/>
      <c r="F29" s="2099"/>
      <c r="G29" s="2099"/>
      <c r="H29" s="1657"/>
      <c r="I29" s="1702"/>
      <c r="J29" s="1703" t="s">
        <v>20114</v>
      </c>
      <c r="K29" s="1702">
        <f t="shared" ref="K29:M31" si="0">K18+K23</f>
        <v>4.4685545073364779</v>
      </c>
      <c r="L29" s="1702">
        <f t="shared" si="0"/>
        <v>5.5018492138808979</v>
      </c>
      <c r="M29" s="1702">
        <f t="shared" si="0"/>
        <v>9.4260479619776874</v>
      </c>
    </row>
    <row r="30" spans="1:13" s="1206" customFormat="1" ht="12.75" customHeight="1">
      <c r="A30" s="2098" t="s">
        <v>135</v>
      </c>
      <c r="B30" s="2097"/>
      <c r="C30" s="2096" t="s">
        <v>105</v>
      </c>
      <c r="D30" s="2097"/>
      <c r="E30" s="1223" t="s">
        <v>112</v>
      </c>
      <c r="F30" s="1224" t="s">
        <v>30</v>
      </c>
      <c r="G30" s="1224" t="s">
        <v>74</v>
      </c>
      <c r="H30" s="1656"/>
      <c r="I30" s="1702"/>
      <c r="J30" s="1703" t="s">
        <v>20115</v>
      </c>
      <c r="K30" s="1702">
        <f t="shared" si="0"/>
        <v>4.6434214687571576</v>
      </c>
      <c r="L30" s="1702">
        <f t="shared" si="0"/>
        <v>5.5891195001387448</v>
      </c>
      <c r="M30" s="1702">
        <f t="shared" si="0"/>
        <v>12.045519614243236</v>
      </c>
    </row>
    <row r="31" spans="1:13" s="1206" customFormat="1" ht="12.75" customHeight="1">
      <c r="A31" s="2102" t="str">
        <f>IF($K$13="EcoFoot 5D",'2-Inputs'!$C$18,'2-Inputs'!$C$8)</f>
        <v>ECO-002_207</v>
      </c>
      <c r="B31" s="2103"/>
      <c r="C31" s="2102" t="str">
        <f>IF($K$13="EcoFoot 5D",'2-Inputs'!$B$18,'2-Inputs'!$B$8)</f>
        <v>EcoFoot2+ Base</v>
      </c>
      <c r="D31" s="2103"/>
      <c r="E31" s="1207">
        <f>ROUNDUP($A$13*1.4,0)</f>
        <v>292</v>
      </c>
      <c r="F31" s="1208">
        <f>IF($K$13="EcoFoot 5D",'2-Inputs'!$E$18,'2-Inputs'!$E$8)</f>
        <v>18.47</v>
      </c>
      <c r="G31" s="1208">
        <f>E31*F31</f>
        <v>5393.24</v>
      </c>
      <c r="H31" s="1656"/>
      <c r="I31" s="1702"/>
      <c r="J31" s="1703" t="s">
        <v>20116</v>
      </c>
      <c r="K31" s="1702">
        <f t="shared" si="0"/>
        <v>4.824687559345235</v>
      </c>
      <c r="L31" s="1702">
        <f t="shared" si="0"/>
        <v>5.3582190873977833</v>
      </c>
      <c r="M31" s="1702">
        <f t="shared" si="0"/>
        <v>13.502911796323485</v>
      </c>
    </row>
    <row r="32" spans="1:13" s="1206" customFormat="1" ht="12.75" customHeight="1">
      <c r="A32" s="2090" t="str">
        <f>'2-Inputs'!$C$11</f>
        <v>ES10466</v>
      </c>
      <c r="B32" s="2091"/>
      <c r="C32" s="2090" t="str">
        <f>'2-Inputs'!$B$11</f>
        <v>EcoFoot Universal Clamp Kit</v>
      </c>
      <c r="D32" s="2091"/>
      <c r="E32" s="1209">
        <f>ROUNDUP($A$13*1.3,0)</f>
        <v>271</v>
      </c>
      <c r="F32" s="1210">
        <f>'2-Inputs'!$E$11</f>
        <v>17.09</v>
      </c>
      <c r="G32" s="1210">
        <f>E32*F32</f>
        <v>4631.3900000000003</v>
      </c>
      <c r="H32" s="1656"/>
      <c r="I32" s="1702"/>
      <c r="J32" s="1702"/>
      <c r="K32" s="1702"/>
      <c r="L32" s="1702"/>
      <c r="M32" s="1702"/>
    </row>
    <row r="33" spans="1:13" s="1206" customFormat="1" ht="12.75" customHeight="1">
      <c r="A33" s="2090" t="str">
        <f>IF($K$13="EcoFoot 5D",'2-Inputs'!$C$21,'2-Inputs'!$C$13)</f>
        <v>ECO-002_311C</v>
      </c>
      <c r="B33" s="2091"/>
      <c r="C33" s="2090" t="str">
        <f>IF($K$13="EcoFoot 5D",'2-Inputs'!$B$21,'2-Inputs'!$B$13)</f>
        <v>EcoFoot2+ 82'' Wind Deflector</v>
      </c>
      <c r="D33" s="2091"/>
      <c r="E33" s="1209">
        <f>$A$13</f>
        <v>208</v>
      </c>
      <c r="F33" s="1210">
        <f>IF($K$13="EcoFoot 5D",'2-Inputs'!$E$21,'2-Inputs'!$E$13)</f>
        <v>9.64</v>
      </c>
      <c r="G33" s="1210">
        <f>E33*F33</f>
        <v>2005.1200000000001</v>
      </c>
      <c r="H33" s="1656"/>
      <c r="I33" s="1702"/>
      <c r="J33" s="1702"/>
      <c r="K33" s="1702"/>
      <c r="L33" s="1702"/>
      <c r="M33" s="1702"/>
    </row>
    <row r="34" spans="1:13" s="1206" customFormat="1" ht="12">
      <c r="A34" s="2090" t="str">
        <f>IF($K$13="EcoFoot 5D",'2-Inputs'!$C$22,"")</f>
        <v/>
      </c>
      <c r="B34" s="2091"/>
      <c r="C34" s="2090" t="str">
        <f>IF($K$13="EcoFoot 5D",'2-Inputs'!$B$22,"")</f>
        <v/>
      </c>
      <c r="D34" s="2091"/>
      <c r="E34" s="1209" t="str">
        <f>IF($K$13="EcoFoot 5D",ROUNDUP($A$13*1.15,0),"")</f>
        <v/>
      </c>
      <c r="F34" s="1210" t="str">
        <f>IF($K$13="EcoFoot 5D",'2-Inputs'!$E$22,"")</f>
        <v/>
      </c>
      <c r="G34" s="1210" t="str">
        <f>IF($K$13="EcoFoot 5D",F34*E34,"")</f>
        <v/>
      </c>
      <c r="H34" s="1656"/>
      <c r="I34" s="1702" t="s">
        <v>20118</v>
      </c>
      <c r="J34" s="1702"/>
      <c r="K34" s="1702">
        <f>IF($K$13="EcoFoot 5D",M18,IF($M$13="Landscape",K18,L18))</f>
        <v>3.9444444444444446</v>
      </c>
      <c r="L34" s="1702"/>
      <c r="M34" s="1702"/>
    </row>
    <row r="35" spans="1:13" s="1206" customFormat="1" ht="12">
      <c r="A35" s="2092" t="str">
        <f>IF($K$13="EcoFoot 5D",'2-Inputs'!$C$23,"")</f>
        <v/>
      </c>
      <c r="B35" s="2093"/>
      <c r="C35" s="2092" t="str">
        <f>IF($K$13="EcoFoot 5D",'2-Inputs'!$B$23,"")</f>
        <v/>
      </c>
      <c r="D35" s="2093"/>
      <c r="E35" s="1209" t="str">
        <f>IF($K$13="EcoFoot 5D",ROUNDUP($A$13*1.15,0),"")</f>
        <v/>
      </c>
      <c r="F35" s="1210" t="str">
        <f>IF($K$13="EcoFoot 5D",'2-Inputs'!$E$23,"")</f>
        <v/>
      </c>
      <c r="G35" s="1210" t="str">
        <f>IF($K$13="EcoFoot 5D",F35*E35,"")</f>
        <v/>
      </c>
      <c r="H35" s="1656"/>
      <c r="I35" s="1702" t="s">
        <v>20119</v>
      </c>
      <c r="J35" s="1702"/>
      <c r="K35" s="1702">
        <f>IF($K$13="EcoFoot 5D",M19,IF($M$13="Landscape",K19,L19))</f>
        <v>3.95</v>
      </c>
      <c r="L35" s="1702"/>
      <c r="M35" s="1702"/>
    </row>
    <row r="36" spans="1:13" s="1206" customFormat="1" ht="12.75" customHeight="1">
      <c r="A36" s="2094"/>
      <c r="B36" s="2095"/>
      <c r="C36" s="2094" t="s">
        <v>20126</v>
      </c>
      <c r="D36" s="2095"/>
      <c r="E36" s="1211">
        <f>ROUNDUP(E31*$K$35,-1)</f>
        <v>1160</v>
      </c>
      <c r="F36" s="1212" t="s">
        <v>20127</v>
      </c>
      <c r="G36" s="1225" t="str">
        <f>E36&amp;" Blocks"</f>
        <v>1160 Blocks</v>
      </c>
      <c r="H36" s="1656"/>
      <c r="I36" s="1702" t="s">
        <v>20120</v>
      </c>
      <c r="J36" s="1702"/>
      <c r="K36" s="1702">
        <f>IF($K$13="EcoFoot 5D",M20,IF($M$13="Landscape",K20,L20))</f>
        <v>4.0222222222222221</v>
      </c>
      <c r="L36" s="1702"/>
      <c r="M36" s="1702"/>
    </row>
    <row r="37" spans="1:13" s="1206" customFormat="1" ht="12">
      <c r="A37" s="2104" t="str">
        <f>"Total estimate for "&amp;$A$13&amp;" modules: "</f>
        <v xml:space="preserve">Total estimate for 208 modules: </v>
      </c>
      <c r="B37" s="2104"/>
      <c r="C37" s="2104"/>
      <c r="D37" s="2104"/>
      <c r="E37" s="2104"/>
      <c r="F37" s="2104"/>
      <c r="G37" s="1226">
        <f>SUM(G31:G35)</f>
        <v>12029.750000000002</v>
      </c>
      <c r="H37" s="1656"/>
      <c r="I37" s="1702"/>
      <c r="J37" s="1702"/>
      <c r="K37" s="1702"/>
      <c r="L37" s="1702"/>
      <c r="M37" s="1702"/>
    </row>
    <row r="38" spans="1:13" s="1206" customFormat="1" ht="12">
      <c r="A38" s="1227"/>
      <c r="B38" s="1227"/>
      <c r="C38" s="1227"/>
      <c r="D38" s="1227"/>
      <c r="E38" s="1227"/>
      <c r="F38" s="1227"/>
      <c r="G38" s="1228"/>
      <c r="H38" s="1656"/>
      <c r="I38" s="1702"/>
      <c r="J38" s="1702"/>
      <c r="K38" s="1702"/>
      <c r="L38" s="1702"/>
      <c r="M38" s="1702"/>
    </row>
    <row r="39" spans="1:13" s="1206" customFormat="1" ht="12">
      <c r="H39" s="1656"/>
      <c r="I39" s="1702"/>
      <c r="J39" s="1702"/>
      <c r="K39" s="1702"/>
      <c r="L39" s="1702"/>
      <c r="M39" s="1702"/>
    </row>
    <row r="40" spans="1:13" s="1206" customFormat="1" ht="12">
      <c r="H40" s="1656"/>
      <c r="I40" s="1702"/>
      <c r="J40" s="1702"/>
      <c r="K40" s="1702"/>
      <c r="L40" s="1702"/>
      <c r="M40" s="1702"/>
    </row>
    <row r="41" spans="1:13" s="1206" customFormat="1" ht="12.75" customHeight="1">
      <c r="A41" s="2099" t="s">
        <v>20129</v>
      </c>
      <c r="B41" s="2099"/>
      <c r="C41" s="2099"/>
      <c r="D41" s="2099"/>
      <c r="E41" s="2099"/>
      <c r="F41" s="2099"/>
      <c r="G41" s="2099"/>
      <c r="H41" s="1656"/>
      <c r="I41" s="1702"/>
      <c r="J41" s="1702"/>
      <c r="K41" s="1702"/>
      <c r="L41" s="1702"/>
      <c r="M41" s="1702"/>
    </row>
    <row r="42" spans="1:13" s="1206" customFormat="1" ht="12">
      <c r="A42" s="2098" t="s">
        <v>135</v>
      </c>
      <c r="B42" s="2097"/>
      <c r="C42" s="2096" t="s">
        <v>105</v>
      </c>
      <c r="D42" s="2097"/>
      <c r="E42" s="1223" t="s">
        <v>112</v>
      </c>
      <c r="F42" s="1224" t="s">
        <v>30</v>
      </c>
      <c r="G42" s="1224" t="s">
        <v>74</v>
      </c>
      <c r="I42" s="1702"/>
      <c r="J42" s="1702"/>
      <c r="K42" s="1702"/>
      <c r="L42" s="1702"/>
      <c r="M42" s="1702"/>
    </row>
    <row r="43" spans="1:13" s="1206" customFormat="1" ht="12.75" customHeight="1">
      <c r="A43" s="2102" t="str">
        <f>IF($K$13="EcoFoot 5D",'2-Inputs'!$C$18,'2-Inputs'!$C$8)</f>
        <v>ECO-002_207</v>
      </c>
      <c r="B43" s="2103"/>
      <c r="C43" s="2102" t="str">
        <f>IF($K$13="EcoFoot 5D",'2-Inputs'!$B$18,'2-Inputs'!$B$8)</f>
        <v>EcoFoot2+ Base</v>
      </c>
      <c r="D43" s="2103"/>
      <c r="E43" s="1207">
        <f>ROUNDUP($A$13*1.6,0)</f>
        <v>333</v>
      </c>
      <c r="F43" s="1208">
        <f>IF($K$13="EcoFoot 5D",'2-Inputs'!$E$18,'2-Inputs'!$E$8)</f>
        <v>18.47</v>
      </c>
      <c r="G43" s="1208">
        <f>E43*F43</f>
        <v>6150.5099999999993</v>
      </c>
      <c r="I43" s="1702"/>
      <c r="J43" s="1702"/>
      <c r="K43" s="1702"/>
      <c r="L43" s="1702"/>
      <c r="M43" s="1702"/>
    </row>
    <row r="44" spans="1:13" s="1206" customFormat="1" ht="12.75" customHeight="1">
      <c r="A44" s="2090" t="str">
        <f>'2-Inputs'!$C$11</f>
        <v>ES10466</v>
      </c>
      <c r="B44" s="2091"/>
      <c r="C44" s="2090" t="str">
        <f>'2-Inputs'!$B$11</f>
        <v>EcoFoot Universal Clamp Kit</v>
      </c>
      <c r="D44" s="2091"/>
      <c r="E44" s="1209">
        <f>ROUNDUP($A$13*1.4,0)</f>
        <v>292</v>
      </c>
      <c r="F44" s="1210">
        <f>'2-Inputs'!$E$11</f>
        <v>17.09</v>
      </c>
      <c r="G44" s="1210">
        <f>E44*F44</f>
        <v>4990.28</v>
      </c>
      <c r="I44" s="1702"/>
      <c r="J44" s="1702"/>
      <c r="K44" s="1702"/>
      <c r="L44" s="1702"/>
      <c r="M44" s="1702"/>
    </row>
    <row r="45" spans="1:13" s="1206" customFormat="1" ht="12.75" customHeight="1">
      <c r="A45" s="2090" t="str">
        <f>IF($K$13="EcoFoot 5D",'2-Inputs'!$C$21,'2-Inputs'!$C$13)</f>
        <v>ECO-002_311C</v>
      </c>
      <c r="B45" s="2091"/>
      <c r="C45" s="2090" t="str">
        <f>IF($K$13="EcoFoot 5D",'2-Inputs'!$B$21,'2-Inputs'!$B$13)</f>
        <v>EcoFoot2+ 82'' Wind Deflector</v>
      </c>
      <c r="D45" s="2091"/>
      <c r="E45" s="1209">
        <f>$A$13</f>
        <v>208</v>
      </c>
      <c r="F45" s="1210">
        <f>IF($K$13="EcoFoot 5D",'2-Inputs'!$E$21,'2-Inputs'!$E$13)</f>
        <v>9.64</v>
      </c>
      <c r="G45" s="1210">
        <f>E45*F45</f>
        <v>2005.1200000000001</v>
      </c>
      <c r="I45" s="1702"/>
      <c r="J45" s="1702"/>
      <c r="K45" s="1702"/>
      <c r="L45" s="1702"/>
      <c r="M45" s="1702"/>
    </row>
    <row r="46" spans="1:13" s="1206" customFormat="1" ht="12.75" customHeight="1">
      <c r="A46" s="2090" t="str">
        <f>IF($K$13="EcoFoot 5D",'2-Inputs'!$C$22,"")</f>
        <v/>
      </c>
      <c r="B46" s="2091"/>
      <c r="C46" s="2090" t="str">
        <f>IF($K$13="EcoFoot 5D",'2-Inputs'!$B$22,"")</f>
        <v/>
      </c>
      <c r="D46" s="2091"/>
      <c r="E46" s="1209" t="str">
        <f>IF($K$13="EcoFoot 5D",ROUNDUP($A$13*1.2,0),"")</f>
        <v/>
      </c>
      <c r="F46" s="1210" t="str">
        <f>IF($K$13="EcoFoot 5D",'2-Inputs'!$E$22,"")</f>
        <v/>
      </c>
      <c r="G46" s="1210" t="str">
        <f>IF($K$13="EcoFoot 5D",F46*E46,"")</f>
        <v/>
      </c>
      <c r="I46" s="1702"/>
      <c r="J46" s="1702"/>
      <c r="K46" s="1702"/>
      <c r="L46" s="1702"/>
      <c r="M46" s="1702"/>
    </row>
    <row r="47" spans="1:13" s="1206" customFormat="1" ht="12.75" customHeight="1">
      <c r="A47" s="2092" t="str">
        <f>IF($K$13="EcoFoot 5D",'2-Inputs'!$C$23,"")</f>
        <v/>
      </c>
      <c r="B47" s="2093"/>
      <c r="C47" s="2092" t="str">
        <f>IF($K$13="EcoFoot 5D",'2-Inputs'!$B$23,"")</f>
        <v/>
      </c>
      <c r="D47" s="2093"/>
      <c r="E47" s="1209" t="str">
        <f>IF($K$13="EcoFoot 5D",ROUNDUP($A$13*1.2,0),"")</f>
        <v/>
      </c>
      <c r="F47" s="1210" t="str">
        <f>IF($K$13="EcoFoot 5D",'2-Inputs'!$E$23,"")</f>
        <v/>
      </c>
      <c r="G47" s="1210" t="str">
        <f>IF($K$13="EcoFoot 5D",F47*E47,"")</f>
        <v/>
      </c>
      <c r="I47" s="1702"/>
      <c r="J47" s="1702"/>
      <c r="K47" s="1702"/>
      <c r="L47" s="1702"/>
      <c r="M47" s="1702"/>
    </row>
    <row r="48" spans="1:13" s="1206" customFormat="1" ht="12.75" customHeight="1">
      <c r="A48" s="2094"/>
      <c r="B48" s="2095"/>
      <c r="C48" s="2094" t="s">
        <v>20126</v>
      </c>
      <c r="D48" s="2095"/>
      <c r="E48" s="1211">
        <f>ROUNDUP(E43*$K$36,-1)</f>
        <v>1340</v>
      </c>
      <c r="F48" s="1212" t="s">
        <v>20127</v>
      </c>
      <c r="G48" s="1225" t="str">
        <f>E48&amp;" Blocks"</f>
        <v>1340 Blocks</v>
      </c>
      <c r="I48" s="1702"/>
      <c r="J48" s="1702"/>
      <c r="K48" s="1702"/>
      <c r="L48" s="1702"/>
      <c r="M48" s="1702"/>
    </row>
    <row r="49" spans="1:17" s="1206" customFormat="1" ht="12.75" customHeight="1">
      <c r="A49" s="2104" t="str">
        <f>"Total estimate for "&amp;$A$13&amp;" modules: "</f>
        <v xml:space="preserve">Total estimate for 208 modules: </v>
      </c>
      <c r="B49" s="2104"/>
      <c r="C49" s="2104"/>
      <c r="D49" s="2104"/>
      <c r="E49" s="2104"/>
      <c r="F49" s="2104"/>
      <c r="G49" s="1226">
        <f>SUM(G43:G47)</f>
        <v>13145.91</v>
      </c>
      <c r="I49" s="1702"/>
      <c r="J49" s="1702"/>
      <c r="K49" s="1702"/>
      <c r="L49" s="1702"/>
      <c r="M49" s="1702"/>
    </row>
    <row r="50" spans="1:17" s="1206" customFormat="1" ht="12.75" customHeight="1">
      <c r="A50" s="1227"/>
      <c r="B50" s="1227"/>
      <c r="C50" s="1227"/>
      <c r="D50" s="1227"/>
      <c r="E50" s="1227"/>
      <c r="F50" s="1227"/>
      <c r="G50" s="1228"/>
      <c r="I50" s="1702"/>
      <c r="J50" s="1702"/>
      <c r="K50" s="1702"/>
      <c r="L50" s="1702"/>
      <c r="M50" s="1702"/>
    </row>
    <row r="51" spans="1:17" s="1206" customFormat="1" ht="12.75" customHeight="1">
      <c r="A51" s="1227"/>
      <c r="B51" s="1227"/>
      <c r="C51" s="1227"/>
      <c r="D51" s="1227"/>
      <c r="E51" s="1227"/>
      <c r="F51" s="1227"/>
      <c r="G51" s="1228"/>
      <c r="I51" s="1702"/>
      <c r="J51" s="1702"/>
      <c r="K51" s="1702"/>
      <c r="L51" s="1702"/>
      <c r="M51" s="1702"/>
    </row>
    <row r="52" spans="1:17" s="752" customFormat="1" ht="12.75" customHeight="1">
      <c r="A52" s="37"/>
      <c r="B52" s="1201"/>
      <c r="C52" s="37"/>
      <c r="D52" s="1201"/>
      <c r="E52" s="1202"/>
      <c r="F52" s="1187"/>
      <c r="G52" s="1187"/>
      <c r="I52" s="1698"/>
      <c r="J52" s="1698"/>
      <c r="K52" s="1698"/>
      <c r="L52" s="1698"/>
      <c r="M52" s="1698"/>
      <c r="N52" s="207"/>
      <c r="O52" s="207"/>
      <c r="P52" s="207"/>
      <c r="Q52" s="207"/>
    </row>
    <row r="53" spans="1:17" ht="12.75" customHeight="1">
      <c r="A53" s="1230"/>
      <c r="B53" s="1229"/>
      <c r="C53" s="1230"/>
      <c r="D53" s="1229"/>
      <c r="E53" s="1203"/>
      <c r="F53" s="1203"/>
      <c r="G53" s="1204"/>
    </row>
    <row r="54" spans="1:17" ht="12.75" customHeight="1">
      <c r="A54" s="2119" t="s">
        <v>23</v>
      </c>
      <c r="B54" s="2119"/>
      <c r="C54" s="2119"/>
      <c r="D54" s="2119"/>
      <c r="E54" s="1205"/>
      <c r="F54" s="1190"/>
      <c r="G54" s="1191"/>
    </row>
    <row r="55" spans="1:17" ht="12.75" customHeight="1">
      <c r="A55" s="2117" t="s">
        <v>57</v>
      </c>
      <c r="B55" s="2117"/>
      <c r="C55" s="2117"/>
      <c r="D55" s="2117"/>
      <c r="E55" s="1183"/>
      <c r="F55" s="1185"/>
      <c r="G55" s="1188"/>
    </row>
    <row r="56" spans="1:17" ht="12.75" customHeight="1">
      <c r="A56" s="2117" t="s">
        <v>20137</v>
      </c>
      <c r="B56" s="2117"/>
      <c r="C56" s="2117"/>
      <c r="D56" s="2117"/>
      <c r="E56" s="1183"/>
      <c r="F56" s="1185"/>
      <c r="G56" s="1187"/>
    </row>
    <row r="57" spans="1:17" ht="12.75" customHeight="1">
      <c r="A57" s="2117" t="s">
        <v>20138</v>
      </c>
      <c r="B57" s="2117"/>
      <c r="C57" s="2117"/>
      <c r="D57" s="2117"/>
      <c r="E57" s="1184"/>
      <c r="F57" s="1186"/>
      <c r="G57" s="1189"/>
    </row>
    <row r="58" spans="1:17" ht="12.75" customHeight="1">
      <c r="A58" s="1164"/>
      <c r="B58" s="1164"/>
      <c r="C58" s="1164"/>
      <c r="D58" s="1164"/>
      <c r="E58" s="1164"/>
      <c r="F58" s="1164"/>
      <c r="G58" s="47"/>
    </row>
    <row r="59" spans="1:17" ht="12.75" customHeight="1">
      <c r="A59" s="2118"/>
      <c r="B59" s="2118"/>
      <c r="C59" s="2118"/>
      <c r="D59" s="2118"/>
      <c r="E59" s="2118"/>
      <c r="F59" s="2118"/>
      <c r="G59" s="2118"/>
    </row>
  </sheetData>
  <customSheetViews>
    <customSheetView guid="{F2CCAFB5-9C02-49AC-87E7-8695C5014AAE}" showPageBreaks="1" printArea="1">
      <selection activeCell="A3" sqref="A3:B3"/>
      <pageMargins left="0.25" right="0.25" top="0.75" bottom="0.75" header="0.3" footer="0.3"/>
      <pageSetup paperSize="9" orientation="portrait" horizontalDpi="300" verticalDpi="300" r:id="rId1"/>
      <headerFooter alignWithMargins="0"/>
    </customSheetView>
  </customSheetViews>
  <mergeCells count="67">
    <mergeCell ref="A45:B45"/>
    <mergeCell ref="A46:B46"/>
    <mergeCell ref="C31:D31"/>
    <mergeCell ref="A31:B31"/>
    <mergeCell ref="C36:D36"/>
    <mergeCell ref="C45:D45"/>
    <mergeCell ref="C46:D46"/>
    <mergeCell ref="C42:D42"/>
    <mergeCell ref="C43:D43"/>
    <mergeCell ref="C44:D44"/>
    <mergeCell ref="C35:D35"/>
    <mergeCell ref="A35:B35"/>
    <mergeCell ref="A36:B36"/>
    <mergeCell ref="A37:F37"/>
    <mergeCell ref="A42:B42"/>
    <mergeCell ref="A43:B43"/>
    <mergeCell ref="A47:B47"/>
    <mergeCell ref="A57:D57"/>
    <mergeCell ref="A59:G59"/>
    <mergeCell ref="A56:D56"/>
    <mergeCell ref="A54:D54"/>
    <mergeCell ref="A55:D55"/>
    <mergeCell ref="A49:F49"/>
    <mergeCell ref="A48:B48"/>
    <mergeCell ref="C48:D48"/>
    <mergeCell ref="C47:D47"/>
    <mergeCell ref="B8:C8"/>
    <mergeCell ref="D8:E8"/>
    <mergeCell ref="F8:G8"/>
    <mergeCell ref="F9:G9"/>
    <mergeCell ref="D1:G1"/>
    <mergeCell ref="E2:G2"/>
    <mergeCell ref="A5:B5"/>
    <mergeCell ref="E12:F12"/>
    <mergeCell ref="B12:C12"/>
    <mergeCell ref="B13:C13"/>
    <mergeCell ref="E13:F13"/>
    <mergeCell ref="A11:G11"/>
    <mergeCell ref="A18:B18"/>
    <mergeCell ref="C18:D18"/>
    <mergeCell ref="A17:G17"/>
    <mergeCell ref="A44:B44"/>
    <mergeCell ref="B9:C9"/>
    <mergeCell ref="D9:E9"/>
    <mergeCell ref="A41:G41"/>
    <mergeCell ref="A19:B19"/>
    <mergeCell ref="C19:D19"/>
    <mergeCell ref="A20:B20"/>
    <mergeCell ref="C20:D20"/>
    <mergeCell ref="A32:B32"/>
    <mergeCell ref="C32:D32"/>
    <mergeCell ref="A25:F25"/>
    <mergeCell ref="A29:G29"/>
    <mergeCell ref="A21:B21"/>
    <mergeCell ref="C34:D34"/>
    <mergeCell ref="A34:B34"/>
    <mergeCell ref="A22:B22"/>
    <mergeCell ref="C21:D21"/>
    <mergeCell ref="C22:D22"/>
    <mergeCell ref="C33:D33"/>
    <mergeCell ref="A33:B33"/>
    <mergeCell ref="A23:B23"/>
    <mergeCell ref="C23:D23"/>
    <mergeCell ref="A24:B24"/>
    <mergeCell ref="C24:D24"/>
    <mergeCell ref="C30:D30"/>
    <mergeCell ref="A30:B30"/>
  </mergeCells>
  <pageMargins left="0.7" right="0.7" top="0.75" bottom="0.75" header="0.3" footer="0.3"/>
  <pageSetup scale="91" orientation="portrait" horizontalDpi="300" verticalDpi="300" r:id="rId2"/>
  <headerFooter alignWithMargins="0">
    <oddFooter>&amp;LCreated &amp;D&amp;CEcoFoot® by Ecolibrium Solar®&amp;Rpage &amp;P of &amp;N</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997558519241921"/>
    <pageSetUpPr autoPageBreaks="0"/>
  </sheetPr>
  <dimension ref="A1:U1048575"/>
  <sheetViews>
    <sheetView showGridLines="0" zoomScaleNormal="100" workbookViewId="0">
      <selection activeCell="H18" sqref="H18"/>
    </sheetView>
  </sheetViews>
  <sheetFormatPr defaultColWidth="17.140625" defaultRowHeight="12.75" customHeight="1"/>
  <cols>
    <col min="1" max="1" width="0.7109375" style="1527" customWidth="1"/>
    <col min="2" max="2" width="49.5703125" customWidth="1"/>
    <col min="3" max="3" width="15.85546875" customWidth="1"/>
    <col min="4" max="4" width="10.85546875" style="259" bestFit="1" customWidth="1"/>
    <col min="5" max="5" width="9.140625" bestFit="1" customWidth="1"/>
    <col min="6" max="6" width="7.85546875" customWidth="1"/>
    <col min="7" max="7" width="12.28515625" customWidth="1"/>
    <col min="8" max="8" width="11.42578125" customWidth="1"/>
    <col min="9" max="9" width="11.28515625" bestFit="1" customWidth="1"/>
    <col min="10" max="10" width="10.42578125" bestFit="1" customWidth="1"/>
    <col min="11" max="26" width="10" customWidth="1"/>
    <col min="27" max="33" width="8.5703125" customWidth="1"/>
  </cols>
  <sheetData>
    <row r="1" spans="2:20" s="1527" customFormat="1" ht="3.75" customHeight="1">
      <c r="D1" s="259"/>
    </row>
    <row r="2" spans="2:20" s="1527" customFormat="1" ht="12.75" customHeight="1">
      <c r="B2" s="2131" t="s">
        <v>20149</v>
      </c>
      <c r="C2" s="2133" t="s">
        <v>19784</v>
      </c>
      <c r="D2" s="713" t="s">
        <v>19783</v>
      </c>
    </row>
    <row r="3" spans="2:20" ht="13.5" thickBot="1">
      <c r="B3" s="2132"/>
      <c r="C3" s="2134"/>
      <c r="D3" s="714" t="s">
        <v>19782</v>
      </c>
      <c r="E3" s="1519"/>
      <c r="F3" s="1519"/>
      <c r="G3" s="1519"/>
    </row>
    <row r="4" spans="2:20" ht="13.5" customHeight="1">
      <c r="B4" s="49" t="s">
        <v>82</v>
      </c>
      <c r="C4" s="1529" t="str">
        <f>'1-Eng Inputs'!C6</f>
        <v xml:space="preserve">CED greentech Denver </v>
      </c>
      <c r="D4" s="1608"/>
      <c r="E4" s="1528"/>
      <c r="F4" s="1528"/>
      <c r="G4" s="1652" t="s">
        <v>104</v>
      </c>
      <c r="I4" s="2129" t="s">
        <v>335</v>
      </c>
      <c r="J4" s="2129" t="s">
        <v>336</v>
      </c>
      <c r="K4" s="2122" t="s">
        <v>337</v>
      </c>
      <c r="L4" s="2123"/>
      <c r="M4" s="2129" t="s">
        <v>19511</v>
      </c>
      <c r="N4" s="2129" t="s">
        <v>20246</v>
      </c>
      <c r="O4" s="2122" t="s">
        <v>338</v>
      </c>
      <c r="P4" s="2123"/>
    </row>
    <row r="5" spans="2:20" ht="13.5" thickBot="1">
      <c r="B5" s="756" t="s">
        <v>108</v>
      </c>
      <c r="C5" s="25" t="str">
        <f>'1-Eng Inputs'!C8</f>
        <v>Patagonia Reno</v>
      </c>
      <c r="D5" s="1645"/>
      <c r="E5" s="4"/>
      <c r="F5" s="4"/>
      <c r="G5" s="1653">
        <v>0.6</v>
      </c>
      <c r="I5" s="2130"/>
      <c r="J5" s="2130"/>
      <c r="K5" s="2124"/>
      <c r="L5" s="2125"/>
      <c r="M5" s="2130"/>
      <c r="N5" s="2130"/>
      <c r="O5" s="2124"/>
      <c r="P5" s="2125"/>
    </row>
    <row r="6" spans="2:20" s="1527" customFormat="1" ht="21.75" customHeight="1">
      <c r="B6" s="1532"/>
      <c r="C6" s="1533"/>
      <c r="D6" s="1609"/>
      <c r="E6" s="1533"/>
      <c r="F6" s="1533"/>
      <c r="G6" s="1533"/>
      <c r="H6" s="1534"/>
      <c r="I6" s="182" t="s">
        <v>339</v>
      </c>
      <c r="J6" s="183">
        <v>0.65</v>
      </c>
      <c r="K6" s="2126" t="s">
        <v>340</v>
      </c>
      <c r="L6" s="2126"/>
      <c r="M6" s="182">
        <v>0</v>
      </c>
      <c r="N6" s="182"/>
      <c r="O6" s="2126" t="s">
        <v>342</v>
      </c>
      <c r="P6" s="2126"/>
      <c r="T6" s="1518"/>
    </row>
    <row r="7" spans="2:20" ht="15" customHeight="1">
      <c r="B7" s="1540" t="s">
        <v>409</v>
      </c>
      <c r="C7" s="1541" t="s">
        <v>410</v>
      </c>
      <c r="D7" s="1610" t="s">
        <v>20054</v>
      </c>
      <c r="E7" s="1542" t="s">
        <v>47</v>
      </c>
      <c r="F7" s="1543" t="s">
        <v>112</v>
      </c>
      <c r="G7" s="1544" t="s">
        <v>74</v>
      </c>
      <c r="H7" s="926"/>
      <c r="I7" s="184" t="s">
        <v>343</v>
      </c>
      <c r="J7" s="185">
        <v>0.6</v>
      </c>
      <c r="K7" s="2127" t="s">
        <v>344</v>
      </c>
      <c r="L7" s="2128"/>
      <c r="M7" s="184">
        <v>50</v>
      </c>
      <c r="N7" s="184"/>
      <c r="O7" s="2127" t="s">
        <v>345</v>
      </c>
      <c r="P7" s="2128"/>
    </row>
    <row r="8" spans="2:20" ht="15" customHeight="1">
      <c r="B8" s="1766" t="s">
        <v>20335</v>
      </c>
      <c r="C8" s="1545" t="s">
        <v>19951</v>
      </c>
      <c r="D8" s="1605">
        <v>30.78</v>
      </c>
      <c r="E8" s="1546">
        <f>ROUND(D8*$G$5,2)</f>
        <v>18.47</v>
      </c>
      <c r="F8" s="1547">
        <f>IF('2-Inputs'!$K$17="YES",L19,'IN-N-OUT'!E76)</f>
        <v>0</v>
      </c>
      <c r="G8" s="1548">
        <f>E8*F8</f>
        <v>0</v>
      </c>
      <c r="H8" s="47"/>
      <c r="I8" s="186" t="s">
        <v>346</v>
      </c>
      <c r="J8" s="187">
        <v>0.55000000000000004</v>
      </c>
      <c r="K8" s="2121" t="s">
        <v>347</v>
      </c>
      <c r="L8" s="2121"/>
      <c r="M8" s="186">
        <v>100</v>
      </c>
      <c r="N8" s="186"/>
      <c r="O8" s="2121" t="s">
        <v>348</v>
      </c>
      <c r="P8" s="2121"/>
    </row>
    <row r="9" spans="2:20" ht="15" customHeight="1">
      <c r="B9" s="1766" t="s">
        <v>20337</v>
      </c>
      <c r="C9" s="1545" t="s">
        <v>19949</v>
      </c>
      <c r="D9" s="1605">
        <v>35.71</v>
      </c>
      <c r="E9" s="1546">
        <f t="shared" ref="E9:E16" si="0">ROUND(D9*$G$5,2)</f>
        <v>21.43</v>
      </c>
      <c r="F9" s="1547">
        <f>'IN-N-OUT'!E77</f>
        <v>0</v>
      </c>
      <c r="G9" s="1548">
        <f>E9*F9</f>
        <v>0</v>
      </c>
      <c r="H9" s="47"/>
      <c r="I9" s="188" t="s">
        <v>349</v>
      </c>
      <c r="J9" s="189">
        <v>0.5</v>
      </c>
      <c r="K9" s="2120" t="s">
        <v>350</v>
      </c>
      <c r="L9" s="2120"/>
      <c r="M9" s="188">
        <v>250</v>
      </c>
      <c r="N9" s="188"/>
      <c r="O9" s="2120" t="s">
        <v>351</v>
      </c>
      <c r="P9" s="2120"/>
    </row>
    <row r="10" spans="2:20" s="1527" customFormat="1" ht="15" customHeight="1">
      <c r="B10" s="1766" t="s">
        <v>20338</v>
      </c>
      <c r="C10" s="1545" t="s">
        <v>19950</v>
      </c>
      <c r="D10" s="1605">
        <v>42.38</v>
      </c>
      <c r="E10" s="1546">
        <f t="shared" si="0"/>
        <v>25.43</v>
      </c>
      <c r="F10" s="1547">
        <f>'IN-N-OUT'!E78</f>
        <v>0</v>
      </c>
      <c r="G10" s="1548">
        <f t="shared" ref="G10:G16" si="1">E10*F10</f>
        <v>0</v>
      </c>
      <c r="H10" s="47"/>
      <c r="I10" s="186" t="s">
        <v>60</v>
      </c>
      <c r="J10" s="190">
        <v>0.47499999999999998</v>
      </c>
      <c r="K10" s="2121" t="s">
        <v>352</v>
      </c>
      <c r="L10" s="2121"/>
      <c r="M10" s="186">
        <v>500</v>
      </c>
      <c r="N10" s="186">
        <v>5000</v>
      </c>
      <c r="O10" s="2121" t="s">
        <v>353</v>
      </c>
      <c r="P10" s="2121"/>
    </row>
    <row r="11" spans="2:20" s="1527" customFormat="1" ht="15" customHeight="1">
      <c r="B11" s="1766" t="s">
        <v>20336</v>
      </c>
      <c r="C11" s="1545" t="s">
        <v>20231</v>
      </c>
      <c r="D11" s="1605">
        <v>28.48</v>
      </c>
      <c r="E11" s="1546">
        <f t="shared" si="0"/>
        <v>17.09</v>
      </c>
      <c r="F11" s="1547">
        <f>IF('2-Inputs'!$K$17="YES",L20,IF('1-Eng Inputs'!C3="EcoFoot2+",'IN-N-OUT'!E79,0))</f>
        <v>0</v>
      </c>
      <c r="G11" s="1548">
        <f t="shared" si="1"/>
        <v>0</v>
      </c>
      <c r="H11" s="47"/>
      <c r="I11" s="188" t="s">
        <v>29</v>
      </c>
      <c r="J11" s="191">
        <v>0.45</v>
      </c>
      <c r="K11" s="2120" t="s">
        <v>354</v>
      </c>
      <c r="L11" s="2120"/>
      <c r="M11" s="188">
        <v>1000</v>
      </c>
      <c r="N11" s="188">
        <v>10000</v>
      </c>
      <c r="O11" s="2120" t="s">
        <v>355</v>
      </c>
      <c r="P11" s="2120"/>
    </row>
    <row r="12" spans="2:20" s="1527" customFormat="1" ht="15" customHeight="1">
      <c r="B12" s="1766" t="s">
        <v>20339</v>
      </c>
      <c r="C12" s="1545" t="s">
        <v>20232</v>
      </c>
      <c r="D12" s="1605">
        <v>41.03</v>
      </c>
      <c r="E12" s="1546">
        <f>ROUND(D12*$G$5,2)</f>
        <v>24.62</v>
      </c>
      <c r="F12" s="1547">
        <f>IF('1-Eng Inputs'!C3="EcoFoot2+",'IN-N-OUT'!E80,0)</f>
        <v>0</v>
      </c>
      <c r="G12" s="1548">
        <f>E12*F12</f>
        <v>0</v>
      </c>
      <c r="H12" s="47"/>
      <c r="I12" s="192" t="s">
        <v>58</v>
      </c>
      <c r="J12" s="190">
        <v>0.42499999999999999</v>
      </c>
      <c r="K12" s="2121" t="s">
        <v>356</v>
      </c>
      <c r="L12" s="2121"/>
      <c r="M12" s="192">
        <v>1500</v>
      </c>
      <c r="N12" s="192">
        <v>15000</v>
      </c>
      <c r="O12" s="2121" t="s">
        <v>355</v>
      </c>
      <c r="P12" s="2121"/>
    </row>
    <row r="13" spans="2:20" s="1527" customFormat="1" ht="15" customHeight="1">
      <c r="B13" s="1571" t="str">
        <f>IF($K$17="YES","EcoFoot2+ 82'' Wind Deflector",IF(G72="NO",IF('1-Eng Inputs'!$C$37="Landscape",IF(MAX('1-Eng Inputs'!$C$18,'1-Eng Inputs'!$C$19)&lt;68,"EcoFoot2+ 70'' Wind Deflector",IF(MAX('1-Eng Inputs'!$C$18,'1-Eng Inputs'!$C$19)&gt;81,"EcoFoot2+ 86'' Wind Deflector","EcoFoot2+ 82'' Wind Deflector")),"EcoFoot2+ 44'' Wind Deflector"),IF('1-Eng Inputs'!$C$37="Landscape",IF(MAX('1-Eng Inputs'!$C$18,'1-Eng Inputs'!$C$19)&lt;68,"EcoFoot2+ 70'' Wind Deflector, Aluminum","EcoFoot2+ 82'' Wind Deflector, Aluminum"),"EcoFoot2+ 44'' Wind Deflector, Aluminum")))</f>
        <v>EcoFoot2+ 82'' Wind Deflector</v>
      </c>
      <c r="C13" s="1560" t="str">
        <f>IF($K$17="YES","ECO-002_311C",IF(G72="NO",IF('1-Eng Inputs'!$C$37="Landscape",IF(MAX('1-Eng Inputs'!$C$18,'1-Eng Inputs'!$C$19)&lt;68,"ECO-002_311B",IF(MAX('1-Eng Inputs'!$C$18,'1-Eng Inputs'!$C$19)&gt;81,"ECO-002_311H","ECO-002_311C")),"ECO-002_311A"),IF('1-Eng Inputs'!$C$37="Landscape",IF(MAX('1-Eng Inputs'!$C$18,'1-Eng Inputs'!$C$19)&lt;68,"ECO-002_311E","ECO-002_311F"),"ECO-002_311D")))</f>
        <v>ECO-002_311C</v>
      </c>
      <c r="D13" s="1617">
        <f>VLOOKUP(C13,'IN-N-OUT'!A81:C87,3)</f>
        <v>16.07</v>
      </c>
      <c r="E13" s="1546">
        <f>ROUND(D13*$G$5,2)</f>
        <v>9.64</v>
      </c>
      <c r="F13" s="1547" t="str">
        <f>IF('2-Inputs'!$K$17="YES",L21,VLOOKUP('2-Inputs'!C13,'IN-N-OUT'!A81:F87,5))</f>
        <v>0</v>
      </c>
      <c r="G13" s="1548">
        <f>E13*F13</f>
        <v>0</v>
      </c>
      <c r="H13" s="47"/>
      <c r="I13" s="188" t="s">
        <v>16</v>
      </c>
      <c r="J13" s="189">
        <v>0.4</v>
      </c>
      <c r="K13" s="2120" t="s">
        <v>357</v>
      </c>
      <c r="L13" s="2120"/>
      <c r="M13" s="188">
        <v>2000</v>
      </c>
      <c r="N13" s="188">
        <v>20000</v>
      </c>
      <c r="O13" s="2120" t="s">
        <v>355</v>
      </c>
      <c r="P13" s="2120"/>
    </row>
    <row r="14" spans="2:20" s="1527" customFormat="1" ht="15" customHeight="1">
      <c r="B14" s="1590" t="s">
        <v>19809</v>
      </c>
      <c r="C14" s="1545" t="s">
        <v>19810</v>
      </c>
      <c r="D14" s="1605">
        <v>5.17</v>
      </c>
      <c r="E14" s="1546">
        <f t="shared" si="0"/>
        <v>3.1</v>
      </c>
      <c r="F14" s="1547">
        <f>'IN-N-OUT'!E88</f>
        <v>0</v>
      </c>
      <c r="G14" s="1548">
        <f t="shared" si="1"/>
        <v>0</v>
      </c>
      <c r="H14" s="47"/>
      <c r="I14" s="41"/>
      <c r="J14" s="428"/>
      <c r="K14" s="207"/>
      <c r="L14" s="207"/>
      <c r="M14" s="207"/>
      <c r="N14" s="207"/>
      <c r="O14" s="207"/>
      <c r="P14" s="207"/>
    </row>
    <row r="15" spans="2:20" s="1527" customFormat="1" ht="15" customHeight="1">
      <c r="B15" s="1590" t="s">
        <v>19811</v>
      </c>
      <c r="C15" s="1545" t="s">
        <v>19812</v>
      </c>
      <c r="D15" s="1605">
        <v>5.17</v>
      </c>
      <c r="E15" s="1546">
        <f t="shared" si="0"/>
        <v>3.1</v>
      </c>
      <c r="F15" s="1547">
        <f>'IN-N-OUT'!E89</f>
        <v>0</v>
      </c>
      <c r="G15" s="1548">
        <f t="shared" si="1"/>
        <v>0</v>
      </c>
      <c r="H15" s="47"/>
      <c r="I15" s="41"/>
      <c r="J15" s="428"/>
      <c r="K15" s="207"/>
      <c r="L15" s="207"/>
      <c r="M15" s="207"/>
      <c r="N15" s="207"/>
      <c r="O15" s="207"/>
      <c r="P15" s="207"/>
    </row>
    <row r="16" spans="2:20" s="1527" customFormat="1" ht="15" customHeight="1">
      <c r="B16" s="1591" t="s">
        <v>19850</v>
      </c>
      <c r="C16" s="1549" t="s">
        <v>19851</v>
      </c>
      <c r="D16" s="1606">
        <v>8.75</v>
      </c>
      <c r="E16" s="1550">
        <f t="shared" si="0"/>
        <v>5.25</v>
      </c>
      <c r="F16" s="1551">
        <f>'IN-N-OUT'!E90</f>
        <v>0</v>
      </c>
      <c r="G16" s="1552">
        <f t="shared" si="1"/>
        <v>0</v>
      </c>
      <c r="H16" s="47"/>
      <c r="I16" s="41"/>
      <c r="J16" s="1806"/>
      <c r="K16" s="207"/>
      <c r="L16" s="207"/>
      <c r="M16" s="207"/>
      <c r="N16" s="207"/>
      <c r="O16" s="207"/>
      <c r="P16" s="207"/>
      <c r="Q16" s="1706"/>
    </row>
    <row r="17" spans="2:17" s="1527" customFormat="1" ht="24" customHeight="1">
      <c r="B17" s="1532"/>
      <c r="C17" s="1533"/>
      <c r="D17" s="1609"/>
      <c r="E17" s="1533"/>
      <c r="F17" s="1533"/>
      <c r="G17" s="1533"/>
      <c r="H17" s="1520"/>
      <c r="I17" s="1889"/>
      <c r="J17" s="1824" t="s">
        <v>20398</v>
      </c>
      <c r="K17" s="1828" t="s">
        <v>144</v>
      </c>
      <c r="L17" s="1825"/>
      <c r="M17" s="1826"/>
      <c r="N17" s="1825"/>
      <c r="O17" s="1825"/>
      <c r="P17" s="1827"/>
    </row>
    <row r="18" spans="2:17" s="1527" customFormat="1" ht="15" customHeight="1">
      <c r="B18" s="1715" t="s">
        <v>20233</v>
      </c>
      <c r="C18" s="1716" t="s">
        <v>19953</v>
      </c>
      <c r="D18" s="1717">
        <v>11.42</v>
      </c>
      <c r="E18" s="1718">
        <f>ROUND(D18*$G$5,2)</f>
        <v>6.85</v>
      </c>
      <c r="F18" s="1719">
        <f>IF('2-Inputs'!$K$17="YES",P19,'IN-N-OUT'!E91)</f>
        <v>0</v>
      </c>
      <c r="G18" s="1720">
        <f t="shared" ref="G18:G26" si="2">E18*F18</f>
        <v>0</v>
      </c>
      <c r="H18" s="926"/>
      <c r="I18" s="1810" t="s">
        <v>20394</v>
      </c>
      <c r="J18" s="1775"/>
      <c r="K18" s="1789" t="s">
        <v>20395</v>
      </c>
      <c r="L18" s="1790" t="s">
        <v>20396</v>
      </c>
      <c r="M18" s="1810" t="s">
        <v>19947</v>
      </c>
      <c r="N18" s="1775"/>
      <c r="O18" s="1789" t="s">
        <v>20395</v>
      </c>
      <c r="P18" s="1811" t="s">
        <v>20396</v>
      </c>
    </row>
    <row r="19" spans="2:17" s="1518" customFormat="1" ht="15" customHeight="1">
      <c r="B19" s="1766" t="s">
        <v>20336</v>
      </c>
      <c r="C19" s="1545" t="s">
        <v>20231</v>
      </c>
      <c r="D19" s="1605">
        <v>28.48</v>
      </c>
      <c r="E19" s="1554">
        <f t="shared" ref="E19:E26" si="3">ROUND(D19*$G$5,2)</f>
        <v>17.09</v>
      </c>
      <c r="F19" s="1547">
        <f>IF('2-Inputs'!$K$17="YES",P20,IF('1-Eng Inputs'!C3="EcoFoot2+",0,'IN-N-OUT'!E79))</f>
        <v>0</v>
      </c>
      <c r="G19" s="1548">
        <f t="shared" si="2"/>
        <v>0</v>
      </c>
      <c r="H19" s="47"/>
      <c r="I19" s="1812" t="s">
        <v>20397</v>
      </c>
      <c r="J19" s="1813"/>
      <c r="K19" s="1814" t="s">
        <v>20404</v>
      </c>
      <c r="L19" s="1809">
        <f>ROUNDUP(($I$20*1000/325)*1.25,0)</f>
        <v>0</v>
      </c>
      <c r="M19" s="1812" t="s">
        <v>20397</v>
      </c>
      <c r="N19" s="1813"/>
      <c r="O19" s="1814" t="s">
        <v>20399</v>
      </c>
      <c r="P19" s="1815">
        <f>ROUNDUP(($M$20*1000/325)*1.25,0)</f>
        <v>0</v>
      </c>
    </row>
    <row r="20" spans="2:17" s="1518" customFormat="1" ht="15" customHeight="1">
      <c r="B20" s="1766" t="s">
        <v>20339</v>
      </c>
      <c r="C20" s="1545" t="s">
        <v>20232</v>
      </c>
      <c r="D20" s="1605">
        <v>41.03</v>
      </c>
      <c r="E20" s="1554">
        <f t="shared" si="3"/>
        <v>24.62</v>
      </c>
      <c r="F20" s="1547">
        <f>IF('1-Eng Inputs'!C3="EcoFoot2+",0,'IN-N-OUT'!E80)</f>
        <v>0</v>
      </c>
      <c r="G20" s="1548">
        <f t="shared" si="2"/>
        <v>0</v>
      </c>
      <c r="H20" s="47"/>
      <c r="I20" s="1829">
        <v>0</v>
      </c>
      <c r="J20" s="1813"/>
      <c r="K20" s="1814" t="s">
        <v>20400</v>
      </c>
      <c r="L20" s="1809">
        <f>ROUNDUP(($I$20*1000/325)*1.15,0)</f>
        <v>0</v>
      </c>
      <c r="M20" s="1829">
        <v>0</v>
      </c>
      <c r="N20" s="1813"/>
      <c r="O20" s="1814" t="s">
        <v>20400</v>
      </c>
      <c r="P20" s="1815">
        <f>ROUNDUP(($M$20*1000/325)*1.15,0)</f>
        <v>0</v>
      </c>
    </row>
    <row r="21" spans="2:17" s="1518" customFormat="1" ht="15" customHeight="1">
      <c r="B21" s="1571" t="str">
        <f>IF($K$17="YES","EcoFoot 5D 82'' Wind Deflector",IF(G72="NO",IF(MAX('1-Eng Inputs'!$C$18,'1-Eng Inputs'!$C$19)&lt;68,"EcoFoot 5D 70'' Wind Deflector","EcoFoot 5D 82'' Wind Deflector"),IF(MAX('1-Eng Inputs'!$C$18,'1-Eng Inputs'!$C$19)&lt;68,"EcoFoot 5D 70, Aluminum'' Wind Deflector","EcoFoot 5D 82'' Wind Deflector, Aluminum")))</f>
        <v>EcoFoot 5D 82'' Wind Deflector</v>
      </c>
      <c r="C21" s="1560" t="str">
        <f>IF($K$17="YES","ES10496",IF(MAX('1-Eng Inputs'!$C$18,'1-Eng Inputs'!$C$19)&lt;68,"ES10494","ES10496"))</f>
        <v>ES10496</v>
      </c>
      <c r="D21" s="1605">
        <f>VLOOKUP(C21,'IN-N-OUT'!A94:C95,3)</f>
        <v>10.82</v>
      </c>
      <c r="E21" s="1554">
        <f t="shared" si="3"/>
        <v>6.49</v>
      </c>
      <c r="F21" s="1547" t="str">
        <f>IF($K$17="YES",P21,VLOOKUP('2-Inputs'!C21,'IN-N-OUT'!A94:E95,5))</f>
        <v>0</v>
      </c>
      <c r="G21" s="1548">
        <f t="shared" si="2"/>
        <v>0</v>
      </c>
      <c r="H21" s="47"/>
      <c r="I21" s="1816"/>
      <c r="J21" s="1813"/>
      <c r="K21" s="1814" t="s">
        <v>20405</v>
      </c>
      <c r="L21" s="1809">
        <f>ROUNDUP(($I$20*1000/325),0)</f>
        <v>0</v>
      </c>
      <c r="M21" s="1816"/>
      <c r="N21" s="1813"/>
      <c r="O21" s="1814" t="s">
        <v>20401</v>
      </c>
      <c r="P21" s="1815">
        <f>ROUNDUP(($M$20*1000/325),0)</f>
        <v>0</v>
      </c>
    </row>
    <row r="22" spans="2:17" s="1518" customFormat="1" ht="15" customHeight="1">
      <c r="B22" s="1571" t="str">
        <f>IF($K$17="YES","EcoFoot 5D 83'' Ballast Tray",IF(G72="NO",IF(MAX('1-Eng Inputs'!$C$18,'1-Eng Inputs'!$C$19)&lt;68,"EcoFoot 5D 71'' Ballast Tray","EcoFoot 5D 83'' Ballast Tray"),IF(MAX('1-Eng Inputs'!$C$18,'1-Eng Inputs'!$C$19)&lt;68,"EcoFoot 5D 71, Aluminum'' Ballast Tray","EcoFoot 5D 83'' Ballast Tray, Aluminum")))</f>
        <v>EcoFoot 5D 83'' Ballast Tray</v>
      </c>
      <c r="C22" s="1560" t="str">
        <f>IF($K$17="YES","ES10488",IF(MAX('1-Eng Inputs'!$C$18,'1-Eng Inputs'!$C$19)&lt;68,"ES10486","ES10488"))</f>
        <v>ES10488</v>
      </c>
      <c r="D22" s="1605">
        <f>VLOOKUP(C22,'IN-N-OUT'!A96:C97,3)</f>
        <v>24</v>
      </c>
      <c r="E22" s="1554">
        <f t="shared" si="3"/>
        <v>14.4</v>
      </c>
      <c r="F22" s="1547" t="str">
        <f>IF($K$17="YES",P22,VLOOKUP('2-Inputs'!C22,'IN-N-OUT'!A96:E97,5))</f>
        <v>0</v>
      </c>
      <c r="G22" s="1548">
        <f t="shared" si="2"/>
        <v>0</v>
      </c>
      <c r="H22" s="47"/>
      <c r="I22" s="1816"/>
      <c r="J22" s="1817"/>
      <c r="K22" s="1817"/>
      <c r="L22" s="215"/>
      <c r="M22" s="1816"/>
      <c r="N22" s="1790"/>
      <c r="O22" s="1818" t="s">
        <v>20402</v>
      </c>
      <c r="P22" s="1815">
        <f>ROUNDUP(($M$20*1000/325)*1.15,0)</f>
        <v>0</v>
      </c>
    </row>
    <row r="23" spans="2:17" s="1518" customFormat="1" ht="15" customHeight="1">
      <c r="B23" s="1767" t="s">
        <v>20340</v>
      </c>
      <c r="C23" s="1553" t="s">
        <v>19956</v>
      </c>
      <c r="D23" s="1605">
        <v>3.33</v>
      </c>
      <c r="E23" s="1554">
        <f t="shared" si="3"/>
        <v>2</v>
      </c>
      <c r="F23" s="1547">
        <f>IF($K$17="YES",P23,'IN-N-OUT'!E98)</f>
        <v>0</v>
      </c>
      <c r="G23" s="1548">
        <f t="shared" si="2"/>
        <v>0</v>
      </c>
      <c r="H23" s="47"/>
      <c r="I23" s="711"/>
      <c r="J23" s="1819"/>
      <c r="K23" s="1819"/>
      <c r="L23" s="1820"/>
      <c r="M23" s="711"/>
      <c r="N23" s="1821"/>
      <c r="O23" s="1822" t="s">
        <v>20403</v>
      </c>
      <c r="P23" s="1823">
        <f>ROUNDUP(($M$20*1000/325)*1.15,0)</f>
        <v>0</v>
      </c>
    </row>
    <row r="24" spans="2:17" s="1518" customFormat="1" ht="15" customHeight="1">
      <c r="B24" s="1767" t="s">
        <v>20341</v>
      </c>
      <c r="C24" s="1553" t="s">
        <v>20234</v>
      </c>
      <c r="D24" s="1605">
        <v>25.14</v>
      </c>
      <c r="E24" s="1554">
        <f t="shared" si="3"/>
        <v>15.08</v>
      </c>
      <c r="F24" s="1547">
        <f>'IN-N-OUT'!E99</f>
        <v>0</v>
      </c>
      <c r="G24" s="1548">
        <f t="shared" si="2"/>
        <v>0</v>
      </c>
      <c r="H24" s="47"/>
      <c r="I24" s="215"/>
      <c r="J24" s="215"/>
      <c r="K24" s="1807"/>
      <c r="L24" s="215"/>
      <c r="M24" s="215"/>
      <c r="N24" s="215"/>
      <c r="O24" s="215"/>
      <c r="P24" s="215"/>
      <c r="Q24" s="1706"/>
    </row>
    <row r="25" spans="2:17" s="1518" customFormat="1" ht="15" customHeight="1">
      <c r="B25" s="1592" t="s">
        <v>20342</v>
      </c>
      <c r="C25" s="1555" t="s">
        <v>20235</v>
      </c>
      <c r="D25" s="1605">
        <v>6.93</v>
      </c>
      <c r="E25" s="1554">
        <f t="shared" si="3"/>
        <v>4.16</v>
      </c>
      <c r="F25" s="1547">
        <f>'IN-N-OUT'!E100</f>
        <v>0</v>
      </c>
      <c r="G25" s="1548">
        <f t="shared" si="2"/>
        <v>0</v>
      </c>
      <c r="H25" s="47"/>
      <c r="I25" s="41"/>
      <c r="J25" s="428"/>
      <c r="K25" s="41"/>
      <c r="L25" s="215"/>
      <c r="M25" s="215"/>
      <c r="N25" s="215"/>
      <c r="O25" s="215"/>
      <c r="P25" s="215"/>
      <c r="Q25" s="45"/>
    </row>
    <row r="26" spans="2:17" s="919" customFormat="1" ht="15" customHeight="1">
      <c r="B26" s="1768" t="s">
        <v>20343</v>
      </c>
      <c r="C26" s="1556" t="s">
        <v>20236</v>
      </c>
      <c r="D26" s="1606">
        <v>56.8</v>
      </c>
      <c r="E26" s="1557">
        <f t="shared" si="3"/>
        <v>34.08</v>
      </c>
      <c r="F26" s="1551">
        <f>'IN-N-OUT'!E101</f>
        <v>0</v>
      </c>
      <c r="G26" s="1552">
        <f t="shared" si="2"/>
        <v>0</v>
      </c>
      <c r="H26" s="1536"/>
      <c r="I26" s="1537"/>
      <c r="J26" s="1538"/>
      <c r="K26" s="1537"/>
      <c r="L26" s="1805"/>
      <c r="M26" s="1805"/>
      <c r="N26" s="1805"/>
      <c r="O26" s="1805"/>
      <c r="P26" s="1805"/>
      <c r="Q26" s="1535"/>
    </row>
    <row r="27" spans="2:17" s="1518" customFormat="1" ht="24" customHeight="1">
      <c r="B27" s="1532"/>
      <c r="C27" s="1533"/>
      <c r="D27" s="1609"/>
      <c r="E27" s="1533"/>
      <c r="F27" s="1642"/>
      <c r="G27" s="1788" t="s">
        <v>20240</v>
      </c>
      <c r="H27" s="47"/>
      <c r="I27" s="1785" t="s">
        <v>19348</v>
      </c>
      <c r="J27" s="1786"/>
      <c r="K27" s="198" t="s">
        <v>19361</v>
      </c>
      <c r="L27" s="1787">
        <v>0</v>
      </c>
      <c r="O27" s="215" t="s">
        <v>19574</v>
      </c>
      <c r="Q27" s="45"/>
    </row>
    <row r="28" spans="2:17" s="1527" customFormat="1" ht="15" customHeight="1">
      <c r="B28" s="1774" t="s">
        <v>19955</v>
      </c>
      <c r="C28" s="1725" t="s">
        <v>20346</v>
      </c>
      <c r="D28" s="1718">
        <v>0.31</v>
      </c>
      <c r="E28" s="1723">
        <f>ROUND(D28*$G$5,2)</f>
        <v>0.19</v>
      </c>
      <c r="F28" s="1724">
        <f>IF(F30&lt;40,F30*2,ROUNDUP(F30*2,-2))</f>
        <v>0</v>
      </c>
      <c r="G28" s="1720">
        <f>E28*F28</f>
        <v>0</v>
      </c>
      <c r="H28" s="1520"/>
      <c r="I28" s="1520"/>
      <c r="J28" s="1520"/>
      <c r="K28" s="1520"/>
      <c r="L28" s="1518"/>
      <c r="Q28" s="1518"/>
    </row>
    <row r="29" spans="2:17" s="1527" customFormat="1" ht="15" customHeight="1">
      <c r="B29" s="1567" t="s">
        <v>20347</v>
      </c>
      <c r="C29" s="1585" t="s">
        <v>20348</v>
      </c>
      <c r="D29" s="1554">
        <v>61.08</v>
      </c>
      <c r="E29" s="1546">
        <f>ROUND(D29*$G$5,2)</f>
        <v>36.65</v>
      </c>
      <c r="F29" s="1561">
        <f>F30</f>
        <v>0</v>
      </c>
      <c r="G29" s="1548">
        <f>E29*F29</f>
        <v>0</v>
      </c>
      <c r="H29" s="926"/>
      <c r="I29" s="1518"/>
      <c r="J29" s="1518"/>
      <c r="K29" s="1518"/>
      <c r="L29" s="1518"/>
      <c r="M29" s="48"/>
      <c r="N29" s="48"/>
      <c r="O29" s="48"/>
      <c r="Q29" s="44"/>
    </row>
    <row r="30" spans="2:17" s="1518" customFormat="1" ht="15" customHeight="1">
      <c r="B30" s="1567" t="s">
        <v>20349</v>
      </c>
      <c r="C30" s="1585" t="s">
        <v>20350</v>
      </c>
      <c r="D30" s="1554">
        <v>72.58</v>
      </c>
      <c r="E30" s="1546">
        <f>ROUND(D30*$G$5,2)</f>
        <v>43.55</v>
      </c>
      <c r="F30" s="1561">
        <f>IF($L$27&gt;0,ROUNDUP($L$27/8,0),0)</f>
        <v>0</v>
      </c>
      <c r="G30" s="1548">
        <f>E30*F30</f>
        <v>0</v>
      </c>
      <c r="H30" s="47"/>
      <c r="I30" s="1781"/>
      <c r="J30" s="1781"/>
      <c r="K30" s="132"/>
      <c r="L30" s="132"/>
      <c r="M30" s="1781"/>
      <c r="N30" s="1782"/>
      <c r="O30" s="48"/>
      <c r="Q30" s="45"/>
    </row>
    <row r="31" spans="2:17" s="1518" customFormat="1" ht="15" customHeight="1">
      <c r="B31" s="1573" t="s">
        <v>20351</v>
      </c>
      <c r="C31" s="1586" t="s">
        <v>20352</v>
      </c>
      <c r="D31" s="1557">
        <v>7.33</v>
      </c>
      <c r="E31" s="1550">
        <f>ROUND(D31*$G$5,2)</f>
        <v>4.4000000000000004</v>
      </c>
      <c r="F31" s="1564">
        <f>IF($F$29&gt;0,(F29*2)+1,0)</f>
        <v>0</v>
      </c>
      <c r="G31" s="1552">
        <f>E31*F31</f>
        <v>0</v>
      </c>
      <c r="H31" s="47"/>
      <c r="I31" s="225"/>
      <c r="J31" s="1782"/>
      <c r="K31" s="1781"/>
      <c r="L31" s="225"/>
      <c r="M31" s="225"/>
      <c r="N31" s="225"/>
      <c r="O31" s="225"/>
      <c r="Q31" s="45"/>
    </row>
    <row r="32" spans="2:17" s="1518" customFormat="1" ht="15" customHeight="1">
      <c r="B32" s="659"/>
      <c r="D32" s="1539"/>
      <c r="E32" s="755"/>
      <c r="F32" s="1565"/>
      <c r="G32" s="755"/>
      <c r="H32" s="47"/>
      <c r="I32" s="1780"/>
      <c r="J32" s="1783"/>
      <c r="K32" s="1616"/>
      <c r="L32" s="1237"/>
      <c r="M32" s="225"/>
      <c r="N32" s="225"/>
      <c r="O32" s="225"/>
      <c r="Q32" s="45"/>
    </row>
    <row r="33" spans="1:17" s="1518" customFormat="1" ht="15" customHeight="1">
      <c r="B33" s="1532"/>
      <c r="C33" s="1533"/>
      <c r="D33" s="1609"/>
      <c r="E33" s="1533"/>
      <c r="F33" s="1533"/>
      <c r="G33" s="1533"/>
      <c r="H33" s="47"/>
      <c r="I33" s="1780"/>
      <c r="J33" s="1780"/>
      <c r="K33" s="1616"/>
      <c r="L33" s="1237"/>
      <c r="M33" s="132"/>
      <c r="N33" s="37"/>
      <c r="O33" s="48"/>
      <c r="Q33" s="45"/>
    </row>
    <row r="34" spans="1:17" s="1518" customFormat="1" ht="15" customHeight="1">
      <c r="B34" s="1774" t="s">
        <v>20237</v>
      </c>
      <c r="C34" s="1722" t="s">
        <v>19778</v>
      </c>
      <c r="D34" s="1718">
        <v>310</v>
      </c>
      <c r="E34" s="1723">
        <f>ROUND(D34*$G$5,2)</f>
        <v>186</v>
      </c>
      <c r="F34" s="1719">
        <v>0</v>
      </c>
      <c r="G34" s="1720">
        <f>E34*F34</f>
        <v>0</v>
      </c>
      <c r="H34" s="47"/>
      <c r="I34" s="1780"/>
      <c r="J34" s="1783"/>
      <c r="K34" s="1616"/>
      <c r="L34" s="1237"/>
      <c r="M34" s="132"/>
      <c r="N34" s="37"/>
      <c r="O34" s="48"/>
      <c r="Q34" s="45"/>
    </row>
    <row r="35" spans="1:17" s="1527" customFormat="1" ht="15" customHeight="1">
      <c r="B35" s="1573" t="s">
        <v>20238</v>
      </c>
      <c r="C35" s="1563" t="s">
        <v>19779</v>
      </c>
      <c r="D35" s="1557">
        <v>390</v>
      </c>
      <c r="E35" s="1550">
        <f>ROUND(D35*$G$5,2)</f>
        <v>234</v>
      </c>
      <c r="F35" s="1551">
        <v>0</v>
      </c>
      <c r="G35" s="1552">
        <f>E35*F35</f>
        <v>0</v>
      </c>
      <c r="H35" s="1520"/>
      <c r="I35" s="1780"/>
      <c r="J35" s="1780"/>
      <c r="K35" s="1616"/>
      <c r="L35" s="1237"/>
      <c r="M35" s="132"/>
      <c r="N35" s="37"/>
      <c r="O35" s="48"/>
      <c r="Q35" s="1518"/>
    </row>
    <row r="36" spans="1:17" s="1527" customFormat="1" ht="24" customHeight="1">
      <c r="B36" s="1566" t="s">
        <v>20264</v>
      </c>
      <c r="C36" s="110"/>
      <c r="D36" s="1531"/>
      <c r="E36" s="755"/>
      <c r="F36" s="1558"/>
      <c r="G36" s="755"/>
      <c r="H36" s="926"/>
      <c r="I36" s="1780"/>
      <c r="J36" s="1783"/>
      <c r="K36" s="1616"/>
      <c r="L36" s="1237"/>
      <c r="M36" s="48"/>
      <c r="N36" s="48"/>
      <c r="O36" s="48"/>
      <c r="Q36" s="44"/>
    </row>
    <row r="37" spans="1:17" s="1518" customFormat="1" ht="15" customHeight="1">
      <c r="B37" s="1721" t="s">
        <v>19780</v>
      </c>
      <c r="C37" s="1581"/>
      <c r="D37" s="1612"/>
      <c r="E37" s="1582"/>
      <c r="F37" s="1581"/>
      <c r="G37" s="1583"/>
      <c r="H37" s="47"/>
      <c r="I37" s="1780"/>
      <c r="J37" s="1780"/>
      <c r="K37" s="1616"/>
      <c r="L37" s="1237"/>
      <c r="O37" s="37"/>
      <c r="Q37" s="45"/>
    </row>
    <row r="38" spans="1:17" s="1518" customFormat="1" ht="15" customHeight="1">
      <c r="B38" s="1567" t="str">
        <f>IF('1-Eng Inputs'!$C$11="EPDM","U-Anchor 2400 - EPDM","U-Anchor 2400")</f>
        <v>U-Anchor 2400</v>
      </c>
      <c r="C38" s="1560" t="str">
        <f>IF('1-Eng Inputs'!$C$11="EPDM","UA-EPDM","UA")</f>
        <v>UA</v>
      </c>
      <c r="D38" s="1554">
        <f>IF('1-Eng Inputs'!C11="EPDM",33.35,27.65)/0.725/0.4</f>
        <v>95.344827586206875</v>
      </c>
      <c r="E38" s="1546">
        <f>ROUND(D38*$G$5,2)</f>
        <v>57.21</v>
      </c>
      <c r="F38" s="1568">
        <v>0</v>
      </c>
      <c r="G38" s="1548">
        <f>E38*F38</f>
        <v>0</v>
      </c>
      <c r="H38" s="47"/>
      <c r="I38" s="1780"/>
      <c r="J38" s="1783"/>
      <c r="K38" s="1616"/>
      <c r="L38" s="1237"/>
      <c r="M38" s="44"/>
      <c r="N38" s="1784"/>
      <c r="O38" s="37"/>
      <c r="Q38" s="45"/>
    </row>
    <row r="39" spans="1:17" s="1518" customFormat="1" ht="15" customHeight="1">
      <c r="B39" s="1567" t="s">
        <v>20408</v>
      </c>
      <c r="C39" s="1560" t="s">
        <v>19896</v>
      </c>
      <c r="D39" s="1554">
        <v>124.14</v>
      </c>
      <c r="E39" s="1546">
        <f t="shared" ref="E39:E46" si="4">ROUND(D39*$G$5,2)</f>
        <v>74.48</v>
      </c>
      <c r="F39" s="1568">
        <v>0</v>
      </c>
      <c r="G39" s="1548">
        <f>E39*F39</f>
        <v>0</v>
      </c>
      <c r="H39" s="47"/>
      <c r="I39" s="41"/>
      <c r="J39" s="428"/>
      <c r="K39" s="41"/>
      <c r="Q39" s="45"/>
    </row>
    <row r="40" spans="1:17" s="1518" customFormat="1" ht="15" customHeight="1">
      <c r="B40" s="1567" t="s">
        <v>20409</v>
      </c>
      <c r="C40" s="1569" t="s">
        <v>19895</v>
      </c>
      <c r="D40" s="1554">
        <v>224.13800000000001</v>
      </c>
      <c r="E40" s="1546">
        <f t="shared" si="4"/>
        <v>134.47999999999999</v>
      </c>
      <c r="F40" s="1568">
        <v>0</v>
      </c>
      <c r="G40" s="1548">
        <f>E40*F40</f>
        <v>0</v>
      </c>
      <c r="H40" s="47"/>
      <c r="I40" s="41"/>
      <c r="J40" s="428"/>
      <c r="K40" s="41"/>
      <c r="Q40" s="45"/>
    </row>
    <row r="41" spans="1:17" s="1527" customFormat="1" ht="15" customHeight="1">
      <c r="B41" s="1567" t="s">
        <v>20410</v>
      </c>
      <c r="C41" s="1560" t="s">
        <v>19512</v>
      </c>
      <c r="D41" s="1554">
        <v>55.171999999999997</v>
      </c>
      <c r="E41" s="1546">
        <f t="shared" si="4"/>
        <v>33.1</v>
      </c>
      <c r="F41" s="1568">
        <v>0</v>
      </c>
      <c r="G41" s="1548">
        <f t="shared" ref="G41:G46" si="5">E41*F41</f>
        <v>0</v>
      </c>
      <c r="H41" s="47"/>
      <c r="I41" s="41"/>
      <c r="J41" s="428"/>
      <c r="K41" s="41"/>
      <c r="L41" s="1518"/>
      <c r="Q41" s="45"/>
    </row>
    <row r="42" spans="1:17" s="704" customFormat="1" ht="15" customHeight="1">
      <c r="A42" s="1527"/>
      <c r="B42" s="1567" t="s">
        <v>20411</v>
      </c>
      <c r="C42" s="1560" t="s">
        <v>19513</v>
      </c>
      <c r="D42" s="1554">
        <v>26.276</v>
      </c>
      <c r="E42" s="1546">
        <f t="shared" si="4"/>
        <v>15.77</v>
      </c>
      <c r="F42" s="1568">
        <v>0</v>
      </c>
      <c r="G42" s="1548">
        <f t="shared" si="5"/>
        <v>0</v>
      </c>
      <c r="H42" s="918"/>
      <c r="I42" s="48"/>
      <c r="J42" s="428"/>
      <c r="K42" s="41"/>
      <c r="L42" s="703"/>
      <c r="M42" s="708"/>
      <c r="N42" s="708"/>
      <c r="O42" s="708"/>
      <c r="P42" s="708"/>
      <c r="Q42" s="45"/>
    </row>
    <row r="43" spans="1:17" s="709" customFormat="1" ht="15" customHeight="1">
      <c r="A43" s="1527"/>
      <c r="B43" s="1567" t="s">
        <v>20412</v>
      </c>
      <c r="C43" s="1560" t="s">
        <v>19514</v>
      </c>
      <c r="D43" s="1554">
        <v>1.276</v>
      </c>
      <c r="E43" s="1546">
        <f t="shared" si="4"/>
        <v>0.77</v>
      </c>
      <c r="F43" s="1570">
        <f>F44+(2*F42)</f>
        <v>0</v>
      </c>
      <c r="G43" s="1548">
        <f t="shared" si="5"/>
        <v>0</v>
      </c>
      <c r="H43" s="918"/>
      <c r="I43" s="48"/>
      <c r="J43" s="428"/>
      <c r="K43" s="41"/>
      <c r="L43" s="708"/>
      <c r="M43" s="751"/>
      <c r="N43" s="751"/>
      <c r="O43" s="751"/>
      <c r="P43" s="751"/>
      <c r="Q43" s="45"/>
    </row>
    <row r="44" spans="1:17" s="752" customFormat="1" ht="15" customHeight="1">
      <c r="A44" s="1527"/>
      <c r="B44" s="1567" t="s">
        <v>20413</v>
      </c>
      <c r="C44" s="1560" t="s">
        <v>19509</v>
      </c>
      <c r="D44" s="1554">
        <v>7.6210000000000004</v>
      </c>
      <c r="E44" s="1546">
        <f t="shared" si="4"/>
        <v>4.57</v>
      </c>
      <c r="F44" s="1570">
        <f>F38+F39+F45+F40</f>
        <v>0</v>
      </c>
      <c r="G44" s="1548">
        <f t="shared" si="5"/>
        <v>0</v>
      </c>
      <c r="H44" s="918"/>
      <c r="I44" s="48"/>
      <c r="J44" s="428"/>
      <c r="K44" s="41"/>
      <c r="L44" s="751"/>
      <c r="M44" s="703"/>
      <c r="N44" s="703"/>
      <c r="O44" s="703"/>
      <c r="P44" s="703"/>
      <c r="Q44" s="45"/>
    </row>
    <row r="45" spans="1:17" s="704" customFormat="1" ht="15" customHeight="1">
      <c r="A45" s="1527"/>
      <c r="B45" s="1567" t="s">
        <v>20414</v>
      </c>
      <c r="C45" s="1560" t="s">
        <v>19515</v>
      </c>
      <c r="D45" s="1554">
        <v>0.41399999999999998</v>
      </c>
      <c r="E45" s="1546">
        <f t="shared" si="4"/>
        <v>0.25</v>
      </c>
      <c r="F45" s="1568">
        <v>0</v>
      </c>
      <c r="G45" s="1548">
        <f t="shared" si="5"/>
        <v>0</v>
      </c>
      <c r="H45" s="918"/>
      <c r="I45" s="48"/>
      <c r="J45" s="428"/>
      <c r="K45" s="41"/>
      <c r="L45" s="703"/>
      <c r="M45" s="703"/>
      <c r="N45" s="703"/>
      <c r="O45" s="703"/>
      <c r="P45" s="703"/>
      <c r="Q45" s="45"/>
    </row>
    <row r="46" spans="1:17" s="704" customFormat="1" ht="15" customHeight="1">
      <c r="A46" s="1527"/>
      <c r="B46" s="1575" t="s">
        <v>20415</v>
      </c>
      <c r="C46" s="1576" t="s">
        <v>19510</v>
      </c>
      <c r="D46" s="1611">
        <v>0.86199999999999999</v>
      </c>
      <c r="E46" s="1577">
        <f t="shared" si="4"/>
        <v>0.52</v>
      </c>
      <c r="F46" s="1578">
        <f>2*F42</f>
        <v>0</v>
      </c>
      <c r="G46" s="1579">
        <f t="shared" si="5"/>
        <v>0</v>
      </c>
      <c r="H46" s="918"/>
      <c r="I46" s="48"/>
      <c r="J46" s="428"/>
      <c r="K46" s="41"/>
      <c r="L46" s="703"/>
      <c r="M46" s="703"/>
      <c r="N46" s="703"/>
      <c r="O46" s="703"/>
      <c r="P46" s="703"/>
      <c r="Q46" s="45"/>
    </row>
    <row r="47" spans="1:17" s="704" customFormat="1" ht="15" customHeight="1">
      <c r="A47" s="1527"/>
      <c r="B47" s="1580" t="s">
        <v>19781</v>
      </c>
      <c r="C47" s="1581"/>
      <c r="D47" s="1612"/>
      <c r="E47" s="1582"/>
      <c r="F47" s="1581"/>
      <c r="G47" s="1583"/>
      <c r="H47" s="918"/>
      <c r="I47" s="48"/>
      <c r="J47" s="428"/>
      <c r="K47" s="41"/>
      <c r="L47" s="703"/>
      <c r="M47" s="703"/>
      <c r="N47" s="703"/>
      <c r="O47" s="703"/>
      <c r="P47" s="703"/>
      <c r="Q47" s="45"/>
    </row>
    <row r="48" spans="1:17" s="704" customFormat="1" ht="15" customHeight="1">
      <c r="A48" s="1527"/>
      <c r="B48" s="1567" t="str">
        <f>IF('1-Eng Inputs'!$C$11="EPDM","U-Anchor 2400 - EPDM","U-Anchor 2400")</f>
        <v>U-Anchor 2400</v>
      </c>
      <c r="C48" s="1560" t="str">
        <f>IF('1-Eng Inputs'!$C$11="EPDM","UA-EPDM","UA")</f>
        <v>UA</v>
      </c>
      <c r="D48" s="1554">
        <f>IF('1-Eng Inputs'!C11="EPDM",33.35,27.65)/0.725/0.4</f>
        <v>95.344827586206875</v>
      </c>
      <c r="E48" s="1546">
        <f>ROUND(D48*$G$5,2)</f>
        <v>57.21</v>
      </c>
      <c r="F48" s="1568">
        <v>0</v>
      </c>
      <c r="G48" s="1548">
        <f t="shared" ref="G48:G54" si="6">E48*F48</f>
        <v>0</v>
      </c>
      <c r="H48" s="918"/>
      <c r="I48" s="48"/>
      <c r="J48" s="428"/>
      <c r="K48" s="41"/>
      <c r="L48" s="703"/>
      <c r="M48" s="703"/>
      <c r="N48" s="703"/>
      <c r="O48" s="703"/>
      <c r="P48" s="703"/>
      <c r="Q48" s="45"/>
    </row>
    <row r="49" spans="1:17" s="704" customFormat="1" ht="15" customHeight="1">
      <c r="A49" s="1527"/>
      <c r="B49" s="1567" t="s">
        <v>20408</v>
      </c>
      <c r="C49" s="1560" t="s">
        <v>19896</v>
      </c>
      <c r="D49" s="1554">
        <v>124.13800000000001</v>
      </c>
      <c r="E49" s="1546">
        <f t="shared" ref="E49:E54" si="7">ROUND(D49*$G$5,2)</f>
        <v>74.48</v>
      </c>
      <c r="F49" s="1568">
        <v>0</v>
      </c>
      <c r="G49" s="1548">
        <f t="shared" si="6"/>
        <v>0</v>
      </c>
      <c r="H49" s="918"/>
      <c r="I49" s="48"/>
      <c r="J49" s="428"/>
      <c r="K49" s="41"/>
      <c r="L49" s="703"/>
      <c r="M49" s="703"/>
      <c r="N49" s="703"/>
      <c r="O49" s="703"/>
      <c r="P49" s="703"/>
      <c r="Q49" s="45"/>
    </row>
    <row r="50" spans="1:17" s="704" customFormat="1" ht="15" customHeight="1">
      <c r="A50" s="1527"/>
      <c r="B50" s="1567" t="s">
        <v>20409</v>
      </c>
      <c r="C50" s="1569" t="s">
        <v>19895</v>
      </c>
      <c r="D50" s="1554">
        <v>224.13800000000001</v>
      </c>
      <c r="E50" s="1546">
        <f t="shared" si="7"/>
        <v>134.47999999999999</v>
      </c>
      <c r="F50" s="1568">
        <v>0</v>
      </c>
      <c r="G50" s="1548">
        <f t="shared" si="6"/>
        <v>0</v>
      </c>
      <c r="H50" s="918"/>
      <c r="I50" s="48"/>
      <c r="J50" s="428"/>
      <c r="K50" s="41"/>
      <c r="L50" s="703"/>
      <c r="M50" s="703"/>
      <c r="N50" s="703"/>
      <c r="O50" s="703"/>
      <c r="P50" s="703"/>
      <c r="Q50" s="45"/>
    </row>
    <row r="51" spans="1:17" s="704" customFormat="1" ht="15" customHeight="1">
      <c r="A51" s="1527"/>
      <c r="B51" s="1571" t="str">
        <f>IF('1-Eng Inputs'!$C$37="Landscape",IF(MAX('1-Eng Inputs'!$C$18,'1-Eng Inputs'!$C$19)&lt;67,"54'' Length Support Bar","66'' Length Support Bar"),"33'' Length Support Bar")</f>
        <v>66'' Length Support Bar</v>
      </c>
      <c r="C51" s="1560" t="str">
        <f>IF('1-Eng Inputs'!$C$37="Landscape",IF(MAX('1-Eng Inputs'!$C$18,'1-Eng Inputs'!$C$19)&lt;67,"ECO-002_504","ECO-002_505"),"ECO-002_503")</f>
        <v>ECO-002_505</v>
      </c>
      <c r="D51" s="1554">
        <f>IF('1-Eng Inputs'!$C$37="Landscape",IF(MAX('1-Eng Inputs'!$C$18,'1-Eng Inputs'!$C$19)&lt;68,15.97,18.97),7.59)</f>
        <v>18.97</v>
      </c>
      <c r="E51" s="1546">
        <f>ROUND(D51*$G$5,2)</f>
        <v>11.38</v>
      </c>
      <c r="F51" s="1572">
        <f>(F48+F49+F50)*1</f>
        <v>0</v>
      </c>
      <c r="G51" s="1548">
        <f t="shared" si="6"/>
        <v>0</v>
      </c>
      <c r="H51" s="918"/>
      <c r="I51" s="918"/>
      <c r="J51" s="428"/>
      <c r="K51" s="41"/>
      <c r="L51" s="703"/>
      <c r="M51" s="38"/>
      <c r="N51" s="38"/>
      <c r="O51" s="38"/>
      <c r="P51" s="38"/>
      <c r="Q51" s="45"/>
    </row>
    <row r="52" spans="1:17" ht="15" customHeight="1">
      <c r="B52" s="1567" t="s">
        <v>20413</v>
      </c>
      <c r="C52" s="1560" t="s">
        <v>19509</v>
      </c>
      <c r="D52" s="1554">
        <v>7.6210000000000004</v>
      </c>
      <c r="E52" s="1546">
        <f t="shared" si="7"/>
        <v>4.57</v>
      </c>
      <c r="F52" s="1570">
        <f>(F48+F49+F50)*1</f>
        <v>0</v>
      </c>
      <c r="G52" s="1548">
        <f t="shared" si="6"/>
        <v>0</v>
      </c>
      <c r="H52" s="918"/>
      <c r="I52" s="918"/>
      <c r="J52" s="428"/>
      <c r="K52" s="41"/>
      <c r="L52" s="38"/>
      <c r="M52" s="708"/>
      <c r="N52" s="708"/>
      <c r="O52" s="708"/>
      <c r="P52" s="708"/>
      <c r="Q52" s="38"/>
    </row>
    <row r="53" spans="1:17" s="709" customFormat="1" ht="15" customHeight="1">
      <c r="A53" s="1527"/>
      <c r="B53" s="1567" t="s">
        <v>20416</v>
      </c>
      <c r="C53" s="1560" t="s">
        <v>19712</v>
      </c>
      <c r="D53" s="1554">
        <v>6.7000000000000004E-2</v>
      </c>
      <c r="E53" s="1546">
        <f t="shared" si="7"/>
        <v>0.04</v>
      </c>
      <c r="F53" s="1572">
        <f>(F48+F49+F50)*3</f>
        <v>0</v>
      </c>
      <c r="G53" s="1548">
        <f t="shared" si="6"/>
        <v>0</v>
      </c>
      <c r="H53" s="918"/>
      <c r="I53" s="918"/>
      <c r="J53" s="428"/>
      <c r="K53" s="41"/>
      <c r="L53" s="708"/>
      <c r="M53" s="751"/>
      <c r="N53" s="751"/>
      <c r="O53" s="751"/>
    </row>
    <row r="54" spans="1:17" s="752" customFormat="1" ht="15" customHeight="1">
      <c r="A54" s="1527"/>
      <c r="B54" s="1573" t="s">
        <v>20415</v>
      </c>
      <c r="C54" s="1563" t="s">
        <v>19510</v>
      </c>
      <c r="D54" s="1557">
        <v>0.86199999999999999</v>
      </c>
      <c r="E54" s="1550">
        <f t="shared" si="7"/>
        <v>0.52</v>
      </c>
      <c r="F54" s="1574">
        <f>(F48+F49+F50)*2</f>
        <v>0</v>
      </c>
      <c r="G54" s="1552">
        <f t="shared" si="6"/>
        <v>0</v>
      </c>
      <c r="H54" s="918"/>
      <c r="I54" s="918"/>
      <c r="J54" s="428"/>
      <c r="K54" s="41"/>
      <c r="L54" s="751"/>
      <c r="M54" s="703"/>
      <c r="N54" s="703"/>
      <c r="O54" s="703"/>
    </row>
    <row r="55" spans="1:17" s="704" customFormat="1" ht="25.5" customHeight="1">
      <c r="A55" s="1527"/>
      <c r="B55" s="1566" t="s">
        <v>20239</v>
      </c>
      <c r="C55" s="1518"/>
      <c r="D55" s="1539"/>
      <c r="E55" s="755"/>
      <c r="F55" s="1584"/>
      <c r="G55" s="755"/>
      <c r="H55" s="918"/>
      <c r="I55" s="918"/>
      <c r="J55" s="428"/>
      <c r="K55" s="41"/>
      <c r="L55" s="703"/>
      <c r="M55" s="703"/>
      <c r="N55" s="703"/>
      <c r="O55" s="703"/>
    </row>
    <row r="56" spans="1:17" s="704" customFormat="1" ht="15" customHeight="1">
      <c r="A56" s="1527"/>
      <c r="B56" s="1721" t="s">
        <v>20156</v>
      </c>
      <c r="C56" s="1725" t="s">
        <v>20425</v>
      </c>
      <c r="D56" s="1718">
        <v>450</v>
      </c>
      <c r="E56" s="1723">
        <f t="shared" ref="E56:E61" si="8">D56</f>
        <v>450</v>
      </c>
      <c r="F56" s="1726">
        <v>0</v>
      </c>
      <c r="G56" s="1720">
        <f t="shared" ref="G56:G61" si="9">E56*F56</f>
        <v>0</v>
      </c>
      <c r="H56" s="918"/>
      <c r="I56" s="48"/>
      <c r="J56" s="48"/>
      <c r="K56" s="41"/>
      <c r="L56" s="703"/>
      <c r="M56" s="703"/>
      <c r="N56" s="703"/>
      <c r="O56" s="703"/>
    </row>
    <row r="57" spans="1:17" s="704" customFormat="1" ht="15" customHeight="1">
      <c r="A57" s="1527"/>
      <c r="B57" s="1737" t="s">
        <v>20424</v>
      </c>
      <c r="C57" s="1738" t="s">
        <v>20426</v>
      </c>
      <c r="D57" s="1739">
        <v>550</v>
      </c>
      <c r="E57" s="1740">
        <f t="shared" si="8"/>
        <v>550</v>
      </c>
      <c r="F57" s="1741">
        <v>0</v>
      </c>
      <c r="G57" s="1742">
        <f t="shared" si="9"/>
        <v>0</v>
      </c>
      <c r="H57" s="918"/>
      <c r="I57" s="48"/>
      <c r="J57" s="48"/>
      <c r="K57" s="41"/>
      <c r="L57" s="703"/>
      <c r="M57" s="703"/>
      <c r="N57" s="703"/>
      <c r="O57" s="703"/>
    </row>
    <row r="58" spans="1:17" s="1706" customFormat="1" ht="15" customHeight="1">
      <c r="B58" s="1737" t="s">
        <v>20423</v>
      </c>
      <c r="C58" s="1738" t="s">
        <v>20427</v>
      </c>
      <c r="D58" s="1739">
        <v>550</v>
      </c>
      <c r="E58" s="1740">
        <f t="shared" si="8"/>
        <v>550</v>
      </c>
      <c r="F58" s="1741">
        <v>0</v>
      </c>
      <c r="G58" s="1742">
        <f t="shared" si="9"/>
        <v>0</v>
      </c>
      <c r="H58" s="1519"/>
      <c r="I58" s="48"/>
      <c r="J58" s="48"/>
      <c r="K58" s="41"/>
      <c r="L58" s="1518"/>
      <c r="M58" s="1518"/>
      <c r="N58" s="1518"/>
      <c r="O58" s="1518"/>
    </row>
    <row r="59" spans="1:17" s="704" customFormat="1" ht="15" customHeight="1">
      <c r="A59" s="1527"/>
      <c r="B59" s="1559" t="s">
        <v>19852</v>
      </c>
      <c r="C59" s="1738" t="s">
        <v>20428</v>
      </c>
      <c r="D59" s="1554">
        <v>350</v>
      </c>
      <c r="E59" s="1546">
        <f t="shared" si="8"/>
        <v>350</v>
      </c>
      <c r="F59" s="1568">
        <v>0</v>
      </c>
      <c r="G59" s="1548">
        <f t="shared" si="9"/>
        <v>0</v>
      </c>
      <c r="H59" s="918"/>
      <c r="I59" s="918"/>
      <c r="J59" s="428"/>
      <c r="K59" s="41"/>
      <c r="L59" s="703"/>
      <c r="M59" s="703"/>
      <c r="N59" s="703"/>
      <c r="O59" s="703"/>
    </row>
    <row r="60" spans="1:17" s="1527" customFormat="1" ht="15" customHeight="1">
      <c r="B60" s="1559" t="s">
        <v>20157</v>
      </c>
      <c r="C60" s="1738" t="s">
        <v>20429</v>
      </c>
      <c r="D60" s="1554">
        <v>300</v>
      </c>
      <c r="E60" s="1546">
        <f t="shared" si="8"/>
        <v>300</v>
      </c>
      <c r="F60" s="1568">
        <v>0</v>
      </c>
      <c r="G60" s="1548">
        <f t="shared" si="9"/>
        <v>0</v>
      </c>
      <c r="H60" s="1519"/>
      <c r="I60" s="1519"/>
      <c r="J60" s="428"/>
      <c r="K60" s="41"/>
      <c r="L60" s="1518"/>
      <c r="M60" s="1518"/>
      <c r="N60" s="1518"/>
      <c r="O60" s="1518"/>
    </row>
    <row r="61" spans="1:17" s="1527" customFormat="1" ht="15" customHeight="1">
      <c r="B61" s="1562" t="s">
        <v>20158</v>
      </c>
      <c r="C61" s="1586" t="s">
        <v>20430</v>
      </c>
      <c r="D61" s="1557">
        <v>150</v>
      </c>
      <c r="E61" s="1550">
        <f t="shared" si="8"/>
        <v>150</v>
      </c>
      <c r="F61" s="1596">
        <v>0</v>
      </c>
      <c r="G61" s="1548">
        <f t="shared" si="9"/>
        <v>0</v>
      </c>
      <c r="H61" s="1519"/>
      <c r="I61" s="1519"/>
      <c r="J61" s="428"/>
      <c r="K61" s="41"/>
      <c r="L61" s="1518"/>
      <c r="M61" s="1518"/>
      <c r="N61" s="1518"/>
      <c r="O61" s="1518"/>
    </row>
    <row r="62" spans="1:17" s="1527" customFormat="1" ht="15" customHeight="1">
      <c r="B62" s="1370"/>
      <c r="C62" s="215"/>
      <c r="D62" s="1539"/>
      <c r="E62" s="755"/>
      <c r="F62" s="1597"/>
      <c r="G62" s="754"/>
      <c r="H62" s="1519"/>
      <c r="I62" s="1519"/>
      <c r="J62" s="428"/>
      <c r="K62" s="41"/>
      <c r="L62" s="1518"/>
      <c r="M62" s="1518"/>
      <c r="N62" s="1518"/>
      <c r="O62" s="1518"/>
    </row>
    <row r="63" spans="1:17" s="1527" customFormat="1" ht="15" customHeight="1">
      <c r="B63" s="1600" t="s">
        <v>19378</v>
      </c>
      <c r="C63" s="1599"/>
      <c r="D63" s="1613"/>
      <c r="E63" s="1601"/>
      <c r="F63" s="1602"/>
      <c r="G63" s="1603">
        <v>0</v>
      </c>
      <c r="H63" s="1519"/>
      <c r="I63" s="1519"/>
      <c r="J63" s="428"/>
      <c r="K63" s="41"/>
      <c r="L63" s="1518"/>
      <c r="M63" s="1518"/>
      <c r="N63" s="1518"/>
      <c r="O63" s="1518"/>
    </row>
    <row r="64" spans="1:17" s="704" customFormat="1" ht="15" customHeight="1">
      <c r="A64" s="1527"/>
      <c r="B64" s="1521" t="s">
        <v>115</v>
      </c>
      <c r="C64" s="1518"/>
      <c r="D64" s="226"/>
      <c r="E64" s="1518"/>
      <c r="F64" s="1518"/>
      <c r="G64" s="63">
        <f>SUM(G8:G61)-ABS(G63)</f>
        <v>0</v>
      </c>
      <c r="H64" s="918"/>
      <c r="I64" s="48"/>
      <c r="J64" s="428"/>
      <c r="K64" s="41"/>
      <c r="L64" s="703"/>
      <c r="M64" s="703"/>
      <c r="N64" s="703"/>
      <c r="O64" s="703"/>
    </row>
    <row r="65" spans="1:18" s="704" customFormat="1" ht="15" customHeight="1">
      <c r="A65" s="1527"/>
      <c r="B65" s="1517" t="s">
        <v>110</v>
      </c>
      <c r="C65" s="1518"/>
      <c r="D65" s="226"/>
      <c r="E65" s="1518"/>
      <c r="F65" s="1518"/>
      <c r="G65" s="64">
        <f>'1-Eng Inputs'!C23*'1-Eng Inputs'!C17/1000</f>
        <v>72.8</v>
      </c>
      <c r="H65" s="918"/>
      <c r="I65" s="918"/>
      <c r="J65" s="428"/>
      <c r="K65" s="41"/>
      <c r="L65" s="703"/>
      <c r="P65" s="627"/>
    </row>
    <row r="66" spans="1:18" s="1527" customFormat="1" ht="15" customHeight="1">
      <c r="B66" s="1517" t="s">
        <v>1</v>
      </c>
      <c r="C66" s="1518"/>
      <c r="D66" s="226"/>
      <c r="E66" s="1518"/>
      <c r="F66" s="1518"/>
      <c r="G66" s="429">
        <f>IFERROR(G64/(G65*1000),"N/A")</f>
        <v>0</v>
      </c>
      <c r="H66" s="1519"/>
      <c r="P66"/>
      <c r="Q66"/>
      <c r="R66"/>
    </row>
    <row r="67" spans="1:18" s="704" customFormat="1">
      <c r="A67" s="1527"/>
      <c r="B67" s="1517" t="s">
        <v>7</v>
      </c>
      <c r="C67" s="1518"/>
      <c r="D67" s="226"/>
      <c r="E67" s="1518"/>
      <c r="F67" s="1518"/>
      <c r="G67" s="336"/>
      <c r="H67" s="927"/>
      <c r="P67"/>
      <c r="Q67"/>
      <c r="R67"/>
    </row>
    <row r="68" spans="1:18" ht="15" customHeight="1">
      <c r="B68" s="925"/>
      <c r="C68" s="330"/>
      <c r="D68" s="194"/>
      <c r="E68" s="330"/>
      <c r="F68" s="330"/>
      <c r="G68" s="1604"/>
      <c r="H68" s="924"/>
    </row>
    <row r="69" spans="1:18" ht="18">
      <c r="B69" s="1587" t="s">
        <v>161</v>
      </c>
      <c r="C69" s="1588"/>
      <c r="D69" s="1614"/>
      <c r="E69" s="1588"/>
      <c r="F69" s="1588"/>
      <c r="G69" s="1589"/>
      <c r="H69" s="360"/>
      <c r="P69" s="427"/>
      <c r="Q69" s="427"/>
      <c r="R69" s="427"/>
    </row>
    <row r="70" spans="1:18">
      <c r="B70" s="42" t="s">
        <v>159</v>
      </c>
      <c r="C70" s="1519"/>
      <c r="D70" s="1607"/>
      <c r="E70" s="1519"/>
      <c r="F70" s="1519"/>
      <c r="G70" s="65" t="s">
        <v>144</v>
      </c>
      <c r="H70" s="1598"/>
    </row>
    <row r="71" spans="1:18">
      <c r="B71" s="42" t="s">
        <v>160</v>
      </c>
      <c r="C71" s="1519"/>
      <c r="D71" s="1607"/>
      <c r="E71" s="1519"/>
      <c r="F71" s="1519"/>
      <c r="G71" s="65" t="s">
        <v>144</v>
      </c>
      <c r="H71" s="1595"/>
    </row>
    <row r="72" spans="1:18">
      <c r="B72" s="711" t="s">
        <v>20247</v>
      </c>
      <c r="C72" s="1523"/>
      <c r="D72" s="1615"/>
      <c r="E72" s="1523"/>
      <c r="F72" s="1523"/>
      <c r="G72" s="66" t="s">
        <v>144</v>
      </c>
      <c r="H72" s="1598"/>
    </row>
    <row r="73" spans="1:18">
      <c r="B73" s="426"/>
      <c r="C73" s="426"/>
      <c r="D73" s="226"/>
      <c r="E73" s="426"/>
      <c r="F73" s="426"/>
      <c r="G73" s="426"/>
      <c r="H73" s="1595"/>
      <c r="P73" s="644"/>
      <c r="Q73" s="644"/>
      <c r="R73" s="644"/>
    </row>
    <row r="74" spans="1:18" ht="12.75" customHeight="1">
      <c r="B74" s="427"/>
      <c r="C74" s="427"/>
      <c r="D74" s="427"/>
      <c r="E74" s="427"/>
      <c r="F74" s="427"/>
      <c r="G74" s="427"/>
    </row>
    <row r="78" spans="1:18" ht="12.75" customHeight="1">
      <c r="B78" s="644"/>
      <c r="C78" s="644"/>
      <c r="D78" s="644"/>
      <c r="E78" s="644"/>
      <c r="F78" s="644"/>
      <c r="G78" s="644"/>
      <c r="H78" s="427"/>
    </row>
    <row r="79" spans="1:18" s="427" customFormat="1" ht="12.75" customHeight="1">
      <c r="A79" s="1527"/>
      <c r="B79"/>
      <c r="C79"/>
      <c r="D79" s="259"/>
      <c r="E79"/>
      <c r="F79"/>
      <c r="G79"/>
      <c r="P79"/>
      <c r="Q79"/>
      <c r="R79"/>
    </row>
    <row r="81" spans="1:21" ht="12.75" customHeight="1">
      <c r="P81" s="360"/>
      <c r="Q81" s="1593"/>
      <c r="R81" s="1593"/>
    </row>
    <row r="82" spans="1:21" ht="12.75" customHeight="1">
      <c r="P82" s="360"/>
      <c r="Q82" s="1593"/>
      <c r="R82" s="1593"/>
    </row>
    <row r="83" spans="1:21" s="644" customFormat="1" ht="12.75" customHeight="1">
      <c r="A83" s="1527"/>
      <c r="B83"/>
      <c r="C83"/>
      <c r="D83" s="259"/>
      <c r="E83"/>
      <c r="F83"/>
      <c r="G83"/>
      <c r="P83" s="360"/>
      <c r="Q83" s="1593"/>
      <c r="R83" s="1593"/>
    </row>
    <row r="84" spans="1:21" ht="12.75" customHeight="1">
      <c r="C84" s="329"/>
      <c r="P84" s="1634"/>
      <c r="Q84" s="1593"/>
      <c r="R84" s="1593"/>
    </row>
    <row r="85" spans="1:21" ht="12.75" customHeight="1">
      <c r="P85" s="360"/>
      <c r="Q85" s="1593"/>
      <c r="R85" s="1593"/>
    </row>
    <row r="86" spans="1:21" ht="12.75" customHeight="1">
      <c r="B86" s="1595"/>
      <c r="C86" s="360"/>
      <c r="D86" s="1619"/>
      <c r="E86" s="360"/>
      <c r="F86" s="360"/>
      <c r="G86" s="360"/>
      <c r="P86" s="360"/>
      <c r="Q86" s="1593"/>
      <c r="R86" s="1593"/>
    </row>
    <row r="87" spans="1:21" ht="12.75" customHeight="1">
      <c r="B87" s="1633"/>
      <c r="C87" s="1618"/>
      <c r="D87" s="1619"/>
      <c r="E87" s="360"/>
      <c r="F87" s="360"/>
      <c r="G87" s="360"/>
      <c r="P87" s="360"/>
      <c r="Q87" s="1593"/>
      <c r="R87" s="1593"/>
    </row>
    <row r="88" spans="1:21" ht="12.75" customHeight="1">
      <c r="B88" s="1633"/>
      <c r="C88" s="1619"/>
      <c r="D88" s="1619"/>
      <c r="E88" s="360"/>
      <c r="F88" s="1620"/>
      <c r="G88" s="360"/>
      <c r="I88" s="37"/>
      <c r="O88" s="360"/>
      <c r="P88" s="360"/>
      <c r="Q88" s="1593"/>
      <c r="R88" s="1593"/>
    </row>
    <row r="89" spans="1:21" ht="12.75" customHeight="1">
      <c r="B89" s="1633"/>
      <c r="C89" s="1619"/>
      <c r="D89" s="1619"/>
      <c r="E89" s="360"/>
      <c r="F89" s="360"/>
      <c r="G89" s="360"/>
      <c r="O89" s="360"/>
      <c r="P89" s="360"/>
      <c r="Q89" s="360"/>
      <c r="R89" s="360"/>
    </row>
    <row r="90" spans="1:21" ht="12.75" customHeight="1">
      <c r="B90" s="1633"/>
      <c r="C90" s="1619"/>
      <c r="D90" s="1619"/>
      <c r="E90" s="360"/>
      <c r="F90" s="360"/>
      <c r="G90" s="360"/>
      <c r="O90" s="360"/>
      <c r="P90" s="360"/>
      <c r="Q90" s="360"/>
      <c r="R90" s="360"/>
    </row>
    <row r="91" spans="1:21" s="360" customFormat="1" ht="12.75" customHeight="1">
      <c r="D91" s="1619"/>
      <c r="S91" s="1593"/>
      <c r="T91" s="1593"/>
      <c r="U91" s="1593"/>
    </row>
    <row r="92" spans="1:21" s="360" customFormat="1" ht="12.75" customHeight="1">
      <c r="B92" s="1621"/>
      <c r="C92" s="1621"/>
      <c r="D92" s="1633"/>
      <c r="E92" s="1621"/>
      <c r="F92" s="1621"/>
      <c r="G92" s="1621"/>
      <c r="S92" s="1593"/>
      <c r="T92" s="1593"/>
      <c r="U92" s="1593"/>
    </row>
    <row r="93" spans="1:21" s="360" customFormat="1" ht="12.75" customHeight="1">
      <c r="B93" s="1625"/>
      <c r="C93" s="1622"/>
      <c r="D93" s="1618"/>
      <c r="E93" s="1623"/>
      <c r="F93" s="1623"/>
      <c r="G93" s="1622"/>
      <c r="M93" s="1634"/>
      <c r="S93" s="1594"/>
      <c r="T93" s="1594"/>
      <c r="U93" s="1594"/>
    </row>
    <row r="94" spans="1:21" s="1634" customFormat="1" ht="12.75" customHeight="1">
      <c r="B94" s="1625"/>
      <c r="C94" s="1622"/>
      <c r="D94" s="1618"/>
      <c r="E94" s="1623"/>
      <c r="F94" s="1623"/>
      <c r="G94" s="1622"/>
      <c r="H94" s="360"/>
      <c r="I94" s="360"/>
      <c r="J94" s="360"/>
      <c r="K94" s="360"/>
      <c r="L94" s="360"/>
      <c r="M94" s="360"/>
      <c r="O94" s="360"/>
      <c r="P94" s="360"/>
      <c r="Q94" s="360"/>
      <c r="R94" s="360"/>
      <c r="S94" s="1594"/>
      <c r="T94" s="1594"/>
      <c r="U94" s="1594"/>
    </row>
    <row r="95" spans="1:21" s="360" customFormat="1" ht="12.75" customHeight="1">
      <c r="B95" s="1625"/>
      <c r="C95" s="1622"/>
      <c r="D95" s="1618"/>
      <c r="E95" s="1623"/>
      <c r="F95" s="1623"/>
      <c r="G95" s="1622"/>
      <c r="S95" s="1594"/>
      <c r="T95" s="1594"/>
      <c r="U95" s="1594"/>
    </row>
    <row r="96" spans="1:21" s="360" customFormat="1" ht="12.75" customHeight="1">
      <c r="B96" s="1625"/>
      <c r="C96" s="1622"/>
      <c r="D96" s="1618"/>
      <c r="E96" s="1623"/>
      <c r="F96" s="1623"/>
      <c r="G96" s="1622"/>
      <c r="S96" s="1594"/>
      <c r="T96" s="1594"/>
      <c r="U96" s="1594"/>
    </row>
    <row r="97" spans="2:21" s="360" customFormat="1" ht="12.75" customHeight="1">
      <c r="B97" s="1625"/>
      <c r="C97" s="1622"/>
      <c r="D97" s="1618"/>
      <c r="E97" s="1623"/>
      <c r="F97" s="1623"/>
      <c r="G97" s="1622"/>
      <c r="H97" s="1621"/>
      <c r="I97" s="1621"/>
      <c r="J97" s="1621"/>
      <c r="K97" s="1621"/>
      <c r="L97" s="1622"/>
      <c r="S97" s="1594"/>
      <c r="T97" s="1594"/>
      <c r="U97" s="1594"/>
    </row>
    <row r="98" spans="2:21" s="360" customFormat="1" ht="12.75" customHeight="1">
      <c r="B98" s="1625"/>
      <c r="C98" s="1622"/>
      <c r="D98" s="1618"/>
      <c r="E98" s="1623"/>
      <c r="F98" s="1623"/>
      <c r="G98" s="1622"/>
      <c r="H98" s="1624"/>
      <c r="I98" s="1622"/>
      <c r="J98" s="1622"/>
      <c r="K98" s="1622"/>
      <c r="L98" s="1622"/>
      <c r="S98" s="1594"/>
      <c r="T98" s="1594"/>
      <c r="U98" s="1594"/>
    </row>
    <row r="99" spans="2:21" s="360" customFormat="1" ht="12.75" customHeight="1">
      <c r="B99" s="1625"/>
      <c r="C99" s="1625"/>
      <c r="D99" s="1618"/>
      <c r="E99" s="1623"/>
      <c r="F99" s="1623"/>
      <c r="G99" s="1625"/>
      <c r="H99" s="1624"/>
      <c r="I99" s="1622"/>
      <c r="J99" s="1622"/>
      <c r="K99" s="1622"/>
      <c r="L99" s="1622"/>
    </row>
    <row r="100" spans="2:21" s="360" customFormat="1" ht="12.75" customHeight="1">
      <c r="B100" s="1625"/>
      <c r="C100" s="1625"/>
      <c r="D100" s="1618"/>
      <c r="E100" s="1623"/>
      <c r="F100" s="1623"/>
      <c r="G100" s="1626"/>
      <c r="H100" s="1624"/>
      <c r="I100" s="1622"/>
      <c r="J100" s="1622"/>
      <c r="K100" s="1622"/>
      <c r="L100" s="1622"/>
    </row>
    <row r="101" spans="2:21" s="360" customFormat="1" ht="12.75" customHeight="1">
      <c r="B101" s="1625"/>
      <c r="C101" s="1625"/>
      <c r="D101" s="1618"/>
      <c r="E101" s="1627"/>
      <c r="F101" s="1627"/>
      <c r="G101" s="1625"/>
      <c r="H101" s="1624"/>
      <c r="I101" s="1622"/>
      <c r="J101" s="1622"/>
      <c r="K101" s="1622"/>
      <c r="L101" s="1622"/>
    </row>
    <row r="102" spans="2:21" s="360" customFormat="1" ht="12.75" customHeight="1">
      <c r="B102" s="1625"/>
      <c r="C102" s="1625"/>
      <c r="D102" s="1618"/>
      <c r="E102" s="1627"/>
      <c r="F102" s="1627"/>
      <c r="G102" s="1625"/>
      <c r="H102" s="1624"/>
      <c r="I102" s="1622"/>
      <c r="J102" s="1622"/>
      <c r="K102" s="1622"/>
      <c r="L102" s="1622"/>
    </row>
    <row r="103" spans="2:21" s="360" customFormat="1" ht="12.75" customHeight="1">
      <c r="B103" s="1595"/>
      <c r="C103" s="1620"/>
      <c r="D103" s="1635"/>
      <c r="E103" s="1636"/>
      <c r="F103" s="1637"/>
      <c r="H103" s="1624"/>
      <c r="I103" s="1622"/>
      <c r="J103" s="1622"/>
      <c r="K103" s="1622"/>
      <c r="L103" s="1622"/>
    </row>
    <row r="104" spans="2:21" s="360" customFormat="1" ht="12.75" customHeight="1">
      <c r="B104" s="1622"/>
      <c r="C104" s="1622"/>
      <c r="D104" s="1635"/>
      <c r="E104" s="1623"/>
      <c r="F104" s="1623"/>
      <c r="G104" s="1623"/>
      <c r="H104" s="1622"/>
      <c r="I104" s="1625"/>
      <c r="J104" s="1622"/>
      <c r="K104" s="1622"/>
      <c r="L104" s="1622"/>
    </row>
    <row r="105" spans="2:21" s="360" customFormat="1" ht="12.75" customHeight="1">
      <c r="B105" s="1628"/>
      <c r="C105" s="1628"/>
      <c r="D105" s="1628"/>
      <c r="E105" s="1628"/>
      <c r="F105" s="1628"/>
      <c r="H105" s="1622"/>
      <c r="I105" s="1625"/>
      <c r="J105" s="1622"/>
      <c r="K105" s="1622"/>
      <c r="L105" s="1622"/>
    </row>
    <row r="106" spans="2:21" s="360" customFormat="1" ht="12.75" customHeight="1">
      <c r="D106" s="1619"/>
      <c r="H106" s="1622"/>
      <c r="I106" s="1625"/>
      <c r="J106" s="1622"/>
      <c r="K106" s="1622"/>
      <c r="L106" s="1622"/>
    </row>
    <row r="107" spans="2:21" s="360" customFormat="1" ht="12.75" customHeight="1">
      <c r="D107" s="1619"/>
      <c r="H107" s="1622"/>
      <c r="I107" s="1625"/>
      <c r="J107" s="1622"/>
      <c r="K107" s="1622"/>
      <c r="L107" s="1622"/>
    </row>
    <row r="108" spans="2:21" s="360" customFormat="1" ht="12.75" customHeight="1">
      <c r="B108" s="1595"/>
      <c r="D108" s="1619"/>
      <c r="I108" s="1620"/>
    </row>
    <row r="109" spans="2:21" s="360" customFormat="1" ht="12.75" customHeight="1">
      <c r="B109" s="1633"/>
      <c r="C109" s="1618"/>
      <c r="D109" s="1619"/>
      <c r="H109" s="1638"/>
      <c r="I109" s="1623"/>
      <c r="J109" s="1622"/>
      <c r="K109" s="1622"/>
      <c r="L109" s="1622"/>
    </row>
    <row r="110" spans="2:21" s="360" customFormat="1" ht="12.75" customHeight="1">
      <c r="B110" s="1633"/>
      <c r="C110" s="1619"/>
      <c r="D110" s="1619"/>
      <c r="F110" s="1620"/>
      <c r="M110" s="1620"/>
    </row>
    <row r="111" spans="2:21" s="360" customFormat="1" ht="12.75" customHeight="1">
      <c r="B111" s="1633"/>
      <c r="C111" s="1619"/>
      <c r="D111" s="1619"/>
    </row>
    <row r="112" spans="2:21" s="360" customFormat="1" ht="12.75" customHeight="1">
      <c r="B112" s="1633"/>
      <c r="C112" s="1619"/>
      <c r="D112" s="1619"/>
    </row>
    <row r="113" spans="2:18" s="360" customFormat="1" ht="12.75" customHeight="1">
      <c r="D113" s="1619"/>
    </row>
    <row r="114" spans="2:18" s="360" customFormat="1" ht="12.75" customHeight="1">
      <c r="B114" s="1621"/>
      <c r="C114" s="1621"/>
      <c r="D114" s="1633"/>
      <c r="E114" s="1621"/>
      <c r="F114" s="1621"/>
      <c r="G114" s="1621"/>
    </row>
    <row r="115" spans="2:18" s="360" customFormat="1" ht="12.75" customHeight="1">
      <c r="B115" s="1629"/>
      <c r="C115" s="1629"/>
      <c r="D115" s="1639"/>
      <c r="E115" s="1630"/>
      <c r="F115" s="1630"/>
      <c r="G115" s="1629"/>
      <c r="M115" s="1634"/>
    </row>
    <row r="116" spans="2:18" s="360" customFormat="1" ht="12.75" customHeight="1">
      <c r="B116" s="1629"/>
      <c r="C116" s="1629"/>
      <c r="D116" s="1639"/>
      <c r="E116" s="1630"/>
      <c r="F116" s="1630"/>
      <c r="G116" s="1629"/>
    </row>
    <row r="117" spans="2:18" s="360" customFormat="1" ht="12.75" customHeight="1">
      <c r="B117" s="1629"/>
      <c r="C117" s="1629"/>
      <c r="D117" s="1639"/>
      <c r="E117" s="1630"/>
      <c r="F117" s="1630"/>
      <c r="G117" s="1629"/>
    </row>
    <row r="118" spans="2:18" s="360" customFormat="1" ht="12.75" customHeight="1">
      <c r="B118" s="1629"/>
      <c r="C118" s="1629"/>
      <c r="D118" s="1639"/>
      <c r="E118" s="1630"/>
      <c r="F118" s="1630"/>
      <c r="G118" s="1629"/>
    </row>
    <row r="119" spans="2:18" s="360" customFormat="1" ht="12.75" customHeight="1">
      <c r="B119" s="1629"/>
      <c r="C119" s="1631"/>
      <c r="D119" s="1639"/>
      <c r="E119" s="1630"/>
      <c r="F119" s="1630"/>
      <c r="G119" s="1631"/>
      <c r="H119" s="1621"/>
      <c r="I119" s="1621"/>
      <c r="J119" s="1621"/>
      <c r="K119" s="1621"/>
      <c r="L119" s="1622"/>
    </row>
    <row r="120" spans="2:18" s="360" customFormat="1" ht="12.75" customHeight="1">
      <c r="B120" s="1629"/>
      <c r="C120" s="1631"/>
      <c r="D120" s="1639"/>
      <c r="E120" s="1630"/>
      <c r="F120" s="1630"/>
      <c r="G120" s="1631"/>
      <c r="H120" s="1631"/>
      <c r="I120" s="1629"/>
      <c r="J120" s="1631"/>
      <c r="K120" s="1631"/>
      <c r="L120" s="1631"/>
    </row>
    <row r="121" spans="2:18" s="360" customFormat="1" ht="12.75" customHeight="1">
      <c r="B121" s="1631"/>
      <c r="C121" s="1631"/>
      <c r="D121" s="1640"/>
      <c r="E121" s="1631"/>
      <c r="F121" s="1631"/>
      <c r="G121" s="1631"/>
      <c r="H121" s="1631"/>
      <c r="I121" s="1629"/>
      <c r="J121" s="1631"/>
      <c r="K121" s="1631"/>
      <c r="L121" s="1631"/>
    </row>
    <row r="122" spans="2:18" s="360" customFormat="1" ht="12.75" customHeight="1">
      <c r="B122" s="1629"/>
      <c r="C122" s="1629"/>
      <c r="D122" s="1639"/>
      <c r="E122" s="1629"/>
      <c r="F122" s="1629"/>
      <c r="G122" s="1629"/>
      <c r="H122" s="1631"/>
      <c r="I122" s="1629"/>
      <c r="J122" s="1631"/>
      <c r="K122" s="1631"/>
      <c r="L122" s="1631"/>
    </row>
    <row r="123" spans="2:18" s="360" customFormat="1" ht="12.75" customHeight="1">
      <c r="B123" s="1595"/>
      <c r="C123" s="1620"/>
      <c r="D123" s="1635"/>
      <c r="E123" s="1636"/>
      <c r="F123" s="1637"/>
      <c r="H123" s="1631"/>
      <c r="I123" s="1629"/>
      <c r="J123" s="1631"/>
      <c r="K123" s="1631"/>
      <c r="L123" s="1631"/>
      <c r="O123"/>
      <c r="P123"/>
      <c r="Q123"/>
      <c r="R123"/>
    </row>
    <row r="124" spans="2:18" s="360" customFormat="1" ht="12.75" customHeight="1">
      <c r="B124" s="1622"/>
      <c r="C124" s="1622"/>
      <c r="D124" s="1635"/>
      <c r="E124" s="1623"/>
      <c r="F124" s="1623"/>
      <c r="G124" s="1623"/>
      <c r="H124" s="1632"/>
      <c r="I124" s="1631"/>
      <c r="J124" s="1631"/>
      <c r="K124" s="1631"/>
      <c r="L124" s="1631"/>
      <c r="O124"/>
      <c r="P124"/>
      <c r="Q124"/>
      <c r="R124"/>
    </row>
    <row r="125" spans="2:18" s="360" customFormat="1" ht="12.75" customHeight="1">
      <c r="D125" s="1619"/>
      <c r="H125" s="1632"/>
      <c r="I125" s="1631"/>
      <c r="J125" s="1631"/>
      <c r="K125" s="1631"/>
      <c r="L125" s="1631"/>
      <c r="O125"/>
      <c r="P125"/>
      <c r="Q125"/>
      <c r="R125"/>
    </row>
    <row r="126" spans="2:18" s="360" customFormat="1" ht="12.75" customHeight="1">
      <c r="D126" s="1619"/>
      <c r="H126" s="1631"/>
      <c r="I126" s="1631"/>
      <c r="J126" s="1631"/>
      <c r="K126" s="1631"/>
      <c r="L126" s="1631"/>
      <c r="O126"/>
      <c r="P126"/>
      <c r="Q126"/>
      <c r="R126"/>
    </row>
    <row r="127" spans="2:18" s="360" customFormat="1" ht="12.75" customHeight="1">
      <c r="D127" s="1619"/>
      <c r="H127" s="1629"/>
      <c r="I127" s="1629"/>
      <c r="J127" s="1631"/>
      <c r="K127" s="1631"/>
      <c r="L127" s="1631"/>
      <c r="O127"/>
      <c r="P127"/>
      <c r="Q127"/>
      <c r="R127"/>
    </row>
    <row r="128" spans="2:18" s="360" customFormat="1" ht="12.75" customHeight="1">
      <c r="B128"/>
      <c r="C128"/>
      <c r="D128" s="259"/>
      <c r="E128"/>
      <c r="F128"/>
      <c r="G128"/>
      <c r="I128" s="1620"/>
      <c r="O128"/>
      <c r="P128"/>
      <c r="Q128"/>
      <c r="R128"/>
    </row>
    <row r="129" spans="2:18" s="360" customFormat="1" ht="12.75" customHeight="1">
      <c r="B129"/>
      <c r="C129"/>
      <c r="D129" s="259"/>
      <c r="E129"/>
      <c r="F129"/>
      <c r="G129"/>
      <c r="H129" s="1623"/>
      <c r="I129" s="1641"/>
      <c r="J129" s="1622"/>
      <c r="K129" s="1622"/>
      <c r="L129" s="1622"/>
      <c r="O129"/>
      <c r="P129"/>
      <c r="Q129"/>
      <c r="R129"/>
    </row>
    <row r="130" spans="2:18" s="360" customFormat="1" ht="12.75" customHeight="1">
      <c r="B130"/>
      <c r="C130"/>
      <c r="D130" s="259"/>
      <c r="E130"/>
      <c r="F130"/>
      <c r="G130"/>
      <c r="M130" s="1620"/>
      <c r="O130"/>
      <c r="P130"/>
      <c r="Q130"/>
      <c r="R130"/>
    </row>
    <row r="131" spans="2:18" s="360" customFormat="1" ht="12.75" customHeight="1">
      <c r="B131"/>
      <c r="C131"/>
      <c r="D131" s="259"/>
      <c r="E131"/>
      <c r="F131"/>
      <c r="G131"/>
      <c r="O131"/>
      <c r="P131"/>
      <c r="Q131"/>
      <c r="R131"/>
    </row>
    <row r="132" spans="2:18" s="360" customFormat="1" ht="12.75" customHeight="1">
      <c r="B132"/>
      <c r="C132"/>
      <c r="D132" s="259"/>
      <c r="E132"/>
      <c r="F132"/>
      <c r="G132"/>
      <c r="O132"/>
      <c r="P132"/>
      <c r="Q132"/>
      <c r="R132"/>
    </row>
    <row r="1048575" spans="17:17" ht="12.75" customHeight="1">
      <c r="Q1048575" s="1706"/>
    </row>
  </sheetData>
  <customSheetViews>
    <customSheetView guid="{F2CCAFB5-9C02-49AC-87E7-8695C5014AAE}" showGridLines="0" hiddenRows="1">
      <selection sqref="A1:G1"/>
      <pageMargins left="0.75" right="0.75" top="1" bottom="1" header="0.5" footer="0.5"/>
      <pageSetup paperSize="9" orientation="portrait" horizontalDpi="300" verticalDpi="300" r:id="rId1"/>
      <headerFooter alignWithMargins="0"/>
    </customSheetView>
  </customSheetViews>
  <mergeCells count="24">
    <mergeCell ref="B2:B3"/>
    <mergeCell ref="C2:C3"/>
    <mergeCell ref="K6:L6"/>
    <mergeCell ref="K7:L7"/>
    <mergeCell ref="K8:L8"/>
    <mergeCell ref="K9:L9"/>
    <mergeCell ref="K10:L10"/>
    <mergeCell ref="K11:L11"/>
    <mergeCell ref="K12:L12"/>
    <mergeCell ref="K13:L13"/>
    <mergeCell ref="M4:M5"/>
    <mergeCell ref="I4:I5"/>
    <mergeCell ref="J4:J5"/>
    <mergeCell ref="K4:L5"/>
    <mergeCell ref="N4:N5"/>
    <mergeCell ref="O11:P11"/>
    <mergeCell ref="O12:P12"/>
    <mergeCell ref="O13:P13"/>
    <mergeCell ref="O4:P5"/>
    <mergeCell ref="O6:P6"/>
    <mergeCell ref="O7:P7"/>
    <mergeCell ref="O8:P8"/>
    <mergeCell ref="O9:P9"/>
    <mergeCell ref="O10:P10"/>
  </mergeCells>
  <dataValidations disablePrompts="1" count="2">
    <dataValidation type="list" allowBlank="1" showInputMessage="1" showErrorMessage="1" sqref="G70:G72" xr:uid="{00000000-0002-0000-0500-000000000000}">
      <formula1>YesNo</formula1>
    </dataValidation>
    <dataValidation type="list" allowBlank="1" showInputMessage="1" showErrorMessage="1" sqref="N30" xr:uid="{00000000-0002-0000-0500-000001000000}">
      <formula1>$M$34:$M$35</formula1>
    </dataValidation>
  </dataValidations>
  <pageMargins left="0.75" right="0.75" top="1" bottom="1" header="0.5" footer="0.5"/>
  <pageSetup paperSize="9" orientation="portrait" horizontalDpi="300" verticalDpi="300" r:id="rId2"/>
  <headerFooter alignWithMargins="0"/>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'1-Eng Inputs'!$N$84:$N$85</xm:f>
          </x14:formula1>
          <xm:sqref>K17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theme="6" tint="0.39997558519241921"/>
  </sheetPr>
  <dimension ref="A1:S163"/>
  <sheetViews>
    <sheetView view="pageBreakPreview" zoomScaleNormal="100" zoomScaleSheetLayoutView="100" zoomScalePageLayoutView="85" workbookViewId="0">
      <selection activeCell="G23" sqref="G23"/>
    </sheetView>
  </sheetViews>
  <sheetFormatPr defaultColWidth="8.7109375" defaultRowHeight="12.75" customHeight="1"/>
  <cols>
    <col min="1" max="1" width="16.140625" style="1527" customWidth="1"/>
    <col min="2" max="2" width="45.28515625" style="1527" customWidth="1"/>
    <col min="3" max="3" width="9.85546875" style="1527" customWidth="1"/>
    <col min="4" max="5" width="14" style="1527" customWidth="1"/>
    <col min="6" max="6" width="9.140625" style="1527" customWidth="1"/>
    <col min="7" max="16384" width="8.7109375" style="1527"/>
  </cols>
  <sheetData>
    <row r="1" spans="1:19" s="333" customFormat="1" ht="24" customHeight="1">
      <c r="A1" s="1199" t="s">
        <v>20140</v>
      </c>
      <c r="B1" s="2112" t="str">
        <f>IF(K2=1,"QUOTE","ESTIMATE")</f>
        <v>ESTIMATE</v>
      </c>
      <c r="C1" s="2113"/>
      <c r="D1" s="2113"/>
      <c r="E1" s="2113"/>
      <c r="F1" s="1728" t="s">
        <v>20465</v>
      </c>
      <c r="G1" s="1648"/>
      <c r="S1" s="1646" t="s">
        <v>43</v>
      </c>
    </row>
    <row r="2" spans="1:19" s="333" customFormat="1" ht="12" customHeight="1">
      <c r="A2" s="1199" t="s">
        <v>133</v>
      </c>
      <c r="B2" s="1238"/>
      <c r="C2" s="2140">
        <f ca="1">TODAY()</f>
        <v>43287</v>
      </c>
      <c r="D2" s="2140"/>
      <c r="E2" s="2140"/>
      <c r="G2" s="2146" t="s">
        <v>20464</v>
      </c>
      <c r="H2" s="2146"/>
      <c r="I2" s="2146"/>
      <c r="J2" s="2146"/>
      <c r="K2" s="1998">
        <v>2</v>
      </c>
      <c r="L2" s="1996"/>
      <c r="M2" s="1996"/>
      <c r="S2" s="1646" t="s">
        <v>34</v>
      </c>
    </row>
    <row r="3" spans="1:19" ht="12" customHeight="1">
      <c r="A3" s="1199" t="s">
        <v>96</v>
      </c>
      <c r="G3" s="2146"/>
      <c r="H3" s="2146"/>
      <c r="I3" s="2146"/>
      <c r="J3" s="2146"/>
      <c r="K3" s="1996"/>
      <c r="L3" s="1996"/>
      <c r="M3" s="1996"/>
    </row>
    <row r="4" spans="1:19" ht="12" customHeight="1">
      <c r="A4" s="1705" t="s">
        <v>75</v>
      </c>
      <c r="P4" s="1997"/>
    </row>
    <row r="5" spans="1:19" ht="15">
      <c r="A5" s="71"/>
      <c r="B5" s="71"/>
      <c r="C5" s="1239" t="str">
        <f>IF(B1="ESTIMATE","","QUOTE NO.  ")</f>
        <v/>
      </c>
      <c r="D5" s="2141"/>
      <c r="E5" s="2142"/>
      <c r="F5" s="1647" t="s">
        <v>20322</v>
      </c>
      <c r="P5" s="1997"/>
    </row>
    <row r="6" spans="1:19" ht="12.75" customHeight="1">
      <c r="A6" s="71"/>
      <c r="B6" s="71"/>
      <c r="C6" s="1239" t="str">
        <f>IF(B1="ESTIMATE","","EXPIRATION DATE:  ")</f>
        <v/>
      </c>
      <c r="D6" s="2143" t="str">
        <f>IF(B1="ESTIMATE","",C2+30)</f>
        <v/>
      </c>
      <c r="E6" s="2143"/>
      <c r="G6" s="1647" t="s">
        <v>20323</v>
      </c>
    </row>
    <row r="7" spans="1:19">
      <c r="A7" s="70"/>
      <c r="B7" s="70"/>
      <c r="C7" s="1239" t="str">
        <f>IF(B1="ESTIMATE","","CUSTOMER ID:  ")</f>
        <v/>
      </c>
      <c r="D7" s="2144" t="str">
        <f>IF(B1="ESTIMATE","",'1-Eng Inputs'!C6)</f>
        <v/>
      </c>
      <c r="E7" s="2144"/>
    </row>
    <row r="8" spans="1:19" ht="12.75" customHeight="1">
      <c r="A8" s="26" t="s">
        <v>113</v>
      </c>
      <c r="B8" s="1709" t="s">
        <v>20320</v>
      </c>
      <c r="C8" s="2148" t="s">
        <v>85</v>
      </c>
      <c r="D8" s="2149"/>
      <c r="E8" s="1709" t="s">
        <v>31</v>
      </c>
      <c r="F8" s="11"/>
    </row>
    <row r="9" spans="1:19">
      <c r="A9" s="27" t="str">
        <f>'1-Eng Inputs'!C5</f>
        <v xml:space="preserve">Robert Strishock </v>
      </c>
      <c r="B9" s="1710" t="str">
        <f>'1-Eng Inputs'!D10</f>
        <v>7590 Suagr Pine Court , Reno, NV 89523</v>
      </c>
      <c r="C9" s="2150" t="s">
        <v>62</v>
      </c>
      <c r="D9" s="2151"/>
      <c r="E9" s="1710" t="s">
        <v>334</v>
      </c>
      <c r="F9" s="11"/>
    </row>
    <row r="10" spans="1:19">
      <c r="A10" s="69"/>
      <c r="B10" s="69"/>
      <c r="C10" s="69"/>
      <c r="D10" s="69"/>
      <c r="E10" s="69"/>
    </row>
    <row r="11" spans="1:19">
      <c r="A11" s="1707" t="s">
        <v>410</v>
      </c>
      <c r="B11" s="1708" t="s">
        <v>411</v>
      </c>
      <c r="C11" s="28" t="s">
        <v>112</v>
      </c>
      <c r="D11" s="26" t="s">
        <v>30</v>
      </c>
      <c r="E11" s="26" t="s">
        <v>74</v>
      </c>
      <c r="F11" s="11"/>
    </row>
    <row r="12" spans="1:19" ht="13.5" customHeight="1">
      <c r="A12" s="1727" t="str">
        <f t="array" ref="A12">INDEX('2-Inputs'!$C$8:$C$61,SMALL(IF('2-Inputs'!$F$8:$F$61&gt;0,ROW('2-Inputs'!$F$8:$F$61)-7),ROW('2-Inputs'!1:1)))</f>
        <v>ECO-002_311C</v>
      </c>
      <c r="B12" s="1727" t="str">
        <f t="array" ref="B12">INDEX('2-Inputs'!$B$8:$B$61,SMALL(IF('2-Inputs'!$F$8:$F$61&gt;0,ROW('2-Inputs'!$F$8:$F$61)-7),ROW('2-Inputs'!1:1)))</f>
        <v>EcoFoot2+ 82'' Wind Deflector</v>
      </c>
      <c r="C12" s="1727" t="str">
        <f t="array" ref="C12">INDEX('2-Inputs'!$F$8:$F$61,SMALL(IF('2-Inputs'!$F$8:$F$61&gt;0,ROW('2-Inputs'!$F$8:$F$61)-7),ROW('2-Inputs'!1:1)))</f>
        <v>0</v>
      </c>
      <c r="D12" s="1727">
        <f t="array" ref="D12">INDEX('2-Inputs'!$E$8:$E$61,SMALL(IF('2-Inputs'!$F$8:$F$61&gt;0,ROW('2-Inputs'!$F$8:$F$61)-7),ROW('2-Inputs'!1:1)))</f>
        <v>9.64</v>
      </c>
      <c r="E12" s="922">
        <f>IF(C12&gt;0,D12*C12,"")</f>
        <v>0</v>
      </c>
      <c r="F12" s="1647" t="s">
        <v>20321</v>
      </c>
    </row>
    <row r="13" spans="1:19" ht="13.5" customHeight="1">
      <c r="A13" s="1727" t="str">
        <f t="array" ref="A13">INDEX('2-Inputs'!$C$8:$C$61,SMALL(IF('2-Inputs'!$F$8:$F$61&gt;0,ROW('2-Inputs'!$F$8:$F$61)-7),ROW('2-Inputs'!2:2)))</f>
        <v>ES10496</v>
      </c>
      <c r="B13" s="1727" t="str">
        <f t="array" ref="B13">INDEX('2-Inputs'!$B$8:$B$61,SMALL(IF('2-Inputs'!$F$8:$F$61&gt;0,ROW('2-Inputs'!$F$8:$F$61)-7),ROW('2-Inputs'!2:2)))</f>
        <v>EcoFoot 5D 82'' Wind Deflector</v>
      </c>
      <c r="C13" s="1727" t="str">
        <f t="array" ref="C13">INDEX('2-Inputs'!$F$8:$F$61,SMALL(IF('2-Inputs'!$F$8:$F$61&gt;0,ROW('2-Inputs'!$F$8:$F$61)-7),ROW('2-Inputs'!2:2)))</f>
        <v>0</v>
      </c>
      <c r="D13" s="1727">
        <f t="array" ref="D13">INDEX('2-Inputs'!$E$8:$E$61,SMALL(IF('2-Inputs'!$F$8:$F$61&gt;0,ROW('2-Inputs'!$F$8:$F$61)-7),ROW('2-Inputs'!2:2)))</f>
        <v>6.49</v>
      </c>
      <c r="E13" s="922">
        <f>IF(ISERR(C13),"",D13*C13)</f>
        <v>0</v>
      </c>
      <c r="F13" s="11"/>
    </row>
    <row r="14" spans="1:19" ht="13.5" customHeight="1">
      <c r="A14" s="1727" t="str">
        <f t="array" ref="A14">INDEX('2-Inputs'!$C$8:$C$61,SMALL(IF('2-Inputs'!$F$8:$F$61&gt;0,ROW('2-Inputs'!$F$8:$F$61)-7),ROW('2-Inputs'!3:3)))</f>
        <v>ES10488</v>
      </c>
      <c r="B14" s="1727" t="str">
        <f t="array" ref="B14">INDEX('2-Inputs'!$B$8:$B$61,SMALL(IF('2-Inputs'!$F$8:$F$61&gt;0,ROW('2-Inputs'!$F$8:$F$61)-7),ROW('2-Inputs'!3:3)))</f>
        <v>EcoFoot 5D 83'' Ballast Tray</v>
      </c>
      <c r="C14" s="1727" t="str">
        <f t="array" ref="C14">INDEX('2-Inputs'!$F$8:$F$61,SMALL(IF('2-Inputs'!$F$8:$F$61&gt;0,ROW('2-Inputs'!$F$8:$F$61)-7),ROW('2-Inputs'!3:3)))</f>
        <v>0</v>
      </c>
      <c r="D14" s="1727">
        <f t="array" ref="D14">INDEX('2-Inputs'!$E$8:$E$61,SMALL(IF('2-Inputs'!$F$8:$F$61&gt;0,ROW('2-Inputs'!$F$8:$F$61)-7),ROW('2-Inputs'!3:3)))</f>
        <v>14.4</v>
      </c>
      <c r="E14" s="922">
        <f t="shared" ref="E14:E36" si="0">IF(ISERR(C14),"",D14*C14)</f>
        <v>0</v>
      </c>
      <c r="F14" s="11"/>
    </row>
    <row r="15" spans="1:19" ht="13.5" customHeight="1">
      <c r="A15" s="1727" t="e">
        <f t="array" ref="A15">INDEX('2-Inputs'!$C$8:$C$61,SMALL(IF('2-Inputs'!$F$8:$F$61&gt;0,ROW('2-Inputs'!$F$8:$F$61)-7),ROW('2-Inputs'!4:4)))</f>
        <v>#NUM!</v>
      </c>
      <c r="B15" s="1727" t="e">
        <f t="array" ref="B15">INDEX('2-Inputs'!$B$8:$B$61,SMALL(IF('2-Inputs'!$F$8:$F$61&gt;0,ROW('2-Inputs'!$F$8:$F$61)-7),ROW('2-Inputs'!4:4)))</f>
        <v>#NUM!</v>
      </c>
      <c r="C15" s="1727" t="e">
        <f t="array" ref="C15">INDEX('2-Inputs'!$F$8:$F$61,SMALL(IF('2-Inputs'!$F$8:$F$61&gt;0,ROW('2-Inputs'!$F$8:$F$61)-7),ROW('2-Inputs'!4:4)))</f>
        <v>#NUM!</v>
      </c>
      <c r="D15" s="1727" t="e">
        <f t="array" ref="D15">INDEX('2-Inputs'!$E$8:$E$61,SMALL(IF('2-Inputs'!$F$8:$F$61&gt;0,ROW('2-Inputs'!$F$8:$F$61)-7),ROW('2-Inputs'!4:4)))</f>
        <v>#NUM!</v>
      </c>
      <c r="E15" s="922" t="str">
        <f t="shared" si="0"/>
        <v/>
      </c>
      <c r="F15" s="11"/>
    </row>
    <row r="16" spans="1:19" ht="13.5" customHeight="1">
      <c r="A16" s="1727" t="e">
        <f t="array" ref="A16">INDEX('2-Inputs'!$C$8:$C$61,SMALL(IF('2-Inputs'!$F$8:$F$61&gt;0,ROW('2-Inputs'!$F$8:$F$61)-7),ROW('2-Inputs'!5:5)))</f>
        <v>#NUM!</v>
      </c>
      <c r="B16" s="1727" t="e">
        <f t="array" ref="B16">INDEX('2-Inputs'!$B$8:$B$61,SMALL(IF('2-Inputs'!$F$8:$F$61&gt;0,ROW('2-Inputs'!$F$8:$F$61)-7),ROW('2-Inputs'!5:5)))</f>
        <v>#NUM!</v>
      </c>
      <c r="C16" s="1727" t="e">
        <f t="array" ref="C16">INDEX('2-Inputs'!$F$8:$F$61,SMALL(IF('2-Inputs'!$F$8:$F$61&gt;0,ROW('2-Inputs'!$F$8:$F$61)-7),ROW('2-Inputs'!5:5)))</f>
        <v>#NUM!</v>
      </c>
      <c r="D16" s="1727" t="e">
        <f t="array" ref="D16">INDEX('2-Inputs'!$E$8:$E$61,SMALL(IF('2-Inputs'!$F$8:$F$61&gt;0,ROW('2-Inputs'!$F$8:$F$61)-7),ROW('2-Inputs'!5:5)))</f>
        <v>#NUM!</v>
      </c>
      <c r="E16" s="922" t="str">
        <f t="shared" si="0"/>
        <v/>
      </c>
      <c r="F16" s="11"/>
    </row>
    <row r="17" spans="1:12" ht="13.5" customHeight="1">
      <c r="A17" s="1727" t="e">
        <f t="array" ref="A17">INDEX('2-Inputs'!$C$8:$C$61,SMALL(IF('2-Inputs'!$F$8:$F$61&gt;0,ROW('2-Inputs'!$F$8:$F$61)-7),ROW('2-Inputs'!6:6)))</f>
        <v>#NUM!</v>
      </c>
      <c r="B17" s="1727" t="e">
        <f t="array" ref="B17">INDEX('2-Inputs'!$B$8:$B$61,SMALL(IF('2-Inputs'!$F$8:$F$61&gt;0,ROW('2-Inputs'!$F$8:$F$61)-7),ROW('2-Inputs'!6:6)))</f>
        <v>#NUM!</v>
      </c>
      <c r="C17" s="1727" t="e">
        <f t="array" ref="C17">INDEX('2-Inputs'!$F$8:$F$61,SMALL(IF('2-Inputs'!$F$8:$F$61&gt;0,ROW('2-Inputs'!$F$8:$F$61)-7),ROW('2-Inputs'!6:6)))</f>
        <v>#NUM!</v>
      </c>
      <c r="D17" s="1727" t="e">
        <f t="array" ref="D17">INDEX('2-Inputs'!$E$8:$E$61,SMALL(IF('2-Inputs'!$F$8:$F$61&gt;0,ROW('2-Inputs'!$F$8:$F$61)-7),ROW('2-Inputs'!6:6)))</f>
        <v>#NUM!</v>
      </c>
      <c r="E17" s="922" t="str">
        <f t="shared" si="0"/>
        <v/>
      </c>
      <c r="F17" s="11"/>
    </row>
    <row r="18" spans="1:12" ht="13.5" customHeight="1">
      <c r="A18" s="1727" t="e">
        <f t="array" ref="A18">INDEX('2-Inputs'!$C$8:$C$61,SMALL(IF('2-Inputs'!$F$8:$F$61&gt;0,ROW('2-Inputs'!$F$8:$F$61)-7),ROW('2-Inputs'!7:7)))</f>
        <v>#NUM!</v>
      </c>
      <c r="B18" s="1727" t="e">
        <f t="array" ref="B18">INDEX('2-Inputs'!$B$8:$B$61,SMALL(IF('2-Inputs'!$F$8:$F$61&gt;0,ROW('2-Inputs'!$F$8:$F$61)-7),ROW('2-Inputs'!7:7)))</f>
        <v>#NUM!</v>
      </c>
      <c r="C18" s="1727" t="e">
        <f t="array" ref="C18">INDEX('2-Inputs'!$F$8:$F$61,SMALL(IF('2-Inputs'!$F$8:$F$61&gt;0,ROW('2-Inputs'!$F$8:$F$61)-7),ROW('2-Inputs'!7:7)))</f>
        <v>#NUM!</v>
      </c>
      <c r="D18" s="1727" t="e">
        <f t="array" ref="D18">INDEX('2-Inputs'!$E$8:$E$61,SMALL(IF('2-Inputs'!$F$8:$F$61&gt;0,ROW('2-Inputs'!$F$8:$F$61)-7),ROW('2-Inputs'!7:7)))</f>
        <v>#NUM!</v>
      </c>
      <c r="E18" s="922" t="str">
        <f t="shared" si="0"/>
        <v/>
      </c>
      <c r="F18" s="11"/>
    </row>
    <row r="19" spans="1:12" ht="13.5" customHeight="1">
      <c r="A19" s="1727" t="e">
        <f t="array" ref="A19">INDEX('2-Inputs'!$C$8:$C$61,SMALL(IF('2-Inputs'!$F$8:$F$61&gt;0,ROW('2-Inputs'!$F$8:$F$61)-7),ROW('2-Inputs'!8:8)))</f>
        <v>#NUM!</v>
      </c>
      <c r="B19" s="1727" t="e">
        <f t="array" ref="B19">INDEX('2-Inputs'!$B$8:$B$61,SMALL(IF('2-Inputs'!$F$8:$F$61&gt;0,ROW('2-Inputs'!$F$8:$F$61)-7),ROW('2-Inputs'!8:8)))</f>
        <v>#NUM!</v>
      </c>
      <c r="C19" s="1727" t="e">
        <f t="array" ref="C19">INDEX('2-Inputs'!$F$8:$F$61,SMALL(IF('2-Inputs'!$F$8:$F$61&gt;0,ROW('2-Inputs'!$F$8:$F$61)-7),ROW('2-Inputs'!8:8)))</f>
        <v>#NUM!</v>
      </c>
      <c r="D19" s="1727" t="e">
        <f t="array" ref="D19">INDEX('2-Inputs'!$E$8:$E$61,SMALL(IF('2-Inputs'!$F$8:$F$61&gt;0,ROW('2-Inputs'!$F$8:$F$61)-7),ROW('2-Inputs'!8:8)))</f>
        <v>#NUM!</v>
      </c>
      <c r="E19" s="922" t="str">
        <f t="shared" si="0"/>
        <v/>
      </c>
      <c r="F19" s="11"/>
    </row>
    <row r="20" spans="1:12" ht="13.5" customHeight="1">
      <c r="A20" s="1727" t="e">
        <f t="array" ref="A20">INDEX('2-Inputs'!$C$8:$C$61,SMALL(IF('2-Inputs'!$F$8:$F$61&gt;0,ROW('2-Inputs'!$F$8:$F$61)-7),ROW('2-Inputs'!9:9)))</f>
        <v>#NUM!</v>
      </c>
      <c r="B20" s="1727" t="e">
        <f t="array" ref="B20">INDEX('2-Inputs'!$B$8:$B$61,SMALL(IF('2-Inputs'!$F$8:$F$61&gt;0,ROW('2-Inputs'!$F$8:$F$61)-7),ROW('2-Inputs'!9:9)))</f>
        <v>#NUM!</v>
      </c>
      <c r="C20" s="1727" t="e">
        <f t="array" ref="C20">INDEX('2-Inputs'!$F$8:$F$61,SMALL(IF('2-Inputs'!$F$8:$F$61&gt;0,ROW('2-Inputs'!$F$8:$F$61)-7),ROW('2-Inputs'!9:9)))</f>
        <v>#NUM!</v>
      </c>
      <c r="D20" s="1727" t="e">
        <f t="array" ref="D20">INDEX('2-Inputs'!$E$8:$E$61,SMALL(IF('2-Inputs'!$F$8:$F$61&gt;0,ROW('2-Inputs'!$F$8:$F$61)-7),ROW('2-Inputs'!9:9)))</f>
        <v>#NUM!</v>
      </c>
      <c r="E20" s="922" t="str">
        <f t="shared" si="0"/>
        <v/>
      </c>
      <c r="F20" s="11"/>
    </row>
    <row r="21" spans="1:12" ht="13.5" customHeight="1">
      <c r="A21" s="1727" t="e">
        <f t="array" ref="A21">INDEX('2-Inputs'!$C$8:$C$61,SMALL(IF('2-Inputs'!$F$8:$F$61&gt;0,ROW('2-Inputs'!$F$8:$F$61)-7),ROW('2-Inputs'!10:10)))</f>
        <v>#NUM!</v>
      </c>
      <c r="B21" s="1727" t="e">
        <f t="array" ref="B21">INDEX('2-Inputs'!$B$8:$B$61,SMALL(IF('2-Inputs'!$F$8:$F$61&gt;0,ROW('2-Inputs'!$F$8:$F$61)-7),ROW('2-Inputs'!10:10)))</f>
        <v>#NUM!</v>
      </c>
      <c r="C21" s="1727" t="e">
        <f t="array" ref="C21">INDEX('2-Inputs'!$F$8:$F$61,SMALL(IF('2-Inputs'!$F$8:$F$61&gt;0,ROW('2-Inputs'!$F$8:$F$61)-7),ROW('2-Inputs'!10:10)))</f>
        <v>#NUM!</v>
      </c>
      <c r="D21" s="1727" t="e">
        <f t="array" ref="D21">INDEX('2-Inputs'!$E$8:$E$61,SMALL(IF('2-Inputs'!$F$8:$F$61&gt;0,ROW('2-Inputs'!$F$8:$F$61)-7),ROW('2-Inputs'!10:10)))</f>
        <v>#NUM!</v>
      </c>
      <c r="E21" s="922" t="str">
        <f t="shared" si="0"/>
        <v/>
      </c>
      <c r="F21" s="11"/>
    </row>
    <row r="22" spans="1:12" ht="13.5" customHeight="1">
      <c r="A22" s="1727" t="e">
        <f t="array" ref="A22">INDEX('2-Inputs'!$C$8:$C$61,SMALL(IF('2-Inputs'!$F$8:$F$61&gt;0,ROW('2-Inputs'!$F$8:$F$61)-7),ROW('2-Inputs'!11:11)))</f>
        <v>#NUM!</v>
      </c>
      <c r="B22" s="1727" t="e">
        <f t="array" ref="B22">INDEX('2-Inputs'!$B$8:$B$61,SMALL(IF('2-Inputs'!$F$8:$F$61&gt;0,ROW('2-Inputs'!$F$8:$F$61)-7),ROW('2-Inputs'!11:11)))</f>
        <v>#NUM!</v>
      </c>
      <c r="C22" s="1727" t="e">
        <f t="array" ref="C22">INDEX('2-Inputs'!$F$8:$F$61,SMALL(IF('2-Inputs'!$F$8:$F$61&gt;0,ROW('2-Inputs'!$F$8:$F$61)-7),ROW('2-Inputs'!11:11)))</f>
        <v>#NUM!</v>
      </c>
      <c r="D22" s="1727" t="e">
        <f t="array" ref="D22">INDEX('2-Inputs'!$E$8:$E$61,SMALL(IF('2-Inputs'!$F$8:$F$61&gt;0,ROW('2-Inputs'!$F$8:$F$61)-7),ROW('2-Inputs'!11:11)))</f>
        <v>#NUM!</v>
      </c>
      <c r="E22" s="922" t="str">
        <f t="shared" si="0"/>
        <v/>
      </c>
      <c r="F22" s="11"/>
    </row>
    <row r="23" spans="1:12" ht="13.5" customHeight="1">
      <c r="A23" s="1727" t="e">
        <f t="array" ref="A23">INDEX('2-Inputs'!$C$8:$C$61,SMALL(IF('2-Inputs'!$F$8:$F$61&gt;0,ROW('2-Inputs'!$F$8:$F$61)-7),ROW('2-Inputs'!12:12)))</f>
        <v>#NUM!</v>
      </c>
      <c r="B23" s="1727" t="e">
        <f t="array" ref="B23">INDEX('2-Inputs'!$B$8:$B$61,SMALL(IF('2-Inputs'!$F$8:$F$61&gt;0,ROW('2-Inputs'!$F$8:$F$61)-7),ROW('2-Inputs'!12:12)))</f>
        <v>#NUM!</v>
      </c>
      <c r="C23" s="1727" t="e">
        <f t="array" ref="C23">INDEX('2-Inputs'!$F$8:$F$61,SMALL(IF('2-Inputs'!$F$8:$F$61&gt;0,ROW('2-Inputs'!$F$8:$F$61)-7),ROW('2-Inputs'!12:12)))</f>
        <v>#NUM!</v>
      </c>
      <c r="D23" s="1727" t="e">
        <f t="array" ref="D23">INDEX('2-Inputs'!$E$8:$E$61,SMALL(IF('2-Inputs'!$F$8:$F$61&gt;0,ROW('2-Inputs'!$F$8:$F$61)-7),ROW('2-Inputs'!12:12)))</f>
        <v>#NUM!</v>
      </c>
      <c r="E23" s="922" t="str">
        <f t="shared" si="0"/>
        <v/>
      </c>
      <c r="F23" s="11"/>
    </row>
    <row r="24" spans="1:12" ht="13.5" customHeight="1">
      <c r="A24" s="1727" t="e">
        <f t="array" ref="A24">INDEX('2-Inputs'!$C$8:$C$61,SMALL(IF('2-Inputs'!$F$8:$F$61&gt;0,ROW('2-Inputs'!$F$8:$F$61)-7),ROW('2-Inputs'!13:13)))</f>
        <v>#NUM!</v>
      </c>
      <c r="B24" s="1727" t="e">
        <f t="array" ref="B24">INDEX('2-Inputs'!$B$8:$B$61,SMALL(IF('2-Inputs'!$F$8:$F$61&gt;0,ROW('2-Inputs'!$F$8:$F$61)-7),ROW('2-Inputs'!13:13)))</f>
        <v>#NUM!</v>
      </c>
      <c r="C24" s="1727" t="e">
        <f t="array" ref="C24">INDEX('2-Inputs'!$F$8:$F$61,SMALL(IF('2-Inputs'!$F$8:$F$61&gt;0,ROW('2-Inputs'!$F$8:$F$61)-7),ROW('2-Inputs'!13:13)))</f>
        <v>#NUM!</v>
      </c>
      <c r="D24" s="1727" t="e">
        <f t="array" ref="D24">INDEX('2-Inputs'!$E$8:$E$61,SMALL(IF('2-Inputs'!$F$8:$F$61&gt;0,ROW('2-Inputs'!$F$8:$F$61)-7),ROW('2-Inputs'!13:13)))</f>
        <v>#NUM!</v>
      </c>
      <c r="E24" s="922" t="str">
        <f t="shared" si="0"/>
        <v/>
      </c>
      <c r="F24" s="11"/>
    </row>
    <row r="25" spans="1:12" ht="13.5" customHeight="1">
      <c r="A25" s="1727" t="e">
        <f t="array" ref="A25">INDEX('2-Inputs'!$C$8:$C$61,SMALL(IF('2-Inputs'!$F$8:$F$61&gt;0,ROW('2-Inputs'!$F$8:$F$61)-7),ROW('2-Inputs'!14:14)))</f>
        <v>#NUM!</v>
      </c>
      <c r="B25" s="1727" t="e">
        <f t="array" ref="B25">INDEX('2-Inputs'!$B$8:$B$61,SMALL(IF('2-Inputs'!$F$8:$F$61&gt;0,ROW('2-Inputs'!$F$8:$F$61)-7),ROW('2-Inputs'!14:14)))</f>
        <v>#NUM!</v>
      </c>
      <c r="C25" s="1727" t="e">
        <f t="array" ref="C25">INDEX('2-Inputs'!$F$8:$F$61,SMALL(IF('2-Inputs'!$F$8:$F$61&gt;0,ROW('2-Inputs'!$F$8:$F$61)-7),ROW('2-Inputs'!14:14)))</f>
        <v>#NUM!</v>
      </c>
      <c r="D25" s="1727" t="e">
        <f t="array" ref="D25">INDEX('2-Inputs'!$E$8:$E$61,SMALL(IF('2-Inputs'!$F$8:$F$61&gt;0,ROW('2-Inputs'!$F$8:$F$61)-7),ROW('2-Inputs'!14:14)))</f>
        <v>#NUM!</v>
      </c>
      <c r="E25" s="922" t="str">
        <f t="shared" si="0"/>
        <v/>
      </c>
      <c r="F25" s="11"/>
    </row>
    <row r="26" spans="1:12" ht="13.5" customHeight="1">
      <c r="A26" s="1727" t="e">
        <f t="array" ref="A26">INDEX('2-Inputs'!$C$8:$C$61,SMALL(IF('2-Inputs'!$F$8:$F$61&gt;0,ROW('2-Inputs'!$F$8:$F$61)-7),ROW('2-Inputs'!15:15)))</f>
        <v>#NUM!</v>
      </c>
      <c r="B26" s="1727" t="e">
        <f t="array" ref="B26">INDEX('2-Inputs'!$B$8:$B$61,SMALL(IF('2-Inputs'!$F$8:$F$61&gt;0,ROW('2-Inputs'!$F$8:$F$61)-7),ROW('2-Inputs'!15:15)))</f>
        <v>#NUM!</v>
      </c>
      <c r="C26" s="1727" t="e">
        <f t="array" ref="C26">INDEX('2-Inputs'!$F$8:$F$61,SMALL(IF('2-Inputs'!$F$8:$F$61&gt;0,ROW('2-Inputs'!$F$8:$F$61)-7),ROW('2-Inputs'!15:15)))</f>
        <v>#NUM!</v>
      </c>
      <c r="D26" s="1727" t="e">
        <f t="array" ref="D26">INDEX('2-Inputs'!$E$8:$E$61,SMALL(IF('2-Inputs'!$F$8:$F$61&gt;0,ROW('2-Inputs'!$F$8:$F$61)-7),ROW('2-Inputs'!15:15)))</f>
        <v>#NUM!</v>
      </c>
      <c r="E26" s="922" t="str">
        <f t="shared" si="0"/>
        <v/>
      </c>
      <c r="F26" s="11"/>
    </row>
    <row r="27" spans="1:12" ht="13.5" customHeight="1">
      <c r="A27" s="1727" t="e">
        <f t="array" ref="A27">INDEX('2-Inputs'!$C$8:$C$61,SMALL(IF('2-Inputs'!$F$8:$F$61&gt;0,ROW('2-Inputs'!$F$8:$F$61)-7),ROW('2-Inputs'!16:16)))</f>
        <v>#NUM!</v>
      </c>
      <c r="B27" s="1727" t="e">
        <f t="array" ref="B27">INDEX('2-Inputs'!$B$8:$B$61,SMALL(IF('2-Inputs'!$F$8:$F$61&gt;0,ROW('2-Inputs'!$F$8:$F$61)-7),ROW('2-Inputs'!16:16)))</f>
        <v>#NUM!</v>
      </c>
      <c r="C27" s="1727" t="e">
        <f t="array" ref="C27">INDEX('2-Inputs'!$F$8:$F$61,SMALL(IF('2-Inputs'!$F$8:$F$61&gt;0,ROW('2-Inputs'!$F$8:$F$61)-7),ROW('2-Inputs'!16:16)))</f>
        <v>#NUM!</v>
      </c>
      <c r="D27" s="1727" t="e">
        <f t="array" ref="D27">INDEX('2-Inputs'!$E$8:$E$61,SMALL(IF('2-Inputs'!$F$8:$F$61&gt;0,ROW('2-Inputs'!$F$8:$F$61)-7),ROW('2-Inputs'!16:16)))</f>
        <v>#NUM!</v>
      </c>
      <c r="E27" s="922" t="str">
        <f t="shared" si="0"/>
        <v/>
      </c>
      <c r="F27" s="11"/>
      <c r="J27" s="1216"/>
      <c r="L27" s="1706"/>
    </row>
    <row r="28" spans="1:12" ht="13.5" customHeight="1">
      <c r="A28" s="1727" t="e">
        <f t="array" ref="A28">INDEX('2-Inputs'!$C$8:$C$61,SMALL(IF('2-Inputs'!$F$8:$F$61&gt;0,ROW('2-Inputs'!$F$8:$F$61)-7),ROW('2-Inputs'!17:17)))</f>
        <v>#NUM!</v>
      </c>
      <c r="B28" s="1727" t="e">
        <f t="array" ref="B28">INDEX('2-Inputs'!$B$8:$B$61,SMALL(IF('2-Inputs'!$F$8:$F$61&gt;0,ROW('2-Inputs'!$F$8:$F$61)-7),ROW('2-Inputs'!17:17)))</f>
        <v>#NUM!</v>
      </c>
      <c r="C28" s="1727" t="e">
        <f t="array" ref="C28">INDEX('2-Inputs'!$F$8:$F$61,SMALL(IF('2-Inputs'!$F$8:$F$61&gt;0,ROW('2-Inputs'!$F$8:$F$61)-7),ROW('2-Inputs'!17:17)))</f>
        <v>#NUM!</v>
      </c>
      <c r="D28" s="1727" t="e">
        <f t="array" ref="D28">INDEX('2-Inputs'!$E$8:$E$61,SMALL(IF('2-Inputs'!$F$8:$F$61&gt;0,ROW('2-Inputs'!$F$8:$F$61)-7),ROW('2-Inputs'!17:17)))</f>
        <v>#NUM!</v>
      </c>
      <c r="E28" s="922" t="str">
        <f t="shared" si="0"/>
        <v/>
      </c>
      <c r="F28" s="47"/>
      <c r="J28" s="1216"/>
      <c r="L28" s="1706"/>
    </row>
    <row r="29" spans="1:12" ht="13.5" customHeight="1">
      <c r="A29" s="1727" t="e">
        <f t="array" ref="A29">INDEX('2-Inputs'!$C$8:$C$61,SMALL(IF('2-Inputs'!$F$8:$F$61&gt;0,ROW('2-Inputs'!$F$8:$F$61)-7),ROW('2-Inputs'!18:18)))</f>
        <v>#NUM!</v>
      </c>
      <c r="B29" s="1727" t="e">
        <f t="array" ref="B29">INDEX('2-Inputs'!$B$8:$B$61,SMALL(IF('2-Inputs'!$F$8:$F$61&gt;0,ROW('2-Inputs'!$F$8:$F$61)-7),ROW('2-Inputs'!18:18)))</f>
        <v>#NUM!</v>
      </c>
      <c r="C29" s="1727" t="e">
        <f t="array" ref="C29">INDEX('2-Inputs'!$F$8:$F$61,SMALL(IF('2-Inputs'!$F$8:$F$61&gt;0,ROW('2-Inputs'!$F$8:$F$61)-7),ROW('2-Inputs'!18:18)))</f>
        <v>#NUM!</v>
      </c>
      <c r="D29" s="1727" t="e">
        <f t="array" ref="D29">INDEX('2-Inputs'!$E$8:$E$61,SMALL(IF('2-Inputs'!$F$8:$F$61&gt;0,ROW('2-Inputs'!$F$8:$F$61)-7),ROW('2-Inputs'!18:18)))</f>
        <v>#NUM!</v>
      </c>
      <c r="E29" s="922" t="str">
        <f t="shared" si="0"/>
        <v/>
      </c>
      <c r="F29" s="47"/>
      <c r="J29" s="1216"/>
      <c r="L29" s="1706"/>
    </row>
    <row r="30" spans="1:12" ht="13.5" customHeight="1">
      <c r="A30" s="1727" t="e">
        <f t="array" ref="A30">INDEX('2-Inputs'!$C$8:$C$61,SMALL(IF('2-Inputs'!$F$8:$F$61&gt;0,ROW('2-Inputs'!$F$8:$F$61)-7),ROW('2-Inputs'!#REF!)))</f>
        <v>#REF!</v>
      </c>
      <c r="B30" s="1727" t="e">
        <f t="array" ref="B30">INDEX('2-Inputs'!$B$8:$B$61,SMALL(IF('2-Inputs'!$F$8:$F$61&gt;0,ROW('2-Inputs'!$F$8:$F$61)-7),ROW('2-Inputs'!#REF!)))</f>
        <v>#REF!</v>
      </c>
      <c r="C30" s="1727" t="e">
        <f t="array" ref="C30">INDEX('2-Inputs'!$F$8:$F$61,SMALL(IF('2-Inputs'!$F$8:$F$61&gt;0,ROW('2-Inputs'!$F$8:$F$61)-7),ROW('2-Inputs'!#REF!)))</f>
        <v>#REF!</v>
      </c>
      <c r="D30" s="1727" t="e">
        <f t="array" ref="D30">INDEX('2-Inputs'!$E$8:$E$61,SMALL(IF('2-Inputs'!$F$8:$F$61&gt;0,ROW('2-Inputs'!$F$8:$F$61)-7),ROW('2-Inputs'!#REF!)))</f>
        <v>#REF!</v>
      </c>
      <c r="E30" s="922" t="str">
        <f t="shared" si="0"/>
        <v/>
      </c>
      <c r="F30" s="47"/>
      <c r="J30" s="1216"/>
      <c r="L30" s="1706"/>
    </row>
    <row r="31" spans="1:12" ht="13.5" customHeight="1">
      <c r="A31" s="1727" t="e">
        <f t="array" ref="A31">INDEX('2-Inputs'!$C$8:$C$61,SMALL(IF('2-Inputs'!$F$8:$F$61&gt;0,ROW('2-Inputs'!$F$8:$F$61)-7),ROW('2-Inputs'!#REF!)))</f>
        <v>#REF!</v>
      </c>
      <c r="B31" s="1727" t="e">
        <f t="array" ref="B31">INDEX('2-Inputs'!$B$8:$B$61,SMALL(IF('2-Inputs'!$F$8:$F$61&gt;0,ROW('2-Inputs'!$F$8:$F$61)-7),ROW('2-Inputs'!#REF!)))</f>
        <v>#REF!</v>
      </c>
      <c r="C31" s="1727" t="e">
        <f t="array" ref="C31">INDEX('2-Inputs'!$F$8:$F$61,SMALL(IF('2-Inputs'!$F$8:$F$61&gt;0,ROW('2-Inputs'!$F$8:$F$61)-7),ROW('2-Inputs'!#REF!)))</f>
        <v>#REF!</v>
      </c>
      <c r="D31" s="1727" t="e">
        <f t="array" ref="D31">INDEX('2-Inputs'!$E$8:$E$61,SMALL(IF('2-Inputs'!$F$8:$F$61&gt;0,ROW('2-Inputs'!$F$8:$F$61)-7),ROW('2-Inputs'!#REF!)))</f>
        <v>#REF!</v>
      </c>
      <c r="E31" s="922" t="str">
        <f t="shared" si="0"/>
        <v/>
      </c>
      <c r="F31" s="47"/>
      <c r="J31" s="1216"/>
      <c r="L31" s="1706"/>
    </row>
    <row r="32" spans="1:12" ht="13.5" customHeight="1">
      <c r="A32" s="1727" t="e">
        <f t="array" ref="A32">INDEX('2-Inputs'!$C$8:$C$61,SMALL(IF('2-Inputs'!$F$8:$F$61&gt;0,ROW('2-Inputs'!$F$8:$F$61)-7),ROW('2-Inputs'!19:19)))</f>
        <v>#NUM!</v>
      </c>
      <c r="B32" s="1727" t="e">
        <f t="array" ref="B32">INDEX('2-Inputs'!$B$8:$B$61,SMALL(IF('2-Inputs'!$F$8:$F$61&gt;0,ROW('2-Inputs'!$F$8:$F$61)-7),ROW('2-Inputs'!19:19)))</f>
        <v>#NUM!</v>
      </c>
      <c r="C32" s="1727" t="e">
        <f t="array" ref="C32">INDEX('2-Inputs'!$F$8:$F$61,SMALL(IF('2-Inputs'!$F$8:$F$61&gt;0,ROW('2-Inputs'!$F$8:$F$61)-7),ROW('2-Inputs'!19:19)))</f>
        <v>#NUM!</v>
      </c>
      <c r="D32" s="1727" t="e">
        <f t="array" ref="D32">INDEX('2-Inputs'!$E$8:$E$61,SMALL(IF('2-Inputs'!$F$8:$F$61&gt;0,ROW('2-Inputs'!$F$8:$F$61)-7),ROW('2-Inputs'!19:19)))</f>
        <v>#NUM!</v>
      </c>
      <c r="E32" s="922" t="str">
        <f t="shared" si="0"/>
        <v/>
      </c>
      <c r="F32" s="47"/>
      <c r="J32" s="1216"/>
      <c r="L32" s="1706"/>
    </row>
    <row r="33" spans="1:12" ht="13.5" customHeight="1">
      <c r="A33" s="1727" t="e">
        <f t="array" ref="A33">INDEX('2-Inputs'!$C$8:$C$61,SMALL(IF('2-Inputs'!$F$8:$F$61&gt;0,ROW('2-Inputs'!$F$8:$F$61)-7),ROW('2-Inputs'!20:20)))</f>
        <v>#NUM!</v>
      </c>
      <c r="B33" s="1727" t="e">
        <f t="array" ref="B33">INDEX('2-Inputs'!$B$8:$B$61,SMALL(IF('2-Inputs'!$F$8:$F$61&gt;0,ROW('2-Inputs'!$F$8:$F$61)-7),ROW('2-Inputs'!20:20)))</f>
        <v>#NUM!</v>
      </c>
      <c r="C33" s="1727" t="e">
        <f t="array" ref="C33">INDEX('2-Inputs'!$F$8:$F$61,SMALL(IF('2-Inputs'!$F$8:$F$61&gt;0,ROW('2-Inputs'!$F$8:$F$61)-7),ROW('2-Inputs'!20:20)))</f>
        <v>#NUM!</v>
      </c>
      <c r="D33" s="1727" t="e">
        <f t="array" ref="D33">INDEX('2-Inputs'!$E$8:$E$61,SMALL(IF('2-Inputs'!$F$8:$F$61&gt;0,ROW('2-Inputs'!$F$8:$F$61)-7),ROW('2-Inputs'!20:20)))</f>
        <v>#NUM!</v>
      </c>
      <c r="E33" s="922" t="str">
        <f t="shared" si="0"/>
        <v/>
      </c>
      <c r="F33" s="47"/>
      <c r="J33" s="1216"/>
      <c r="L33" s="1706"/>
    </row>
    <row r="34" spans="1:12" ht="13.5" customHeight="1">
      <c r="A34" s="1727" t="e">
        <f t="array" ref="A34">INDEX('2-Inputs'!$C$8:$C$61,SMALL(IF('2-Inputs'!$F$8:$F$61&gt;0,ROW('2-Inputs'!$F$8:$F$61)-7),ROW('2-Inputs'!21:21)))</f>
        <v>#NUM!</v>
      </c>
      <c r="B34" s="1727" t="e">
        <f t="array" ref="B34">INDEX('2-Inputs'!$B$8:$B$61,SMALL(IF('2-Inputs'!$F$8:$F$61&gt;0,ROW('2-Inputs'!$F$8:$F$61)-7),ROW('2-Inputs'!21:21)))</f>
        <v>#NUM!</v>
      </c>
      <c r="C34" s="1727" t="e">
        <f t="array" ref="C34">INDEX('2-Inputs'!$F$8:$F$61,SMALL(IF('2-Inputs'!$F$8:$F$61&gt;0,ROW('2-Inputs'!$F$8:$F$61)-7),ROW('2-Inputs'!21:21)))</f>
        <v>#NUM!</v>
      </c>
      <c r="D34" s="1727" t="e">
        <f t="array" ref="D34">INDEX('2-Inputs'!$E$8:$E$61,SMALL(IF('2-Inputs'!$F$8:$F$61&gt;0,ROW('2-Inputs'!$F$8:$F$61)-7),ROW('2-Inputs'!21:21)))</f>
        <v>#NUM!</v>
      </c>
      <c r="E34" s="922" t="str">
        <f t="shared" si="0"/>
        <v/>
      </c>
      <c r="F34" s="47"/>
      <c r="J34" s="1216"/>
      <c r="L34" s="1706"/>
    </row>
    <row r="35" spans="1:12" ht="13.5" customHeight="1">
      <c r="A35" s="1727" t="e">
        <f t="array" ref="A35">INDEX('2-Inputs'!$C$8:$C$61,SMALL(IF('2-Inputs'!$F$8:$F$61&gt;0,ROW('2-Inputs'!$F$8:$F$61)-7),ROW('2-Inputs'!22:22)))</f>
        <v>#NUM!</v>
      </c>
      <c r="B35" s="1727" t="e">
        <f t="array" ref="B35">INDEX('2-Inputs'!$B$8:$B$61,SMALL(IF('2-Inputs'!$F$8:$F$61&gt;0,ROW('2-Inputs'!$F$8:$F$61)-7),ROW('2-Inputs'!22:22)))</f>
        <v>#NUM!</v>
      </c>
      <c r="C35" s="1727" t="e">
        <f t="array" ref="C35">INDEX('2-Inputs'!$F$8:$F$61,SMALL(IF('2-Inputs'!$F$8:$F$61&gt;0,ROW('2-Inputs'!$F$8:$F$61)-7),ROW('2-Inputs'!22:22)))</f>
        <v>#NUM!</v>
      </c>
      <c r="D35" s="1727" t="e">
        <f t="array" ref="D35">INDEX('2-Inputs'!$E$8:$E$61,SMALL(IF('2-Inputs'!$F$8:$F$61&gt;0,ROW('2-Inputs'!$F$8:$F$61)-7),ROW('2-Inputs'!22:22)))</f>
        <v>#NUM!</v>
      </c>
      <c r="E35" s="922" t="str">
        <f t="shared" si="0"/>
        <v/>
      </c>
      <c r="F35" s="47"/>
      <c r="J35" s="1216"/>
      <c r="L35" s="1706"/>
    </row>
    <row r="36" spans="1:12" ht="13.5" customHeight="1">
      <c r="A36" s="1727" t="e">
        <f t="array" ref="A36">INDEX('2-Inputs'!$C$8:$C$61,SMALL(IF('2-Inputs'!$F$8:$F$61&gt;0,ROW('2-Inputs'!$F$8:$F$61)-7),ROW('2-Inputs'!23:23)))</f>
        <v>#NUM!</v>
      </c>
      <c r="B36" s="1727" t="e">
        <f t="array" ref="B36">INDEX('2-Inputs'!$B$8:$B$61,SMALL(IF('2-Inputs'!$F$8:$F$61&gt;0,ROW('2-Inputs'!$F$8:$F$61)-7),ROW('2-Inputs'!23:23)))</f>
        <v>#NUM!</v>
      </c>
      <c r="C36" s="1727" t="e">
        <f t="array" ref="C36">INDEX('2-Inputs'!$F$8:$F$61,SMALL(IF('2-Inputs'!$F$8:$F$61&gt;0,ROW('2-Inputs'!$F$8:$F$61)-7),ROW('2-Inputs'!23:23)))</f>
        <v>#NUM!</v>
      </c>
      <c r="D36" s="1727" t="e">
        <f t="array" ref="D36">INDEX('2-Inputs'!$E$8:$E$61,SMALL(IF('2-Inputs'!$F$8:$F$61&gt;0,ROW('2-Inputs'!$F$8:$F$61)-7),ROW('2-Inputs'!23:23)))</f>
        <v>#NUM!</v>
      </c>
      <c r="E36" s="922" t="str">
        <f t="shared" si="0"/>
        <v/>
      </c>
      <c r="H36" s="207"/>
    </row>
    <row r="37" spans="1:12" ht="13.5" customHeight="1">
      <c r="A37" s="1711" t="str">
        <f>IF('2-Inputs'!$G$63&lt;&gt;0,'2-Inputs'!$B$63,"")</f>
        <v/>
      </c>
      <c r="B37" s="1712"/>
      <c r="C37" s="921"/>
      <c r="D37" s="923"/>
      <c r="E37" s="920" t="str">
        <f>IF('2-Inputs'!$G$63&lt;&gt;0,ABS('2-Inputs'!$G$63)*(-1),"")</f>
        <v/>
      </c>
    </row>
    <row r="38" spans="1:12" ht="12.75" customHeight="1">
      <c r="A38" s="2119" t="s">
        <v>23</v>
      </c>
      <c r="B38" s="2119"/>
      <c r="D38" s="30" t="s">
        <v>24</v>
      </c>
      <c r="E38" s="710">
        <f>SUM(E12:E37)</f>
        <v>0</v>
      </c>
      <c r="F38" s="2117"/>
      <c r="G38" s="2117"/>
      <c r="H38" s="2117"/>
      <c r="I38" s="2117"/>
    </row>
    <row r="39" spans="1:12" ht="12.75" customHeight="1">
      <c r="A39" s="2117" t="str">
        <f>IF(B1="ESTIMATE","1. For estimating purposes only based on info provided, subject to change","1. Based upon information provided and is subject to change")</f>
        <v>1. For estimating purposes only based on info provided, subject to change</v>
      </c>
      <c r="B39" s="2117"/>
      <c r="C39" s="2147" t="s">
        <v>110</v>
      </c>
      <c r="D39" s="2139"/>
      <c r="E39" s="32">
        <f>'2-Inputs'!G65</f>
        <v>72.8</v>
      </c>
      <c r="F39" s="2117"/>
      <c r="G39" s="2117"/>
      <c r="H39" s="2117"/>
      <c r="I39" s="2117"/>
    </row>
    <row r="40" spans="1:12" ht="12.75" customHeight="1">
      <c r="A40" s="2117" t="str">
        <f>IF(B1="ESTIMATE","2. Does not include ballast cost, professional engineering report, shipping or taxes","2. Does not include ballast, shipping or taxes ")</f>
        <v>2. Does not include ballast cost, professional engineering report, shipping or taxes</v>
      </c>
      <c r="B40" s="2117"/>
      <c r="C40" s="2147" t="s">
        <v>1</v>
      </c>
      <c r="D40" s="2139"/>
      <c r="E40" s="31">
        <f>E38/(E39*1000)</f>
        <v>0</v>
      </c>
      <c r="F40" s="2117"/>
      <c r="G40" s="2117"/>
      <c r="H40" s="2117"/>
      <c r="I40" s="2117"/>
    </row>
    <row r="41" spans="1:12" ht="12.75" customHeight="1">
      <c r="A41" s="2117" t="str">
        <f>IF(B1="ESTIMATE","3. To place order, contact Ecolibrium Solar to receive a firm quote and ballast plan.","3. Ecofoot2+ PE certificate excludes structural analysis of building")</f>
        <v>3. To place order, contact Ecolibrium Solar to receive a firm quote and ballast plan.</v>
      </c>
      <c r="B41" s="2117"/>
      <c r="C41" s="2138" t="s">
        <v>19403</v>
      </c>
      <c r="D41" s="2139"/>
      <c r="E41" s="332">
        <f>'1-Eng Inputs'!C45</f>
        <v>48</v>
      </c>
      <c r="F41" s="2117"/>
      <c r="G41" s="2117"/>
      <c r="H41" s="2117"/>
      <c r="I41" s="2117"/>
    </row>
    <row r="42" spans="1:12" ht="12.75" customHeight="1">
      <c r="A42" s="2117" t="str">
        <f>IF(B1="ESTIMATE","","4. Submit signed quote and your P.O. to salesperson listed above to place order")</f>
        <v/>
      </c>
      <c r="B42" s="2117"/>
      <c r="C42" s="2138" t="s">
        <v>19358</v>
      </c>
      <c r="D42" s="2139"/>
      <c r="E42" s="332" t="str">
        <f>IF('2-Inputs'!G67=0,"",'2-Inputs'!G67)</f>
        <v/>
      </c>
    </row>
    <row r="43" spans="1:12" ht="12.75" customHeight="1">
      <c r="A43" s="2117"/>
      <c r="B43" s="2117"/>
    </row>
    <row r="45" spans="1:12" ht="12.75" customHeight="1">
      <c r="A45" s="2118" t="s">
        <v>101</v>
      </c>
      <c r="B45" s="2118"/>
      <c r="C45" s="2118"/>
      <c r="D45" s="2118"/>
      <c r="E45" s="2118"/>
    </row>
    <row r="46" spans="1:12" ht="12.75" customHeight="1">
      <c r="A46" s="2135" t="s">
        <v>190</v>
      </c>
      <c r="B46" s="2136"/>
      <c r="C46" s="2136"/>
      <c r="D46" s="2136"/>
      <c r="E46" s="2137"/>
    </row>
    <row r="47" spans="1:12" ht="12.75" customHeight="1">
      <c r="A47" s="13" t="s">
        <v>20244</v>
      </c>
      <c r="B47" s="14"/>
      <c r="C47" s="14"/>
      <c r="D47" s="16" t="s">
        <v>19948</v>
      </c>
      <c r="E47" s="15"/>
    </row>
    <row r="48" spans="1:12" ht="12.75" customHeight="1">
      <c r="A48" s="17" t="s">
        <v>19383</v>
      </c>
      <c r="B48" s="1518"/>
      <c r="C48" s="47"/>
      <c r="D48" s="19" t="str">
        <f>'1-Eng Inputs'!C37</f>
        <v>Landscape</v>
      </c>
      <c r="E48" s="18"/>
    </row>
    <row r="49" spans="1:7" ht="12.75" customHeight="1">
      <c r="A49" s="17" t="s">
        <v>51</v>
      </c>
      <c r="B49" s="1649"/>
      <c r="C49" s="1649"/>
      <c r="D49" s="1650">
        <f>'1-Eng Inputs'!C23</f>
        <v>208</v>
      </c>
      <c r="E49" s="18"/>
    </row>
    <row r="50" spans="1:7" ht="12.75" customHeight="1">
      <c r="A50" s="1522" t="s">
        <v>20245</v>
      </c>
      <c r="B50" s="1518"/>
      <c r="C50" s="46"/>
      <c r="D50" s="19">
        <f>'1-Eng Inputs'!C28</f>
        <v>140</v>
      </c>
      <c r="E50" s="18" t="s">
        <v>69</v>
      </c>
    </row>
    <row r="51" spans="1:7" ht="12.75" customHeight="1">
      <c r="A51" s="1522" t="s">
        <v>79</v>
      </c>
      <c r="B51" s="1518"/>
      <c r="C51" s="47"/>
      <c r="D51" s="19" t="str">
        <f>'1-Eng Inputs'!C29</f>
        <v>II</v>
      </c>
      <c r="E51" s="18"/>
    </row>
    <row r="52" spans="1:7" ht="12.75" customHeight="1">
      <c r="A52" s="1522" t="s">
        <v>64</v>
      </c>
      <c r="B52" s="1518"/>
      <c r="C52" s="47"/>
      <c r="D52" s="19" t="str">
        <f>'1-Eng Inputs'!C30</f>
        <v>C</v>
      </c>
      <c r="E52" s="18"/>
    </row>
    <row r="53" spans="1:7" ht="12.75" customHeight="1">
      <c r="A53" s="1522" t="s">
        <v>19395</v>
      </c>
      <c r="B53" s="1518"/>
      <c r="C53" s="47"/>
      <c r="D53" s="19">
        <f>'1-Eng Inputs'!C27</f>
        <v>20</v>
      </c>
      <c r="E53" s="18" t="s">
        <v>19359</v>
      </c>
    </row>
    <row r="54" spans="1:7" ht="12.75" customHeight="1">
      <c r="A54" s="1522" t="s">
        <v>19396</v>
      </c>
      <c r="B54" s="1518"/>
      <c r="C54" s="47"/>
      <c r="D54" s="50">
        <f>'1-Eng Inputs'!C20</f>
        <v>48.5</v>
      </c>
      <c r="E54" s="18" t="s">
        <v>19360</v>
      </c>
    </row>
    <row r="55" spans="1:7" ht="12.75" customHeight="1">
      <c r="A55" s="1522" t="s">
        <v>19397</v>
      </c>
      <c r="B55" s="1518"/>
      <c r="C55" s="47"/>
      <c r="D55" s="50">
        <f>'1-Eng Inputs'!C18</f>
        <v>78.900000000000006</v>
      </c>
      <c r="E55" s="18" t="s">
        <v>66</v>
      </c>
    </row>
    <row r="56" spans="1:7" ht="12.75" customHeight="1">
      <c r="A56" s="1522" t="s">
        <v>19398</v>
      </c>
      <c r="B56" s="1518"/>
      <c r="C56" s="47"/>
      <c r="D56" s="50">
        <f>'1-Eng Inputs'!C19</f>
        <v>39.4</v>
      </c>
      <c r="E56" s="18" t="s">
        <v>66</v>
      </c>
    </row>
    <row r="57" spans="1:7" ht="12.75" customHeight="1">
      <c r="A57" s="1522" t="s">
        <v>19399</v>
      </c>
      <c r="B57" s="1518"/>
      <c r="C57" s="46"/>
      <c r="D57" s="21">
        <f>'1-Eng Inputs'!C31</f>
        <v>15</v>
      </c>
      <c r="E57" s="18" t="s">
        <v>87</v>
      </c>
    </row>
    <row r="58" spans="1:7" ht="12.75" customHeight="1">
      <c r="A58" s="1522" t="s">
        <v>19400</v>
      </c>
      <c r="B58" s="1518"/>
      <c r="C58" s="46"/>
      <c r="D58" s="22">
        <f>'1-Eng Inputs'!C32</f>
        <v>1.675</v>
      </c>
      <c r="E58" s="18"/>
    </row>
    <row r="59" spans="1:7" ht="12.75" customHeight="1">
      <c r="A59" s="1522" t="s">
        <v>19380</v>
      </c>
      <c r="B59" s="1518"/>
      <c r="C59" s="46"/>
      <c r="D59" s="133">
        <f>'1-Eng Inputs'!C45</f>
        <v>48</v>
      </c>
      <c r="E59" s="18" t="s">
        <v>19402</v>
      </c>
    </row>
    <row r="60" spans="1:7" ht="12.75" customHeight="1">
      <c r="A60" s="11" t="s">
        <v>19401</v>
      </c>
      <c r="B60" s="1518"/>
      <c r="C60" s="46"/>
      <c r="D60" s="50" t="str">
        <f>'1-Eng Inputs'!C11</f>
        <v>TPO</v>
      </c>
      <c r="E60" s="18"/>
      <c r="F60" s="1518"/>
      <c r="G60" s="1518"/>
    </row>
    <row r="61" spans="1:7" ht="12.75" customHeight="1">
      <c r="A61" s="1522" t="s">
        <v>126</v>
      </c>
      <c r="B61" s="1518"/>
      <c r="C61" s="46"/>
      <c r="D61" s="22">
        <f>'5-Report'!AM43</f>
        <v>0.57999999999999996</v>
      </c>
      <c r="E61" s="18"/>
      <c r="F61" s="209"/>
      <c r="G61" s="1518"/>
    </row>
    <row r="62" spans="1:7" ht="12.75" customHeight="1">
      <c r="A62" s="1524" t="s">
        <v>132</v>
      </c>
      <c r="B62" s="1525"/>
      <c r="C62" s="1525"/>
      <c r="D62" s="1525"/>
      <c r="E62" s="1526"/>
      <c r="F62" s="1518"/>
      <c r="G62" s="1518"/>
    </row>
    <row r="63" spans="1:7" s="1518" customFormat="1">
      <c r="A63" s="210" t="s">
        <v>28</v>
      </c>
      <c r="B63" s="211"/>
      <c r="C63" s="212"/>
      <c r="D63" s="213">
        <f>'1-Eng Inputs'!C38</f>
        <v>32</v>
      </c>
      <c r="E63" s="214" t="s">
        <v>19360</v>
      </c>
    </row>
    <row r="64" spans="1:7" s="1518" customFormat="1">
      <c r="A64" s="1" t="s">
        <v>19393</v>
      </c>
      <c r="B64" s="39"/>
      <c r="C64" s="39"/>
      <c r="D64" s="60" t="str">
        <f>'1-Eng Inputs'!E71</f>
        <v>NO</v>
      </c>
      <c r="E64" s="55"/>
    </row>
    <row r="65" spans="1:5" s="1518" customFormat="1">
      <c r="A65" s="54" t="s">
        <v>32</v>
      </c>
      <c r="B65" s="46" t="s">
        <v>53</v>
      </c>
      <c r="D65" s="59">
        <f>'1-Eng Inputs'!E72</f>
        <v>5</v>
      </c>
      <c r="E65" s="56"/>
    </row>
    <row r="66" spans="1:5" s="1518" customFormat="1" ht="12.75" customHeight="1">
      <c r="A66" s="54" t="s">
        <v>218</v>
      </c>
      <c r="B66" s="46" t="s">
        <v>53</v>
      </c>
      <c r="D66" s="59">
        <f>'1-Eng Inputs'!E73</f>
        <v>5</v>
      </c>
      <c r="E66" s="56"/>
    </row>
    <row r="67" spans="1:5" s="1518" customFormat="1" ht="12.75" customHeight="1">
      <c r="A67" s="54" t="s">
        <v>222</v>
      </c>
      <c r="B67" s="46" t="s">
        <v>53</v>
      </c>
      <c r="D67" s="59">
        <f>'1-Eng Inputs'!E74</f>
        <v>4</v>
      </c>
      <c r="E67" s="56"/>
    </row>
    <row r="68" spans="1:5" s="1518" customFormat="1" ht="12.75" customHeight="1">
      <c r="A68" s="54" t="s">
        <v>94</v>
      </c>
      <c r="B68" s="46" t="s">
        <v>53</v>
      </c>
      <c r="D68" s="59">
        <f>'1-Eng Inputs'!E75</f>
        <v>5</v>
      </c>
      <c r="E68" s="56"/>
    </row>
    <row r="69" spans="1:5" s="1518" customFormat="1">
      <c r="A69" s="54" t="s">
        <v>241</v>
      </c>
      <c r="B69" s="46" t="s">
        <v>53</v>
      </c>
      <c r="D69" s="59">
        <f>'1-Eng Inputs'!E76</f>
        <v>4</v>
      </c>
      <c r="E69" s="56"/>
    </row>
    <row r="70" spans="1:5" s="1518" customFormat="1">
      <c r="A70" s="9"/>
      <c r="B70" s="46" t="s">
        <v>19357</v>
      </c>
      <c r="D70" s="93">
        <f>'1-Eng Inputs'!E77</f>
        <v>0</v>
      </c>
      <c r="E70" s="57"/>
    </row>
    <row r="71" spans="1:5" s="1518" customFormat="1">
      <c r="A71" s="1" t="s">
        <v>19394</v>
      </c>
      <c r="B71" s="39"/>
      <c r="C71" s="39"/>
      <c r="D71" s="60" t="str">
        <f>'1-Eng Inputs'!E79</f>
        <v>NO</v>
      </c>
      <c r="E71" s="55"/>
    </row>
    <row r="72" spans="1:5" s="1518" customFormat="1">
      <c r="A72" s="54" t="s">
        <v>32</v>
      </c>
      <c r="B72" s="46" t="s">
        <v>53</v>
      </c>
      <c r="D72" s="59">
        <f>'1-Eng Inputs'!E80</f>
        <v>6</v>
      </c>
      <c r="E72" s="56"/>
    </row>
    <row r="73" spans="1:5" s="1518" customFormat="1" ht="12.75" customHeight="1">
      <c r="A73" s="54" t="s">
        <v>218</v>
      </c>
      <c r="B73" s="46" t="s">
        <v>53</v>
      </c>
      <c r="D73" s="59">
        <f>'1-Eng Inputs'!E81</f>
        <v>6</v>
      </c>
      <c r="E73" s="56"/>
    </row>
    <row r="74" spans="1:5" s="1518" customFormat="1" ht="12.75" customHeight="1">
      <c r="A74" s="54" t="s">
        <v>222</v>
      </c>
      <c r="B74" s="46" t="s">
        <v>53</v>
      </c>
      <c r="D74" s="59">
        <f>'1-Eng Inputs'!E82</f>
        <v>4</v>
      </c>
      <c r="E74" s="56"/>
    </row>
    <row r="75" spans="1:5" ht="12.75" customHeight="1">
      <c r="A75" s="54" t="s">
        <v>94</v>
      </c>
      <c r="B75" s="46" t="s">
        <v>53</v>
      </c>
      <c r="C75" s="1518"/>
      <c r="D75" s="59">
        <f>'1-Eng Inputs'!E83</f>
        <v>5</v>
      </c>
      <c r="E75" s="56"/>
    </row>
    <row r="76" spans="1:5" ht="12.75" customHeight="1">
      <c r="A76" s="54" t="s">
        <v>241</v>
      </c>
      <c r="B76" s="46" t="s">
        <v>53</v>
      </c>
      <c r="C76" s="1518"/>
      <c r="D76" s="59">
        <f>'1-Eng Inputs'!E84</f>
        <v>4</v>
      </c>
      <c r="E76" s="56"/>
    </row>
    <row r="77" spans="1:5" ht="12.75" customHeight="1">
      <c r="A77" s="131"/>
      <c r="B77" s="25" t="s">
        <v>19357</v>
      </c>
      <c r="C77" s="40"/>
      <c r="D77" s="94">
        <f>'1-Eng Inputs'!E85</f>
        <v>0</v>
      </c>
      <c r="E77" s="58"/>
    </row>
    <row r="103" spans="1:7" ht="12.75" customHeight="1">
      <c r="A103" s="1651"/>
      <c r="B103" s="1651"/>
      <c r="C103" s="1651"/>
      <c r="D103" s="1651"/>
      <c r="E103" s="1651"/>
    </row>
    <row r="104" spans="1:7" ht="12.75" customHeight="1">
      <c r="A104" s="2145" t="s">
        <v>20460</v>
      </c>
      <c r="B104" s="2145"/>
      <c r="C104" s="2145"/>
      <c r="D104" s="2145"/>
      <c r="E104" s="2145"/>
      <c r="F104" s="72"/>
      <c r="G104" s="72"/>
    </row>
    <row r="105" spans="1:7" ht="12.75" customHeight="1">
      <c r="A105" s="2145"/>
      <c r="B105" s="2145"/>
      <c r="C105" s="2145"/>
      <c r="D105" s="2145"/>
      <c r="E105" s="2145"/>
      <c r="F105" s="72"/>
      <c r="G105" s="72"/>
    </row>
    <row r="106" spans="1:7" ht="12.75" customHeight="1">
      <c r="A106" s="2145"/>
      <c r="B106" s="2145"/>
      <c r="C106" s="2145"/>
      <c r="D106" s="2145"/>
      <c r="E106" s="2145"/>
      <c r="F106" s="72"/>
      <c r="G106" s="72"/>
    </row>
    <row r="107" spans="1:7" ht="12.75" customHeight="1">
      <c r="A107" s="2145"/>
      <c r="B107" s="2145"/>
      <c r="C107" s="2145"/>
      <c r="D107" s="2145"/>
      <c r="E107" s="2145"/>
      <c r="F107" s="72"/>
      <c r="G107" s="72"/>
    </row>
    <row r="108" spans="1:7" ht="12.75" customHeight="1">
      <c r="A108" s="2145"/>
      <c r="B108" s="2145"/>
      <c r="C108" s="2145"/>
      <c r="D108" s="2145"/>
      <c r="E108" s="2145"/>
      <c r="F108" s="72"/>
      <c r="G108" s="72"/>
    </row>
    <row r="109" spans="1:7" ht="12.75" customHeight="1">
      <c r="A109" s="2145"/>
      <c r="B109" s="2145"/>
      <c r="C109" s="2145"/>
      <c r="D109" s="2145"/>
      <c r="E109" s="2145"/>
      <c r="F109" s="72"/>
      <c r="G109" s="72"/>
    </row>
    <row r="110" spans="1:7" ht="12.75" customHeight="1">
      <c r="A110" s="2145"/>
      <c r="B110" s="2145"/>
      <c r="C110" s="2145"/>
      <c r="D110" s="2145"/>
      <c r="E110" s="2145"/>
      <c r="F110" s="72"/>
      <c r="G110" s="72"/>
    </row>
    <row r="111" spans="1:7" ht="12.75" customHeight="1">
      <c r="A111" s="2145"/>
      <c r="B111" s="2145"/>
      <c r="C111" s="2145"/>
      <c r="D111" s="2145"/>
      <c r="E111" s="2145"/>
      <c r="F111" s="72"/>
      <c r="G111" s="72"/>
    </row>
    <row r="112" spans="1:7" ht="12.75" customHeight="1">
      <c r="A112" s="2145"/>
      <c r="B112" s="2145"/>
      <c r="C112" s="2145"/>
      <c r="D112" s="2145"/>
      <c r="E112" s="2145"/>
      <c r="F112" s="72"/>
      <c r="G112" s="72"/>
    </row>
    <row r="113" spans="1:7" ht="12.75" customHeight="1">
      <c r="A113" s="2145"/>
      <c r="B113" s="2145"/>
      <c r="C113" s="2145"/>
      <c r="D113" s="2145"/>
      <c r="E113" s="2145"/>
      <c r="F113" s="72"/>
      <c r="G113" s="72"/>
    </row>
    <row r="114" spans="1:7" ht="12.75" customHeight="1">
      <c r="A114" s="2145"/>
      <c r="B114" s="2145"/>
      <c r="C114" s="2145"/>
      <c r="D114" s="2145"/>
      <c r="E114" s="2145"/>
      <c r="F114" s="72"/>
      <c r="G114" s="72"/>
    </row>
    <row r="115" spans="1:7" ht="12.75" customHeight="1">
      <c r="A115" s="2145"/>
      <c r="B115" s="2145"/>
      <c r="C115" s="2145"/>
      <c r="D115" s="2145"/>
      <c r="E115" s="2145"/>
      <c r="F115" s="72"/>
      <c r="G115" s="72"/>
    </row>
    <row r="116" spans="1:7" ht="12.75" customHeight="1">
      <c r="A116" s="2145"/>
      <c r="B116" s="2145"/>
      <c r="C116" s="2145"/>
      <c r="D116" s="2145"/>
      <c r="E116" s="2145"/>
      <c r="F116" s="72"/>
      <c r="G116" s="72"/>
    </row>
    <row r="117" spans="1:7" ht="12.75" customHeight="1">
      <c r="A117" s="2145"/>
      <c r="B117" s="2145"/>
      <c r="C117" s="2145"/>
      <c r="D117" s="2145"/>
      <c r="E117" s="2145"/>
      <c r="F117" s="72"/>
      <c r="G117" s="72"/>
    </row>
    <row r="118" spans="1:7" ht="12.75" customHeight="1">
      <c r="A118" s="2145"/>
      <c r="B118" s="2145"/>
      <c r="C118" s="2145"/>
      <c r="D118" s="2145"/>
      <c r="E118" s="2145"/>
      <c r="F118" s="72"/>
      <c r="G118" s="72"/>
    </row>
    <row r="119" spans="1:7" ht="12.75" customHeight="1">
      <c r="A119" s="2145"/>
      <c r="B119" s="2145"/>
      <c r="C119" s="2145"/>
      <c r="D119" s="2145"/>
      <c r="E119" s="2145"/>
      <c r="F119" s="72"/>
      <c r="G119" s="72"/>
    </row>
    <row r="120" spans="1:7" ht="12.75" customHeight="1">
      <c r="A120" s="2145"/>
      <c r="B120" s="2145"/>
      <c r="C120" s="2145"/>
      <c r="D120" s="2145"/>
      <c r="E120" s="2145"/>
      <c r="F120" s="72"/>
      <c r="G120" s="72"/>
    </row>
    <row r="121" spans="1:7" ht="12.75" customHeight="1">
      <c r="A121" s="2145"/>
      <c r="B121" s="2145"/>
      <c r="C121" s="2145"/>
      <c r="D121" s="2145"/>
      <c r="E121" s="2145"/>
      <c r="F121" s="72"/>
      <c r="G121" s="72"/>
    </row>
    <row r="122" spans="1:7" ht="12.75" customHeight="1">
      <c r="A122" s="2145"/>
      <c r="B122" s="2145"/>
      <c r="C122" s="2145"/>
      <c r="D122" s="2145"/>
      <c r="E122" s="2145"/>
      <c r="F122" s="72"/>
      <c r="G122" s="72"/>
    </row>
    <row r="123" spans="1:7" ht="12.75" customHeight="1">
      <c r="A123" s="2145"/>
      <c r="B123" s="2145"/>
      <c r="C123" s="2145"/>
      <c r="D123" s="2145"/>
      <c r="E123" s="2145"/>
      <c r="F123" s="72"/>
      <c r="G123" s="72"/>
    </row>
    <row r="124" spans="1:7" ht="12.75" customHeight="1">
      <c r="A124" s="2145"/>
      <c r="B124" s="2145"/>
      <c r="C124" s="2145"/>
      <c r="D124" s="2145"/>
      <c r="E124" s="2145"/>
      <c r="F124" s="72"/>
      <c r="G124" s="72"/>
    </row>
    <row r="125" spans="1:7" ht="12.75" customHeight="1">
      <c r="A125" s="2145"/>
      <c r="B125" s="2145"/>
      <c r="C125" s="2145"/>
      <c r="D125" s="2145"/>
      <c r="E125" s="2145"/>
      <c r="F125" s="72"/>
      <c r="G125" s="72"/>
    </row>
    <row r="126" spans="1:7" ht="12.75" customHeight="1">
      <c r="A126" s="2145"/>
      <c r="B126" s="2145"/>
      <c r="C126" s="2145"/>
      <c r="D126" s="2145"/>
      <c r="E126" s="2145"/>
      <c r="F126" s="72"/>
      <c r="G126" s="72"/>
    </row>
    <row r="127" spans="1:7" ht="12.75" customHeight="1">
      <c r="A127" s="2145"/>
      <c r="B127" s="2145"/>
      <c r="C127" s="2145"/>
      <c r="D127" s="2145"/>
      <c r="E127" s="2145"/>
      <c r="F127" s="72"/>
      <c r="G127" s="72"/>
    </row>
    <row r="128" spans="1:7" ht="12.75" customHeight="1">
      <c r="A128" s="2145"/>
      <c r="B128" s="2145"/>
      <c r="C128" s="2145"/>
      <c r="D128" s="2145"/>
      <c r="E128" s="2145"/>
      <c r="F128" s="72"/>
      <c r="G128" s="72"/>
    </row>
    <row r="129" spans="1:7" ht="12.75" customHeight="1">
      <c r="A129" s="2145"/>
      <c r="B129" s="2145"/>
      <c r="C129" s="2145"/>
      <c r="D129" s="2145"/>
      <c r="E129" s="2145"/>
      <c r="F129" s="72"/>
      <c r="G129" s="72"/>
    </row>
    <row r="130" spans="1:7" ht="12.75" customHeight="1">
      <c r="A130" s="2145"/>
      <c r="B130" s="2145"/>
      <c r="C130" s="2145"/>
      <c r="D130" s="2145"/>
      <c r="E130" s="2145"/>
      <c r="F130" s="72"/>
      <c r="G130" s="72"/>
    </row>
    <row r="131" spans="1:7" ht="12.75" customHeight="1">
      <c r="A131" s="2145"/>
      <c r="B131" s="2145"/>
      <c r="C131" s="2145"/>
      <c r="D131" s="2145"/>
      <c r="E131" s="2145"/>
      <c r="F131" s="72"/>
      <c r="G131" s="72"/>
    </row>
    <row r="132" spans="1:7" ht="12.75" customHeight="1">
      <c r="A132" s="2145"/>
      <c r="B132" s="2145"/>
      <c r="C132" s="2145"/>
      <c r="D132" s="2145"/>
      <c r="E132" s="2145"/>
      <c r="F132" s="72"/>
      <c r="G132" s="72"/>
    </row>
    <row r="133" spans="1:7" ht="12.75" customHeight="1">
      <c r="A133" s="2145"/>
      <c r="B133" s="2145"/>
      <c r="C133" s="2145"/>
      <c r="D133" s="2145"/>
      <c r="E133" s="2145"/>
      <c r="F133" s="72"/>
      <c r="G133" s="72"/>
    </row>
    <row r="134" spans="1:7" ht="12.75" customHeight="1">
      <c r="A134" s="2145"/>
      <c r="B134" s="2145"/>
      <c r="C134" s="2145"/>
      <c r="D134" s="2145"/>
      <c r="E134" s="2145"/>
      <c r="F134" s="72"/>
      <c r="G134" s="72"/>
    </row>
    <row r="135" spans="1:7" ht="12.75" customHeight="1">
      <c r="A135" s="2145"/>
      <c r="B135" s="2145"/>
      <c r="C135" s="2145"/>
      <c r="D135" s="2145"/>
      <c r="E135" s="2145"/>
      <c r="F135" s="72"/>
      <c r="G135" s="72"/>
    </row>
    <row r="136" spans="1:7" ht="12.75" customHeight="1">
      <c r="A136" s="2145"/>
      <c r="B136" s="2145"/>
      <c r="C136" s="2145"/>
      <c r="D136" s="2145"/>
      <c r="E136" s="2145"/>
      <c r="F136" s="72"/>
      <c r="G136" s="72"/>
    </row>
    <row r="137" spans="1:7" ht="12.75" customHeight="1">
      <c r="A137" s="2145"/>
      <c r="B137" s="2145"/>
      <c r="C137" s="2145"/>
      <c r="D137" s="2145"/>
      <c r="E137" s="2145"/>
      <c r="F137" s="72"/>
      <c r="G137" s="72"/>
    </row>
    <row r="138" spans="1:7" ht="12.75" customHeight="1">
      <c r="A138" s="2145"/>
      <c r="B138" s="2145"/>
      <c r="C138" s="2145"/>
      <c r="D138" s="2145"/>
      <c r="E138" s="2145"/>
      <c r="F138" s="72"/>
      <c r="G138" s="72"/>
    </row>
    <row r="139" spans="1:7" ht="12.75" customHeight="1">
      <c r="A139" s="2145"/>
      <c r="B139" s="2145"/>
      <c r="C139" s="2145"/>
      <c r="D139" s="2145"/>
      <c r="E139" s="2145"/>
      <c r="F139" s="72"/>
      <c r="G139" s="72"/>
    </row>
    <row r="140" spans="1:7" ht="12.75" customHeight="1">
      <c r="A140" s="2145"/>
      <c r="B140" s="2145"/>
      <c r="C140" s="2145"/>
      <c r="D140" s="2145"/>
      <c r="E140" s="2145"/>
      <c r="F140" s="72"/>
      <c r="G140" s="72"/>
    </row>
    <row r="141" spans="1:7" ht="12.75" customHeight="1">
      <c r="A141" s="2145"/>
      <c r="B141" s="2145"/>
      <c r="C141" s="2145"/>
      <c r="D141" s="2145"/>
      <c r="E141" s="2145"/>
      <c r="F141" s="72"/>
      <c r="G141" s="72"/>
    </row>
    <row r="142" spans="1:7" ht="12.75" customHeight="1">
      <c r="A142" s="2145"/>
      <c r="B142" s="2145"/>
      <c r="C142" s="2145"/>
      <c r="D142" s="2145"/>
      <c r="E142" s="2145"/>
      <c r="F142" s="72"/>
      <c r="G142" s="72"/>
    </row>
    <row r="143" spans="1:7" ht="12.75" customHeight="1">
      <c r="A143" s="2145"/>
      <c r="B143" s="2145"/>
      <c r="C143" s="2145"/>
      <c r="D143" s="2145"/>
      <c r="E143" s="2145"/>
      <c r="F143" s="72"/>
      <c r="G143" s="72"/>
    </row>
    <row r="144" spans="1:7" ht="12.75" customHeight="1">
      <c r="A144" s="2145"/>
      <c r="B144" s="2145"/>
      <c r="C144" s="2145"/>
      <c r="D144" s="2145"/>
      <c r="E144" s="2145"/>
      <c r="F144" s="72"/>
      <c r="G144" s="72"/>
    </row>
    <row r="145" spans="1:7" ht="12.75" customHeight="1">
      <c r="A145" s="2145"/>
      <c r="B145" s="2145"/>
      <c r="C145" s="2145"/>
      <c r="D145" s="2145"/>
      <c r="E145" s="2145"/>
      <c r="F145" s="72"/>
      <c r="G145" s="72"/>
    </row>
    <row r="146" spans="1:7" ht="12.75" customHeight="1">
      <c r="A146" s="2145"/>
      <c r="B146" s="2145"/>
      <c r="C146" s="2145"/>
      <c r="D146" s="2145"/>
      <c r="E146" s="2145"/>
      <c r="F146" s="72"/>
      <c r="G146" s="72"/>
    </row>
    <row r="147" spans="1:7" ht="12.75" customHeight="1">
      <c r="A147" s="2145"/>
      <c r="B147" s="2145"/>
      <c r="C147" s="2145"/>
      <c r="D147" s="2145"/>
      <c r="E147" s="2145"/>
      <c r="F147" s="72"/>
      <c r="G147" s="72"/>
    </row>
    <row r="148" spans="1:7" ht="12.75" customHeight="1">
      <c r="A148" s="2145"/>
      <c r="B148" s="2145"/>
      <c r="C148" s="2145"/>
      <c r="D148" s="2145"/>
      <c r="E148" s="2145"/>
      <c r="F148" s="72"/>
      <c r="G148" s="72"/>
    </row>
    <row r="149" spans="1:7" ht="12.75" customHeight="1">
      <c r="A149" s="2145"/>
      <c r="B149" s="2145"/>
      <c r="C149" s="2145"/>
      <c r="D149" s="2145"/>
      <c r="E149" s="2145"/>
      <c r="F149" s="72"/>
      <c r="G149" s="72"/>
    </row>
    <row r="150" spans="1:7" ht="12.75" customHeight="1">
      <c r="A150" s="2145"/>
      <c r="B150" s="2145"/>
      <c r="C150" s="2145"/>
      <c r="D150" s="2145"/>
      <c r="E150" s="2145"/>
      <c r="F150" s="72"/>
      <c r="G150" s="72"/>
    </row>
    <row r="151" spans="1:7" ht="12.75" customHeight="1">
      <c r="A151" s="2145"/>
      <c r="B151" s="2145"/>
      <c r="C151" s="2145"/>
      <c r="D151" s="2145"/>
      <c r="E151" s="2145"/>
      <c r="F151" s="72"/>
      <c r="G151" s="72"/>
    </row>
    <row r="152" spans="1:7" ht="12.75" customHeight="1">
      <c r="A152" s="2145"/>
      <c r="B152" s="2145"/>
      <c r="C152" s="2145"/>
      <c r="D152" s="2145"/>
      <c r="E152" s="2145"/>
    </row>
    <row r="153" spans="1:7" ht="12.75" customHeight="1">
      <c r="A153" s="2145"/>
      <c r="B153" s="2145"/>
      <c r="C153" s="2145"/>
      <c r="D153" s="2145"/>
      <c r="E153" s="2145"/>
    </row>
    <row r="154" spans="1:7" ht="12.75" customHeight="1">
      <c r="A154" s="2145"/>
      <c r="B154" s="2145"/>
      <c r="C154" s="2145"/>
      <c r="D154" s="2145"/>
      <c r="E154" s="2145"/>
    </row>
    <row r="155" spans="1:7" ht="12.75" customHeight="1">
      <c r="A155" s="2145"/>
      <c r="B155" s="2145"/>
      <c r="C155" s="2145"/>
      <c r="D155" s="2145"/>
      <c r="E155" s="2145"/>
    </row>
    <row r="156" spans="1:7" ht="12.75" customHeight="1">
      <c r="A156" s="2145"/>
      <c r="B156" s="2145"/>
      <c r="C156" s="2145"/>
      <c r="D156" s="2145"/>
      <c r="E156" s="2145"/>
    </row>
    <row r="157" spans="1:7" ht="12.75" customHeight="1">
      <c r="A157" s="2145"/>
      <c r="B157" s="2145"/>
      <c r="C157" s="2145"/>
      <c r="D157" s="2145"/>
      <c r="E157" s="2145"/>
    </row>
    <row r="158" spans="1:7" ht="12.75" customHeight="1">
      <c r="A158" s="2145"/>
      <c r="B158" s="2145"/>
      <c r="C158" s="2145"/>
      <c r="D158" s="2145"/>
      <c r="E158" s="2145"/>
    </row>
    <row r="159" spans="1:7" ht="12.75" customHeight="1">
      <c r="A159" s="2145"/>
      <c r="B159" s="2145"/>
      <c r="C159" s="2145"/>
      <c r="D159" s="2145"/>
      <c r="E159" s="2145"/>
    </row>
    <row r="160" spans="1:7" ht="12.75" customHeight="1">
      <c r="A160" s="2145"/>
      <c r="B160" s="2145"/>
      <c r="C160" s="2145"/>
      <c r="D160" s="2145"/>
      <c r="E160" s="2145"/>
    </row>
    <row r="161" spans="1:5" ht="12.75" customHeight="1">
      <c r="A161" s="2145"/>
      <c r="B161" s="2145"/>
      <c r="C161" s="2145"/>
      <c r="D161" s="2145"/>
      <c r="E161" s="2145"/>
    </row>
    <row r="162" spans="1:5" ht="12.75" customHeight="1">
      <c r="A162" s="2145"/>
      <c r="B162" s="2145"/>
      <c r="C162" s="2145"/>
      <c r="D162" s="2145"/>
      <c r="E162" s="2145"/>
    </row>
    <row r="163" spans="1:5" ht="12.75" customHeight="1">
      <c r="A163" s="2145"/>
      <c r="B163" s="2145"/>
      <c r="C163" s="2145"/>
      <c r="D163" s="2145"/>
      <c r="E163" s="2145"/>
    </row>
  </sheetData>
  <mergeCells count="25">
    <mergeCell ref="A104:E163"/>
    <mergeCell ref="G2:J3"/>
    <mergeCell ref="F41:I41"/>
    <mergeCell ref="A42:B42"/>
    <mergeCell ref="C42:D42"/>
    <mergeCell ref="A43:B43"/>
    <mergeCell ref="A38:B38"/>
    <mergeCell ref="F38:I38"/>
    <mergeCell ref="A39:B39"/>
    <mergeCell ref="C39:D39"/>
    <mergeCell ref="F39:I39"/>
    <mergeCell ref="A40:B40"/>
    <mergeCell ref="C40:D40"/>
    <mergeCell ref="F40:I40"/>
    <mergeCell ref="C8:D8"/>
    <mergeCell ref="C9:D9"/>
    <mergeCell ref="A45:E45"/>
    <mergeCell ref="A46:E46"/>
    <mergeCell ref="A41:B41"/>
    <mergeCell ref="C41:D41"/>
    <mergeCell ref="B1:E1"/>
    <mergeCell ref="C2:E2"/>
    <mergeCell ref="D5:E5"/>
    <mergeCell ref="D6:E6"/>
    <mergeCell ref="D7:E7"/>
  </mergeCells>
  <conditionalFormatting sqref="D64:D77">
    <cfRule type="containsText" dxfId="6234" priority="11" operator="containsText" text="YES">
      <formula>NOT(ISERROR(SEARCH("YES",D64)))</formula>
    </cfRule>
    <cfRule type="containsText" dxfId="6233" priority="12" operator="containsText" text="NO">
      <formula>NOT(ISERROR(SEARCH("NO",D64)))</formula>
    </cfRule>
  </conditionalFormatting>
  <conditionalFormatting sqref="A12:E36">
    <cfRule type="expression" dxfId="6232" priority="1">
      <formula>ISERR($C12)</formula>
    </cfRule>
    <cfRule type="expression" dxfId="6231" priority="2">
      <formula>OR($C12=0,ISERROR($C12))</formula>
    </cfRule>
  </conditionalFormatting>
  <pageMargins left="0.7" right="0.7" top="0.75" bottom="0.75" header="0.3" footer="0.3"/>
  <pageSetup scale="88" orientation="portrait" horizontalDpi="300" verticalDpi="300" r:id="rId1"/>
  <headerFooter alignWithMargins="0">
    <oddHeader>&amp;L&amp;G</oddHeader>
    <oddFooter>&amp;LCreated &amp;D&amp;CEcoFoot® by Ecolibrium Solar®&amp;Rpage &amp;P of &amp;N</oddFooter>
  </headerFooter>
  <rowBreaks count="2" manualBreakCount="2">
    <brk id="45" max="16383" man="1"/>
    <brk id="102" max="16383" man="1"/>
  </rowBreaks>
  <colBreaks count="1" manualBreakCount="1">
    <brk id="5" max="76"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04" r:id="rId5" name="Drop Down 4">
              <controlPr defaultSize="0" autoLine="0" autoPict="0">
                <anchor moveWithCells="1">
                  <from>
                    <xdr:col>8</xdr:col>
                    <xdr:colOff>495300</xdr:colOff>
                    <xdr:row>1</xdr:row>
                    <xdr:rowOff>9525</xdr:rowOff>
                  </from>
                  <to>
                    <xdr:col>11</xdr:col>
                    <xdr:colOff>323850</xdr:colOff>
                    <xdr:row>2</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6" tint="0.39997558519241921"/>
  </sheetPr>
  <dimension ref="A1:Q63"/>
  <sheetViews>
    <sheetView view="pageBreakPreview" zoomScaleNormal="70" zoomScaleSheetLayoutView="100" zoomScalePageLayoutView="70" workbookViewId="0">
      <selection activeCell="A7" sqref="A7"/>
    </sheetView>
  </sheetViews>
  <sheetFormatPr defaultColWidth="8.7109375" defaultRowHeight="12.75" customHeight="1"/>
  <cols>
    <col min="1" max="1" width="4.7109375" customWidth="1"/>
    <col min="2" max="2" width="20.7109375" customWidth="1"/>
    <col min="3" max="3" width="14.7109375" customWidth="1"/>
    <col min="4" max="5" width="4.7109375" customWidth="1"/>
    <col min="6" max="6" width="20.7109375" customWidth="1"/>
    <col min="7" max="8" width="16.7109375" customWidth="1"/>
    <col min="9" max="9" width="9.140625" customWidth="1"/>
    <col min="17" max="17" width="43" customWidth="1"/>
  </cols>
  <sheetData>
    <row r="1" spans="1:17" ht="48" customHeight="1">
      <c r="A1" s="25"/>
      <c r="B1" s="25"/>
      <c r="C1" s="2153" t="s">
        <v>19234</v>
      </c>
      <c r="D1" s="2153"/>
      <c r="E1" s="2153"/>
      <c r="F1" s="2153"/>
      <c r="G1" s="2153"/>
      <c r="H1" s="2153"/>
    </row>
    <row r="2" spans="1:17" ht="15">
      <c r="A2" s="2155"/>
      <c r="B2" s="2155"/>
      <c r="C2" s="2156"/>
      <c r="D2" s="2157"/>
      <c r="E2" s="2156"/>
      <c r="F2" s="2156"/>
      <c r="G2" s="2156"/>
      <c r="H2" s="5"/>
    </row>
    <row r="3" spans="1:17" s="207" customFormat="1">
      <c r="A3" s="23" t="s">
        <v>19235</v>
      </c>
      <c r="B3" s="2154" t="str">
        <f>'1-Eng Inputs'!C6</f>
        <v xml:space="preserve">CED greentech Denver </v>
      </c>
      <c r="C3" s="2154"/>
      <c r="D3" s="2154"/>
      <c r="E3" s="251"/>
      <c r="F3" s="251"/>
      <c r="G3" s="251"/>
      <c r="H3" s="251"/>
    </row>
    <row r="4" spans="1:17" s="207" customFormat="1">
      <c r="A4" s="251"/>
      <c r="B4" s="2154" t="str">
        <f>'1-Eng Inputs'!C8</f>
        <v>Patagonia Reno</v>
      </c>
      <c r="C4" s="2154"/>
      <c r="D4" s="2154"/>
      <c r="E4" s="251"/>
      <c r="F4" s="251"/>
      <c r="G4" s="251"/>
      <c r="H4" s="251"/>
    </row>
    <row r="5" spans="1:17" s="207" customFormat="1">
      <c r="A5" s="251"/>
      <c r="B5" s="2154" t="str">
        <f>'1-Eng Inputs'!C9</f>
        <v xml:space="preserve">7590 Suagr Pine Court </v>
      </c>
      <c r="C5" s="2154"/>
      <c r="D5" s="2154"/>
      <c r="E5" s="251"/>
      <c r="F5" s="251"/>
      <c r="G5" s="251"/>
      <c r="H5" s="251"/>
    </row>
    <row r="6" spans="1:17" s="207" customFormat="1">
      <c r="A6" s="251"/>
      <c r="B6" s="2154" t="str">
        <f>(VLOOKUP('1-Eng Inputs'!C10,ZIPS!A3:B41874,2))&amp;", "&amp;(VLOOKUP('1-Eng Inputs'!C10,ZIPS!A3:C41874,3))&amp;" "&amp;'1-Eng Inputs'!C10</f>
        <v>Reno, NV 89523</v>
      </c>
      <c r="C6" s="2154"/>
      <c r="D6" s="2154"/>
      <c r="E6" s="251"/>
      <c r="F6" s="251"/>
      <c r="G6" s="251"/>
      <c r="H6" s="251"/>
    </row>
    <row r="7" spans="1:17" ht="14.25">
      <c r="A7" s="253"/>
      <c r="B7" s="253"/>
      <c r="C7" s="253"/>
      <c r="D7" s="148"/>
      <c r="E7" s="253"/>
      <c r="F7" s="253"/>
      <c r="G7" s="253"/>
      <c r="H7" s="253"/>
    </row>
    <row r="8" spans="1:17" ht="12.75" customHeight="1">
      <c r="A8" s="2152" t="s">
        <v>19239</v>
      </c>
      <c r="B8" s="2152"/>
      <c r="C8" s="2152"/>
      <c r="D8" s="2152"/>
      <c r="E8" s="2152"/>
      <c r="F8" s="2152"/>
      <c r="G8" s="2152"/>
      <c r="H8" s="2152"/>
      <c r="J8" s="254"/>
      <c r="K8" s="254"/>
      <c r="L8" s="254"/>
      <c r="M8" s="254"/>
      <c r="N8" s="254"/>
      <c r="O8" s="254"/>
      <c r="P8" s="254"/>
      <c r="Q8" s="254"/>
    </row>
    <row r="9" spans="1:17" ht="12.75" customHeight="1">
      <c r="A9" s="2152"/>
      <c r="B9" s="2152"/>
      <c r="C9" s="2152"/>
      <c r="D9" s="2152"/>
      <c r="E9" s="2152"/>
      <c r="F9" s="2152"/>
      <c r="G9" s="2152"/>
      <c r="H9" s="2152"/>
      <c r="J9" s="254"/>
      <c r="K9" s="254"/>
      <c r="L9" s="254"/>
      <c r="M9" s="254"/>
      <c r="N9" s="254"/>
      <c r="O9" s="254"/>
      <c r="P9" s="254"/>
      <c r="Q9" s="254"/>
    </row>
    <row r="10" spans="1:17" ht="12.75" customHeight="1">
      <c r="A10" s="2152"/>
      <c r="B10" s="2152"/>
      <c r="C10" s="2152"/>
      <c r="D10" s="2152"/>
      <c r="E10" s="2152"/>
      <c r="F10" s="2152"/>
      <c r="G10" s="2152"/>
      <c r="H10" s="2152"/>
      <c r="J10" s="254"/>
      <c r="K10" s="254"/>
      <c r="L10" s="254"/>
      <c r="M10" s="254"/>
      <c r="N10" s="254"/>
      <c r="O10" s="254"/>
      <c r="P10" s="254"/>
      <c r="Q10" s="254"/>
    </row>
    <row r="11" spans="1:17" ht="12.75" customHeight="1">
      <c r="A11" s="254"/>
      <c r="B11" s="254"/>
      <c r="C11" s="254"/>
      <c r="D11" s="254"/>
      <c r="E11" s="254"/>
      <c r="F11" s="254"/>
      <c r="G11" s="254"/>
      <c r="H11" s="254"/>
      <c r="J11" s="254"/>
      <c r="K11" s="254"/>
      <c r="L11" s="254"/>
      <c r="M11" s="254"/>
      <c r="N11" s="254"/>
      <c r="O11" s="254"/>
      <c r="P11" s="254"/>
      <c r="Q11" s="254"/>
    </row>
    <row r="12" spans="1:17" ht="12.75" customHeight="1">
      <c r="A12" s="255"/>
      <c r="B12" s="258" t="s">
        <v>19241</v>
      </c>
      <c r="C12" s="258"/>
      <c r="D12" s="254"/>
      <c r="E12" s="40"/>
      <c r="F12" s="258" t="s">
        <v>19252</v>
      </c>
      <c r="G12" s="254"/>
      <c r="H12" s="254"/>
      <c r="J12" s="254"/>
      <c r="K12" s="254"/>
      <c r="L12" s="254"/>
      <c r="M12" s="254"/>
      <c r="N12" s="254"/>
      <c r="O12" s="254"/>
      <c r="P12" s="254"/>
      <c r="Q12" s="254"/>
    </row>
    <row r="13" spans="1:17" ht="12.75" customHeight="1">
      <c r="A13" s="254"/>
      <c r="B13" s="256" t="s">
        <v>19242</v>
      </c>
      <c r="C13" s="257" t="str">
        <f>'1-Eng Inputs'!$C$15</f>
        <v>REC</v>
      </c>
      <c r="D13" s="254"/>
      <c r="F13" s="256" t="s">
        <v>19253</v>
      </c>
      <c r="G13" s="257">
        <f>'1-Eng Inputs'!$C$28</f>
        <v>140</v>
      </c>
      <c r="H13" s="254"/>
      <c r="J13" s="254"/>
      <c r="K13" s="254"/>
      <c r="L13" s="254"/>
      <c r="M13" s="254"/>
      <c r="N13" s="254"/>
      <c r="O13" s="254"/>
      <c r="P13" s="254"/>
      <c r="Q13" s="254"/>
    </row>
    <row r="14" spans="1:17" ht="12.75" customHeight="1">
      <c r="A14" s="254"/>
      <c r="B14" s="256" t="s">
        <v>19243</v>
      </c>
      <c r="C14" s="257" t="str">
        <f>'1-Eng Inputs'!$C$16</f>
        <v>REC350TP2S-72</v>
      </c>
      <c r="D14" s="254"/>
      <c r="F14" s="256" t="s">
        <v>19255</v>
      </c>
      <c r="G14" s="257" t="str">
        <f>'1-Eng Inputs'!$C$30</f>
        <v>C</v>
      </c>
      <c r="H14" s="254"/>
      <c r="J14" s="254"/>
      <c r="K14" s="254"/>
      <c r="L14" s="254"/>
      <c r="M14" s="254"/>
      <c r="N14" s="254"/>
      <c r="O14" s="254"/>
      <c r="P14" s="254"/>
      <c r="Q14" s="254"/>
    </row>
    <row r="15" spans="1:17" ht="12.75" customHeight="1">
      <c r="A15" s="254"/>
      <c r="B15" s="256" t="s">
        <v>19244</v>
      </c>
      <c r="C15" s="257">
        <f>'1-Eng Inputs'!$C$23</f>
        <v>208</v>
      </c>
      <c r="D15" s="254"/>
      <c r="F15" s="256" t="s">
        <v>19254</v>
      </c>
      <c r="G15" s="257">
        <f>'1-Eng Inputs'!$C$31</f>
        <v>15</v>
      </c>
      <c r="H15" s="254"/>
      <c r="J15" s="254"/>
      <c r="K15" s="254"/>
      <c r="L15" s="254"/>
      <c r="M15" s="254"/>
      <c r="N15" s="254"/>
      <c r="O15" s="254"/>
      <c r="P15" s="254"/>
      <c r="Q15" s="254"/>
    </row>
    <row r="16" spans="1:17" ht="12.75" customHeight="1">
      <c r="A16" s="254"/>
      <c r="B16" s="254"/>
      <c r="C16" s="254"/>
      <c r="D16" s="254"/>
      <c r="F16" s="254"/>
      <c r="G16" s="254"/>
      <c r="H16" s="254"/>
      <c r="J16" s="254"/>
      <c r="K16" s="254"/>
      <c r="L16" s="254"/>
      <c r="M16" s="254"/>
      <c r="N16" s="254"/>
      <c r="O16" s="254"/>
      <c r="P16" s="254"/>
      <c r="Q16" s="254"/>
    </row>
    <row r="17" spans="1:17" ht="12.75" customHeight="1">
      <c r="A17" s="255"/>
      <c r="B17" s="254" t="s">
        <v>19256</v>
      </c>
      <c r="C17" s="254"/>
      <c r="D17" s="254"/>
      <c r="E17" s="40"/>
      <c r="F17" s="257" t="s">
        <v>19259</v>
      </c>
      <c r="H17" s="254"/>
      <c r="J17" s="254"/>
      <c r="K17" s="254"/>
      <c r="L17" s="254"/>
      <c r="M17" s="254"/>
      <c r="N17" s="254"/>
      <c r="O17" s="254"/>
      <c r="P17" s="254"/>
      <c r="Q17" s="254"/>
    </row>
    <row r="18" spans="1:17" ht="12.75" customHeight="1">
      <c r="A18" s="254"/>
      <c r="B18" s="256" t="s">
        <v>19257</v>
      </c>
      <c r="C18" s="254" t="s">
        <v>19250</v>
      </c>
      <c r="D18" s="254"/>
      <c r="F18" s="392" t="s">
        <v>19958</v>
      </c>
      <c r="G18" s="257">
        <f>'1-Eng Inputs'!$C$35</f>
        <v>2010</v>
      </c>
      <c r="H18" s="254"/>
      <c r="J18" s="254"/>
      <c r="K18" s="254"/>
      <c r="L18" s="254"/>
      <c r="M18" s="254"/>
      <c r="N18" s="254"/>
      <c r="O18" s="254"/>
      <c r="P18" s="254"/>
      <c r="Q18" s="254"/>
    </row>
    <row r="19" spans="1:17" ht="12.75" customHeight="1">
      <c r="A19" s="254"/>
      <c r="B19" s="256" t="s">
        <v>19258</v>
      </c>
      <c r="C19" s="254" t="s">
        <v>19250</v>
      </c>
      <c r="D19" s="254"/>
      <c r="F19" s="259" t="s">
        <v>19260</v>
      </c>
      <c r="G19" s="257" t="str">
        <f>'1-Eng Inputs'!$C$38&amp;IF(ISBLANK('1-Eng Inputs'!C39),""," and "&amp;'1-Eng Inputs'!C39)</f>
        <v>32</v>
      </c>
      <c r="H19" s="254"/>
      <c r="J19" s="254"/>
      <c r="K19" s="254"/>
      <c r="L19" s="254"/>
      <c r="M19" s="254"/>
      <c r="N19" s="254"/>
      <c r="O19" s="254"/>
      <c r="P19" s="254"/>
      <c r="Q19" s="254"/>
    </row>
    <row r="20" spans="1:17" ht="12.75" customHeight="1">
      <c r="A20" s="254"/>
      <c r="D20" s="254"/>
      <c r="E20" s="254"/>
      <c r="F20" s="256" t="s">
        <v>19957</v>
      </c>
      <c r="G20" s="254" t="str">
        <f>'1-Eng Inputs'!C3</f>
        <v>EcoFoot 2+</v>
      </c>
      <c r="H20" s="254"/>
      <c r="J20" s="254"/>
      <c r="K20" s="254"/>
      <c r="L20" s="254"/>
      <c r="M20" s="254"/>
      <c r="N20" s="254"/>
      <c r="O20" s="254"/>
      <c r="P20" s="254"/>
      <c r="Q20" s="254"/>
    </row>
    <row r="21" spans="1:17" ht="12.75" customHeight="1">
      <c r="A21" s="255"/>
      <c r="B21" s="258" t="s">
        <v>19245</v>
      </c>
      <c r="C21" s="254"/>
      <c r="D21" s="254"/>
      <c r="E21" s="254"/>
      <c r="F21" s="254"/>
      <c r="G21" s="254"/>
      <c r="H21" s="254"/>
      <c r="J21" s="254"/>
      <c r="K21" s="254"/>
      <c r="L21" s="254"/>
      <c r="M21" s="254"/>
      <c r="N21" s="254"/>
      <c r="O21" s="254"/>
      <c r="P21" s="254"/>
      <c r="Q21" s="254"/>
    </row>
    <row r="22" spans="1:17" ht="12.75" customHeight="1">
      <c r="A22" s="254"/>
      <c r="B22" s="256" t="s">
        <v>19247</v>
      </c>
      <c r="C22" s="257">
        <f>'1-Eng Inputs'!$C$27</f>
        <v>20</v>
      </c>
      <c r="D22" s="254"/>
      <c r="E22" s="859" t="s">
        <v>19959</v>
      </c>
      <c r="F22" s="2158" t="str">
        <f>IF(G18=2010,"ASCE7-10 is the root document for versions of the IBC published after 2010 - when in doubt about the relevant building code version, consult the local jurisdiction.","ASCE7-05 is the root document for versions of the IBC published between 2005 and 2010 - when in doubt about the relevant building code version, consult the local jurisdiction.")</f>
        <v>ASCE7-10 is the root document for versions of the IBC published after 2010 - when in doubt about the relevant building code version, consult the local jurisdiction.</v>
      </c>
      <c r="G22" s="2158"/>
      <c r="H22" s="2158"/>
      <c r="J22" s="254"/>
      <c r="K22" s="254"/>
      <c r="L22" s="254"/>
      <c r="M22" s="254"/>
      <c r="N22" s="254"/>
      <c r="O22" s="254"/>
      <c r="P22" s="254"/>
      <c r="Q22" s="254"/>
    </row>
    <row r="23" spans="1:17" ht="12.75" customHeight="1">
      <c r="A23" s="254"/>
      <c r="B23" s="256" t="s">
        <v>19248</v>
      </c>
      <c r="C23" s="257" t="str">
        <f>'1-Eng Inputs'!$C$29</f>
        <v>II</v>
      </c>
      <c r="D23" s="254"/>
      <c r="E23" s="254"/>
      <c r="F23" s="2158"/>
      <c r="G23" s="2158"/>
      <c r="H23" s="2158"/>
      <c r="J23" s="254"/>
      <c r="K23" s="254"/>
      <c r="L23" s="254"/>
      <c r="M23" s="254"/>
      <c r="N23" s="254"/>
      <c r="O23" s="254"/>
      <c r="P23" s="254"/>
      <c r="Q23" s="254"/>
    </row>
    <row r="24" spans="1:17" ht="12.75" customHeight="1">
      <c r="A24" s="254"/>
      <c r="B24" s="256" t="s">
        <v>19249</v>
      </c>
      <c r="C24" s="254" t="s">
        <v>19250</v>
      </c>
      <c r="D24" s="254"/>
      <c r="E24" s="254"/>
      <c r="F24" s="2158"/>
      <c r="G24" s="2158"/>
      <c r="H24" s="2158"/>
      <c r="J24" s="254"/>
      <c r="K24" s="254"/>
      <c r="L24" s="254"/>
      <c r="M24" s="254"/>
      <c r="N24" s="254"/>
      <c r="O24" s="254"/>
      <c r="P24" s="254"/>
      <c r="Q24" s="254"/>
    </row>
    <row r="25" spans="1:17" ht="12.75" customHeight="1">
      <c r="A25" s="254"/>
      <c r="B25" s="256" t="s">
        <v>19246</v>
      </c>
      <c r="C25" s="257" t="str">
        <f>'1-Eng Inputs'!$C$11</f>
        <v>TPO</v>
      </c>
      <c r="D25" s="254"/>
      <c r="E25" s="254"/>
      <c r="F25" s="254"/>
      <c r="G25" s="254"/>
      <c r="H25" s="254"/>
      <c r="J25" s="254"/>
      <c r="K25" s="254"/>
      <c r="L25" s="254"/>
      <c r="M25" s="254"/>
      <c r="N25" s="254"/>
      <c r="O25" s="254"/>
      <c r="P25" s="254"/>
      <c r="Q25" s="254"/>
    </row>
    <row r="26" spans="1:17" ht="12.75" customHeight="1">
      <c r="A26" s="254"/>
      <c r="B26" s="256" t="s">
        <v>19262</v>
      </c>
      <c r="C26" s="260" t="s">
        <v>19251</v>
      </c>
      <c r="D26" s="254"/>
      <c r="E26" s="254"/>
      <c r="F26" s="254"/>
      <c r="G26" s="254"/>
      <c r="H26" s="254"/>
      <c r="J26" s="254"/>
      <c r="K26" s="254"/>
      <c r="L26" s="254"/>
      <c r="M26" s="254"/>
      <c r="N26" s="254"/>
      <c r="O26" s="254"/>
      <c r="P26" s="254"/>
      <c r="Q26" s="254"/>
    </row>
    <row r="27" spans="1:17" ht="12.75" customHeight="1">
      <c r="A27" s="254"/>
      <c r="B27" s="254"/>
      <c r="C27" s="254"/>
      <c r="D27" s="254"/>
      <c r="E27" s="254"/>
      <c r="F27" s="254"/>
      <c r="G27" s="254"/>
      <c r="H27" s="254"/>
      <c r="J27" s="254"/>
      <c r="K27" s="254"/>
      <c r="L27" s="254"/>
      <c r="M27" s="254"/>
      <c r="N27" s="254"/>
      <c r="O27" s="254"/>
      <c r="P27" s="254"/>
      <c r="Q27" s="254"/>
    </row>
    <row r="28" spans="1:17" ht="12.75" customHeight="1">
      <c r="A28" s="254"/>
      <c r="B28" s="254"/>
      <c r="C28" s="254"/>
      <c r="D28" s="254"/>
      <c r="E28" s="254"/>
      <c r="F28" s="254"/>
      <c r="G28" s="254"/>
      <c r="H28" s="254"/>
      <c r="J28" s="254"/>
      <c r="K28" s="254"/>
      <c r="L28" s="254"/>
      <c r="M28" s="254"/>
      <c r="N28" s="254"/>
      <c r="O28" s="254"/>
      <c r="P28" s="254"/>
      <c r="Q28" s="254"/>
    </row>
    <row r="29" spans="1:17" ht="12.75" customHeight="1">
      <c r="A29" s="2152" t="s">
        <v>19261</v>
      </c>
      <c r="B29" s="2152"/>
      <c r="C29" s="2152"/>
      <c r="D29" s="2152"/>
      <c r="E29" s="2152"/>
      <c r="F29" s="2152"/>
      <c r="G29" s="2152"/>
      <c r="H29" s="2152"/>
      <c r="J29" s="254"/>
      <c r="K29" s="254"/>
      <c r="L29" s="254"/>
      <c r="M29" s="254"/>
      <c r="N29" s="254"/>
      <c r="O29" s="254"/>
      <c r="P29" s="254"/>
      <c r="Q29" s="254"/>
    </row>
    <row r="30" spans="1:17" ht="12.75" customHeight="1">
      <c r="A30" s="2152"/>
      <c r="B30" s="2152"/>
      <c r="C30" s="2152"/>
      <c r="D30" s="2152"/>
      <c r="E30" s="2152"/>
      <c r="F30" s="2152"/>
      <c r="G30" s="2152"/>
      <c r="H30" s="2152"/>
      <c r="J30" s="254"/>
      <c r="K30" s="254"/>
      <c r="L30" s="254"/>
      <c r="M30" s="254"/>
      <c r="N30" s="254"/>
      <c r="O30" s="254"/>
      <c r="P30" s="254"/>
      <c r="Q30" s="254"/>
    </row>
    <row r="31" spans="1:17" ht="12.75" customHeight="1">
      <c r="A31" s="2152"/>
      <c r="B31" s="2152"/>
      <c r="C31" s="2152"/>
      <c r="D31" s="2152"/>
      <c r="E31" s="2152"/>
      <c r="F31" s="2152"/>
      <c r="G31" s="2152"/>
      <c r="H31" s="2152"/>
      <c r="J31" s="254"/>
      <c r="K31" s="254"/>
      <c r="L31" s="254"/>
      <c r="M31" s="254"/>
      <c r="N31" s="254"/>
      <c r="O31" s="254"/>
      <c r="P31" s="254"/>
      <c r="Q31" s="254"/>
    </row>
    <row r="32" spans="1:17" ht="12.75" customHeight="1">
      <c r="A32" s="2152"/>
      <c r="B32" s="2152"/>
      <c r="C32" s="2152"/>
      <c r="D32" s="2152"/>
      <c r="E32" s="2152"/>
      <c r="F32" s="2152"/>
      <c r="G32" s="2152"/>
      <c r="H32" s="2152"/>
      <c r="J32" s="254"/>
      <c r="K32" s="254"/>
      <c r="L32" s="254"/>
      <c r="M32" s="254"/>
      <c r="N32" s="254"/>
      <c r="O32" s="254"/>
      <c r="P32" s="254"/>
      <c r="Q32" s="254"/>
    </row>
    <row r="33" spans="1:17" ht="12.75" customHeight="1">
      <c r="A33" s="2152"/>
      <c r="B33" s="2152"/>
      <c r="C33" s="2152"/>
      <c r="D33" s="2152"/>
      <c r="E33" s="2152"/>
      <c r="F33" s="2152"/>
      <c r="G33" s="2152"/>
      <c r="H33" s="2152"/>
      <c r="J33" s="254"/>
      <c r="K33" s="254"/>
      <c r="L33" s="254"/>
      <c r="M33" s="254"/>
      <c r="N33" s="254"/>
      <c r="O33" s="254"/>
      <c r="P33" s="254"/>
      <c r="Q33" s="254"/>
    </row>
    <row r="34" spans="1:17" ht="12.75" customHeight="1">
      <c r="A34" s="2152"/>
      <c r="B34" s="2152"/>
      <c r="C34" s="2152"/>
      <c r="D34" s="2152"/>
      <c r="E34" s="2152"/>
      <c r="F34" s="2152"/>
      <c r="G34" s="2152"/>
      <c r="H34" s="2152"/>
      <c r="J34" s="254"/>
      <c r="K34" s="254"/>
      <c r="L34" s="254"/>
      <c r="M34" s="254"/>
      <c r="N34" s="254"/>
      <c r="O34" s="254"/>
      <c r="P34" s="254"/>
      <c r="Q34" s="254"/>
    </row>
    <row r="35" spans="1:17" ht="12.75" customHeight="1">
      <c r="A35" s="2152"/>
      <c r="B35" s="2152"/>
      <c r="C35" s="2152"/>
      <c r="D35" s="2152"/>
      <c r="E35" s="2152"/>
      <c r="F35" s="2152"/>
      <c r="G35" s="2152"/>
      <c r="H35" s="2152"/>
      <c r="J35" s="254"/>
      <c r="K35" s="254"/>
      <c r="L35" s="254"/>
      <c r="M35" s="254"/>
      <c r="N35" s="254"/>
      <c r="O35" s="254"/>
      <c r="P35" s="254"/>
      <c r="Q35" s="254"/>
    </row>
    <row r="36" spans="1:17" ht="12.75" customHeight="1">
      <c r="A36" s="2152"/>
      <c r="B36" s="2152"/>
      <c r="C36" s="2152"/>
      <c r="D36" s="2152"/>
      <c r="E36" s="2152"/>
      <c r="F36" s="2152"/>
      <c r="G36" s="2152"/>
      <c r="H36" s="2152"/>
      <c r="J36" s="254"/>
      <c r="K36" s="254"/>
      <c r="L36" s="254"/>
      <c r="M36" s="254"/>
      <c r="N36" s="254"/>
      <c r="O36" s="254"/>
      <c r="P36" s="254"/>
      <c r="Q36" s="254"/>
    </row>
    <row r="37" spans="1:17" ht="12.75" customHeight="1">
      <c r="A37" s="2152"/>
      <c r="B37" s="2152"/>
      <c r="C37" s="2152"/>
      <c r="D37" s="2152"/>
      <c r="E37" s="2152"/>
      <c r="F37" s="2152"/>
      <c r="G37" s="2152"/>
      <c r="H37" s="2152"/>
      <c r="J37" s="254"/>
      <c r="K37" s="254"/>
      <c r="L37" s="254"/>
      <c r="M37" s="254"/>
      <c r="N37" s="254"/>
      <c r="O37" s="254"/>
      <c r="P37" s="254"/>
      <c r="Q37" s="254"/>
    </row>
    <row r="38" spans="1:17" ht="12.75" customHeight="1">
      <c r="A38" s="2152"/>
      <c r="B38" s="2152"/>
      <c r="C38" s="2152"/>
      <c r="D38" s="2152"/>
      <c r="E38" s="2152"/>
      <c r="F38" s="2152"/>
      <c r="G38" s="2152"/>
      <c r="H38" s="2152"/>
      <c r="J38" s="254"/>
      <c r="K38" s="254"/>
      <c r="L38" s="254"/>
      <c r="M38" s="254"/>
      <c r="N38" s="254"/>
      <c r="O38" s="254"/>
      <c r="P38" s="254"/>
      <c r="Q38" s="254"/>
    </row>
    <row r="39" spans="1:17" ht="12.75" customHeight="1">
      <c r="A39" s="2152"/>
      <c r="B39" s="2152"/>
      <c r="C39" s="2152"/>
      <c r="D39" s="2152"/>
      <c r="E39" s="2152"/>
      <c r="F39" s="2152"/>
      <c r="G39" s="2152"/>
      <c r="H39" s="2152"/>
      <c r="J39" s="254"/>
      <c r="K39" s="254"/>
      <c r="L39" s="254"/>
      <c r="M39" s="254"/>
      <c r="N39" s="254"/>
      <c r="O39" s="254"/>
      <c r="P39" s="254"/>
      <c r="Q39" s="254"/>
    </row>
    <row r="40" spans="1:17" ht="12.75" customHeight="1">
      <c r="A40" s="2152"/>
      <c r="B40" s="2152"/>
      <c r="C40" s="2152"/>
      <c r="D40" s="2152"/>
      <c r="E40" s="2152"/>
      <c r="F40" s="2152"/>
      <c r="G40" s="2152"/>
      <c r="H40" s="2152"/>
      <c r="J40" s="254"/>
      <c r="K40" s="254"/>
      <c r="L40" s="254"/>
      <c r="M40" s="254"/>
      <c r="N40" s="254"/>
      <c r="O40" s="254"/>
      <c r="P40" s="254"/>
      <c r="Q40" s="254"/>
    </row>
    <row r="41" spans="1:17" ht="12.75" customHeight="1">
      <c r="A41" s="2152"/>
      <c r="B41" s="2152"/>
      <c r="C41" s="2152"/>
      <c r="D41" s="2152"/>
      <c r="E41" s="2152"/>
      <c r="F41" s="2152"/>
      <c r="G41" s="2152"/>
      <c r="H41" s="2152"/>
      <c r="J41" s="254"/>
      <c r="K41" s="254"/>
      <c r="L41" s="254"/>
      <c r="M41" s="254"/>
      <c r="N41" s="254"/>
      <c r="O41" s="254"/>
      <c r="P41" s="254"/>
      <c r="Q41" s="254"/>
    </row>
    <row r="42" spans="1:17" ht="12.75" customHeight="1">
      <c r="A42" s="2152"/>
      <c r="B42" s="2152"/>
      <c r="C42" s="2152"/>
      <c r="D42" s="2152"/>
      <c r="E42" s="2152"/>
      <c r="F42" s="2152"/>
      <c r="G42" s="2152"/>
      <c r="H42" s="2152"/>
      <c r="J42" s="254"/>
      <c r="K42" s="254"/>
      <c r="L42" s="254"/>
      <c r="M42" s="254"/>
      <c r="N42" s="254"/>
      <c r="O42" s="254"/>
      <c r="P42" s="254"/>
      <c r="Q42" s="254"/>
    </row>
    <row r="43" spans="1:17" ht="12.75" customHeight="1">
      <c r="A43" s="2152"/>
      <c r="B43" s="2152"/>
      <c r="C43" s="2152"/>
      <c r="D43" s="2152"/>
      <c r="E43" s="2152"/>
      <c r="F43" s="2152"/>
      <c r="G43" s="2152"/>
      <c r="H43" s="2152"/>
      <c r="J43" s="254"/>
      <c r="K43" s="254"/>
      <c r="L43" s="254"/>
      <c r="M43" s="254"/>
      <c r="N43" s="254"/>
      <c r="O43" s="254"/>
      <c r="P43" s="254"/>
      <c r="Q43" s="254"/>
    </row>
    <row r="44" spans="1:17" ht="12.75" customHeight="1">
      <c r="A44" s="2152"/>
      <c r="B44" s="2152"/>
      <c r="C44" s="2152"/>
      <c r="D44" s="2152"/>
      <c r="E44" s="2152"/>
      <c r="F44" s="2152"/>
      <c r="G44" s="2152"/>
      <c r="H44" s="2152"/>
      <c r="J44" s="254"/>
      <c r="K44" s="254"/>
      <c r="L44" s="254"/>
      <c r="M44" s="254"/>
      <c r="N44" s="254"/>
      <c r="O44" s="254"/>
      <c r="P44" s="254"/>
      <c r="Q44" s="254"/>
    </row>
    <row r="45" spans="1:17" ht="12.75" customHeight="1">
      <c r="A45" s="2152"/>
      <c r="B45" s="2152"/>
      <c r="C45" s="2152"/>
      <c r="D45" s="2152"/>
      <c r="E45" s="2152"/>
      <c r="F45" s="2152"/>
      <c r="G45" s="2152"/>
      <c r="H45" s="2152"/>
      <c r="J45" s="254"/>
      <c r="K45" s="254"/>
      <c r="L45" s="254"/>
      <c r="M45" s="254"/>
      <c r="N45" s="254"/>
      <c r="O45" s="254"/>
      <c r="P45" s="254"/>
      <c r="Q45" s="254"/>
    </row>
    <row r="46" spans="1:17" ht="12.75" customHeight="1">
      <c r="A46" s="2152"/>
      <c r="B46" s="2152"/>
      <c r="C46" s="2152"/>
      <c r="D46" s="2152"/>
      <c r="E46" s="2152"/>
      <c r="F46" s="2152"/>
      <c r="G46" s="2152"/>
      <c r="H46" s="2152"/>
      <c r="J46" s="254"/>
      <c r="K46" s="254"/>
      <c r="L46" s="254"/>
      <c r="M46" s="254"/>
      <c r="N46" s="254"/>
      <c r="O46" s="254"/>
      <c r="P46" s="254"/>
      <c r="Q46" s="254"/>
    </row>
    <row r="47" spans="1:17" ht="12.75" customHeight="1">
      <c r="A47" s="2152"/>
      <c r="B47" s="2152"/>
      <c r="C47" s="2152"/>
      <c r="D47" s="2152"/>
      <c r="E47" s="2152"/>
      <c r="F47" s="2152"/>
      <c r="G47" s="2152"/>
      <c r="H47" s="2152"/>
      <c r="J47" s="254"/>
      <c r="K47" s="254"/>
      <c r="L47" s="254"/>
      <c r="M47" s="254"/>
      <c r="N47" s="254"/>
      <c r="O47" s="254"/>
      <c r="P47" s="254"/>
      <c r="Q47" s="254"/>
    </row>
    <row r="48" spans="1:17" ht="12.75" customHeight="1">
      <c r="A48" s="2152"/>
      <c r="B48" s="2152"/>
      <c r="C48" s="2152"/>
      <c r="D48" s="2152"/>
      <c r="E48" s="2152"/>
      <c r="F48" s="2152"/>
      <c r="G48" s="2152"/>
      <c r="H48" s="2152"/>
      <c r="J48" s="254"/>
      <c r="K48" s="254"/>
      <c r="L48" s="254"/>
      <c r="M48" s="254"/>
      <c r="N48" s="254"/>
      <c r="O48" s="254"/>
      <c r="P48" s="254"/>
      <c r="Q48" s="254"/>
    </row>
    <row r="49" spans="1:17" ht="12.75" customHeight="1">
      <c r="A49" s="2152"/>
      <c r="B49" s="2152"/>
      <c r="C49" s="2152"/>
      <c r="D49" s="2152"/>
      <c r="E49" s="2152"/>
      <c r="F49" s="2152"/>
      <c r="G49" s="2152"/>
      <c r="H49" s="2152"/>
      <c r="J49" s="254"/>
      <c r="K49" s="254"/>
      <c r="L49" s="254"/>
      <c r="M49" s="254"/>
      <c r="N49" s="254"/>
      <c r="O49" s="254"/>
      <c r="P49" s="254"/>
      <c r="Q49" s="254"/>
    </row>
    <row r="50" spans="1:17" ht="12.75" customHeight="1">
      <c r="A50" s="2152"/>
      <c r="B50" s="2152"/>
      <c r="C50" s="2152"/>
      <c r="D50" s="2152"/>
      <c r="E50" s="2152"/>
      <c r="F50" s="2152"/>
      <c r="G50" s="2152"/>
      <c r="H50" s="2152"/>
      <c r="J50" s="254"/>
      <c r="K50" s="254"/>
      <c r="L50" s="254"/>
      <c r="M50" s="254"/>
      <c r="N50" s="254"/>
      <c r="O50" s="254"/>
      <c r="P50" s="254"/>
      <c r="Q50" s="254"/>
    </row>
    <row r="51" spans="1:17" ht="12.75" customHeight="1">
      <c r="A51" s="2152"/>
      <c r="B51" s="2152"/>
      <c r="C51" s="2152"/>
      <c r="D51" s="2152"/>
      <c r="E51" s="2152"/>
      <c r="F51" s="2152"/>
      <c r="G51" s="2152"/>
      <c r="H51" s="2152"/>
      <c r="J51" s="254"/>
      <c r="K51" s="254"/>
      <c r="L51" s="254"/>
      <c r="M51" s="254"/>
      <c r="N51" s="254"/>
      <c r="O51" s="254"/>
      <c r="P51" s="254"/>
      <c r="Q51" s="254"/>
    </row>
    <row r="52" spans="1:17" ht="12.75" customHeight="1">
      <c r="A52" s="2152"/>
      <c r="B52" s="2152"/>
      <c r="C52" s="2152"/>
      <c r="D52" s="2152"/>
      <c r="E52" s="2152"/>
      <c r="F52" s="2152"/>
      <c r="G52" s="2152"/>
      <c r="H52" s="2152"/>
      <c r="J52" s="254"/>
      <c r="K52" s="254"/>
      <c r="L52" s="254"/>
      <c r="M52" s="254"/>
      <c r="N52" s="254"/>
      <c r="O52" s="254"/>
      <c r="P52" s="254"/>
      <c r="Q52" s="254"/>
    </row>
    <row r="53" spans="1:17" ht="12.75" customHeight="1">
      <c r="A53" s="2152"/>
      <c r="B53" s="2152"/>
      <c r="C53" s="2152"/>
      <c r="D53" s="2152"/>
      <c r="E53" s="2152"/>
      <c r="F53" s="2152"/>
      <c r="G53" s="2152"/>
      <c r="H53" s="2152"/>
      <c r="J53" s="254"/>
      <c r="K53" s="254"/>
      <c r="L53" s="254"/>
      <c r="M53" s="254"/>
      <c r="N53" s="254"/>
      <c r="O53" s="254"/>
      <c r="P53" s="254"/>
      <c r="Q53" s="254"/>
    </row>
    <row r="54" spans="1:17" ht="12.75" customHeight="1">
      <c r="A54" s="2152"/>
      <c r="B54" s="2152"/>
      <c r="C54" s="2152"/>
      <c r="D54" s="2152"/>
      <c r="E54" s="2152"/>
      <c r="F54" s="2152"/>
      <c r="G54" s="2152"/>
      <c r="H54" s="2152"/>
      <c r="J54" s="254"/>
      <c r="K54" s="254"/>
      <c r="L54" s="254"/>
      <c r="M54" s="254"/>
      <c r="N54" s="254"/>
      <c r="O54" s="254"/>
      <c r="P54" s="254"/>
      <c r="Q54" s="254"/>
    </row>
    <row r="55" spans="1:17" ht="12.75" customHeight="1">
      <c r="A55" s="2152"/>
      <c r="B55" s="2152"/>
      <c r="C55" s="2152"/>
      <c r="D55" s="2152"/>
      <c r="E55" s="2152"/>
      <c r="F55" s="2152"/>
      <c r="G55" s="2152"/>
      <c r="H55" s="2152"/>
      <c r="J55" s="254"/>
      <c r="K55" s="254"/>
      <c r="L55" s="254"/>
      <c r="M55" s="254"/>
      <c r="N55" s="254"/>
      <c r="O55" s="254"/>
      <c r="P55" s="254"/>
      <c r="Q55" s="254"/>
    </row>
    <row r="56" spans="1:17" ht="12.75" customHeight="1">
      <c r="A56" s="254"/>
      <c r="B56" s="254"/>
      <c r="C56" s="254"/>
      <c r="D56" s="254"/>
      <c r="E56" s="254"/>
      <c r="F56" s="254"/>
      <c r="G56" s="254"/>
      <c r="H56" s="254"/>
      <c r="J56" s="254"/>
      <c r="K56" s="254"/>
      <c r="L56" s="254"/>
      <c r="M56" s="254"/>
      <c r="N56" s="254"/>
      <c r="O56" s="254"/>
      <c r="P56" s="254"/>
      <c r="Q56" s="254"/>
    </row>
    <row r="57" spans="1:17" ht="12.75" customHeight="1">
      <c r="A57" s="254"/>
      <c r="B57" s="254"/>
      <c r="C57" s="254"/>
      <c r="D57" s="254"/>
      <c r="E57" s="254"/>
      <c r="F57" s="254"/>
      <c r="G57" s="254"/>
      <c r="H57" s="254"/>
      <c r="J57" s="254"/>
      <c r="K57" s="254"/>
      <c r="L57" s="254"/>
      <c r="M57" s="254"/>
      <c r="N57" s="254"/>
      <c r="O57" s="254"/>
      <c r="P57" s="254"/>
      <c r="Q57" s="254"/>
    </row>
    <row r="58" spans="1:17" ht="12.75" customHeight="1">
      <c r="A58" s="254"/>
      <c r="B58" s="254"/>
      <c r="C58" s="254"/>
      <c r="D58" s="254"/>
      <c r="E58" s="254"/>
      <c r="F58" s="254"/>
      <c r="G58" s="254"/>
      <c r="H58" s="254"/>
      <c r="J58" s="254"/>
      <c r="K58" s="254"/>
      <c r="L58" s="254"/>
      <c r="M58" s="254"/>
      <c r="N58" s="254"/>
      <c r="O58" s="254"/>
      <c r="P58" s="254"/>
      <c r="Q58" s="254"/>
    </row>
    <row r="59" spans="1:17" ht="12.75" customHeight="1">
      <c r="A59" s="252"/>
      <c r="B59" s="252"/>
      <c r="C59" s="252"/>
      <c r="D59" s="252"/>
      <c r="E59" s="252"/>
      <c r="F59" s="252"/>
      <c r="G59" s="252"/>
      <c r="H59" s="252"/>
    </row>
    <row r="60" spans="1:17" ht="12.75" customHeight="1">
      <c r="A60" s="252"/>
      <c r="B60" s="252"/>
      <c r="C60" s="252"/>
      <c r="D60" s="252"/>
      <c r="E60" s="252"/>
      <c r="F60" s="252"/>
      <c r="G60" s="252"/>
      <c r="H60" s="252"/>
    </row>
    <row r="61" spans="1:17" ht="12.75" customHeight="1">
      <c r="A61" s="252"/>
      <c r="B61" s="252"/>
      <c r="C61" s="252"/>
      <c r="D61" s="252"/>
      <c r="E61" s="252"/>
      <c r="F61" s="252"/>
      <c r="G61" s="252"/>
      <c r="H61" s="252"/>
    </row>
    <row r="62" spans="1:17" ht="12.75" customHeight="1">
      <c r="A62" s="252"/>
      <c r="B62" s="252"/>
      <c r="C62" s="252"/>
      <c r="D62" s="252"/>
      <c r="E62" s="252"/>
      <c r="F62" s="252"/>
      <c r="G62" s="252"/>
      <c r="H62" s="252"/>
    </row>
    <row r="63" spans="1:17" ht="12.75" customHeight="1">
      <c r="A63" s="252"/>
      <c r="B63" s="252"/>
      <c r="C63" s="252"/>
      <c r="D63" s="252"/>
      <c r="E63" s="252"/>
      <c r="F63" s="252"/>
      <c r="G63" s="252"/>
      <c r="H63" s="252"/>
    </row>
  </sheetData>
  <customSheetViews>
    <customSheetView guid="{F2CCAFB5-9C02-49AC-87E7-8695C5014AAE}" showPageBreaks="1" printArea="1">
      <selection activeCell="I27" sqref="I27"/>
      <pageMargins left="0.25" right="0.25" top="0.75" bottom="0.75" header="0.3" footer="0.3"/>
      <pageSetup paperSize="9" scale="95" orientation="portrait" horizontalDpi="300" verticalDpi="300" r:id="rId1"/>
      <headerFooter alignWithMargins="0"/>
    </customSheetView>
  </customSheetViews>
  <mergeCells count="10">
    <mergeCell ref="A8:H10"/>
    <mergeCell ref="C1:H1"/>
    <mergeCell ref="A29:H55"/>
    <mergeCell ref="B3:D3"/>
    <mergeCell ref="B4:D4"/>
    <mergeCell ref="B5:D5"/>
    <mergeCell ref="B6:D6"/>
    <mergeCell ref="A2:C2"/>
    <mergeCell ref="D2:G2"/>
    <mergeCell ref="F22:H24"/>
  </mergeCells>
  <pageMargins left="0.25" right="0.25" top="0.75" bottom="0.75" header="0.3" footer="0.3"/>
  <pageSetup paperSize="9" scale="95" orientation="portrait" horizontalDpi="300" verticalDpi="300" r:id="rId2"/>
  <headerFooter alignWithMargins="0">
    <oddFooter>&amp;LCreated &amp;D&amp;CEcoFoot® by Ecolibrium Solar®&amp;Rpage &amp;P of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59999389629810485"/>
  </sheetPr>
  <dimension ref="A1:GX43"/>
  <sheetViews>
    <sheetView tabSelected="1" zoomScaleNormal="100" workbookViewId="0">
      <selection activeCell="B14" sqref="B14"/>
    </sheetView>
  </sheetViews>
  <sheetFormatPr defaultColWidth="8.7109375" defaultRowHeight="12.75" customHeight="1"/>
  <cols>
    <col min="1" max="1" width="81" customWidth="1"/>
    <col min="2" max="2" width="9.140625" customWidth="1"/>
    <col min="3" max="3" width="10.7109375" customWidth="1"/>
    <col min="4" max="6" width="8.7109375" customWidth="1"/>
    <col min="9" max="9" width="41.85546875" bestFit="1" customWidth="1"/>
  </cols>
  <sheetData>
    <row r="1" spans="1:206" ht="12.75" customHeight="1">
      <c r="A1" s="860" t="s">
        <v>20316</v>
      </c>
      <c r="B1" s="860">
        <f>IF('1-Eng Inputs'!C37="Landscape",IF(MAX('1-Eng Inputs'!C18,'1-Eng Inputs'!C19)&gt;68,factors!M4,factors!L4),factors!N4)*1.2</f>
        <v>14.52</v>
      </c>
      <c r="C1" s="860" t="s">
        <v>19906</v>
      </c>
      <c r="D1" s="207">
        <f>IF(MAX('1-Eng Inputs'!$C$18,'1-Eng Inputs'!$C$19)&gt;68,factors!M11,factors!L11)*1.2</f>
        <v>17.363999999999997</v>
      </c>
      <c r="E1" s="207" t="s">
        <v>19960</v>
      </c>
      <c r="F1" s="207"/>
      <c r="G1" s="207"/>
      <c r="I1" s="207"/>
    </row>
    <row r="2" spans="1:206" ht="12.75" customHeight="1">
      <c r="A2" s="860" t="s">
        <v>70</v>
      </c>
      <c r="B2" s="860">
        <f>'1-Eng Inputs'!C38</f>
        <v>32</v>
      </c>
      <c r="C2" s="860" t="s">
        <v>39</v>
      </c>
      <c r="D2" s="861"/>
      <c r="E2" s="861"/>
      <c r="F2" s="207"/>
      <c r="L2" s="104" t="s">
        <v>20281</v>
      </c>
    </row>
    <row r="3" spans="1:206" ht="12.75" customHeight="1">
      <c r="A3" s="860" t="s">
        <v>216</v>
      </c>
      <c r="B3" s="860">
        <v>1.4</v>
      </c>
      <c r="C3" s="860" t="s">
        <v>19905</v>
      </c>
      <c r="D3" s="860">
        <v>1.8</v>
      </c>
      <c r="E3" s="207" t="s">
        <v>19960</v>
      </c>
      <c r="F3" s="860"/>
      <c r="I3" s="1371" t="s">
        <v>20265</v>
      </c>
      <c r="K3" s="207"/>
      <c r="L3" s="1373" t="s">
        <v>20279</v>
      </c>
      <c r="M3" s="1373" t="s">
        <v>20280</v>
      </c>
      <c r="N3" s="1373" t="s">
        <v>19715</v>
      </c>
    </row>
    <row r="4" spans="1:206" ht="12.75" customHeight="1">
      <c r="A4" s="860" t="s">
        <v>217</v>
      </c>
      <c r="B4" s="860">
        <v>1.6</v>
      </c>
      <c r="C4" s="860" t="s">
        <v>19905</v>
      </c>
      <c r="D4" s="860">
        <v>1.6</v>
      </c>
      <c r="E4" s="207" t="s">
        <v>19960</v>
      </c>
      <c r="F4" s="207"/>
      <c r="I4" s="1372" t="s">
        <v>20266</v>
      </c>
      <c r="J4">
        <v>4.04</v>
      </c>
      <c r="L4">
        <f>J4+J6+J8</f>
        <v>10.659999999999998</v>
      </c>
      <c r="M4">
        <f>J4+J7+J8</f>
        <v>12.1</v>
      </c>
      <c r="N4">
        <f>J4+J5+J8</f>
        <v>8.39</v>
      </c>
    </row>
    <row r="5" spans="1:206" ht="12.75" customHeight="1">
      <c r="A5" s="860" t="s">
        <v>20082</v>
      </c>
      <c r="B5" s="860">
        <f>IF('1-Eng Inputs'!$C$35=2010,0.6,1)</f>
        <v>0.6</v>
      </c>
      <c r="C5" s="207"/>
      <c r="D5" s="861"/>
      <c r="E5" s="861"/>
      <c r="F5" s="207"/>
      <c r="I5" s="1372" t="s">
        <v>20267</v>
      </c>
      <c r="J5">
        <v>3.91</v>
      </c>
    </row>
    <row r="6" spans="1:206" s="1058" customFormat="1" ht="12.75" customHeight="1">
      <c r="A6" s="860" t="s">
        <v>20081</v>
      </c>
      <c r="B6" s="860">
        <v>0.6</v>
      </c>
      <c r="C6" s="207"/>
      <c r="D6" s="861"/>
      <c r="E6" s="861"/>
      <c r="F6" s="207"/>
      <c r="I6" s="1372" t="s">
        <v>20268</v>
      </c>
      <c r="J6" s="1058">
        <v>6.18</v>
      </c>
    </row>
    <row r="7" spans="1:206" ht="12.75" customHeight="1">
      <c r="A7" s="860" t="s">
        <v>19965</v>
      </c>
      <c r="B7" s="860">
        <v>1</v>
      </c>
      <c r="C7" s="207"/>
      <c r="D7" s="861"/>
      <c r="E7" s="861"/>
      <c r="F7" s="207"/>
      <c r="I7" s="1372" t="s">
        <v>20269</v>
      </c>
      <c r="J7">
        <v>7.62</v>
      </c>
    </row>
    <row r="8" spans="1:206" ht="12.75" customHeight="1">
      <c r="A8" s="860" t="s">
        <v>19406</v>
      </c>
      <c r="B8" s="860">
        <f>'1-Eng Inputs'!C45</f>
        <v>48</v>
      </c>
      <c r="C8" s="860" t="s">
        <v>19402</v>
      </c>
      <c r="D8" s="207"/>
      <c r="E8" s="207"/>
      <c r="F8" s="207"/>
      <c r="I8" s="1372" t="s">
        <v>20270</v>
      </c>
      <c r="J8">
        <v>0.44</v>
      </c>
    </row>
    <row r="9" spans="1:206" ht="12.75" customHeight="1">
      <c r="A9" s="860" t="s">
        <v>19899</v>
      </c>
      <c r="B9" s="860">
        <f>((18.75+(MAX('1-Eng Inputs'!$C$18:$C$19)*COS(RADIANS($B$41))))*MIN('1-Eng Inputs'!$C$18:$C$19))/144</f>
        <v>26.435907582014671</v>
      </c>
      <c r="C9" s="860" t="s">
        <v>77</v>
      </c>
      <c r="D9" s="207"/>
      <c r="E9" s="207"/>
      <c r="F9" s="207"/>
      <c r="I9" s="1372"/>
      <c r="L9" s="104" t="s">
        <v>20281</v>
      </c>
      <c r="M9" s="1530"/>
    </row>
    <row r="10" spans="1:206" s="789" customFormat="1" ht="12.75" customHeight="1">
      <c r="A10" s="860" t="s">
        <v>19898</v>
      </c>
      <c r="B10" s="860">
        <f>((9+(MIN('1-Eng Inputs'!$C$18:$C$19)*COS(RADIANS($B$43))))*MAX('1-Eng Inputs'!$C$18:$C$19))/144</f>
        <v>26.438636812441906</v>
      </c>
      <c r="C10" s="860" t="s">
        <v>77</v>
      </c>
      <c r="D10" s="207"/>
      <c r="E10" s="207"/>
      <c r="F10" s="207"/>
      <c r="I10" s="1371" t="s">
        <v>20271</v>
      </c>
      <c r="L10" s="627" t="s">
        <v>20279</v>
      </c>
      <c r="M10" s="627" t="s">
        <v>20280</v>
      </c>
    </row>
    <row r="11" spans="1:206" ht="12.75" customHeight="1">
      <c r="A11" s="860" t="s">
        <v>228</v>
      </c>
      <c r="B11" s="860">
        <f>((18.75+(MIN('1-Eng Inputs'!$C$18:$C$19)*COS(RADIANS($B$42))))*MAX('1-Eng Inputs'!$C$18:$C$19))/144</f>
        <v>31.791324967675969</v>
      </c>
      <c r="C11" s="860" t="s">
        <v>77</v>
      </c>
      <c r="D11" s="207"/>
      <c r="E11" s="207"/>
      <c r="F11" s="207"/>
      <c r="I11" s="1372" t="s">
        <v>20272</v>
      </c>
      <c r="J11">
        <v>1.4</v>
      </c>
      <c r="L11" s="1530">
        <f>J11+J12+J14+J16+J17</f>
        <v>12.68</v>
      </c>
      <c r="M11" s="1530">
        <f>J11+J13+J15+J16+J17</f>
        <v>14.469999999999999</v>
      </c>
    </row>
    <row r="12" spans="1:206" ht="12.75" customHeight="1">
      <c r="A12" s="860" t="s">
        <v>227</v>
      </c>
      <c r="B12" s="862">
        <f>'1-Eng Inputs'!$C$20+factors!B1</f>
        <v>63.019999999999996</v>
      </c>
      <c r="C12" s="860" t="s">
        <v>39</v>
      </c>
      <c r="D12" s="862">
        <f>'1-Eng Inputs'!$C$20+factors!D1</f>
        <v>65.864000000000004</v>
      </c>
      <c r="E12" s="207" t="s">
        <v>19960</v>
      </c>
      <c r="F12" s="207"/>
      <c r="I12" s="1372" t="s">
        <v>20273</v>
      </c>
      <c r="J12">
        <v>2.44</v>
      </c>
    </row>
    <row r="13" spans="1:206" ht="12.75" customHeight="1">
      <c r="A13" s="860" t="s">
        <v>19901</v>
      </c>
      <c r="B13" s="860">
        <f>('1-Eng Inputs'!$C$19*'1-Eng Inputs'!$C$18*COS(RADIANS($B$41))/144)</f>
        <v>21.305699248681336</v>
      </c>
      <c r="C13" s="860" t="s">
        <v>77</v>
      </c>
      <c r="D13" s="207"/>
      <c r="E13" s="207"/>
      <c r="F13" s="207"/>
      <c r="I13" s="1372" t="s">
        <v>20274</v>
      </c>
      <c r="J13">
        <v>2.87</v>
      </c>
      <c r="GX13" t="e">
        <f>IF</f>
        <v>#NAME?</v>
      </c>
    </row>
    <row r="14" spans="1:206" s="789" customFormat="1" ht="12.75" customHeight="1">
      <c r="A14" s="860" t="s">
        <v>19900</v>
      </c>
      <c r="B14" s="860">
        <f>('1-Eng Inputs'!$C$19*'1-Eng Inputs'!$C$18*COS(RADIANS(IF('1-Eng Inputs'!$C$3="EcoFoot2+",factors!$B$42,factors!$B$43)))/144)</f>
        <v>21.507386812441908</v>
      </c>
      <c r="C14" s="860" t="s">
        <v>77</v>
      </c>
      <c r="D14" s="207"/>
      <c r="E14" s="207"/>
      <c r="F14" s="207"/>
      <c r="I14" s="1372" t="s">
        <v>20275</v>
      </c>
      <c r="J14" s="789">
        <v>7.53</v>
      </c>
    </row>
    <row r="15" spans="1:206" ht="12.75" customHeight="1">
      <c r="A15" s="23" t="s">
        <v>19917</v>
      </c>
      <c r="B15" s="860">
        <f>('1-Eng Inputs'!$C$19*'1-Eng Inputs'!$C$18*SIN(RADIANS($B$41))/144)</f>
        <v>3.4792708333333326</v>
      </c>
      <c r="C15" s="23" t="s">
        <v>77</v>
      </c>
      <c r="I15" s="1372" t="s">
        <v>20276</v>
      </c>
      <c r="J15">
        <v>8.89</v>
      </c>
    </row>
    <row r="16" spans="1:206" ht="12.75" customHeight="1">
      <c r="A16" s="23" t="s">
        <v>19918</v>
      </c>
      <c r="B16" s="860">
        <f>('1-Eng Inputs'!$C$19*'1-Eng Inputs'!$C$18*SIN(RADIANS(IF('1-Eng Inputs'!$C$3="EcoFoot2+",factors!$B$42,factors!$B$43))/144))</f>
        <v>1.8652364422736121</v>
      </c>
      <c r="C16" s="23" t="s">
        <v>77</v>
      </c>
      <c r="I16" s="1372" t="s">
        <v>20277</v>
      </c>
      <c r="J16">
        <v>0.44</v>
      </c>
    </row>
    <row r="17" spans="1:10" ht="12.75" customHeight="1">
      <c r="A17" s="23" t="s">
        <v>45</v>
      </c>
      <c r="B17" s="23">
        <f>1.29*0.062427960841</f>
        <v>8.0532069484890001E-2</v>
      </c>
      <c r="C17" s="23" t="s">
        <v>81</v>
      </c>
      <c r="I17" s="1372" t="s">
        <v>20278</v>
      </c>
      <c r="J17">
        <v>0.87</v>
      </c>
    </row>
    <row r="18" spans="1:10" ht="12.75" customHeight="1">
      <c r="A18" s="23" t="s">
        <v>46</v>
      </c>
      <c r="B18" s="23">
        <v>32.17</v>
      </c>
      <c r="C18" s="23" t="s">
        <v>54</v>
      </c>
    </row>
    <row r="19" spans="1:10" ht="12.75" customHeight="1">
      <c r="A19" s="23" t="s">
        <v>63</v>
      </c>
      <c r="B19" s="23">
        <v>0.22480894387</v>
      </c>
      <c r="C19" s="23" t="s">
        <v>35</v>
      </c>
    </row>
    <row r="20" spans="1:10" ht="12.75" customHeight="1">
      <c r="A20" s="4" t="s">
        <v>139</v>
      </c>
      <c r="B20" s="38">
        <f>7.625*15.625</f>
        <v>119.140625</v>
      </c>
      <c r="C20" s="4"/>
      <c r="D20" s="4"/>
    </row>
    <row r="21" spans="1:10" ht="12.75" customHeight="1">
      <c r="A21" s="1" t="s">
        <v>48</v>
      </c>
      <c r="B21" s="10" t="s">
        <v>117</v>
      </c>
      <c r="C21" s="10" t="s">
        <v>5</v>
      </c>
      <c r="D21" s="33" t="s">
        <v>119</v>
      </c>
      <c r="E21" s="11"/>
    </row>
    <row r="22" spans="1:10" ht="12.75" customHeight="1">
      <c r="A22" s="6" t="s">
        <v>9</v>
      </c>
      <c r="B22" s="23">
        <v>7</v>
      </c>
      <c r="C22" s="23">
        <v>1200</v>
      </c>
      <c r="D22" s="20">
        <v>30</v>
      </c>
      <c r="E22" s="11"/>
    </row>
    <row r="23" spans="1:10" ht="12.75" customHeight="1">
      <c r="A23" s="6" t="s">
        <v>11</v>
      </c>
      <c r="B23" s="23">
        <v>9.5</v>
      </c>
      <c r="C23" s="23">
        <v>900</v>
      </c>
      <c r="D23" s="20">
        <v>15</v>
      </c>
      <c r="E23" s="11"/>
    </row>
    <row r="24" spans="1:10" ht="12.75" customHeight="1">
      <c r="A24" s="3" t="s">
        <v>10</v>
      </c>
      <c r="B24" s="25">
        <v>11.5</v>
      </c>
      <c r="C24" s="25">
        <v>700</v>
      </c>
      <c r="D24" s="34">
        <v>7</v>
      </c>
      <c r="E24" s="11"/>
    </row>
    <row r="25" spans="1:10" ht="12.75" customHeight="1">
      <c r="A25" s="10" t="s">
        <v>50</v>
      </c>
      <c r="B25" s="10">
        <f>IF(('1-Eng Inputs'!C30="B"),factors!B22,IF(('1-Eng Inputs'!C30="C"),factors!B23,IF(('1-Eng Inputs'!C30="D"),factors!B24)))</f>
        <v>9.5</v>
      </c>
      <c r="C25" s="2"/>
      <c r="D25" s="2"/>
    </row>
    <row r="26" spans="1:10" ht="12.75" customHeight="1">
      <c r="A26" s="23" t="s">
        <v>21</v>
      </c>
      <c r="B26" s="23">
        <f>VLOOKUP(factors!B25,factors!B22:C24,2)</f>
        <v>900</v>
      </c>
      <c r="C26" s="23" t="s">
        <v>4</v>
      </c>
    </row>
    <row r="27" spans="1:10" ht="12.75" customHeight="1">
      <c r="A27" s="23" t="s">
        <v>86</v>
      </c>
      <c r="B27" s="23">
        <f>VLOOKUP(factors!B25,factors!B22:D24,3)</f>
        <v>15</v>
      </c>
      <c r="C27" s="23" t="s">
        <v>4</v>
      </c>
    </row>
    <row r="28" spans="1:10" ht="12.75" customHeight="1">
      <c r="A28" s="23" t="s">
        <v>130</v>
      </c>
      <c r="B28" s="23">
        <f>MAX(B27,'1-Eng Inputs'!C27)</f>
        <v>20</v>
      </c>
      <c r="C28" s="23" t="s">
        <v>4</v>
      </c>
    </row>
    <row r="29" spans="1:10" ht="12.75" customHeight="1">
      <c r="A29" s="23" t="s">
        <v>120</v>
      </c>
      <c r="B29" s="23">
        <f>2.01*((B28/B26)^(2/B25))</f>
        <v>0.9018853194026647</v>
      </c>
    </row>
    <row r="30" spans="1:10" ht="12.75" customHeight="1">
      <c r="A30" s="23" t="s">
        <v>118</v>
      </c>
      <c r="B30" s="23">
        <v>1</v>
      </c>
    </row>
    <row r="31" spans="1:10" ht="12.75" customHeight="1">
      <c r="A31" s="25" t="s">
        <v>68</v>
      </c>
      <c r="B31" s="25">
        <v>0.85</v>
      </c>
    </row>
    <row r="32" spans="1:10" ht="12.75" customHeight="1">
      <c r="A32" s="1" t="s">
        <v>99</v>
      </c>
      <c r="B32" s="33" t="s">
        <v>93</v>
      </c>
      <c r="C32" s="11"/>
    </row>
    <row r="33" spans="1:3" ht="12.75" customHeight="1">
      <c r="A33" s="6" t="s">
        <v>16</v>
      </c>
      <c r="B33" s="20">
        <v>0.87</v>
      </c>
      <c r="C33" s="11"/>
    </row>
    <row r="34" spans="1:3" ht="12.75" customHeight="1">
      <c r="A34" s="6" t="s">
        <v>58</v>
      </c>
      <c r="B34" s="20">
        <v>1</v>
      </c>
      <c r="C34" s="11"/>
    </row>
    <row r="35" spans="1:3" ht="12.75" customHeight="1">
      <c r="A35" s="6" t="s">
        <v>29</v>
      </c>
      <c r="B35" s="20">
        <v>1.1499999999999999</v>
      </c>
      <c r="C35" s="11"/>
    </row>
    <row r="36" spans="1:3" ht="12.75" customHeight="1">
      <c r="A36" s="3" t="s">
        <v>60</v>
      </c>
      <c r="B36" s="34">
        <v>1.1499999999999999</v>
      </c>
      <c r="C36" s="11"/>
    </row>
    <row r="37" spans="1:3" ht="12.75" customHeight="1">
      <c r="A37" s="10" t="s">
        <v>42</v>
      </c>
      <c r="B37" s="10">
        <f>VLOOKUP('1-Eng Inputs'!C29,factors!A33:B36,2)</f>
        <v>1</v>
      </c>
    </row>
    <row r="38" spans="1:3" ht="12.75" customHeight="1">
      <c r="A38" s="46" t="s">
        <v>173</v>
      </c>
      <c r="B38" s="46">
        <f>IF('1-Eng Inputs'!C35=2010,1,factors!B37)</f>
        <v>1</v>
      </c>
    </row>
    <row r="39" spans="1:3" ht="12.75" customHeight="1">
      <c r="A39" s="23" t="s">
        <v>238</v>
      </c>
      <c r="B39" s="23">
        <f>(((((0.00256*factors!B29)*factors!B30)*factors!B31)*('1-Eng Inputs'!C28^2))*factors!B38)</f>
        <v>38.465048118395892</v>
      </c>
    </row>
    <row r="41" spans="1:3" ht="12.75" customHeight="1">
      <c r="A41" s="46" t="s">
        <v>20461</v>
      </c>
      <c r="B41">
        <f>DEGREES(ASIN(6.35/MIN('1-Eng Inputs'!C18:C19)))</f>
        <v>9.274669319793702</v>
      </c>
    </row>
    <row r="42" spans="1:3" ht="12.75" customHeight="1">
      <c r="A42" s="46" t="s">
        <v>20462</v>
      </c>
      <c r="B42">
        <f>DEGREES(ASIN(6.35/MAX('1-Eng Inputs'!C18:C19)))</f>
        <v>4.6162499290289833</v>
      </c>
    </row>
    <row r="43" spans="1:3" ht="12.75" customHeight="1">
      <c r="A43" s="46" t="s">
        <v>20463</v>
      </c>
      <c r="B43">
        <f>DEGREES(ASIN(3.4/MIN('1-Eng Inputs'!C18:C19)))</f>
        <v>4.9504629834790901</v>
      </c>
    </row>
  </sheetData>
  <customSheetViews>
    <customSheetView guid="{F2CCAFB5-9C02-49AC-87E7-8695C5014AAE}" state="hidden">
      <selection activeCell="A13" sqref="A13:IV13"/>
      <pageMargins left="0.75" right="0.75" top="1" bottom="1" header="0.5" footer="0.5"/>
      <pageSetup paperSize="9" orientation="portrait" horizontalDpi="300" verticalDpi="300"/>
      <headerFooter alignWithMargins="0"/>
    </customSheetView>
  </customSheetViews>
  <conditionalFormatting sqref="B11:B12 B5:B9">
    <cfRule type="cellIs" dxfId="6230" priority="8" operator="equal">
      <formula>"YES"</formula>
    </cfRule>
  </conditionalFormatting>
  <conditionalFormatting sqref="B3:B4">
    <cfRule type="cellIs" dxfId="6229" priority="7" operator="equal">
      <formula>"YES"</formula>
    </cfRule>
  </conditionalFormatting>
  <conditionalFormatting sqref="B1:B2">
    <cfRule type="cellIs" dxfId="6228" priority="6" operator="equal">
      <formula>"YES"</formula>
    </cfRule>
  </conditionalFormatting>
  <conditionalFormatting sqref="B10">
    <cfRule type="cellIs" dxfId="6227" priority="4" operator="equal">
      <formula>"YES"</formula>
    </cfRule>
  </conditionalFormatting>
  <conditionalFormatting sqref="D3:D4 F3">
    <cfRule type="cellIs" dxfId="6226" priority="3" operator="equal">
      <formula>"YES"</formula>
    </cfRule>
  </conditionalFormatting>
  <conditionalFormatting sqref="D12">
    <cfRule type="cellIs" dxfId="6225" priority="1" operator="equal">
      <formula>"YES"</formula>
    </cfRule>
  </conditionalFormatting>
  <pageMargins left="0.75" right="0.75" top="1" bottom="1" header="0.5" footer="0.5"/>
  <pageSetup paperSize="9"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tint="0.59999389629810485"/>
  </sheetPr>
  <dimension ref="A2:S99"/>
  <sheetViews>
    <sheetView topLeftCell="A29" workbookViewId="0">
      <selection activeCell="M69" sqref="M69"/>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5703125" style="38" bestFit="1" customWidth="1"/>
    <col min="17" max="17" width="21.140625" style="38" bestFit="1" customWidth="1"/>
    <col min="18" max="18" width="12" style="38" bestFit="1" customWidth="1"/>
    <col min="19" max="19" width="22.28515625" style="38" bestFit="1" customWidth="1"/>
    <col min="20" max="16384" width="9.140625" style="38"/>
  </cols>
  <sheetData>
    <row r="2" spans="1:19">
      <c r="A2" s="2159" t="str">
        <f>"Design Values for "&amp;'1-Eng Inputs'!$C$6&amp;", "&amp;'1-Eng Inputs'!$C$8</f>
        <v>Design Values for CED greentech Denver , Patagonia Reno</v>
      </c>
      <c r="B2" s="2159"/>
      <c r="C2" s="2159"/>
      <c r="D2" s="2159"/>
      <c r="E2" s="2159"/>
      <c r="F2" s="2159"/>
      <c r="G2" s="2159"/>
      <c r="H2" s="2159"/>
      <c r="I2" s="2159"/>
      <c r="J2" s="2159"/>
      <c r="K2" s="2159"/>
      <c r="L2" s="2159"/>
      <c r="N2" s="448"/>
      <c r="O2" s="449"/>
    </row>
    <row r="3" spans="1:19">
      <c r="N3" s="215"/>
      <c r="O3" s="444"/>
    </row>
    <row r="4" spans="1:19" ht="18.75" thickBot="1">
      <c r="A4" s="109" t="s">
        <v>191</v>
      </c>
      <c r="B4" s="124" t="s">
        <v>235</v>
      </c>
      <c r="C4" s="112"/>
      <c r="D4" s="109"/>
      <c r="E4" s="109"/>
      <c r="F4" s="109"/>
      <c r="G4" s="109"/>
      <c r="H4" s="109"/>
      <c r="I4" s="109"/>
      <c r="J4" s="109"/>
      <c r="K4" s="109"/>
      <c r="L4" s="113"/>
      <c r="N4" s="215"/>
    </row>
    <row r="5" spans="1:19" ht="16.5">
      <c r="A5" s="124"/>
      <c r="B5" s="112" t="s">
        <v>192</v>
      </c>
      <c r="C5" s="112" t="s">
        <v>192</v>
      </c>
      <c r="D5" s="112" t="s">
        <v>192</v>
      </c>
      <c r="E5" s="112" t="s">
        <v>192</v>
      </c>
      <c r="F5" s="113" t="s">
        <v>192</v>
      </c>
      <c r="G5" s="113" t="s">
        <v>192</v>
      </c>
      <c r="H5" s="112" t="s">
        <v>192</v>
      </c>
      <c r="I5" s="112" t="s">
        <v>192</v>
      </c>
      <c r="J5" s="112" t="s">
        <v>192</v>
      </c>
      <c r="K5" s="112" t="s">
        <v>192</v>
      </c>
      <c r="L5" s="134" t="s">
        <v>193</v>
      </c>
      <c r="N5" s="2160" t="s">
        <v>403</v>
      </c>
      <c r="O5" s="2161"/>
    </row>
    <row r="6" spans="1:19" ht="17.25" thickBot="1">
      <c r="A6" s="111"/>
      <c r="B6" s="112" t="s">
        <v>239</v>
      </c>
      <c r="C6" s="112" t="s">
        <v>194</v>
      </c>
      <c r="D6" s="112" t="s">
        <v>245</v>
      </c>
      <c r="E6" s="112" t="s">
        <v>244</v>
      </c>
      <c r="F6" s="113" t="s">
        <v>243</v>
      </c>
      <c r="G6" s="113" t="s">
        <v>242</v>
      </c>
      <c r="H6" s="112" t="s">
        <v>207</v>
      </c>
      <c r="I6" s="112" t="s">
        <v>219</v>
      </c>
      <c r="J6" s="112" t="s">
        <v>220</v>
      </c>
      <c r="K6" s="112" t="s">
        <v>221</v>
      </c>
      <c r="L6" s="134" t="s">
        <v>194</v>
      </c>
      <c r="N6" s="2162"/>
      <c r="O6" s="2163"/>
    </row>
    <row r="7" spans="1:19" ht="17.25" thickBot="1">
      <c r="A7" s="112" t="s">
        <v>195</v>
      </c>
      <c r="B7" s="112"/>
      <c r="C7" s="112">
        <v>1</v>
      </c>
      <c r="D7" s="112">
        <v>2</v>
      </c>
      <c r="E7" s="112">
        <v>2</v>
      </c>
      <c r="F7" s="113">
        <v>3</v>
      </c>
      <c r="G7" s="113">
        <v>3</v>
      </c>
      <c r="H7" s="112">
        <v>4</v>
      </c>
      <c r="I7" s="112">
        <v>6</v>
      </c>
      <c r="J7" s="112">
        <v>6</v>
      </c>
      <c r="K7" s="112">
        <v>9</v>
      </c>
      <c r="L7" s="134"/>
      <c r="M7" s="112"/>
      <c r="N7" s="2162"/>
      <c r="O7" s="2163"/>
      <c r="Q7" s="228" t="s">
        <v>462</v>
      </c>
      <c r="R7" s="229" t="s">
        <v>463</v>
      </c>
      <c r="S7" s="230" t="s">
        <v>464</v>
      </c>
    </row>
    <row r="8" spans="1:19">
      <c r="A8" s="114" t="s">
        <v>196</v>
      </c>
      <c r="B8" s="75">
        <f ca="1">'Area Reduction'!$C$32*'Land Coeffs 10deg'!C8</f>
        <v>-0.19193594027445562</v>
      </c>
      <c r="C8" s="75">
        <f>IF('1-Eng Inputs'!$C$13="YES",IF('1-Eng Inputs'!$C$44&lt;5.5,C34,IF('1-Eng Inputs'!$C$44&gt;=11,C60,C84))*$O$12*$R8,IF('1-Eng Inputs'!$C$44&lt;5.5,C34,IF('1-Eng Inputs'!$C$44&gt;=11,C60,C84))*$O$12)*(IF('1-Eng Inputs'!$C$45&lt;36,((36-'1-Eng Inputs'!$C$45)*(0.3/12))+1,1))*$R$18</f>
        <v>-0.56000000000000005</v>
      </c>
      <c r="D8" s="75">
        <f>IF('1-Eng Inputs'!$C$13="YES",IF('1-Eng Inputs'!$C$44&lt;5.5,D34,IF('1-Eng Inputs'!$C$44&gt;=11,D60,D84))*$O$12*$R8,IF('1-Eng Inputs'!$C$44&lt;5.5,D34,IF('1-Eng Inputs'!$C$44&gt;=11,D60,D84))*$O$12)*(IF('1-Eng Inputs'!$C$45&lt;36,((36-'1-Eng Inputs'!$C$45)*(0.3/12))+1,1))*$R$18*$R$20</f>
        <v>-0.43</v>
      </c>
      <c r="E8" s="75">
        <f>IF('1-Eng Inputs'!$C$13="YES",IF('1-Eng Inputs'!$C$44&lt;5.5,E34,IF('1-Eng Inputs'!$C$44&gt;=11,E60,E84))*$O$12*$R8,IF('1-Eng Inputs'!$C$44&lt;5.5,E34,IF('1-Eng Inputs'!$C$44&gt;=11,E60,E84))*$O$12)*(IF('1-Eng Inputs'!$C$45&lt;36,((36-'1-Eng Inputs'!$C$45)*(0.3/12))+1,1))*$R$18*$R$20</f>
        <v>-0.45</v>
      </c>
      <c r="F8" s="76">
        <f>IF('1-Eng Inputs'!$C$13="YES",IF('1-Eng Inputs'!$C$44&lt;5.5,F34,IF('1-Eng Inputs'!$C$44&gt;=11,F60,F84))*$O$12*$R8,IF('1-Eng Inputs'!$C$44&lt;5.5,F34,IF('1-Eng Inputs'!$C$44&gt;=11,F60,F84))*$O$12)*(IF('1-Eng Inputs'!$C$45&lt;36,((36-'1-Eng Inputs'!$C$45)*(0.3/12))+1,1))*$R$18*$R$20</f>
        <v>-0.38</v>
      </c>
      <c r="G8" s="76">
        <f>IF('1-Eng Inputs'!$C$13="YES",IF('1-Eng Inputs'!$C$44&lt;5.5,G34,IF('1-Eng Inputs'!$C$44&gt;=11,G60,G84))*$O$12*$R8,IF('1-Eng Inputs'!$C$44&lt;5.5,G34,IF('1-Eng Inputs'!$C$44&gt;=11,G60,G84))*$O$12)*(IF('1-Eng Inputs'!$C$45&lt;36,((36-'1-Eng Inputs'!$C$45)*(0.3/12))+1,1))*$R$18*$R$20</f>
        <v>-0.39</v>
      </c>
      <c r="H8" s="75">
        <f>IF('1-Eng Inputs'!$C$13="YES",IF('1-Eng Inputs'!$C$44&lt;5.5,H34,IF('1-Eng Inputs'!$C$44&gt;=11,H60,H84))*$O$12*$R8,IF('1-Eng Inputs'!$C$44&lt;5.5,H34,IF('1-Eng Inputs'!$C$44&gt;=11,H60,H84))*$O$12)*(IF('1-Eng Inputs'!$C$45&lt;36,((36-'1-Eng Inputs'!$C$45)*(0.3/12))+1,1))*$R$18*$R$20</f>
        <v>-0.33</v>
      </c>
      <c r="I8" s="75">
        <f>IF('1-Eng Inputs'!$C$13="YES",IF('1-Eng Inputs'!$C$44&lt;5.5,I34,IF('1-Eng Inputs'!$C$44&gt;=11,I60,I84))*$O$12*$R8,IF('1-Eng Inputs'!$C$44&lt;5.5,I34,IF('1-Eng Inputs'!$C$44&gt;=11,I60,I84))*$O$12)*(IF('1-Eng Inputs'!$C$45&lt;36,((36-'1-Eng Inputs'!$C$45)*(0.3/12))+1,1))*$R$18*$R$20</f>
        <v>-0.26</v>
      </c>
      <c r="J8" s="75">
        <f>IF('1-Eng Inputs'!$C$13="YES",IF('1-Eng Inputs'!$C$44&lt;5.5,J34,IF('1-Eng Inputs'!$C$44&gt;=11,J60,J84))*$O$12*$R8,IF('1-Eng Inputs'!$C$44&lt;5.5,J34,IF('1-Eng Inputs'!$C$44&gt;=11,J60,J84))*$O$12)*(IF('1-Eng Inputs'!$C$45&lt;36,((36-'1-Eng Inputs'!$C$45)*(0.3/12))+1,1))*$R$18*$R$20</f>
        <v>-0.28999999999999998</v>
      </c>
      <c r="K8" s="75">
        <f>IF('1-Eng Inputs'!$C$13="YES",IF('1-Eng Inputs'!$C$44&lt;5.5,K34,IF('1-Eng Inputs'!$C$44&gt;=11,K60,K84))*$O$12*$R8,IF('1-Eng Inputs'!$C$44&lt;5.5,K34,IF('1-Eng Inputs'!$C$44&gt;=11,K60,K84))*$O$12)*(IF('1-Eng Inputs'!$C$45&lt;36,((36-'1-Eng Inputs'!$C$45)*(0.3/12))+1,1))*$R$18*$R$20</f>
        <v>-0.24</v>
      </c>
      <c r="L8" s="75">
        <f>IF('1-Eng Inputs'!$C$13="YES",IF('1-Eng Inputs'!$C$44&lt;5.5,L34,IF('1-Eng Inputs'!$C$44&gt;=11,L60,L84))*$O$12*$R8,IF('1-Eng Inputs'!$C$44&lt;5.5,L34,IF('1-Eng Inputs'!$C$44&gt;=11,L60,L84))*$O$12)*(IF('1-Eng Inputs'!$C$45&lt;36,((36-'1-Eng Inputs'!$C$45)*(0.3/12))+1,1))*$R$18</f>
        <v>0.62</v>
      </c>
      <c r="N8" s="430" t="s">
        <v>399</v>
      </c>
      <c r="O8" s="431" t="s">
        <v>402</v>
      </c>
      <c r="Q8" s="231" t="s">
        <v>196</v>
      </c>
      <c r="R8" s="232">
        <v>1.1000000000000001</v>
      </c>
      <c r="S8" s="233">
        <v>1.1000000000000001</v>
      </c>
    </row>
    <row r="9" spans="1:19">
      <c r="A9" s="115" t="s">
        <v>197</v>
      </c>
      <c r="B9" s="77">
        <f ca="1">'Area Reduction'!$C$32*'Land Coeffs 10deg'!C9</f>
        <v>-0.16108909273034666</v>
      </c>
      <c r="C9" s="77">
        <f>IF('1-Eng Inputs'!$C$13="YES",IF('1-Eng Inputs'!$C$44&lt;5.5,C35,IF('1-Eng Inputs'!$C$44&gt;=11,C61,C85))*$O$12*$R9,IF('1-Eng Inputs'!$C$44&lt;5.5,C35,IF('1-Eng Inputs'!$C$44&gt;=11,C61,C85))*$O$12)*(IF('1-Eng Inputs'!$C$45&lt;36,((36-'1-Eng Inputs'!$C$45)*(0.3/12))+1,1))*$R$18</f>
        <v>-0.47</v>
      </c>
      <c r="D9" s="77">
        <f>IF('1-Eng Inputs'!$C$13="YES",IF('1-Eng Inputs'!$C$44&lt;5.5,D35,IF('1-Eng Inputs'!$C$44&gt;=11,D61,D85))*$O$12*$R9,IF('1-Eng Inputs'!$C$44&lt;5.5,D35,IF('1-Eng Inputs'!$C$44&gt;=11,D61,D85))*$O$12)*(IF('1-Eng Inputs'!$C$45&lt;36,((36-'1-Eng Inputs'!$C$45)*(0.3/12))+1,1))*$R$18*$R$20</f>
        <v>-0.39</v>
      </c>
      <c r="E9" s="77">
        <f>IF('1-Eng Inputs'!$C$13="YES",IF('1-Eng Inputs'!$C$44&lt;5.5,E35,IF('1-Eng Inputs'!$C$44&gt;=11,E61,E85))*$O$12*$R9,IF('1-Eng Inputs'!$C$44&lt;5.5,E35,IF('1-Eng Inputs'!$C$44&gt;=11,E61,E85))*$O$12)*(IF('1-Eng Inputs'!$C$45&lt;36,((36-'1-Eng Inputs'!$C$45)*(0.3/12))+1,1))*$R$18*$R$20</f>
        <v>-0.32</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-0.26</v>
      </c>
      <c r="I9" s="77">
        <f>IF('1-Eng Inputs'!$C$13="YES",IF('1-Eng Inputs'!$C$44&lt;5.5,I35,IF('1-Eng Inputs'!$C$44&gt;=11,I61,I85))*$O$12*$R9,IF('1-Eng Inputs'!$C$44&lt;5.5,I35,IF('1-Eng Inputs'!$C$44&gt;=11,I61,I85))*$O$12)*(IF('1-Eng Inputs'!$C$45&lt;36,((36-'1-Eng Inputs'!$C$45)*(0.3/12))+1,1))*$R$18*$R$20</f>
        <v>-0.22</v>
      </c>
      <c r="J9" s="77">
        <f>IF('1-Eng Inputs'!$C$13="YES",IF('1-Eng Inputs'!$C$44&lt;5.5,J35,IF('1-Eng Inputs'!$C$44&gt;=11,J61,J85))*$O$12*$R9,IF('1-Eng Inputs'!$C$44&lt;5.5,J35,IF('1-Eng Inputs'!$C$44&gt;=11,J61,J85))*$O$12)*(IF('1-Eng Inputs'!$C$45&lt;36,((36-'1-Eng Inputs'!$C$45)*(0.3/12))+1,1))*$R$18*$R$20</f>
        <v>-0.23</v>
      </c>
      <c r="K9" s="77">
        <f>IF('1-Eng Inputs'!$C$13="YES",IF('1-Eng Inputs'!$C$44&lt;5.5,K35,IF('1-Eng Inputs'!$C$44&gt;=11,K61,K85))*$O$12*$R9,IF('1-Eng Inputs'!$C$44&lt;5.5,K35,IF('1-Eng Inputs'!$C$44&gt;=11,K61,K85))*$O$12)*(IF('1-Eng Inputs'!$C$45&lt;36,((36-'1-Eng Inputs'!$C$45)*(0.3/12))+1,1))*$R$18*$R$20</f>
        <v>-0.2</v>
      </c>
      <c r="L9" s="136">
        <f>IF('1-Eng Inputs'!$C$13="YES",IF('1-Eng Inputs'!$C$44&lt;5.5,L35,IF('1-Eng Inputs'!$C$44&gt;=11,L61,L85))*$O$12*$R9,IF('1-Eng Inputs'!$C$44&lt;5.5,L35,IF('1-Eng Inputs'!$C$44&gt;=11,L61,L85))*$O$12)*(IF('1-Eng Inputs'!$C$45&lt;36,((36-'1-Eng Inputs'!$C$45)*(0.3/12))+1,1))*$R$18</f>
        <v>0.56999999999999995</v>
      </c>
      <c r="N9" s="216">
        <v>0</v>
      </c>
      <c r="O9" s="217">
        <v>1</v>
      </c>
      <c r="Q9" s="234" t="s">
        <v>197</v>
      </c>
      <c r="R9" s="235">
        <v>1.5</v>
      </c>
      <c r="S9" s="236">
        <v>1.1000000000000001</v>
      </c>
    </row>
    <row r="10" spans="1:19">
      <c r="A10" s="116" t="s">
        <v>198</v>
      </c>
      <c r="B10" s="79">
        <f ca="1">'Area Reduction'!$C$32*'Land Coeffs 10deg'!C10</f>
        <v>-0.19193594027445562</v>
      </c>
      <c r="C10" s="79">
        <f>IF('1-Eng Inputs'!$C$13="YES",IF('1-Eng Inputs'!$C$44&lt;5.5,C36,IF('1-Eng Inputs'!$C$44&gt;=11,C62,C86))*$O$12*$R10,IF('1-Eng Inputs'!$C$44&lt;5.5,C36,IF('1-Eng Inputs'!$C$44&gt;=11,C62,C86))*$O$12)*(IF('1-Eng Inputs'!$C$45&lt;36,((36-'1-Eng Inputs'!$C$45)*(0.3/12))+1,1))*$R$18</f>
        <v>-0.56000000000000005</v>
      </c>
      <c r="D10" s="79">
        <f>IF('1-Eng Inputs'!$C$13="YES",IF('1-Eng Inputs'!$C$44&lt;5.5,D36,IF('1-Eng Inputs'!$C$44&gt;=11,D62,D86))*$O$12*$R10,IF('1-Eng Inputs'!$C$44&lt;5.5,D36,IF('1-Eng Inputs'!$C$44&gt;=11,D62,D86))*$O$12)*(IF('1-Eng Inputs'!$C$45&lt;36,((36-'1-Eng Inputs'!$C$45)*(0.3/12))+1,1))*$R$18*$R$20</f>
        <v>-0.4</v>
      </c>
      <c r="E10" s="79">
        <f>IF('1-Eng Inputs'!$C$13="YES",IF('1-Eng Inputs'!$C$44&lt;5.5,E36,IF('1-Eng Inputs'!$C$44&gt;=11,E62,E86))*$O$12*$R10,IF('1-Eng Inputs'!$C$44&lt;5.5,E36,IF('1-Eng Inputs'!$C$44&gt;=11,E62,E86))*$O$12)*(IF('1-Eng Inputs'!$C$45&lt;36,((36-'1-Eng Inputs'!$C$45)*(0.3/12))+1,1))*$R$18*$R$20</f>
        <v>-0.43</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-0.33</v>
      </c>
      <c r="I10" s="79">
        <f>IF('1-Eng Inputs'!$C$13="YES",IF('1-Eng Inputs'!$C$44&lt;5.5,I36,IF('1-Eng Inputs'!$C$44&gt;=11,I62,I86))*$O$12*$R10,IF('1-Eng Inputs'!$C$44&lt;5.5,I36,IF('1-Eng Inputs'!$C$44&gt;=11,I62,I86))*$O$12)*(IF('1-Eng Inputs'!$C$45&lt;36,((36-'1-Eng Inputs'!$C$45)*(0.3/12))+1,1))*$R$18*$R$20</f>
        <v>-0.26</v>
      </c>
      <c r="J10" s="79">
        <f>IF('1-Eng Inputs'!$C$13="YES",IF('1-Eng Inputs'!$C$44&lt;5.5,J36,IF('1-Eng Inputs'!$C$44&gt;=11,J62,J86))*$O$12*$R10,IF('1-Eng Inputs'!$C$44&lt;5.5,J36,IF('1-Eng Inputs'!$C$44&gt;=11,J62,J86))*$O$12)*(IF('1-Eng Inputs'!$C$45&lt;36,((36-'1-Eng Inputs'!$C$45)*(0.3/12))+1,1))*$R$18*$R$20</f>
        <v>-0.24</v>
      </c>
      <c r="K10" s="79">
        <f>IF('1-Eng Inputs'!$C$13="YES",IF('1-Eng Inputs'!$C$44&lt;5.5,K36,IF('1-Eng Inputs'!$C$44&gt;=11,K62,K86))*$O$12*$R10,IF('1-Eng Inputs'!$C$44&lt;5.5,K36,IF('1-Eng Inputs'!$C$44&gt;=11,K62,K86))*$O$12)*(IF('1-Eng Inputs'!$C$45&lt;36,((36-'1-Eng Inputs'!$C$45)*(0.3/12))+1,1))*$R$18*$R$20</f>
        <v>-0.2</v>
      </c>
      <c r="L10" s="137">
        <f>IF('1-Eng Inputs'!$C$13="YES",IF('1-Eng Inputs'!$C$44&lt;5.5,L36,IF('1-Eng Inputs'!$C$44&gt;=11,L62,L86))*$O$12*$R10,IF('1-Eng Inputs'!$C$44&lt;5.5,L36,IF('1-Eng Inputs'!$C$44&gt;=11,L62,L86))*$O$12)*(IF('1-Eng Inputs'!$C$45&lt;36,((36-'1-Eng Inputs'!$C$45)*(0.3/12))+1,1))*$R$18</f>
        <v>0.62</v>
      </c>
      <c r="N10" s="218">
        <v>6</v>
      </c>
      <c r="O10" s="219">
        <v>1</v>
      </c>
      <c r="Q10" s="237" t="s">
        <v>198</v>
      </c>
      <c r="R10" s="238">
        <v>1.6</v>
      </c>
      <c r="S10" s="239">
        <v>1.1000000000000001</v>
      </c>
    </row>
    <row r="11" spans="1:19">
      <c r="A11" s="117" t="s">
        <v>199</v>
      </c>
      <c r="B11" s="81">
        <f ca="1">'Area Reduction'!$C$32*'Land Coeffs 10deg'!C11</f>
        <v>-0.15423423772054468</v>
      </c>
      <c r="C11" s="81">
        <f>IF('1-Eng Inputs'!$C$13="YES",IF('1-Eng Inputs'!$C$44&lt;5.5,C37,IF('1-Eng Inputs'!$C$44&gt;=11,C63,C87))*$O$12*$R11,IF('1-Eng Inputs'!$C$44&lt;5.5,C37,IF('1-Eng Inputs'!$C$44&gt;=11,C63,C87))*$O$12)*(IF('1-Eng Inputs'!$C$45&lt;36,((36-'1-Eng Inputs'!$C$45)*(0.3/12))+1,1))*$R$18</f>
        <v>-0.45</v>
      </c>
      <c r="D11" s="81">
        <f>IF('1-Eng Inputs'!$C$13="YES",IF('1-Eng Inputs'!$C$44&lt;5.5,D37,IF('1-Eng Inputs'!$C$44&gt;=11,D63,D87))*$O$12*$R11,IF('1-Eng Inputs'!$C$44&lt;5.5,D37,IF('1-Eng Inputs'!$C$44&gt;=11,D63,D87))*$O$12)*(IF('1-Eng Inputs'!$C$45&lt;36,((36-'1-Eng Inputs'!$C$45)*(0.3/12))+1,1))*$R$18*$R$20</f>
        <v>-0.37</v>
      </c>
      <c r="E11" s="81">
        <f>IF('1-Eng Inputs'!$C$13="YES",IF('1-Eng Inputs'!$C$44&lt;5.5,E37,IF('1-Eng Inputs'!$C$44&gt;=11,E63,E87))*$O$12*$R11,IF('1-Eng Inputs'!$C$44&lt;5.5,E37,IF('1-Eng Inputs'!$C$44&gt;=11,E63,E87))*$O$12)*(IF('1-Eng Inputs'!$C$45&lt;36,((36-'1-Eng Inputs'!$C$45)*(0.3/12))+1,1))*$R$18*$R$20</f>
        <v>-0.32</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-0.26</v>
      </c>
      <c r="I11" s="81">
        <f>IF('1-Eng Inputs'!$C$13="YES",IF('1-Eng Inputs'!$C$44&lt;5.5,I37,IF('1-Eng Inputs'!$C$44&gt;=11,I63,I87))*$O$12*$R11,IF('1-Eng Inputs'!$C$44&lt;5.5,I37,IF('1-Eng Inputs'!$C$44&gt;=11,I63,I87))*$O$12)*(IF('1-Eng Inputs'!$C$45&lt;36,((36-'1-Eng Inputs'!$C$45)*(0.3/12))+1,1))*$R$18*$R$20</f>
        <v>-0.22</v>
      </c>
      <c r="J11" s="81">
        <f>IF('1-Eng Inputs'!$C$13="YES",IF('1-Eng Inputs'!$C$44&lt;5.5,J37,IF('1-Eng Inputs'!$C$44&gt;=11,J63,J87))*$O$12*$R11,IF('1-Eng Inputs'!$C$44&lt;5.5,J37,IF('1-Eng Inputs'!$C$44&gt;=11,J63,J87))*$O$12)*(IF('1-Eng Inputs'!$C$45&lt;36,((36-'1-Eng Inputs'!$C$45)*(0.3/12))+1,1))*$R$18*$R$20</f>
        <v>-0.23</v>
      </c>
      <c r="K11" s="81">
        <f>IF('1-Eng Inputs'!$C$13="YES",IF('1-Eng Inputs'!$C$44&lt;5.5,K37,IF('1-Eng Inputs'!$C$44&gt;=11,K63,K87))*$O$12*$R11,IF('1-Eng Inputs'!$C$44&lt;5.5,K37,IF('1-Eng Inputs'!$C$44&gt;=11,K63,K87))*$O$12)*(IF('1-Eng Inputs'!$C$45&lt;36,((36-'1-Eng Inputs'!$C$45)*(0.3/12))+1,1))*$R$18*$R$20</f>
        <v>-0.2</v>
      </c>
      <c r="L11" s="138">
        <f>IF('1-Eng Inputs'!$C$13="YES",IF('1-Eng Inputs'!$C$44&lt;5.5,L37,IF('1-Eng Inputs'!$C$44&gt;=11,L63,L87))*$O$12*$R11,IF('1-Eng Inputs'!$C$44&lt;5.5,L37,IF('1-Eng Inputs'!$C$44&gt;=11,L63,L87))*$O$12)*(IF('1-Eng Inputs'!$C$45&lt;36,((36-'1-Eng Inputs'!$C$45)*(0.3/12))+1,1))*$R$18</f>
        <v>0.56999999999999995</v>
      </c>
      <c r="N11" s="220">
        <v>10</v>
      </c>
      <c r="O11" s="221">
        <v>1.2</v>
      </c>
      <c r="Q11" s="240" t="s">
        <v>199</v>
      </c>
      <c r="R11" s="241">
        <v>1.3</v>
      </c>
      <c r="S11" s="242">
        <v>1.1000000000000001</v>
      </c>
    </row>
    <row r="12" spans="1:19" ht="13.5" thickBot="1">
      <c r="A12" s="118" t="s">
        <v>200</v>
      </c>
      <c r="B12" s="83">
        <f ca="1">'Area Reduction'!$C$32*'Land Coeffs 10deg'!C12</f>
        <v>-0.20907307779896056</v>
      </c>
      <c r="C12" s="83">
        <f>IF('1-Eng Inputs'!$C$13="YES",IF('1-Eng Inputs'!$C$44&lt;5.5,C38,IF('1-Eng Inputs'!$C$44&gt;=11,C64,C88))*$O$12*$R12,IF('1-Eng Inputs'!$C$44&lt;5.5,C38,IF('1-Eng Inputs'!$C$44&gt;=11,C64,C88))*$O$12)*(IF('1-Eng Inputs'!$C$45&lt;36,((36-'1-Eng Inputs'!$C$45)*(0.3/12))+1,1))*$R$18</f>
        <v>-0.61</v>
      </c>
      <c r="D12" s="83">
        <f>IF('1-Eng Inputs'!$C$13="YES",IF('1-Eng Inputs'!$C$44&lt;5.5,D38,IF('1-Eng Inputs'!$C$44&gt;=11,D64,D88))*$O$12*$R12,IF('1-Eng Inputs'!$C$44&lt;5.5,D38,IF('1-Eng Inputs'!$C$44&gt;=11,D64,D88))*$O$12)*(IF('1-Eng Inputs'!$C$45&lt;36,((36-'1-Eng Inputs'!$C$45)*(0.3/12))+1,1))*$R$18*$R$20</f>
        <v>-0.53</v>
      </c>
      <c r="E12" s="83">
        <f>IF('1-Eng Inputs'!$C$13="YES",IF('1-Eng Inputs'!$C$44&lt;5.5,E38,IF('1-Eng Inputs'!$C$44&gt;=11,E64,E88))*$O$12*$R12,IF('1-Eng Inputs'!$C$44&lt;5.5,E38,IF('1-Eng Inputs'!$C$44&gt;=11,E64,E88))*$O$12)*(IF('1-Eng Inputs'!$C$45&lt;36,((36-'1-Eng Inputs'!$C$45)*(0.3/12))+1,1))*$R$18*$R$20</f>
        <v>-0.43</v>
      </c>
      <c r="F12" s="84">
        <f>IF('1-Eng Inputs'!$C$13="YES",IF('1-Eng Inputs'!$C$44&lt;5.5,F38,IF('1-Eng Inputs'!$C$44&gt;=11,F64,F88))*$O$12*$R12,IF('1-Eng Inputs'!$C$44&lt;5.5,F38,IF('1-Eng Inputs'!$C$44&gt;=11,F64,F88))*$O$12)*(IF('1-Eng Inputs'!$C$45&lt;36,((36-'1-Eng Inputs'!$C$45)*(0.3/12))+1,1))*$R$18*$R$20</f>
        <v>-0.43000000000000005</v>
      </c>
      <c r="G12" s="84">
        <f>IF('1-Eng Inputs'!$C$13="YES",IF('1-Eng Inputs'!$C$44&lt;5.5,G38,IF('1-Eng Inputs'!$C$44&gt;=11,G64,G88))*$O$12*$R12,IF('1-Eng Inputs'!$C$44&lt;5.5,G38,IF('1-Eng Inputs'!$C$44&gt;=11,G64,G88))*$O$12)*(IF('1-Eng Inputs'!$C$45&lt;36,((36-'1-Eng Inputs'!$C$45)*(0.3/12))+1,1))*$R$18*$R$20</f>
        <v>-0.38</v>
      </c>
      <c r="H12" s="83">
        <f>IF('1-Eng Inputs'!$C$13="YES",IF('1-Eng Inputs'!$C$44&lt;5.5,H38,IF('1-Eng Inputs'!$C$44&gt;=11,H64,H88))*$O$12*$R12,IF('1-Eng Inputs'!$C$44&lt;5.5,H38,IF('1-Eng Inputs'!$C$44&gt;=11,H64,H88))*$O$12)*(IF('1-Eng Inputs'!$C$45&lt;36,((36-'1-Eng Inputs'!$C$45)*(0.3/12))+1,1))*$R$18*$R$20</f>
        <v>-0.33</v>
      </c>
      <c r="I12" s="83">
        <f>IF('1-Eng Inputs'!$C$13="YES",IF('1-Eng Inputs'!$C$44&lt;5.5,I38,IF('1-Eng Inputs'!$C$44&gt;=11,I64,I88))*$O$12*$R12,IF('1-Eng Inputs'!$C$44&lt;5.5,I38,IF('1-Eng Inputs'!$C$44&gt;=11,I64,I88))*$O$12)*(IF('1-Eng Inputs'!$C$45&lt;36,((36-'1-Eng Inputs'!$C$45)*(0.3/12))+1,1))*$R$18*$R$20</f>
        <v>-0.28000000000000003</v>
      </c>
      <c r="J12" s="83">
        <f>IF('1-Eng Inputs'!$C$13="YES",IF('1-Eng Inputs'!$C$44&lt;5.5,J38,IF('1-Eng Inputs'!$C$44&gt;=11,J64,J88))*$O$12*$R12,IF('1-Eng Inputs'!$C$44&lt;5.5,J38,IF('1-Eng Inputs'!$C$44&gt;=11,J64,J88))*$O$12)*(IF('1-Eng Inputs'!$C$45&lt;36,((36-'1-Eng Inputs'!$C$45)*(0.3/12))+1,1))*$R$18*$R$20</f>
        <v>-0.24</v>
      </c>
      <c r="K12" s="83">
        <f>IF('1-Eng Inputs'!$C$13="YES",IF('1-Eng Inputs'!$C$44&lt;5.5,K38,IF('1-Eng Inputs'!$C$44&gt;=11,K64,K88))*$O$12*$R12,IF('1-Eng Inputs'!$C$44&lt;5.5,K38,IF('1-Eng Inputs'!$C$44&gt;=11,K64,K88))*$O$12)*(IF('1-Eng Inputs'!$C$45&lt;36,((36-'1-Eng Inputs'!$C$45)*(0.3/12))+1,1))*$R$18*$R$20</f>
        <v>-0.2</v>
      </c>
      <c r="L12" s="139">
        <f>IF('1-Eng Inputs'!$C$13="YES",IF('1-Eng Inputs'!$C$44&lt;5.5,L38,IF('1-Eng Inputs'!$C$44&gt;=11,L64,L88))*$O$12*$R12,IF('1-Eng Inputs'!$C$44&lt;5.5,L38,IF('1-Eng Inputs'!$C$44&gt;=11,L64,L88))*$O$12)*(IF('1-Eng Inputs'!$C$45&lt;36,((36-'1-Eng Inputs'!$C$45)*(0.3/12))+1,1))*$R$18</f>
        <v>0.62</v>
      </c>
      <c r="N12" s="222">
        <f>'1-Eng Inputs'!$C$41</f>
        <v>1</v>
      </c>
      <c r="O12" s="223">
        <f>IF(N12&lt;=6,O9,(O10+(N12-N10)*((O11-O10)/(N11-N10))))</f>
        <v>1</v>
      </c>
      <c r="Q12" s="243" t="s">
        <v>200</v>
      </c>
      <c r="R12" s="244">
        <v>1.4</v>
      </c>
      <c r="S12" s="245">
        <v>1.1000000000000001</v>
      </c>
    </row>
    <row r="13" spans="1:19" ht="13.5" thickBot="1">
      <c r="A13" s="119" t="s">
        <v>201</v>
      </c>
      <c r="B13" s="120">
        <f ca="1">'Area Reduction'!$C$32*'Land Coeffs 10deg'!C13</f>
        <v>-0.20907307779896056</v>
      </c>
      <c r="C13" s="120">
        <f>IF('1-Eng Inputs'!$C$13="YES",IF('1-Eng Inputs'!$C$44&lt;5.5,C39,IF('1-Eng Inputs'!$C$44&gt;=11,C65,C89))*$O$12*$R13,IF('1-Eng Inputs'!$C$44&lt;5.5,C39,IF('1-Eng Inputs'!$C$44&gt;=11,C65,C89))*$O$12)*(IF('1-Eng Inputs'!$C$45&lt;36,((36-'1-Eng Inputs'!$C$45)*(0.3/12))+1,1))*$R$18</f>
        <v>-0.61</v>
      </c>
      <c r="D13" s="120">
        <f>IF('1-Eng Inputs'!$C$13="YES",IF('1-Eng Inputs'!$C$44&lt;5.5,D39,IF('1-Eng Inputs'!$C$44&gt;=11,D65,D89))*$O$12*$R13,IF('1-Eng Inputs'!$C$44&lt;5.5,D39,IF('1-Eng Inputs'!$C$44&gt;=11,D65,D89))*$O$12)*(IF('1-Eng Inputs'!$C$45&lt;36,((36-'1-Eng Inputs'!$C$45)*(0.3/12))+1,1))*$R$18*$R$20</f>
        <v>-0.49</v>
      </c>
      <c r="E13" s="120">
        <f>IF('1-Eng Inputs'!$C$13="YES",IF('1-Eng Inputs'!$C$44&lt;5.5,E39,IF('1-Eng Inputs'!$C$44&gt;=11,E65,E89))*$O$12*$R13,IF('1-Eng Inputs'!$C$44&lt;5.5,E39,IF('1-Eng Inputs'!$C$44&gt;=11,E65,E89))*$O$12)*(IF('1-Eng Inputs'!$C$45&lt;36,((36-'1-Eng Inputs'!$C$45)*(0.3/12))+1,1))*$R$18*$R$20</f>
        <v>-0.35</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-0.3</v>
      </c>
      <c r="I13" s="120">
        <f>IF('1-Eng Inputs'!$C$13="YES",IF('1-Eng Inputs'!$C$44&lt;5.5,I39,IF('1-Eng Inputs'!$C$44&gt;=11,I65,I89))*$O$12*$R13,IF('1-Eng Inputs'!$C$44&lt;5.5,I39,IF('1-Eng Inputs'!$C$44&gt;=11,I65,I89))*$O$12)*(IF('1-Eng Inputs'!$C$45&lt;36,((36-'1-Eng Inputs'!$C$45)*(0.3/12))+1,1))*$R$18*$R$20</f>
        <v>-0.26</v>
      </c>
      <c r="J13" s="120">
        <f>IF('1-Eng Inputs'!$C$13="YES",IF('1-Eng Inputs'!$C$44&lt;5.5,J39,IF('1-Eng Inputs'!$C$44&gt;=11,J65,J89))*$O$12*$R13,IF('1-Eng Inputs'!$C$44&lt;5.5,J39,IF('1-Eng Inputs'!$C$44&gt;=11,J65,J89))*$O$12)*(IF('1-Eng Inputs'!$C$45&lt;36,((36-'1-Eng Inputs'!$C$45)*(0.3/12))+1,1))*$R$18*$R$20</f>
        <v>-0.23</v>
      </c>
      <c r="K13" s="120">
        <f>IF('1-Eng Inputs'!$C$13="YES",IF('1-Eng Inputs'!$C$44&lt;5.5,K39,IF('1-Eng Inputs'!$C$44&gt;=11,K65,K89))*$O$12*$R13,IF('1-Eng Inputs'!$C$44&lt;5.5,K39,IF('1-Eng Inputs'!$C$44&gt;=11,K65,K89))*$O$12)*(IF('1-Eng Inputs'!$C$45&lt;36,((36-'1-Eng Inputs'!$C$45)*(0.3/12))+1,1))*$R$18*$R$20</f>
        <v>-0.2</v>
      </c>
      <c r="L13" s="140">
        <f>IF('1-Eng Inputs'!$C$13="YES",IF('1-Eng Inputs'!$C$44&lt;5.5,L39,IF('1-Eng Inputs'!$C$44&gt;=11,L65,L89))*$O$12*$R13,IF('1-Eng Inputs'!$C$44&lt;5.5,L39,IF('1-Eng Inputs'!$C$44&gt;=11,L65,L89))*$O$12)*(IF('1-Eng Inputs'!$C$45&lt;36,((36-'1-Eng Inputs'!$C$45)*(0.3/12))+1,1))*$R$18</f>
        <v>0.56999999999999995</v>
      </c>
      <c r="Q13" s="246" t="s">
        <v>201</v>
      </c>
      <c r="R13" s="247">
        <v>1.7</v>
      </c>
      <c r="S13" s="248">
        <v>1.1000000000000001</v>
      </c>
    </row>
    <row r="14" spans="1:19" ht="13.5" thickBot="1">
      <c r="A14" s="111" t="s">
        <v>19932</v>
      </c>
      <c r="B14" s="122"/>
      <c r="C14" s="840">
        <f t="shared" ref="C14:K14" si="0">MIN(C8:C13)</f>
        <v>-0.61</v>
      </c>
      <c r="D14" s="840">
        <f t="shared" si="0"/>
        <v>-0.53</v>
      </c>
      <c r="E14" s="840">
        <f t="shared" si="0"/>
        <v>-0.45</v>
      </c>
      <c r="F14" s="840">
        <f t="shared" si="0"/>
        <v>-0.43000000000000005</v>
      </c>
      <c r="G14" s="840">
        <f t="shared" si="0"/>
        <v>-0.39</v>
      </c>
      <c r="H14" s="840">
        <f t="shared" si="0"/>
        <v>-0.33</v>
      </c>
      <c r="I14" s="840">
        <f t="shared" si="0"/>
        <v>-0.28000000000000003</v>
      </c>
      <c r="J14" s="840">
        <f t="shared" si="0"/>
        <v>-0.28999999999999998</v>
      </c>
      <c r="K14" s="840">
        <f t="shared" si="0"/>
        <v>-0.24</v>
      </c>
      <c r="L14" s="122"/>
      <c r="N14" s="2164" t="s">
        <v>19525</v>
      </c>
      <c r="O14" s="2165"/>
      <c r="Q14" s="228" t="s">
        <v>19236</v>
      </c>
      <c r="R14" s="229" t="s">
        <v>463</v>
      </c>
    </row>
    <row r="15" spans="1:19">
      <c r="A15" s="124" t="s">
        <v>235</v>
      </c>
      <c r="B15" s="122"/>
      <c r="C15" s="122"/>
      <c r="D15" s="122"/>
      <c r="E15" s="122"/>
      <c r="F15" s="122"/>
      <c r="G15" s="122"/>
      <c r="H15" s="122"/>
      <c r="I15" s="122"/>
      <c r="J15" s="122"/>
      <c r="K15" s="122"/>
      <c r="L15" s="122"/>
      <c r="N15" s="2166"/>
      <c r="O15" s="2167"/>
      <c r="Q15" s="231" t="s">
        <v>19237</v>
      </c>
      <c r="R15" s="232">
        <v>1.3</v>
      </c>
    </row>
    <row r="16" spans="1:19" ht="17.25" thickBot="1">
      <c r="A16" s="111"/>
      <c r="B16" s="122" t="s">
        <v>202</v>
      </c>
      <c r="C16" s="122" t="s">
        <v>202</v>
      </c>
      <c r="D16" s="122" t="s">
        <v>202</v>
      </c>
      <c r="H16" s="38"/>
      <c r="I16" s="38"/>
      <c r="J16" s="38"/>
      <c r="K16" s="38"/>
      <c r="L16" s="38"/>
      <c r="N16" s="2166"/>
      <c r="O16" s="2167"/>
      <c r="Q16" s="246" t="s">
        <v>19238</v>
      </c>
      <c r="R16" s="247">
        <v>1.6</v>
      </c>
    </row>
    <row r="17" spans="1:18" ht="17.25" thickBot="1">
      <c r="A17" s="38"/>
      <c r="B17" s="122" t="s">
        <v>240</v>
      </c>
      <c r="C17" s="122" t="s">
        <v>194</v>
      </c>
      <c r="D17" s="122" t="s">
        <v>203</v>
      </c>
      <c r="H17" s="38"/>
      <c r="I17" s="38"/>
      <c r="J17" s="38"/>
      <c r="K17" s="38"/>
      <c r="L17" s="38"/>
      <c r="N17" s="2166"/>
      <c r="O17" s="2167"/>
      <c r="Q17" s="228" t="s">
        <v>19518</v>
      </c>
      <c r="R17" s="229" t="s">
        <v>463</v>
      </c>
    </row>
    <row r="18" spans="1:18" ht="13.5" thickBot="1">
      <c r="A18" s="114" t="s">
        <v>196</v>
      </c>
      <c r="B18" s="85">
        <f ca="1">'Area Reduction'!$C$32*C18</f>
        <v>0.48669470569594098</v>
      </c>
      <c r="C18" s="85">
        <f>IF('1-Eng Inputs'!$C$13="YES",IF('1-Eng Inputs'!$C$44&lt;5.5,C44,IF('1-Eng Inputs'!$C$44&gt;=11,C70,C94))*$O$12*$S$8,IF('1-Eng Inputs'!$C$44&lt;5.5,C44,IF('1-Eng Inputs'!$C$44&gt;=11,C70,C94))*$O$12)</f>
        <v>1.42</v>
      </c>
      <c r="D18" s="85">
        <f>IF('1-Eng Inputs'!$C$13="YES",IF('1-Eng Inputs'!$C$44&lt;5.5,D44,IF('1-Eng Inputs'!$C$44&gt;=11,D70,D94))*$O$12*$S$8,IF('1-Eng Inputs'!$C$44&lt;5.5,D44,IF('1-Eng Inputs'!$C$44&gt;=11,D70,D94))*$O$12)</f>
        <v>0.49</v>
      </c>
      <c r="H18" s="38"/>
      <c r="I18" s="38"/>
      <c r="J18" s="38"/>
      <c r="K18" s="38"/>
      <c r="L18" s="38"/>
      <c r="N18" s="435" t="s">
        <v>19520</v>
      </c>
      <c r="O18" s="436" t="s">
        <v>19524</v>
      </c>
      <c r="Q18" s="432" t="str">
        <f>'1-Eng Inputs'!C27&amp;" ft."</f>
        <v>20 ft.</v>
      </c>
      <c r="R18" s="642">
        <f>IF('1-Eng Inputs'!C27&lt;61,1,O38)</f>
        <v>1</v>
      </c>
    </row>
    <row r="19" spans="1:18" ht="13.5" thickBot="1">
      <c r="A19" s="115" t="s">
        <v>197</v>
      </c>
      <c r="B19" s="86">
        <f ca="1">'Area Reduction'!$C$32*C19</f>
        <v>0.40100901807341616</v>
      </c>
      <c r="C19" s="86">
        <f>IF('1-Eng Inputs'!$C$13="YES",IF('1-Eng Inputs'!$C$44&lt;5.5,C45,IF('1-Eng Inputs'!$C$44&gt;=11,C71,C95))*$O$12*$S$9,IF('1-Eng Inputs'!$C$44&lt;5.5,C45,IF('1-Eng Inputs'!$C$44&gt;=11,C71,C95))*$O$12)</f>
        <v>1.17</v>
      </c>
      <c r="D19" s="86">
        <f>IF('1-Eng Inputs'!$C$13="YES",IF('1-Eng Inputs'!$C$44&lt;5.5,D45,IF('1-Eng Inputs'!$C$44&gt;=11,D71,D95))*$O$12*$S$9,IF('1-Eng Inputs'!$C$44&lt;5.5,D45,IF('1-Eng Inputs'!$C$44&gt;=11,D71,D95))*$O$12)</f>
        <v>0.36</v>
      </c>
      <c r="H19" s="38"/>
      <c r="I19" s="38"/>
      <c r="J19" s="38"/>
      <c r="K19" s="38"/>
      <c r="L19" s="38"/>
      <c r="N19" s="433">
        <v>0</v>
      </c>
      <c r="O19" s="434">
        <v>1</v>
      </c>
      <c r="Q19" s="228" t="s">
        <v>20225</v>
      </c>
      <c r="R19" s="229"/>
    </row>
    <row r="20" spans="1:18" ht="13.5" thickBot="1">
      <c r="A20" s="116" t="s">
        <v>198</v>
      </c>
      <c r="B20" s="87">
        <f ca="1">'Area Reduction'!$C$32*C20</f>
        <v>0.44556557563712906</v>
      </c>
      <c r="C20" s="87">
        <f>IF('1-Eng Inputs'!$C$13="YES",IF('1-Eng Inputs'!$C$44&lt;5.5,C46,IF('1-Eng Inputs'!$C$44&gt;=11,C72,C96))*$O$12*$S$10,IF('1-Eng Inputs'!$C$44&lt;5.5,C46,IF('1-Eng Inputs'!$C$44&gt;=11,C72,C96))*$O$12)</f>
        <v>1.3</v>
      </c>
      <c r="D20" s="87">
        <f>IF('1-Eng Inputs'!$C$13="YES",IF('1-Eng Inputs'!$C$44&lt;5.5,D46,IF('1-Eng Inputs'!$C$44&gt;=11,D72,D96))*$O$12*$S$10,IF('1-Eng Inputs'!$C$44&lt;5.5,D46,IF('1-Eng Inputs'!$C$44&gt;=11,D72,D96))*$O$12)</f>
        <v>0.37</v>
      </c>
      <c r="H20" s="38"/>
      <c r="I20" s="38"/>
      <c r="J20" s="38"/>
      <c r="K20" s="38"/>
      <c r="L20" s="38"/>
      <c r="N20" s="433">
        <v>10</v>
      </c>
      <c r="O20" s="434">
        <v>1</v>
      </c>
      <c r="Q20" s="432" t="str">
        <f>N65&amp;" Modules"</f>
        <v>16 Modules</v>
      </c>
      <c r="R20" s="642">
        <f>O65</f>
        <v>1</v>
      </c>
    </row>
    <row r="21" spans="1:18">
      <c r="A21" s="117" t="s">
        <v>199</v>
      </c>
      <c r="B21" s="88">
        <f ca="1">'Area Reduction'!$C$32*C21</f>
        <v>0.40100901807341616</v>
      </c>
      <c r="C21" s="88">
        <f>IF('1-Eng Inputs'!$C$13="YES",IF('1-Eng Inputs'!$C$44&lt;5.5,C47,IF('1-Eng Inputs'!$C$44&gt;=11,C73,C97))*$O$12*$S$11,IF('1-Eng Inputs'!$C$44&lt;5.5,C47,IF('1-Eng Inputs'!$C$44&gt;=11,C73,C97))*$O$12)</f>
        <v>1.17</v>
      </c>
      <c r="D21" s="88">
        <f>IF('1-Eng Inputs'!$C$13="YES",IF('1-Eng Inputs'!$C$44&lt;5.5,D47,IF('1-Eng Inputs'!$C$44&gt;=11,D73,D97))*$O$12*$S$11,IF('1-Eng Inputs'!$C$44&lt;5.5,D47,IF('1-Eng Inputs'!$C$44&gt;=11,D73,D97))*$O$12)</f>
        <v>0.36</v>
      </c>
      <c r="H21" s="38"/>
      <c r="I21" s="38"/>
      <c r="J21" s="38"/>
      <c r="K21" s="38"/>
      <c r="L21" s="38"/>
      <c r="N21" s="433">
        <v>20</v>
      </c>
      <c r="O21" s="434">
        <v>1</v>
      </c>
    </row>
    <row r="22" spans="1:18">
      <c r="A22" s="118" t="s">
        <v>200</v>
      </c>
      <c r="B22" s="89">
        <f ca="1">'Area Reduction'!$C$32*C22</f>
        <v>0.44556557563712906</v>
      </c>
      <c r="C22" s="89">
        <f>IF('1-Eng Inputs'!$C$13="YES",IF('1-Eng Inputs'!$C$44&lt;5.5,C48,IF('1-Eng Inputs'!$C$44&gt;=11,C74,C98))*$O$12*$S$12,IF('1-Eng Inputs'!$C$44&lt;5.5,C48,IF('1-Eng Inputs'!$C$44&gt;=11,C74,C98))*$O$12)</f>
        <v>1.3</v>
      </c>
      <c r="D22" s="89">
        <f>IF('1-Eng Inputs'!$C$13="YES",IF('1-Eng Inputs'!$C$44&lt;5.5,D48,IF('1-Eng Inputs'!$C$44&gt;=11,D74,D98))*$O$12*$S$12,IF('1-Eng Inputs'!$C$44&lt;5.5,D48,IF('1-Eng Inputs'!$C$44&gt;=11,D74,D98))*$O$12)</f>
        <v>0.37</v>
      </c>
      <c r="H22" s="38"/>
      <c r="I22" s="38"/>
      <c r="J22" s="38"/>
      <c r="K22" s="38"/>
      <c r="L22" s="38"/>
      <c r="N22" s="433">
        <v>30</v>
      </c>
      <c r="O22" s="641">
        <v>1</v>
      </c>
    </row>
    <row r="23" spans="1:18">
      <c r="A23" s="119" t="s">
        <v>201</v>
      </c>
      <c r="B23" s="123">
        <f ca="1">'Area Reduction'!$C$32*C23</f>
        <v>0.40100901807341616</v>
      </c>
      <c r="C23" s="123">
        <f>IF('1-Eng Inputs'!$C$13="YES",IF('1-Eng Inputs'!$C$44&lt;5.5,C49,IF('1-Eng Inputs'!$C$44&gt;=11,C75,C99))*$O$12*$S$13,IF('1-Eng Inputs'!$C$44&lt;5.5,C49,IF('1-Eng Inputs'!$C$44&gt;=11,C75,C99))*$O$12)</f>
        <v>1.17</v>
      </c>
      <c r="D23" s="123">
        <f>IF('1-Eng Inputs'!$C$13="YES",IF('1-Eng Inputs'!$C$44&lt;5.5,D49,IF('1-Eng Inputs'!$C$44&gt;=11,D75,D99))*$O$12*$S$13,IF('1-Eng Inputs'!$C$44&lt;5.5,D49,IF('1-Eng Inputs'!$C$44&gt;=11,D75,D99))*$O$12)</f>
        <v>0.36</v>
      </c>
      <c r="H23" s="38"/>
      <c r="I23" s="38"/>
      <c r="J23" s="38"/>
      <c r="K23" s="38"/>
      <c r="L23" s="38"/>
      <c r="N23" s="433">
        <v>40</v>
      </c>
      <c r="O23" s="641">
        <v>1.1200000000000001</v>
      </c>
    </row>
    <row r="24" spans="1:18">
      <c r="A24" s="110" t="s">
        <v>19932</v>
      </c>
      <c r="C24" s="1173">
        <f>MAX(C18:C23)</f>
        <v>1.42</v>
      </c>
      <c r="N24" s="433">
        <v>50</v>
      </c>
      <c r="O24" s="641">
        <v>1.2</v>
      </c>
    </row>
    <row r="25" spans="1:18">
      <c r="N25" s="433">
        <v>60</v>
      </c>
      <c r="O25" s="434">
        <v>1.3</v>
      </c>
    </row>
    <row r="26" spans="1:18">
      <c r="A26" s="2159" t="s">
        <v>366</v>
      </c>
      <c r="B26" s="2159"/>
      <c r="C26" s="2159"/>
      <c r="D26" s="2159"/>
      <c r="E26" s="2159"/>
      <c r="F26" s="2159"/>
      <c r="G26" s="2159"/>
      <c r="H26" s="2159"/>
      <c r="I26" s="2159"/>
      <c r="J26" s="2159"/>
      <c r="K26" s="2159"/>
      <c r="L26" s="2159"/>
      <c r="N26" s="433">
        <v>70</v>
      </c>
      <c r="O26" s="434">
        <v>1.37</v>
      </c>
    </row>
    <row r="27" spans="1:18">
      <c r="A27" s="2159" t="s">
        <v>367</v>
      </c>
      <c r="B27" s="2159"/>
      <c r="C27" s="2159"/>
      <c r="D27" s="2159"/>
      <c r="E27" s="2159"/>
      <c r="F27" s="2159"/>
      <c r="G27" s="2159"/>
      <c r="H27" s="2159"/>
      <c r="I27" s="2159"/>
      <c r="J27" s="2159"/>
      <c r="K27" s="2159"/>
      <c r="L27" s="2159"/>
      <c r="N27" s="433">
        <v>80</v>
      </c>
      <c r="O27" s="434">
        <v>1.43</v>
      </c>
    </row>
    <row r="28" spans="1:18" ht="14.25">
      <c r="A28" s="2159" t="s">
        <v>368</v>
      </c>
      <c r="B28" s="2159"/>
      <c r="C28" s="2159"/>
      <c r="D28" s="2159"/>
      <c r="E28" s="2159"/>
      <c r="F28" s="2159"/>
      <c r="G28" s="2159"/>
      <c r="H28" s="2159"/>
      <c r="I28" s="2159"/>
      <c r="J28" s="2159"/>
      <c r="K28" s="2159"/>
      <c r="L28" s="2159"/>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34"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34"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34"/>
      <c r="N33" s="433">
        <v>140</v>
      </c>
      <c r="O33" s="434">
        <v>1.67</v>
      </c>
    </row>
    <row r="34" spans="1:15">
      <c r="A34" s="114" t="s">
        <v>196</v>
      </c>
      <c r="B34" s="75">
        <f ca="1">'Area Reduction'!$C$32*'Land Coeffs 10deg'!C34</f>
        <v>-0.18508108526465361</v>
      </c>
      <c r="C34" s="75">
        <v>-0.54</v>
      </c>
      <c r="D34" s="75">
        <v>-0.37</v>
      </c>
      <c r="E34" s="75">
        <v>-0.4</v>
      </c>
      <c r="F34" s="76">
        <f>(D34+$H34)/2</f>
        <v>-0.315</v>
      </c>
      <c r="G34" s="76">
        <f>(E34+$H34)/2</f>
        <v>-0.33</v>
      </c>
      <c r="H34" s="75">
        <v>-0.26</v>
      </c>
      <c r="I34" s="75">
        <v>-0.21</v>
      </c>
      <c r="J34" s="75">
        <v>-0.23</v>
      </c>
      <c r="K34" s="75">
        <v>-0.19</v>
      </c>
      <c r="L34" s="135">
        <v>0.65</v>
      </c>
      <c r="N34" s="433">
        <v>150</v>
      </c>
      <c r="O34" s="434">
        <v>1.7</v>
      </c>
    </row>
    <row r="35" spans="1:15">
      <c r="A35" s="115" t="s">
        <v>197</v>
      </c>
      <c r="B35" s="77">
        <f ca="1">'Area Reduction'!$C$32*'Land Coeffs 10deg'!C35</f>
        <v>-0.13709710019603971</v>
      </c>
      <c r="C35" s="77">
        <v>-0.4</v>
      </c>
      <c r="D35" s="77">
        <v>-0.34</v>
      </c>
      <c r="E35" s="77">
        <v>-0.28000000000000003</v>
      </c>
      <c r="F35" s="78"/>
      <c r="G35" s="78"/>
      <c r="H35" s="77">
        <v>-0.24</v>
      </c>
      <c r="I35" s="77">
        <v>-0.2</v>
      </c>
      <c r="J35" s="77">
        <v>-0.21</v>
      </c>
      <c r="K35" s="77">
        <v>-0.17</v>
      </c>
      <c r="L35" s="136">
        <v>0.5</v>
      </c>
      <c r="N35" s="433">
        <v>160</v>
      </c>
      <c r="O35" s="434">
        <v>1.73</v>
      </c>
    </row>
    <row r="36" spans="1:15" ht="13.5" thickBot="1">
      <c r="A36" s="116" t="s">
        <v>198</v>
      </c>
      <c r="B36" s="79">
        <f ca="1">'Area Reduction'!$C$32*'Land Coeffs 10deg'!C36</f>
        <v>-0.17137137524504964</v>
      </c>
      <c r="C36" s="79">
        <v>-0.5</v>
      </c>
      <c r="D36" s="79">
        <v>-0.33</v>
      </c>
      <c r="E36" s="79">
        <v>-0.38</v>
      </c>
      <c r="F36" s="80"/>
      <c r="G36" s="80"/>
      <c r="H36" s="79">
        <v>-0.26</v>
      </c>
      <c r="I36" s="79">
        <v>-0.21</v>
      </c>
      <c r="J36" s="79">
        <v>-0.22</v>
      </c>
      <c r="K36" s="79">
        <v>-0.19</v>
      </c>
      <c r="L36" s="137">
        <v>0.65</v>
      </c>
      <c r="N36" s="433">
        <v>200</v>
      </c>
      <c r="O36" s="434">
        <v>1.83</v>
      </c>
    </row>
    <row r="37" spans="1:15">
      <c r="A37" s="117" t="s">
        <v>199</v>
      </c>
      <c r="B37" s="81">
        <f ca="1">'Area Reduction'!$C$32*'Land Coeffs 10deg'!C37</f>
        <v>-0.12681481768133673</v>
      </c>
      <c r="C37" s="81">
        <v>-0.37</v>
      </c>
      <c r="D37" s="81">
        <v>-0.3</v>
      </c>
      <c r="E37" s="81">
        <v>-0.28000000000000003</v>
      </c>
      <c r="F37" s="82"/>
      <c r="G37" s="82"/>
      <c r="H37" s="81">
        <v>-0.24</v>
      </c>
      <c r="I37" s="81">
        <v>-0.2</v>
      </c>
      <c r="J37" s="81">
        <v>-0.21</v>
      </c>
      <c r="K37" s="81">
        <v>-0.17</v>
      </c>
      <c r="L37" s="138">
        <v>0.5</v>
      </c>
      <c r="N37" s="437">
        <f>ROUNDDOWN(N38,-1)</f>
        <v>20</v>
      </c>
      <c r="O37" s="438">
        <f>VLOOKUP(N37,N19:O36,2,TRUE)</f>
        <v>1</v>
      </c>
    </row>
    <row r="38" spans="1:15">
      <c r="A38" s="118" t="s">
        <v>200</v>
      </c>
      <c r="B38" s="83">
        <f ca="1">'Area Reduction'!$C$32*'Land Coeffs 10deg'!C38</f>
        <v>-0.17137137524504964</v>
      </c>
      <c r="C38" s="83">
        <v>-0.5</v>
      </c>
      <c r="D38" s="83">
        <v>-0.37</v>
      </c>
      <c r="E38" s="83">
        <v>-0.38</v>
      </c>
      <c r="F38" s="84">
        <f>(D38+$H38)/2</f>
        <v>-0.315</v>
      </c>
      <c r="G38" s="84">
        <f>(E38+$H38)/2</f>
        <v>-0.32</v>
      </c>
      <c r="H38" s="83">
        <v>-0.26</v>
      </c>
      <c r="I38" s="83">
        <v>-0.21</v>
      </c>
      <c r="J38" s="83">
        <v>-0.22</v>
      </c>
      <c r="K38" s="83">
        <v>-0.19</v>
      </c>
      <c r="L38" s="139">
        <v>0.65</v>
      </c>
      <c r="N38" s="643">
        <f>IF('1-Eng Inputs'!$C$27&lt;61,'1-Eng Inputs'!$C$27,IF(OR('1-Eng Inputs'!$C$26="",T('1-Eng Inputs'!$C$26)&lt;&gt;""),'1-Eng Inputs'!$C$27,MIN('1-Eng Inputs'!$C$27,(0.5*('1-Eng Inputs'!$C$27*'1-Eng Inputs'!$C$26)^0.5))))</f>
        <v>20</v>
      </c>
      <c r="O38" s="441">
        <f>(IF('1-Eng Inputs'!$C$27&lt;61,1,(O39-O37)*(RIGHT(N38,1)/10)+O37))</f>
        <v>1</v>
      </c>
    </row>
    <row r="39" spans="1:15" ht="13.5" thickBot="1">
      <c r="A39" s="119" t="s">
        <v>201</v>
      </c>
      <c r="B39" s="120">
        <f ca="1">'Area Reduction'!$C$32*'Land Coeffs 10deg'!C39</f>
        <v>-0.15080681021564368</v>
      </c>
      <c r="C39" s="120">
        <v>-0.44</v>
      </c>
      <c r="D39" s="120">
        <v>-0.36</v>
      </c>
      <c r="E39" s="120">
        <v>-0.28000000000000003</v>
      </c>
      <c r="F39" s="121"/>
      <c r="G39" s="121"/>
      <c r="H39" s="120">
        <v>-0.24</v>
      </c>
      <c r="I39" s="120">
        <v>-0.2</v>
      </c>
      <c r="J39" s="120">
        <v>-0.21</v>
      </c>
      <c r="K39" s="120">
        <v>-0.17</v>
      </c>
      <c r="L39" s="140">
        <v>0.5</v>
      </c>
      <c r="N39" s="439">
        <f>ROUNDUP(N38,-1)</f>
        <v>20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4" t="s">
        <v>20222</v>
      </c>
      <c r="O41" s="2165"/>
    </row>
    <row r="42" spans="1:15" ht="16.5">
      <c r="A42" s="111"/>
      <c r="B42" s="122" t="s">
        <v>202</v>
      </c>
      <c r="C42" s="122" t="s">
        <v>202</v>
      </c>
      <c r="D42" s="122" t="s">
        <v>202</v>
      </c>
      <c r="H42" s="38"/>
      <c r="I42" s="38"/>
      <c r="J42" s="38"/>
      <c r="K42" s="38"/>
      <c r="L42" s="38"/>
      <c r="N42" s="2166"/>
      <c r="O42" s="2167"/>
    </row>
    <row r="43" spans="1:15" ht="16.5">
      <c r="A43" s="38"/>
      <c r="B43" s="122" t="s">
        <v>240</v>
      </c>
      <c r="C43" s="122" t="s">
        <v>194</v>
      </c>
      <c r="D43" s="122" t="s">
        <v>203</v>
      </c>
      <c r="H43" s="38"/>
      <c r="I43" s="38"/>
      <c r="J43" s="38"/>
      <c r="K43" s="38"/>
      <c r="L43" s="38"/>
      <c r="N43" s="2166"/>
      <c r="O43" s="2167"/>
    </row>
    <row r="44" spans="1:15">
      <c r="A44" s="114" t="s">
        <v>196</v>
      </c>
      <c r="B44" s="85">
        <f ca="1">'Area Reduction'!$C$32*'Land Coeffs 10deg'!C44</f>
        <v>0.47298499567633706</v>
      </c>
      <c r="C44" s="85">
        <v>1.3800000000000001</v>
      </c>
      <c r="D44" s="85">
        <v>0.38</v>
      </c>
      <c r="H44" s="38"/>
      <c r="I44" s="38"/>
      <c r="J44" s="38"/>
      <c r="K44" s="38"/>
      <c r="L44" s="38"/>
      <c r="N44" s="2166"/>
      <c r="O44" s="2167"/>
    </row>
    <row r="45" spans="1:15" ht="13.5" thickBot="1">
      <c r="A45" s="115" t="s">
        <v>197</v>
      </c>
      <c r="B45" s="86">
        <f ca="1">'Area Reduction'!$C$32*'Land Coeffs 10deg'!C45</f>
        <v>0.32217818546069332</v>
      </c>
      <c r="C45" s="86">
        <v>0.94000000000000006</v>
      </c>
      <c r="D45" s="86">
        <v>0.32</v>
      </c>
      <c r="H45" s="38"/>
      <c r="I45" s="38"/>
      <c r="J45" s="38"/>
      <c r="K45" s="38"/>
      <c r="L45" s="38"/>
      <c r="N45" s="1376" t="s">
        <v>20223</v>
      </c>
      <c r="O45" s="1377" t="s">
        <v>20224</v>
      </c>
    </row>
    <row r="46" spans="1:15">
      <c r="A46" s="116" t="s">
        <v>198</v>
      </c>
      <c r="B46" s="87">
        <f ca="1">'Area Reduction'!$C$32*'Land Coeffs 10deg'!C46</f>
        <v>0.43871072062732708</v>
      </c>
      <c r="C46" s="87">
        <v>1.28</v>
      </c>
      <c r="D46" s="87">
        <v>0.33</v>
      </c>
      <c r="H46" s="38"/>
      <c r="I46" s="38"/>
      <c r="J46" s="38"/>
      <c r="K46" s="38"/>
      <c r="L46" s="38"/>
      <c r="N46" s="433">
        <v>1</v>
      </c>
      <c r="O46" s="434">
        <v>1.8</v>
      </c>
    </row>
    <row r="47" spans="1:15">
      <c r="A47" s="117" t="s">
        <v>199</v>
      </c>
      <c r="B47" s="88">
        <f ca="1">'Area Reduction'!$C$32*'Land Coeffs 10deg'!C47</f>
        <v>0.32217818546069332</v>
      </c>
      <c r="C47" s="88">
        <v>0.94000000000000006</v>
      </c>
      <c r="D47" s="88">
        <v>0.32</v>
      </c>
      <c r="H47" s="38"/>
      <c r="I47" s="38"/>
      <c r="J47" s="38"/>
      <c r="K47" s="38"/>
      <c r="L47" s="38"/>
      <c r="N47" s="433">
        <v>2</v>
      </c>
      <c r="O47" s="434">
        <v>1.8</v>
      </c>
    </row>
    <row r="48" spans="1:15">
      <c r="A48" s="118" t="s">
        <v>200</v>
      </c>
      <c r="B48" s="89">
        <f ca="1">'Area Reduction'!$C$32*'Land Coeffs 10deg'!C48</f>
        <v>0.43871072062732708</v>
      </c>
      <c r="C48" s="89">
        <v>1.28</v>
      </c>
      <c r="D48" s="89">
        <v>0.33</v>
      </c>
      <c r="H48" s="38"/>
      <c r="I48" s="38"/>
      <c r="J48" s="38"/>
      <c r="K48" s="38"/>
      <c r="L48" s="38"/>
      <c r="N48" s="433">
        <v>3</v>
      </c>
      <c r="O48" s="434">
        <v>1.8</v>
      </c>
    </row>
    <row r="49" spans="1:15">
      <c r="A49" s="119" t="s">
        <v>201</v>
      </c>
      <c r="B49" s="123">
        <f ca="1">'Area Reduction'!$C$32*'Land Coeffs 10deg'!C49</f>
        <v>0.32217818546069332</v>
      </c>
      <c r="C49" s="123">
        <v>0.94000000000000006</v>
      </c>
      <c r="D49" s="123">
        <v>0.32</v>
      </c>
      <c r="H49" s="38"/>
      <c r="I49" s="38"/>
      <c r="J49" s="38"/>
      <c r="K49" s="38"/>
      <c r="L49" s="38"/>
      <c r="N49" s="433">
        <v>4</v>
      </c>
      <c r="O49" s="434">
        <f t="shared" ref="O49:O59" si="1">1+0.8*((N49-16)/(4-16))</f>
        <v>1.8</v>
      </c>
    </row>
    <row r="50" spans="1:15">
      <c r="N50" s="433">
        <v>5</v>
      </c>
      <c r="O50" s="434">
        <f t="shared" si="1"/>
        <v>1.7333333333333334</v>
      </c>
    </row>
    <row r="51" spans="1:15">
      <c r="N51" s="433">
        <v>6</v>
      </c>
      <c r="O51" s="434">
        <f t="shared" si="1"/>
        <v>1.6666666666666667</v>
      </c>
    </row>
    <row r="52" spans="1:15">
      <c r="A52" s="2159" t="s">
        <v>366</v>
      </c>
      <c r="B52" s="2159"/>
      <c r="C52" s="2159"/>
      <c r="D52" s="2159"/>
      <c r="E52" s="2159"/>
      <c r="F52" s="2159"/>
      <c r="G52" s="2159"/>
      <c r="H52" s="2159"/>
      <c r="I52" s="2159"/>
      <c r="J52" s="2159"/>
      <c r="K52" s="2159"/>
      <c r="L52" s="2159"/>
      <c r="N52" s="433">
        <v>7</v>
      </c>
      <c r="O52" s="434">
        <f t="shared" si="1"/>
        <v>1.6</v>
      </c>
    </row>
    <row r="53" spans="1:15">
      <c r="A53" s="2159" t="s">
        <v>365</v>
      </c>
      <c r="B53" s="2159"/>
      <c r="C53" s="2159"/>
      <c r="D53" s="2159"/>
      <c r="E53" s="2159"/>
      <c r="F53" s="2159"/>
      <c r="G53" s="2159"/>
      <c r="H53" s="2159"/>
      <c r="I53" s="2159"/>
      <c r="J53" s="2159"/>
      <c r="K53" s="2159"/>
      <c r="L53" s="2159"/>
      <c r="N53" s="433">
        <v>8</v>
      </c>
      <c r="O53" s="434">
        <f t="shared" si="1"/>
        <v>1.5333333333333332</v>
      </c>
    </row>
    <row r="54" spans="1:15" ht="14.25">
      <c r="A54" s="2159" t="s">
        <v>369</v>
      </c>
      <c r="B54" s="2159"/>
      <c r="C54" s="2159"/>
      <c r="D54" s="2159"/>
      <c r="E54" s="2159"/>
      <c r="F54" s="2159"/>
      <c r="G54" s="2159"/>
      <c r="H54" s="2159"/>
      <c r="I54" s="2159"/>
      <c r="J54" s="2159"/>
      <c r="K54" s="2159"/>
      <c r="L54" s="2159"/>
      <c r="N54" s="433">
        <v>9</v>
      </c>
      <c r="O54" s="434">
        <f t="shared" si="1"/>
        <v>1.4666666666666668</v>
      </c>
    </row>
    <row r="55" spans="1:15">
      <c r="N55" s="433">
        <v>10</v>
      </c>
      <c r="O55" s="434">
        <f t="shared" si="1"/>
        <v>1.4</v>
      </c>
    </row>
    <row r="56" spans="1:15" ht="18">
      <c r="A56" s="109" t="s">
        <v>191</v>
      </c>
      <c r="B56" s="124" t="s">
        <v>235</v>
      </c>
      <c r="C56" s="112"/>
      <c r="D56" s="109"/>
      <c r="E56" s="109"/>
      <c r="F56" s="109"/>
      <c r="G56" s="109"/>
      <c r="H56" s="109"/>
      <c r="I56" s="109"/>
      <c r="J56" s="109"/>
      <c r="K56" s="109"/>
      <c r="L56" s="113"/>
      <c r="N56" s="433">
        <v>11</v>
      </c>
      <c r="O56" s="434">
        <f t="shared" si="1"/>
        <v>1.3333333333333335</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34" t="s">
        <v>193</v>
      </c>
      <c r="N57" s="433">
        <v>12</v>
      </c>
      <c r="O57" s="434">
        <f t="shared" si="1"/>
        <v>1.2666666666666666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34" t="s">
        <v>194</v>
      </c>
      <c r="N58" s="433">
        <v>13</v>
      </c>
      <c r="O58" s="434">
        <f t="shared" si="1"/>
        <v>1.2</v>
      </c>
    </row>
    <row r="59" spans="1:15" ht="16.5">
      <c r="A59" s="112" t="s">
        <v>195</v>
      </c>
      <c r="B59" s="112"/>
      <c r="C59" s="112">
        <v>1</v>
      </c>
      <c r="D59" s="112">
        <v>2</v>
      </c>
      <c r="E59" s="112">
        <v>2</v>
      </c>
      <c r="F59" s="113">
        <v>3</v>
      </c>
      <c r="G59" s="113">
        <v>3</v>
      </c>
      <c r="H59" s="112">
        <v>4</v>
      </c>
      <c r="I59" s="112">
        <v>6</v>
      </c>
      <c r="J59" s="112">
        <v>6</v>
      </c>
      <c r="K59" s="112">
        <v>9</v>
      </c>
      <c r="L59" s="134"/>
      <c r="N59" s="433">
        <v>14</v>
      </c>
      <c r="O59" s="434">
        <f t="shared" si="1"/>
        <v>1.1333333333333333</v>
      </c>
    </row>
    <row r="60" spans="1:15">
      <c r="A60" s="114" t="s">
        <v>196</v>
      </c>
      <c r="B60" s="75">
        <f ca="1">'Area Reduction'!$C$32*'Land Coeffs 10deg'!C60</f>
        <v>-0.19193594027445562</v>
      </c>
      <c r="C60" s="75">
        <v>-0.56000000000000005</v>
      </c>
      <c r="D60" s="75">
        <v>-0.43</v>
      </c>
      <c r="E60" s="75">
        <v>-0.45</v>
      </c>
      <c r="F60" s="76">
        <f>(D60+$H60)/2</f>
        <v>-0.38</v>
      </c>
      <c r="G60" s="76">
        <f>(E60+$H60)/2</f>
        <v>-0.39</v>
      </c>
      <c r="H60" s="75">
        <v>-0.33</v>
      </c>
      <c r="I60" s="75">
        <v>-0.26</v>
      </c>
      <c r="J60" s="75">
        <v>-0.28999999999999998</v>
      </c>
      <c r="K60" s="75">
        <v>-0.24</v>
      </c>
      <c r="L60" s="135">
        <v>0.62</v>
      </c>
      <c r="N60" s="433">
        <v>15</v>
      </c>
      <c r="O60" s="434">
        <f>1+0.8*((N60-16)/(4-16))</f>
        <v>1.0666666666666667</v>
      </c>
    </row>
    <row r="61" spans="1:15">
      <c r="A61" s="115" t="s">
        <v>197</v>
      </c>
      <c r="B61" s="77">
        <f ca="1">'Area Reduction'!$C$32*'Land Coeffs 10deg'!C61</f>
        <v>-0.16108909273034666</v>
      </c>
      <c r="C61" s="77">
        <v>-0.47</v>
      </c>
      <c r="D61" s="77">
        <v>-0.39</v>
      </c>
      <c r="E61" s="77">
        <v>-0.32</v>
      </c>
      <c r="F61" s="78"/>
      <c r="G61" s="78"/>
      <c r="H61" s="77">
        <v>-0.26</v>
      </c>
      <c r="I61" s="77">
        <v>-0.22</v>
      </c>
      <c r="J61" s="77">
        <v>-0.23</v>
      </c>
      <c r="K61" s="77">
        <v>-0.2</v>
      </c>
      <c r="L61" s="136">
        <v>0.56999999999999995</v>
      </c>
      <c r="N61" s="433">
        <v>16</v>
      </c>
      <c r="O61" s="434">
        <v>1</v>
      </c>
    </row>
    <row r="62" spans="1:15">
      <c r="A62" s="116" t="s">
        <v>198</v>
      </c>
      <c r="B62" s="79">
        <f ca="1">'Area Reduction'!$C$32*'Land Coeffs 10deg'!C62</f>
        <v>-0.19193594027445562</v>
      </c>
      <c r="C62" s="79">
        <v>-0.56000000000000005</v>
      </c>
      <c r="D62" s="79">
        <v>-0.4</v>
      </c>
      <c r="E62" s="79">
        <v>-0.43</v>
      </c>
      <c r="F62" s="80"/>
      <c r="G62" s="80"/>
      <c r="H62" s="79">
        <v>-0.33</v>
      </c>
      <c r="I62" s="79">
        <v>-0.26</v>
      </c>
      <c r="J62" s="79">
        <v>-0.24</v>
      </c>
      <c r="K62" s="79">
        <v>-0.2</v>
      </c>
      <c r="L62" s="137">
        <v>0.62</v>
      </c>
      <c r="N62" s="433">
        <v>17</v>
      </c>
      <c r="O62" s="434">
        <v>1</v>
      </c>
    </row>
    <row r="63" spans="1:15" ht="13.5" thickBot="1">
      <c r="A63" s="117" t="s">
        <v>199</v>
      </c>
      <c r="B63" s="81">
        <f ca="1">'Area Reduction'!$C$32*'Land Coeffs 10deg'!C63</f>
        <v>-0.15423423772054468</v>
      </c>
      <c r="C63" s="81">
        <v>-0.45</v>
      </c>
      <c r="D63" s="81">
        <v>-0.37</v>
      </c>
      <c r="E63" s="81">
        <v>-0.32</v>
      </c>
      <c r="F63" s="82"/>
      <c r="G63" s="82"/>
      <c r="H63" s="81">
        <v>-0.26</v>
      </c>
      <c r="I63" s="81">
        <v>-0.22</v>
      </c>
      <c r="J63" s="81">
        <v>-0.23</v>
      </c>
      <c r="K63" s="81">
        <v>-0.2</v>
      </c>
      <c r="L63" s="138">
        <v>0.56999999999999995</v>
      </c>
      <c r="N63" s="433">
        <v>18</v>
      </c>
      <c r="O63" s="434">
        <v>1</v>
      </c>
    </row>
    <row r="64" spans="1:15">
      <c r="A64" s="118" t="s">
        <v>200</v>
      </c>
      <c r="B64" s="83">
        <f ca="1">'Area Reduction'!$C$32*'Land Coeffs 10deg'!C64</f>
        <v>-0.20907307779896056</v>
      </c>
      <c r="C64" s="83">
        <v>-0.61</v>
      </c>
      <c r="D64" s="83">
        <v>-0.53</v>
      </c>
      <c r="E64" s="83">
        <v>-0.43</v>
      </c>
      <c r="F64" s="84">
        <f>(D64+$H64)/2</f>
        <v>-0.43000000000000005</v>
      </c>
      <c r="G64" s="84">
        <f>(E64+$H64)/2</f>
        <v>-0.38</v>
      </c>
      <c r="H64" s="83">
        <v>-0.33</v>
      </c>
      <c r="I64" s="83">
        <v>-0.28000000000000003</v>
      </c>
      <c r="J64" s="83">
        <v>-0.24</v>
      </c>
      <c r="K64" s="83">
        <v>-0.2</v>
      </c>
      <c r="L64" s="139">
        <v>0.62</v>
      </c>
      <c r="N64" s="1378"/>
      <c r="O64" s="438"/>
    </row>
    <row r="65" spans="1:15">
      <c r="A65" s="119" t="s">
        <v>201</v>
      </c>
      <c r="B65" s="120">
        <f ca="1">'Area Reduction'!$C$32*'Land Coeffs 10deg'!C65</f>
        <v>-0.20907307779896056</v>
      </c>
      <c r="C65" s="120">
        <v>-0.61</v>
      </c>
      <c r="D65" s="120">
        <v>-0.49</v>
      </c>
      <c r="E65" s="120">
        <v>-0.35</v>
      </c>
      <c r="F65" s="121"/>
      <c r="G65" s="121"/>
      <c r="H65" s="120">
        <v>-0.3</v>
      </c>
      <c r="I65" s="120">
        <v>-0.26</v>
      </c>
      <c r="J65" s="120">
        <v>-0.23</v>
      </c>
      <c r="K65" s="120">
        <v>-0.2</v>
      </c>
      <c r="L65" s="140">
        <v>0.56999999999999995</v>
      </c>
      <c r="N65" s="643">
        <f>'Land Matrix 10deg (lift)'!BV3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H68" s="38"/>
      <c r="I68" s="38"/>
      <c r="J68" s="38"/>
      <c r="K68" s="38"/>
      <c r="L68" s="38"/>
    </row>
    <row r="69" spans="1:15" ht="16.5">
      <c r="A69" s="38"/>
      <c r="B69" s="122" t="s">
        <v>240</v>
      </c>
      <c r="C69" s="122" t="s">
        <v>194</v>
      </c>
      <c r="D69" s="122" t="s">
        <v>203</v>
      </c>
      <c r="H69" s="38"/>
      <c r="I69" s="38"/>
      <c r="J69" s="38"/>
      <c r="K69" s="38"/>
      <c r="L69" s="38"/>
    </row>
    <row r="70" spans="1:15">
      <c r="A70" s="114" t="s">
        <v>196</v>
      </c>
      <c r="B70" s="85">
        <f ca="1">'Area Reduction'!$C$32*'Land Coeffs 10deg'!C70</f>
        <v>0.48669470569594098</v>
      </c>
      <c r="C70" s="85">
        <v>1.42</v>
      </c>
      <c r="D70" s="85">
        <v>0.49</v>
      </c>
      <c r="H70" s="38"/>
      <c r="I70" s="38"/>
      <c r="J70" s="38"/>
      <c r="K70" s="38"/>
      <c r="L70" s="38"/>
    </row>
    <row r="71" spans="1:15">
      <c r="A71" s="115" t="s">
        <v>197</v>
      </c>
      <c r="B71" s="86">
        <f ca="1">'Area Reduction'!$C$32*'Land Coeffs 10deg'!C71</f>
        <v>0.40100901807341616</v>
      </c>
      <c r="C71" s="86">
        <v>1.17</v>
      </c>
      <c r="D71" s="86">
        <v>0.36</v>
      </c>
      <c r="H71" s="38"/>
      <c r="I71" s="38"/>
      <c r="J71" s="38"/>
      <c r="K71" s="38"/>
      <c r="L71" s="38"/>
    </row>
    <row r="72" spans="1:15">
      <c r="A72" s="116" t="s">
        <v>198</v>
      </c>
      <c r="B72" s="87">
        <f ca="1">'Area Reduction'!$C$32*'Land Coeffs 10deg'!C72</f>
        <v>0.44556557563712906</v>
      </c>
      <c r="C72" s="87">
        <v>1.3</v>
      </c>
      <c r="D72" s="87">
        <v>0.37</v>
      </c>
      <c r="H72" s="38"/>
      <c r="I72" s="38"/>
      <c r="J72" s="38"/>
      <c r="K72" s="38"/>
      <c r="L72" s="38"/>
    </row>
    <row r="73" spans="1:15">
      <c r="A73" s="117" t="s">
        <v>199</v>
      </c>
      <c r="B73" s="88">
        <f ca="1">'Area Reduction'!$C$32*'Land Coeffs 10deg'!C73</f>
        <v>0.40100901807341616</v>
      </c>
      <c r="C73" s="88">
        <v>1.17</v>
      </c>
      <c r="D73" s="88">
        <v>0.36</v>
      </c>
      <c r="H73" s="38"/>
      <c r="I73" s="38"/>
      <c r="J73" s="38"/>
      <c r="K73" s="38"/>
      <c r="L73" s="38"/>
    </row>
    <row r="74" spans="1:15">
      <c r="A74" s="118" t="s">
        <v>200</v>
      </c>
      <c r="B74" s="89">
        <f ca="1">'Area Reduction'!$C$32*'Land Coeffs 10deg'!C74</f>
        <v>0.44556557563712906</v>
      </c>
      <c r="C74" s="89">
        <v>1.3</v>
      </c>
      <c r="D74" s="89">
        <v>0.37</v>
      </c>
      <c r="H74" s="38"/>
      <c r="I74" s="38"/>
      <c r="J74" s="38"/>
      <c r="K74" s="38"/>
      <c r="L74" s="38"/>
    </row>
    <row r="75" spans="1:15">
      <c r="A75" s="119" t="s">
        <v>201</v>
      </c>
      <c r="B75" s="123">
        <f ca="1">'Area Reduction'!$C$32*'Land Coeffs 10deg'!C75</f>
        <v>0.40100901807341616</v>
      </c>
      <c r="C75" s="123">
        <v>1.17</v>
      </c>
      <c r="D75" s="123">
        <v>0.36</v>
      </c>
      <c r="H75" s="38"/>
      <c r="I75" s="38"/>
      <c r="J75" s="38"/>
      <c r="K75" s="38"/>
      <c r="L75" s="38"/>
    </row>
    <row r="78" spans="1:15" ht="14.25">
      <c r="A78" s="2159" t="s">
        <v>371</v>
      </c>
      <c r="B78" s="2159"/>
      <c r="C78" s="2159"/>
      <c r="D78" s="2159"/>
      <c r="E78" s="2159"/>
      <c r="F78" s="2159"/>
      <c r="G78" s="2159"/>
      <c r="H78" s="2159"/>
      <c r="I78" s="2159"/>
      <c r="J78" s="2159"/>
      <c r="K78" s="2159"/>
      <c r="L78" s="2159"/>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34"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34" t="s">
        <v>194</v>
      </c>
    </row>
    <row r="83" spans="1:12" ht="16.5">
      <c r="A83" s="112" t="s">
        <v>195</v>
      </c>
      <c r="B83" s="112"/>
      <c r="C83" s="112">
        <v>1</v>
      </c>
      <c r="D83" s="112">
        <v>2</v>
      </c>
      <c r="E83" s="112">
        <v>2</v>
      </c>
      <c r="F83" s="113">
        <v>3</v>
      </c>
      <c r="G83" s="113">
        <v>3</v>
      </c>
      <c r="H83" s="112">
        <v>4</v>
      </c>
      <c r="I83" s="112">
        <v>6</v>
      </c>
      <c r="J83" s="112">
        <v>6</v>
      </c>
      <c r="K83" s="112">
        <v>9</v>
      </c>
      <c r="L83" s="134"/>
    </row>
    <row r="84" spans="1:12">
      <c r="A84" s="114" t="s">
        <v>196</v>
      </c>
      <c r="B84" s="75">
        <f ca="1">'Area Reduction'!$C$32*'Land Coeffs 10deg'!C84</f>
        <v>-0.21187733666660685</v>
      </c>
      <c r="C84" s="75">
        <f>FORECAST('1-Eng Inputs'!$C$44,CHOOSE({1,2},C34,C60),CHOOSE({1,2},5.5,11))</f>
        <v>-0.61818181818181828</v>
      </c>
      <c r="D84" s="75">
        <f>FORECAST('1-Eng Inputs'!$C$44,CHOOSE({1,2},'Land Coeffs 10deg'!D34,'Land Coeffs 10deg'!D60),CHOOSE({1,2},5.5,11))</f>
        <v>-0.6045454545454545</v>
      </c>
      <c r="E84" s="75">
        <f>FORECAST('1-Eng Inputs'!$C$44,CHOOSE({1,2},'Land Coeffs 10deg'!E34,'Land Coeffs 10deg'!E60),CHOOSE({1,2},5.5,11))</f>
        <v>-0.59545454545454546</v>
      </c>
      <c r="F84" s="76">
        <f>(D84+$H84)/2</f>
        <v>-0.56909090909090909</v>
      </c>
      <c r="G84" s="76">
        <f>(E84+$H84)/2</f>
        <v>-0.56454545454545457</v>
      </c>
      <c r="H84" s="75">
        <f>FORECAST('1-Eng Inputs'!$C$44,CHOOSE({1,2},'Land Coeffs 10deg'!H34,'Land Coeffs 10deg'!H60),CHOOSE({1,2},5.5,11))</f>
        <v>-0.53363636363636369</v>
      </c>
      <c r="I84" s="75">
        <f>FORECAST('1-Eng Inputs'!$C$44,CHOOSE({1,2},'Land Coeffs 10deg'!I34,'Land Coeffs 10deg'!I60),CHOOSE({1,2},5.5,11))</f>
        <v>-0.40545454545454551</v>
      </c>
      <c r="J84" s="75">
        <f>FORECAST('1-Eng Inputs'!$C$44,CHOOSE({1,2},'Land Coeffs 10deg'!J34,'Land Coeffs 10deg'!J60),CHOOSE({1,2},5.5,11))</f>
        <v>-0.46454545454545448</v>
      </c>
      <c r="K84" s="75">
        <f>FORECAST('1-Eng Inputs'!$C$44,CHOOSE({1,2},'Land Coeffs 10deg'!K34,'Land Coeffs 10deg'!K60),CHOOSE({1,2},5.5,11))</f>
        <v>-0.38545454545454538</v>
      </c>
      <c r="L84" s="75">
        <f>FORECAST('1-Eng Inputs'!$C$44,CHOOSE({1,2},'Land Coeffs 10deg'!L34,'Land Coeffs 10deg'!L60),CHOOSE({1,2},5.5,11))</f>
        <v>0.53272727272727272</v>
      </c>
    </row>
    <row r="85" spans="1:12">
      <c r="A85" s="115" t="s">
        <v>197</v>
      </c>
      <c r="B85" s="77">
        <f ca="1">'Area Reduction'!$C$32*'Land Coeffs 10deg'!C85</f>
        <v>-0.23088398010287592</v>
      </c>
      <c r="C85" s="77">
        <f>FORECAST('1-Eng Inputs'!$C$44,CHOOSE({1,2},'Land Coeffs 10deg'!C35,'Land Coeffs 10deg'!C61),CHOOSE({1,2},5.5,11))</f>
        <v>-0.67363636363636348</v>
      </c>
      <c r="D85" s="77">
        <f>FORECAST('1-Eng Inputs'!$C$44,CHOOSE({1,2},'Land Coeffs 10deg'!D35,'Land Coeffs 10deg'!D61),CHOOSE({1,2},5.5,11))</f>
        <v>-0.53545454545454541</v>
      </c>
      <c r="E85" s="77">
        <f>FORECAST('1-Eng Inputs'!$C$44,CHOOSE({1,2},'Land Coeffs 10deg'!E35,'Land Coeffs 10deg'!E61),CHOOSE({1,2},5.5,11))</f>
        <v>-0.43636363636363634</v>
      </c>
      <c r="F85" s="78"/>
      <c r="G85" s="78"/>
      <c r="H85" s="77">
        <f>FORECAST('1-Eng Inputs'!$C$44,CHOOSE({1,2},'Land Coeffs 10deg'!H35,'Land Coeffs 10deg'!H61),CHOOSE({1,2},5.5,11))</f>
        <v>-0.31818181818181823</v>
      </c>
      <c r="I85" s="77">
        <f>FORECAST('1-Eng Inputs'!$C$44,CHOOSE({1,2},'Land Coeffs 10deg'!I35,'Land Coeffs 10deg'!I61),CHOOSE({1,2},5.5,11))</f>
        <v>-0.2781818181818182</v>
      </c>
      <c r="J85" s="77">
        <f>FORECAST('1-Eng Inputs'!$C$44,CHOOSE({1,2},'Land Coeffs 10deg'!J35,'Land Coeffs 10deg'!J61),CHOOSE({1,2},5.5,11))</f>
        <v>-0.28818181818181821</v>
      </c>
      <c r="K85" s="77">
        <f>FORECAST('1-Eng Inputs'!$C$44,CHOOSE({1,2},'Land Coeffs 10deg'!K35,'Land Coeffs 10deg'!K61),CHOOSE({1,2},5.5,11))</f>
        <v>-0.28727272727272724</v>
      </c>
      <c r="L85" s="136">
        <f>FORECAST('1-Eng Inputs'!$C$44,CHOOSE({1,2},'Land Coeffs 10deg'!L35,'Land Coeffs 10deg'!L61),CHOOSE({1,2},5.5,11))</f>
        <v>0.77363636363636346</v>
      </c>
    </row>
    <row r="86" spans="1:12">
      <c r="A86" s="116" t="s">
        <v>198</v>
      </c>
      <c r="B86" s="79">
        <f ca="1">'Area Reduction'!$C$32*'Land Coeffs 10deg'!C86</f>
        <v>-0.25176012945090936</v>
      </c>
      <c r="C86" s="79">
        <f>FORECAST('1-Eng Inputs'!$C$44,CHOOSE({1,2},'Land Coeffs 10deg'!C36,'Land Coeffs 10deg'!C62),CHOOSE({1,2},5.5,11))</f>
        <v>-0.73454545454545472</v>
      </c>
      <c r="D86" s="79">
        <f>FORECAST('1-Eng Inputs'!$C$44,CHOOSE({1,2},'Land Coeffs 10deg'!D36,'Land Coeffs 10deg'!D62),CHOOSE({1,2},5.5,11))</f>
        <v>-0.60363636363636364</v>
      </c>
      <c r="E86" s="79">
        <f>FORECAST('1-Eng Inputs'!$C$44,CHOOSE({1,2},'Land Coeffs 10deg'!E36,'Land Coeffs 10deg'!E62),CHOOSE({1,2},5.5,11))</f>
        <v>-0.57545454545454544</v>
      </c>
      <c r="F86" s="80"/>
      <c r="G86" s="80"/>
      <c r="H86" s="79">
        <f>FORECAST('1-Eng Inputs'!$C$44,CHOOSE({1,2},'Land Coeffs 10deg'!H36,'Land Coeffs 10deg'!H62),CHOOSE({1,2},5.5,11))</f>
        <v>-0.53363636363636369</v>
      </c>
      <c r="I86" s="79">
        <f>FORECAST('1-Eng Inputs'!$C$44,CHOOSE({1,2},'Land Coeffs 10deg'!I36,'Land Coeffs 10deg'!I62),CHOOSE({1,2},5.5,11))</f>
        <v>-0.40545454545454551</v>
      </c>
      <c r="J86" s="79">
        <f>FORECAST('1-Eng Inputs'!$C$44,CHOOSE({1,2},'Land Coeffs 10deg'!J36,'Land Coeffs 10deg'!J62),CHOOSE({1,2},5.5,11))</f>
        <v>-0.29818181818181816</v>
      </c>
      <c r="K86" s="79">
        <f>FORECAST('1-Eng Inputs'!$C$44,CHOOSE({1,2},'Land Coeffs 10deg'!K36,'Land Coeffs 10deg'!K62),CHOOSE({1,2},5.5,11))</f>
        <v>-0.22909090909090912</v>
      </c>
      <c r="L86" s="137">
        <f>FORECAST('1-Eng Inputs'!$C$44,CHOOSE({1,2},'Land Coeffs 10deg'!L36,'Land Coeffs 10deg'!L62),CHOOSE({1,2},5.5,11))</f>
        <v>0.53272727272727272</v>
      </c>
    </row>
    <row r="87" spans="1:12">
      <c r="A87" s="117" t="s">
        <v>199</v>
      </c>
      <c r="B87" s="81">
        <f ca="1">'Area Reduction'!$C$32*'Land Coeffs 10deg'!C87</f>
        <v>-0.23399982328914964</v>
      </c>
      <c r="C87" s="81">
        <f>FORECAST('1-Eng Inputs'!$C$44,CHOOSE({1,2},'Land Coeffs 10deg'!C37,'Land Coeffs 10deg'!C63),CHOOSE({1,2},5.5,11))</f>
        <v>-0.68272727272727285</v>
      </c>
      <c r="D87" s="81">
        <f>FORECAST('1-Eng Inputs'!$C$44,CHOOSE({1,2},'Land Coeffs 10deg'!D37,'Land Coeffs 10deg'!D63),CHOOSE({1,2},5.5,11))</f>
        <v>-0.57363636363636361</v>
      </c>
      <c r="E87" s="81">
        <f>FORECAST('1-Eng Inputs'!$C$44,CHOOSE({1,2},'Land Coeffs 10deg'!E37,'Land Coeffs 10deg'!E63),CHOOSE({1,2},5.5,11))</f>
        <v>-0.43636363636363634</v>
      </c>
      <c r="F87" s="82"/>
      <c r="G87" s="82"/>
      <c r="H87" s="81">
        <f>FORECAST('1-Eng Inputs'!$C$44,CHOOSE({1,2},'Land Coeffs 10deg'!H37,'Land Coeffs 10deg'!H63),CHOOSE({1,2},5.5,11))</f>
        <v>-0.31818181818181823</v>
      </c>
      <c r="I87" s="81">
        <f>FORECAST('1-Eng Inputs'!$C$44,CHOOSE({1,2},'Land Coeffs 10deg'!I37,'Land Coeffs 10deg'!I63),CHOOSE({1,2},5.5,11))</f>
        <v>-0.2781818181818182</v>
      </c>
      <c r="J87" s="81">
        <f>FORECAST('1-Eng Inputs'!$C$44,CHOOSE({1,2},'Land Coeffs 10deg'!J37,'Land Coeffs 10deg'!J63),CHOOSE({1,2},5.5,11))</f>
        <v>-0.28818181818181821</v>
      </c>
      <c r="K87" s="81">
        <f>FORECAST('1-Eng Inputs'!$C$44,CHOOSE({1,2},'Land Coeffs 10deg'!K37,'Land Coeffs 10deg'!K63),CHOOSE({1,2},5.5,11))</f>
        <v>-0.28727272727272724</v>
      </c>
      <c r="L87" s="138">
        <f>FORECAST('1-Eng Inputs'!$C$44,CHOOSE({1,2},'Land Coeffs 10deg'!L37,'Land Coeffs 10deg'!L63),CHOOSE({1,2},5.5,11))</f>
        <v>0.77363636363636346</v>
      </c>
    </row>
    <row r="88" spans="1:12">
      <c r="A88" s="118" t="s">
        <v>200</v>
      </c>
      <c r="B88" s="83">
        <f ca="1">'Area Reduction'!$C$32*'Land Coeffs 10deg'!C88</f>
        <v>-0.31875075795579233</v>
      </c>
      <c r="C88" s="83">
        <f>FORECAST('1-Eng Inputs'!$C$44,CHOOSE({1,2},'Land Coeffs 10deg'!C38,'Land Coeffs 10deg'!C64),CHOOSE({1,2},5.5,11))</f>
        <v>-0.92999999999999994</v>
      </c>
      <c r="D88" s="83">
        <f>FORECAST('1-Eng Inputs'!$C$44,CHOOSE({1,2},'Land Coeffs 10deg'!D38,'Land Coeffs 10deg'!D64),CHOOSE({1,2},5.5,11))</f>
        <v>-0.99545454545454548</v>
      </c>
      <c r="E88" s="83">
        <f>FORECAST('1-Eng Inputs'!$C$44,CHOOSE({1,2},'Land Coeffs 10deg'!E38,'Land Coeffs 10deg'!E64),CHOOSE({1,2},5.5,11))</f>
        <v>-0.57545454545454544</v>
      </c>
      <c r="F88" s="84">
        <f>(D88+$H88)/2</f>
        <v>-0.76454545454545464</v>
      </c>
      <c r="G88" s="84">
        <f>(E88+$H88)/2</f>
        <v>-0.55454545454545456</v>
      </c>
      <c r="H88" s="83">
        <f>FORECAST('1-Eng Inputs'!$C$44,CHOOSE({1,2},'Land Coeffs 10deg'!H38,'Land Coeffs 10deg'!H64),CHOOSE({1,2},5.5,11))</f>
        <v>-0.53363636363636369</v>
      </c>
      <c r="I88" s="83">
        <f>FORECAST('1-Eng Inputs'!$C$44,CHOOSE({1,2},'Land Coeffs 10deg'!I38,'Land Coeffs 10deg'!I64),CHOOSE({1,2},5.5,11))</f>
        <v>-0.48363636363636375</v>
      </c>
      <c r="J88" s="83">
        <f>FORECAST('1-Eng Inputs'!$C$44,CHOOSE({1,2},'Land Coeffs 10deg'!J38,'Land Coeffs 10deg'!J64),CHOOSE({1,2},5.5,11))</f>
        <v>-0.29818181818181816</v>
      </c>
      <c r="K88" s="83">
        <f>FORECAST('1-Eng Inputs'!$C$44,CHOOSE({1,2},'Land Coeffs 10deg'!K38,'Land Coeffs 10deg'!K64),CHOOSE({1,2},5.5,11))</f>
        <v>-0.22909090909090912</v>
      </c>
      <c r="L88" s="139">
        <f>FORECAST('1-Eng Inputs'!$C$44,CHOOSE({1,2},'Land Coeffs 10deg'!L38,'Land Coeffs 10deg'!L64),CHOOSE({1,2},5.5,11))</f>
        <v>0.53272727272727272</v>
      </c>
    </row>
    <row r="89" spans="1:12">
      <c r="A89" s="119" t="s">
        <v>201</v>
      </c>
      <c r="B89" s="120">
        <f ca="1">'Area Reduction'!$C$32*'Land Coeffs 10deg'!C89</f>
        <v>-0.37857494713224599</v>
      </c>
      <c r="C89" s="120">
        <f>FORECAST('1-Eng Inputs'!$C$44,CHOOSE({1,2},'Land Coeffs 10deg'!C39,'Land Coeffs 10deg'!C65),CHOOSE({1,2},5.5,11))</f>
        <v>-1.1045454545454545</v>
      </c>
      <c r="D89" s="120">
        <f>FORECAST('1-Eng Inputs'!$C$44,CHOOSE({1,2},'Land Coeffs 10deg'!D39,'Land Coeffs 10deg'!D65),CHOOSE({1,2},5.5,11))</f>
        <v>-0.86818181818181828</v>
      </c>
      <c r="E89" s="120">
        <f>FORECAST('1-Eng Inputs'!$C$44,CHOOSE({1,2},'Land Coeffs 10deg'!E39,'Land Coeffs 10deg'!E65),CHOOSE({1,2},5.5,11))</f>
        <v>-0.55363636363636348</v>
      </c>
      <c r="F89" s="121"/>
      <c r="G89" s="121"/>
      <c r="H89" s="120">
        <f>FORECAST('1-Eng Inputs'!$C$44,CHOOSE({1,2},'Land Coeffs 10deg'!H39,'Land Coeffs 10deg'!H65),CHOOSE({1,2},5.5,11))</f>
        <v>-0.47454545454545449</v>
      </c>
      <c r="I89" s="120">
        <f>FORECAST('1-Eng Inputs'!$C$44,CHOOSE({1,2},'Land Coeffs 10deg'!I39,'Land Coeffs 10deg'!I65),CHOOSE({1,2},5.5,11))</f>
        <v>-0.43454545454545451</v>
      </c>
      <c r="J89" s="120">
        <f>FORECAST('1-Eng Inputs'!$C$44,CHOOSE({1,2},'Land Coeffs 10deg'!J39,'Land Coeffs 10deg'!J65),CHOOSE({1,2},5.5,11))</f>
        <v>-0.28818181818181821</v>
      </c>
      <c r="K89" s="120">
        <f>FORECAST('1-Eng Inputs'!$C$44,CHOOSE({1,2},'Land Coeffs 10deg'!K39,'Land Coeffs 10deg'!K65),CHOOSE({1,2},5.5,11))</f>
        <v>-0.28727272727272724</v>
      </c>
      <c r="L89" s="140">
        <f>FORECAST('1-Eng Inputs'!$C$44,CHOOSE({1,2},'Land Coeffs 10deg'!L39,'Land Coeffs 10deg'!L65),CHOOSE({1,2},5.5,11))</f>
        <v>0.77363636363636346</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H92" s="38"/>
      <c r="I92" s="38"/>
      <c r="J92" s="38"/>
      <c r="K92" s="38"/>
      <c r="L92" s="38"/>
    </row>
    <row r="93" spans="1:12" ht="16.5">
      <c r="A93" s="38"/>
      <c r="B93" s="122" t="s">
        <v>240</v>
      </c>
      <c r="C93" s="122" t="s">
        <v>194</v>
      </c>
      <c r="D93" s="122" t="s">
        <v>203</v>
      </c>
      <c r="H93" s="38"/>
      <c r="I93" s="38"/>
      <c r="J93" s="38"/>
      <c r="K93" s="38"/>
      <c r="L93" s="38"/>
    </row>
    <row r="94" spans="1:12">
      <c r="A94" s="114" t="s">
        <v>196</v>
      </c>
      <c r="B94" s="85">
        <f ca="1">'Area Reduction'!$C$32*'Land Coeffs 10deg'!C94</f>
        <v>0.52657749848024327</v>
      </c>
      <c r="C94" s="85">
        <f>FORECAST('1-Eng Inputs'!$C$44,CHOOSE({1,2},'Land Coeffs 10deg'!C44,'Land Coeffs 10deg'!C70),CHOOSE({1,2},5.5,11))</f>
        <v>1.5363636363636357</v>
      </c>
      <c r="D94" s="85">
        <f>FORECAST('1-Eng Inputs'!$C$44,CHOOSE({1,2},'Land Coeffs 10deg'!D44,'Land Coeffs 10deg'!D70),CHOOSE({1,2},5.5,11))</f>
        <v>0.81</v>
      </c>
      <c r="H94" s="38"/>
      <c r="I94" s="38"/>
      <c r="J94" s="38"/>
      <c r="K94" s="38"/>
      <c r="L94" s="38"/>
    </row>
    <row r="95" spans="1:12">
      <c r="A95" s="115" t="s">
        <v>197</v>
      </c>
      <c r="B95" s="86">
        <f ca="1">'Area Reduction'!$C$32*'Land Coeffs 10deg'!C95</f>
        <v>0.63033507658315513</v>
      </c>
      <c r="C95" s="86">
        <f>FORECAST('1-Eng Inputs'!$C$44,CHOOSE({1,2},'Land Coeffs 10deg'!C45,'Land Coeffs 10deg'!C71),CHOOSE({1,2},5.5,11))</f>
        <v>1.8390909090909087</v>
      </c>
      <c r="D95" s="86">
        <f>FORECAST('1-Eng Inputs'!$C$44,CHOOSE({1,2},'Land Coeffs 10deg'!D45,'Land Coeffs 10deg'!D71),CHOOSE({1,2},5.5,11))</f>
        <v>0.47636363636363632</v>
      </c>
      <c r="H95" s="38"/>
      <c r="I95" s="38"/>
      <c r="J95" s="38"/>
      <c r="K95" s="38"/>
      <c r="L95" s="38"/>
    </row>
    <row r="96" spans="1:12">
      <c r="A96" s="116" t="s">
        <v>198</v>
      </c>
      <c r="B96" s="87">
        <f ca="1">'Area Reduction'!$C$32*'Land Coeffs 10deg'!C96</f>
        <v>0.46550697202928037</v>
      </c>
      <c r="C96" s="87">
        <f>FORECAST('1-Eng Inputs'!$C$44,CHOOSE({1,2},'Land Coeffs 10deg'!C46,'Land Coeffs 10deg'!C72),CHOOSE({1,2},5.5,11))</f>
        <v>1.3581818181818184</v>
      </c>
      <c r="D96" s="87">
        <f>FORECAST('1-Eng Inputs'!$C$44,CHOOSE({1,2},'Land Coeffs 10deg'!D46,'Land Coeffs 10deg'!D72),CHOOSE({1,2},5.5,11))</f>
        <v>0.48636363636363633</v>
      </c>
      <c r="H96" s="38"/>
      <c r="I96" s="38"/>
      <c r="J96" s="38"/>
      <c r="K96" s="38"/>
      <c r="L96" s="38"/>
    </row>
    <row r="97" spans="1:12">
      <c r="A97" s="117" t="s">
        <v>199</v>
      </c>
      <c r="B97" s="88">
        <f ca="1">'Area Reduction'!$C$32*'Land Coeffs 10deg'!C97</f>
        <v>0.63033507658315513</v>
      </c>
      <c r="C97" s="88">
        <f>FORECAST('1-Eng Inputs'!$C$44,CHOOSE({1,2},'Land Coeffs 10deg'!C47,'Land Coeffs 10deg'!C73),CHOOSE({1,2},5.5,11))</f>
        <v>1.8390909090909087</v>
      </c>
      <c r="D97" s="88">
        <f>FORECAST('1-Eng Inputs'!$C$44,CHOOSE({1,2},'Land Coeffs 10deg'!D47,'Land Coeffs 10deg'!D73),CHOOSE({1,2},5.5,11))</f>
        <v>0.47636363636363632</v>
      </c>
      <c r="H97" s="38"/>
      <c r="I97" s="38"/>
      <c r="J97" s="38"/>
      <c r="K97" s="38"/>
      <c r="L97" s="38"/>
    </row>
    <row r="98" spans="1:12">
      <c r="A98" s="118" t="s">
        <v>200</v>
      </c>
      <c r="B98" s="89">
        <f ca="1">'Area Reduction'!$C$32*'Land Coeffs 10deg'!C98</f>
        <v>0.46550697202928037</v>
      </c>
      <c r="C98" s="89">
        <f>FORECAST('1-Eng Inputs'!$C$44,CHOOSE({1,2},'Land Coeffs 10deg'!C48,'Land Coeffs 10deg'!C74),CHOOSE({1,2},5.5,11))</f>
        <v>1.3581818181818184</v>
      </c>
      <c r="D98" s="89">
        <f>FORECAST('1-Eng Inputs'!$C$44,CHOOSE({1,2},'Land Coeffs 10deg'!D48,'Land Coeffs 10deg'!D74),CHOOSE({1,2},5.5,11))</f>
        <v>0.48636363636363633</v>
      </c>
      <c r="H98" s="38"/>
      <c r="I98" s="38"/>
      <c r="J98" s="38"/>
      <c r="K98" s="38"/>
      <c r="L98" s="38"/>
    </row>
    <row r="99" spans="1:12">
      <c r="A99" s="119" t="s">
        <v>201</v>
      </c>
      <c r="B99" s="123">
        <f ca="1">'Area Reduction'!$C$32*'Land Coeffs 10deg'!C99</f>
        <v>0.63033507658315513</v>
      </c>
      <c r="C99" s="123">
        <f>FORECAST('1-Eng Inputs'!$C$44,CHOOSE({1,2},'Land Coeffs 10deg'!C49,'Land Coeffs 10deg'!C75),CHOOSE({1,2},5.5,11))</f>
        <v>1.8390909090909087</v>
      </c>
      <c r="D99" s="123">
        <f>FORECAST('1-Eng Inputs'!$C$44,CHOOSE({1,2},'Land Coeffs 10deg'!D49,'Land Coeffs 10deg'!D75),CHOOSE({1,2},5.5,11))</f>
        <v>0.47636363636363632</v>
      </c>
      <c r="H99" s="38"/>
      <c r="I99" s="38"/>
      <c r="J99" s="38"/>
      <c r="K99" s="38"/>
      <c r="L99" s="38"/>
    </row>
  </sheetData>
  <customSheetViews>
    <customSheetView guid="{F2CCAFB5-9C02-49AC-87E7-8695C5014AAE}" state="hidden">
      <selection activeCell="B10" sqref="B10"/>
      <pageMargins left="0.7" right="0.7" top="0.75" bottom="0.75" header="0.3" footer="0.3"/>
      <pageSetup orientation="portrait" horizontalDpi="0" verticalDpi="0"/>
    </customSheetView>
  </customSheetViews>
  <mergeCells count="11">
    <mergeCell ref="N5:O7"/>
    <mergeCell ref="N14:O17"/>
    <mergeCell ref="A2:L2"/>
    <mergeCell ref="A52:L52"/>
    <mergeCell ref="A53:L53"/>
    <mergeCell ref="N41:O44"/>
    <mergeCell ref="A54:L54"/>
    <mergeCell ref="A78:L78"/>
    <mergeCell ref="A26:L26"/>
    <mergeCell ref="A27:L27"/>
    <mergeCell ref="A28:L28"/>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59999389629810485"/>
  </sheetPr>
  <dimension ref="A1:M37"/>
  <sheetViews>
    <sheetView zoomScaleNormal="100" workbookViewId="0">
      <selection activeCell="B44" sqref="B44"/>
    </sheetView>
  </sheetViews>
  <sheetFormatPr defaultColWidth="8.7109375" defaultRowHeight="12.75" customHeight="1"/>
  <cols>
    <col min="1" max="1" width="84.28515625"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'Land Coeffs 10deg'!D6</f>
        <v>2x1</v>
      </c>
      <c r="E1" s="1161" t="str">
        <f>'Land Coeffs 10deg'!E6</f>
        <v>1x2</v>
      </c>
      <c r="F1" s="1161" t="str">
        <f>'Land Coeffs 10deg'!F6</f>
        <v>3x1</v>
      </c>
      <c r="G1" s="1161" t="str">
        <f>'Land Coeffs 10deg'!G6</f>
        <v>1x3</v>
      </c>
      <c r="H1" s="1161" t="str">
        <f>'Land Coeffs 10deg'!H6</f>
        <v>2x2</v>
      </c>
      <c r="I1" s="1161" t="str">
        <f>'Land Coeffs 10deg'!I6</f>
        <v>3x2</v>
      </c>
      <c r="J1" s="1161" t="str">
        <f>'Land Coeffs 10deg'!J6</f>
        <v>2x3</v>
      </c>
      <c r="K1" s="1161" t="str">
        <f>'Land Coeffs 10deg'!K6</f>
        <v>3x3</v>
      </c>
      <c r="L1" s="104" t="s">
        <v>405</v>
      </c>
      <c r="M1" s="869" t="s">
        <v>406</v>
      </c>
    </row>
    <row r="2" spans="1:13">
      <c r="A2" s="29" t="s">
        <v>204</v>
      </c>
    </row>
    <row r="3" spans="1:13">
      <c r="A3" s="23" t="s">
        <v>206</v>
      </c>
      <c r="B3" s="23" t="s">
        <v>87</v>
      </c>
      <c r="C3" s="862">
        <f>(factors!$B$39)*'Land Coeffs 10deg'!C8</f>
        <v>-21.5404269463017</v>
      </c>
      <c r="D3" s="862">
        <f>(factors!$B$39)*'Land Coeffs 10deg'!D8</f>
        <v>-16.539970690910234</v>
      </c>
      <c r="E3" s="862">
        <f>(factors!$B$39)*'Land Coeffs 10deg'!E8</f>
        <v>-17.309271653278152</v>
      </c>
      <c r="F3" s="862">
        <f>(factors!$B$39)*'Land Coeffs 10deg'!F8</f>
        <v>-14.616718284990439</v>
      </c>
      <c r="G3" s="862">
        <f>(factors!$B$39)*'Land Coeffs 10deg'!G8</f>
        <v>-15.001368766174398</v>
      </c>
      <c r="H3" s="862">
        <f>(factors!$B$39)*'Land Coeffs 10deg'!H8</f>
        <v>-12.693465879070645</v>
      </c>
      <c r="I3" s="862">
        <f>(factors!$B$39)*'Land Coeffs 10deg'!I8</f>
        <v>-10.000912510782932</v>
      </c>
      <c r="J3" s="862">
        <f>(factors!$B$39)*'Land Coeffs 10deg'!J8</f>
        <v>-11.154863954334807</v>
      </c>
      <c r="K3" s="862">
        <f>(factors!$B$39)*'Land Coeffs 10deg'!K8</f>
        <v>-9.2316115484150139</v>
      </c>
      <c r="L3" s="68">
        <f>(factors!$B$39)*'Land Coeffs 10deg'!L8</f>
        <v>23.848329833405451</v>
      </c>
      <c r="M3" s="68">
        <f>MAX(L3:L37)</f>
        <v>23.848329833405451</v>
      </c>
    </row>
    <row r="4" spans="1:13">
      <c r="A4" s="23" t="s">
        <v>103</v>
      </c>
      <c r="B4" s="23" t="s">
        <v>39</v>
      </c>
      <c r="C4" s="862">
        <f>C3*factors!$B$13</f>
        <v>-458.93385820609535</v>
      </c>
      <c r="D4" s="862">
        <f>D3*factors!$B$13</f>
        <v>-352.39564112253748</v>
      </c>
      <c r="E4" s="862">
        <f>E3*factors!$B$13</f>
        <v>-368.78613605846948</v>
      </c>
      <c r="F4" s="862">
        <f>F3*factors!$B$13</f>
        <v>-311.41940378270755</v>
      </c>
      <c r="G4" s="862">
        <f>G3*factors!$B$13</f>
        <v>-319.61465125067355</v>
      </c>
      <c r="H4" s="862">
        <f>H3*factors!$B$13</f>
        <v>-270.44316644287761</v>
      </c>
      <c r="I4" s="862">
        <f>I3*factors!$B$13</f>
        <v>-213.07643416711568</v>
      </c>
      <c r="J4" s="862">
        <f>J3*factors!$B$13</f>
        <v>-237.66217657101362</v>
      </c>
      <c r="K4" s="862">
        <f>K3*factors!$B$13</f>
        <v>-196.68593923118371</v>
      </c>
      <c r="L4" s="68"/>
    </row>
    <row r="5" spans="1:13">
      <c r="A5" s="23" t="str">
        <f>"DLFUz=Uplift design load using ASD combo #7 = dLF1*0.6 + WLFUz*"&amp;IF('1-Eng Inputs'!$C$35=2010,"0.6","1.0")</f>
        <v>DLFUz=Uplift design load using ASD combo #7 = dLF1*0.6 + WLFUz*0.6</v>
      </c>
      <c r="B5" s="23" t="s">
        <v>39</v>
      </c>
      <c r="C5" s="862">
        <f>(factors!$B$6*factors!$B$12)+(C4*factors!$B$5)</f>
        <v>-237.54831492365719</v>
      </c>
      <c r="D5" s="862">
        <f>(factors!$B$6*factors!$B$12)+(D4*factors!$B$5)</f>
        <v>-173.62538467352249</v>
      </c>
      <c r="E5" s="862">
        <f>(factors!$B$6*factors!$B$12)+(E4*factors!$B$5)</f>
        <v>-183.45968163508167</v>
      </c>
      <c r="F5" s="862">
        <f>(factors!$B$6*factors!$B$12)+(F4*factors!$B$5)</f>
        <v>-149.03964226962455</v>
      </c>
      <c r="G5" s="862">
        <f>(factors!$B$6*factors!$B$12)+(G4*factors!$B$5)</f>
        <v>-153.95679075040414</v>
      </c>
      <c r="H5" s="862">
        <f>(factors!$B$6*factors!$B$12)+(H4*factors!$B$5)</f>
        <v>-124.45389986572657</v>
      </c>
      <c r="I5" s="862">
        <f>(factors!$B$6*factors!$B$12)+(I4*factors!$B$5)</f>
        <v>-90.033860500269398</v>
      </c>
      <c r="J5" s="862">
        <f>(factors!$B$6*factors!$B$12)+(J4*factors!$B$5)</f>
        <v>-104.78530594260816</v>
      </c>
      <c r="K5" s="862">
        <f>(factors!$B$6*factors!$B$12)+(K4*factors!$B$5)</f>
        <v>-80.199563538710223</v>
      </c>
      <c r="L5" s="68"/>
    </row>
    <row r="6" spans="1:13" s="104" customFormat="1">
      <c r="A6" s="29" t="str">
        <f>"BWuz=ballast weight required to resist wind uplift= -DLFUz/0.6"</f>
        <v>BWuz=ballast weight required to resist wind uplift= -DLFUz/0.6</v>
      </c>
      <c r="B6" s="29" t="s">
        <v>39</v>
      </c>
      <c r="C6" s="1162">
        <f>-C5/factors!$B$6</f>
        <v>395.91385820609531</v>
      </c>
      <c r="D6" s="1162">
        <f>-D5/factors!$B$6</f>
        <v>289.3756411225375</v>
      </c>
      <c r="E6" s="1162">
        <f>-E5/factors!$B$6</f>
        <v>305.76613605846944</v>
      </c>
      <c r="F6" s="1162">
        <f>-F5/factors!$B$6</f>
        <v>248.39940378270759</v>
      </c>
      <c r="G6" s="1162">
        <f>-G5/factors!$B$6</f>
        <v>256.59465125067356</v>
      </c>
      <c r="H6" s="1162">
        <f>-H5/factors!$B$6</f>
        <v>207.42316644287763</v>
      </c>
      <c r="I6" s="1162">
        <f>-I5/factors!$B$6</f>
        <v>150.05643416711567</v>
      </c>
      <c r="J6" s="1162">
        <f>-J5/factors!$B$6</f>
        <v>174.64217657101361</v>
      </c>
      <c r="K6" s="1162">
        <f>-K5/factors!$B$6</f>
        <v>133.6659392311837</v>
      </c>
      <c r="L6" s="1068"/>
    </row>
    <row r="7" spans="1:13">
      <c r="A7" s="29" t="s">
        <v>213</v>
      </c>
      <c r="C7" s="262"/>
      <c r="D7" s="262"/>
      <c r="E7" s="262"/>
      <c r="F7" s="262"/>
      <c r="G7" s="262"/>
      <c r="H7" s="262"/>
      <c r="I7" s="262"/>
      <c r="J7" s="262"/>
      <c r="K7" s="262"/>
      <c r="L7" s="68"/>
    </row>
    <row r="8" spans="1:13">
      <c r="A8" s="23" t="s">
        <v>206</v>
      </c>
      <c r="B8" s="23" t="s">
        <v>87</v>
      </c>
      <c r="C8" s="862">
        <f>(factors!$B$39)*'Land Coeffs 10deg'!C9</f>
        <v>-18.078572615646067</v>
      </c>
      <c r="D8" s="862">
        <f>(factors!$B$39)*'Land Coeffs 10deg'!D9</f>
        <v>-15.001368766174398</v>
      </c>
      <c r="E8" s="862">
        <f>(factors!$B$39)*'Land Coeffs 10deg'!E9</f>
        <v>-12.308815397886686</v>
      </c>
      <c r="F8" s="862">
        <f>(factors!$B$39)*'Land Coeffs 10deg'!F9</f>
        <v>0</v>
      </c>
      <c r="G8" s="862">
        <f>(factors!$B$39)*'Land Coeffs 10deg'!G9</f>
        <v>0</v>
      </c>
      <c r="H8" s="862">
        <f>(factors!$B$39)*'Land Coeffs 10deg'!H9</f>
        <v>-10.000912510782932</v>
      </c>
      <c r="I8" s="862">
        <f>(factors!$B$39)*'Land Coeffs 10deg'!I9</f>
        <v>-8.4623105860470957</v>
      </c>
      <c r="J8" s="862">
        <f>(factors!$B$39)*'Land Coeffs 10deg'!J9</f>
        <v>-8.8469610672310548</v>
      </c>
      <c r="K8" s="862">
        <f>(factors!$B$39)*'Land Coeffs 10deg'!K9</f>
        <v>-7.6930096236791785</v>
      </c>
      <c r="L8" s="68">
        <f>(factors!$B$39)*'Land Coeffs 10deg'!L9</f>
        <v>21.925077427485657</v>
      </c>
    </row>
    <row r="9" spans="1:13">
      <c r="A9" s="23" t="s">
        <v>103</v>
      </c>
      <c r="B9" s="23" t="s">
        <v>39</v>
      </c>
      <c r="C9" s="862">
        <f>C8*factors!$B$13</f>
        <v>-385.17663099440136</v>
      </c>
      <c r="D9" s="862">
        <f>D8*factors!$B$13</f>
        <v>-319.61465125067355</v>
      </c>
      <c r="E9" s="862">
        <f>E8*factors!$B$13</f>
        <v>-262.24791897491161</v>
      </c>
      <c r="F9" s="862">
        <f>F8*factors!$B$13</f>
        <v>0</v>
      </c>
      <c r="G9" s="862">
        <f>G8*factors!$B$13</f>
        <v>0</v>
      </c>
      <c r="H9" s="862">
        <f>H8*factors!$B$13</f>
        <v>-213.07643416711568</v>
      </c>
      <c r="I9" s="862">
        <f>I8*factors!$B$13</f>
        <v>-180.29544429525171</v>
      </c>
      <c r="J9" s="862">
        <f>J8*factors!$B$13</f>
        <v>-188.49069176321771</v>
      </c>
      <c r="K9" s="862">
        <f>K8*factors!$B$13</f>
        <v>-163.90494935931977</v>
      </c>
      <c r="L9" s="68"/>
    </row>
    <row r="10" spans="1:13">
      <c r="A10" s="23" t="str">
        <f>"DLFUz=Uplift design load using ASD combo #7 = dLF1*0.6 + WLFUz*"&amp;IF('1-Eng Inputs'!$C$35=2010,"0.6","1.0")</f>
        <v>DLFUz=Uplift design load using ASD combo #7 = dLF1*0.6 + WLFUz*0.6</v>
      </c>
      <c r="B10" s="23" t="s">
        <v>39</v>
      </c>
      <c r="C10" s="862">
        <f>(factors!$B$6*factors!$B$12)+(C9*factors!$B$5)</f>
        <v>-193.29397859664078</v>
      </c>
      <c r="D10" s="862">
        <f>(factors!$B$6*factors!$B$12)+(D9*factors!$B$5)</f>
        <v>-153.95679075040414</v>
      </c>
      <c r="E10" s="862">
        <f>(factors!$B$6*factors!$B$12)+(E9*factors!$B$5)</f>
        <v>-119.53675138494695</v>
      </c>
      <c r="F10" s="862">
        <f>(factors!$B$6*factors!$B$12)+(F9*factors!$B$5)</f>
        <v>37.811999999999998</v>
      </c>
      <c r="G10" s="862">
        <f>(factors!$B$6*factors!$B$12)+(G9*factors!$B$5)</f>
        <v>37.811999999999998</v>
      </c>
      <c r="H10" s="862">
        <f>(factors!$B$6*factors!$B$12)+(H9*factors!$B$5)</f>
        <v>-90.033860500269398</v>
      </c>
      <c r="I10" s="862">
        <f>(factors!$B$6*factors!$B$12)+(I9*factors!$B$5)</f>
        <v>-70.365266577151033</v>
      </c>
      <c r="J10" s="862">
        <f>(factors!$B$6*factors!$B$12)+(J9*factors!$B$5)</f>
        <v>-75.282415057930621</v>
      </c>
      <c r="K10" s="862">
        <f>(factors!$B$6*factors!$B$12)+(K9*factors!$B$5)</f>
        <v>-60.530969615591857</v>
      </c>
      <c r="L10" s="68"/>
    </row>
    <row r="11" spans="1:13" s="104" customFormat="1">
      <c r="A11" s="29" t="str">
        <f>"BWuz=ballast weight required to resist wind uplift= -DLFUz/0.6"</f>
        <v>BWuz=ballast weight required to resist wind uplift= -DLFUz/0.6</v>
      </c>
      <c r="B11" s="29" t="s">
        <v>39</v>
      </c>
      <c r="C11" s="1162">
        <f>-C10/factors!$B$6</f>
        <v>322.15663099440133</v>
      </c>
      <c r="D11" s="1162">
        <f>-D10/factors!$B$6</f>
        <v>256.59465125067356</v>
      </c>
      <c r="E11" s="1162">
        <f>-E10/factors!$B$6</f>
        <v>199.2279189749116</v>
      </c>
      <c r="F11" s="1162">
        <f>-F10/factors!$B$6</f>
        <v>-63.019999999999996</v>
      </c>
      <c r="G11" s="1162">
        <f>-G10/factors!$B$6</f>
        <v>-63.019999999999996</v>
      </c>
      <c r="H11" s="1162">
        <f>-H10/factors!$B$6</f>
        <v>150.05643416711567</v>
      </c>
      <c r="I11" s="1162">
        <f>-I10/factors!$B$6</f>
        <v>117.27544429525173</v>
      </c>
      <c r="J11" s="1162">
        <f>-J10/factors!$B$6</f>
        <v>125.4706917632177</v>
      </c>
      <c r="K11" s="1162">
        <f>-K10/factors!$B$6</f>
        <v>100.88494935931976</v>
      </c>
      <c r="L11" s="1068"/>
    </row>
    <row r="12" spans="1:13">
      <c r="A12" s="29" t="s">
        <v>225</v>
      </c>
      <c r="C12" s="262"/>
      <c r="D12" s="262"/>
      <c r="E12" s="262"/>
      <c r="F12" s="262"/>
      <c r="G12" s="262"/>
      <c r="H12" s="262"/>
      <c r="I12" s="262"/>
      <c r="J12" s="262"/>
      <c r="K12" s="262"/>
      <c r="L12" s="68"/>
    </row>
    <row r="13" spans="1:13">
      <c r="A13" s="23" t="s">
        <v>206</v>
      </c>
      <c r="B13" s="23" t="s">
        <v>87</v>
      </c>
      <c r="C13" s="862">
        <f>(factors!$B$39)*'Land Coeffs 10deg'!C10</f>
        <v>-21.5404269463017</v>
      </c>
      <c r="D13" s="862">
        <f>(factors!$B$39)*'Land Coeffs 10deg'!D10</f>
        <v>-15.386019247358357</v>
      </c>
      <c r="E13" s="862">
        <f>(factors!$B$39)*'Land Coeffs 10deg'!E10</f>
        <v>-16.539970690910234</v>
      </c>
      <c r="F13" s="862">
        <f>(factors!$B$39)*'Land Coeffs 10deg'!F10</f>
        <v>0</v>
      </c>
      <c r="G13" s="862">
        <f>(factors!$B$39)*'Land Coeffs 10deg'!G10</f>
        <v>0</v>
      </c>
      <c r="H13" s="862">
        <f>(factors!$B$39)*'Land Coeffs 10deg'!H10</f>
        <v>-12.693465879070645</v>
      </c>
      <c r="I13" s="862">
        <f>(factors!$B$39)*'Land Coeffs 10deg'!I10</f>
        <v>-10.000912510782932</v>
      </c>
      <c r="J13" s="862">
        <f>(factors!$B$39)*'Land Coeffs 10deg'!J10</f>
        <v>-9.2316115484150139</v>
      </c>
      <c r="K13" s="862">
        <f>(factors!$B$39)*'Land Coeffs 10deg'!K10</f>
        <v>-7.6930096236791785</v>
      </c>
      <c r="L13" s="68">
        <f>(factors!$B$39)*'Land Coeffs 10deg'!L10</f>
        <v>23.848329833405451</v>
      </c>
    </row>
    <row r="14" spans="1:13">
      <c r="A14" s="23" t="s">
        <v>103</v>
      </c>
      <c r="B14" s="23" t="s">
        <v>39</v>
      </c>
      <c r="C14" s="862">
        <f>C13*factors!$B$13</f>
        <v>-458.93385820609535</v>
      </c>
      <c r="D14" s="862">
        <f>D13*factors!$B$13</f>
        <v>-327.80989871863954</v>
      </c>
      <c r="E14" s="862">
        <f>E13*factors!$B$13</f>
        <v>-352.39564112253748</v>
      </c>
      <c r="F14" s="862">
        <f>F13*factors!$B$13</f>
        <v>0</v>
      </c>
      <c r="G14" s="862">
        <f>G13*factors!$B$13</f>
        <v>0</v>
      </c>
      <c r="H14" s="862">
        <f>H13*factors!$B$13</f>
        <v>-270.44316644287761</v>
      </c>
      <c r="I14" s="862">
        <f>I13*factors!$B$13</f>
        <v>-213.07643416711568</v>
      </c>
      <c r="J14" s="862">
        <f>J13*factors!$B$13</f>
        <v>-196.68593923118371</v>
      </c>
      <c r="K14" s="862">
        <f>K13*factors!$B$13</f>
        <v>-163.90494935931977</v>
      </c>
      <c r="L14" s="68"/>
    </row>
    <row r="15" spans="1:13">
      <c r="A15" s="23" t="str">
        <f>"DLFUz=Uplift design load using ASD combo #7 = dLF1*0.6 + WLFUz*"&amp;IF('1-Eng Inputs'!$C$35=2010,"0.6","1.0")</f>
        <v>DLFUz=Uplift design load using ASD combo #7 = dLF1*0.6 + WLFUz*0.6</v>
      </c>
      <c r="B15" s="23" t="s">
        <v>39</v>
      </c>
      <c r="C15" s="862">
        <f>(factors!$B$6*factors!$B$12)+(C14*factors!$B$5)</f>
        <v>-237.54831492365719</v>
      </c>
      <c r="D15" s="862">
        <f>(factors!$B$6*factors!$B$12)+(D14*factors!$B$5)</f>
        <v>-158.87393923118373</v>
      </c>
      <c r="E15" s="862">
        <f>(factors!$B$6*factors!$B$12)+(E14*factors!$B$5)</f>
        <v>-173.62538467352249</v>
      </c>
      <c r="F15" s="862">
        <f>(factors!$B$6*factors!$B$12)+(F14*factors!$B$5)</f>
        <v>37.811999999999998</v>
      </c>
      <c r="G15" s="862">
        <f>(factors!$B$6*factors!$B$12)+(G14*factors!$B$5)</f>
        <v>37.811999999999998</v>
      </c>
      <c r="H15" s="862">
        <f>(factors!$B$6*factors!$B$12)+(H14*factors!$B$5)</f>
        <v>-124.45389986572657</v>
      </c>
      <c r="I15" s="862">
        <f>(factors!$B$6*factors!$B$12)+(I14*factors!$B$5)</f>
        <v>-90.033860500269398</v>
      </c>
      <c r="J15" s="862">
        <f>(factors!$B$6*factors!$B$12)+(J14*factors!$B$5)</f>
        <v>-80.199563538710223</v>
      </c>
      <c r="K15" s="862">
        <f>(factors!$B$6*factors!$B$12)+(K14*factors!$B$5)</f>
        <v>-60.530969615591857</v>
      </c>
      <c r="L15" s="68"/>
    </row>
    <row r="16" spans="1:13" s="104" customFormat="1">
      <c r="A16" s="29" t="str">
        <f>"BWuz=ballast weight required to resist wind uplift= -DLFUz/0.6"</f>
        <v>BWuz=ballast weight required to resist wind uplift= -DLFUz/0.6</v>
      </c>
      <c r="B16" s="29" t="s">
        <v>39</v>
      </c>
      <c r="C16" s="1162">
        <f>-C15/factors!$B$6</f>
        <v>395.91385820609531</v>
      </c>
      <c r="D16" s="1162">
        <f>-D15/factors!$B$6</f>
        <v>264.78989871863956</v>
      </c>
      <c r="E16" s="1162">
        <f>-E15/factors!$B$6</f>
        <v>289.3756411225375</v>
      </c>
      <c r="F16" s="1162">
        <f>-F15/factors!$B$6</f>
        <v>-63.019999999999996</v>
      </c>
      <c r="G16" s="1162">
        <f>-G15/factors!$B$6</f>
        <v>-63.019999999999996</v>
      </c>
      <c r="H16" s="1162">
        <f>-H15/factors!$B$6</f>
        <v>207.42316644287763</v>
      </c>
      <c r="I16" s="1162">
        <f>-I15/factors!$B$6</f>
        <v>150.05643416711567</v>
      </c>
      <c r="J16" s="1162">
        <f>-J15/factors!$B$6</f>
        <v>133.6659392311837</v>
      </c>
      <c r="K16" s="1162">
        <f>-K15/factors!$B$6</f>
        <v>100.88494935931976</v>
      </c>
      <c r="L16" s="1068"/>
    </row>
    <row r="17" spans="1:12">
      <c r="A17" s="29" t="s">
        <v>199</v>
      </c>
      <c r="C17" s="262"/>
      <c r="D17" s="262"/>
      <c r="E17" s="262"/>
      <c r="F17" s="262"/>
      <c r="G17" s="262"/>
      <c r="H17" s="262"/>
      <c r="I17" s="262"/>
      <c r="J17" s="262"/>
      <c r="K17" s="262"/>
      <c r="L17" s="68"/>
    </row>
    <row r="18" spans="1:12">
      <c r="A18" s="23" t="s">
        <v>206</v>
      </c>
      <c r="B18" s="23" t="s">
        <v>87</v>
      </c>
      <c r="C18" s="862">
        <f>(factors!$B$39)*'Land Coeffs 10deg'!C11</f>
        <v>-17.309271653278152</v>
      </c>
      <c r="D18" s="862">
        <f>(factors!$B$39)*'Land Coeffs 10deg'!D11</f>
        <v>-14.23206780380648</v>
      </c>
      <c r="E18" s="862">
        <f>(factors!$B$39)*'Land Coeffs 10deg'!E11</f>
        <v>-12.308815397886686</v>
      </c>
      <c r="F18" s="862">
        <f>(factors!$B$39)*'Land Coeffs 10deg'!F11</f>
        <v>0</v>
      </c>
      <c r="G18" s="862">
        <f>(factors!$B$39)*'Land Coeffs 10deg'!G11</f>
        <v>0</v>
      </c>
      <c r="H18" s="862">
        <f>(factors!$B$39)*'Land Coeffs 10deg'!H11</f>
        <v>-10.000912510782932</v>
      </c>
      <c r="I18" s="862">
        <f>(factors!$B$39)*'Land Coeffs 10deg'!I11</f>
        <v>-8.4623105860470957</v>
      </c>
      <c r="J18" s="862">
        <f>(factors!$B$39)*'Land Coeffs 10deg'!J11</f>
        <v>-8.8469610672310548</v>
      </c>
      <c r="K18" s="862">
        <f>(factors!$B$39)*'Land Coeffs 10deg'!K11</f>
        <v>-7.6930096236791785</v>
      </c>
      <c r="L18" s="68">
        <f>(factors!$B$39)*'Land Coeffs 10deg'!L11</f>
        <v>21.925077427485657</v>
      </c>
    </row>
    <row r="19" spans="1:12">
      <c r="A19" s="23" t="s">
        <v>103</v>
      </c>
      <c r="B19" s="23" t="s">
        <v>39</v>
      </c>
      <c r="C19" s="862">
        <f>C18*factors!$B$13</f>
        <v>-368.78613605846948</v>
      </c>
      <c r="D19" s="862">
        <f>D18*factors!$B$13</f>
        <v>-303.22415631474155</v>
      </c>
      <c r="E19" s="862">
        <f>E18*factors!$B$13</f>
        <v>-262.24791897491161</v>
      </c>
      <c r="F19" s="862">
        <f>F18*factors!$B$13</f>
        <v>0</v>
      </c>
      <c r="G19" s="862">
        <f>G18*factors!$B$13</f>
        <v>0</v>
      </c>
      <c r="H19" s="862">
        <f>H18*factors!$B$13</f>
        <v>-213.07643416711568</v>
      </c>
      <c r="I19" s="862">
        <f>I18*factors!$B$13</f>
        <v>-180.29544429525171</v>
      </c>
      <c r="J19" s="862">
        <f>J18*factors!$B$13</f>
        <v>-188.49069176321771</v>
      </c>
      <c r="K19" s="862">
        <f>K18*factors!$B$13</f>
        <v>-163.90494935931977</v>
      </c>
      <c r="L19" s="68"/>
    </row>
    <row r="20" spans="1:12">
      <c r="A20" s="23" t="str">
        <f>"DLFUz=Uplift design load using ASD combo #7 = dLF1*0.6 + WLFUz*"&amp;IF('1-Eng Inputs'!$C$35=2010,"0.6","1.0")</f>
        <v>DLFUz=Uplift design load using ASD combo #7 = dLF1*0.6 + WLFUz*0.6</v>
      </c>
      <c r="B20" s="23" t="s">
        <v>39</v>
      </c>
      <c r="C20" s="862">
        <f>(factors!$B$6*factors!$B$12)+(C19*factors!$B$5)</f>
        <v>-183.45968163508167</v>
      </c>
      <c r="D20" s="862">
        <f>(factors!$B$6*factors!$B$12)+(D19*factors!$B$5)</f>
        <v>-144.12249378884491</v>
      </c>
      <c r="E20" s="862">
        <f>(factors!$B$6*factors!$B$12)+(E19*factors!$B$5)</f>
        <v>-119.53675138494695</v>
      </c>
      <c r="F20" s="862">
        <f>(factors!$B$6*factors!$B$12)+(F19*factors!$B$5)</f>
        <v>37.811999999999998</v>
      </c>
      <c r="G20" s="862">
        <f>(factors!$B$6*factors!$B$12)+(G19*factors!$B$5)</f>
        <v>37.811999999999998</v>
      </c>
      <c r="H20" s="862">
        <f>(factors!$B$6*factors!$B$12)+(H19*factors!$B$5)</f>
        <v>-90.033860500269398</v>
      </c>
      <c r="I20" s="862">
        <f>(factors!$B$6*factors!$B$12)+(I19*factors!$B$5)</f>
        <v>-70.365266577151033</v>
      </c>
      <c r="J20" s="862">
        <f>(factors!$B$6*factors!$B$12)+(J19*factors!$B$5)</f>
        <v>-75.282415057930621</v>
      </c>
      <c r="K20" s="862">
        <f>(factors!$B$6*factors!$B$12)+(K19*factors!$B$5)</f>
        <v>-60.530969615591857</v>
      </c>
      <c r="L20" s="68"/>
    </row>
    <row r="21" spans="1:12" s="104" customFormat="1">
      <c r="A21" s="29" t="str">
        <f>"BWuz=ballast weight required to resist wind uplift= -DLFUz/0.6"</f>
        <v>BWuz=ballast weight required to resist wind uplift= -DLFUz/0.6</v>
      </c>
      <c r="B21" s="29" t="s">
        <v>39</v>
      </c>
      <c r="C21" s="1162">
        <f>-C20/factors!$B$6</f>
        <v>305.76613605846944</v>
      </c>
      <c r="D21" s="1162">
        <f>-D20/factors!$B$6</f>
        <v>240.20415631474151</v>
      </c>
      <c r="E21" s="1162">
        <f>-E20/factors!$B$6</f>
        <v>199.2279189749116</v>
      </c>
      <c r="F21" s="1162">
        <f>-F20/factors!$B$6</f>
        <v>-63.019999999999996</v>
      </c>
      <c r="G21" s="1162">
        <f>-G20/factors!$B$6</f>
        <v>-63.019999999999996</v>
      </c>
      <c r="H21" s="1162">
        <f>-H20/factors!$B$6</f>
        <v>150.05643416711567</v>
      </c>
      <c r="I21" s="1162">
        <f>-I20/factors!$B$6</f>
        <v>117.27544429525173</v>
      </c>
      <c r="J21" s="1162">
        <f>-J20/factors!$B$6</f>
        <v>125.4706917632177</v>
      </c>
      <c r="K21" s="1162">
        <f>-K20/factors!$B$6</f>
        <v>100.88494935931976</v>
      </c>
      <c r="L21" s="1068"/>
    </row>
    <row r="22" spans="1:12">
      <c r="A22" s="29" t="s">
        <v>205</v>
      </c>
      <c r="C22" s="262"/>
      <c r="D22" s="262"/>
      <c r="E22" s="262"/>
      <c r="F22" s="262"/>
      <c r="G22" s="262"/>
      <c r="H22" s="262"/>
      <c r="I22" s="262"/>
      <c r="J22" s="262"/>
      <c r="K22" s="262"/>
      <c r="L22" s="68"/>
    </row>
    <row r="23" spans="1:12">
      <c r="A23" s="23" t="s">
        <v>206</v>
      </c>
      <c r="B23" s="23" t="s">
        <v>87</v>
      </c>
      <c r="C23" s="862">
        <f>(factors!$B$39)*'Land Coeffs 10deg'!C12</f>
        <v>-23.463679352221494</v>
      </c>
      <c r="D23" s="862">
        <f>(factors!$B$39)*'Land Coeffs 10deg'!D12</f>
        <v>-20.386475502749825</v>
      </c>
      <c r="E23" s="862">
        <f>(factors!$B$39)*'Land Coeffs 10deg'!E12</f>
        <v>-16.539970690910234</v>
      </c>
      <c r="F23" s="862">
        <f>(factors!$B$39)*'Land Coeffs 10deg'!F12</f>
        <v>-16.539970690910234</v>
      </c>
      <c r="G23" s="862">
        <f>(factors!$B$39)*'Land Coeffs 10deg'!G12</f>
        <v>-14.616718284990439</v>
      </c>
      <c r="H23" s="862">
        <f>(factors!$B$39)*'Land Coeffs 10deg'!H12</f>
        <v>-12.693465879070645</v>
      </c>
      <c r="I23" s="862">
        <f>(factors!$B$39)*'Land Coeffs 10deg'!I12</f>
        <v>-10.77021347315085</v>
      </c>
      <c r="J23" s="862">
        <f>(factors!$B$39)*'Land Coeffs 10deg'!J12</f>
        <v>-9.2316115484150139</v>
      </c>
      <c r="K23" s="862">
        <f>(factors!$B$39)*'Land Coeffs 10deg'!K12</f>
        <v>-7.6930096236791785</v>
      </c>
      <c r="L23" s="68">
        <f>(factors!$B$39)*'Land Coeffs 10deg'!L12</f>
        <v>23.848329833405451</v>
      </c>
    </row>
    <row r="24" spans="1:12">
      <c r="A24" s="23" t="s">
        <v>103</v>
      </c>
      <c r="B24" s="23" t="s">
        <v>39</v>
      </c>
      <c r="C24" s="862">
        <f>C23*factors!$B$13</f>
        <v>-499.91009554592523</v>
      </c>
      <c r="D24" s="862">
        <f>D23*factors!$B$13</f>
        <v>-434.34811580219741</v>
      </c>
      <c r="E24" s="862">
        <f>E23*factors!$B$13</f>
        <v>-352.39564112253748</v>
      </c>
      <c r="F24" s="862">
        <f>F23*factors!$B$13</f>
        <v>-352.39564112253748</v>
      </c>
      <c r="G24" s="862">
        <f>G23*factors!$B$13</f>
        <v>-311.41940378270755</v>
      </c>
      <c r="H24" s="862">
        <f>H23*factors!$B$13</f>
        <v>-270.44316644287761</v>
      </c>
      <c r="I24" s="862">
        <f>I23*factors!$B$13</f>
        <v>-229.46692910304768</v>
      </c>
      <c r="J24" s="862">
        <f>J23*factors!$B$13</f>
        <v>-196.68593923118371</v>
      </c>
      <c r="K24" s="862">
        <f>K23*factors!$B$13</f>
        <v>-163.90494935931977</v>
      </c>
      <c r="L24" s="68"/>
    </row>
    <row r="25" spans="1:12">
      <c r="A25" s="23" t="str">
        <f>"DLFUz=Uplift design load using ASD combo #7 = dLF1*0.6 + WLFUz*"&amp;IF('1-Eng Inputs'!$C$35=2010,"0.6","1.0")</f>
        <v>DLFUz=Uplift design load using ASD combo #7 = dLF1*0.6 + WLFUz*0.6</v>
      </c>
      <c r="B25" s="23" t="s">
        <v>39</v>
      </c>
      <c r="C25" s="862">
        <f>(factors!$B$6*factors!$B$12)+(C24*factors!$B$5)</f>
        <v>-262.13405732755513</v>
      </c>
      <c r="D25" s="862">
        <f>(factors!$B$6*factors!$B$12)+(D24*factors!$B$5)</f>
        <v>-222.79686948131842</v>
      </c>
      <c r="E25" s="862">
        <f>(factors!$B$6*factors!$B$12)+(E24*factors!$B$5)</f>
        <v>-173.62538467352249</v>
      </c>
      <c r="F25" s="862">
        <f>(factors!$B$6*factors!$B$12)+(F24*factors!$B$5)</f>
        <v>-173.62538467352249</v>
      </c>
      <c r="G25" s="862">
        <f>(factors!$B$6*factors!$B$12)+(G24*factors!$B$5)</f>
        <v>-149.03964226962455</v>
      </c>
      <c r="H25" s="862">
        <f>(factors!$B$6*factors!$B$12)+(H24*factors!$B$5)</f>
        <v>-124.45389986572657</v>
      </c>
      <c r="I25" s="862">
        <f>(factors!$B$6*factors!$B$12)+(I24*factors!$B$5)</f>
        <v>-99.868157461828602</v>
      </c>
      <c r="J25" s="862">
        <f>(factors!$B$6*factors!$B$12)+(J24*factors!$B$5)</f>
        <v>-80.199563538710223</v>
      </c>
      <c r="K25" s="862">
        <f>(factors!$B$6*factors!$B$12)+(K24*factors!$B$5)</f>
        <v>-60.530969615591857</v>
      </c>
      <c r="L25" s="68"/>
    </row>
    <row r="26" spans="1:12" s="104" customFormat="1">
      <c r="A26" s="29" t="str">
        <f>"BWuz=ballast weight required to resist wind uplift= -DLFUz/0.6"</f>
        <v>BWuz=ballast weight required to resist wind uplift= -DLFUz/0.6</v>
      </c>
      <c r="B26" s="29" t="s">
        <v>39</v>
      </c>
      <c r="C26" s="1162">
        <f>-C25/factors!$B$6</f>
        <v>436.89009554592525</v>
      </c>
      <c r="D26" s="1162">
        <f>-D25/factors!$B$6</f>
        <v>371.32811580219737</v>
      </c>
      <c r="E26" s="1162">
        <f>-E25/factors!$B$6</f>
        <v>289.3756411225375</v>
      </c>
      <c r="F26" s="1162">
        <f>-F25/factors!$B$6</f>
        <v>289.3756411225375</v>
      </c>
      <c r="G26" s="1162">
        <f>-G25/factors!$B$6</f>
        <v>248.39940378270759</v>
      </c>
      <c r="H26" s="1162">
        <f>-H25/factors!$B$6</f>
        <v>207.42316644287763</v>
      </c>
      <c r="I26" s="1162">
        <f>-I25/factors!$B$6</f>
        <v>166.44692910304767</v>
      </c>
      <c r="J26" s="1162">
        <f>-J25/factors!$B$6</f>
        <v>133.6659392311837</v>
      </c>
      <c r="K26" s="1162">
        <f>-K25/factors!$B$6</f>
        <v>100.88494935931976</v>
      </c>
      <c r="L26" s="1068"/>
    </row>
    <row r="27" spans="1:12">
      <c r="A27" s="29" t="s">
        <v>214</v>
      </c>
      <c r="C27" s="262"/>
      <c r="D27" s="262"/>
      <c r="E27" s="262"/>
      <c r="F27" s="262"/>
      <c r="G27" s="262"/>
      <c r="H27" s="262"/>
      <c r="I27" s="262"/>
      <c r="J27" s="262"/>
      <c r="K27" s="262"/>
      <c r="L27" s="68"/>
    </row>
    <row r="28" spans="1:12">
      <c r="A28" s="23" t="s">
        <v>206</v>
      </c>
      <c r="B28" s="23" t="s">
        <v>87</v>
      </c>
      <c r="C28" s="862">
        <f>(factors!$B$39)*'Land Coeffs 10deg'!C13</f>
        <v>-23.463679352221494</v>
      </c>
      <c r="D28" s="862">
        <f>(factors!$B$39)*'Land Coeffs 10deg'!D13</f>
        <v>-18.847873578013985</v>
      </c>
      <c r="E28" s="862">
        <f>(factors!$B$39)*'Land Coeffs 10deg'!E13</f>
        <v>-13.462766841438562</v>
      </c>
      <c r="F28" s="862">
        <f>(factors!$B$39)*'Land Coeffs 10deg'!F13</f>
        <v>0</v>
      </c>
      <c r="G28" s="862">
        <f>(factors!$B$39)*'Land Coeffs 10deg'!G13</f>
        <v>0</v>
      </c>
      <c r="H28" s="862">
        <f>(factors!$B$39)*'Land Coeffs 10deg'!H13</f>
        <v>-11.539514435518766</v>
      </c>
      <c r="I28" s="862">
        <f>(factors!$B$39)*'Land Coeffs 10deg'!I13</f>
        <v>-10.000912510782932</v>
      </c>
      <c r="J28" s="862">
        <f>(factors!$B$39)*'Land Coeffs 10deg'!J13</f>
        <v>-8.8469610672310548</v>
      </c>
      <c r="K28" s="862">
        <f>(factors!$B$39)*'Land Coeffs 10deg'!K13</f>
        <v>-7.6930096236791785</v>
      </c>
      <c r="L28" s="68">
        <f>(factors!$B$39)*'Land Coeffs 10deg'!L13</f>
        <v>21.925077427485657</v>
      </c>
    </row>
    <row r="29" spans="1:12">
      <c r="A29" s="23" t="s">
        <v>103</v>
      </c>
      <c r="B29" s="23" t="s">
        <v>39</v>
      </c>
      <c r="C29" s="862">
        <f>C28*factors!$B$13</f>
        <v>-499.91009554592523</v>
      </c>
      <c r="D29" s="862">
        <f>D28*factors!$B$13</f>
        <v>-401.56712593033336</v>
      </c>
      <c r="E29" s="862">
        <f>E28*factors!$B$13</f>
        <v>-286.83366137880955</v>
      </c>
      <c r="F29" s="862">
        <f>F28*factors!$B$13</f>
        <v>0</v>
      </c>
      <c r="G29" s="862">
        <f>G28*factors!$B$13</f>
        <v>0</v>
      </c>
      <c r="H29" s="862">
        <f>H28*factors!$B$13</f>
        <v>-245.85742403897962</v>
      </c>
      <c r="I29" s="862">
        <f>I28*factors!$B$13</f>
        <v>-213.07643416711568</v>
      </c>
      <c r="J29" s="862">
        <f>J28*factors!$B$13</f>
        <v>-188.49069176321771</v>
      </c>
      <c r="K29" s="862">
        <f>K28*factors!$B$13</f>
        <v>-163.90494935931977</v>
      </c>
      <c r="L29" s="68"/>
    </row>
    <row r="30" spans="1:12">
      <c r="A30" s="23" t="str">
        <f>"DLFUz=Uplift design load using ASD combo #7 = dLF1*0.6 + WLFUz*"&amp;IF('1-Eng Inputs'!$C$35=2010,"0.6","1.0")</f>
        <v>DLFUz=Uplift design load using ASD combo #7 = dLF1*0.6 + WLFUz*0.6</v>
      </c>
      <c r="B30" s="23" t="s">
        <v>39</v>
      </c>
      <c r="C30" s="862">
        <f>(factors!$B$6*factors!$B$12)+(C29*factors!$B$5)</f>
        <v>-262.13405732755513</v>
      </c>
      <c r="D30" s="862">
        <f>(factors!$B$6*factors!$B$12)+(D29*factors!$B$5)</f>
        <v>-203.12827555820002</v>
      </c>
      <c r="E30" s="862">
        <f>(factors!$B$6*factors!$B$12)+(E29*factors!$B$5)</f>
        <v>-134.28819682728573</v>
      </c>
      <c r="F30" s="862">
        <f>(factors!$B$6*factors!$B$12)+(F29*factors!$B$5)</f>
        <v>37.811999999999998</v>
      </c>
      <c r="G30" s="862">
        <f>(factors!$B$6*factors!$B$12)+(G29*factors!$B$5)</f>
        <v>37.811999999999998</v>
      </c>
      <c r="H30" s="862">
        <f>(factors!$B$6*factors!$B$12)+(H29*factors!$B$5)</f>
        <v>-109.70245442338778</v>
      </c>
      <c r="I30" s="862">
        <f>(factors!$B$6*factors!$B$12)+(I29*factors!$B$5)</f>
        <v>-90.033860500269398</v>
      </c>
      <c r="J30" s="862">
        <f>(factors!$B$6*factors!$B$12)+(J29*factors!$B$5)</f>
        <v>-75.282415057930621</v>
      </c>
      <c r="K30" s="862">
        <f>(factors!$B$6*factors!$B$12)+(K29*factors!$B$5)</f>
        <v>-60.530969615591857</v>
      </c>
      <c r="L30" s="68"/>
    </row>
    <row r="31" spans="1:12" s="104" customFormat="1">
      <c r="A31" s="29" t="str">
        <f>"BWuz=ballast weight required to resist wind uplift= -DLFUz/0.6"</f>
        <v>BWuz=ballast weight required to resist wind uplift= -DLFUz/0.6</v>
      </c>
      <c r="B31" s="29" t="s">
        <v>39</v>
      </c>
      <c r="C31" s="1162">
        <f>-C30/factors!$B$6</f>
        <v>436.89009554592525</v>
      </c>
      <c r="D31" s="1162">
        <f>-D30/factors!$B$6</f>
        <v>338.54712593033338</v>
      </c>
      <c r="E31" s="1162">
        <f>-E30/factors!$B$6</f>
        <v>223.81366137880957</v>
      </c>
      <c r="F31" s="1162">
        <f>-F30/factors!$B$6</f>
        <v>-63.019999999999996</v>
      </c>
      <c r="G31" s="1162">
        <f>-G30/factors!$B$6</f>
        <v>-63.019999999999996</v>
      </c>
      <c r="H31" s="1162">
        <f>-H30/factors!$B$6</f>
        <v>182.83742403897963</v>
      </c>
      <c r="I31" s="1162">
        <f>-I30/factors!$B$6</f>
        <v>150.05643416711567</v>
      </c>
      <c r="J31" s="1162">
        <f>-J30/factors!$B$6</f>
        <v>125.4706917632177</v>
      </c>
      <c r="K31" s="1162">
        <f>-K30/factors!$B$6</f>
        <v>100.88494935931976</v>
      </c>
      <c r="L31" s="10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f>(factors!$B$39)*'Land Coeffs 10deg'!E8</f>
        <v>-17.309271653278152</v>
      </c>
      <c r="E34" s="107">
        <f>(factors!$B$39)*'Land Coeffs 10deg'!D8</f>
        <v>-16.539970690910234</v>
      </c>
      <c r="F34" s="107"/>
      <c r="G34" s="107"/>
      <c r="J34" s="796"/>
      <c r="K34" s="796"/>
      <c r="L34" s="68"/>
    </row>
    <row r="35" spans="1:12">
      <c r="A35" s="23" t="s">
        <v>103</v>
      </c>
      <c r="B35" s="23" t="s">
        <v>39</v>
      </c>
      <c r="C35" s="107"/>
      <c r="D35" s="107">
        <f>D34*factors!$B$13</f>
        <v>-368.78613605846948</v>
      </c>
      <c r="E35" s="107">
        <f>E34*factors!$B$13</f>
        <v>-352.39564112253748</v>
      </c>
      <c r="F35" s="107"/>
      <c r="G35" s="107"/>
      <c r="J35" s="796"/>
      <c r="K35" s="796"/>
      <c r="L35" s="68"/>
    </row>
    <row r="36" spans="1:12">
      <c r="A36" s="23" t="str">
        <f>"DLFUz=Uplift design load using ASD combo #7 = dLF1*0.6 + WLFUz*"&amp;IF('1-Eng Inputs'!$C$35=2010,"0.6","1.0")</f>
        <v>DLFUz=Uplift design load using ASD combo #7 = dLF1*0.6 + WLFUz*0.6</v>
      </c>
      <c r="B36" s="23" t="s">
        <v>39</v>
      </c>
      <c r="C36" s="107"/>
      <c r="D36" s="862">
        <f>(factors!$B$6*factors!$B$12)+(D35*factors!$B$5)</f>
        <v>-183.45968163508167</v>
      </c>
      <c r="E36" s="862">
        <f>(factors!$B$6*factors!$B$12)+(E35*factors!$B$5)</f>
        <v>-173.62538467352249</v>
      </c>
      <c r="F36" s="107"/>
      <c r="G36" s="107"/>
      <c r="J36" s="796"/>
      <c r="K36" s="796"/>
      <c r="L36" s="68"/>
    </row>
    <row r="37" spans="1:12">
      <c r="A37" s="29" t="str">
        <f>"BWuz=ballast weight required to resist wind uplift= -DLFUz/0.6"</f>
        <v>BWuz=ballast weight required to resist wind uplift= -DLFUz/0.6</v>
      </c>
      <c r="B37" s="29" t="s">
        <v>39</v>
      </c>
      <c r="C37" s="1369"/>
      <c r="D37" s="1162">
        <f>-D36/factors!$B$6</f>
        <v>305.76613605846944</v>
      </c>
      <c r="E37" s="1162">
        <f>-E36/factors!$B$6</f>
        <v>289.3756411225375</v>
      </c>
      <c r="F37" s="1369"/>
      <c r="G37" s="107"/>
      <c r="J37" s="796"/>
      <c r="K37" s="796"/>
      <c r="L37" s="68"/>
    </row>
  </sheetData>
  <customSheetViews>
    <customSheetView guid="{F2CCAFB5-9C02-49AC-87E7-8695C5014AAE}" state="hidden">
      <selection activeCell="D6" sqref="D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tint="0.59999389629810485"/>
    <pageSetUpPr autoPageBreaks="0"/>
  </sheetPr>
  <dimension ref="A1:V28"/>
  <sheetViews>
    <sheetView zoomScale="130" zoomScaleNormal="130" workbookViewId="0">
      <selection activeCell="G27" sqref="G27"/>
    </sheetView>
  </sheetViews>
  <sheetFormatPr defaultColWidth="8.7109375" defaultRowHeight="12.75"/>
  <cols>
    <col min="1" max="1" width="2.28515625" style="793" customWidth="1"/>
    <col min="2" max="2" width="30.5703125" bestFit="1" customWidth="1"/>
    <col min="3" max="3" width="1.28515625" style="793" customWidth="1"/>
    <col min="4" max="4" width="8.42578125" style="793" bestFit="1" customWidth="1"/>
    <col min="5" max="5" width="13.42578125" style="793" customWidth="1"/>
    <col min="6" max="8" width="8.7109375" style="793" customWidth="1"/>
    <col min="9" max="16" width="8.7109375" customWidth="1"/>
  </cols>
  <sheetData>
    <row r="1" spans="2:22">
      <c r="B1" s="740" t="s">
        <v>19866</v>
      </c>
      <c r="C1" s="740"/>
      <c r="D1" s="740"/>
    </row>
    <row r="2" spans="2:22">
      <c r="G2" s="23"/>
      <c r="H2" s="23"/>
      <c r="L2" s="108"/>
      <c r="N2" s="99"/>
    </row>
    <row r="3" spans="2:22" ht="13.5" thickBot="1">
      <c r="G3" s="23"/>
      <c r="H3" s="23"/>
      <c r="L3" s="99"/>
      <c r="M3" s="99"/>
      <c r="N3" s="99"/>
    </row>
    <row r="4" spans="2:22">
      <c r="B4" s="809" t="s">
        <v>19925</v>
      </c>
      <c r="C4" s="810"/>
      <c r="D4" s="811">
        <f>'Land Matrix 10deg (lift)'!BV3</f>
        <v>16</v>
      </c>
      <c r="E4" s="812"/>
    </row>
    <row r="5" spans="2:22">
      <c r="B5" s="813" t="s">
        <v>19924</v>
      </c>
      <c r="C5" s="803"/>
      <c r="D5" s="814">
        <f>factors!B2</f>
        <v>32</v>
      </c>
      <c r="E5" s="815" t="s">
        <v>39</v>
      </c>
      <c r="G5" s="23"/>
      <c r="H5" s="23"/>
      <c r="I5" s="23"/>
      <c r="L5" s="107"/>
      <c r="M5" s="107"/>
      <c r="N5" s="107"/>
      <c r="O5" s="107"/>
    </row>
    <row r="6" spans="2:22">
      <c r="B6" s="813" t="s">
        <v>19908</v>
      </c>
      <c r="C6" s="803"/>
      <c r="D6" s="804">
        <f>factors!B5</f>
        <v>0.6</v>
      </c>
      <c r="E6" s="694"/>
      <c r="G6" s="23"/>
      <c r="H6" s="23"/>
      <c r="I6" s="23"/>
      <c r="L6" s="35"/>
      <c r="M6" s="35"/>
      <c r="N6" s="35"/>
      <c r="O6" s="35"/>
    </row>
    <row r="7" spans="2:22">
      <c r="B7" s="813" t="s">
        <v>19909</v>
      </c>
      <c r="C7" s="803"/>
      <c r="D7" s="804">
        <f>factors!B6</f>
        <v>0.6</v>
      </c>
      <c r="E7" s="694"/>
      <c r="G7" s="23"/>
      <c r="H7" s="23"/>
      <c r="I7" s="23"/>
      <c r="L7" s="35"/>
      <c r="M7" s="35"/>
      <c r="N7" s="35"/>
      <c r="O7" s="35"/>
    </row>
    <row r="8" spans="2:22">
      <c r="B8" s="813" t="s">
        <v>19910</v>
      </c>
      <c r="C8" s="803"/>
      <c r="D8" s="804">
        <f>factors!B39</f>
        <v>38.465048118395892</v>
      </c>
      <c r="E8" s="694"/>
      <c r="G8" s="23"/>
      <c r="H8" s="23"/>
      <c r="I8" s="23"/>
      <c r="L8" s="100"/>
      <c r="M8" s="100"/>
      <c r="N8" s="100"/>
      <c r="O8" s="100"/>
    </row>
    <row r="9" spans="2:22">
      <c r="B9" s="813" t="s">
        <v>19911</v>
      </c>
      <c r="C9" s="803"/>
      <c r="D9" s="804">
        <f>factors!B12</f>
        <v>63.019999999999996</v>
      </c>
      <c r="E9" s="815" t="s">
        <v>39</v>
      </c>
      <c r="G9" s="29"/>
      <c r="H9" s="29"/>
      <c r="L9" s="101"/>
      <c r="M9" s="101"/>
      <c r="N9" s="101"/>
      <c r="O9" s="101"/>
    </row>
    <row r="10" spans="2:22">
      <c r="B10" s="813" t="s">
        <v>19912</v>
      </c>
      <c r="C10" s="803"/>
      <c r="D10" s="804">
        <f>MIN('Friction Data'!F34:G34)</f>
        <v>0.57999999999999996</v>
      </c>
      <c r="E10" s="694"/>
      <c r="G10" s="23"/>
      <c r="H10" s="23"/>
      <c r="I10" s="23"/>
      <c r="L10" s="106"/>
      <c r="M10" s="106"/>
      <c r="N10" s="106"/>
      <c r="O10" s="106"/>
    </row>
    <row r="11" spans="2:22">
      <c r="B11" s="813" t="s">
        <v>19913</v>
      </c>
      <c r="C11" s="803"/>
      <c r="D11" s="804">
        <f>factors!B13</f>
        <v>21.305699248681336</v>
      </c>
      <c r="E11" s="815" t="s">
        <v>19922</v>
      </c>
      <c r="G11" s="23"/>
      <c r="H11" s="23"/>
      <c r="I11" s="23"/>
      <c r="L11" s="100"/>
      <c r="M11" s="100"/>
      <c r="N11" s="100"/>
      <c r="O11" s="100"/>
    </row>
    <row r="12" spans="2:22">
      <c r="B12" s="813" t="s">
        <v>19914</v>
      </c>
      <c r="C12" s="803"/>
      <c r="D12" s="804">
        <f>factors!B15</f>
        <v>3.4792708333333326</v>
      </c>
      <c r="E12" s="815" t="s">
        <v>19922</v>
      </c>
      <c r="G12" s="23"/>
      <c r="H12" s="23"/>
      <c r="I12" s="23"/>
      <c r="J12" s="740"/>
      <c r="M12" s="100"/>
      <c r="N12" s="100"/>
      <c r="O12" s="100"/>
    </row>
    <row r="13" spans="2:22" s="795" customFormat="1">
      <c r="B13" s="813" t="s">
        <v>19929</v>
      </c>
      <c r="C13" s="803"/>
      <c r="D13" s="804" t="str">
        <f>'Land Matrix 10deg (lift)'!BT2</f>
        <v>Worst Case</v>
      </c>
      <c r="E13" s="815"/>
      <c r="G13" s="23"/>
      <c r="H13" s="23"/>
      <c r="I13" s="23"/>
      <c r="J13" s="740"/>
      <c r="M13" s="100"/>
      <c r="N13" s="100"/>
      <c r="O13" s="100"/>
    </row>
    <row r="14" spans="2:22">
      <c r="B14" s="813" t="s">
        <v>19919</v>
      </c>
      <c r="C14" s="803"/>
      <c r="D14" s="804">
        <f>VLOOKUP(D13,'Land Coeffs 10deg'!A18:C24,3,FALSE)</f>
        <v>1.42</v>
      </c>
      <c r="E14" s="815"/>
      <c r="G14" s="23"/>
      <c r="H14" s="23"/>
      <c r="I14" s="23"/>
      <c r="L14" s="100"/>
      <c r="M14" s="100"/>
      <c r="N14" s="100"/>
      <c r="O14" s="100"/>
      <c r="U14" s="792"/>
      <c r="V14" s="792"/>
    </row>
    <row r="15" spans="2:22">
      <c r="B15" s="813" t="s">
        <v>19920</v>
      </c>
      <c r="C15" s="803"/>
      <c r="D15" s="804">
        <f>VLOOKUP('Land Calcs 10deg (sliding)'!D13,'Land Coeffs 10deg'!A8:C14,3,FALSE)</f>
        <v>-0.61</v>
      </c>
      <c r="E15" s="694"/>
      <c r="F15" s="792"/>
      <c r="G15" s="46"/>
      <c r="H15" s="46"/>
      <c r="I15" s="46"/>
      <c r="J15" s="792"/>
      <c r="K15" s="792"/>
      <c r="L15" s="799"/>
      <c r="M15" s="799"/>
      <c r="N15" s="799"/>
      <c r="O15" s="799"/>
      <c r="P15" s="792"/>
      <c r="U15" s="797"/>
      <c r="V15" s="792"/>
    </row>
    <row r="16" spans="2:22">
      <c r="B16" s="813" t="s">
        <v>19921</v>
      </c>
      <c r="C16" s="803"/>
      <c r="D16" s="804">
        <f ca="1">'Area Reduction'!C32</f>
        <v>0.34274275049009928</v>
      </c>
      <c r="E16" s="694"/>
      <c r="F16" s="792"/>
      <c r="G16" s="792"/>
      <c r="H16" s="792"/>
      <c r="I16" s="792"/>
      <c r="J16" s="792"/>
      <c r="K16" s="792"/>
      <c r="L16" s="797"/>
      <c r="M16" s="797"/>
      <c r="N16" s="797"/>
      <c r="O16" s="797"/>
      <c r="P16" s="792"/>
      <c r="U16" s="798"/>
      <c r="V16" s="798"/>
    </row>
    <row r="17" spans="2:22">
      <c r="B17" s="813" t="s">
        <v>19915</v>
      </c>
      <c r="C17" s="803"/>
      <c r="D17" s="804">
        <f ca="1">D14*D16</f>
        <v>0.48669470569594098</v>
      </c>
      <c r="E17" s="694"/>
      <c r="F17" s="792"/>
      <c r="G17" s="659"/>
      <c r="H17" s="659"/>
      <c r="I17" s="659"/>
      <c r="J17" s="792"/>
      <c r="K17" s="792"/>
      <c r="L17" s="800"/>
      <c r="M17" s="798"/>
      <c r="N17" s="798"/>
      <c r="O17" s="798"/>
      <c r="P17" s="792"/>
      <c r="U17" s="792"/>
      <c r="V17" s="792"/>
    </row>
    <row r="18" spans="2:22" ht="13.5" thickBot="1">
      <c r="B18" s="813" t="s">
        <v>19916</v>
      </c>
      <c r="C18" s="803"/>
      <c r="D18" s="804">
        <f ca="1">ABS(D15*D16)</f>
        <v>0.20907307779896056</v>
      </c>
      <c r="E18" s="694"/>
      <c r="F18" s="792"/>
      <c r="G18" s="792"/>
      <c r="H18" s="792"/>
      <c r="I18" s="792"/>
      <c r="J18" s="801"/>
      <c r="K18" s="801"/>
      <c r="L18" s="801"/>
      <c r="M18" s="802"/>
      <c r="N18" s="46"/>
      <c r="O18" s="792"/>
      <c r="P18" s="792"/>
    </row>
    <row r="19" spans="2:22" s="1042" customFormat="1">
      <c r="B19" s="1055" t="s">
        <v>20102</v>
      </c>
      <c r="C19" s="1050"/>
      <c r="D19" s="1136">
        <f ca="1">(D6*D8*D18*D11)*D4</f>
        <v>1644.8693869937158</v>
      </c>
      <c r="E19" s="1137" t="s">
        <v>20104</v>
      </c>
      <c r="F19" s="1041"/>
      <c r="G19" s="1041"/>
      <c r="H19" s="1041"/>
      <c r="I19" s="1041"/>
      <c r="J19" s="801"/>
      <c r="K19" s="801"/>
      <c r="L19" s="801"/>
      <c r="M19" s="802"/>
      <c r="N19" s="46"/>
      <c r="O19" s="1041"/>
      <c r="P19" s="1041"/>
    </row>
    <row r="20" spans="2:22" s="1042" customFormat="1">
      <c r="B20" s="1045" t="s">
        <v>20103</v>
      </c>
      <c r="C20" s="1047"/>
      <c r="D20" s="1048">
        <f ca="1">(D6*D8*(D17*D12)*D4)</f>
        <v>625.29127887227412</v>
      </c>
      <c r="E20" s="815" t="s">
        <v>20104</v>
      </c>
      <c r="F20" s="1041"/>
      <c r="G20" s="1041"/>
      <c r="H20" s="1041"/>
      <c r="I20" s="1041"/>
      <c r="J20" s="801"/>
      <c r="K20" s="801"/>
      <c r="L20" s="801"/>
      <c r="M20" s="802"/>
      <c r="N20" s="46"/>
      <c r="O20" s="1041"/>
      <c r="P20" s="1041"/>
    </row>
    <row r="21" spans="2:22" s="1058" customFormat="1" ht="13.5" thickBot="1">
      <c r="B21" s="1138" t="s">
        <v>20105</v>
      </c>
      <c r="C21" s="1139"/>
      <c r="D21" s="1140">
        <f ca="1">SQRT(D20^2+D19^2)</f>
        <v>1759.7114774027036</v>
      </c>
      <c r="E21" s="808" t="s">
        <v>20104</v>
      </c>
      <c r="F21" s="1057"/>
      <c r="G21" s="1057"/>
      <c r="H21" s="1057"/>
      <c r="I21" s="1057"/>
      <c r="J21" s="801"/>
      <c r="K21" s="801"/>
      <c r="L21" s="801"/>
      <c r="M21" s="802"/>
      <c r="N21" s="46"/>
      <c r="O21" s="1057"/>
      <c r="P21" s="1057"/>
    </row>
    <row r="22" spans="2:22" s="104" customFormat="1">
      <c r="B22" s="1055" t="s">
        <v>20069</v>
      </c>
      <c r="C22" s="1050"/>
      <c r="D22" s="1051">
        <f ca="1">(1/D7)*(D6*D8*((D17*D12*(1/D10)+D18*D11))-D7*D9)*D4</f>
        <v>3529.9429980707737</v>
      </c>
      <c r="E22" s="1046" t="s">
        <v>39</v>
      </c>
      <c r="F22" s="103"/>
      <c r="G22" s="103"/>
      <c r="H22" s="103"/>
      <c r="J22" s="102"/>
      <c r="K22" s="102"/>
      <c r="L22" s="102"/>
      <c r="M22" s="105"/>
      <c r="N22" s="103"/>
    </row>
    <row r="23" spans="2:22" s="104" customFormat="1" ht="13.5" thickBot="1">
      <c r="B23" s="805" t="s">
        <v>19923</v>
      </c>
      <c r="C23" s="806"/>
      <c r="D23" s="807">
        <f ca="1">ROUNDUP(D22/D5,0)</f>
        <v>111</v>
      </c>
      <c r="E23" s="808" t="s">
        <v>295</v>
      </c>
      <c r="F23" s="103"/>
      <c r="G23" s="103"/>
      <c r="H23" s="103"/>
      <c r="J23" s="102"/>
      <c r="K23" s="102"/>
      <c r="L23" s="102"/>
      <c r="M23" s="105"/>
      <c r="N23" s="103"/>
    </row>
    <row r="24" spans="2:22">
      <c r="J24" s="101"/>
      <c r="K24" s="101"/>
      <c r="L24" s="101"/>
      <c r="M24" s="101"/>
    </row>
    <row r="25" spans="2:22">
      <c r="F25" s="23"/>
      <c r="G25" s="23"/>
      <c r="H25" s="23"/>
      <c r="J25" s="101"/>
      <c r="K25" s="101"/>
      <c r="L25" s="101"/>
      <c r="M25" s="143"/>
    </row>
    <row r="28" spans="2:22">
      <c r="N28" s="98"/>
    </row>
  </sheetData>
  <customSheetViews>
    <customSheetView guid="{F2CCAFB5-9C02-49AC-87E7-8695C5014AAE}" state="hidden">
      <selection activeCell="D19" sqref="D19"/>
      <pageMargins left="0.7" right="0.7" top="0.75" bottom="0.75" header="0.3" footer="0.3"/>
      <pageSetup orientation="portrait" horizontalDpi="0" verticalDpi="0"/>
    </customSheetView>
  </customSheetViews>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9"/>
    <pageSetUpPr autoPageBreaks="0"/>
  </sheetPr>
  <dimension ref="A1:FI237"/>
  <sheetViews>
    <sheetView zoomScaleNormal="100" zoomScaleSheetLayoutView="70" workbookViewId="0">
      <selection activeCell="BR16" sqref="BR16"/>
    </sheetView>
  </sheetViews>
  <sheetFormatPr defaultColWidth="9.140625" defaultRowHeight="12.75"/>
  <cols>
    <col min="1" max="4" width="2.7109375" style="350" customWidth="1"/>
    <col min="5" max="5" width="2.7109375" style="357" customWidth="1"/>
    <col min="6" max="6" width="3.7109375" style="350" customWidth="1"/>
    <col min="7" max="7" width="7.7109375" style="350" customWidth="1"/>
    <col min="8" max="8" width="4.28515625" style="350" customWidth="1"/>
    <col min="9" max="9" width="7.7109375" style="350" customWidth="1"/>
    <col min="10" max="10" width="3.7109375" style="350" customWidth="1"/>
    <col min="11" max="11" width="7.7109375" style="350" customWidth="1"/>
    <col min="12" max="12" width="3.7109375" style="350" customWidth="1"/>
    <col min="13" max="13" width="7.7109375" style="350" customWidth="1"/>
    <col min="14" max="14" width="3.7109375" style="350" customWidth="1"/>
    <col min="15" max="15" width="7.7109375" style="350" customWidth="1"/>
    <col min="16" max="16" width="3.7109375" style="350" customWidth="1"/>
    <col min="17" max="17" width="5" style="350" customWidth="1"/>
    <col min="18" max="18" width="1.7109375" style="358" hidden="1" customWidth="1"/>
    <col min="19" max="19" width="3.28515625" style="350" hidden="1" customWidth="1"/>
    <col min="20" max="20" width="2" style="353" hidden="1" customWidth="1"/>
    <col min="21" max="21" width="5.7109375" style="350" hidden="1" customWidth="1"/>
    <col min="22" max="22" width="5" style="350" hidden="1" customWidth="1"/>
    <col min="23" max="23" width="5.5703125" style="350" hidden="1" customWidth="1"/>
    <col min="24" max="30" width="5" style="350" hidden="1" customWidth="1"/>
    <col min="31" max="31" width="6.42578125" style="350" hidden="1" customWidth="1"/>
    <col min="32" max="32" width="2.7109375" style="350" hidden="1" customWidth="1"/>
    <col min="33" max="33" width="1.7109375" style="358" hidden="1" customWidth="1"/>
    <col min="34" max="34" width="5.7109375" style="350" hidden="1" customWidth="1"/>
    <col min="35" max="35" width="2" style="353" hidden="1" customWidth="1"/>
    <col min="36" max="36" width="3.7109375" style="350" hidden="1" customWidth="1"/>
    <col min="37" max="37" width="7.7109375" style="350" hidden="1" customWidth="1"/>
    <col min="38" max="38" width="3.7109375" style="350" hidden="1" customWidth="1"/>
    <col min="39" max="39" width="7.7109375" style="350" hidden="1" customWidth="1"/>
    <col min="40" max="40" width="3.7109375" style="350" hidden="1" customWidth="1"/>
    <col min="41" max="41" width="7.7109375" style="350" hidden="1" customWidth="1"/>
    <col min="42" max="42" width="3.7109375" style="350" hidden="1" customWidth="1"/>
    <col min="43" max="43" width="7.7109375" style="350" hidden="1" customWidth="1"/>
    <col min="44" max="44" width="3.7109375" style="350" hidden="1" customWidth="1"/>
    <col min="45" max="45" width="7.7109375" style="350" hidden="1" customWidth="1"/>
    <col min="46" max="46" width="3.7109375" style="350" hidden="1" customWidth="1"/>
    <col min="47" max="47" width="2.7109375" style="350" hidden="1" customWidth="1"/>
    <col min="48" max="48" width="1.7109375" style="358" hidden="1" customWidth="1"/>
    <col min="49" max="49" width="2.7109375" style="372" hidden="1" customWidth="1"/>
    <col min="50" max="50" width="3.7109375" style="371" hidden="1" customWidth="1"/>
    <col min="51" max="51" width="7.7109375" style="371" hidden="1" customWidth="1"/>
    <col min="52" max="53" width="3.7109375" style="371" hidden="1" customWidth="1"/>
    <col min="54" max="54" width="7.7109375" style="371" hidden="1" customWidth="1"/>
    <col min="55" max="56" width="3.7109375" style="371" hidden="1" customWidth="1"/>
    <col min="57" max="57" width="7.7109375" style="371" hidden="1" customWidth="1"/>
    <col min="58" max="59" width="3.7109375" style="371" hidden="1" customWidth="1"/>
    <col min="60" max="60" width="7.7109375" style="371" hidden="1" customWidth="1"/>
    <col min="61" max="62" width="3.7109375" style="371" hidden="1" customWidth="1"/>
    <col min="63" max="63" width="7.7109375" style="371" hidden="1" customWidth="1"/>
    <col min="64" max="64" width="3.7109375" style="371" hidden="1" customWidth="1"/>
    <col min="65" max="65" width="2.7109375" style="372" hidden="1" customWidth="1"/>
    <col min="66" max="66" width="1.7109375" style="358" customWidth="1"/>
    <col min="67" max="67" width="5.7109375" style="350" customWidth="1"/>
    <col min="68" max="68" width="2" style="353" customWidth="1"/>
    <col min="69" max="69" width="3.7109375" style="350" customWidth="1"/>
    <col min="70" max="70" width="7.7109375" style="350" customWidth="1"/>
    <col min="71" max="71" width="3.7109375" style="350" customWidth="1"/>
    <col min="72" max="72" width="7.7109375" style="350" customWidth="1"/>
    <col min="73" max="73" width="3.7109375" style="350" customWidth="1"/>
    <col min="74" max="74" width="7.7109375" style="350" customWidth="1"/>
    <col min="75" max="75" width="3.7109375" style="350" customWidth="1"/>
    <col min="76" max="76" width="7.7109375" style="350" customWidth="1"/>
    <col min="77" max="77" width="3.7109375" style="350" customWidth="1"/>
    <col min="78" max="78" width="7.7109375" style="350" customWidth="1"/>
    <col min="79" max="80" width="3.7109375" style="350" customWidth="1"/>
    <col min="81" max="82" width="4.85546875" style="350" customWidth="1"/>
    <col min="83" max="83" width="4.85546875" style="360" customWidth="1"/>
    <col min="84" max="85" width="4.85546875" style="350" customWidth="1"/>
    <col min="86" max="86" width="5.140625" style="350" customWidth="1"/>
    <col min="87" max="90" width="5" style="350" customWidth="1"/>
    <col min="91" max="91" width="5.85546875" style="350" customWidth="1"/>
    <col min="92" max="120" width="7.7109375" style="360" customWidth="1"/>
    <col min="121" max="164" width="9.140625" style="360"/>
    <col min="165" max="16384" width="9.140625" style="350"/>
  </cols>
  <sheetData>
    <row r="1" spans="1:94" ht="13.5" thickBot="1">
      <c r="A1" s="349" t="s">
        <v>19926</v>
      </c>
      <c r="J1" s="766" t="s">
        <v>19868</v>
      </c>
      <c r="K1" s="769"/>
      <c r="L1" s="770"/>
      <c r="M1" s="771"/>
      <c r="N1" s="770"/>
      <c r="O1" s="770"/>
      <c r="P1" s="770"/>
      <c r="Q1" s="772"/>
      <c r="AW1" s="370"/>
      <c r="BQ1" s="766" t="s">
        <v>19814</v>
      </c>
      <c r="BR1" s="767"/>
      <c r="BS1" s="767"/>
      <c r="BT1" s="773"/>
      <c r="BU1" s="773"/>
      <c r="BV1" s="768"/>
      <c r="BX1" s="706" t="s">
        <v>19813</v>
      </c>
      <c r="BY1" s="667"/>
      <c r="BZ1" s="707"/>
      <c r="CA1" s="667"/>
      <c r="CB1" s="667"/>
      <c r="CC1" s="667"/>
      <c r="CD1" s="668"/>
      <c r="CE1" s="833"/>
      <c r="CF1" s="667"/>
      <c r="CG1" s="668"/>
      <c r="CI1" s="706" t="s">
        <v>20440</v>
      </c>
      <c r="CJ1" s="667"/>
      <c r="CK1" s="667"/>
      <c r="CL1" s="667"/>
      <c r="CM1" s="667"/>
      <c r="CN1" s="667"/>
      <c r="CO1" s="667"/>
      <c r="CP1" s="668"/>
    </row>
    <row r="2" spans="1:94" ht="15">
      <c r="A2" s="351" t="str">
        <f>'1-Eng Inputs'!$C$38&amp;" lb. Blocks per Ecofoot"&amp;IF($O$4="YES"," ( ''.5'' denotes one "&amp;'1-Eng Inputs'!$C$39&amp;" lb. block)",)</f>
        <v>32 lb. Blocks per Ecofoot</v>
      </c>
      <c r="E2" s="352"/>
      <c r="J2" s="776" t="s">
        <v>19893</v>
      </c>
      <c r="K2" s="451"/>
      <c r="L2" s="451"/>
      <c r="M2" s="451"/>
      <c r="N2" s="777"/>
      <c r="O2" s="777"/>
      <c r="P2" s="777"/>
      <c r="Q2" s="1476">
        <f>'Uplift Attachment Calcs'!D12</f>
        <v>16.375</v>
      </c>
      <c r="S2" s="352"/>
      <c r="AH2" s="352"/>
      <c r="BQ2" s="731" t="s">
        <v>19927</v>
      </c>
      <c r="BT2" s="2168" t="s">
        <v>19932</v>
      </c>
      <c r="BU2" s="2169"/>
      <c r="BV2" s="2170"/>
      <c r="BX2" s="1422" t="s">
        <v>19765</v>
      </c>
      <c r="BY2" s="1423"/>
      <c r="BZ2" s="1423"/>
      <c r="CA2" s="1423"/>
      <c r="CB2" s="727">
        <v>1</v>
      </c>
      <c r="CC2" s="728">
        <v>2</v>
      </c>
      <c r="CD2" s="729">
        <v>3</v>
      </c>
      <c r="CE2" s="729">
        <v>4</v>
      </c>
      <c r="CF2" s="729">
        <v>5</v>
      </c>
      <c r="CG2" s="730">
        <v>6</v>
      </c>
      <c r="CI2" s="1480" t="s">
        <v>20442</v>
      </c>
      <c r="CN2" s="350"/>
      <c r="CO2" s="350"/>
      <c r="CP2" s="1932" t="e">
        <f>'Thermal Sliding Calcs'!$B$42</f>
        <v>#VALUE!</v>
      </c>
    </row>
    <row r="3" spans="1:94" ht="15.75" thickBot="1">
      <c r="A3" s="1470">
        <v>1</v>
      </c>
      <c r="B3" s="369">
        <v>1.5</v>
      </c>
      <c r="C3" s="1470">
        <v>2</v>
      </c>
      <c r="D3" s="369">
        <v>2.5</v>
      </c>
      <c r="E3" s="1470">
        <v>3</v>
      </c>
      <c r="F3" s="369">
        <v>3.5</v>
      </c>
      <c r="G3" s="1470" t="s">
        <v>19423</v>
      </c>
      <c r="H3" s="380"/>
      <c r="J3" s="653" t="s">
        <v>19869</v>
      </c>
      <c r="K3" s="654"/>
      <c r="L3" s="654"/>
      <c r="M3" s="775"/>
      <c r="N3" s="654"/>
      <c r="O3" s="654"/>
      <c r="P3" s="654"/>
      <c r="Q3" s="1477">
        <f>'Seismic Calcs (Attached)'!B25</f>
        <v>6.3738670708707472</v>
      </c>
      <c r="S3" s="356"/>
      <c r="AH3" s="356"/>
      <c r="BQ3" s="652" t="s">
        <v>20072</v>
      </c>
      <c r="BR3" s="651"/>
      <c r="BS3" s="655"/>
      <c r="BV3" s="839">
        <v>16</v>
      </c>
      <c r="BX3" s="1422" t="s">
        <v>19764</v>
      </c>
      <c r="BY3" s="1423"/>
      <c r="BZ3" s="1423"/>
      <c r="CA3" s="1423"/>
      <c r="CB3" s="724">
        <f>'Seismic Calcs (Unattached)'!$D$36</f>
        <v>3</v>
      </c>
      <c r="CC3" s="725">
        <f>'Seismic Calcs (Unattached)'!$D$37</f>
        <v>6</v>
      </c>
      <c r="CD3" s="725">
        <f>'Seismic Calcs (Unattached)'!$D$38</f>
        <v>9</v>
      </c>
      <c r="CE3" s="725">
        <f>'Seismic Calcs (Unattached)'!$D$39</f>
        <v>12</v>
      </c>
      <c r="CF3" s="725">
        <f>'Seismic Calcs (Unattached)'!$D$40</f>
        <v>15</v>
      </c>
      <c r="CG3" s="726">
        <f>'Seismic Calcs (Unattached)'!$D$41</f>
        <v>18</v>
      </c>
      <c r="CI3" s="1482" t="s">
        <v>20441</v>
      </c>
      <c r="CJ3" s="762"/>
      <c r="CK3" s="762"/>
      <c r="CL3" s="762"/>
      <c r="CM3" s="762"/>
      <c r="CN3" s="762"/>
      <c r="CO3" s="762"/>
      <c r="CP3" s="1933" t="e">
        <f>'Thermal Sliding Calcs'!$B$43</f>
        <v>#VALUE!</v>
      </c>
    </row>
    <row r="4" spans="1:94" ht="15.75" thickBot="1">
      <c r="A4" s="1470">
        <v>4</v>
      </c>
      <c r="B4" s="369">
        <v>4.5</v>
      </c>
      <c r="C4" s="1470">
        <v>5</v>
      </c>
      <c r="D4" s="369">
        <v>5.5</v>
      </c>
      <c r="E4" s="1470">
        <v>6</v>
      </c>
      <c r="F4" s="369">
        <v>6.5</v>
      </c>
      <c r="G4" s="379"/>
      <c r="J4" s="825" t="s">
        <v>19440</v>
      </c>
      <c r="K4" s="667"/>
      <c r="L4" s="826"/>
      <c r="M4" s="667"/>
      <c r="N4" s="667"/>
      <c r="O4" s="827" t="s">
        <v>144</v>
      </c>
      <c r="P4" s="667"/>
      <c r="Q4" s="668"/>
      <c r="BO4" s="356"/>
      <c r="BQ4" s="653" t="s">
        <v>20439</v>
      </c>
      <c r="BR4" s="762"/>
      <c r="BS4" s="762"/>
      <c r="BT4" s="762"/>
      <c r="BU4" s="762"/>
      <c r="BV4" s="1052" t="s">
        <v>19952</v>
      </c>
      <c r="BX4" s="1422" t="s">
        <v>19766</v>
      </c>
      <c r="BY4" s="1423"/>
      <c r="BZ4" s="1423"/>
      <c r="CA4" s="1423"/>
      <c r="CB4" s="717">
        <v>1</v>
      </c>
      <c r="CC4" s="718">
        <v>2</v>
      </c>
      <c r="CD4" s="719">
        <v>3</v>
      </c>
      <c r="CE4" s="719">
        <v>4</v>
      </c>
      <c r="CF4" s="719">
        <v>5</v>
      </c>
      <c r="CG4" s="720">
        <v>6</v>
      </c>
    </row>
    <row r="5" spans="1:94" ht="13.5" thickBot="1">
      <c r="A5" s="744" t="s">
        <v>19485</v>
      </c>
      <c r="B5" s="391"/>
      <c r="C5" s="356"/>
      <c r="D5" s="391"/>
      <c r="E5" s="356"/>
      <c r="F5" s="391"/>
      <c r="G5" s="380"/>
      <c r="K5" s="357"/>
      <c r="S5" s="349"/>
      <c r="AH5" s="349"/>
      <c r="BO5" s="356"/>
      <c r="BQ5" s="835" t="str">
        <f>"Min "&amp;'1-Eng Inputs'!C38&amp;" lb block qty:"</f>
        <v>Min 32 lb block qty:</v>
      </c>
      <c r="BR5" s="829"/>
      <c r="BS5" s="829"/>
      <c r="BT5" s="828"/>
      <c r="BU5" s="828"/>
      <c r="BV5" s="830">
        <f ca="1">'Land Calcs 10deg (sliding)'!D23</f>
        <v>111</v>
      </c>
      <c r="BX5" s="1424" t="s">
        <v>19764</v>
      </c>
      <c r="BY5" s="1425"/>
      <c r="BZ5" s="1425"/>
      <c r="CA5" s="1425"/>
      <c r="CB5" s="721">
        <f>'Seismic Calcs (Unattached)'!$D$44</f>
        <v>12</v>
      </c>
      <c r="CC5" s="722">
        <f>'Seismic Calcs (Unattached)'!$D$45</f>
        <v>24</v>
      </c>
      <c r="CD5" s="722">
        <f>'Seismic Calcs (Unattached)'!$D$46</f>
        <v>36</v>
      </c>
      <c r="CE5" s="722">
        <f>'Seismic Calcs (Unattached)'!$D$47</f>
        <v>48</v>
      </c>
      <c r="CF5" s="722">
        <f>'Seismic Calcs (Unattached)'!$D$48</f>
        <v>60</v>
      </c>
      <c r="CG5" s="723">
        <f>'Seismic Calcs (Unattached)'!$D$49</f>
        <v>72</v>
      </c>
    </row>
    <row r="6" spans="1:94" ht="13.5" thickBot="1">
      <c r="A6" s="744"/>
      <c r="B6" s="391"/>
      <c r="C6" s="356"/>
      <c r="D6" s="391"/>
      <c r="E6" s="356"/>
      <c r="F6" s="391"/>
      <c r="G6" s="380"/>
      <c r="S6" s="349"/>
      <c r="AH6" s="349"/>
      <c r="BO6" s="356"/>
      <c r="BQ6" s="834" t="s">
        <v>19719</v>
      </c>
      <c r="BR6" s="765"/>
      <c r="BS6" s="765"/>
      <c r="BT6" s="762"/>
      <c r="BU6" s="762"/>
      <c r="BV6" s="1467">
        <f ca="1">'Land Calcs 10deg (sliding)'!D22</f>
        <v>3529.9429980707737</v>
      </c>
      <c r="BY6" s="757"/>
      <c r="BZ6" s="757"/>
      <c r="CA6" s="757"/>
      <c r="CB6" s="757"/>
      <c r="CC6" s="757"/>
      <c r="CE6" s="1423"/>
      <c r="CG6" s="1423"/>
      <c r="CH6" s="377"/>
      <c r="CI6" s="377"/>
      <c r="CJ6" s="377"/>
      <c r="CK6" s="377"/>
    </row>
    <row r="7" spans="1:94">
      <c r="A7" s="743"/>
      <c r="B7" s="391"/>
      <c r="C7" s="356"/>
      <c r="D7" s="391"/>
      <c r="E7" s="356"/>
      <c r="F7" s="391"/>
      <c r="G7" s="380"/>
      <c r="K7" s="357"/>
      <c r="S7" s="349"/>
      <c r="AH7" s="349"/>
      <c r="BQ7" s="655"/>
      <c r="BR7" s="655"/>
      <c r="BS7" s="655"/>
      <c r="BT7" s="742"/>
      <c r="BU7" s="655"/>
      <c r="BV7" s="655"/>
      <c r="BW7" s="655"/>
      <c r="BX7" s="655"/>
      <c r="BY7" s="745"/>
      <c r="BZ7" s="745"/>
      <c r="CA7" s="745"/>
      <c r="CB7" s="745"/>
      <c r="CC7" s="745"/>
    </row>
    <row r="8" spans="1:94">
      <c r="A8" s="349" t="s">
        <v>19431</v>
      </c>
      <c r="B8" s="391"/>
      <c r="C8" s="356"/>
      <c r="D8" s="391"/>
      <c r="E8" s="356"/>
      <c r="F8" s="391"/>
      <c r="G8" s="380"/>
      <c r="K8" s="357"/>
      <c r="S8" s="349" t="s">
        <v>19533</v>
      </c>
      <c r="AH8" s="460" t="s">
        <v>19536</v>
      </c>
      <c r="AW8" s="370" t="s">
        <v>19376</v>
      </c>
      <c r="BO8" s="349" t="s">
        <v>19439</v>
      </c>
    </row>
    <row r="9" spans="1:94">
      <c r="E9" s="380"/>
      <c r="G9" s="350" t="s">
        <v>233</v>
      </c>
      <c r="P9" s="354" t="s">
        <v>215</v>
      </c>
      <c r="S9" s="356"/>
      <c r="AE9" s="354"/>
      <c r="AH9" s="356"/>
      <c r="AK9" s="350" t="s">
        <v>233</v>
      </c>
      <c r="AT9" s="354" t="s">
        <v>215</v>
      </c>
      <c r="BO9" s="356"/>
      <c r="BR9" s="350" t="s">
        <v>233</v>
      </c>
      <c r="CA9" s="354" t="s">
        <v>215</v>
      </c>
    </row>
    <row r="10" spans="1:94">
      <c r="F10" s="353"/>
      <c r="G10" s="352">
        <v>1</v>
      </c>
      <c r="H10" s="352"/>
      <c r="I10" s="352">
        <v>2</v>
      </c>
      <c r="J10" s="352"/>
      <c r="K10" s="352">
        <v>3</v>
      </c>
      <c r="L10" s="352"/>
      <c r="M10" s="352">
        <v>4</v>
      </c>
      <c r="N10" s="352"/>
      <c r="O10" s="352">
        <v>5</v>
      </c>
      <c r="P10" s="352"/>
      <c r="Q10" s="353"/>
      <c r="R10" s="359"/>
      <c r="S10" s="356"/>
      <c r="U10" s="353"/>
      <c r="V10" s="352"/>
      <c r="W10" s="352"/>
      <c r="X10" s="352"/>
      <c r="Y10" s="352"/>
      <c r="Z10" s="352"/>
      <c r="AA10" s="352"/>
      <c r="AB10" s="352"/>
      <c r="AC10" s="352"/>
      <c r="AD10" s="352"/>
      <c r="AE10" s="353"/>
      <c r="AF10" s="353"/>
      <c r="AG10" s="359"/>
      <c r="AH10" s="356"/>
      <c r="AJ10" s="353"/>
      <c r="AK10" s="352">
        <v>1</v>
      </c>
      <c r="AL10" s="352"/>
      <c r="AM10" s="352">
        <v>2</v>
      </c>
      <c r="AN10" s="352"/>
      <c r="AO10" s="352">
        <v>3</v>
      </c>
      <c r="AP10" s="352"/>
      <c r="AQ10" s="352">
        <v>4</v>
      </c>
      <c r="AR10" s="352"/>
      <c r="AS10" s="352">
        <v>5</v>
      </c>
      <c r="AT10" s="353"/>
      <c r="AU10" s="353"/>
      <c r="AV10" s="359"/>
      <c r="BN10" s="359"/>
      <c r="BO10" s="356"/>
      <c r="BQ10" s="353"/>
      <c r="BR10" s="352">
        <v>1</v>
      </c>
      <c r="BS10" s="352"/>
      <c r="BT10" s="352">
        <v>2</v>
      </c>
      <c r="BU10" s="352"/>
      <c r="BV10" s="352">
        <v>3</v>
      </c>
      <c r="BW10" s="352"/>
      <c r="BX10" s="352">
        <v>4</v>
      </c>
      <c r="BY10" s="352"/>
      <c r="BZ10" s="352">
        <v>5</v>
      </c>
      <c r="CA10" s="353"/>
      <c r="CB10" s="353"/>
      <c r="CC10" s="353"/>
    </row>
    <row r="11" spans="1:94">
      <c r="F11" s="1382">
        <f>IF($O$4="NO",ROUNDUP(BQ11-0.00499,0),LEFT(BQ11,1)+(IF(BQ11-LEFT(BQ11,1)&lt;0.00499,0,IF(BQ11-LEFT(BQ11,1)-0.00499&lt;('1-Eng Inputs'!$C$39/'1-Eng Inputs'!$C$38),0.5,1))))</f>
        <v>3</v>
      </c>
      <c r="G11" s="353"/>
      <c r="H11" s="1382">
        <f>IF($O$4="NO",ROUNDUP(BS11-0.00499,0),LEFT(BS11,1)+(IF(BS11-LEFT(BS11,1)&lt;0.00499,0,IF(BS11-LEFT(BS11,1)-0.00499&lt;('1-Eng Inputs'!$C$39/'1-Eng Inputs'!$C$38),0.5,1))))</f>
        <v>5</v>
      </c>
      <c r="I11" s="353"/>
      <c r="J11" s="1382">
        <f>IF($O$4="NO",ROUNDUP(BU11-0.00499,0),LEFT(BU11,1)+(IF(BU11-LEFT(BU11,1)&lt;0.00499,0,IF(BU11-LEFT(BU11,1)-0.00499&lt;('1-Eng Inputs'!$C$39/'1-Eng Inputs'!$C$38),0.5,1))))</f>
        <v>5</v>
      </c>
      <c r="K11" s="353"/>
      <c r="L11" s="1382">
        <f>IF($O$4="NO",ROUNDUP(BW11-0.00499,0),LEFT(BW11,1)+(IF(BW11-LEFT(BW11,1)&lt;0.00499,0,IF(BW11-LEFT(BW11,1)-0.00499&lt;('1-Eng Inputs'!$C$39/'1-Eng Inputs'!$C$38),0.5,1))))</f>
        <v>4</v>
      </c>
      <c r="M11" s="353"/>
      <c r="N11" s="1382">
        <f>IF($O$4="NO",ROUNDUP(BY11-0.00499,0),LEFT(BY11,1)+(IF(BY11-LEFT(BY11,1)&lt;0.00499,0,IF(BY11-LEFT(BY11,1)-0.00499&lt;('1-Eng Inputs'!$C$39/'1-Eng Inputs'!$C$38),0.5,1))))</f>
        <v>4</v>
      </c>
      <c r="O11" s="353"/>
      <c r="P11" s="1382">
        <f>IF($O$4="NO",ROUNDUP(CA11-0.00499,0),LEFT(CA11,1)+(IF(CA11-LEFT(CA11,1)&lt;0.00499,0,IF(CA11-LEFT(CA11,1)-0.00499&lt;('1-Eng Inputs'!$C$39/'1-Eng Inputs'!$C$38),0.5,1))))</f>
        <v>4</v>
      </c>
      <c r="U11" s="1388">
        <f>IF(LEFT(F11,3)-LEFT(F11,1)=0.5,'1-Eng Inputs'!$C$39,0)+LEFT(F11,1)*'1-Eng Inputs'!$C$38</f>
        <v>96</v>
      </c>
      <c r="W11" s="1420">
        <f>IF(LEFT(H11,3)-LEFT(H11,1)=0.5,'1-Eng Inputs'!$C$39,0)+LEFT(H11,1)*'1-Eng Inputs'!$C$38</f>
        <v>160</v>
      </c>
      <c r="Y11" s="1420">
        <f>IF(LEFT(J11,3)-LEFT(J11,1)=0.5,'1-Eng Inputs'!$C$39,0)+LEFT(J11,1)*'1-Eng Inputs'!$C$38</f>
        <v>160</v>
      </c>
      <c r="AA11" s="1420">
        <f>IF(LEFT(L11,3)-LEFT(L11,1)=0.5,'1-Eng Inputs'!$C$39,0)+LEFT(L11,1)*'1-Eng Inputs'!$C$38</f>
        <v>128</v>
      </c>
      <c r="AC11" s="1421">
        <f>IF(LEFT(N11,3)-LEFT(N11,1)=0.5,'1-Eng Inputs'!$C$39,0)+LEFT(N11,1)*'1-Eng Inputs'!$C$38</f>
        <v>128</v>
      </c>
      <c r="AE11" s="1386">
        <f>IF(LEFT(P11,3)-LEFT(P11,1)=0.5,'1-Eng Inputs'!$C$39,0)+LEFT(P11,1)*'1-Eng Inputs'!$C$38</f>
        <v>128</v>
      </c>
      <c r="AJ11" s="1388">
        <f>AJ12*factors!$B$3</f>
        <v>2.5927895805359702</v>
      </c>
      <c r="AL11" s="1388">
        <f>AL12*factors!$B$3</f>
        <v>4.7811125788064066</v>
      </c>
      <c r="AN11" s="1388">
        <f>AN12*factors!$B$3</f>
        <v>4.3766459965408728</v>
      </c>
      <c r="AP11" s="1388">
        <f>AP12*factors!$B$3</f>
        <v>3.8985898942428574</v>
      </c>
      <c r="AR11" s="1386">
        <f>AR12*factors!$B$3</f>
        <v>3.420533791944842</v>
      </c>
      <c r="AT11" s="1386">
        <f>AR11</f>
        <v>3.420533791944842</v>
      </c>
      <c r="AW11" s="373"/>
      <c r="AX11" s="1396">
        <v>0.2857142857142857</v>
      </c>
      <c r="AZ11" s="1412">
        <v>0.2857142857142857</v>
      </c>
      <c r="BA11" s="1394">
        <v>0.33333333333333331</v>
      </c>
      <c r="BC11" s="1412">
        <v>0.33333333333333331</v>
      </c>
      <c r="BD11" s="1394">
        <v>0.33333333333333331</v>
      </c>
      <c r="BF11" s="1412">
        <v>0.33333333333333331</v>
      </c>
      <c r="BG11" s="1394">
        <v>0.33333333333333331</v>
      </c>
      <c r="BI11" s="1412">
        <v>0.33333333333333331</v>
      </c>
      <c r="BJ11" s="1394">
        <v>0.33333333333333331</v>
      </c>
      <c r="BL11" s="1396">
        <v>0.33333333333333331</v>
      </c>
      <c r="BM11" s="373"/>
      <c r="BQ11" s="1388">
        <f>AJ11</f>
        <v>2.5927895805359702</v>
      </c>
      <c r="BS11" s="1388">
        <f>AL11</f>
        <v>4.7811125788064066</v>
      </c>
      <c r="BU11" s="1388">
        <f>AN11</f>
        <v>4.3766459965408728</v>
      </c>
      <c r="BW11" s="1388">
        <f>AP11</f>
        <v>3.8985898942428574</v>
      </c>
      <c r="BY11" s="1386">
        <f>AR11</f>
        <v>3.420533791944842</v>
      </c>
      <c r="CA11" s="1386">
        <f>BY11</f>
        <v>3.420533791944842</v>
      </c>
      <c r="CB11" s="1426"/>
      <c r="CL11" s="361"/>
    </row>
    <row r="12" spans="1:94" ht="12.75" hidden="1" customHeight="1">
      <c r="F12" s="1383"/>
      <c r="G12" s="353"/>
      <c r="H12" s="1383"/>
      <c r="I12" s="353"/>
      <c r="J12" s="1383"/>
      <c r="K12" s="353"/>
      <c r="L12" s="1383"/>
      <c r="M12" s="353"/>
      <c r="N12" s="1383"/>
      <c r="O12" s="353"/>
      <c r="P12" s="1383"/>
      <c r="U12" s="1389"/>
      <c r="V12" s="1379"/>
      <c r="W12" s="1403"/>
      <c r="X12" s="1379"/>
      <c r="Y12" s="1403"/>
      <c r="Z12" s="1379"/>
      <c r="AA12" s="1403"/>
      <c r="AB12" s="1379"/>
      <c r="AC12" s="1405"/>
      <c r="AD12" s="1379"/>
      <c r="AE12" s="1387"/>
      <c r="AJ12" s="1389">
        <f>(AK13*AX11)/'1-Eng Inputs'!$C$38</f>
        <v>1.851992557525693</v>
      </c>
      <c r="AK12" s="1379"/>
      <c r="AL12" s="1389">
        <f>(AK13*AZ11+AM13*BA11)/'1-Eng Inputs'!$C$38</f>
        <v>3.4150804134331478</v>
      </c>
      <c r="AM12" s="1379"/>
      <c r="AN12" s="1389">
        <f>(AM13*BC11+AO13*BD11)/'1-Eng Inputs'!$C$38</f>
        <v>3.1261757118149096</v>
      </c>
      <c r="AO12" s="1379"/>
      <c r="AP12" s="1389">
        <f>(AO13*BF11+AQ13*BG11)/'1-Eng Inputs'!$C$38</f>
        <v>2.7847070673163268</v>
      </c>
      <c r="AQ12" s="1379"/>
      <c r="AR12" s="1387">
        <f>(AQ13*BI11+AS13*BJ11)/'1-Eng Inputs'!$C$38</f>
        <v>2.4432384228177444</v>
      </c>
      <c r="AS12" s="1379"/>
      <c r="AT12" s="1387">
        <f>AR12</f>
        <v>2.4432384228177444</v>
      </c>
      <c r="AW12" s="373"/>
      <c r="AX12" s="1397"/>
      <c r="AZ12" s="1413"/>
      <c r="BA12" s="1395"/>
      <c r="BC12" s="1413"/>
      <c r="BD12" s="1395"/>
      <c r="BF12" s="1413"/>
      <c r="BG12" s="1395"/>
      <c r="BI12" s="1413"/>
      <c r="BJ12" s="1395"/>
      <c r="BL12" s="1397"/>
      <c r="BM12" s="373"/>
      <c r="BQ12" s="1389">
        <f>BQ11/factors!$B$3</f>
        <v>1.851992557525693</v>
      </c>
      <c r="BR12" s="1379">
        <f>V13</f>
        <v>227.49243300726204</v>
      </c>
      <c r="BS12" s="1389">
        <f>BS11/factors!$B$3</f>
        <v>3.4150804134331478</v>
      </c>
      <c r="BT12" s="1379">
        <f>X13</f>
        <v>164.16926947582567</v>
      </c>
      <c r="BU12" s="1389">
        <f>BU11/factors!$B$3</f>
        <v>3.1261757118149092</v>
      </c>
      <c r="BV12" s="1379">
        <f>Z13</f>
        <v>166.87969182382028</v>
      </c>
      <c r="BW12" s="1389">
        <f>BW11/factors!$B$3</f>
        <v>2.7847070673163268</v>
      </c>
      <c r="BX12" s="1379">
        <f>AB13</f>
        <v>131.02499204747872</v>
      </c>
      <c r="BY12" s="1387">
        <f>BY11/factors!$B$3</f>
        <v>2.4432384228177444</v>
      </c>
      <c r="BZ12" s="1379">
        <f>AD13</f>
        <v>133.3433980354672</v>
      </c>
      <c r="CA12" s="1387">
        <f>BY12</f>
        <v>2.4432384228177444</v>
      </c>
      <c r="CB12" s="1426"/>
    </row>
    <row r="13" spans="1:94" ht="24.75" customHeight="1">
      <c r="D13" s="354" t="s">
        <v>234</v>
      </c>
      <c r="E13" s="352">
        <v>1</v>
      </c>
      <c r="F13" s="382"/>
      <c r="G13" s="378" t="s">
        <v>19424</v>
      </c>
      <c r="H13" s="382"/>
      <c r="I13" s="378" t="s">
        <v>19424</v>
      </c>
      <c r="J13" s="382"/>
      <c r="K13" s="378" t="s">
        <v>19424</v>
      </c>
      <c r="L13" s="382"/>
      <c r="M13" s="378" t="s">
        <v>19425</v>
      </c>
      <c r="N13" s="382"/>
      <c r="O13" s="378" t="s">
        <v>19425</v>
      </c>
      <c r="P13" s="382"/>
      <c r="S13" s="354"/>
      <c r="U13" s="451"/>
      <c r="V13" s="450">
        <f>(U11*(AK13*AX11/(AJ12*'1-Eng Inputs'!$C$38))/factors!$B$3+U14*(AK13*AX14/(AJ14*'1-Eng Inputs'!$C$38))+W11*(AK13*AZ11/(AL12*'1-Eng Inputs'!$C$38))/factors!$B$3+W14*(AK13*AZ14/(AL14*'1-Eng Inputs'!$C$38)))</f>
        <v>227.49243300726204</v>
      </c>
      <c r="W13" s="451"/>
      <c r="X13" s="450">
        <f>(W11*(AM13*BA11/(AL12*'1-Eng Inputs'!$C$38))/factors!$B$3+W14*(AM13*BA14/(AL14*'1-Eng Inputs'!$C$38))+Y11*(AM13*BC11/(AN12*'1-Eng Inputs'!$C$38))/factors!$B$3+Y14*(AM13*BC14/(AN14*'1-Eng Inputs'!$C$38)))</f>
        <v>164.16926947582567</v>
      </c>
      <c r="Y13" s="451"/>
      <c r="Z13" s="450">
        <f>(Y11*(AO13*BD11/(AN12*'1-Eng Inputs'!$C$38))/factors!$B$3+Y14*(AO13*BD14/(AN14*'1-Eng Inputs'!$C$38))+AA11*(AO13*BF11/(AP12*'1-Eng Inputs'!$C$38))/factors!$B$3+AA14*(AO13*BF14/(AP14*'1-Eng Inputs'!$C$38)))</f>
        <v>166.87969182382028</v>
      </c>
      <c r="AA13" s="451"/>
      <c r="AB13" s="450">
        <f>(AA11*(AQ13*BG11/(AP12*'1-Eng Inputs'!$C$38))/factors!$B$3+AA14*(AQ13*BG14/(AP14*'1-Eng Inputs'!$C$38))+AC11*(AQ13*BI11/(AR12*'1-Eng Inputs'!$C$38))/factors!$B$3+AC14*(AQ13*BI14/(AR14*'1-Eng Inputs'!$C$38)))</f>
        <v>131.02499204747872</v>
      </c>
      <c r="AC13" s="451"/>
      <c r="AD13" s="450">
        <f>(AC11*(AS13*BJ11/(AR12*'1-Eng Inputs'!$C$38))/factors!$B$3+AC14*(AS13*BJ14/(AR14*'1-Eng Inputs'!$C$38))+AE11*(AS13*BL11/(AT12*'1-Eng Inputs'!$C$38))/factors!$B$3+AE14*(AS13*BL14/(AT14*'1-Eng Inputs'!$C$38)))</f>
        <v>133.3433980354672</v>
      </c>
      <c r="AE13" s="451"/>
      <c r="AH13" s="354" t="s">
        <v>234</v>
      </c>
      <c r="AI13" s="353">
        <v>1</v>
      </c>
      <c r="AJ13" s="382"/>
      <c r="AK13" s="348">
        <f>'Land Calcs 10deg (lift)'!H6</f>
        <v>207.42316644287763</v>
      </c>
      <c r="AL13" s="382"/>
      <c r="AM13" s="348">
        <f>'Land Calcs 10deg (lift)'!I6</f>
        <v>150.05643416711567</v>
      </c>
      <c r="AN13" s="382"/>
      <c r="AO13" s="348">
        <f>AM13</f>
        <v>150.05643416711567</v>
      </c>
      <c r="AP13" s="382"/>
      <c r="AQ13" s="348">
        <f>'Land Calcs 10deg (lift)'!$I$11</f>
        <v>117.27544429525173</v>
      </c>
      <c r="AR13" s="382"/>
      <c r="AS13" s="348">
        <f>AQ13</f>
        <v>117.27544429525173</v>
      </c>
      <c r="AT13" s="382"/>
      <c r="AW13" s="373"/>
      <c r="AY13" s="381"/>
      <c r="BB13" s="381"/>
      <c r="BE13" s="381"/>
      <c r="BH13" s="381"/>
      <c r="BK13" s="381"/>
      <c r="BM13" s="373"/>
      <c r="BO13" s="354" t="s">
        <v>234</v>
      </c>
      <c r="BP13" s="353">
        <v>1</v>
      </c>
      <c r="BQ13" s="382"/>
      <c r="BR13" s="348">
        <f>AK13</f>
        <v>207.42316644287763</v>
      </c>
      <c r="BS13" s="382"/>
      <c r="BT13" s="348">
        <f t="shared" ref="BT13:BZ13" si="0">AM13</f>
        <v>150.05643416711567</v>
      </c>
      <c r="BU13" s="382"/>
      <c r="BV13" s="348">
        <f t="shared" si="0"/>
        <v>150.05643416711567</v>
      </c>
      <c r="BW13" s="382"/>
      <c r="BX13" s="348">
        <f t="shared" si="0"/>
        <v>117.27544429525173</v>
      </c>
      <c r="BY13" s="382"/>
      <c r="BZ13" s="348">
        <f t="shared" si="0"/>
        <v>117.27544429525173</v>
      </c>
      <c r="CA13" s="382"/>
      <c r="CC13" s="1426"/>
      <c r="CH13" s="357"/>
      <c r="CI13" s="357"/>
      <c r="CJ13" s="357"/>
    </row>
    <row r="14" spans="1:94">
      <c r="E14" s="352"/>
      <c r="F14" s="1382">
        <f>IF($O$4="NO",ROUNDUP(BQ14-0.00499,0),LEFT(BQ14,1)+(IF(BQ14-LEFT(BQ14,1)&lt;0.00499,0,IF(BQ14-LEFT(BQ14,1)-0.00499&lt;('1-Eng Inputs'!$C$39/'1-Eng Inputs'!$C$38),0.5,1))))</f>
        <v>4</v>
      </c>
      <c r="G14" s="353"/>
      <c r="H14" s="1382">
        <f>IF($O$4="NO",ROUNDUP(BS14-0.00499,0),LEFT(BS14,1)+(IF(BS14-LEFT(BS14,1)&lt;0.00499,0,IF(BS14-LEFT(BS14,1)-0.00499&lt;('1-Eng Inputs'!$C$39/'1-Eng Inputs'!$C$38),0.5,1))))</f>
        <v>4</v>
      </c>
      <c r="I14" s="353"/>
      <c r="J14" s="1382">
        <f>IF($O$4="NO",ROUNDUP(BU14-0.00499,0),LEFT(BU14,1)+(IF(BU14-LEFT(BU14,1)&lt;0.00499,0,IF(BU14-LEFT(BU14,1)-0.00499&lt;('1-Eng Inputs'!$C$39/'1-Eng Inputs'!$C$38),0.5,1))))</f>
        <v>4</v>
      </c>
      <c r="K14" s="353"/>
      <c r="L14" s="1382">
        <f>IF($O$4="NO",ROUNDUP(BW14-0.00499,0),LEFT(BW14,1)+(IF(BW14-LEFT(BW14,1)&lt;0.00499,0,IF(BW14-LEFT(BW14,1)-0.00499&lt;('1-Eng Inputs'!$C$39/'1-Eng Inputs'!$C$38),0.5,1))))</f>
        <v>4</v>
      </c>
      <c r="M14" s="353"/>
      <c r="N14" s="1382">
        <f>IF($O$4="NO",ROUNDUP(BY14-0.00499,0),LEFT(BY14,1)+(IF(BY14-LEFT(BY14,1)&lt;0.00499,0,IF(BY14-LEFT(BY14,1)-0.00499&lt;('1-Eng Inputs'!$C$39/'1-Eng Inputs'!$C$38),0.5,1))))</f>
        <v>3</v>
      </c>
      <c r="O14" s="353"/>
      <c r="P14" s="1382">
        <f>IF($O$4="NO",ROUNDUP(CA14-0.00499,0),LEFT(CA14,1)+(IF(CA14-LEFT(CA14,1)&lt;0.00499,0,IF(CA14-LEFT(CA14,1)-0.00499&lt;('1-Eng Inputs'!$C$39/'1-Eng Inputs'!$C$38),0.5,1))))</f>
        <v>3</v>
      </c>
      <c r="U14" s="1388">
        <f>IF(LEFT(F14,3)-LEFT(F14,1)=0.5,'1-Eng Inputs'!$C$39,0)+LEFT(F14,1)*'1-Eng Inputs'!$C$38</f>
        <v>128</v>
      </c>
      <c r="V14" s="350">
        <f>V13-BR12</f>
        <v>0</v>
      </c>
      <c r="W14" s="1402">
        <f>IF(LEFT(H14,3)-LEFT(H14,1)=0.5,'1-Eng Inputs'!$C$39,0)+LEFT(H14,1)*'1-Eng Inputs'!$C$38</f>
        <v>128</v>
      </c>
      <c r="X14" s="350">
        <f>X13-BT12</f>
        <v>0</v>
      </c>
      <c r="Y14" s="1402">
        <f>IF(LEFT(J14,3)-LEFT(J14,1)=0.5,'1-Eng Inputs'!$C$39,0)+LEFT(J14,1)*'1-Eng Inputs'!$C$38</f>
        <v>128</v>
      </c>
      <c r="Z14" s="350">
        <f>Z13-BV12</f>
        <v>0</v>
      </c>
      <c r="AA14" s="1402">
        <f>IF(LEFT(L14,3)-LEFT(L14,1)=0.5,'1-Eng Inputs'!$C$39,0)+LEFT(L14,1)*'1-Eng Inputs'!$C$38</f>
        <v>128</v>
      </c>
      <c r="AB14" s="350">
        <f>AB13-BX12</f>
        <v>0</v>
      </c>
      <c r="AC14" s="1404">
        <f>IF(LEFT(N14,3)-LEFT(N14,1)=0.5,'1-Eng Inputs'!$C$39,0)+LEFT(N14,1)*'1-Eng Inputs'!$C$38</f>
        <v>96</v>
      </c>
      <c r="AD14" s="350">
        <f>AD13-BZ12</f>
        <v>0</v>
      </c>
      <c r="AE14" s="1386">
        <f>IF(LEFT(P14,3)-LEFT(P14,1)=0.5,'1-Eng Inputs'!$C$39,0)+LEFT(P14,1)*'1-Eng Inputs'!$C$38</f>
        <v>96</v>
      </c>
      <c r="AJ14" s="1388">
        <f>(AK13*AX14+AK16*AX15)/'1-Eng Inputs'!$C$38</f>
        <v>3.6711818968070844</v>
      </c>
      <c r="AK14" s="375"/>
      <c r="AL14" s="1388">
        <f>(AK13*AZ14+AM13*BA14+AK16*AZ15+AM16*BA15)/'1-Eng Inputs'!$C$38</f>
        <v>3.6614000266008921</v>
      </c>
      <c r="AM14" s="375"/>
      <c r="AN14" s="1388">
        <f>(AM13*BC14+AO13*BD14+AM16*BC15+AO16*BD15)/'1-Eng Inputs'!$C$38</f>
        <v>3.6516181563947003</v>
      </c>
      <c r="AO14" s="375"/>
      <c r="AP14" s="1388">
        <f>(AO13*BF14+AQ13*BG14+AO16*BF15+AQ16*BG15)/'1-Eng Inputs'!$C$38</f>
        <v>3.2247823507714717</v>
      </c>
      <c r="AQ14" s="375"/>
      <c r="AR14" s="1386">
        <f>(AQ13*BI14+AS13*BJ14+AQ16*BI15+AS16*BJ15)/'1-Eng Inputs'!$C$38</f>
        <v>2.7979465451482435</v>
      </c>
      <c r="AS14" s="375"/>
      <c r="AT14" s="1386">
        <f>AR14</f>
        <v>2.7979465451482435</v>
      </c>
      <c r="AW14" s="373"/>
      <c r="AX14" s="1468">
        <v>0.2857142857142857</v>
      </c>
      <c r="AZ14" s="1471">
        <v>0.14285714285714285</v>
      </c>
      <c r="BA14" s="1473">
        <v>0.16666666666666666</v>
      </c>
      <c r="BC14" s="1471">
        <v>0.16666666666666666</v>
      </c>
      <c r="BD14" s="1473">
        <v>0.16666666666666666</v>
      </c>
      <c r="BF14" s="1471">
        <v>0.16666666666666666</v>
      </c>
      <c r="BG14" s="1473">
        <v>0.16666666666666666</v>
      </c>
      <c r="BI14" s="1471">
        <v>0.16666666666666666</v>
      </c>
      <c r="BJ14" s="1473">
        <v>0.16666666666666666</v>
      </c>
      <c r="BL14" s="1468">
        <f>1/6</f>
        <v>0.16666666666666666</v>
      </c>
      <c r="BM14" s="373"/>
      <c r="BQ14" s="1388">
        <f>AJ14</f>
        <v>3.6711818968070844</v>
      </c>
      <c r="BR14" s="375"/>
      <c r="BS14" s="1388">
        <f>AL14</f>
        <v>3.6614000266008921</v>
      </c>
      <c r="BT14" s="375"/>
      <c r="BU14" s="1388">
        <f>AN14</f>
        <v>3.6516181563947003</v>
      </c>
      <c r="BV14" s="375"/>
      <c r="BW14" s="1388">
        <f>AP14</f>
        <v>3.2247823507714717</v>
      </c>
      <c r="BX14" s="375"/>
      <c r="BY14" s="1386">
        <f>AR14</f>
        <v>2.7979465451482435</v>
      </c>
      <c r="BZ14" s="375"/>
      <c r="CA14" s="1386">
        <f>AT14</f>
        <v>2.7979465451482435</v>
      </c>
      <c r="CB14" s="1426"/>
      <c r="CH14" s="357"/>
      <c r="CI14" s="1426"/>
      <c r="CJ14" s="357"/>
    </row>
    <row r="15" spans="1:94" ht="12.75" hidden="1" customHeight="1">
      <c r="E15" s="352"/>
      <c r="F15" s="1383"/>
      <c r="G15" s="353"/>
      <c r="H15" s="1383"/>
      <c r="I15" s="353"/>
      <c r="J15" s="1383"/>
      <c r="K15" s="353"/>
      <c r="L15" s="1383"/>
      <c r="M15" s="353"/>
      <c r="N15" s="1383"/>
      <c r="O15" s="353"/>
      <c r="P15" s="1383"/>
      <c r="U15" s="1389"/>
      <c r="V15" s="1379"/>
      <c r="W15" s="1403"/>
      <c r="X15" s="1379"/>
      <c r="Y15" s="1403"/>
      <c r="Z15" s="1379"/>
      <c r="AA15" s="1403"/>
      <c r="AB15" s="1379"/>
      <c r="AC15" s="1405"/>
      <c r="AD15" s="1379"/>
      <c r="AE15" s="1387"/>
      <c r="AJ15" s="1389"/>
      <c r="AK15" s="1379"/>
      <c r="AL15" s="1389"/>
      <c r="AM15" s="1379"/>
      <c r="AN15" s="1389"/>
      <c r="AO15" s="1379"/>
      <c r="AP15" s="1389"/>
      <c r="AQ15" s="1379"/>
      <c r="AR15" s="1387"/>
      <c r="AS15" s="1379"/>
      <c r="AT15" s="1387"/>
      <c r="AW15" s="373"/>
      <c r="AX15" s="1469">
        <v>0.33333333333333331</v>
      </c>
      <c r="AZ15" s="1472">
        <v>0.16666666666666666</v>
      </c>
      <c r="BA15" s="1474">
        <v>0.25</v>
      </c>
      <c r="BC15" s="1472">
        <v>0.25</v>
      </c>
      <c r="BD15" s="1474">
        <v>0.25</v>
      </c>
      <c r="BF15" s="1472">
        <v>0.25</v>
      </c>
      <c r="BG15" s="1474">
        <v>0.25</v>
      </c>
      <c r="BI15" s="1472">
        <v>0.25</v>
      </c>
      <c r="BJ15" s="1474">
        <v>0.25</v>
      </c>
      <c r="BL15" s="1469">
        <v>0.25</v>
      </c>
      <c r="BM15" s="373"/>
      <c r="BQ15" s="1389"/>
      <c r="BR15" s="1379">
        <f>V16</f>
        <v>189.02132501747801</v>
      </c>
      <c r="BS15" s="1389"/>
      <c r="BT15" s="1379">
        <f>X16</f>
        <v>147.31697249943431</v>
      </c>
      <c r="BU15" s="1389"/>
      <c r="BV15" s="1379">
        <f>Z16</f>
        <v>154.52651907381946</v>
      </c>
      <c r="BW15" s="1389"/>
      <c r="BX15" s="1379">
        <f>AB16</f>
        <v>117.85451134059582</v>
      </c>
      <c r="BY15" s="1387"/>
      <c r="BZ15" s="1379">
        <f>AD16</f>
        <v>118.08517339310421</v>
      </c>
      <c r="CA15" s="1387"/>
      <c r="CB15" s="1426"/>
      <c r="CH15" s="357"/>
      <c r="CI15" s="1426"/>
      <c r="CJ15" s="357"/>
    </row>
    <row r="16" spans="1:94" ht="24.75" customHeight="1">
      <c r="D16" s="355"/>
      <c r="E16" s="352">
        <v>2</v>
      </c>
      <c r="F16" s="382"/>
      <c r="G16" s="378" t="s">
        <v>19424</v>
      </c>
      <c r="H16" s="382"/>
      <c r="I16" s="378" t="s">
        <v>19424</v>
      </c>
      <c r="J16" s="382"/>
      <c r="K16" s="378" t="s">
        <v>19424</v>
      </c>
      <c r="L16" s="382"/>
      <c r="M16" s="378" t="s">
        <v>19425</v>
      </c>
      <c r="N16" s="382"/>
      <c r="O16" s="378" t="s">
        <v>19425</v>
      </c>
      <c r="P16" s="382"/>
      <c r="S16" s="355"/>
      <c r="U16" s="382"/>
      <c r="V16" s="450">
        <f>(U14*(AK16*AX15/(AJ14*'1-Eng Inputs'!$C$38))+U17*(AK16*AX17/(AJ17*'1-Eng Inputs'!$C$38))+W14*(AK16*AZ15/(AL14*'1-Eng Inputs'!$C$38))+W17*(AK16*AZ17/(AL17*'1-Eng Inputs'!$C$38)))</f>
        <v>189.02132501747801</v>
      </c>
      <c r="W16" s="382"/>
      <c r="X16" s="450">
        <f>(W14*(AM16*BA15/(AL14*'1-Eng Inputs'!$C$38))+W17*(AM16*BA17/(AL17*'1-Eng Inputs'!$C$38))+Y14*(AM16*BC15/(AN14*'1-Eng Inputs'!$C$38))+Y17*(AM16*BC17/(AN17*'1-Eng Inputs'!$C$38)))</f>
        <v>147.31697249943431</v>
      </c>
      <c r="Y16" s="382"/>
      <c r="Z16" s="450">
        <f>(Y14*(AO16*BD15/(AN14*'1-Eng Inputs'!$C$38))+Y17*(AO16*BD17/(AN17*'1-Eng Inputs'!$C$38))+AA14*(AO16*BF15/(AP14*'1-Eng Inputs'!$C$38))+AA17*(AO16*BF17/(AP17*'1-Eng Inputs'!$C$38)))</f>
        <v>154.52651907381946</v>
      </c>
      <c r="AA16" s="382"/>
      <c r="AB16" s="450">
        <f>(AA14*(AQ16*BG15/(AP14*'1-Eng Inputs'!$C$38))+AA17*(AQ16*BG17/(AP17*'1-Eng Inputs'!$C$38))+AC14*(AQ16*BI15/(AR14*'1-Eng Inputs'!$C$38))+AC17*(AQ16*BI17/(AR17*'1-Eng Inputs'!$C$38)))</f>
        <v>117.85451134059582</v>
      </c>
      <c r="AC16" s="382"/>
      <c r="AD16" s="450">
        <f>(AC14*(AS16*BJ15/(AR14*'1-Eng Inputs'!$C$38))+AC17*(AS16*BJ17/(AR17*'1-Eng Inputs'!$C$38))+AE14*(AS16*BL15/(AT14*'1-Eng Inputs'!$C$38))+AE17*(AS16*BL17/(AT17*'1-Eng Inputs'!$C$38)))</f>
        <v>118.08517339310421</v>
      </c>
      <c r="AE16" s="382"/>
      <c r="AH16" s="355"/>
      <c r="AI16" s="353">
        <v>2</v>
      </c>
      <c r="AJ16" s="382"/>
      <c r="AK16" s="348">
        <f>'Land Calcs 10deg (lift)'!J6</f>
        <v>174.64217657101361</v>
      </c>
      <c r="AL16" s="382"/>
      <c r="AM16" s="348">
        <f>'Land Calcs 10deg (lift)'!K6</f>
        <v>133.6659392311837</v>
      </c>
      <c r="AN16" s="382"/>
      <c r="AO16" s="348">
        <f>AM16</f>
        <v>133.6659392311837</v>
      </c>
      <c r="AP16" s="382"/>
      <c r="AQ16" s="348">
        <f>'Land Calcs 10deg (lift)'!K11</f>
        <v>100.88494935931976</v>
      </c>
      <c r="AR16" s="382"/>
      <c r="AS16" s="348">
        <f>AQ16</f>
        <v>100.88494935931976</v>
      </c>
      <c r="AT16" s="382"/>
      <c r="AW16" s="373"/>
      <c r="AY16" s="381"/>
      <c r="BB16" s="381"/>
      <c r="BE16" s="381"/>
      <c r="BH16" s="381"/>
      <c r="BK16" s="381"/>
      <c r="BM16" s="373"/>
      <c r="BO16" s="355"/>
      <c r="BP16" s="353">
        <v>2</v>
      </c>
      <c r="BQ16" s="382"/>
      <c r="BR16" s="348">
        <f>AK16</f>
        <v>174.64217657101361</v>
      </c>
      <c r="BS16" s="382"/>
      <c r="BT16" s="348">
        <f t="shared" ref="BT16:BZ16" si="1">AM16</f>
        <v>133.6659392311837</v>
      </c>
      <c r="BU16" s="382"/>
      <c r="BV16" s="348">
        <f t="shared" si="1"/>
        <v>133.6659392311837</v>
      </c>
      <c r="BW16" s="382"/>
      <c r="BX16" s="348">
        <f t="shared" si="1"/>
        <v>100.88494935931976</v>
      </c>
      <c r="BY16" s="382"/>
      <c r="BZ16" s="348">
        <f t="shared" si="1"/>
        <v>100.88494935931976</v>
      </c>
      <c r="CA16" s="382"/>
      <c r="CC16" s="1426"/>
      <c r="CH16" s="357"/>
      <c r="CI16" s="357"/>
      <c r="CJ16" s="357"/>
      <c r="CK16" s="363"/>
      <c r="CL16" s="363"/>
    </row>
    <row r="17" spans="4:165">
      <c r="E17" s="352"/>
      <c r="F17" s="1382">
        <f>IF($O$4="NO",ROUNDUP(BQ17-0.00499,0),LEFT(BQ17,1)+(IF(BQ17-LEFT(BQ17,1)&lt;0.00499,0,IF(BQ17-LEFT(BQ17,1)-0.00499&lt;('1-Eng Inputs'!$C$39/'1-Eng Inputs'!$C$38),0.5,1))))</f>
        <v>4</v>
      </c>
      <c r="G17" s="353"/>
      <c r="H17" s="1382">
        <f>IF($O$4="NO",ROUNDUP(BS17-0.00499,0),LEFT(BS17,1)+(IF(BS17-LEFT(BS17,1)&lt;0.00499,0,IF(BS17-LEFT(BS17,1)-0.00499&lt;('1-Eng Inputs'!$C$39/'1-Eng Inputs'!$C$38),0.5,1))))</f>
        <v>4</v>
      </c>
      <c r="I17" s="353"/>
      <c r="J17" s="1382">
        <f>IF($O$4="NO",ROUNDUP(BU17-0.00499,0),LEFT(BU17,1)+(IF(BU17-LEFT(BU17,1)&lt;0.00499,0,IF(BU17-LEFT(BU17,1)-0.00499&lt;('1-Eng Inputs'!$C$39/'1-Eng Inputs'!$C$38),0.5,1))))</f>
        <v>5</v>
      </c>
      <c r="K17" s="353"/>
      <c r="L17" s="1382">
        <f>IF($O$4="NO",ROUNDUP(BW17-0.00499,0),LEFT(BW17,1)+(IF(BW17-LEFT(BW17,1)&lt;0.00499,0,IF(BW17-LEFT(BW17,1)-0.00499&lt;('1-Eng Inputs'!$C$39/'1-Eng Inputs'!$C$38),0.5,1))))</f>
        <v>4</v>
      </c>
      <c r="M17" s="353"/>
      <c r="N17" s="1382">
        <f>IF($O$4="NO",ROUNDUP(BY17-0.00499,0),LEFT(BY17,1)+(IF(BY17-LEFT(BY17,1)&lt;0.00499,0,IF(BY17-LEFT(BY17,1)-0.00499&lt;('1-Eng Inputs'!$C$39/'1-Eng Inputs'!$C$38),0.5,1))))</f>
        <v>4</v>
      </c>
      <c r="O17" s="353"/>
      <c r="P17" s="1382">
        <f>IF($O$4="NO",ROUNDUP(CA17-0.00499,0),LEFT(CA17,1)+(IF(CA17-LEFT(CA17,1)&lt;0.00499,0,IF(CA17-LEFT(CA17,1)-0.00499&lt;('1-Eng Inputs'!$C$39/'1-Eng Inputs'!$C$38),0.5,1))))</f>
        <v>4</v>
      </c>
      <c r="U17" s="1388">
        <f>IF(LEFT(F17,3)-LEFT(F17,1)=0.5,'1-Eng Inputs'!$C$39,0)+LEFT(F17,1)*'1-Eng Inputs'!$C$38</f>
        <v>128</v>
      </c>
      <c r="V17" s="350">
        <f>V16-BR15</f>
        <v>0</v>
      </c>
      <c r="W17" s="1402">
        <f>IF(LEFT(H17,3)-LEFT(H17,1)=0.5,'1-Eng Inputs'!$C$39,0)+LEFT(H17,1)*'1-Eng Inputs'!$C$38</f>
        <v>128</v>
      </c>
      <c r="X17" s="350">
        <f>X16-BT15</f>
        <v>0</v>
      </c>
      <c r="Y17" s="1402">
        <f>IF(LEFT(J17,3)-LEFT(J17,1)=0.5,'1-Eng Inputs'!$C$39,0)+LEFT(J17,1)*'1-Eng Inputs'!$C$38</f>
        <v>160</v>
      </c>
      <c r="Z17" s="350">
        <f>Z16-BV15</f>
        <v>0</v>
      </c>
      <c r="AA17" s="1402">
        <f>IF(LEFT(L17,3)-LEFT(L17,1)=0.5,'1-Eng Inputs'!$C$39,0)+LEFT(L17,1)*'1-Eng Inputs'!$C$38</f>
        <v>128</v>
      </c>
      <c r="AB17" s="350">
        <f>AB16-BX15</f>
        <v>0</v>
      </c>
      <c r="AC17" s="1404">
        <f>IF(LEFT(N17,3)-LEFT(N17,1)=0.5,'1-Eng Inputs'!$C$39,0)+LEFT(N17,1)*'1-Eng Inputs'!$C$38</f>
        <v>128</v>
      </c>
      <c r="AD17" s="350">
        <f>AD16-BZ15</f>
        <v>0</v>
      </c>
      <c r="AE17" s="1386">
        <f>IF(LEFT(P17,3)-LEFT(P17,1)=0.5,'1-Eng Inputs'!$C$39,0)+LEFT(P17,1)*'1-Eng Inputs'!$C$38</f>
        <v>128</v>
      </c>
      <c r="AJ17" s="1388">
        <f>(AK16*AX17+AK19*AX18)/'1-Eng Inputs'!$C$38</f>
        <v>3.6383786785627832</v>
      </c>
      <c r="AL17" s="1388">
        <f>(AK16*AZ17+AM16*BA17+AK19*AZ18+AM19*BA18)/'1-Eng Inputs'!$C$38</f>
        <v>3.9077196397686369</v>
      </c>
      <c r="AN17" s="1388">
        <f>(AM16*BC17+AO16*BD17+AM19*BC18+AO19*BD18)/'1-Eng Inputs'!$C$38</f>
        <v>4.1770606009744906</v>
      </c>
      <c r="AP17" s="1388">
        <f>(AO16*BF17+AQ16*BG17+AO19*BF18+AQ19*BG18)/'1-Eng Inputs'!$C$38</f>
        <v>3.6648576342266166</v>
      </c>
      <c r="AR17" s="1386">
        <f>(AQ16*BI17+AS16*BJ17+AQ19*BI18+AS19*BJ18)/'1-Eng Inputs'!$C$38</f>
        <v>3.1526546674787426</v>
      </c>
      <c r="AT17" s="1386">
        <f>AR17</f>
        <v>3.1526546674787426</v>
      </c>
      <c r="AW17" s="373"/>
      <c r="AX17" s="1468">
        <v>0.33333333333333331</v>
      </c>
      <c r="AZ17" s="1471">
        <v>0.16666666666666666</v>
      </c>
      <c r="BA17" s="1473">
        <v>0.25</v>
      </c>
      <c r="BC17" s="1471">
        <v>0.25</v>
      </c>
      <c r="BD17" s="1473">
        <v>0.25</v>
      </c>
      <c r="BF17" s="1471">
        <v>0.25</v>
      </c>
      <c r="BG17" s="1473">
        <v>0.25</v>
      </c>
      <c r="BI17" s="1471">
        <v>0.25</v>
      </c>
      <c r="BJ17" s="1473">
        <v>0.25</v>
      </c>
      <c r="BL17" s="1468">
        <v>0.25</v>
      </c>
      <c r="BM17" s="373"/>
      <c r="BQ17" s="1388">
        <f>AJ17</f>
        <v>3.6383786785627832</v>
      </c>
      <c r="BS17" s="1388">
        <f>AL17</f>
        <v>3.9077196397686369</v>
      </c>
      <c r="BU17" s="1388">
        <f>AN17</f>
        <v>4.1770606009744906</v>
      </c>
      <c r="BW17" s="1388">
        <f>AP17</f>
        <v>3.6648576342266166</v>
      </c>
      <c r="BY17" s="1386">
        <f>AR17</f>
        <v>3.1526546674787426</v>
      </c>
      <c r="CA17" s="1386">
        <f>AT17</f>
        <v>3.1526546674787426</v>
      </c>
      <c r="CB17" s="1426"/>
      <c r="CH17" s="357"/>
      <c r="CI17" s="364"/>
      <c r="CJ17" s="357"/>
    </row>
    <row r="18" spans="4:165" ht="12.75" hidden="1" customHeight="1">
      <c r="E18" s="352"/>
      <c r="F18" s="1383"/>
      <c r="G18" s="353"/>
      <c r="H18" s="1383"/>
      <c r="I18" s="353"/>
      <c r="J18" s="1383"/>
      <c r="K18" s="353"/>
      <c r="L18" s="1383"/>
      <c r="M18" s="353"/>
      <c r="N18" s="1383"/>
      <c r="O18" s="353"/>
      <c r="P18" s="1383"/>
      <c r="U18" s="1389"/>
      <c r="V18" s="1379"/>
      <c r="W18" s="1403"/>
      <c r="X18" s="1379"/>
      <c r="Y18" s="1403"/>
      <c r="Z18" s="1379"/>
      <c r="AA18" s="1403"/>
      <c r="AB18" s="1379"/>
      <c r="AC18" s="1405"/>
      <c r="AD18" s="1379"/>
      <c r="AE18" s="1387"/>
      <c r="AJ18" s="1389"/>
      <c r="AK18" s="1379"/>
      <c r="AL18" s="1389"/>
      <c r="AM18" s="1379"/>
      <c r="AN18" s="1389"/>
      <c r="AO18" s="1379"/>
      <c r="AP18" s="1389"/>
      <c r="AQ18" s="1379"/>
      <c r="AR18" s="1387"/>
      <c r="AS18" s="1379"/>
      <c r="AT18" s="1387"/>
      <c r="AW18" s="373"/>
      <c r="AX18" s="1469">
        <v>0.33333333333333331</v>
      </c>
      <c r="AZ18" s="1472">
        <v>0.16666666666666666</v>
      </c>
      <c r="BA18" s="1474">
        <v>0.25</v>
      </c>
      <c r="BC18" s="1472">
        <v>0.25</v>
      </c>
      <c r="BD18" s="1474">
        <v>0.25</v>
      </c>
      <c r="BF18" s="1472">
        <v>0.25</v>
      </c>
      <c r="BG18" s="1474">
        <v>0.25</v>
      </c>
      <c r="BI18" s="1472">
        <v>0.25</v>
      </c>
      <c r="BJ18" s="1474">
        <v>0.25</v>
      </c>
      <c r="BL18" s="1469">
        <v>0.25</v>
      </c>
      <c r="BM18" s="373"/>
      <c r="BQ18" s="1389"/>
      <c r="BR18" s="1379">
        <f>V19</f>
        <v>200.16352187412429</v>
      </c>
      <c r="BS18" s="1389"/>
      <c r="BT18" s="1379">
        <f>X19</f>
        <v>149.55467014069905</v>
      </c>
      <c r="BU18" s="1389"/>
      <c r="BV18" s="1379">
        <f>Z19</f>
        <v>152.15720903674384</v>
      </c>
      <c r="BW18" s="1389"/>
      <c r="BX18" s="1379">
        <f>AB19</f>
        <v>121.12348315016312</v>
      </c>
      <c r="BY18" s="1387"/>
      <c r="BZ18" s="1379">
        <f>AD19</f>
        <v>128</v>
      </c>
      <c r="CA18" s="1387"/>
      <c r="CB18" s="1426"/>
      <c r="CH18" s="357"/>
      <c r="CI18" s="364"/>
      <c r="CJ18" s="357"/>
    </row>
    <row r="19" spans="4:165" ht="24.75" customHeight="1">
      <c r="D19" s="355"/>
      <c r="E19" s="352">
        <v>3</v>
      </c>
      <c r="F19" s="382"/>
      <c r="G19" s="378" t="s">
        <v>19424</v>
      </c>
      <c r="H19" s="382"/>
      <c r="I19" s="378" t="s">
        <v>19424</v>
      </c>
      <c r="J19" s="382"/>
      <c r="K19" s="378" t="s">
        <v>19424</v>
      </c>
      <c r="L19" s="382"/>
      <c r="M19" s="378" t="s">
        <v>19425</v>
      </c>
      <c r="N19" s="382"/>
      <c r="O19" s="378" t="s">
        <v>19425</v>
      </c>
      <c r="P19" s="382"/>
      <c r="S19" s="355"/>
      <c r="U19" s="382"/>
      <c r="V19" s="450">
        <f>(U17*(AK19*AX18/(AJ17*'1-Eng Inputs'!$C$38))+U20*(AK19*AX20/(AJ20*'1-Eng Inputs'!$C$38))+W17*(AK19*AZ18/(AL17*'1-Eng Inputs'!$C$38))+W20*(AK19*AZ20/(AL20*'1-Eng Inputs'!$C$38)))</f>
        <v>200.16352187412429</v>
      </c>
      <c r="W19" s="382"/>
      <c r="X19" s="450">
        <f>(W17*(AM19*BA18/(AL17*'1-Eng Inputs'!$C$38))+W20*(AM19*BA20/(AL20*'1-Eng Inputs'!$C$38))+Y17*(AM19*BC18/(AN17*'1-Eng Inputs'!$C$38))+Y20*(AM19*BC20/(AN20*'1-Eng Inputs'!$C$38)))</f>
        <v>149.55467014069905</v>
      </c>
      <c r="Y19" s="382"/>
      <c r="Z19" s="450">
        <f>(Y17*(AO19*BD18/(AN17*'1-Eng Inputs'!$C$38))+Y20*(AO19*BD20/(AN20*'1-Eng Inputs'!$C$38))+AA17*(AO19*BF18/(AP17*'1-Eng Inputs'!$C$38))+AA20*(AO19*BF20/(AP20*'1-Eng Inputs'!$C$38)))</f>
        <v>152.15720903674384</v>
      </c>
      <c r="AA19" s="382"/>
      <c r="AB19" s="450">
        <f>(AA17*(AQ19*BG18/(AP17*'1-Eng Inputs'!$C$38))+AA20*(AQ19*BG20/(AP20*'1-Eng Inputs'!$C$38))+AC17*(AQ19*BI18/(AR17*'1-Eng Inputs'!$C$38))+AC20*(AQ19*BI20/(AR20*'1-Eng Inputs'!$C$38)))</f>
        <v>121.12348315016312</v>
      </c>
      <c r="AC19" s="382"/>
      <c r="AD19" s="450">
        <f>(AC17*(AS19*BJ18/(AR17*'1-Eng Inputs'!$C$38))+AC20*(AS19*BJ20/(AR20*'1-Eng Inputs'!$C$38))+AE17*(AS19*BL18/(AT17*'1-Eng Inputs'!$C$38))+AE20*(AS19*BL20/(AT20*'1-Eng Inputs'!$C$38)))</f>
        <v>128</v>
      </c>
      <c r="AE19" s="382"/>
      <c r="AH19" s="355"/>
      <c r="AI19" s="353">
        <v>3</v>
      </c>
      <c r="AJ19" s="382"/>
      <c r="AK19" s="348">
        <f>AK16</f>
        <v>174.64217657101361</v>
      </c>
      <c r="AL19" s="382"/>
      <c r="AM19" s="348">
        <f>AM16</f>
        <v>133.6659392311837</v>
      </c>
      <c r="AN19" s="382"/>
      <c r="AO19" s="348">
        <f>AM16</f>
        <v>133.6659392311837</v>
      </c>
      <c r="AP19" s="382"/>
      <c r="AQ19" s="348">
        <f>AQ16</f>
        <v>100.88494935931976</v>
      </c>
      <c r="AR19" s="382"/>
      <c r="AS19" s="348">
        <f>AQ16</f>
        <v>100.88494935931976</v>
      </c>
      <c r="AT19" s="382"/>
      <c r="AW19" s="373"/>
      <c r="AY19" s="381"/>
      <c r="BB19" s="381"/>
      <c r="BE19" s="381"/>
      <c r="BH19" s="381"/>
      <c r="BK19" s="381"/>
      <c r="BM19" s="373"/>
      <c r="BO19" s="355"/>
      <c r="BP19" s="353">
        <v>3</v>
      </c>
      <c r="BQ19" s="382"/>
      <c r="BR19" s="348">
        <f>AK19</f>
        <v>174.64217657101361</v>
      </c>
      <c r="BS19" s="382"/>
      <c r="BT19" s="348">
        <f t="shared" ref="BT19:BZ19" si="2">AM19</f>
        <v>133.6659392311837</v>
      </c>
      <c r="BU19" s="382"/>
      <c r="BV19" s="348">
        <f t="shared" si="2"/>
        <v>133.6659392311837</v>
      </c>
      <c r="BW19" s="382"/>
      <c r="BX19" s="348">
        <f t="shared" si="2"/>
        <v>100.88494935931976</v>
      </c>
      <c r="BY19" s="382"/>
      <c r="BZ19" s="348">
        <f t="shared" si="2"/>
        <v>100.88494935931976</v>
      </c>
      <c r="CA19" s="382"/>
      <c r="CC19" s="1426"/>
      <c r="CH19" s="1379"/>
      <c r="CI19" s="1379"/>
      <c r="CJ19" s="1379"/>
    </row>
    <row r="20" spans="4:165">
      <c r="D20" s="355"/>
      <c r="E20" s="352"/>
      <c r="F20" s="1382">
        <f>IF($O$4="NO",ROUNDUP(BQ20-0.00499,0),LEFT(BQ20,1)+(IF(BQ20-LEFT(BQ20,1)&lt;0.00499,0,IF(BQ20-LEFT(BQ20,1)-0.00499&lt;('1-Eng Inputs'!$C$39/'1-Eng Inputs'!$C$38),0.5,1))))</f>
        <v>4</v>
      </c>
      <c r="G20" s="353"/>
      <c r="H20" s="1382">
        <f>IF($O$4="NO",ROUNDUP(BS20-0.00499,0),LEFT(BS20,1)+(IF(BS20-LEFT(BS20,1)&lt;0.00499,0,IF(BS20-LEFT(BS20,1)-0.00499&lt;('1-Eng Inputs'!$C$39/'1-Eng Inputs'!$C$38),0.5,1))))</f>
        <v>4</v>
      </c>
      <c r="I20" s="353"/>
      <c r="J20" s="1382">
        <f>IF($O$4="NO",ROUNDUP(BU20-0.00499,0),LEFT(BU20,1)+(IF(BU20-LEFT(BU20,1)&lt;0.00499,0,IF(BU20-LEFT(BU20,1)-0.00499&lt;('1-Eng Inputs'!$C$39/'1-Eng Inputs'!$C$38),0.5,1))))</f>
        <v>4</v>
      </c>
      <c r="K20" s="353"/>
      <c r="L20" s="1382">
        <f>IF($O$4="NO",ROUNDUP(BW20-0.00499,0),LEFT(BW20,1)+(IF(BW20-LEFT(BW20,1)&lt;0.00499,0,IF(BW20-LEFT(BW20,1)-0.00499&lt;('1-Eng Inputs'!$C$39/'1-Eng Inputs'!$C$38),0.5,1))))</f>
        <v>4</v>
      </c>
      <c r="M20" s="353"/>
      <c r="N20" s="1382">
        <f>IF($O$4="NO",ROUNDUP(BY20-0.00499,0),LEFT(BY20,1)+(IF(BY20-LEFT(BY20,1)&lt;0.00499,0,IF(BY20-LEFT(BY20,1)-0.00499&lt;('1-Eng Inputs'!$C$39/'1-Eng Inputs'!$C$38),0.5,1))))</f>
        <v>4</v>
      </c>
      <c r="O20" s="353"/>
      <c r="P20" s="1382">
        <f>IF($O$4="NO",ROUNDUP(CA20-0.00499,0),LEFT(CA20,1)+(IF(CA20-LEFT(CA20,1)&lt;0.00499,0,IF(CA20-LEFT(CA20,1)-0.00499&lt;('1-Eng Inputs'!$C$39/'1-Eng Inputs'!$C$38),0.5,1))))</f>
        <v>4</v>
      </c>
      <c r="S20" s="355"/>
      <c r="U20" s="1388">
        <f>IF(LEFT(F20,3)-LEFT(F20,1)=0.5,'1-Eng Inputs'!$C$39,0)+LEFT(F20,1)*'1-Eng Inputs'!$C$38</f>
        <v>128</v>
      </c>
      <c r="V20" s="350">
        <f>V19-BR18</f>
        <v>0</v>
      </c>
      <c r="W20" s="1402">
        <f>IF(LEFT(H20,3)-LEFT(H20,1)=0.5,'1-Eng Inputs'!$C$39,0)+LEFT(H20,1)*'1-Eng Inputs'!$C$38</f>
        <v>128</v>
      </c>
      <c r="X20" s="350">
        <f>X19-BT18</f>
        <v>0</v>
      </c>
      <c r="Y20" s="1402">
        <f>IF(LEFT(J20,3)-LEFT(J20,1)=0.5,'1-Eng Inputs'!$C$39,0)+LEFT(J20,1)*'1-Eng Inputs'!$C$38</f>
        <v>128</v>
      </c>
      <c r="Z20" s="350">
        <f>Z19-BV18</f>
        <v>0</v>
      </c>
      <c r="AA20" s="1402">
        <f>IF(LEFT(L20,3)-LEFT(L20,1)=0.5,'1-Eng Inputs'!$C$39,0)+LEFT(L20,1)*'1-Eng Inputs'!$C$38</f>
        <v>128</v>
      </c>
      <c r="AB20" s="350">
        <f>AB19-BX18</f>
        <v>0</v>
      </c>
      <c r="AC20" s="1404">
        <f>IF(LEFT(N20,3)-LEFT(N20,1)=0.5,'1-Eng Inputs'!$C$39,0)+LEFT(N20,1)*'1-Eng Inputs'!$C$38</f>
        <v>128</v>
      </c>
      <c r="AD20" s="350">
        <f>AD19-BZ18</f>
        <v>0</v>
      </c>
      <c r="AE20" s="1386">
        <f>IF(LEFT(P20,3)-LEFT(P20,1)=0.5,'1-Eng Inputs'!$C$39,0)+LEFT(P20,1)*'1-Eng Inputs'!$C$38</f>
        <v>128</v>
      </c>
      <c r="AH20" s="355"/>
      <c r="AJ20" s="1388">
        <f>(AK19*AX20+AK22*AX21)/'1-Eng Inputs'!$C$38</f>
        <v>3.211542872939555</v>
      </c>
      <c r="AL20" s="1388">
        <f>(AK19*AZ20+AM19*BA20+AK22*AZ21+AM22*BA21)/'1-Eng Inputs'!$C$38</f>
        <v>3.4382002535830858</v>
      </c>
      <c r="AN20" s="1388">
        <f>(AM19*BC20+AO19*BD20+AM22*BC21+AO22*BD21)/'1-Eng Inputs'!$C$38</f>
        <v>3.6648576342266166</v>
      </c>
      <c r="AP20" s="1388">
        <f>(AO19*BF20+AQ19*BG20+AO22*BF21+AQ22*BG21)/'1-Eng Inputs'!$C$38</f>
        <v>3.4087561508526796</v>
      </c>
      <c r="AR20" s="1386">
        <f>(AQ19*BI20+AS19*BJ20+AQ22*BI21+AS22*BJ21)/'1-Eng Inputs'!$C$38</f>
        <v>3.1526546674787426</v>
      </c>
      <c r="AT20" s="1386">
        <f>AR20</f>
        <v>3.1526546674787426</v>
      </c>
      <c r="AW20" s="373"/>
      <c r="AX20" s="1468">
        <v>0.33333333333333331</v>
      </c>
      <c r="AZ20" s="1471">
        <v>0.16666666666666666</v>
      </c>
      <c r="BA20" s="1473">
        <v>0.25</v>
      </c>
      <c r="BC20" s="1471">
        <v>0.25</v>
      </c>
      <c r="BD20" s="1473">
        <v>0.25</v>
      </c>
      <c r="BF20" s="1471">
        <v>0.25</v>
      </c>
      <c r="BG20" s="1473">
        <v>0.25</v>
      </c>
      <c r="BI20" s="1471">
        <v>0.25</v>
      </c>
      <c r="BJ20" s="1473">
        <v>0.25</v>
      </c>
      <c r="BL20" s="1468">
        <v>0.25</v>
      </c>
      <c r="BM20" s="373"/>
      <c r="BO20" s="355"/>
      <c r="BQ20" s="1388">
        <f>AJ20</f>
        <v>3.211542872939555</v>
      </c>
      <c r="BS20" s="1388">
        <f>AL20</f>
        <v>3.4382002535830858</v>
      </c>
      <c r="BU20" s="1388">
        <f>AN20</f>
        <v>3.6648576342266166</v>
      </c>
      <c r="BW20" s="1388">
        <f>AP20</f>
        <v>3.4087561508526796</v>
      </c>
      <c r="BY20" s="1386">
        <f>AR20</f>
        <v>3.1526546674787426</v>
      </c>
      <c r="CA20" s="1386">
        <f>AT20</f>
        <v>3.1526546674787426</v>
      </c>
      <c r="CB20" s="1426"/>
      <c r="CH20" s="1379"/>
      <c r="CI20" s="1379"/>
      <c r="CJ20" s="1379"/>
    </row>
    <row r="21" spans="4:165" ht="12.75" hidden="1" customHeight="1">
      <c r="D21" s="355"/>
      <c r="E21" s="352"/>
      <c r="F21" s="1383"/>
      <c r="G21" s="353"/>
      <c r="H21" s="1383"/>
      <c r="I21" s="353"/>
      <c r="J21" s="1383"/>
      <c r="K21" s="353"/>
      <c r="L21" s="1383"/>
      <c r="M21" s="353"/>
      <c r="N21" s="1383"/>
      <c r="O21" s="353"/>
      <c r="P21" s="1383"/>
      <c r="S21" s="355"/>
      <c r="U21" s="1389"/>
      <c r="V21" s="1379"/>
      <c r="W21" s="1403"/>
      <c r="X21" s="1379"/>
      <c r="Y21" s="1403"/>
      <c r="Z21" s="1379"/>
      <c r="AA21" s="1403"/>
      <c r="AB21" s="1379"/>
      <c r="AC21" s="1405"/>
      <c r="AD21" s="1379"/>
      <c r="AE21" s="1387"/>
      <c r="AH21" s="355"/>
      <c r="AJ21" s="1389"/>
      <c r="AK21" s="1379"/>
      <c r="AL21" s="1389"/>
      <c r="AM21" s="1379"/>
      <c r="AN21" s="1389"/>
      <c r="AO21" s="1379"/>
      <c r="AP21" s="1389"/>
      <c r="AQ21" s="1379"/>
      <c r="AR21" s="1387"/>
      <c r="AS21" s="1379"/>
      <c r="AT21" s="1387"/>
      <c r="AW21" s="373"/>
      <c r="AX21" s="1469">
        <v>0.33333333333333331</v>
      </c>
      <c r="AZ21" s="1472">
        <v>0.16666666666666666</v>
      </c>
      <c r="BA21" s="1474">
        <v>0.25</v>
      </c>
      <c r="BC21" s="1472">
        <v>0.25</v>
      </c>
      <c r="BD21" s="1474">
        <v>0.25</v>
      </c>
      <c r="BF21" s="1472">
        <v>0.25</v>
      </c>
      <c r="BG21" s="1474">
        <v>0.25</v>
      </c>
      <c r="BI21" s="1472">
        <v>0.25</v>
      </c>
      <c r="BJ21" s="1474">
        <v>0.25</v>
      </c>
      <c r="BL21" s="1469">
        <v>0.25</v>
      </c>
      <c r="BM21" s="373"/>
      <c r="BO21" s="355"/>
      <c r="BQ21" s="1389"/>
      <c r="BR21" s="1379">
        <f>V22</f>
        <v>151.92446036582911</v>
      </c>
      <c r="BS21" s="1389"/>
      <c r="BT21" s="1379">
        <f>X22</f>
        <v>114.35734761934756</v>
      </c>
      <c r="BU21" s="1389"/>
      <c r="BV21" s="1379">
        <f>Z22</f>
        <v>121.12348315016312</v>
      </c>
      <c r="BW21" s="1389"/>
      <c r="BX21" s="1379">
        <f>AB22</f>
        <v>125.59582466292991</v>
      </c>
      <c r="BY21" s="1387"/>
      <c r="BZ21" s="1379">
        <f>AD22</f>
        <v>128</v>
      </c>
      <c r="CA21" s="1387"/>
      <c r="CB21" s="1426"/>
      <c r="CG21" s="365"/>
      <c r="CH21" s="366"/>
      <c r="CI21" s="1379"/>
      <c r="CJ21" s="366"/>
      <c r="CK21" s="365"/>
      <c r="CL21" s="365"/>
    </row>
    <row r="22" spans="4:165" ht="24.75" customHeight="1">
      <c r="D22" s="355"/>
      <c r="E22" s="352">
        <v>4</v>
      </c>
      <c r="F22" s="382"/>
      <c r="G22" s="378" t="s">
        <v>19426</v>
      </c>
      <c r="H22" s="382"/>
      <c r="I22" s="378" t="s">
        <v>19426</v>
      </c>
      <c r="J22" s="382"/>
      <c r="K22" s="378" t="s">
        <v>19426</v>
      </c>
      <c r="L22" s="382"/>
      <c r="M22" s="378" t="s">
        <v>199</v>
      </c>
      <c r="N22" s="382"/>
      <c r="O22" s="378" t="s">
        <v>199</v>
      </c>
      <c r="P22" s="382"/>
      <c r="S22" s="355"/>
      <c r="U22" s="382"/>
      <c r="V22" s="450">
        <f>(U20*(AK22*AX21/(AJ20*'1-Eng Inputs'!$C$38))+U23*(AK22*AX23/(AJ23*'1-Eng Inputs'!$C$38))+W20*(AK22*AZ21/(AL20*'1-Eng Inputs'!$C$38))+W23*(AK22*AZ23/(AL23*'1-Eng Inputs'!$C$38)))</f>
        <v>151.92446036582911</v>
      </c>
      <c r="W22" s="382"/>
      <c r="X22" s="450">
        <f>(W20*(AM22*BA21/(AL20*'1-Eng Inputs'!$C$38))+W23*(AM22*BA23/(AL23*'1-Eng Inputs'!$C$38))+Y20*(AM22*BC21/(AN20*'1-Eng Inputs'!$C$38))+Y23*(AM22*BC23/(AN23*'1-Eng Inputs'!$C$38)))</f>
        <v>114.35734761934756</v>
      </c>
      <c r="Y22" s="382"/>
      <c r="Z22" s="450">
        <f>(Y20*(AO22*BD21/(AN20*'1-Eng Inputs'!$C$38))+Y23*(AO22*BD23/(AN23*'1-Eng Inputs'!$C$38))+AA20*(AO22*BF21/(AP20*'1-Eng Inputs'!$C$38))+AA23*(AO22*BF23/(AP23*'1-Eng Inputs'!$C$38)))</f>
        <v>121.12348315016312</v>
      </c>
      <c r="AA22" s="382"/>
      <c r="AB22" s="450">
        <f>(AA20*(AQ22*BG21/(AP20*'1-Eng Inputs'!$C$38))+AA23*(AQ22*BG23/(AP23*'1-Eng Inputs'!$C$38))+AC20*(AQ22*BI21/(AR20*'1-Eng Inputs'!$C$38))+AC23*(AQ22*BI23/(AR23*'1-Eng Inputs'!$C$38)))</f>
        <v>125.59582466292991</v>
      </c>
      <c r="AC22" s="382"/>
      <c r="AD22" s="450">
        <f>(AC20*(AS22*BJ21/(AR20*'1-Eng Inputs'!$C$38))+AC23*(AS22*BJ23/(AR23*'1-Eng Inputs'!$C$38))+AE20*(AS22*BL21/(AT20*'1-Eng Inputs'!$C$38))+AE23*(AS22*BL23/(AT23*'1-Eng Inputs'!$C$38)))</f>
        <v>128</v>
      </c>
      <c r="AE22" s="382"/>
      <c r="AH22" s="355"/>
      <c r="AI22" s="353">
        <v>4</v>
      </c>
      <c r="AJ22" s="382"/>
      <c r="AK22" s="348">
        <f>'Land Calcs 10deg (lift)'!J16</f>
        <v>133.6659392311837</v>
      </c>
      <c r="AL22" s="382"/>
      <c r="AM22" s="348">
        <f>'Land Calcs 10deg (lift)'!K16</f>
        <v>100.88494935931976</v>
      </c>
      <c r="AN22" s="382"/>
      <c r="AO22" s="348">
        <f>AM22</f>
        <v>100.88494935931976</v>
      </c>
      <c r="AP22" s="382"/>
      <c r="AQ22" s="348">
        <f>'Land Calcs 10deg (lift)'!K21</f>
        <v>100.88494935931976</v>
      </c>
      <c r="AR22" s="382"/>
      <c r="AS22" s="348">
        <f>AQ22</f>
        <v>100.88494935931976</v>
      </c>
      <c r="AT22" s="382"/>
      <c r="AW22" s="373"/>
      <c r="AY22" s="381"/>
      <c r="BB22" s="381"/>
      <c r="BE22" s="381"/>
      <c r="BH22" s="381"/>
      <c r="BK22" s="381"/>
      <c r="BM22" s="373"/>
      <c r="BO22" s="355"/>
      <c r="BP22" s="353">
        <v>4</v>
      </c>
      <c r="BQ22" s="382"/>
      <c r="BR22" s="348">
        <f>AK22</f>
        <v>133.6659392311837</v>
      </c>
      <c r="BS22" s="382"/>
      <c r="BT22" s="348">
        <f t="shared" ref="BT22:BZ22" si="3">AM22</f>
        <v>100.88494935931976</v>
      </c>
      <c r="BU22" s="382"/>
      <c r="BV22" s="348">
        <f t="shared" si="3"/>
        <v>100.88494935931976</v>
      </c>
      <c r="BW22" s="382"/>
      <c r="BX22" s="348">
        <f t="shared" si="3"/>
        <v>100.88494935931976</v>
      </c>
      <c r="BY22" s="382"/>
      <c r="BZ22" s="348">
        <f t="shared" si="3"/>
        <v>100.88494935931976</v>
      </c>
      <c r="CA22" s="382"/>
      <c r="CC22" s="1426"/>
      <c r="CG22" s="361"/>
      <c r="CH22" s="1379"/>
      <c r="CI22" s="1379"/>
      <c r="CJ22" s="1379"/>
      <c r="CK22" s="361"/>
      <c r="CL22" s="361"/>
    </row>
    <row r="23" spans="4:165">
      <c r="D23" s="355"/>
      <c r="E23" s="352"/>
      <c r="F23" s="1382">
        <f>IF($O$4="NO",ROUNDUP(BQ23-0.00499,0),LEFT(BQ23,1)+(IF(BQ23-LEFT(BQ23,1)&lt;0.00499,0,IF(BQ23-LEFT(BQ23,1)-0.00499&lt;('1-Eng Inputs'!$C$39/'1-Eng Inputs'!$C$38),0.5,1))))</f>
        <v>3</v>
      </c>
      <c r="G23" s="353"/>
      <c r="H23" s="1382">
        <f>IF($O$4="NO",ROUNDUP(BS23-0.00499,0),LEFT(BS23,1)+(IF(BS23-LEFT(BS23,1)&lt;0.00499,0,IF(BS23-LEFT(BS23,1)-0.00499&lt;('1-Eng Inputs'!$C$39/'1-Eng Inputs'!$C$38),0.5,1))))</f>
        <v>3</v>
      </c>
      <c r="I23" s="353"/>
      <c r="J23" s="1382">
        <f>IF($O$4="NO",ROUNDUP(BU23-0.00499,0),LEFT(BU23,1)+(IF(BU23-LEFT(BU23,1)&lt;0.00499,0,IF(BU23-LEFT(BU23,1)-0.00499&lt;('1-Eng Inputs'!$C$39/'1-Eng Inputs'!$C$38),0.5,1))))</f>
        <v>4</v>
      </c>
      <c r="K23" s="353"/>
      <c r="L23" s="1382">
        <f>IF($O$4="NO",ROUNDUP(BW23-0.00499,0),LEFT(BW23,1)+(IF(BW23-LEFT(BW23,1)&lt;0.00499,0,IF(BW23-LEFT(BW23,1)-0.00499&lt;('1-Eng Inputs'!$C$39/'1-Eng Inputs'!$C$38),0.5,1))))</f>
        <v>4</v>
      </c>
      <c r="M23" s="353"/>
      <c r="N23" s="1382">
        <f>IF($O$4="NO",ROUNDUP(BY23-0.00499,0),LEFT(BY23,1)+(IF(BY23-LEFT(BY23,1)&lt;0.00499,0,IF(BY23-LEFT(BY23,1)-0.00499&lt;('1-Eng Inputs'!$C$39/'1-Eng Inputs'!$C$38),0.5,1))))</f>
        <v>4</v>
      </c>
      <c r="O23" s="353"/>
      <c r="P23" s="1382">
        <f>IF($O$4="NO",ROUNDUP(CA23-0.00499,0),LEFT(CA23,1)+(IF(CA23-LEFT(CA23,1)&lt;0.00499,0,IF(CA23-LEFT(CA23,1)-0.00499&lt;('1-Eng Inputs'!$C$39/'1-Eng Inputs'!$C$38),0.5,1))))</f>
        <v>4</v>
      </c>
      <c r="S23" s="355"/>
      <c r="U23" s="1392">
        <f>IF(LEFT(F23,3)-LEFT(F23,1)=0.5,'1-Eng Inputs'!$C$39,0)+LEFT(F23,1)*'1-Eng Inputs'!$C$38</f>
        <v>96</v>
      </c>
      <c r="V23" s="350">
        <f>V22-BR21</f>
        <v>0</v>
      </c>
      <c r="W23" s="1410">
        <f>IF(LEFT(H23,3)-LEFT(H23,1)=0.5,'1-Eng Inputs'!$C$39,0)+LEFT(H23,1)*'1-Eng Inputs'!$C$38</f>
        <v>96</v>
      </c>
      <c r="X23" s="350">
        <f>X22-BT21</f>
        <v>0</v>
      </c>
      <c r="Y23" s="1410">
        <f>IF(LEFT(J23,3)-LEFT(J23,1)=0.5,'1-Eng Inputs'!$C$39,0)+LEFT(J23,1)*'1-Eng Inputs'!$C$38</f>
        <v>128</v>
      </c>
      <c r="Z23" s="350">
        <f>Z22-BV21</f>
        <v>0</v>
      </c>
      <c r="AA23" s="1410">
        <f>IF(LEFT(L23,3)-LEFT(L23,1)=0.5,'1-Eng Inputs'!$C$39,0)+LEFT(L23,1)*'1-Eng Inputs'!$C$38</f>
        <v>128</v>
      </c>
      <c r="AB23" s="350">
        <f>AB22-BX21</f>
        <v>0</v>
      </c>
      <c r="AC23" s="1406">
        <f>IF(LEFT(N23,3)-LEFT(N23,1)=0.5,'1-Eng Inputs'!$C$39,0)+LEFT(N23,1)*'1-Eng Inputs'!$C$38</f>
        <v>128</v>
      </c>
      <c r="AD23" s="350">
        <f>AD22-BZ21</f>
        <v>0</v>
      </c>
      <c r="AE23" s="1398">
        <f>IF(LEFT(P23,3)-LEFT(P23,1)=0.5,'1-Eng Inputs'!$C$39,0)+LEFT(P23,1)*'1-Eng Inputs'!$C$38</f>
        <v>128</v>
      </c>
      <c r="AH23" s="355"/>
      <c r="AJ23" s="1392">
        <f>(AK22*AX23+AK25*AX24)/'1-Eng Inputs'!$C$38</f>
        <v>2.7847070673163268</v>
      </c>
      <c r="AL23" s="1392">
        <f>(AK22*AZ23+AM22*BA23+AK25*AZ24+AM25*BA24)/'1-Eng Inputs'!$C$38</f>
        <v>2.9686808673975347</v>
      </c>
      <c r="AN23" s="1392">
        <f>(AM22*BC23+AO22*BD23+AM25*BC24+AO25*BD24)/'1-Eng Inputs'!$C$38</f>
        <v>3.1526546674787426</v>
      </c>
      <c r="AP23" s="1392">
        <f>(AO22*BF23+AQ22*BG23+AO25*BF24+AQ25*BG24)/'1-Eng Inputs'!$C$38</f>
        <v>3.1526546674787426</v>
      </c>
      <c r="AR23" s="1398">
        <f>(AQ22*BI23+AS22*BJ23+AQ25*BI24+AS25*BJ24)/'1-Eng Inputs'!$C$38</f>
        <v>3.1526546674787426</v>
      </c>
      <c r="AT23" s="1398">
        <f>AR23</f>
        <v>3.1526546674787426</v>
      </c>
      <c r="AW23" s="373"/>
      <c r="AX23" s="1468">
        <v>0.33333333333333331</v>
      </c>
      <c r="AZ23" s="1471">
        <v>0.16666666666666666</v>
      </c>
      <c r="BA23" s="1473">
        <v>0.25</v>
      </c>
      <c r="BC23" s="1471">
        <v>0.25</v>
      </c>
      <c r="BD23" s="1473">
        <v>0.25</v>
      </c>
      <c r="BF23" s="1471">
        <v>0.25</v>
      </c>
      <c r="BG23" s="1473">
        <v>0.25</v>
      </c>
      <c r="BI23" s="1471">
        <v>0.25</v>
      </c>
      <c r="BJ23" s="1473">
        <v>0.25</v>
      </c>
      <c r="BL23" s="1468">
        <v>0.25</v>
      </c>
      <c r="BM23" s="373"/>
      <c r="BO23" s="355"/>
      <c r="BQ23" s="1392">
        <f>AJ23</f>
        <v>2.7847070673163268</v>
      </c>
      <c r="BS23" s="1392">
        <f>AL23</f>
        <v>2.9686808673975347</v>
      </c>
      <c r="BU23" s="1392">
        <f>AN23</f>
        <v>3.1526546674787426</v>
      </c>
      <c r="BW23" s="1392">
        <f>AP23</f>
        <v>3.1526546674787426</v>
      </c>
      <c r="BY23" s="1398">
        <f>AR23</f>
        <v>3.1526546674787426</v>
      </c>
      <c r="CA23" s="1398">
        <f>AT23</f>
        <v>3.1526546674787426</v>
      </c>
      <c r="CB23" s="1426"/>
      <c r="CH23" s="1379"/>
      <c r="CI23" s="1379"/>
      <c r="CJ23" s="1379"/>
    </row>
    <row r="24" spans="4:165" ht="12.75" hidden="1" customHeight="1">
      <c r="D24" s="355"/>
      <c r="E24" s="352"/>
      <c r="F24" s="1383"/>
      <c r="G24" s="353"/>
      <c r="H24" s="1383"/>
      <c r="I24" s="353"/>
      <c r="J24" s="1383"/>
      <c r="K24" s="353"/>
      <c r="L24" s="1383"/>
      <c r="M24" s="353"/>
      <c r="N24" s="1383"/>
      <c r="O24" s="353"/>
      <c r="P24" s="1383"/>
      <c r="S24" s="355"/>
      <c r="U24" s="1393"/>
      <c r="V24" s="1379"/>
      <c r="W24" s="1411"/>
      <c r="X24" s="1379"/>
      <c r="Y24" s="1411"/>
      <c r="Z24" s="1379"/>
      <c r="AA24" s="1411"/>
      <c r="AB24" s="1379"/>
      <c r="AC24" s="1407"/>
      <c r="AD24" s="1379"/>
      <c r="AE24" s="1399"/>
      <c r="AH24" s="355"/>
      <c r="AJ24" s="1393"/>
      <c r="AK24" s="1379"/>
      <c r="AL24" s="1393"/>
      <c r="AM24" s="1379"/>
      <c r="AN24" s="1393"/>
      <c r="AO24" s="1379"/>
      <c r="AP24" s="1393"/>
      <c r="AQ24" s="1379"/>
      <c r="AR24" s="1399"/>
      <c r="AS24" s="1379"/>
      <c r="AT24" s="1399"/>
      <c r="AW24" s="373"/>
      <c r="AX24" s="1469">
        <v>0.33333333333333331</v>
      </c>
      <c r="AZ24" s="1472">
        <v>0.16666666666666666</v>
      </c>
      <c r="BA24" s="1474">
        <v>0.25</v>
      </c>
      <c r="BC24" s="1472">
        <v>0.25</v>
      </c>
      <c r="BD24" s="1474">
        <v>0.25</v>
      </c>
      <c r="BF24" s="1472">
        <v>0.25</v>
      </c>
      <c r="BG24" s="1474">
        <v>0.25</v>
      </c>
      <c r="BI24" s="1472">
        <v>0.25</v>
      </c>
      <c r="BJ24" s="1474">
        <v>0.25</v>
      </c>
      <c r="BL24" s="1469">
        <v>0.25</v>
      </c>
      <c r="BM24" s="373"/>
      <c r="BO24" s="355"/>
      <c r="BQ24" s="1393"/>
      <c r="BR24" s="1379">
        <f>V25</f>
        <v>141.02536486798618</v>
      </c>
      <c r="BS24" s="1393"/>
      <c r="BT24" s="1379">
        <f>X25</f>
        <v>114.97463513201382</v>
      </c>
      <c r="BU24" s="1393"/>
      <c r="BV24" s="1379">
        <f>Z25</f>
        <v>128</v>
      </c>
      <c r="BW24" s="1393"/>
      <c r="BX24" s="1379">
        <f>AB25</f>
        <v>128</v>
      </c>
      <c r="BY24" s="1399"/>
      <c r="BZ24" s="1379">
        <f>AD25</f>
        <v>128</v>
      </c>
      <c r="CA24" s="1399"/>
      <c r="CB24" s="1426"/>
      <c r="CH24" s="1379"/>
      <c r="CI24" s="1379"/>
      <c r="CJ24" s="1379"/>
    </row>
    <row r="25" spans="4:165" ht="24.75" customHeight="1">
      <c r="D25" s="355"/>
      <c r="E25" s="352">
        <v>5</v>
      </c>
      <c r="F25" s="382"/>
      <c r="G25" s="378" t="s">
        <v>19426</v>
      </c>
      <c r="H25" s="382"/>
      <c r="I25" s="378" t="s">
        <v>19426</v>
      </c>
      <c r="J25" s="382"/>
      <c r="K25" s="378" t="s">
        <v>19426</v>
      </c>
      <c r="L25" s="382"/>
      <c r="M25" s="378" t="s">
        <v>199</v>
      </c>
      <c r="N25" s="382"/>
      <c r="O25" s="378" t="s">
        <v>199</v>
      </c>
      <c r="P25" s="382"/>
      <c r="S25" s="355"/>
      <c r="U25" s="382"/>
      <c r="V25" s="450">
        <f>(U23*(AK25*AX24/(AJ23*'1-Eng Inputs'!$C$38))+U26*(AK25*AX26/(AJ26*'1-Eng Inputs'!$C$38))+W23*(AK25*AZ24/(AL23*'1-Eng Inputs'!$C$38))+W26*(AK25*AZ26/(AL26*'1-Eng Inputs'!$C$38)))</f>
        <v>141.02536486798618</v>
      </c>
      <c r="W25" s="382"/>
      <c r="X25" s="450">
        <f>(W23*(AM25*BA24/(AL23*'1-Eng Inputs'!$C$38))+W26*(AM25*BA26/(AL26*'1-Eng Inputs'!$C$38))+Y23*(AM25*BC24/(AN23*'1-Eng Inputs'!$C$38))+Y26*(AM25*BC26/(AN26*'1-Eng Inputs'!$C$38)))</f>
        <v>114.97463513201382</v>
      </c>
      <c r="Y25" s="382"/>
      <c r="Z25" s="450">
        <f>(Y23*(AO25*BD24/(AN23*'1-Eng Inputs'!$C$38))+Y26*(AO25*BD26/(AN26*'1-Eng Inputs'!$C$38))+AA23*(AO25*BF24/(AP23*'1-Eng Inputs'!$C$38))+AA26*(AO25*BF26/(AP26*'1-Eng Inputs'!$C$38)))</f>
        <v>128</v>
      </c>
      <c r="AA25" s="382"/>
      <c r="AB25" s="450">
        <f>(AA23*(AQ25*BG24/(AP23*'1-Eng Inputs'!$C$38))+AA26*(AQ25*BG26/(AP26*'1-Eng Inputs'!$C$38))+AC23*(AQ25*BI24/(AR23*'1-Eng Inputs'!$C$38))+AC26*(AQ25*BI26/(AR26*'1-Eng Inputs'!$C$38)))</f>
        <v>128</v>
      </c>
      <c r="AC25" s="382"/>
      <c r="AD25" s="450">
        <f>(AC23*(AS25*BJ24/(AR23*'1-Eng Inputs'!$C$38))+AC26*(AS25*BJ26/(AR26*'1-Eng Inputs'!$C$38))+AE23*(AS25*BL24/(AT23*'1-Eng Inputs'!$C$38))+AE26*(AS25*BL26/(AT26*'1-Eng Inputs'!$C$38)))</f>
        <v>128</v>
      </c>
      <c r="AE25" s="382"/>
      <c r="AH25" s="355"/>
      <c r="AI25" s="353">
        <v>5</v>
      </c>
      <c r="AJ25" s="382"/>
      <c r="AK25" s="348">
        <f>AK22</f>
        <v>133.6659392311837</v>
      </c>
      <c r="AL25" s="382"/>
      <c r="AM25" s="348">
        <f>AM22</f>
        <v>100.88494935931976</v>
      </c>
      <c r="AN25" s="382"/>
      <c r="AO25" s="348">
        <f>AM22</f>
        <v>100.88494935931976</v>
      </c>
      <c r="AP25" s="382"/>
      <c r="AQ25" s="348">
        <f>AQ22</f>
        <v>100.88494935931976</v>
      </c>
      <c r="AR25" s="382"/>
      <c r="AS25" s="348">
        <f>AQ25</f>
        <v>100.88494935931976</v>
      </c>
      <c r="AT25" s="382"/>
      <c r="AW25" s="373"/>
      <c r="AY25" s="381"/>
      <c r="BB25" s="381"/>
      <c r="BE25" s="381"/>
      <c r="BH25" s="381"/>
      <c r="BK25" s="381"/>
      <c r="BM25" s="373"/>
      <c r="BO25" s="355"/>
      <c r="BP25" s="353">
        <v>5</v>
      </c>
      <c r="BQ25" s="382"/>
      <c r="BR25" s="348">
        <f>AK25</f>
        <v>133.6659392311837</v>
      </c>
      <c r="BS25" s="382"/>
      <c r="BT25" s="348">
        <f t="shared" ref="BT25:BZ25" si="4">AM25</f>
        <v>100.88494935931976</v>
      </c>
      <c r="BU25" s="382"/>
      <c r="BV25" s="348">
        <f t="shared" si="4"/>
        <v>100.88494935931976</v>
      </c>
      <c r="BW25" s="382"/>
      <c r="BX25" s="348">
        <f t="shared" si="4"/>
        <v>100.88494935931976</v>
      </c>
      <c r="BY25" s="382"/>
      <c r="BZ25" s="348">
        <f t="shared" si="4"/>
        <v>100.88494935931976</v>
      </c>
      <c r="CA25" s="382"/>
      <c r="CC25" s="1426"/>
      <c r="CH25" s="1379"/>
      <c r="CI25" s="1379"/>
      <c r="CJ25" s="1379"/>
    </row>
    <row r="26" spans="4:165">
      <c r="D26" s="355"/>
      <c r="E26" s="352"/>
      <c r="F26" s="1382">
        <f>IF($O$4="NO",ROUNDUP(BQ26-0.00499,0),LEFT(BQ26,1)+(IF(BQ26-LEFT(BQ26,1)&lt;0.00499,0,IF(BQ26-LEFT(BQ26,1)-0.00499&lt;('1-Eng Inputs'!$C$39/'1-Eng Inputs'!$C$38),0.5,1))))</f>
        <v>3</v>
      </c>
      <c r="G26" s="353"/>
      <c r="H26" s="1382">
        <f>IF($O$4="NO",ROUNDUP(BS26-0.00499,0),LEFT(BS26,1)+(IF(BS26-LEFT(BS26,1)&lt;0.00499,0,IF(BS26-LEFT(BS26,1)-0.00499&lt;('1-Eng Inputs'!$C$39/'1-Eng Inputs'!$C$38),0.5,1))))</f>
        <v>3</v>
      </c>
      <c r="I26" s="353"/>
      <c r="J26" s="1382">
        <f>IF($O$4="NO",ROUNDUP(BU26-0.00499,0),LEFT(BU26,1)+(IF(BU26-LEFT(BU26,1)&lt;0.00499,0,IF(BU26-LEFT(BU26,1)-0.00499&lt;('1-Eng Inputs'!$C$39/'1-Eng Inputs'!$C$38),0.5,1))))</f>
        <v>4</v>
      </c>
      <c r="K26" s="353"/>
      <c r="L26" s="1382">
        <f>IF($O$4="NO",ROUNDUP(BW26-0.00499,0),LEFT(BW26,1)+(IF(BW26-LEFT(BW26,1)&lt;0.00499,0,IF(BW26-LEFT(BW26,1)-0.00499&lt;('1-Eng Inputs'!$C$39/'1-Eng Inputs'!$C$38),0.5,1))))</f>
        <v>4</v>
      </c>
      <c r="M26" s="353"/>
      <c r="N26" s="1382">
        <f>IF($O$4="NO",ROUNDUP(BY26-0.00499,0),LEFT(BY26,1)+(IF(BY26-LEFT(BY26,1)&lt;0.00499,0,IF(BY26-LEFT(BY26,1)-0.00499&lt;('1-Eng Inputs'!$C$39/'1-Eng Inputs'!$C$38),0.5,1))))</f>
        <v>4</v>
      </c>
      <c r="O26" s="353"/>
      <c r="P26" s="1382">
        <f>IF($O$4="NO",ROUNDUP(CA26-0.00499,0),LEFT(CA26,1)+(IF(CA26-LEFT(CA26,1)&lt;0.00499,0,IF(CA26-LEFT(CA26,1)-0.00499&lt;('1-Eng Inputs'!$C$39/'1-Eng Inputs'!$C$38),0.5,1))))</f>
        <v>4</v>
      </c>
      <c r="S26" s="355"/>
      <c r="U26" s="1390">
        <f>IF(LEFT(F26,3)-LEFT(F26,1)=0.5,'1-Eng Inputs'!$C$39,0)+LEFT(F26,1)*'1-Eng Inputs'!$C$38</f>
        <v>96</v>
      </c>
      <c r="V26" s="350">
        <f>V25-BR24</f>
        <v>0</v>
      </c>
      <c r="W26" s="1416">
        <f>IF(LEFT(H26,3)-LEFT(H26,1)=0.5,'1-Eng Inputs'!$C$39,0)+LEFT(H26,1)*'1-Eng Inputs'!$C$38</f>
        <v>96</v>
      </c>
      <c r="X26" s="350">
        <f>X25-BT24</f>
        <v>0</v>
      </c>
      <c r="Y26" s="1416">
        <f>IF(LEFT(J26,3)-LEFT(J26,1)=0.5,'1-Eng Inputs'!$C$39,0)+LEFT(J26,1)*'1-Eng Inputs'!$C$38</f>
        <v>128</v>
      </c>
      <c r="Z26" s="350">
        <f>Z25-BV24</f>
        <v>0</v>
      </c>
      <c r="AA26" s="1416">
        <f>IF(LEFT(L26,3)-LEFT(L26,1)=0.5,'1-Eng Inputs'!$C$39,0)+LEFT(L26,1)*'1-Eng Inputs'!$C$38</f>
        <v>128</v>
      </c>
      <c r="AB26" s="350">
        <f>AB25-BX24</f>
        <v>0</v>
      </c>
      <c r="AC26" s="1408">
        <f>IF(LEFT(N26,3)-LEFT(N26,1)=0.5,'1-Eng Inputs'!$C$39,0)+LEFT(N26,1)*'1-Eng Inputs'!$C$38</f>
        <v>128</v>
      </c>
      <c r="AD26" s="350">
        <f>AD25-BZ24</f>
        <v>0</v>
      </c>
      <c r="AE26" s="1400">
        <f>IF(LEFT(P26,3)-LEFT(P26,1)=0.5,'1-Eng Inputs'!$C$39,0)+LEFT(P26,1)*'1-Eng Inputs'!$C$38</f>
        <v>128</v>
      </c>
      <c r="AH26" s="355"/>
      <c r="AJ26" s="1390">
        <f>(AK25*AX26+AK28*AX27)/'1-Eng Inputs'!$C$38</f>
        <v>2.7847070673163268</v>
      </c>
      <c r="AL26" s="1390">
        <f>(AK25*AZ26+AM25*BA26+AK28*AZ27+AM28*BA27)/'1-Eng Inputs'!$C$38</f>
        <v>2.9686808673975347</v>
      </c>
      <c r="AN26" s="1390">
        <f>(AM25*BC26+AO25*BD26+AM28*BC27+AO28*BD27)/'1-Eng Inputs'!$C$38</f>
        <v>3.1526546674787426</v>
      </c>
      <c r="AP26" s="1390">
        <f>(AO25*BF26+AQ25*BG26+AO28*BF27+AQ28*BG27)/'1-Eng Inputs'!$C$38</f>
        <v>3.1526546674787426</v>
      </c>
      <c r="AR26" s="1400">
        <f>(AQ25*BI26+AS25*BJ26+AQ28*BI27+AS28*BJ27)/'1-Eng Inputs'!$C$38</f>
        <v>3.1526546674787426</v>
      </c>
      <c r="AT26" s="1400">
        <f>AR26</f>
        <v>3.1526546674787426</v>
      </c>
      <c r="AW26" s="373"/>
      <c r="AX26" s="1468">
        <v>0.33333333333333331</v>
      </c>
      <c r="AZ26" s="1471">
        <v>0.16666666666666666</v>
      </c>
      <c r="BA26" s="1473">
        <v>0.25</v>
      </c>
      <c r="BC26" s="1471">
        <v>0.25</v>
      </c>
      <c r="BD26" s="1473">
        <v>0.25</v>
      </c>
      <c r="BF26" s="1471">
        <v>0.25</v>
      </c>
      <c r="BG26" s="1473">
        <v>0.25</v>
      </c>
      <c r="BI26" s="1471">
        <v>0.25</v>
      </c>
      <c r="BJ26" s="1473">
        <v>0.25</v>
      </c>
      <c r="BL26" s="1468">
        <v>0.25</v>
      </c>
      <c r="BM26" s="373"/>
      <c r="BO26" s="355"/>
      <c r="BQ26" s="1390">
        <f>AJ26</f>
        <v>2.7847070673163268</v>
      </c>
      <c r="BS26" s="1390">
        <f>AL26</f>
        <v>2.9686808673975347</v>
      </c>
      <c r="BU26" s="1390">
        <f>AN26</f>
        <v>3.1526546674787426</v>
      </c>
      <c r="BW26" s="1390">
        <f>AP26</f>
        <v>3.1526546674787426</v>
      </c>
      <c r="BY26" s="1400">
        <f>AR26</f>
        <v>3.1526546674787426</v>
      </c>
      <c r="CA26" s="1400">
        <f>AT26</f>
        <v>3.1526546674787426</v>
      </c>
      <c r="CB26" s="1426"/>
      <c r="CH26" s="1379"/>
      <c r="CI26" s="367"/>
      <c r="CJ26" s="1379"/>
    </row>
    <row r="27" spans="4:165" ht="12.75" hidden="1" customHeight="1">
      <c r="D27" s="355"/>
      <c r="E27" s="352"/>
      <c r="F27" s="1383"/>
      <c r="G27" s="353"/>
      <c r="H27" s="1383"/>
      <c r="I27" s="353"/>
      <c r="J27" s="1383"/>
      <c r="K27" s="353"/>
      <c r="L27" s="1383"/>
      <c r="M27" s="353"/>
      <c r="N27" s="1383"/>
      <c r="O27" s="353"/>
      <c r="P27" s="1383"/>
      <c r="S27" s="355"/>
      <c r="U27" s="1391"/>
      <c r="V27" s="1379"/>
      <c r="W27" s="1417"/>
      <c r="X27" s="1379"/>
      <c r="Y27" s="1417"/>
      <c r="Z27" s="1379"/>
      <c r="AA27" s="1417"/>
      <c r="AB27" s="1379"/>
      <c r="AC27" s="1409"/>
      <c r="AD27" s="1379"/>
      <c r="AE27" s="1401"/>
      <c r="AH27" s="355"/>
      <c r="AJ27" s="1391"/>
      <c r="AK27" s="1379"/>
      <c r="AL27" s="1391"/>
      <c r="AM27" s="1379"/>
      <c r="AN27" s="1391"/>
      <c r="AO27" s="1379"/>
      <c r="AP27" s="1391"/>
      <c r="AQ27" s="1379"/>
      <c r="AR27" s="1401"/>
      <c r="AS27" s="1379"/>
      <c r="AT27" s="1401"/>
      <c r="AW27" s="373"/>
      <c r="AX27" s="1469">
        <v>0.33333333333333331</v>
      </c>
      <c r="AZ27" s="1472">
        <v>0.16666666666666666</v>
      </c>
      <c r="BA27" s="1474">
        <v>0.25</v>
      </c>
      <c r="BC27" s="1472">
        <v>0.25</v>
      </c>
      <c r="BD27" s="1474">
        <v>0.25</v>
      </c>
      <c r="BF27" s="1472">
        <v>0.25</v>
      </c>
      <c r="BG27" s="1474">
        <v>0.25</v>
      </c>
      <c r="BI27" s="1472">
        <v>0.25</v>
      </c>
      <c r="BJ27" s="1474">
        <v>0.25</v>
      </c>
      <c r="BL27" s="1469">
        <v>0.25</v>
      </c>
      <c r="BM27" s="373"/>
      <c r="BO27" s="355"/>
      <c r="BQ27" s="1391"/>
      <c r="BR27" s="1379">
        <f>V28</f>
        <v>141.02536486798618</v>
      </c>
      <c r="BS27" s="1391"/>
      <c r="BT27" s="1379">
        <f>X28</f>
        <v>114.97463513201382</v>
      </c>
      <c r="BU27" s="1391"/>
      <c r="BV27" s="1379">
        <f>Z28</f>
        <v>128</v>
      </c>
      <c r="BW27" s="1391"/>
      <c r="BX27" s="1379">
        <f>AB28</f>
        <v>128</v>
      </c>
      <c r="BY27" s="1401"/>
      <c r="BZ27" s="1379">
        <f>AD28</f>
        <v>128</v>
      </c>
      <c r="CA27" s="1401"/>
      <c r="CB27" s="1426"/>
      <c r="CH27" s="357"/>
      <c r="CI27" s="364"/>
      <c r="CJ27" s="357"/>
    </row>
    <row r="28" spans="4:165" ht="24.75" customHeight="1">
      <c r="D28" s="355"/>
      <c r="E28" s="352">
        <v>6</v>
      </c>
      <c r="F28" s="382"/>
      <c r="G28" s="378" t="s">
        <v>19427</v>
      </c>
      <c r="H28" s="382"/>
      <c r="I28" s="378" t="s">
        <v>19427</v>
      </c>
      <c r="J28" s="382"/>
      <c r="K28" s="378" t="s">
        <v>19427</v>
      </c>
      <c r="L28" s="382"/>
      <c r="M28" s="378" t="s">
        <v>19428</v>
      </c>
      <c r="N28" s="382"/>
      <c r="O28" s="378" t="s">
        <v>19428</v>
      </c>
      <c r="P28" s="382"/>
      <c r="S28" s="355"/>
      <c r="U28" s="382"/>
      <c r="V28" s="450">
        <f>(U26*(AK28*AX27/(AJ26*'1-Eng Inputs'!$C$38))+U29*(AK28*AX29/(AJ29*'1-Eng Inputs'!$C$38))+W26*(AK28*AZ27/(AL26*'1-Eng Inputs'!$C$38))+W29*(AK28*AZ29/(AL29*'1-Eng Inputs'!$C$38)))</f>
        <v>141.02536486798618</v>
      </c>
      <c r="W28" s="382"/>
      <c r="X28" s="450">
        <f>(W26*(AM28*BA27/(AL26*'1-Eng Inputs'!$C$38))+W29*(AM28*BA29/(AL29*'1-Eng Inputs'!$C$38))+Y26*(AM28*BC27/(AN26*'1-Eng Inputs'!$C$38))+Y29*(AM28*BC29/(AN29*'1-Eng Inputs'!$C$38)))</f>
        <v>114.97463513201382</v>
      </c>
      <c r="Y28" s="382"/>
      <c r="Z28" s="450">
        <f>(Y26*(AO28*BD27/(AN26*'1-Eng Inputs'!$C$38))+Y29*(AO28*BD29/(AN29*'1-Eng Inputs'!$C$38))+AA26*(AO28*BF27/(AP26*'1-Eng Inputs'!$C$38))+AA29*(AO28*BF29/(AP29*'1-Eng Inputs'!$C$38)))</f>
        <v>128</v>
      </c>
      <c r="AA28" s="382"/>
      <c r="AB28" s="450">
        <f>(AA26*(AQ28*BG27/(AP26*'1-Eng Inputs'!$C$38))+AA29*(AQ28*BG29/(AP29*'1-Eng Inputs'!$C$38))+AC26*(AQ28*BI27/(AR26*'1-Eng Inputs'!$C$38))+AC29*(AQ28*BI29/(AR29*'1-Eng Inputs'!$C$38)))</f>
        <v>128</v>
      </c>
      <c r="AC28" s="382"/>
      <c r="AD28" s="450">
        <f>(AC26*(AS28*BJ27/(AR26*'1-Eng Inputs'!$C$38))+AC29*(AS28*BJ29/(AR29*'1-Eng Inputs'!$C$38))+AE26*(AS28*BL27/(AT26*'1-Eng Inputs'!$C$38))+AE29*(AS28*BL29/(AT29*'1-Eng Inputs'!$C$38)))</f>
        <v>128</v>
      </c>
      <c r="AE28" s="382"/>
      <c r="AH28" s="355"/>
      <c r="AI28" s="353">
        <v>6</v>
      </c>
      <c r="AJ28" s="382"/>
      <c r="AK28" s="348">
        <f>'Land Calcs 10deg (lift)'!$J$26</f>
        <v>133.6659392311837</v>
      </c>
      <c r="AL28" s="382"/>
      <c r="AM28" s="348">
        <f>'Land Calcs 10deg (lift)'!$K$26</f>
        <v>100.88494935931976</v>
      </c>
      <c r="AN28" s="382"/>
      <c r="AO28" s="348">
        <f>AM28</f>
        <v>100.88494935931976</v>
      </c>
      <c r="AP28" s="382"/>
      <c r="AQ28" s="348">
        <f>'Land Calcs 10deg (lift)'!K31</f>
        <v>100.88494935931976</v>
      </c>
      <c r="AR28" s="382"/>
      <c r="AS28" s="348">
        <f>AQ28</f>
        <v>100.88494935931976</v>
      </c>
      <c r="AT28" s="382"/>
      <c r="AW28" s="373"/>
      <c r="AY28" s="381"/>
      <c r="BB28" s="381"/>
      <c r="BE28" s="381"/>
      <c r="BH28" s="381"/>
      <c r="BK28" s="381"/>
      <c r="BM28" s="373"/>
      <c r="BO28" s="355"/>
      <c r="BP28" s="353">
        <v>6</v>
      </c>
      <c r="BQ28" s="382"/>
      <c r="BR28" s="348">
        <f>AK28</f>
        <v>133.6659392311837</v>
      </c>
      <c r="BS28" s="382"/>
      <c r="BT28" s="348">
        <f t="shared" ref="BT28:BZ28" si="5">AM28</f>
        <v>100.88494935931976</v>
      </c>
      <c r="BU28" s="382"/>
      <c r="BV28" s="348">
        <f t="shared" si="5"/>
        <v>100.88494935931976</v>
      </c>
      <c r="BW28" s="382"/>
      <c r="BX28" s="348">
        <f t="shared" si="5"/>
        <v>100.88494935931976</v>
      </c>
      <c r="BY28" s="382"/>
      <c r="BZ28" s="348">
        <f t="shared" si="5"/>
        <v>100.88494935931976</v>
      </c>
      <c r="CA28" s="382"/>
      <c r="CC28" s="1426"/>
      <c r="CH28" s="1380"/>
      <c r="CI28" s="1380"/>
      <c r="CJ28" s="1380"/>
      <c r="CK28" s="1380"/>
    </row>
    <row r="29" spans="4:165">
      <c r="D29" s="355"/>
      <c r="E29" s="352"/>
      <c r="F29" s="1382">
        <f>IF($O$4="NO",ROUNDUP(BQ29-0.00499,0),LEFT(BQ29,1)+(IF(BQ29-LEFT(BQ29,1)&lt;0.00499,0,IF(BQ29-LEFT(BQ29,1)-0.00499&lt;('1-Eng Inputs'!$C$39/'1-Eng Inputs'!$C$38),0.5,1))))</f>
        <v>3</v>
      </c>
      <c r="G29" s="353"/>
      <c r="H29" s="1382">
        <f>IF($O$4="NO",ROUNDUP(BS29-0.00499,0),LEFT(BS29,1)+(IF(BS29-LEFT(BS29,1)&lt;0.00499,0,IF(BS29-LEFT(BS29,1)-0.00499&lt;('1-Eng Inputs'!$C$39/'1-Eng Inputs'!$C$38),0.5,1))))</f>
        <v>3</v>
      </c>
      <c r="I29" s="353"/>
      <c r="J29" s="1382">
        <f>IF($O$4="NO",ROUNDUP(BU29-0.00499,0),LEFT(BU29,1)+(IF(BU29-LEFT(BU29,1)&lt;0.00499,0,IF(BU29-LEFT(BU29,1)-0.00499&lt;('1-Eng Inputs'!$C$39/'1-Eng Inputs'!$C$38),0.5,1))))</f>
        <v>4</v>
      </c>
      <c r="K29" s="353"/>
      <c r="L29" s="1382">
        <f>IF($O$4="NO",ROUNDUP(BW29-0.00499,0),LEFT(BW29,1)+(IF(BW29-LEFT(BW29,1)&lt;0.00499,0,IF(BW29-LEFT(BW29,1)-0.00499&lt;('1-Eng Inputs'!$C$39/'1-Eng Inputs'!$C$38),0.5,1))))</f>
        <v>4</v>
      </c>
      <c r="M29" s="353"/>
      <c r="N29" s="1382">
        <f>IF($O$4="NO",ROUNDUP(BY29-0.00499,0),LEFT(BY29,1)+(IF(BY29-LEFT(BY29,1)&lt;0.00499,0,IF(BY29-LEFT(BY29,1)-0.00499&lt;('1-Eng Inputs'!$C$39/'1-Eng Inputs'!$C$38),0.5,1))))</f>
        <v>4</v>
      </c>
      <c r="O29" s="353"/>
      <c r="P29" s="1382">
        <f>IF($O$4="NO",ROUNDUP(CA29-0.00499,0),LEFT(CA29,1)+(IF(CA29-LEFT(CA29,1)&lt;0.00499,0,IF(CA29-LEFT(CA29,1)-0.00499&lt;('1-Eng Inputs'!$C$39/'1-Eng Inputs'!$C$38),0.5,1))))</f>
        <v>4</v>
      </c>
      <c r="S29" s="355"/>
      <c r="U29" s="1390">
        <f>IF(LEFT(F29,3)-LEFT(F29,1)=0.5,'1-Eng Inputs'!$C$39,0)+LEFT(F29,1)*'1-Eng Inputs'!$C$38</f>
        <v>96</v>
      </c>
      <c r="V29" s="350">
        <f>V28-BR27</f>
        <v>0</v>
      </c>
      <c r="W29" s="1416">
        <f>IF(LEFT(H29,3)-LEFT(H29,1)=0.5,'1-Eng Inputs'!$C$39,0)+LEFT(H29,1)*'1-Eng Inputs'!$C$38</f>
        <v>96</v>
      </c>
      <c r="X29" s="350">
        <f>X28-BT27</f>
        <v>0</v>
      </c>
      <c r="Y29" s="1416">
        <f>IF(LEFT(J29,3)-LEFT(J29,1)=0.5,'1-Eng Inputs'!$C$39,0)+LEFT(J29,1)*'1-Eng Inputs'!$C$38</f>
        <v>128</v>
      </c>
      <c r="Z29" s="350">
        <f>Z28-BV27</f>
        <v>0</v>
      </c>
      <c r="AA29" s="1416">
        <f>IF(LEFT(L29,3)-LEFT(L29,1)=0.5,'1-Eng Inputs'!$C$39,0)+LEFT(L29,1)*'1-Eng Inputs'!$C$38</f>
        <v>128</v>
      </c>
      <c r="AB29" s="350">
        <f>AB28-BX27</f>
        <v>0</v>
      </c>
      <c r="AC29" s="1408">
        <f>IF(LEFT(N29,3)-LEFT(N29,1)=0.5,'1-Eng Inputs'!$C$39,0)+LEFT(N29,1)*'1-Eng Inputs'!$C$38</f>
        <v>128</v>
      </c>
      <c r="AD29" s="350">
        <f>AD28-BZ27</f>
        <v>0</v>
      </c>
      <c r="AE29" s="1400">
        <f>IF(LEFT(P29,3)-LEFT(P29,1)=0.5,'1-Eng Inputs'!$C$39,0)+LEFT(P29,1)*'1-Eng Inputs'!$C$38</f>
        <v>128</v>
      </c>
      <c r="AH29" s="355"/>
      <c r="AJ29" s="1390">
        <f>(AK28*AX29+AK31*AX30)/'1-Eng Inputs'!$C$38</f>
        <v>2.7847070673163268</v>
      </c>
      <c r="AL29" s="1390">
        <f>(AK28*AZ29+AM28*BA29+AK31*AZ30+AM31*BA30)/'1-Eng Inputs'!$C$38</f>
        <v>2.9686808673975347</v>
      </c>
      <c r="AN29" s="1390">
        <f>(AM28*BC29+AO28*BD29+AM31*BC30+AO31*BD30)/'1-Eng Inputs'!$C$38</f>
        <v>3.1526546674787426</v>
      </c>
      <c r="AP29" s="1390">
        <f>(AO28*BF29+AQ28*BG29+AO31*BF30+AQ31*BG30)/'1-Eng Inputs'!$C$38</f>
        <v>3.1526546674787426</v>
      </c>
      <c r="AR29" s="1400">
        <f>(AQ28*BI29+AS28*BJ29+AQ31*BI30+AS31*BJ30)/'1-Eng Inputs'!$C$38</f>
        <v>3.1526546674787426</v>
      </c>
      <c r="AT29" s="1400">
        <f>AR29</f>
        <v>3.1526546674787426</v>
      </c>
      <c r="AW29" s="373"/>
      <c r="AX29" s="1468">
        <v>0.33333333333333331</v>
      </c>
      <c r="AZ29" s="1471">
        <v>0.16666666666666666</v>
      </c>
      <c r="BA29" s="1473">
        <v>0.25</v>
      </c>
      <c r="BC29" s="1471">
        <v>0.25</v>
      </c>
      <c r="BD29" s="1473">
        <v>0.25</v>
      </c>
      <c r="BF29" s="1471">
        <v>0.25</v>
      </c>
      <c r="BG29" s="1473">
        <v>0.25</v>
      </c>
      <c r="BI29" s="1471">
        <v>0.25</v>
      </c>
      <c r="BJ29" s="1473">
        <v>0.25</v>
      </c>
      <c r="BL29" s="1468">
        <v>0.25</v>
      </c>
      <c r="BM29" s="373"/>
      <c r="BO29" s="355"/>
      <c r="BQ29" s="1390">
        <f>AJ29</f>
        <v>2.7847070673163268</v>
      </c>
      <c r="BS29" s="1390">
        <f>AL29</f>
        <v>2.9686808673975347</v>
      </c>
      <c r="BU29" s="1390">
        <f>AN29</f>
        <v>3.1526546674787426</v>
      </c>
      <c r="BW29" s="1390">
        <f>AP29</f>
        <v>3.1526546674787426</v>
      </c>
      <c r="BY29" s="1400">
        <f>AR29</f>
        <v>3.1526546674787426</v>
      </c>
      <c r="CA29" s="1400">
        <f>AT29</f>
        <v>3.1526546674787426</v>
      </c>
      <c r="CB29" s="1426"/>
      <c r="CH29" s="1381"/>
      <c r="CI29" s="1381"/>
      <c r="CJ29" s="1381"/>
    </row>
    <row r="30" spans="4:165" ht="12.75" hidden="1" customHeight="1">
      <c r="D30" s="355"/>
      <c r="E30" s="352"/>
      <c r="F30" s="1383"/>
      <c r="G30" s="353"/>
      <c r="H30" s="1383"/>
      <c r="I30" s="353"/>
      <c r="J30" s="1383"/>
      <c r="K30" s="353"/>
      <c r="L30" s="1383"/>
      <c r="M30" s="353"/>
      <c r="N30" s="1383"/>
      <c r="O30" s="353"/>
      <c r="P30" s="1383"/>
      <c r="S30" s="355"/>
      <c r="U30" s="1391"/>
      <c r="V30" s="1379"/>
      <c r="W30" s="1417"/>
      <c r="X30" s="1379"/>
      <c r="Y30" s="1417"/>
      <c r="Z30" s="1379"/>
      <c r="AA30" s="1417"/>
      <c r="AB30" s="1379"/>
      <c r="AC30" s="1409"/>
      <c r="AD30" s="1379"/>
      <c r="AE30" s="1401"/>
      <c r="AH30" s="355"/>
      <c r="AJ30" s="1391"/>
      <c r="AK30" s="1379"/>
      <c r="AL30" s="1391"/>
      <c r="AM30" s="1379"/>
      <c r="AN30" s="1391"/>
      <c r="AO30" s="1379"/>
      <c r="AP30" s="1391"/>
      <c r="AQ30" s="1379"/>
      <c r="AR30" s="1401"/>
      <c r="AS30" s="1379"/>
      <c r="AT30" s="1401"/>
      <c r="AW30" s="373"/>
      <c r="AX30" s="1469">
        <v>0.33333333333333331</v>
      </c>
      <c r="AZ30" s="1472">
        <v>0.16666666666666666</v>
      </c>
      <c r="BA30" s="1474">
        <v>0.25</v>
      </c>
      <c r="BC30" s="1472">
        <v>0.25</v>
      </c>
      <c r="BD30" s="1474">
        <v>0.25</v>
      </c>
      <c r="BF30" s="1472">
        <v>0.25</v>
      </c>
      <c r="BG30" s="1474">
        <v>0.25</v>
      </c>
      <c r="BI30" s="1472">
        <v>0.25</v>
      </c>
      <c r="BJ30" s="1474">
        <v>0.25</v>
      </c>
      <c r="BL30" s="1469">
        <v>0.25</v>
      </c>
      <c r="BM30" s="373"/>
      <c r="BO30" s="355"/>
      <c r="BQ30" s="1391"/>
      <c r="BR30" s="1379">
        <f>V31</f>
        <v>143.72887443614502</v>
      </c>
      <c r="BS30" s="1391"/>
      <c r="BT30" s="1379">
        <f>X31</f>
        <v>113.77943424782686</v>
      </c>
      <c r="BU30" s="1391"/>
      <c r="BV30" s="1379">
        <f>Z31</f>
        <v>125.33511842300069</v>
      </c>
      <c r="BW30" s="1391"/>
      <c r="BX30" s="1379">
        <f>AB31</f>
        <v>120.87460545939474</v>
      </c>
      <c r="BY30" s="1401"/>
      <c r="BZ30" s="1379">
        <f>AD31</f>
        <v>115.45932223902233</v>
      </c>
      <c r="CA30" s="1401"/>
      <c r="CB30" s="1426"/>
      <c r="CH30" s="357"/>
      <c r="CI30" s="364"/>
      <c r="CJ30" s="357"/>
    </row>
    <row r="31" spans="4:165" ht="24.75" customHeight="1">
      <c r="D31" s="355"/>
      <c r="E31" s="352">
        <v>7</v>
      </c>
      <c r="F31" s="382"/>
      <c r="G31" s="378" t="s">
        <v>19427</v>
      </c>
      <c r="H31" s="382"/>
      <c r="I31" s="378" t="s">
        <v>19427</v>
      </c>
      <c r="J31" s="382"/>
      <c r="K31" s="378" t="s">
        <v>19427</v>
      </c>
      <c r="L31" s="382"/>
      <c r="M31" s="378" t="s">
        <v>19428</v>
      </c>
      <c r="N31" s="382"/>
      <c r="O31" s="378" t="s">
        <v>19428</v>
      </c>
      <c r="P31" s="382"/>
      <c r="S31" s="355"/>
      <c r="U31" s="382"/>
      <c r="V31" s="450">
        <f>(U29*(AK31*AX30/(AJ29*'1-Eng Inputs'!$C$38))+U32*(AK31*AX32/(AJ32*'1-Eng Inputs'!$C$38))+W29*(AK31*AZ30/(AL29*'1-Eng Inputs'!$C$38))+W32*(AK31*AZ32/(AL32*'1-Eng Inputs'!$C$38)))</f>
        <v>143.72887443614502</v>
      </c>
      <c r="W31" s="382"/>
      <c r="X31" s="450">
        <f>(W29*(AM31*BA30/(AL29*'1-Eng Inputs'!$C$38))+W32*(AM31*BA32/(AL32*'1-Eng Inputs'!$C$38))+Y29*(AM31*BC30/(AN29*'1-Eng Inputs'!$C$38))+Y32*(AM31*BC32/(AN32*'1-Eng Inputs'!$C$38)))</f>
        <v>113.77943424782686</v>
      </c>
      <c r="Y31" s="382"/>
      <c r="Z31" s="450">
        <f>(Y29*(AO31*BD30/(AN29*'1-Eng Inputs'!$C$38))+Y32*(AO31*BD32/(AN32*'1-Eng Inputs'!$C$38))+AA29*(AO31*BF30/(AP29*'1-Eng Inputs'!$C$38))+AA32*(AO31*BF32/(AP32*'1-Eng Inputs'!$C$38)))</f>
        <v>125.33511842300069</v>
      </c>
      <c r="AA31" s="382"/>
      <c r="AB31" s="450">
        <f>(AA29*(AQ31*BG30/(AP29*'1-Eng Inputs'!$C$38))+AA32*(AQ31*BG32/(AP32*'1-Eng Inputs'!$C$38))+AC29*(AQ31*BI30/(AR29*'1-Eng Inputs'!$C$38))+AC32*(AQ31*BI32/(AR32*'1-Eng Inputs'!$C$38)))</f>
        <v>120.87460545939474</v>
      </c>
      <c r="AC31" s="382"/>
      <c r="AD31" s="450">
        <f>(AC29*(AS31*BJ30/(AR29*'1-Eng Inputs'!$C$38))+AC32*(AS31*BJ32/(AR32*'1-Eng Inputs'!$C$38))+AE29*(AS31*BL30/(AT29*'1-Eng Inputs'!$C$38))+AE32*(AS31*BL32/(AT32*'1-Eng Inputs'!$C$38)))</f>
        <v>115.45932223902233</v>
      </c>
      <c r="AE31" s="382"/>
      <c r="AH31" s="355"/>
      <c r="AI31" s="353">
        <v>7</v>
      </c>
      <c r="AJ31" s="382"/>
      <c r="AK31" s="348">
        <f>AK28</f>
        <v>133.6659392311837</v>
      </c>
      <c r="AL31" s="382"/>
      <c r="AM31" s="348">
        <f>AM28</f>
        <v>100.88494935931976</v>
      </c>
      <c r="AN31" s="382"/>
      <c r="AO31" s="348">
        <f>AM28</f>
        <v>100.88494935931976</v>
      </c>
      <c r="AP31" s="382"/>
      <c r="AQ31" s="348">
        <f>AQ28</f>
        <v>100.88494935931976</v>
      </c>
      <c r="AR31" s="382"/>
      <c r="AS31" s="348">
        <f>AQ28</f>
        <v>100.88494935931976</v>
      </c>
      <c r="AT31" s="382"/>
      <c r="AW31" s="373"/>
      <c r="AY31" s="381"/>
      <c r="BB31" s="381"/>
      <c r="BE31" s="381"/>
      <c r="BH31" s="381"/>
      <c r="BK31" s="381"/>
      <c r="BM31" s="373"/>
      <c r="BO31" s="355"/>
      <c r="BP31" s="353">
        <v>7</v>
      </c>
      <c r="BQ31" s="382"/>
      <c r="BR31" s="348">
        <f>AK31</f>
        <v>133.6659392311837</v>
      </c>
      <c r="BS31" s="382"/>
      <c r="BT31" s="348">
        <f t="shared" ref="BT31:BZ31" si="6">AM31</f>
        <v>100.88494935931976</v>
      </c>
      <c r="BU31" s="382"/>
      <c r="BV31" s="348">
        <f t="shared" si="6"/>
        <v>100.88494935931976</v>
      </c>
      <c r="BW31" s="382"/>
      <c r="BX31" s="348">
        <f t="shared" si="6"/>
        <v>100.88494935931976</v>
      </c>
      <c r="BY31" s="382"/>
      <c r="BZ31" s="348">
        <f t="shared" si="6"/>
        <v>100.88494935931976</v>
      </c>
      <c r="CA31" s="382"/>
      <c r="CC31" s="1426"/>
      <c r="CG31" s="368"/>
      <c r="CH31" s="357"/>
      <c r="CI31" s="357"/>
      <c r="CJ31" s="357"/>
      <c r="CK31" s="365"/>
      <c r="CL31" s="365"/>
    </row>
    <row r="32" spans="4:165" ht="12.75" customHeight="1">
      <c r="D32" s="355"/>
      <c r="E32" s="352"/>
      <c r="F32" s="1382">
        <f>IF($O$4="NO",ROUNDUP(BQ32-0.00499,0),LEFT(BQ32,1)+(IF(BQ32-LEFT(BQ32,1)&lt;0.00499,0,IF(BQ32-LEFT(BQ32,1)-0.00499&lt;('1-Eng Inputs'!$C$39/'1-Eng Inputs'!$C$38),0.5,1))))</f>
        <v>4</v>
      </c>
      <c r="G32" s="353"/>
      <c r="H32" s="1382">
        <f>IF($O$4="NO",ROUNDUP(BS32-0.00499,0),LEFT(BS32,1)+(IF(BS32-LEFT(BS32,1)&lt;0.00499,0,IF(BS32-LEFT(BS32,1)-0.00499&lt;('1-Eng Inputs'!$C$39/'1-Eng Inputs'!$C$38),0.5,1))))</f>
        <v>4</v>
      </c>
      <c r="I32" s="353"/>
      <c r="J32" s="1382">
        <f>IF($O$4="NO",ROUNDUP(BU32-0.00499,0),LEFT(BU32,1)+(IF(BU32-LEFT(BU32,1)&lt;0.00499,0,IF(BU32-LEFT(BU32,1)-0.00499&lt;('1-Eng Inputs'!$C$39/'1-Eng Inputs'!$C$38),0.5,1))))</f>
        <v>5</v>
      </c>
      <c r="K32" s="353"/>
      <c r="L32" s="1382">
        <f>IF($O$4="NO",ROUNDUP(BW32-0.00499,0),LEFT(BW32,1)+(IF(BW32-LEFT(BW32,1)&lt;0.00499,0,IF(BW32-LEFT(BW32,1)-0.00499&lt;('1-Eng Inputs'!$C$39/'1-Eng Inputs'!$C$38),0.5,1))))</f>
        <v>5</v>
      </c>
      <c r="M32" s="353"/>
      <c r="N32" s="1382">
        <f>IF($O$4="NO",ROUNDUP(BY32-0.00499,0),LEFT(BY32,1)+(IF(BY32-LEFT(BY32,1)&lt;0.00499,0,IF(BY32-LEFT(BY32,1)-0.00499&lt;('1-Eng Inputs'!$C$39/'1-Eng Inputs'!$C$38),0.5,1))))</f>
        <v>4</v>
      </c>
      <c r="O32" s="353"/>
      <c r="P32" s="1382">
        <f>IF($O$4="NO",ROUNDUP(CA32-0.00499,0),LEFT(CA32,1)+(IF(CA32-LEFT(CA32,1)&lt;0.00499,0,IF(CA32-LEFT(CA32,1)-0.00499&lt;('1-Eng Inputs'!$C$39/'1-Eng Inputs'!$C$38),0.5,1))))</f>
        <v>4</v>
      </c>
      <c r="S32" s="355"/>
      <c r="U32" s="1390">
        <f>IF(LEFT(F32,3)-LEFT(F32,1)=0.5,'1-Eng Inputs'!$C$39,0)+LEFT(F32,1)*'1-Eng Inputs'!$C$38</f>
        <v>128</v>
      </c>
      <c r="V32" s="350">
        <f>V31-BR30</f>
        <v>0</v>
      </c>
      <c r="W32" s="1416">
        <f>IF(LEFT(H32,3)-LEFT(H32,1)=0.5,'1-Eng Inputs'!$C$39,0)+LEFT(H32,1)*'1-Eng Inputs'!$C$38</f>
        <v>128</v>
      </c>
      <c r="X32" s="350">
        <f>X31-BT30</f>
        <v>0</v>
      </c>
      <c r="Y32" s="1416">
        <f>IF(LEFT(J32,3)-LEFT(J32,1)=0.5,'1-Eng Inputs'!$C$39,0)+LEFT(J32,1)*'1-Eng Inputs'!$C$38</f>
        <v>160</v>
      </c>
      <c r="Z32" s="350">
        <f>Z31-BV30</f>
        <v>0</v>
      </c>
      <c r="AA32" s="1416">
        <f>IF(LEFT(L32,3)-LEFT(L32,1)=0.5,'1-Eng Inputs'!$C$39,0)+LEFT(L32,1)*'1-Eng Inputs'!$C$38</f>
        <v>160</v>
      </c>
      <c r="AB32" s="350">
        <f>AB31-BX30</f>
        <v>0</v>
      </c>
      <c r="AC32" s="1408">
        <f>IF(LEFT(N32,3)-LEFT(N32,1)=0.5,'1-Eng Inputs'!$C$39,0)+LEFT(N32,1)*'1-Eng Inputs'!$C$38</f>
        <v>128</v>
      </c>
      <c r="AD32" s="350">
        <f>AD31-BZ30</f>
        <v>0</v>
      </c>
      <c r="AE32" s="1400">
        <f>IF(LEFT(P32,3)-LEFT(P32,1)=0.5,'1-Eng Inputs'!$C$39,0)+LEFT(P32,1)*'1-Eng Inputs'!$C$38</f>
        <v>128</v>
      </c>
      <c r="AH32" s="355"/>
      <c r="AJ32" s="1390">
        <f>(AK31*AX32+AK34*AX33)/'1-Eng Inputs'!$C$38</f>
        <v>3.5530115174381387</v>
      </c>
      <c r="AK32" s="356"/>
      <c r="AL32" s="1390">
        <f>(AK31*AZ32+AM31*BA32+AK34*AZ33+AM34*BA33)/'1-Eng Inputs'!$C$38</f>
        <v>3.8650360592063144</v>
      </c>
      <c r="AM32" s="356"/>
      <c r="AN32" s="1390">
        <f>(AM31*BC32+AO31*BD32+AM34*BC33+AO34*BD33)/'1-Eng Inputs'!$C$38</f>
        <v>4.1770606009744906</v>
      </c>
      <c r="AO32" s="356"/>
      <c r="AP32" s="1390">
        <f>(AO31*BF32+AQ31*BG32+AO34*BF33+AQ34*BG33)/'1-Eng Inputs'!$C$38</f>
        <v>4.0490098592875219</v>
      </c>
      <c r="AQ32" s="356"/>
      <c r="AR32" s="1400">
        <f>(AQ31*BI32+AS31*BJ32+AQ34*BI33+AS34*BJ33)/'1-Eng Inputs'!$C$38</f>
        <v>3.9209591176005532</v>
      </c>
      <c r="AS32" s="356"/>
      <c r="AT32" s="1400">
        <f>AR32</f>
        <v>3.9209591176005532</v>
      </c>
      <c r="AW32" s="373"/>
      <c r="AX32" s="1468">
        <v>0.33333333333333331</v>
      </c>
      <c r="AZ32" s="1471">
        <v>0.16666666666666666</v>
      </c>
      <c r="BA32" s="1473">
        <v>0.25</v>
      </c>
      <c r="BC32" s="1471">
        <v>0.25</v>
      </c>
      <c r="BD32" s="1473">
        <v>0.25</v>
      </c>
      <c r="BF32" s="1471">
        <v>0.25</v>
      </c>
      <c r="BG32" s="1473">
        <v>0.25</v>
      </c>
      <c r="BI32" s="1471">
        <v>0.25</v>
      </c>
      <c r="BJ32" s="1473">
        <v>0.25</v>
      </c>
      <c r="BL32" s="1468">
        <v>0.25</v>
      </c>
      <c r="BM32" s="373"/>
      <c r="BO32" s="355"/>
      <c r="BQ32" s="1390">
        <f>AJ32</f>
        <v>3.5530115174381387</v>
      </c>
      <c r="BR32" s="356"/>
      <c r="BS32" s="1390">
        <f>AL32</f>
        <v>3.8650360592063144</v>
      </c>
      <c r="BT32" s="356"/>
      <c r="BU32" s="1390">
        <f>AN32</f>
        <v>4.1770606009744906</v>
      </c>
      <c r="BV32" s="356"/>
      <c r="BW32" s="1390">
        <f>AP32</f>
        <v>4.0490098592875219</v>
      </c>
      <c r="BX32" s="356"/>
      <c r="BY32" s="1400">
        <f>AR32</f>
        <v>3.9209591176005532</v>
      </c>
      <c r="BZ32" s="356"/>
      <c r="CA32" s="1400">
        <f>AT32</f>
        <v>3.9209591176005532</v>
      </c>
      <c r="CB32" s="1426"/>
      <c r="CC32" s="1426"/>
      <c r="CG32" s="368"/>
      <c r="CH32" s="357"/>
      <c r="CI32" s="357"/>
      <c r="CJ32" s="357"/>
      <c r="CK32" s="365"/>
      <c r="CL32" s="365"/>
      <c r="FI32" s="1379"/>
    </row>
    <row r="33" spans="1:82" ht="12.75" hidden="1" customHeight="1">
      <c r="D33" s="355"/>
      <c r="E33" s="352"/>
      <c r="F33" s="1383"/>
      <c r="G33" s="353"/>
      <c r="H33" s="1383"/>
      <c r="I33" s="353"/>
      <c r="J33" s="1383"/>
      <c r="K33" s="353"/>
      <c r="L33" s="1383"/>
      <c r="M33" s="353"/>
      <c r="N33" s="1383"/>
      <c r="O33" s="353"/>
      <c r="P33" s="1383"/>
      <c r="S33" s="355"/>
      <c r="U33" s="1391"/>
      <c r="V33" s="1379"/>
      <c r="W33" s="1417"/>
      <c r="X33" s="1379"/>
      <c r="Y33" s="1417"/>
      <c r="Z33" s="1379"/>
      <c r="AA33" s="1417"/>
      <c r="AB33" s="1379"/>
      <c r="AC33" s="1409"/>
      <c r="AD33" s="1379"/>
      <c r="AE33" s="1401"/>
      <c r="AH33" s="355"/>
      <c r="AJ33" s="1391"/>
      <c r="AK33" s="1379"/>
      <c r="AL33" s="1391"/>
      <c r="AM33" s="1379"/>
      <c r="AN33" s="1391"/>
      <c r="AO33" s="1379"/>
      <c r="AP33" s="1391"/>
      <c r="AQ33" s="1379"/>
      <c r="AR33" s="1401"/>
      <c r="AS33" s="1379"/>
      <c r="AT33" s="1401"/>
      <c r="AW33" s="373"/>
      <c r="AX33" s="1469">
        <v>0.33333333333333331</v>
      </c>
      <c r="AZ33" s="1472">
        <v>0.16666666666666666</v>
      </c>
      <c r="BA33" s="1474">
        <v>0.25</v>
      </c>
      <c r="BC33" s="1472">
        <v>0.25</v>
      </c>
      <c r="BD33" s="1474">
        <v>0.25</v>
      </c>
      <c r="BF33" s="1472">
        <v>0.25</v>
      </c>
      <c r="BG33" s="1474">
        <v>0.25</v>
      </c>
      <c r="BI33" s="1472">
        <v>0.25</v>
      </c>
      <c r="BJ33" s="1474">
        <v>0.25</v>
      </c>
      <c r="BL33" s="1469">
        <v>0.25</v>
      </c>
      <c r="BM33" s="373"/>
      <c r="BO33" s="355"/>
      <c r="BQ33" s="1391"/>
      <c r="BR33" s="1379">
        <f>V34</f>
        <v>229.92005394672785</v>
      </c>
      <c r="BS33" s="1391"/>
      <c r="BT33" s="1379">
        <f>X34</f>
        <v>186.5716373693003</v>
      </c>
      <c r="BU33" s="1391"/>
      <c r="BV33" s="1379">
        <f>Z34</f>
        <v>193.26634402207907</v>
      </c>
      <c r="BW33" s="1391"/>
      <c r="BX33" s="1379">
        <f>AB34</f>
        <v>162.52393209552551</v>
      </c>
      <c r="BY33" s="1401"/>
      <c r="BZ33" s="1379">
        <f>AD34</f>
        <v>156.5406777609777</v>
      </c>
      <c r="CA33" s="1401"/>
      <c r="CB33" s="1426"/>
    </row>
    <row r="34" spans="1:82" ht="24.75" customHeight="1">
      <c r="D34" s="355"/>
      <c r="E34" s="352">
        <v>8</v>
      </c>
      <c r="F34" s="382"/>
      <c r="G34" s="378" t="s">
        <v>19427</v>
      </c>
      <c r="H34" s="382"/>
      <c r="I34" s="378" t="s">
        <v>19427</v>
      </c>
      <c r="J34" s="382"/>
      <c r="K34" s="378" t="s">
        <v>19427</v>
      </c>
      <c r="L34" s="382"/>
      <c r="M34" s="378" t="s">
        <v>19428</v>
      </c>
      <c r="N34" s="382"/>
      <c r="O34" s="378" t="s">
        <v>19428</v>
      </c>
      <c r="P34" s="382"/>
      <c r="S34" s="355"/>
      <c r="U34" s="382"/>
      <c r="V34" s="450">
        <f>U32*(AK34*AX33/(AJ32*'1-Eng Inputs'!$C$38))+U35*(AK34*AX35/(AJ35*'1-Eng Inputs'!$C$38))/factors!$B$4+W32*(AK34*AZ33/(AL32*'1-Eng Inputs'!$C$38))+W35*(AK34*AZ35/(AL35*'1-Eng Inputs'!$C$38))/factors!$B$4</f>
        <v>229.92005394672785</v>
      </c>
      <c r="W34" s="382"/>
      <c r="X34" s="450">
        <f>W32*(AM34*BA33/(AL32*'1-Eng Inputs'!$C$38))+W35*(AM34*BA35/(AL35*'1-Eng Inputs'!$C$38))/factors!$B$4+Y32*(AM34*BC33/(AN32*'1-Eng Inputs'!$C$38))+Y35*(AM34*BC35/(AN35*'1-Eng Inputs'!$C$38))/factors!$B$4</f>
        <v>186.5716373693003</v>
      </c>
      <c r="Y34" s="382"/>
      <c r="Z34" s="450">
        <f>Y32*(AO34*BD33/(AN32*'1-Eng Inputs'!$C$38))+Y35*(AO34*BD35/(AN35*'1-Eng Inputs'!$C$38))/factors!$B$4+AA32*(AO34*BF33/(AP32*'1-Eng Inputs'!$C$38))+AA35*(AO34*BF35/(AP35*'1-Eng Inputs'!$C$38))/factors!$B$4</f>
        <v>193.26634402207907</v>
      </c>
      <c r="AA34" s="382"/>
      <c r="AB34" s="450">
        <f>AA32*(AQ34*BG33/(AP32*'1-Eng Inputs'!$C$38))+AA35*(AQ34*BG35/(AP35*'1-Eng Inputs'!$C$38))/factors!$B$4+AC32*(AQ34*BI33/(AR32*'1-Eng Inputs'!$C$38))+AC35*(AQ34*BI35/(AR35*'1-Eng Inputs'!$C$38))/factors!$B$4</f>
        <v>162.52393209552551</v>
      </c>
      <c r="AC34" s="382"/>
      <c r="AD34" s="450">
        <f>AC32*(AS34*BJ33/(AR32*'1-Eng Inputs'!$C$38))+AC35*(AS34*BJ35/(AR35*'1-Eng Inputs'!$C$38))/factors!$B$4+AE32*(AS34*BL33/(AT32*'1-Eng Inputs'!$C$38))+AE35*(AS34*BL35/(AT35*'1-Eng Inputs'!$C$38))/factors!$B$4</f>
        <v>156.5406777609777</v>
      </c>
      <c r="AE34" s="382"/>
      <c r="AH34" s="355"/>
      <c r="AI34" s="353">
        <v>8</v>
      </c>
      <c r="AJ34" s="382"/>
      <c r="AK34" s="348">
        <f>'Land Calcs 10deg (lift)'!$H$26</f>
        <v>207.42316644287763</v>
      </c>
      <c r="AL34" s="382"/>
      <c r="AM34" s="348">
        <f>'Land Calcs 10deg (lift)'!$I$26</f>
        <v>166.44692910304767</v>
      </c>
      <c r="AN34" s="382"/>
      <c r="AO34" s="348">
        <f>AM34</f>
        <v>166.44692910304767</v>
      </c>
      <c r="AP34" s="382"/>
      <c r="AQ34" s="348">
        <f>'Land Calcs 10deg (lift)'!I31</f>
        <v>150.05643416711567</v>
      </c>
      <c r="AR34" s="382"/>
      <c r="AS34" s="348">
        <f>AQ34</f>
        <v>150.05643416711567</v>
      </c>
      <c r="AT34" s="382"/>
      <c r="AW34" s="373"/>
      <c r="AY34" s="381"/>
      <c r="BB34" s="381"/>
      <c r="BE34" s="381"/>
      <c r="BH34" s="381"/>
      <c r="BK34" s="381"/>
      <c r="BM34" s="373"/>
      <c r="BO34" s="355"/>
      <c r="BP34" s="353">
        <v>8</v>
      </c>
      <c r="BQ34" s="382"/>
      <c r="BR34" s="348">
        <f>AK34</f>
        <v>207.42316644287763</v>
      </c>
      <c r="BS34" s="382"/>
      <c r="BT34" s="348">
        <f t="shared" ref="BT34:BZ34" si="7">AM34</f>
        <v>166.44692910304767</v>
      </c>
      <c r="BU34" s="382"/>
      <c r="BV34" s="348">
        <f t="shared" si="7"/>
        <v>166.44692910304767</v>
      </c>
      <c r="BW34" s="382"/>
      <c r="BX34" s="348">
        <f t="shared" si="7"/>
        <v>150.05643416711567</v>
      </c>
      <c r="BY34" s="382"/>
      <c r="BZ34" s="348">
        <f t="shared" si="7"/>
        <v>150.05643416711567</v>
      </c>
      <c r="CA34" s="382"/>
      <c r="CC34" s="1426"/>
    </row>
    <row r="35" spans="1:82" ht="12.75" hidden="1" customHeight="1">
      <c r="E35" s="352"/>
      <c r="F35" s="1516"/>
      <c r="H35" s="1516"/>
      <c r="J35" s="1516"/>
      <c r="L35" s="1516"/>
      <c r="N35" s="1516"/>
      <c r="P35" s="1516"/>
      <c r="U35" s="1390">
        <f>IF(LEFT(F36,3)-LEFT(F36,1)=0.5,'1-Eng Inputs'!$C$39,0)+LEFT(F36,1)*'1-Eng Inputs'!$C$38</f>
        <v>128</v>
      </c>
      <c r="V35" s="350">
        <f>V34-BR33</f>
        <v>0</v>
      </c>
      <c r="W35" s="1416">
        <f>IF(LEFT(H36,3)-LEFT(H36,1)=0.5,'1-Eng Inputs'!$C$39,0)+LEFT(H36,1)*'1-Eng Inputs'!$C$38</f>
        <v>128</v>
      </c>
      <c r="X35" s="350">
        <f>X34-BT33</f>
        <v>0</v>
      </c>
      <c r="Y35" s="1416">
        <f>IF(LEFT(J36,3)-LEFT(J36,1)=0.5,'1-Eng Inputs'!$C$39,0)+LEFT(J36,1)*'1-Eng Inputs'!$C$38</f>
        <v>160</v>
      </c>
      <c r="Z35" s="350">
        <f>Z34-BV33</f>
        <v>0</v>
      </c>
      <c r="AA35" s="1416">
        <f>IF(LEFT(L36,3)-LEFT(L36,1)=0.5,'1-Eng Inputs'!$C$39,0)+LEFT(L36,1)*'1-Eng Inputs'!$C$38</f>
        <v>128</v>
      </c>
      <c r="AB35" s="350">
        <f>AB34-BX33</f>
        <v>0</v>
      </c>
      <c r="AC35" s="1408">
        <f>IF(LEFT(N36,3)-LEFT(N36,1)=0.5,'1-Eng Inputs'!$C$39,0)+LEFT(N36,1)*'1-Eng Inputs'!$C$38</f>
        <v>128</v>
      </c>
      <c r="AD35" s="350">
        <f>AD34-BZ33</f>
        <v>0</v>
      </c>
      <c r="AE35" s="1400">
        <f>IF(LEFT(P36,3)-LEFT(P36,1)=0.5,'1-Eng Inputs'!$C$39,0)+LEFT(P36,1)*'1-Eng Inputs'!$C$38</f>
        <v>128</v>
      </c>
      <c r="AJ35" s="1390">
        <f>(AK34*AX35)/'1-Eng Inputs'!$C$38</f>
        <v>2.1606579837799753</v>
      </c>
      <c r="AK35" s="1379"/>
      <c r="AL35" s="1390">
        <f>(AK34*AZ35+AM34*BA35)/'1-Eng Inputs'!$C$38</f>
        <v>2.3806956255075473</v>
      </c>
      <c r="AM35" s="1379"/>
      <c r="AN35" s="1390">
        <f>(AM34*BC35+AO34*BD35)/'1-Eng Inputs'!$C$38</f>
        <v>2.6007332672351198</v>
      </c>
      <c r="AO35" s="1379"/>
      <c r="AP35" s="1390">
        <f>(AO34*BF35+AQ34*BG35)/'1-Eng Inputs'!$C$38</f>
        <v>2.472682525548151</v>
      </c>
      <c r="AQ35" s="1379"/>
      <c r="AR35" s="1400">
        <f>(AQ34*BI35+AS34*BJ35)/'1-Eng Inputs'!$C$38</f>
        <v>2.3446317838611823</v>
      </c>
      <c r="AS35" s="1379"/>
      <c r="AT35" s="1400">
        <f>AR35</f>
        <v>2.3446317838611823</v>
      </c>
      <c r="AW35" s="373"/>
      <c r="AX35" s="1396">
        <v>0.33333333333333331</v>
      </c>
      <c r="AZ35" s="1412">
        <v>0.16666666666666666</v>
      </c>
      <c r="BA35" s="1394">
        <v>0.25</v>
      </c>
      <c r="BC35" s="1412">
        <v>0.25</v>
      </c>
      <c r="BD35" s="1394">
        <v>0.25</v>
      </c>
      <c r="BF35" s="1412">
        <v>0.25</v>
      </c>
      <c r="BG35" s="1394">
        <v>0.25</v>
      </c>
      <c r="BI35" s="1412">
        <v>0.25</v>
      </c>
      <c r="BJ35" s="1394">
        <v>0.25</v>
      </c>
      <c r="BL35" s="1396">
        <v>0.25</v>
      </c>
      <c r="BM35" s="373"/>
      <c r="BQ35" s="1390">
        <f>BQ36/factors!$B$4</f>
        <v>2.1606579837799753</v>
      </c>
      <c r="BR35" s="1379"/>
      <c r="BS35" s="1390">
        <f>BS36/factors!$B$4</f>
        <v>2.3806956255075473</v>
      </c>
      <c r="BT35" s="1379"/>
      <c r="BU35" s="1390">
        <f>BU36/factors!$B$4</f>
        <v>2.6007332672351193</v>
      </c>
      <c r="BV35" s="1379"/>
      <c r="BW35" s="1390">
        <f>BW36/factors!$B$4</f>
        <v>2.472682525548151</v>
      </c>
      <c r="BX35" s="1379"/>
      <c r="BY35" s="1400">
        <f>BY36/factors!$B$4</f>
        <v>2.3446317838611823</v>
      </c>
      <c r="BZ35" s="1379"/>
      <c r="CA35" s="1400">
        <f>BY35</f>
        <v>2.3446317838611823</v>
      </c>
      <c r="CB35" s="1426"/>
    </row>
    <row r="36" spans="1:82">
      <c r="E36" s="352"/>
      <c r="F36" s="1383">
        <f>IF($O$4="NO",ROUNDUP(BQ36-0.00499,0),LEFT(BQ36,1)+(IF(BQ36-LEFT(BQ36,1)&lt;0.00499,0,IF(BQ36-LEFT(BQ36,1)-0.00499&lt;('1-Eng Inputs'!$C$39/'1-Eng Inputs'!$C$38),0.5,1))))</f>
        <v>4</v>
      </c>
      <c r="G36" s="353"/>
      <c r="H36" s="1383">
        <f>IF($O$4="NO",ROUNDUP(BS36-0.00499,0),LEFT(BS36,1)+(IF(BS36-LEFT(BS36,1)&lt;0.00499,0,IF(BS36-LEFT(BS36,1)-0.00499&lt;('1-Eng Inputs'!$C$39/'1-Eng Inputs'!$C$38),0.5,1))))</f>
        <v>4</v>
      </c>
      <c r="I36" s="353"/>
      <c r="J36" s="1383">
        <f>IF($O$4="NO",ROUNDUP(BU36-0.00499,0),LEFT(BU36,1)+(IF(BU36-LEFT(BU36,1)&lt;0.00499,0,IF(BU36-LEFT(BU36,1)-0.00499&lt;('1-Eng Inputs'!$C$39/'1-Eng Inputs'!$C$38),0.5,1))))</f>
        <v>5</v>
      </c>
      <c r="K36" s="353"/>
      <c r="L36" s="1383">
        <f>IF($O$4="NO",ROUNDUP(BW36-0.00499,0),LEFT(BW36,1)+(IF(BW36-LEFT(BW36,1)&lt;0.00499,0,IF(BW36-LEFT(BW36,1)-0.00499&lt;('1-Eng Inputs'!$C$39/'1-Eng Inputs'!$C$38),0.5,1))))</f>
        <v>4</v>
      </c>
      <c r="M36" s="353"/>
      <c r="N36" s="1383">
        <f>IF($O$4="NO",ROUNDUP(BY36-0.00499,0),LEFT(BY36,1)+(IF(BY36-LEFT(BY36,1)&lt;0.00499,0,IF(BY36-LEFT(BY36,1)-0.00499&lt;('1-Eng Inputs'!$C$39/'1-Eng Inputs'!$C$38),0.5,1))))</f>
        <v>4</v>
      </c>
      <c r="O36" s="353"/>
      <c r="P36" s="1383">
        <f>IF($O$4="NO",ROUNDUP(CA36-0.00499,0),LEFT(CA36,1)+(IF(CA36-LEFT(CA36,1)&lt;0.00499,0,IF(CA36-LEFT(CA36,1)-0.00499&lt;('1-Eng Inputs'!$C$39/'1-Eng Inputs'!$C$38),0.5,1))))</f>
        <v>4</v>
      </c>
      <c r="U36" s="1391"/>
      <c r="V36" s="375"/>
      <c r="W36" s="1418"/>
      <c r="X36" s="375"/>
      <c r="Y36" s="1418"/>
      <c r="Z36" s="375"/>
      <c r="AA36" s="1418"/>
      <c r="AB36" s="375"/>
      <c r="AC36" s="1419"/>
      <c r="AD36" s="375"/>
      <c r="AE36" s="1401"/>
      <c r="AJ36" s="1391">
        <f>AJ35*factors!$B$4</f>
        <v>3.4570527740479609</v>
      </c>
      <c r="AK36" s="375"/>
      <c r="AL36" s="1391">
        <f>AL35*factors!$B$4</f>
        <v>3.8091130008120757</v>
      </c>
      <c r="AM36" s="375"/>
      <c r="AN36" s="1391">
        <f>AN35*factors!$B$4</f>
        <v>4.1611732275761915</v>
      </c>
      <c r="AO36" s="375"/>
      <c r="AP36" s="1391">
        <f>AP35*factors!$B$4</f>
        <v>3.9562920408770417</v>
      </c>
      <c r="AQ36" s="375"/>
      <c r="AR36" s="1401">
        <f>AR35*factors!$B$4</f>
        <v>3.7514108541778919</v>
      </c>
      <c r="AS36" s="375"/>
      <c r="AT36" s="1401">
        <f>AR36</f>
        <v>3.7514108541778919</v>
      </c>
      <c r="AW36" s="373"/>
      <c r="AX36" s="1397"/>
      <c r="AZ36" s="1413"/>
      <c r="BA36" s="1395"/>
      <c r="BC36" s="1413"/>
      <c r="BD36" s="1395"/>
      <c r="BF36" s="1413"/>
      <c r="BG36" s="1395"/>
      <c r="BI36" s="1413"/>
      <c r="BJ36" s="1395"/>
      <c r="BL36" s="1397"/>
      <c r="BM36" s="373"/>
      <c r="BQ36" s="1391">
        <f>AJ36</f>
        <v>3.4570527740479609</v>
      </c>
      <c r="BR36" s="375"/>
      <c r="BS36" s="1391">
        <f>AL36</f>
        <v>3.8091130008120757</v>
      </c>
      <c r="BT36" s="375"/>
      <c r="BU36" s="1391">
        <f>AN36</f>
        <v>4.1611732275761915</v>
      </c>
      <c r="BV36" s="375"/>
      <c r="BW36" s="1391">
        <f>AP36</f>
        <v>3.9562920408770417</v>
      </c>
      <c r="BX36" s="375"/>
      <c r="BY36" s="1401">
        <f>AR36</f>
        <v>3.7514108541778919</v>
      </c>
      <c r="BZ36" s="375"/>
      <c r="CA36" s="1401">
        <f>BY36</f>
        <v>3.7514108541778919</v>
      </c>
      <c r="CB36" s="1426"/>
    </row>
    <row r="37" spans="1:82">
      <c r="E37" s="352"/>
      <c r="F37" s="374"/>
      <c r="G37" s="353"/>
      <c r="H37" s="374"/>
      <c r="I37" s="353"/>
      <c r="J37" s="374"/>
      <c r="K37" s="353"/>
      <c r="L37" s="374"/>
      <c r="M37" s="353"/>
      <c r="N37" s="374"/>
      <c r="O37" s="353"/>
      <c r="P37" s="374"/>
      <c r="U37" s="1426"/>
      <c r="V37" s="375"/>
      <c r="W37" s="1426"/>
      <c r="X37" s="375"/>
      <c r="Y37" s="1426"/>
      <c r="Z37" s="375"/>
      <c r="AA37" s="1426"/>
      <c r="AB37" s="375"/>
      <c r="AC37" s="1426"/>
      <c r="AD37" s="375"/>
      <c r="AE37" s="1426"/>
      <c r="AJ37" s="1426"/>
      <c r="AK37" s="375"/>
      <c r="AL37" s="1426"/>
      <c r="AM37" s="375"/>
      <c r="AN37" s="1426"/>
      <c r="AO37" s="375"/>
      <c r="AP37" s="1426"/>
      <c r="AQ37" s="375"/>
      <c r="AR37" s="1426"/>
      <c r="AS37" s="375"/>
      <c r="AT37" s="1426"/>
      <c r="AW37" s="373"/>
      <c r="AX37" s="373"/>
      <c r="AZ37" s="373"/>
      <c r="BA37" s="373"/>
      <c r="BC37" s="373"/>
      <c r="BD37" s="373"/>
      <c r="BF37" s="373"/>
      <c r="BG37" s="373"/>
      <c r="BI37" s="373"/>
      <c r="BJ37" s="373"/>
      <c r="BL37" s="373"/>
      <c r="BM37" s="373"/>
      <c r="BQ37" s="1426"/>
      <c r="BR37" s="375"/>
      <c r="BS37" s="1426"/>
      <c r="BT37" s="375"/>
      <c r="BU37" s="1426"/>
      <c r="BV37" s="375"/>
      <c r="BW37" s="1426"/>
      <c r="BX37" s="375"/>
      <c r="BY37" s="1426"/>
      <c r="BZ37" s="375"/>
      <c r="CA37" s="1426"/>
      <c r="CB37" s="1426"/>
    </row>
    <row r="38" spans="1:82">
      <c r="A38" s="349" t="s">
        <v>19432</v>
      </c>
      <c r="E38" s="352"/>
      <c r="S38" s="349"/>
      <c r="AH38" s="349" t="s">
        <v>19447</v>
      </c>
      <c r="AW38" s="370"/>
      <c r="BM38" s="373"/>
      <c r="BO38" s="349" t="s">
        <v>19441</v>
      </c>
      <c r="CD38" s="353"/>
    </row>
    <row r="39" spans="1:82" ht="12.75" customHeight="1">
      <c r="C39" s="1426"/>
      <c r="D39" s="356"/>
      <c r="E39" s="352"/>
      <c r="G39" s="350" t="s">
        <v>233</v>
      </c>
      <c r="P39" s="354" t="s">
        <v>215</v>
      </c>
      <c r="S39" s="356"/>
      <c r="AE39" s="354"/>
      <c r="AH39" s="356"/>
      <c r="AK39" s="350" t="s">
        <v>233</v>
      </c>
      <c r="AT39" s="354" t="s">
        <v>215</v>
      </c>
      <c r="AW39" s="370" t="s">
        <v>19376</v>
      </c>
      <c r="BM39" s="373"/>
      <c r="BO39" s="356"/>
      <c r="BR39" s="350" t="s">
        <v>233</v>
      </c>
      <c r="CA39" s="354" t="s">
        <v>215</v>
      </c>
      <c r="CD39" s="353"/>
    </row>
    <row r="40" spans="1:82">
      <c r="E40" s="352"/>
      <c r="F40" s="353"/>
      <c r="G40" s="352">
        <v>1</v>
      </c>
      <c r="H40" s="352"/>
      <c r="I40" s="352">
        <v>2</v>
      </c>
      <c r="J40" s="352"/>
      <c r="K40" s="352">
        <v>3</v>
      </c>
      <c r="L40" s="352"/>
      <c r="M40" s="352">
        <v>4</v>
      </c>
      <c r="N40" s="352"/>
      <c r="O40" s="352">
        <v>5</v>
      </c>
      <c r="P40" s="353"/>
      <c r="Q40" s="353"/>
      <c r="R40" s="359"/>
      <c r="U40" s="353"/>
      <c r="V40" s="352"/>
      <c r="W40" s="352"/>
      <c r="X40" s="352"/>
      <c r="Y40" s="352"/>
      <c r="Z40" s="352"/>
      <c r="AA40" s="352"/>
      <c r="AB40" s="352"/>
      <c r="AC40" s="352"/>
      <c r="AD40" s="352"/>
      <c r="AE40" s="353"/>
      <c r="AF40" s="353"/>
      <c r="AG40" s="359"/>
      <c r="AJ40" s="353"/>
      <c r="AK40" s="352">
        <v>1</v>
      </c>
      <c r="AL40" s="352"/>
      <c r="AM40" s="352">
        <v>2</v>
      </c>
      <c r="AN40" s="352"/>
      <c r="AO40" s="352">
        <v>3</v>
      </c>
      <c r="AP40" s="352"/>
      <c r="AQ40" s="352">
        <v>4</v>
      </c>
      <c r="AR40" s="352"/>
      <c r="AS40" s="352">
        <v>5</v>
      </c>
      <c r="AT40" s="353"/>
      <c r="AU40" s="353"/>
      <c r="AV40" s="359"/>
      <c r="AW40" s="373"/>
      <c r="BM40" s="373"/>
      <c r="BN40" s="359"/>
      <c r="BQ40" s="353"/>
      <c r="BR40" s="352">
        <v>1</v>
      </c>
      <c r="BS40" s="352"/>
      <c r="BT40" s="352">
        <v>2</v>
      </c>
      <c r="BU40" s="352"/>
      <c r="BV40" s="352">
        <v>3</v>
      </c>
      <c r="BW40" s="352"/>
      <c r="BX40" s="352">
        <v>4</v>
      </c>
      <c r="BY40" s="352"/>
      <c r="BZ40" s="352">
        <v>5</v>
      </c>
      <c r="CA40" s="353"/>
      <c r="CB40" s="353"/>
      <c r="CC40" s="353"/>
      <c r="CD40" s="353"/>
    </row>
    <row r="41" spans="1:82">
      <c r="E41" s="352"/>
      <c r="F41" s="1382">
        <f>IF($O$4="NO",ROUNDUP(BQ41-0.00499,0),LEFT(BQ41,1)+(IF(BQ41-LEFT(BQ41,1)&lt;0.00499,0,IF(BQ41-LEFT(BQ41,1)-0.00499&lt;('1-Eng Inputs'!$C$39/'1-Eng Inputs'!$C$38),0.5,1))))</f>
        <v>3</v>
      </c>
      <c r="G41" s="353"/>
      <c r="H41" s="1382">
        <f>IF($O$4="NO",ROUNDUP(BS41-0.00499,0),LEFT(BS41,1)+(IF(BS41-LEFT(BS41,1)&lt;0.00499,0,IF(BS41-LEFT(BS41,1)-0.00499&lt;('1-Eng Inputs'!$C$39/'1-Eng Inputs'!$C$38),0.5,1))))</f>
        <v>6</v>
      </c>
      <c r="I41" s="353"/>
      <c r="J41" s="1382">
        <f>IF($O$4="NO",ROUNDUP(BU41-0.00499,0),LEFT(BU41,1)+(IF(BU41-LEFT(BU41,1)&lt;0.00499,0,IF(BU41-LEFT(BU41,1)-0.00499&lt;('1-Eng Inputs'!$C$39/'1-Eng Inputs'!$C$38),0.5,1))))</f>
        <v>5</v>
      </c>
      <c r="K41" s="353"/>
      <c r="L41" s="1382">
        <f>IF($O$4="NO",ROUNDUP(BW41-0.00499,0),LEFT(BW41,1)+(IF(BW41-LEFT(BW41,1)&lt;0.00499,0,IF(BW41-LEFT(BW41,1)-0.00499&lt;('1-Eng Inputs'!$C$39/'1-Eng Inputs'!$C$38),0.5,1))))</f>
        <v>5</v>
      </c>
      <c r="M41" s="353"/>
      <c r="N41" s="1382">
        <f>IF($O$4="NO",ROUNDUP(BY41-0.00499,0),LEFT(BY41,1)+(IF(BY41-LEFT(BY41,1)&lt;0.00499,0,IF(BY41-LEFT(BY41,1)-0.00499&lt;('1-Eng Inputs'!$C$39/'1-Eng Inputs'!$C$38),0.5,1))))</f>
        <v>5</v>
      </c>
      <c r="O41" s="353"/>
      <c r="P41" s="1382">
        <f>IF($O$4="NO",ROUNDUP(CA41-0.00499,0),LEFT(CA41,1)+(IF(CA41-LEFT(CA41,1)&lt;0.00499,0,IF(CA41-LEFT(CA41,1)-0.00499&lt;('1-Eng Inputs'!$C$39/'1-Eng Inputs'!$C$38),0.5,1))))</f>
        <v>5</v>
      </c>
      <c r="U41" s="1388">
        <f>IF(LEFT(F41,3)-LEFT(F41,1)=0.5,'1-Eng Inputs'!$C$39,0)+LEFT(F41,1)*'1-Eng Inputs'!$C$38</f>
        <v>96</v>
      </c>
      <c r="W41" s="1420">
        <f>IF(LEFT(H41,3)-LEFT(H41,1)=0.5,'1-Eng Inputs'!$C$39,0)+LEFT(H41,1)*'1-Eng Inputs'!$C$38</f>
        <v>192</v>
      </c>
      <c r="Y41" s="1420">
        <f>IF(LEFT(J41,3)-LEFT(J41,1)=0.5,'1-Eng Inputs'!$C$39,0)+LEFT(J41,1)*'1-Eng Inputs'!$C$38</f>
        <v>160</v>
      </c>
      <c r="AA41" s="1420">
        <f>IF(LEFT(L41,3)-LEFT(L41,1)=0.5,'1-Eng Inputs'!$C$39,0)+LEFT(L41,1)*'1-Eng Inputs'!$C$38</f>
        <v>160</v>
      </c>
      <c r="AC41" s="1421">
        <f>IF(LEFT(N41,3)-LEFT(N41,1)=0.5,'1-Eng Inputs'!$C$39,0)+LEFT(N41,1)*'1-Eng Inputs'!$C$38</f>
        <v>160</v>
      </c>
      <c r="AE41" s="1386">
        <f>IF(LEFT(P41,3)-LEFT(P41,1)=0.5,'1-Eng Inputs'!$C$39,0)+LEFT(P41,1)*'1-Eng Inputs'!$C$38</f>
        <v>160</v>
      </c>
      <c r="AJ41" s="1388">
        <f>AJ42*factors!$B$3</f>
        <v>2.5927895805359702</v>
      </c>
      <c r="AL41" s="1388">
        <f>AL42*factors!$B$3</f>
        <v>5.0201406299554145</v>
      </c>
      <c r="AN41" s="1388">
        <f>AN42*factors!$B$3</f>
        <v>4.8547020988388896</v>
      </c>
      <c r="AP41" s="1388">
        <f>AP42*factors!$B$3</f>
        <v>4.6156740476898817</v>
      </c>
      <c r="AR41" s="1386">
        <f>AR42*factors!$B$3</f>
        <v>4.3766459965408728</v>
      </c>
      <c r="AT41" s="1386">
        <f>AR41</f>
        <v>4.3766459965408728</v>
      </c>
      <c r="AW41" s="373"/>
      <c r="AX41" s="1396">
        <v>0.2857142857142857</v>
      </c>
      <c r="AZ41" s="1412">
        <v>0.2857142857142857</v>
      </c>
      <c r="BA41" s="1394">
        <v>0.33333333333333331</v>
      </c>
      <c r="BC41" s="1412">
        <v>0.33333333333333331</v>
      </c>
      <c r="BD41" s="1394">
        <v>0.33333333333333331</v>
      </c>
      <c r="BF41" s="1412">
        <v>0.33333333333333331</v>
      </c>
      <c r="BG41" s="1394">
        <v>0.33333333333333331</v>
      </c>
      <c r="BI41" s="1412">
        <v>0.33333333333333331</v>
      </c>
      <c r="BJ41" s="1394">
        <v>0.33333333333333331</v>
      </c>
      <c r="BL41" s="1396">
        <v>0.33333333333333331</v>
      </c>
      <c r="BM41" s="373"/>
      <c r="BQ41" s="1388">
        <f>AJ41</f>
        <v>2.5927895805359702</v>
      </c>
      <c r="BS41" s="1388">
        <f>AL41</f>
        <v>5.0201406299554145</v>
      </c>
      <c r="BU41" s="1388">
        <f>AN41</f>
        <v>4.8547020988388896</v>
      </c>
      <c r="BW41" s="1388">
        <f>AP41</f>
        <v>4.6156740476898817</v>
      </c>
      <c r="BY41" s="1386">
        <f>AR41</f>
        <v>4.3766459965408728</v>
      </c>
      <c r="CA41" s="1386">
        <f>BY41</f>
        <v>4.3766459965408728</v>
      </c>
      <c r="CB41" s="1426"/>
      <c r="CD41" s="353"/>
    </row>
    <row r="42" spans="1:82" ht="12.75" hidden="1" customHeight="1">
      <c r="E42" s="352"/>
      <c r="F42" s="1383"/>
      <c r="G42" s="353"/>
      <c r="H42" s="1383"/>
      <c r="I42" s="353"/>
      <c r="J42" s="1383"/>
      <c r="K42" s="353"/>
      <c r="L42" s="1383"/>
      <c r="M42" s="353"/>
      <c r="N42" s="1383"/>
      <c r="O42" s="353"/>
      <c r="P42" s="1383"/>
      <c r="U42" s="1389"/>
      <c r="V42" s="1379"/>
      <c r="W42" s="1403"/>
      <c r="X42" s="1379"/>
      <c r="Y42" s="1403"/>
      <c r="Z42" s="1379"/>
      <c r="AA42" s="1403"/>
      <c r="AB42" s="1379"/>
      <c r="AC42" s="1405"/>
      <c r="AD42" s="1379"/>
      <c r="AE42" s="1387"/>
      <c r="AJ42" s="1389">
        <f>(AK43*AX41)/'1-Eng Inputs'!$C$38</f>
        <v>1.851992557525693</v>
      </c>
      <c r="AK42" s="1379"/>
      <c r="AL42" s="1389">
        <f>(AK43*AZ41+AM43*BA41)/'1-Eng Inputs'!$C$38</f>
        <v>3.5858147356824395</v>
      </c>
      <c r="AM42" s="1379"/>
      <c r="AN42" s="1389">
        <f>(AM43*BC41+AO43*BD41)/'1-Eng Inputs'!$C$38</f>
        <v>3.4676443563134929</v>
      </c>
      <c r="AO42" s="1379"/>
      <c r="AP42" s="1389">
        <f>(AO43*BF41+AQ43*BG41)/'1-Eng Inputs'!$C$38</f>
        <v>3.2969100340642012</v>
      </c>
      <c r="AQ42" s="1379"/>
      <c r="AR42" s="1387">
        <f>(AQ43*BI41+AS43*BJ41)/'1-Eng Inputs'!$C$38</f>
        <v>3.1261757118149096</v>
      </c>
      <c r="AS42" s="1379"/>
      <c r="AT42" s="1387">
        <f>AR42</f>
        <v>3.1261757118149096</v>
      </c>
      <c r="AW42" s="373"/>
      <c r="AX42" s="1397"/>
      <c r="AZ42" s="1413"/>
      <c r="BA42" s="1395"/>
      <c r="BC42" s="1413"/>
      <c r="BD42" s="1395"/>
      <c r="BF42" s="1413"/>
      <c r="BG42" s="1395"/>
      <c r="BI42" s="1413"/>
      <c r="BJ42" s="1395"/>
      <c r="BL42" s="1397"/>
      <c r="BM42" s="373"/>
      <c r="BQ42" s="1389">
        <f>BQ41/factors!$B$3</f>
        <v>1.851992557525693</v>
      </c>
      <c r="BR42" s="1379">
        <f>V43</f>
        <v>235.60909817070728</v>
      </c>
      <c r="BS42" s="1389">
        <f>BS41/factors!$B$3</f>
        <v>3.585814735682439</v>
      </c>
      <c r="BT42" s="1379">
        <f>X43</f>
        <v>182.10106558084112</v>
      </c>
      <c r="BU42" s="1389">
        <f>BU41/factors!$B$3</f>
        <v>3.4676443563134929</v>
      </c>
      <c r="BV42" s="1379">
        <f>Z43</f>
        <v>178.15366402063549</v>
      </c>
      <c r="BW42" s="1389">
        <f>BW41/factors!$B$3</f>
        <v>3.2969100340642012</v>
      </c>
      <c r="BX42" s="1379">
        <f>AB43</f>
        <v>171.9306994845233</v>
      </c>
      <c r="BY42" s="1387">
        <f>BY41/factors!$B$3</f>
        <v>3.1261757118149092</v>
      </c>
      <c r="BZ42" s="1379">
        <f>AD43</f>
        <v>178.01581478849681</v>
      </c>
      <c r="CA42" s="1387">
        <f>BY42</f>
        <v>3.1261757118149092</v>
      </c>
      <c r="CB42" s="1426"/>
      <c r="CD42" s="353"/>
    </row>
    <row r="43" spans="1:82" ht="24.75" customHeight="1">
      <c r="D43" s="354" t="s">
        <v>234</v>
      </c>
      <c r="E43" s="352">
        <v>1</v>
      </c>
      <c r="F43" s="382"/>
      <c r="G43" s="378" t="s">
        <v>19438</v>
      </c>
      <c r="H43" s="382"/>
      <c r="I43" s="378" t="s">
        <v>19438</v>
      </c>
      <c r="J43" s="382"/>
      <c r="K43" s="378" t="s">
        <v>19438</v>
      </c>
      <c r="L43" s="382"/>
      <c r="M43" s="378" t="s">
        <v>19416</v>
      </c>
      <c r="N43" s="382"/>
      <c r="O43" s="378" t="s">
        <v>19416</v>
      </c>
      <c r="P43" s="382"/>
      <c r="S43" s="354"/>
      <c r="U43" s="382"/>
      <c r="V43" s="348">
        <f>(U41*(AK43*AX41/(AJ42*'1-Eng Inputs'!$C$38))/factors!$B$3+U44*(AK43*AX44/(AJ44*'1-Eng Inputs'!$C$38))+W41*(AK43*AZ41/(AL42*'1-Eng Inputs'!$C$38))/factors!$B$3+W44*(AK43*AZ44/(AL44*'1-Eng Inputs'!$C$38)))</f>
        <v>235.60909817070728</v>
      </c>
      <c r="W43" s="382"/>
      <c r="X43" s="348">
        <f>(W41*(AM43*BA41/(AL42*'1-Eng Inputs'!$C$38))/factors!$B$3+W44*(AM43*BA44/(AL44*'1-Eng Inputs'!$C$38))+Y41*(AM43*BC41/(AN42*'1-Eng Inputs'!$C$38))/factors!$B$3+Y44*(AM43*BC44/(AN44*'1-Eng Inputs'!$C$38)))</f>
        <v>182.10106558084112</v>
      </c>
      <c r="Y43" s="382"/>
      <c r="Z43" s="348">
        <f>(Y41*(AO43*BD41/(AN42*'1-Eng Inputs'!$C$38))/factors!$B$3+Y44*(AO43*BD44/(AN44*'1-Eng Inputs'!$C$38))+AA41*(AO43*BF41/(AP42*'1-Eng Inputs'!$C$38))/factors!$B$3+AA44*(AO43*BF44/(AP44*'1-Eng Inputs'!$C$38)))</f>
        <v>178.15366402063549</v>
      </c>
      <c r="AA43" s="382"/>
      <c r="AB43" s="348">
        <f>(AA41*(AQ43*BG41/(AP42*'1-Eng Inputs'!$C$38))/factors!$B$3+AA44*(AQ43*BG44/(AP44*'1-Eng Inputs'!$C$38))+AC41*(AQ43*BI41/(AR42*'1-Eng Inputs'!$C$38))/factors!$B$3+AC44*(AQ43*BI44/(AR44*'1-Eng Inputs'!$C$38)))</f>
        <v>171.9306994845233</v>
      </c>
      <c r="AC43" s="382"/>
      <c r="AD43" s="348">
        <f>(AC41*(AS43*BJ41/(AR42*'1-Eng Inputs'!$C$38))/factors!$B$3+AC44*(AS43*BJ44/(AR44*'1-Eng Inputs'!$C$38))+AE41*(AS43*BL41/(AT42*'1-Eng Inputs'!$C$38))/factors!$B$3+AE44*(AS43*BL44/(AT44*'1-Eng Inputs'!$C$38)))</f>
        <v>178.01581478849681</v>
      </c>
      <c r="AE43" s="382"/>
      <c r="AH43" s="354" t="s">
        <v>234</v>
      </c>
      <c r="AI43" s="353">
        <v>1</v>
      </c>
      <c r="AJ43" s="382"/>
      <c r="AK43" s="348">
        <f>MAX('Land Calcs 10deg (lift)'!$H$6,'Land Calcs 10deg (lift)'!$H$26)</f>
        <v>207.42316644287763</v>
      </c>
      <c r="AL43" s="382"/>
      <c r="AM43" s="348">
        <f>MAX('Land Calcs 10deg (lift)'!$I$6,'Land Calcs 10deg (lift)'!$I$26)</f>
        <v>166.44692910304767</v>
      </c>
      <c r="AN43" s="382"/>
      <c r="AO43" s="348">
        <f>MAX('Land Calcs 10deg (lift)'!$I$6,'Land Calcs 10deg (lift)'!$I$26)</f>
        <v>166.44692910304767</v>
      </c>
      <c r="AP43" s="382"/>
      <c r="AQ43" s="348">
        <f>MAX('Land Calcs 10deg (lift)'!$I$11,'Land Calcs 10deg (lift)'!$I$31)</f>
        <v>150.05643416711567</v>
      </c>
      <c r="AR43" s="382"/>
      <c r="AS43" s="348">
        <f>MAX('Land Calcs 10deg (lift)'!$I$11,'Land Calcs 10deg (lift)'!$I$31)</f>
        <v>150.05643416711567</v>
      </c>
      <c r="AT43" s="382"/>
      <c r="AW43" s="373"/>
      <c r="AY43" s="381"/>
      <c r="BB43" s="381"/>
      <c r="BE43" s="381"/>
      <c r="BH43" s="381"/>
      <c r="BK43" s="381"/>
      <c r="BM43" s="373"/>
      <c r="BO43" s="354" t="s">
        <v>234</v>
      </c>
      <c r="BP43" s="353">
        <v>1</v>
      </c>
      <c r="BQ43" s="382"/>
      <c r="BR43" s="348">
        <f>AK43</f>
        <v>207.42316644287763</v>
      </c>
      <c r="BS43" s="382"/>
      <c r="BT43" s="348">
        <f>AM43</f>
        <v>166.44692910304767</v>
      </c>
      <c r="BU43" s="382"/>
      <c r="BV43" s="348">
        <f>AO43</f>
        <v>166.44692910304767</v>
      </c>
      <c r="BW43" s="382"/>
      <c r="BX43" s="348">
        <f>AQ43</f>
        <v>150.05643416711567</v>
      </c>
      <c r="BY43" s="382"/>
      <c r="BZ43" s="348">
        <f>AS43</f>
        <v>150.05643416711567</v>
      </c>
      <c r="CA43" s="382"/>
      <c r="CC43" s="1426"/>
      <c r="CD43" s="353"/>
    </row>
    <row r="44" spans="1:82">
      <c r="E44" s="352"/>
      <c r="F44" s="1382">
        <f>IF($O$4="NO",ROUNDUP(BQ44-0.00499,0),LEFT(BQ44,1)+(IF(BQ44-LEFT(BQ44,1)&lt;0.00499,0,IF(BQ44-LEFT(BQ44,1)-0.00499&lt;('1-Eng Inputs'!$C$39/'1-Eng Inputs'!$C$38),0.5,1))))</f>
        <v>4</v>
      </c>
      <c r="G44" s="353"/>
      <c r="H44" s="1382">
        <f>IF($O$4="NO",ROUNDUP(BS44-0.00499,0),LEFT(BS44,1)+(IF(BS44-LEFT(BS44,1)&lt;0.00499,0,IF(BS44-LEFT(BS44,1)-0.00499&lt;('1-Eng Inputs'!$C$39/'1-Eng Inputs'!$C$38),0.5,1))))</f>
        <v>4</v>
      </c>
      <c r="I44" s="353"/>
      <c r="J44" s="1382">
        <f>IF($O$4="NO",ROUNDUP(BU44-0.00499,0),LEFT(BU44,1)+(IF(BU44-LEFT(BU44,1)&lt;0.00499,0,IF(BU44-LEFT(BU44,1)-0.00499&lt;('1-Eng Inputs'!$C$39/'1-Eng Inputs'!$C$38),0.5,1))))</f>
        <v>4</v>
      </c>
      <c r="K44" s="353"/>
      <c r="L44" s="1382">
        <f>IF($O$4="NO",ROUNDUP(BW44-0.00499,0),LEFT(BW44,1)+(IF(BW44-LEFT(BW44,1)&lt;0.00499,0,IF(BW44-LEFT(BW44,1)-0.00499&lt;('1-Eng Inputs'!$C$39/'1-Eng Inputs'!$C$38),0.5,1))))</f>
        <v>4</v>
      </c>
      <c r="M44" s="353"/>
      <c r="N44" s="1382">
        <f>IF($O$4="NO",ROUNDUP(BY44-0.00499,0),LEFT(BY44,1)+(IF(BY44-LEFT(BY44,1)&lt;0.00499,0,IF(BY44-LEFT(BY44,1)-0.00499&lt;('1-Eng Inputs'!$C$39/'1-Eng Inputs'!$C$38),0.5,1))))</f>
        <v>4</v>
      </c>
      <c r="O44" s="353"/>
      <c r="P44" s="1382">
        <f>IF($O$4="NO",ROUNDUP(CA44-0.00499,0),LEFT(CA44,1)+(IF(CA44-LEFT(CA44,1)&lt;0.00499,0,IF(CA44-LEFT(CA44,1)-0.00499&lt;('1-Eng Inputs'!$C$39/'1-Eng Inputs'!$C$38),0.5,1))))</f>
        <v>4</v>
      </c>
      <c r="U44" s="1388">
        <f>IF(LEFT(F44,3)-LEFT(F44,1)=0.5,'1-Eng Inputs'!$C$39,0)+LEFT(F44,1)*'1-Eng Inputs'!$C$38</f>
        <v>128</v>
      </c>
      <c r="V44" s="375">
        <f>V43-BR42</f>
        <v>0</v>
      </c>
      <c r="W44" s="1402">
        <f>IF(LEFT(H44,3)-LEFT(H44,1)=0.5,'1-Eng Inputs'!$C$39,0)+LEFT(H44,1)*'1-Eng Inputs'!$C$38</f>
        <v>128</v>
      </c>
      <c r="X44" s="375">
        <f>X43-BT42</f>
        <v>0</v>
      </c>
      <c r="Y44" s="1402">
        <f>IF(LEFT(J44,3)-LEFT(J44,1)=0.5,'1-Eng Inputs'!$C$39,0)+LEFT(J44,1)*'1-Eng Inputs'!$C$38</f>
        <v>128</v>
      </c>
      <c r="Z44" s="375">
        <f>Z43-BV42</f>
        <v>0</v>
      </c>
      <c r="AA44" s="1402">
        <f>IF(LEFT(L44,3)-LEFT(L44,1)=0.5,'1-Eng Inputs'!$C$39,0)+LEFT(L44,1)*'1-Eng Inputs'!$C$38</f>
        <v>128</v>
      </c>
      <c r="AB44" s="375">
        <f>AB43-BX42</f>
        <v>0</v>
      </c>
      <c r="AC44" s="1404">
        <f>IF(LEFT(N44,3)-LEFT(N44,1)=0.5,'1-Eng Inputs'!$C$39,0)+LEFT(N44,1)*'1-Eng Inputs'!$C$38</f>
        <v>128</v>
      </c>
      <c r="AD44" s="375">
        <f>AD43-BZ42</f>
        <v>0</v>
      </c>
      <c r="AE44" s="1386">
        <f>IF(LEFT(P44,3)-LEFT(P44,1)=0.5,'1-Eng Inputs'!$C$39,0)+LEFT(P44,1)*'1-Eng Inputs'!$C$38</f>
        <v>128</v>
      </c>
      <c r="AJ44" s="1388">
        <f>(AK43*AX44+AK46*AX45)/'1-Eng Inputs'!$C$38</f>
        <v>3.6711818968070844</v>
      </c>
      <c r="AK44" s="375"/>
      <c r="AL44" s="1388">
        <f>(AK43*AZ44+AM43*BA44+AK46*AZ45+AM46*BA45)/'1-Eng Inputs'!$C$38</f>
        <v>3.746767187725538</v>
      </c>
      <c r="AM44" s="375"/>
      <c r="AN44" s="1388">
        <f>(AM43*BC44+AO43*BD44+AM46*BC45+AO46*BD45)/'1-Eng Inputs'!$C$38</f>
        <v>3.822352478643992</v>
      </c>
      <c r="AO44" s="375"/>
      <c r="AP44" s="1388">
        <f>(AO43*BF44+AQ43*BG44+AO46*BF45+AQ46*BG45)/'1-Eng Inputs'!$C$38</f>
        <v>3.4808838341454091</v>
      </c>
      <c r="AQ44" s="375"/>
      <c r="AR44" s="1386">
        <f>(AQ43*BI44+AS43*BJ44+AQ46*BI45+AS46*BJ45)/'1-Eng Inputs'!$C$38</f>
        <v>3.1394151896468259</v>
      </c>
      <c r="AS44" s="375"/>
      <c r="AT44" s="1386">
        <f>AR44</f>
        <v>3.1394151896468259</v>
      </c>
      <c r="AW44" s="373"/>
      <c r="AX44" s="1468">
        <v>0.2857142857142857</v>
      </c>
      <c r="AZ44" s="1471">
        <v>0.14285714285714285</v>
      </c>
      <c r="BA44" s="1473">
        <v>0.16666666666666666</v>
      </c>
      <c r="BC44" s="1471">
        <v>0.16666666666666666</v>
      </c>
      <c r="BD44" s="1473">
        <v>0.16666666666666666</v>
      </c>
      <c r="BF44" s="1471">
        <v>0.16666666666666666</v>
      </c>
      <c r="BG44" s="1473">
        <v>0.16666666666666666</v>
      </c>
      <c r="BI44" s="1471">
        <v>0.16666666666666666</v>
      </c>
      <c r="BJ44" s="1473">
        <v>0.16666666666666666</v>
      </c>
      <c r="BL44" s="1468">
        <v>0.16666666666666666</v>
      </c>
      <c r="BM44" s="373"/>
      <c r="BQ44" s="1388">
        <f>AJ44</f>
        <v>3.6711818968070844</v>
      </c>
      <c r="BR44" s="375"/>
      <c r="BS44" s="1388">
        <f>AL44</f>
        <v>3.746767187725538</v>
      </c>
      <c r="BT44" s="375"/>
      <c r="BU44" s="1388">
        <f>AN44</f>
        <v>3.822352478643992</v>
      </c>
      <c r="BV44" s="375"/>
      <c r="BW44" s="1388">
        <f>AP44</f>
        <v>3.4808838341454091</v>
      </c>
      <c r="BX44" s="375"/>
      <c r="BY44" s="1386">
        <f>AR44</f>
        <v>3.1394151896468259</v>
      </c>
      <c r="BZ44" s="375"/>
      <c r="CA44" s="1386">
        <f>AT44</f>
        <v>3.1394151896468259</v>
      </c>
      <c r="CB44" s="1426"/>
      <c r="CD44" s="353"/>
    </row>
    <row r="45" spans="1:82" ht="12.75" hidden="1" customHeight="1">
      <c r="E45" s="352"/>
      <c r="F45" s="1383"/>
      <c r="G45" s="353"/>
      <c r="H45" s="1383"/>
      <c r="I45" s="353"/>
      <c r="J45" s="1383"/>
      <c r="K45" s="353"/>
      <c r="L45" s="1383"/>
      <c r="M45" s="353"/>
      <c r="N45" s="1383"/>
      <c r="O45" s="353"/>
      <c r="P45" s="1383"/>
      <c r="U45" s="1389"/>
      <c r="V45" s="1379"/>
      <c r="W45" s="1403"/>
      <c r="X45" s="1379"/>
      <c r="Y45" s="1403"/>
      <c r="Z45" s="1379"/>
      <c r="AA45" s="1403"/>
      <c r="AB45" s="1379"/>
      <c r="AC45" s="1405"/>
      <c r="AD45" s="1379"/>
      <c r="AE45" s="1387"/>
      <c r="AJ45" s="1389"/>
      <c r="AK45" s="1379"/>
      <c r="AL45" s="1389"/>
      <c r="AM45" s="1379"/>
      <c r="AN45" s="1389"/>
      <c r="AO45" s="1379"/>
      <c r="AP45" s="1389"/>
      <c r="AQ45" s="1379"/>
      <c r="AR45" s="1387"/>
      <c r="AS45" s="1379"/>
      <c r="AT45" s="1387"/>
      <c r="AW45" s="373"/>
      <c r="AX45" s="1469">
        <v>0.33333333333333331</v>
      </c>
      <c r="AZ45" s="1472">
        <v>0.16666666666666666</v>
      </c>
      <c r="BA45" s="1474">
        <v>0.25</v>
      </c>
      <c r="BC45" s="1472">
        <v>0.25</v>
      </c>
      <c r="BD45" s="1474">
        <v>0.25</v>
      </c>
      <c r="BF45" s="1472">
        <v>0.25</v>
      </c>
      <c r="BG45" s="1474">
        <v>0.25</v>
      </c>
      <c r="BI45" s="1472">
        <v>0.25</v>
      </c>
      <c r="BJ45" s="1474">
        <v>0.25</v>
      </c>
      <c r="BL45" s="1469">
        <v>0.25</v>
      </c>
      <c r="BM45" s="373"/>
      <c r="BQ45" s="1389"/>
      <c r="BR45" s="1379">
        <f>V46</f>
        <v>186.58682667507722</v>
      </c>
      <c r="BS45" s="1389"/>
      <c r="BT45" s="1379">
        <f>X46</f>
        <v>144.82200996203508</v>
      </c>
      <c r="BU45" s="1389"/>
      <c r="BV45" s="1379">
        <f>Z46</f>
        <v>147.8106378992768</v>
      </c>
      <c r="BW45" s="1389"/>
      <c r="BX45" s="1379">
        <f>AB46</f>
        <v>116.13937896991756</v>
      </c>
      <c r="BY45" s="1387"/>
      <c r="BZ45" s="1379">
        <f>AD46</f>
        <v>115.72922173623984</v>
      </c>
      <c r="CA45" s="1387"/>
      <c r="CB45" s="1426"/>
      <c r="CD45" s="353"/>
    </row>
    <row r="46" spans="1:82" ht="24.75" customHeight="1">
      <c r="D46" s="355"/>
      <c r="E46" s="352">
        <v>2</v>
      </c>
      <c r="F46" s="382"/>
      <c r="G46" s="378" t="s">
        <v>19438</v>
      </c>
      <c r="H46" s="382"/>
      <c r="I46" s="378" t="s">
        <v>19438</v>
      </c>
      <c r="J46" s="382"/>
      <c r="K46" s="378" t="s">
        <v>19438</v>
      </c>
      <c r="L46" s="382"/>
      <c r="M46" s="378" t="s">
        <v>19416</v>
      </c>
      <c r="N46" s="382"/>
      <c r="O46" s="378" t="s">
        <v>19416</v>
      </c>
      <c r="P46" s="382"/>
      <c r="S46" s="355"/>
      <c r="U46" s="382"/>
      <c r="V46" s="348">
        <f>(U44*(AK46*AX45/(AJ44*'1-Eng Inputs'!$C$38))+U47*(AK46*AX47/(AJ47*'1-Eng Inputs'!$C$38))+W44*(AK46*AZ45/(AL44*'1-Eng Inputs'!$C$38))+W47*(AK46*AZ47/(AL47*'1-Eng Inputs'!$C$38)))</f>
        <v>186.58682667507722</v>
      </c>
      <c r="W46" s="382"/>
      <c r="X46" s="348">
        <f>(W44*(AM46*BA45/(AL44*'1-Eng Inputs'!$C$38))+W47*(AM46*BA47/(AL47*'1-Eng Inputs'!$C$38))+Y44*(AM46*BC45/(AN44*'1-Eng Inputs'!$C$38))+Y47*(AM46*BC47/(AN47*'1-Eng Inputs'!$C$38)))</f>
        <v>144.82200996203508</v>
      </c>
      <c r="Y46" s="382"/>
      <c r="Z46" s="348">
        <f>(Y44*(AO46*BD45/(AN44*'1-Eng Inputs'!$C$38))+Y47*(AO46*BD47/(AN47*'1-Eng Inputs'!$C$38))+AA44*(AO46*BF45/(AP44*'1-Eng Inputs'!$C$38))+AA47*(AO46*BF47/(AP47*'1-Eng Inputs'!$C$38)))</f>
        <v>147.8106378992768</v>
      </c>
      <c r="AA46" s="382"/>
      <c r="AB46" s="348">
        <f>(AA44*(AQ46*BG45/(AP44*'1-Eng Inputs'!$C$38))+AA47*(AQ46*BG47/(AP47*'1-Eng Inputs'!$C$38))+AC44*(AQ46*BI45/(AR44*'1-Eng Inputs'!$C$38))+AC47*(AQ46*BI47/(AR47*'1-Eng Inputs'!$C$38)))</f>
        <v>116.13937896991756</v>
      </c>
      <c r="AC46" s="382"/>
      <c r="AD46" s="348">
        <f>(AC44*(AS46*BJ45/(AR44*'1-Eng Inputs'!$C$38))+AC47*(AS46*BJ47/(AR47*'1-Eng Inputs'!$C$38))+AE44*(AS46*BL45/(AT44*'1-Eng Inputs'!$C$38))+AE47*(AS46*BL47/(AT47*'1-Eng Inputs'!$C$38)))</f>
        <v>115.72922173623984</v>
      </c>
      <c r="AE46" s="382"/>
      <c r="AH46" s="355"/>
      <c r="AI46" s="353">
        <v>2</v>
      </c>
      <c r="AJ46" s="382"/>
      <c r="AK46" s="348">
        <f>MAX('Land Calcs 10deg (lift)'!$J$6,'Land Calcs 10deg (lift)'!$J$26)</f>
        <v>174.64217657101361</v>
      </c>
      <c r="AL46" s="382"/>
      <c r="AM46" s="348">
        <f>MAX('Land Calcs 10deg (lift)'!$K$6,'Land Calcs 10deg (lift)'!$K$26)</f>
        <v>133.6659392311837</v>
      </c>
      <c r="AN46" s="382"/>
      <c r="AO46" s="348">
        <f>MAX('Land Calcs 10deg (lift)'!$K$6,'Land Calcs 10deg (lift)'!$K$26)</f>
        <v>133.6659392311837</v>
      </c>
      <c r="AP46" s="382"/>
      <c r="AQ46" s="348">
        <f>MAX('Land Calcs 10deg (lift)'!$K$11,'Land Calcs 10deg (lift)'!$K$31)</f>
        <v>100.88494935931976</v>
      </c>
      <c r="AR46" s="382"/>
      <c r="AS46" s="348">
        <f>MAX('Land Calcs 10deg (lift)'!$K$11,'Land Calcs 10deg (lift)'!$K$31)</f>
        <v>100.88494935931976</v>
      </c>
      <c r="AT46" s="382"/>
      <c r="AW46" s="373"/>
      <c r="AY46" s="381"/>
      <c r="BB46" s="381"/>
      <c r="BE46" s="381"/>
      <c r="BH46" s="381"/>
      <c r="BK46" s="381"/>
      <c r="BM46" s="373"/>
      <c r="BO46" s="355"/>
      <c r="BP46" s="353">
        <v>2</v>
      </c>
      <c r="BQ46" s="382"/>
      <c r="BR46" s="348">
        <f>AK46</f>
        <v>174.64217657101361</v>
      </c>
      <c r="BS46" s="382"/>
      <c r="BT46" s="348">
        <f>AM46</f>
        <v>133.6659392311837</v>
      </c>
      <c r="BU46" s="382"/>
      <c r="BV46" s="348">
        <f>AO46</f>
        <v>133.6659392311837</v>
      </c>
      <c r="BW46" s="382"/>
      <c r="BX46" s="348">
        <f>AQ46</f>
        <v>100.88494935931976</v>
      </c>
      <c r="BY46" s="382"/>
      <c r="BZ46" s="348">
        <f>AS46</f>
        <v>100.88494935931976</v>
      </c>
      <c r="CA46" s="382"/>
      <c r="CC46" s="1426"/>
      <c r="CD46" s="353"/>
    </row>
    <row r="47" spans="1:82" ht="12" customHeight="1">
      <c r="D47" s="355"/>
      <c r="E47" s="352"/>
      <c r="F47" s="1382">
        <f>IF($O$4="NO",ROUNDUP(BQ47-0.00499,0),LEFT(BQ47,1)+(IF(BQ47-LEFT(BQ47,1)&lt;0.00499,0,IF(BQ47-LEFT(BQ47,1)-0.00499&lt;('1-Eng Inputs'!$C$39/'1-Eng Inputs'!$C$38),0.5,1))))</f>
        <v>4</v>
      </c>
      <c r="G47" s="353"/>
      <c r="H47" s="1382">
        <f>IF($O$4="NO",ROUNDUP(BS47-0.00499,0),LEFT(BS47,1)+(IF(BS47-LEFT(BS47,1)&lt;0.00499,0,IF(BS47-LEFT(BS47,1)-0.00499&lt;('1-Eng Inputs'!$C$39/'1-Eng Inputs'!$C$38),0.5,1))))</f>
        <v>5</v>
      </c>
      <c r="I47" s="353"/>
      <c r="J47" s="1382">
        <f>IF($O$4="NO",ROUNDUP(BU47-0.00499,0),LEFT(BU47,1)+(IF(BU47-LEFT(BU47,1)&lt;0.00499,0,IF(BU47-LEFT(BU47,1)-0.00499&lt;('1-Eng Inputs'!$C$39/'1-Eng Inputs'!$C$38),0.5,1))))</f>
        <v>5</v>
      </c>
      <c r="K47" s="353"/>
      <c r="L47" s="1382">
        <f>IF($O$4="NO",ROUNDUP(BW47-0.00499,0),LEFT(BW47,1)+(IF(BW47-LEFT(BW47,1)&lt;0.00499,0,IF(BW47-LEFT(BW47,1)-0.00499&lt;('1-Eng Inputs'!$C$39/'1-Eng Inputs'!$C$38),0.5,1))))</f>
        <v>5</v>
      </c>
      <c r="M47" s="353"/>
      <c r="N47" s="1382">
        <f>IF($O$4="NO",ROUNDUP(BY47-0.00499,0),LEFT(BY47,1)+(IF(BY47-LEFT(BY47,1)&lt;0.00499,0,IF(BY47-LEFT(BY47,1)-0.00499&lt;('1-Eng Inputs'!$C$39/'1-Eng Inputs'!$C$38),0.5,1))))</f>
        <v>4</v>
      </c>
      <c r="O47" s="353"/>
      <c r="P47" s="1382">
        <f>IF($O$4="NO",ROUNDUP(CA47-0.00499,0),LEFT(CA47,1)+(IF(CA47-LEFT(CA47,1)&lt;0.00499,0,IF(CA47-LEFT(CA47,1)-0.00499&lt;('1-Eng Inputs'!$C$39/'1-Eng Inputs'!$C$38),0.5,1))))</f>
        <v>4</v>
      </c>
      <c r="S47" s="355"/>
      <c r="U47" s="1388">
        <f>IF(LEFT(F47,3)-LEFT(F47,1)=0.5,'1-Eng Inputs'!$C$39,0)+LEFT(F47,1)*'1-Eng Inputs'!$C$38</f>
        <v>128</v>
      </c>
      <c r="V47" s="350">
        <f>V46-BR45</f>
        <v>0</v>
      </c>
      <c r="W47" s="1402">
        <f>IF(LEFT(H47,3)-LEFT(H47,1)=0.5,'1-Eng Inputs'!$C$39,0)+LEFT(H47,1)*'1-Eng Inputs'!$C$38</f>
        <v>160</v>
      </c>
      <c r="X47" s="350">
        <f>X46-BT45</f>
        <v>0</v>
      </c>
      <c r="Y47" s="1402">
        <f>IF(LEFT(J47,3)-LEFT(J47,1)=0.5,'1-Eng Inputs'!$C$39,0)+LEFT(J47,1)*'1-Eng Inputs'!$C$38</f>
        <v>160</v>
      </c>
      <c r="Z47" s="350">
        <f>Z46-BV45</f>
        <v>0</v>
      </c>
      <c r="AA47" s="1402">
        <f>IF(LEFT(L47,3)-LEFT(L47,1)=0.5,'1-Eng Inputs'!$C$39,0)+LEFT(L47,1)*'1-Eng Inputs'!$C$38</f>
        <v>160</v>
      </c>
      <c r="AB47" s="350">
        <f>AB46-BX45</f>
        <v>0</v>
      </c>
      <c r="AC47" s="1404">
        <f>IF(LEFT(N47,3)-LEFT(N47,1)=0.5,'1-Eng Inputs'!$C$39,0)+LEFT(N47,1)*'1-Eng Inputs'!$C$38</f>
        <v>128</v>
      </c>
      <c r="AD47" s="350">
        <f>AD46-BZ45</f>
        <v>0</v>
      </c>
      <c r="AE47" s="1386">
        <f>IF(LEFT(P47,3)-LEFT(P47,1)=0.5,'1-Eng Inputs'!$C$39,0)+LEFT(P47,1)*'1-Eng Inputs'!$C$38</f>
        <v>128</v>
      </c>
      <c r="AH47" s="355"/>
      <c r="AJ47" s="1388">
        <f>(AK46*AX47+AK49*AX48)/'1-Eng Inputs'!$C$38</f>
        <v>3.9798473230613669</v>
      </c>
      <c r="AK47" s="356"/>
      <c r="AL47" s="1388">
        <f>(AK46*AZ47+AM46*BA47+AK49*AZ48+AM49*BA48)/'1-Eng Inputs'!$C$38</f>
        <v>4.3345554453918655</v>
      </c>
      <c r="AM47" s="356"/>
      <c r="AN47" s="1388">
        <f>(AM46*BC47+AO46*BD47+AM49*BC48+AO49*BD48)/'1-Eng Inputs'!$C$38</f>
        <v>4.6892635677223646</v>
      </c>
      <c r="AO47" s="356"/>
      <c r="AP47" s="1388">
        <f>(AO46*BF47+AQ46*BG47+AO49*BF48+AQ49*BG48)/'1-Eng Inputs'!$C$38</f>
        <v>4.3051113426614593</v>
      </c>
      <c r="AQ47" s="356"/>
      <c r="AR47" s="1386">
        <f>(AQ46*BI47+AS46*BJ47+AQ49*BI48+AS49*BJ48)/'1-Eng Inputs'!$C$38</f>
        <v>3.9209591176005532</v>
      </c>
      <c r="AS47" s="356"/>
      <c r="AT47" s="1386">
        <f>AR47</f>
        <v>3.9209591176005532</v>
      </c>
      <c r="AW47" s="373"/>
      <c r="AX47" s="1468">
        <v>0.33333333333333331</v>
      </c>
      <c r="AZ47" s="1471">
        <v>0.16666666666666666</v>
      </c>
      <c r="BA47" s="1473">
        <v>0.25</v>
      </c>
      <c r="BC47" s="1471">
        <v>0.25</v>
      </c>
      <c r="BD47" s="1473">
        <v>0.25</v>
      </c>
      <c r="BF47" s="1471">
        <v>0.25</v>
      </c>
      <c r="BG47" s="1473">
        <v>0.25</v>
      </c>
      <c r="BI47" s="1471">
        <v>0.25</v>
      </c>
      <c r="BJ47" s="1473">
        <v>0.25</v>
      </c>
      <c r="BL47" s="1468">
        <v>0.25</v>
      </c>
      <c r="BM47" s="373"/>
      <c r="BO47" s="355"/>
      <c r="BQ47" s="1388">
        <f>AJ47</f>
        <v>3.9798473230613669</v>
      </c>
      <c r="BR47" s="356"/>
      <c r="BS47" s="1388">
        <f>AL47</f>
        <v>4.3345554453918655</v>
      </c>
      <c r="BT47" s="356"/>
      <c r="BU47" s="1388">
        <f>AN47</f>
        <v>4.6892635677223646</v>
      </c>
      <c r="BV47" s="356"/>
      <c r="BW47" s="1388">
        <f>AP47</f>
        <v>4.3051113426614593</v>
      </c>
      <c r="BX47" s="356"/>
      <c r="BY47" s="1386">
        <f>AR47</f>
        <v>3.9209591176005532</v>
      </c>
      <c r="BZ47" s="356"/>
      <c r="CA47" s="1386">
        <f>AT47</f>
        <v>3.9209591176005532</v>
      </c>
      <c r="CB47" s="1426"/>
      <c r="CC47" s="1426"/>
      <c r="CD47" s="353"/>
    </row>
    <row r="48" spans="1:82" ht="12.75" hidden="1" customHeight="1">
      <c r="D48" s="355"/>
      <c r="E48" s="352"/>
      <c r="F48" s="1383"/>
      <c r="G48" s="353"/>
      <c r="H48" s="1383"/>
      <c r="I48" s="353"/>
      <c r="J48" s="1383"/>
      <c r="K48" s="353"/>
      <c r="L48" s="1383"/>
      <c r="M48" s="353"/>
      <c r="N48" s="1383"/>
      <c r="O48" s="353"/>
      <c r="P48" s="1383"/>
      <c r="S48" s="355"/>
      <c r="U48" s="1389"/>
      <c r="V48" s="1379"/>
      <c r="W48" s="1403"/>
      <c r="X48" s="1379"/>
      <c r="Y48" s="1403"/>
      <c r="Z48" s="1379"/>
      <c r="AA48" s="1403"/>
      <c r="AB48" s="1379"/>
      <c r="AC48" s="1405"/>
      <c r="AD48" s="1379"/>
      <c r="AE48" s="1387"/>
      <c r="AH48" s="355"/>
      <c r="AJ48" s="1389"/>
      <c r="AK48" s="1379"/>
      <c r="AL48" s="1389"/>
      <c r="AM48" s="1379"/>
      <c r="AN48" s="1389"/>
      <c r="AO48" s="1379"/>
      <c r="AP48" s="1389"/>
      <c r="AQ48" s="1379"/>
      <c r="AR48" s="1387"/>
      <c r="AS48" s="1379"/>
      <c r="AT48" s="1387"/>
      <c r="AW48" s="373"/>
      <c r="AX48" s="1469">
        <v>0.33333333333333331</v>
      </c>
      <c r="AZ48" s="1472">
        <v>0.16666666666666666</v>
      </c>
      <c r="BA48" s="1474">
        <v>0.25</v>
      </c>
      <c r="BC48" s="1472">
        <v>0.25</v>
      </c>
      <c r="BD48" s="1474">
        <v>0.25</v>
      </c>
      <c r="BF48" s="1472">
        <v>0.25</v>
      </c>
      <c r="BG48" s="1474">
        <v>0.25</v>
      </c>
      <c r="BI48" s="1472">
        <v>0.25</v>
      </c>
      <c r="BJ48" s="1474">
        <v>0.25</v>
      </c>
      <c r="BL48" s="1469">
        <v>0.25</v>
      </c>
      <c r="BM48" s="373"/>
      <c r="BO48" s="355"/>
      <c r="BQ48" s="1389"/>
      <c r="BR48" s="1379">
        <f>V49</f>
        <v>225.67195655751226</v>
      </c>
      <c r="BS48" s="1389"/>
      <c r="BT48" s="1379">
        <f>X49</f>
        <v>186.06618591096992</v>
      </c>
      <c r="BU48" s="1389"/>
      <c r="BV48" s="1379">
        <f>Z49</f>
        <v>184.76888951944443</v>
      </c>
      <c r="BW48" s="1389"/>
      <c r="BX48" s="1379">
        <f>AB49</f>
        <v>159.76815867763111</v>
      </c>
      <c r="BY48" s="1387"/>
      <c r="BZ48" s="1379">
        <f>AD49</f>
        <v>156.5406777609777</v>
      </c>
      <c r="CA48" s="1387"/>
      <c r="CB48" s="1426"/>
      <c r="CD48" s="353"/>
    </row>
    <row r="49" spans="1:82" ht="24.75" customHeight="1">
      <c r="D49" s="355"/>
      <c r="E49" s="352">
        <v>3</v>
      </c>
      <c r="F49" s="382"/>
      <c r="G49" s="378" t="s">
        <v>19438</v>
      </c>
      <c r="H49" s="382"/>
      <c r="I49" s="378" t="s">
        <v>19438</v>
      </c>
      <c r="J49" s="382"/>
      <c r="K49" s="378" t="s">
        <v>19438</v>
      </c>
      <c r="L49" s="382"/>
      <c r="M49" s="378" t="s">
        <v>19416</v>
      </c>
      <c r="N49" s="382"/>
      <c r="O49" s="378" t="s">
        <v>19416</v>
      </c>
      <c r="P49" s="382"/>
      <c r="S49" s="355"/>
      <c r="U49" s="382"/>
      <c r="V49" s="348">
        <f>U47*(AK49*AX48/(AJ47*'1-Eng Inputs'!$C$38))+U50*(AK49*AX50/(AJ50*'1-Eng Inputs'!$C$38))/factors!$B$4+W47*(AK49*AZ48/(AL47*'1-Eng Inputs'!$C$38))+W50*(AK49*AZ50/(AL50*'1-Eng Inputs'!$C$38))/factors!$B$4</f>
        <v>225.67195655751226</v>
      </c>
      <c r="W49" s="382"/>
      <c r="X49" s="348">
        <f>W47*(AM49*BA48/(AL47*'1-Eng Inputs'!$C$38))+W50*(AM49*BA50/(AL50*'1-Eng Inputs'!$C$38))/factors!$B$4+Y47*(AM49*BC48/(AN47*'1-Eng Inputs'!$C$38))+Y50*(AM49*BC50/(AN50*'1-Eng Inputs'!$C$38))/factors!$B$4</f>
        <v>186.06618591096992</v>
      </c>
      <c r="Y49" s="382"/>
      <c r="Z49" s="348">
        <f>Y47*(AO49*BD48/(AN47*'1-Eng Inputs'!$C$38))+Y50*(AO49*BD50/(AN50*'1-Eng Inputs'!$C$38))/factors!$B$4+AA47*(AO49*BF48/(AP47*'1-Eng Inputs'!$C$38))+AA50*(AO49*BF50/(AP50*'1-Eng Inputs'!$C$38))/factors!$B$4</f>
        <v>184.76888951944443</v>
      </c>
      <c r="AA49" s="382"/>
      <c r="AB49" s="348">
        <f>AA47*(AQ49*BG48/(AP47*'1-Eng Inputs'!$C$38))+AA50*(AQ49*BG50/(AP50*'1-Eng Inputs'!$C$38))/factors!$B$4+AC47*(AQ49*BI48/(AR47*'1-Eng Inputs'!$C$38))+AC50*(AQ49*BI50/(AR50*'1-Eng Inputs'!$C$38))/factors!$B$4</f>
        <v>159.76815867763111</v>
      </c>
      <c r="AC49" s="382"/>
      <c r="AD49" s="348">
        <f>AC47*(AS49*BJ48/(AR47*'1-Eng Inputs'!$C$38))+AC50*(AS49*BJ50/(AR50*'1-Eng Inputs'!$C$38))/factors!$B$4+AE47*(AS49*BL48/(AT47*'1-Eng Inputs'!$C$38))+AE50*(AS49*BL50/(AT50*'1-Eng Inputs'!$C$38))/factors!$B$4</f>
        <v>156.5406777609777</v>
      </c>
      <c r="AE49" s="382"/>
      <c r="AH49" s="355"/>
      <c r="AI49" s="353">
        <v>3</v>
      </c>
      <c r="AJ49" s="382"/>
      <c r="AK49" s="348">
        <f>MAX('Land Calcs 10deg (lift)'!$H$6,'Land Calcs 10deg (lift)'!$H$26)</f>
        <v>207.42316644287763</v>
      </c>
      <c r="AL49" s="382"/>
      <c r="AM49" s="348">
        <f>MAX('Land Calcs 10deg (lift)'!$I$6,'Land Calcs 10deg (lift)'!$I$26)</f>
        <v>166.44692910304767</v>
      </c>
      <c r="AN49" s="382"/>
      <c r="AO49" s="348">
        <f>MAX('Land Calcs 10deg (lift)'!$I$6,'Land Calcs 10deg (lift)'!$I$26)</f>
        <v>166.44692910304767</v>
      </c>
      <c r="AP49" s="382"/>
      <c r="AQ49" s="348">
        <f>MAX('Land Calcs 10deg (lift)'!$I$11,'Land Calcs 10deg (lift)'!$I$31)</f>
        <v>150.05643416711567</v>
      </c>
      <c r="AR49" s="382"/>
      <c r="AS49" s="348">
        <f>MAX('Land Calcs 10deg (lift)'!$I$11,'Land Calcs 10deg (lift)'!$I$31)</f>
        <v>150.05643416711567</v>
      </c>
      <c r="AT49" s="382"/>
      <c r="AW49" s="373"/>
      <c r="AY49" s="381"/>
      <c r="BB49" s="381"/>
      <c r="BE49" s="381"/>
      <c r="BH49" s="381"/>
      <c r="BK49" s="381"/>
      <c r="BM49" s="373"/>
      <c r="BO49" s="355"/>
      <c r="BP49" s="353">
        <v>3</v>
      </c>
      <c r="BQ49" s="382"/>
      <c r="BR49" s="348">
        <f>AK49</f>
        <v>207.42316644287763</v>
      </c>
      <c r="BS49" s="382"/>
      <c r="BT49" s="348">
        <f>AM49</f>
        <v>166.44692910304767</v>
      </c>
      <c r="BU49" s="382"/>
      <c r="BV49" s="348">
        <f>AO49</f>
        <v>166.44692910304767</v>
      </c>
      <c r="BW49" s="382"/>
      <c r="BX49" s="348">
        <f>AQ49</f>
        <v>150.05643416711567</v>
      </c>
      <c r="BY49" s="382"/>
      <c r="BZ49" s="348">
        <f>AS49</f>
        <v>150.05643416711567</v>
      </c>
      <c r="CA49" s="382"/>
      <c r="CC49" s="1426"/>
      <c r="CD49" s="353"/>
    </row>
    <row r="50" spans="1:82" ht="12.75" hidden="1" customHeight="1">
      <c r="E50" s="352"/>
      <c r="F50" s="1516"/>
      <c r="H50" s="1516"/>
      <c r="J50" s="1516"/>
      <c r="L50" s="1516"/>
      <c r="N50" s="1516"/>
      <c r="P50" s="1516"/>
      <c r="U50" s="1388">
        <f>IF(LEFT(F51,3)-LEFT(F51,1)=0.5,'1-Eng Inputs'!$C$39,0)+LEFT(F51,1)*'1-Eng Inputs'!$C$38</f>
        <v>128</v>
      </c>
      <c r="V50" s="350">
        <f>V49-BR48</f>
        <v>0</v>
      </c>
      <c r="W50" s="1402">
        <f>IF(LEFT(H51,3)-LEFT(H51,1)=0.5,'1-Eng Inputs'!$C$39,0)+LEFT(H51,1)*'1-Eng Inputs'!$C$38</f>
        <v>128</v>
      </c>
      <c r="X50" s="350">
        <f>X49-BT48</f>
        <v>0</v>
      </c>
      <c r="Y50" s="1402">
        <f>IF(LEFT(J51,3)-LEFT(J51,1)=0.5,'1-Eng Inputs'!$C$39,0)+LEFT(J51,1)*'1-Eng Inputs'!$C$38</f>
        <v>160</v>
      </c>
      <c r="Z50" s="350">
        <f>Z49-BV48</f>
        <v>0</v>
      </c>
      <c r="AA50" s="1402">
        <f>IF(LEFT(L51,3)-LEFT(L51,1)=0.5,'1-Eng Inputs'!$C$39,0)+LEFT(L51,1)*'1-Eng Inputs'!$C$38</f>
        <v>128</v>
      </c>
      <c r="AB50" s="350">
        <f>AB49-BX48</f>
        <v>0</v>
      </c>
      <c r="AC50" s="1404">
        <f>IF(LEFT(N51,3)-LEFT(N51,1)=0.5,'1-Eng Inputs'!$C$39,0)+LEFT(N51,1)*'1-Eng Inputs'!$C$38</f>
        <v>128</v>
      </c>
      <c r="AD50" s="350">
        <f>AD49-BZ48</f>
        <v>0</v>
      </c>
      <c r="AE50" s="1386">
        <f>IF(LEFT(P51,3)-LEFT(P51,1)=0.5,'1-Eng Inputs'!$C$39,0)+LEFT(P51,1)*'1-Eng Inputs'!$C$38</f>
        <v>128</v>
      </c>
      <c r="AJ50" s="383">
        <f>(AK49*AX50)/'1-Eng Inputs'!$C$38</f>
        <v>2.1606579837799753</v>
      </c>
      <c r="AL50" s="383">
        <f>(AK49*AZ50+AM49*BA50)/'1-Eng Inputs'!$C$38</f>
        <v>2.3806956255075473</v>
      </c>
      <c r="AN50" s="383">
        <f>(AM49*BC50+AO49*BD50)/'1-Eng Inputs'!$C$38</f>
        <v>2.6007332672351198</v>
      </c>
      <c r="AP50" s="383">
        <f>(AO49*BF50+AQ49*BG50)/'1-Eng Inputs'!$C$38</f>
        <v>2.472682525548151</v>
      </c>
      <c r="AR50" s="1386">
        <f>(AQ49*BI50+AS49*BJ50)/'1-Eng Inputs'!$C$38</f>
        <v>2.3446317838611823</v>
      </c>
      <c r="AT50" s="1386">
        <f>AR50</f>
        <v>2.3446317838611823</v>
      </c>
      <c r="AW50" s="373"/>
      <c r="AX50" s="1396">
        <v>0.33333333333333331</v>
      </c>
      <c r="AZ50" s="1412">
        <v>0.16666666666666666</v>
      </c>
      <c r="BA50" s="1394">
        <v>0.25</v>
      </c>
      <c r="BC50" s="1412">
        <v>0.25</v>
      </c>
      <c r="BD50" s="1394">
        <v>0.25</v>
      </c>
      <c r="BF50" s="1412">
        <v>0.25</v>
      </c>
      <c r="BG50" s="1394">
        <v>0.25</v>
      </c>
      <c r="BI50" s="1412">
        <v>0.25</v>
      </c>
      <c r="BJ50" s="1394">
        <v>0.25</v>
      </c>
      <c r="BL50" s="1396">
        <v>0.25</v>
      </c>
      <c r="BM50" s="373"/>
      <c r="BQ50" s="383">
        <f>BQ51/factors!$B$4</f>
        <v>2.1606579837799753</v>
      </c>
      <c r="BS50" s="383">
        <f>BS51/factors!$B$4</f>
        <v>2.3806956255075473</v>
      </c>
      <c r="BU50" s="383">
        <f>BU51/factors!$B$4</f>
        <v>2.6007332672351193</v>
      </c>
      <c r="BW50" s="383">
        <f>BW51/factors!$B$4</f>
        <v>2.472682525548151</v>
      </c>
      <c r="BY50" s="1386">
        <f>BY51/factors!$B$4</f>
        <v>2.3446317838611823</v>
      </c>
      <c r="CA50" s="1386">
        <f>BY50</f>
        <v>2.3446317838611823</v>
      </c>
      <c r="CB50" s="1426"/>
      <c r="CD50" s="353"/>
    </row>
    <row r="51" spans="1:82">
      <c r="E51" s="352"/>
      <c r="F51" s="1383">
        <f>IF($O$4="NO",ROUNDUP(BQ51-0.00499,0),LEFT(BQ51,1)+(IF(BQ51-LEFT(BQ51,1)&lt;0.00499,0,IF(BQ51-LEFT(BQ51,1)-0.00499&lt;('1-Eng Inputs'!$C$39/'1-Eng Inputs'!$C$38),0.5,1))))</f>
        <v>4</v>
      </c>
      <c r="G51" s="353"/>
      <c r="H51" s="1383">
        <f>IF($O$4="NO",ROUNDUP(BS51-0.00499,0),LEFT(BS51,1)+(IF(BS51-LEFT(BS51,1)&lt;0.00499,0,IF(BS51-LEFT(BS51,1)-0.00499&lt;('1-Eng Inputs'!$C$39/'1-Eng Inputs'!$C$38),0.5,1))))</f>
        <v>4</v>
      </c>
      <c r="I51" s="353"/>
      <c r="J51" s="1383">
        <f>IF($O$4="NO",ROUNDUP(BU51-0.00499,0),LEFT(BU51,1)+(IF(BU51-LEFT(BU51,1)&lt;0.00499,0,IF(BU51-LEFT(BU51,1)-0.00499&lt;('1-Eng Inputs'!$C$39/'1-Eng Inputs'!$C$38),0.5,1))))</f>
        <v>5</v>
      </c>
      <c r="K51" s="353"/>
      <c r="L51" s="1383">
        <f>IF($O$4="NO",ROUNDUP(BW51-0.00499,0),LEFT(BW51,1)+(IF(BW51-LEFT(BW51,1)&lt;0.00499,0,IF(BW51-LEFT(BW51,1)-0.00499&lt;('1-Eng Inputs'!$C$39/'1-Eng Inputs'!$C$38),0.5,1))))</f>
        <v>4</v>
      </c>
      <c r="M51" s="353"/>
      <c r="N51" s="1383">
        <f>IF($O$4="NO",ROUNDUP(BY51-0.00499,0),LEFT(BY51,1)+(IF(BY51-LEFT(BY51,1)&lt;0.00499,0,IF(BY51-LEFT(BY51,1)-0.00499&lt;('1-Eng Inputs'!$C$39/'1-Eng Inputs'!$C$38),0.5,1))))</f>
        <v>4</v>
      </c>
      <c r="O51" s="353"/>
      <c r="P51" s="1383">
        <f>IF($O$4="NO",ROUNDUP(CA51-0.00499,0),LEFT(CA51,1)+(IF(CA51-LEFT(CA51,1)&lt;0.00499,0,IF(CA51-LEFT(CA51,1)-0.00499&lt;('1-Eng Inputs'!$C$39/'1-Eng Inputs'!$C$38),0.5,1))))</f>
        <v>4</v>
      </c>
      <c r="U51" s="1389"/>
      <c r="V51" s="1379"/>
      <c r="W51" s="1403"/>
      <c r="X51" s="1379"/>
      <c r="Y51" s="1403"/>
      <c r="Z51" s="1379"/>
      <c r="AA51" s="1403"/>
      <c r="AB51" s="1379"/>
      <c r="AC51" s="1405"/>
      <c r="AD51" s="1379"/>
      <c r="AE51" s="1387"/>
      <c r="AJ51" s="384">
        <f>AJ50*factors!$B$4</f>
        <v>3.4570527740479609</v>
      </c>
      <c r="AK51" s="375"/>
      <c r="AL51" s="384">
        <f>AL50*factors!$B$4</f>
        <v>3.8091130008120757</v>
      </c>
      <c r="AM51" s="375"/>
      <c r="AN51" s="384">
        <f>AN50*factors!$B$4</f>
        <v>4.1611732275761915</v>
      </c>
      <c r="AO51" s="375"/>
      <c r="AP51" s="384">
        <f>AP50*factors!$B$4</f>
        <v>3.9562920408770417</v>
      </c>
      <c r="AQ51" s="375"/>
      <c r="AR51" s="1387">
        <f>AR50*factors!$B$4</f>
        <v>3.7514108541778919</v>
      </c>
      <c r="AS51" s="375"/>
      <c r="AT51" s="1387">
        <f>AR51</f>
        <v>3.7514108541778919</v>
      </c>
      <c r="AW51" s="373"/>
      <c r="AX51" s="1397"/>
      <c r="AZ51" s="1413"/>
      <c r="BA51" s="1395"/>
      <c r="BC51" s="1413"/>
      <c r="BD51" s="1395"/>
      <c r="BF51" s="1413"/>
      <c r="BG51" s="1395"/>
      <c r="BI51" s="1413"/>
      <c r="BJ51" s="1395"/>
      <c r="BL51" s="1397"/>
      <c r="BM51" s="373"/>
      <c r="BQ51" s="384">
        <f>AJ51</f>
        <v>3.4570527740479609</v>
      </c>
      <c r="BR51" s="375"/>
      <c r="BS51" s="384">
        <f>AL51</f>
        <v>3.8091130008120757</v>
      </c>
      <c r="BT51" s="375"/>
      <c r="BU51" s="384">
        <f>AN51</f>
        <v>4.1611732275761915</v>
      </c>
      <c r="BV51" s="375"/>
      <c r="BW51" s="384">
        <f>AP51</f>
        <v>3.9562920408770417</v>
      </c>
      <c r="BX51" s="375"/>
      <c r="BY51" s="1387">
        <f>AR51</f>
        <v>3.7514108541778919</v>
      </c>
      <c r="BZ51" s="375"/>
      <c r="CA51" s="1387">
        <f>BY51</f>
        <v>3.7514108541778919</v>
      </c>
      <c r="CB51" s="1426"/>
      <c r="CD51" s="353"/>
    </row>
    <row r="52" spans="1:82">
      <c r="E52" s="352"/>
      <c r="F52" s="374"/>
      <c r="G52" s="353"/>
      <c r="H52" s="374"/>
      <c r="I52" s="353"/>
      <c r="J52" s="374"/>
      <c r="K52" s="353"/>
      <c r="L52" s="374"/>
      <c r="M52" s="353"/>
      <c r="N52" s="374"/>
      <c r="O52" s="353"/>
      <c r="P52" s="374"/>
      <c r="U52" s="1426"/>
      <c r="V52" s="375"/>
      <c r="W52" s="1426"/>
      <c r="X52" s="375"/>
      <c r="Y52" s="1426"/>
      <c r="Z52" s="375"/>
      <c r="AA52" s="1426"/>
      <c r="AB52" s="375"/>
      <c r="AC52" s="1426"/>
      <c r="AD52" s="375"/>
      <c r="AE52" s="1426"/>
      <c r="AJ52" s="1426"/>
      <c r="AK52" s="375"/>
      <c r="AL52" s="1426"/>
      <c r="AM52" s="375"/>
      <c r="AN52" s="1426"/>
      <c r="AO52" s="375"/>
      <c r="AP52" s="1426"/>
      <c r="AQ52" s="375"/>
      <c r="AR52" s="1426"/>
      <c r="AS52" s="375"/>
      <c r="AT52" s="1426"/>
      <c r="AW52" s="373"/>
      <c r="AX52" s="373"/>
      <c r="AZ52" s="373"/>
      <c r="BA52" s="373"/>
      <c r="BC52" s="373"/>
      <c r="BD52" s="373"/>
      <c r="BF52" s="373"/>
      <c r="BG52" s="373"/>
      <c r="BI52" s="373"/>
      <c r="BJ52" s="373"/>
      <c r="BL52" s="373"/>
      <c r="BM52" s="373"/>
      <c r="BQ52" s="1426"/>
      <c r="BR52" s="375"/>
      <c r="BS52" s="1426"/>
      <c r="BT52" s="375"/>
      <c r="BU52" s="1426"/>
      <c r="BV52" s="375"/>
      <c r="BW52" s="1426"/>
      <c r="BX52" s="375"/>
      <c r="BY52" s="1426"/>
      <c r="BZ52" s="375"/>
      <c r="CA52" s="1426"/>
      <c r="CB52" s="1426"/>
      <c r="CD52" s="353"/>
    </row>
    <row r="53" spans="1:82">
      <c r="A53" s="349" t="s">
        <v>19433</v>
      </c>
      <c r="E53" s="352"/>
      <c r="S53" s="349"/>
      <c r="AH53" s="349" t="s">
        <v>19448</v>
      </c>
      <c r="AW53" s="373"/>
      <c r="BM53" s="373"/>
      <c r="BO53" s="349" t="s">
        <v>19442</v>
      </c>
      <c r="CD53" s="353"/>
    </row>
    <row r="54" spans="1:82">
      <c r="E54" s="352"/>
      <c r="G54" s="350" t="s">
        <v>233</v>
      </c>
      <c r="P54" s="354" t="s">
        <v>215</v>
      </c>
      <c r="AE54" s="354"/>
      <c r="AK54" s="350" t="s">
        <v>233</v>
      </c>
      <c r="AT54" s="354" t="s">
        <v>215</v>
      </c>
      <c r="AW54" s="370" t="s">
        <v>19376</v>
      </c>
      <c r="BM54" s="373"/>
      <c r="BR54" s="350" t="s">
        <v>233</v>
      </c>
      <c r="CA54" s="354" t="s">
        <v>215</v>
      </c>
      <c r="CD54" s="353"/>
    </row>
    <row r="55" spans="1:82">
      <c r="E55" s="352"/>
      <c r="F55" s="353"/>
      <c r="G55" s="352">
        <v>1</v>
      </c>
      <c r="H55" s="352"/>
      <c r="I55" s="352">
        <v>2</v>
      </c>
      <c r="J55" s="352"/>
      <c r="K55" s="352">
        <v>3</v>
      </c>
      <c r="L55" s="352"/>
      <c r="M55" s="352">
        <v>4</v>
      </c>
      <c r="N55" s="352"/>
      <c r="O55" s="352">
        <v>5</v>
      </c>
      <c r="P55" s="353"/>
      <c r="Q55" s="353"/>
      <c r="R55" s="359"/>
      <c r="U55" s="353"/>
      <c r="V55" s="353"/>
      <c r="W55" s="353"/>
      <c r="X55" s="353"/>
      <c r="Y55" s="353"/>
      <c r="Z55" s="353"/>
      <c r="AA55" s="353"/>
      <c r="AB55" s="353"/>
      <c r="AC55" s="353"/>
      <c r="AD55" s="353"/>
      <c r="AE55" s="353"/>
      <c r="AF55" s="353"/>
      <c r="AG55" s="359"/>
      <c r="AJ55" s="353"/>
      <c r="AK55" s="353">
        <v>1</v>
      </c>
      <c r="AL55" s="353"/>
      <c r="AM55" s="353">
        <v>2</v>
      </c>
      <c r="AN55" s="353"/>
      <c r="AO55" s="353">
        <v>3</v>
      </c>
      <c r="AP55" s="353"/>
      <c r="AQ55" s="353">
        <v>4</v>
      </c>
      <c r="AR55" s="353"/>
      <c r="AS55" s="353">
        <v>5</v>
      </c>
      <c r="AT55" s="353"/>
      <c r="AU55" s="353"/>
      <c r="AV55" s="359"/>
      <c r="AW55" s="373"/>
      <c r="BM55" s="373"/>
      <c r="BN55" s="359"/>
      <c r="BQ55" s="353"/>
      <c r="BR55" s="353">
        <v>1</v>
      </c>
      <c r="BS55" s="353"/>
      <c r="BT55" s="353">
        <v>2</v>
      </c>
      <c r="BU55" s="353"/>
      <c r="BV55" s="353">
        <v>3</v>
      </c>
      <c r="BW55" s="353"/>
      <c r="BX55" s="353">
        <v>4</v>
      </c>
      <c r="BY55" s="353"/>
      <c r="BZ55" s="353">
        <v>5</v>
      </c>
      <c r="CA55" s="353"/>
      <c r="CB55" s="353"/>
      <c r="CC55" s="353"/>
      <c r="CD55" s="353"/>
    </row>
    <row r="56" spans="1:82">
      <c r="E56" s="352"/>
      <c r="F56" s="1382">
        <f>IF($O$4="NO",ROUNDUP(BQ56-0.00499,0),LEFT(BQ56,1)+(IF(BQ56-LEFT(BQ56,1)&lt;0.00499,0,IF(BQ56-LEFT(BQ56,1)-0.00499&lt;('1-Eng Inputs'!$C$39/'1-Eng Inputs'!$C$38),0.5,1))))</f>
        <v>3</v>
      </c>
      <c r="G56" s="353"/>
      <c r="H56" s="1382">
        <f>IF($O$4="NO",ROUNDUP(BS56-0.00499,0),LEFT(BS56,1)+(IF(BS56-LEFT(BS56,1)&lt;0.00499,0,IF(BS56-LEFT(BS56,1)-0.00499&lt;('1-Eng Inputs'!$C$39/'1-Eng Inputs'!$C$38),0.5,1))))</f>
        <v>6</v>
      </c>
      <c r="I56" s="353"/>
      <c r="J56" s="1382">
        <f>IF($O$4="NO",ROUNDUP(BU56-0.00499,0),LEFT(BU56,1)+(IF(BU56-LEFT(BU56,1)&lt;0.00499,0,IF(BU56-LEFT(BU56,1)-0.00499&lt;('1-Eng Inputs'!$C$39/'1-Eng Inputs'!$C$38),0.5,1))))</f>
        <v>5</v>
      </c>
      <c r="K56" s="353"/>
      <c r="L56" s="1382">
        <f>IF($O$4="NO",ROUNDUP(BW56-0.00499,0),LEFT(BW56,1)+(IF(BW56-LEFT(BW56,1)&lt;0.00499,0,IF(BW56-LEFT(BW56,1)-0.00499&lt;('1-Eng Inputs'!$C$39/'1-Eng Inputs'!$C$38),0.5,1))))</f>
        <v>5</v>
      </c>
      <c r="M56" s="353"/>
      <c r="N56" s="1382">
        <f>IF($O$4="NO",ROUNDUP(BY56-0.00499,0),LEFT(BY56,1)+(IF(BY56-LEFT(BY56,1)&lt;0.00499,0,IF(BY56-LEFT(BY56,1)-0.00499&lt;('1-Eng Inputs'!$C$39/'1-Eng Inputs'!$C$38),0.5,1))))</f>
        <v>5</v>
      </c>
      <c r="O56" s="353"/>
      <c r="P56" s="1382">
        <f>IF($O$4="NO",ROUNDUP(CA56-0.00499,0),LEFT(CA56,1)+(IF(CA56-LEFT(CA56,1)&lt;0.00499,0,IF(CA56-LEFT(CA56,1)-0.00499&lt;('1-Eng Inputs'!$C$39/'1-Eng Inputs'!$C$38),0.5,1))))</f>
        <v>5</v>
      </c>
      <c r="U56" s="1388">
        <f>IF(LEFT(F56,3)-LEFT(F56,1)=0.5,'1-Eng Inputs'!$C$39,0)+LEFT(F56,1)*'1-Eng Inputs'!$C$38</f>
        <v>96</v>
      </c>
      <c r="W56" s="1420">
        <f>IF(LEFT(H56,3)-LEFT(H56,1)=0.5,'1-Eng Inputs'!$C$39,0)+LEFT(H56,1)*'1-Eng Inputs'!$C$38</f>
        <v>192</v>
      </c>
      <c r="Y56" s="1420">
        <f>IF(LEFT(J56,3)-LEFT(J56,1)=0.5,'1-Eng Inputs'!$C$39,0)+LEFT(J56,1)*'1-Eng Inputs'!$C$38</f>
        <v>160</v>
      </c>
      <c r="AA56" s="1420">
        <f>IF(LEFT(L56,3)-LEFT(L56,1)=0.5,'1-Eng Inputs'!$C$39,0)+LEFT(L56,1)*'1-Eng Inputs'!$C$38</f>
        <v>160</v>
      </c>
      <c r="AC56" s="1421">
        <f>IF(LEFT(N56,3)-LEFT(N56,1)=0.5,'1-Eng Inputs'!$C$39,0)+LEFT(N56,1)*'1-Eng Inputs'!$C$38</f>
        <v>160</v>
      </c>
      <c r="AE56" s="1386">
        <f>IF(LEFT(P56,3)-LEFT(P56,1)=0.5,'1-Eng Inputs'!$C$39,0)+LEFT(P56,1)*'1-Eng Inputs'!$C$38</f>
        <v>160</v>
      </c>
      <c r="AJ56" s="1388">
        <f>AJ57*factors!$B$3</f>
        <v>2.5927895805359702</v>
      </c>
      <c r="AL56" s="1388">
        <f>AL57*factors!$B$3</f>
        <v>5.0201406299554145</v>
      </c>
      <c r="AN56" s="1388">
        <f>AN57*factors!$B$3</f>
        <v>4.8547020988388896</v>
      </c>
      <c r="AP56" s="1388">
        <f>AP57*factors!$B$3</f>
        <v>4.6156740476898817</v>
      </c>
      <c r="AR56" s="1386">
        <f>AR57*factors!$B$3</f>
        <v>4.3766459965408728</v>
      </c>
      <c r="AT56" s="1386">
        <f>AR56</f>
        <v>4.3766459965408728</v>
      </c>
      <c r="AW56" s="373"/>
      <c r="AX56" s="1396">
        <v>0.2857142857142857</v>
      </c>
      <c r="AZ56" s="1412">
        <v>0.2857142857142857</v>
      </c>
      <c r="BA56" s="1394">
        <v>0.33333333333333331</v>
      </c>
      <c r="BC56" s="1412">
        <v>0.33333333333333331</v>
      </c>
      <c r="BD56" s="1394">
        <v>0.33333333333333331</v>
      </c>
      <c r="BF56" s="1412">
        <v>0.33333333333333331</v>
      </c>
      <c r="BG56" s="1394">
        <v>0.33333333333333331</v>
      </c>
      <c r="BI56" s="1412">
        <v>0.33333333333333331</v>
      </c>
      <c r="BJ56" s="1394">
        <v>0.33333333333333331</v>
      </c>
      <c r="BL56" s="1396">
        <v>0.33333333333333331</v>
      </c>
      <c r="BM56" s="373"/>
      <c r="BQ56" s="1388">
        <f>AJ56</f>
        <v>2.5927895805359702</v>
      </c>
      <c r="BS56" s="1388">
        <f>AL56</f>
        <v>5.0201406299554145</v>
      </c>
      <c r="BU56" s="1388">
        <f>AN56</f>
        <v>4.8547020988388896</v>
      </c>
      <c r="BW56" s="1388">
        <f>AP56</f>
        <v>4.6156740476898817</v>
      </c>
      <c r="BY56" s="1386">
        <f>AR56</f>
        <v>4.3766459965408728</v>
      </c>
      <c r="CA56" s="1386">
        <f>BY56</f>
        <v>4.3766459965408728</v>
      </c>
      <c r="CB56" s="1426"/>
      <c r="CD56" s="353"/>
    </row>
    <row r="57" spans="1:82" ht="12.75" hidden="1" customHeight="1">
      <c r="E57" s="352"/>
      <c r="F57" s="1383"/>
      <c r="G57" s="353"/>
      <c r="H57" s="1383"/>
      <c r="I57" s="353"/>
      <c r="J57" s="1383"/>
      <c r="K57" s="353"/>
      <c r="L57" s="1383"/>
      <c r="M57" s="353"/>
      <c r="N57" s="1383"/>
      <c r="O57" s="353"/>
      <c r="P57" s="1383"/>
      <c r="U57" s="1389"/>
      <c r="V57" s="1379"/>
      <c r="W57" s="1403"/>
      <c r="X57" s="1379"/>
      <c r="Y57" s="1403"/>
      <c r="Z57" s="1379"/>
      <c r="AA57" s="1403"/>
      <c r="AB57" s="1379"/>
      <c r="AC57" s="1405"/>
      <c r="AD57" s="1379"/>
      <c r="AE57" s="1387"/>
      <c r="AJ57" s="1389">
        <f>(AK58*AX56)/'1-Eng Inputs'!$C$38</f>
        <v>1.851992557525693</v>
      </c>
      <c r="AL57" s="1389">
        <f>(AK58*AZ56+AM58*BA56)/'1-Eng Inputs'!$C$38</f>
        <v>3.5858147356824395</v>
      </c>
      <c r="AN57" s="1389">
        <f>(AM58*BC56+AO58*BD56)/'1-Eng Inputs'!$C$38</f>
        <v>3.4676443563134929</v>
      </c>
      <c r="AP57" s="1389">
        <f>(AO58*BF56+AQ58*BG56)/'1-Eng Inputs'!$C$38</f>
        <v>3.2969100340642012</v>
      </c>
      <c r="AR57" s="1387">
        <f>(AQ58*BI56+AS58*BJ56)/'1-Eng Inputs'!$C$38</f>
        <v>3.1261757118149096</v>
      </c>
      <c r="AS57" s="1379"/>
      <c r="AT57" s="1387">
        <f>AR57</f>
        <v>3.1261757118149096</v>
      </c>
      <c r="AW57" s="373"/>
      <c r="AX57" s="1397"/>
      <c r="AZ57" s="1413"/>
      <c r="BA57" s="1395"/>
      <c r="BC57" s="1413"/>
      <c r="BD57" s="1395"/>
      <c r="BF57" s="1413"/>
      <c r="BG57" s="1395"/>
      <c r="BI57" s="1413"/>
      <c r="BJ57" s="1395"/>
      <c r="BL57" s="1397"/>
      <c r="BM57" s="373"/>
      <c r="BQ57" s="1389">
        <f>BQ56/factors!$B$3</f>
        <v>1.851992557525693</v>
      </c>
      <c r="BR57" s="1379">
        <f>V58</f>
        <v>248.74794063792174</v>
      </c>
      <c r="BS57" s="1389">
        <f>BS56/factors!$B$3</f>
        <v>3.585814735682439</v>
      </c>
      <c r="BT57" s="1379">
        <f>X58</f>
        <v>188.68857753175683</v>
      </c>
      <c r="BU57" s="1389">
        <f>BU56/factors!$B$3</f>
        <v>3.4676443563134929</v>
      </c>
      <c r="BV57" s="1379">
        <f>Z58</f>
        <v>182.90208086545056</v>
      </c>
      <c r="BW57" s="1389">
        <f>BW56/factors!$B$3</f>
        <v>3.2969100340642012</v>
      </c>
      <c r="BX57" s="1379">
        <f>AB58</f>
        <v>167.26934770597802</v>
      </c>
      <c r="BY57" s="1387">
        <f>BY56/factors!$B$3</f>
        <v>3.1261757118149092</v>
      </c>
      <c r="BZ57" s="1379">
        <f>AD58</f>
        <v>165.48571428571429</v>
      </c>
      <c r="CA57" s="1387">
        <f>BY57</f>
        <v>3.1261757118149092</v>
      </c>
      <c r="CB57" s="1426"/>
      <c r="CD57" s="353"/>
    </row>
    <row r="58" spans="1:82" ht="24.75" customHeight="1">
      <c r="D58" s="354" t="s">
        <v>234</v>
      </c>
      <c r="E58" s="352">
        <v>1</v>
      </c>
      <c r="F58" s="382"/>
      <c r="G58" s="378" t="s">
        <v>19438</v>
      </c>
      <c r="H58" s="382"/>
      <c r="I58" s="378" t="s">
        <v>19438</v>
      </c>
      <c r="J58" s="382"/>
      <c r="K58" s="378" t="s">
        <v>19438</v>
      </c>
      <c r="L58" s="382"/>
      <c r="M58" s="378" t="s">
        <v>19416</v>
      </c>
      <c r="N58" s="382"/>
      <c r="O58" s="378" t="s">
        <v>19416</v>
      </c>
      <c r="P58" s="382"/>
      <c r="S58" s="354"/>
      <c r="U58" s="382"/>
      <c r="V58" s="348">
        <f>(U56*(AK58*AX56/(AJ57*'1-Eng Inputs'!$C$38))/factors!$B$3+U59*(AK58*AX59/(AJ59*'1-Eng Inputs'!$C$38))+W56*(AK58*AZ56/(AL57*'1-Eng Inputs'!$C$38))/factors!$B$3+W59*(AK58*AZ59/(AL59*'1-Eng Inputs'!$C$38)))</f>
        <v>248.74794063792174</v>
      </c>
      <c r="W58" s="382"/>
      <c r="X58" s="348">
        <f>(W56*(AM58*BA56/(AL57*'1-Eng Inputs'!$C$38))/factors!$B$3+W59*(AM58*BA59/(AL59*'1-Eng Inputs'!$C$38))+Y56*(AM58*BC56/(AN57*'1-Eng Inputs'!$C$38))/factors!$B$3+Y59*(AM58*BC59/(AN59*'1-Eng Inputs'!$C$38)))</f>
        <v>188.68857753175683</v>
      </c>
      <c r="Y58" s="382"/>
      <c r="Z58" s="348">
        <f>(Y56*(AO58*BD56/(AN57*'1-Eng Inputs'!$C$38))/factors!$B$3+Y59*(AO58*BD59/(AN59*'1-Eng Inputs'!$C$38))+AA56*(AO58*BF56/(AP57*'1-Eng Inputs'!$C$38))/factors!$B$3+AA59*(AO58*BF59/(AP59*'1-Eng Inputs'!$C$38)))</f>
        <v>182.90208086545056</v>
      </c>
      <c r="AA58" s="382"/>
      <c r="AB58" s="348">
        <f>(AA56*(AQ58*BG56/(AP57*'1-Eng Inputs'!$C$38))/factors!$B$3+AA59*(AQ58*BG59/(AP59*'1-Eng Inputs'!$C$38))+AC56*(AQ58*BI56/(AR57*'1-Eng Inputs'!$C$38))/factors!$B$3+AC59*(AQ58*BI59/(AR59*'1-Eng Inputs'!$C$38)))</f>
        <v>167.26934770597802</v>
      </c>
      <c r="AC58" s="382"/>
      <c r="AD58" s="348">
        <f>(AC56*(AS58*BJ56/(AR57*'1-Eng Inputs'!$C$38))/factors!$B$3+AC59*(AS58*BJ59/(AR59*'1-Eng Inputs'!$C$38))+AE56*(AS58*BL56/(AT57*'1-Eng Inputs'!$C$38))/factors!$B$3+AE59*(AS58*BL59/(AT59*'1-Eng Inputs'!$C$38)))</f>
        <v>165.48571428571429</v>
      </c>
      <c r="AE58" s="382"/>
      <c r="AH58" s="354" t="s">
        <v>234</v>
      </c>
      <c r="AI58" s="353">
        <v>1</v>
      </c>
      <c r="AJ58" s="382"/>
      <c r="AK58" s="348">
        <f>MAX('Land Calcs 10deg (lift)'!$H$6,'Land Calcs 10deg (lift)'!$H$26)</f>
        <v>207.42316644287763</v>
      </c>
      <c r="AL58" s="382"/>
      <c r="AM58" s="348">
        <f>MAX('Land Calcs 10deg (lift)'!$I$6,'Land Calcs 10deg (lift)'!$I$26)</f>
        <v>166.44692910304767</v>
      </c>
      <c r="AN58" s="382"/>
      <c r="AO58" s="348">
        <f>MAX('Land Calcs 10deg (lift)'!$I$6,'Land Calcs 10deg (lift)'!$I$26)</f>
        <v>166.44692910304767</v>
      </c>
      <c r="AP58" s="382"/>
      <c r="AQ58" s="348">
        <f>MAX('Land Calcs 10deg (lift)'!$I$11,'Land Calcs 10deg (lift)'!$I$31)</f>
        <v>150.05643416711567</v>
      </c>
      <c r="AR58" s="382"/>
      <c r="AS58" s="348">
        <f>MAX('Land Calcs 10deg (lift)'!$I$11,'Land Calcs 10deg (lift)'!$I$31)</f>
        <v>150.05643416711567</v>
      </c>
      <c r="AT58" s="382"/>
      <c r="AW58" s="373"/>
      <c r="AY58" s="381"/>
      <c r="BB58" s="381"/>
      <c r="BE58" s="381"/>
      <c r="BH58" s="381"/>
      <c r="BK58" s="381"/>
      <c r="BM58" s="373"/>
      <c r="BO58" s="354" t="s">
        <v>234</v>
      </c>
      <c r="BP58" s="353">
        <v>1</v>
      </c>
      <c r="BQ58" s="382"/>
      <c r="BR58" s="348">
        <f>AK58</f>
        <v>207.42316644287763</v>
      </c>
      <c r="BS58" s="382"/>
      <c r="BT58" s="348">
        <f>AM58</f>
        <v>166.44692910304767</v>
      </c>
      <c r="BU58" s="382"/>
      <c r="BV58" s="348">
        <f>AO58</f>
        <v>166.44692910304767</v>
      </c>
      <c r="BW58" s="382"/>
      <c r="BX58" s="348">
        <f>AQ58</f>
        <v>150.05643416711567</v>
      </c>
      <c r="BY58" s="382"/>
      <c r="BZ58" s="348">
        <f>AS58</f>
        <v>150.05643416711567</v>
      </c>
      <c r="CA58" s="382"/>
      <c r="CC58" s="1426"/>
      <c r="CD58" s="353"/>
    </row>
    <row r="59" spans="1:82" ht="13.5" customHeight="1">
      <c r="D59" s="354"/>
      <c r="E59" s="352"/>
      <c r="F59" s="1382">
        <f>IF($O$4="NO",ROUNDUP(BQ59-0.00499,0),LEFT(BQ59,1)+(IF(BQ59-LEFT(BQ59,1)&lt;0.00499,0,IF(BQ59-LEFT(BQ59,1)-0.00499&lt;('1-Eng Inputs'!$C$39/'1-Eng Inputs'!$C$38),0.5,1))))</f>
        <v>5</v>
      </c>
      <c r="G59" s="353"/>
      <c r="H59" s="1382">
        <f>IF($O$4="NO",ROUNDUP(BS59-0.00499,0),LEFT(BS59,1)+(IF(BS59-LEFT(BS59,1)&lt;0.00499,0,IF(BS59-LEFT(BS59,1)-0.00499&lt;('1-Eng Inputs'!$C$39/'1-Eng Inputs'!$C$38),0.5,1))))</f>
        <v>5</v>
      </c>
      <c r="I59" s="353"/>
      <c r="J59" s="1382">
        <f>IF($O$4="NO",ROUNDUP(BU59-0.00499,0),LEFT(BU59,1)+(IF(BU59-LEFT(BU59,1)&lt;0.00499,0,IF(BU59-LEFT(BU59,1)-0.00499&lt;('1-Eng Inputs'!$C$39/'1-Eng Inputs'!$C$38),0.5,1))))</f>
        <v>5</v>
      </c>
      <c r="K59" s="353"/>
      <c r="L59" s="1382">
        <f>IF($O$4="NO",ROUNDUP(BW59-0.00499,0),LEFT(BW59,1)+(IF(BW59-LEFT(BW59,1)&lt;0.00499,0,IF(BW59-LEFT(BW59,1)-0.00499&lt;('1-Eng Inputs'!$C$39/'1-Eng Inputs'!$C$38),0.5,1))))</f>
        <v>5</v>
      </c>
      <c r="M59" s="353"/>
      <c r="N59" s="1382">
        <f>IF($O$4="NO",ROUNDUP(BY59-0.00499,0),LEFT(BY59,1)+(IF(BY59-LEFT(BY59,1)&lt;0.00499,0,IF(BY59-LEFT(BY59,1)-0.00499&lt;('1-Eng Inputs'!$C$39/'1-Eng Inputs'!$C$38),0.5,1))))</f>
        <v>4</v>
      </c>
      <c r="O59" s="353"/>
      <c r="P59" s="1382">
        <f>IF($O$4="NO",ROUNDUP(CA59-0.00499,0),LEFT(CA59,1)+(IF(CA59-LEFT(CA59,1)&lt;0.00499,0,IF(CA59-LEFT(CA59,1)-0.00499&lt;('1-Eng Inputs'!$C$39/'1-Eng Inputs'!$C$38),0.5,1))))</f>
        <v>4</v>
      </c>
      <c r="S59" s="354"/>
      <c r="U59" s="1388">
        <f>IF(LEFT(F59,3)-LEFT(F59,1)=0.5,'1-Eng Inputs'!$C$39,0)+LEFT(F59,1)*'1-Eng Inputs'!$C$38</f>
        <v>160</v>
      </c>
      <c r="V59" s="375">
        <f>V58-BR57</f>
        <v>0</v>
      </c>
      <c r="W59" s="1402">
        <f>IF(LEFT(H59,3)-LEFT(H59,1)=0.5,'1-Eng Inputs'!$C$39,0)+LEFT(H59,1)*'1-Eng Inputs'!$C$38</f>
        <v>160</v>
      </c>
      <c r="X59" s="375">
        <f>X58-BT57</f>
        <v>0</v>
      </c>
      <c r="Y59" s="1402">
        <f>IF(LEFT(J59,3)-LEFT(J59,1)=0.5,'1-Eng Inputs'!$C$39,0)+LEFT(J59,1)*'1-Eng Inputs'!$C$38</f>
        <v>160</v>
      </c>
      <c r="Z59" s="375">
        <f>Z58-BV57</f>
        <v>0</v>
      </c>
      <c r="AA59" s="1402">
        <f>IF(LEFT(L59,3)-LEFT(L59,1)=0.5,'1-Eng Inputs'!$C$39,0)+LEFT(L59,1)*'1-Eng Inputs'!$C$38</f>
        <v>160</v>
      </c>
      <c r="AB59" s="375">
        <f>AB58-BX57</f>
        <v>0</v>
      </c>
      <c r="AC59" s="1404">
        <f>IF(LEFT(N59,3)-LEFT(N59,1)=0.5,'1-Eng Inputs'!$C$39,0)+LEFT(N59,1)*'1-Eng Inputs'!$C$38</f>
        <v>128</v>
      </c>
      <c r="AD59" s="375">
        <f>AD58-BZ57</f>
        <v>0</v>
      </c>
      <c r="AE59" s="1386">
        <f>IF(LEFT(P59,3)-LEFT(P59,1)=0.5,'1-Eng Inputs'!$C$39,0)+LEFT(P59,1)*'1-Eng Inputs'!$C$38</f>
        <v>128</v>
      </c>
      <c r="AH59" s="354"/>
      <c r="AJ59" s="1388">
        <f>(AK58*AX59+AK61*AX60)/'1-Eng Inputs'!$C$38</f>
        <v>4.0126505413056686</v>
      </c>
      <c r="AK59" s="356"/>
      <c r="AL59" s="1388">
        <f>(AK58*AZ59+AM58*BA59+AK61*AZ60+AM61*BA60)/'1-Eng Inputs'!$C$38</f>
        <v>4.1736029933487675</v>
      </c>
      <c r="AM59" s="356"/>
      <c r="AN59" s="1388">
        <f>(AM58*BC59+AO58*BD59+AM61*BC60+AO61*BD60)/'1-Eng Inputs'!$C$38</f>
        <v>4.3345554453918664</v>
      </c>
      <c r="AO59" s="356"/>
      <c r="AP59" s="1388">
        <f>(AO58*BF59+AQ58*BG59+AO61*BF60+AQ61*BG60)/'1-Eng Inputs'!$C$38</f>
        <v>4.1211375425802519</v>
      </c>
      <c r="AQ59" s="356"/>
      <c r="AR59" s="1386">
        <f>(AQ58*BI59+AS58*BJ59+AQ61*BI60+AS61*BJ60)/'1-Eng Inputs'!$C$38</f>
        <v>3.9077196397686373</v>
      </c>
      <c r="AS59" s="356"/>
      <c r="AT59" s="1386">
        <f>AR59</f>
        <v>3.9077196397686373</v>
      </c>
      <c r="AW59" s="373"/>
      <c r="AX59" s="1468">
        <v>0.2857142857142857</v>
      </c>
      <c r="AZ59" s="1471">
        <v>0.14285714285714285</v>
      </c>
      <c r="BA59" s="1473">
        <v>0.16666666666666666</v>
      </c>
      <c r="BC59" s="1471">
        <v>0.16666666666666666</v>
      </c>
      <c r="BD59" s="1473">
        <v>0.16666666666666666</v>
      </c>
      <c r="BF59" s="1471">
        <v>0.16666666666666666</v>
      </c>
      <c r="BG59" s="1473">
        <v>0.16666666666666666</v>
      </c>
      <c r="BI59" s="1471">
        <v>0.16666666666666666</v>
      </c>
      <c r="BJ59" s="1473">
        <v>0.16666666666666666</v>
      </c>
      <c r="BL59" s="1468">
        <v>0.16666666666666666</v>
      </c>
      <c r="BM59" s="373"/>
      <c r="BO59" s="354"/>
      <c r="BQ59" s="1388">
        <f>AJ59</f>
        <v>4.0126505413056686</v>
      </c>
      <c r="BR59" s="356"/>
      <c r="BS59" s="1388">
        <f>AL59</f>
        <v>4.1736029933487675</v>
      </c>
      <c r="BT59" s="356"/>
      <c r="BU59" s="1388">
        <f>AN59</f>
        <v>4.3345554453918664</v>
      </c>
      <c r="BV59" s="356"/>
      <c r="BW59" s="1388">
        <f>AP59</f>
        <v>4.1211375425802519</v>
      </c>
      <c r="BX59" s="356"/>
      <c r="BY59" s="1386">
        <f>AR59</f>
        <v>3.9077196397686373</v>
      </c>
      <c r="BZ59" s="356"/>
      <c r="CA59" s="1386">
        <f>AT59</f>
        <v>3.9077196397686373</v>
      </c>
      <c r="CB59" s="1426"/>
      <c r="CC59" s="1426"/>
      <c r="CD59" s="353"/>
    </row>
    <row r="60" spans="1:82" ht="12.75" hidden="1" customHeight="1">
      <c r="D60" s="355"/>
      <c r="E60" s="352"/>
      <c r="F60" s="1383"/>
      <c r="G60" s="353"/>
      <c r="H60" s="1383"/>
      <c r="I60" s="353"/>
      <c r="J60" s="1383"/>
      <c r="K60" s="353"/>
      <c r="L60" s="1383"/>
      <c r="M60" s="353"/>
      <c r="N60" s="1383"/>
      <c r="O60" s="353"/>
      <c r="P60" s="1383"/>
      <c r="S60" s="355"/>
      <c r="U60" s="1389"/>
      <c r="V60" s="1379"/>
      <c r="W60" s="1403"/>
      <c r="X60" s="1379"/>
      <c r="Y60" s="1403"/>
      <c r="Z60" s="1379"/>
      <c r="AA60" s="1403"/>
      <c r="AB60" s="1379"/>
      <c r="AC60" s="1405"/>
      <c r="AD60" s="1379"/>
      <c r="AE60" s="1387"/>
      <c r="AH60" s="355"/>
      <c r="AJ60" s="1389"/>
      <c r="AK60" s="1379"/>
      <c r="AL60" s="1389"/>
      <c r="AM60" s="1379"/>
      <c r="AN60" s="1389"/>
      <c r="AO60" s="1379"/>
      <c r="AP60" s="1389"/>
      <c r="AQ60" s="1379"/>
      <c r="AR60" s="1387"/>
      <c r="AS60" s="1379"/>
      <c r="AT60" s="1387"/>
      <c r="AW60" s="373"/>
      <c r="AX60" s="1469">
        <v>0.33333333333333331</v>
      </c>
      <c r="AZ60" s="1472">
        <v>0.16666666666666666</v>
      </c>
      <c r="BA60" s="1474">
        <v>0.25</v>
      </c>
      <c r="BC60" s="1472">
        <v>0.25</v>
      </c>
      <c r="BD60" s="1474">
        <v>0.25</v>
      </c>
      <c r="BF60" s="1472">
        <v>0.25</v>
      </c>
      <c r="BG60" s="1474">
        <v>0.25</v>
      </c>
      <c r="BI60" s="1472">
        <v>0.25</v>
      </c>
      <c r="BJ60" s="1474">
        <v>0.25</v>
      </c>
      <c r="BL60" s="1469">
        <v>0.25</v>
      </c>
      <c r="BM60" s="373"/>
      <c r="BO60" s="355"/>
      <c r="BQ60" s="1389"/>
      <c r="BR60" s="1379">
        <f>V61</f>
        <v>243.87250292586566</v>
      </c>
      <c r="BS60" s="1389"/>
      <c r="BT60" s="1379">
        <f>X61</f>
        <v>191.54812176159859</v>
      </c>
      <c r="BU60" s="1389"/>
      <c r="BV60" s="1379">
        <f>Z61</f>
        <v>190.55718239281657</v>
      </c>
      <c r="BW60" s="1389"/>
      <c r="BX60" s="1379">
        <f>AB61</f>
        <v>161.84281760718343</v>
      </c>
      <c r="BY60" s="1387"/>
      <c r="BZ60" s="1379">
        <f>AD61</f>
        <v>156.80000000000001</v>
      </c>
      <c r="CA60" s="1387"/>
      <c r="CB60" s="1426"/>
      <c r="CD60" s="353"/>
    </row>
    <row r="61" spans="1:82" ht="18">
      <c r="D61" s="355"/>
      <c r="E61" s="352">
        <v>2</v>
      </c>
      <c r="F61" s="382"/>
      <c r="G61" s="378" t="s">
        <v>19438</v>
      </c>
      <c r="H61" s="382"/>
      <c r="I61" s="378" t="s">
        <v>19438</v>
      </c>
      <c r="J61" s="382"/>
      <c r="K61" s="378" t="s">
        <v>19438</v>
      </c>
      <c r="L61" s="382"/>
      <c r="M61" s="378" t="s">
        <v>19416</v>
      </c>
      <c r="N61" s="382"/>
      <c r="O61" s="378" t="s">
        <v>19416</v>
      </c>
      <c r="P61" s="382"/>
      <c r="S61" s="355"/>
      <c r="U61" s="382"/>
      <c r="V61" s="348">
        <f>U59*(AK61*AX60/(AJ59*'1-Eng Inputs'!$C$38))+U62*(AK61*AX62/(AJ62*'1-Eng Inputs'!$C$38))/factors!$B$4+W59*(AK61*AZ60/(AL59*'1-Eng Inputs'!$C$38))+W62*(AK61*AZ62/(AL62*'1-Eng Inputs'!$C$38))/factors!$B$4</f>
        <v>243.87250292586566</v>
      </c>
      <c r="W61" s="382"/>
      <c r="X61" s="348">
        <f>W59*(AM61*BA60/(AL59*'1-Eng Inputs'!$C$38))+W62*(AM61*BA62/(AL62*'1-Eng Inputs'!$C$38))/factors!$B$4+Y59*(AM61*BC60/(AN59*'1-Eng Inputs'!$C$38))+Y62*(AM61*BC62/(AN62*'1-Eng Inputs'!$C$38))/factors!$B$4</f>
        <v>191.54812176159859</v>
      </c>
      <c r="Y61" s="382"/>
      <c r="Z61" s="348">
        <f>Y59*(AO61*BD60/(AN59*'1-Eng Inputs'!$C$38))+Y62*(AO61*BD62/(AN62*'1-Eng Inputs'!$C$38))/factors!$B$4+AA59*(AO61*BF60/(AP59*'1-Eng Inputs'!$C$38))+AA62*(AO61*BF62/(AP62*'1-Eng Inputs'!$C$38))/factors!$B$4</f>
        <v>190.55718239281657</v>
      </c>
      <c r="AA61" s="382"/>
      <c r="AB61" s="348">
        <f>AA59*(AQ61*BG60/(AP59*'1-Eng Inputs'!$C$38))+AA62*(AQ61*BG62/(AP62*'1-Eng Inputs'!$C$38))/factors!$B$4+AC59*(AQ61*BI60/(AR59*'1-Eng Inputs'!$C$38))+AC62*(AQ61*BI62/(AR62*'1-Eng Inputs'!$C$38))/factors!$B$4</f>
        <v>161.84281760718343</v>
      </c>
      <c r="AC61" s="382"/>
      <c r="AD61" s="348">
        <f>AC59*(AS61*BJ60/(AR59*'1-Eng Inputs'!$C$38))+AC62*(AS61*BJ62/(AR62*'1-Eng Inputs'!$C$38))/factors!$B$4+AE59*(AS61*BL60/(AT59*'1-Eng Inputs'!$C$38))+AE62*(AS61*BL62/(AT62*'1-Eng Inputs'!$C$38))/factors!$B$4</f>
        <v>156.80000000000001</v>
      </c>
      <c r="AE61" s="382"/>
      <c r="AH61" s="355"/>
      <c r="AI61" s="353">
        <v>2</v>
      </c>
      <c r="AJ61" s="382"/>
      <c r="AK61" s="348">
        <f>MAX('Land Calcs 10deg (lift)'!$H$6,'Land Calcs 10deg (lift)'!$H$26)</f>
        <v>207.42316644287763</v>
      </c>
      <c r="AL61" s="382"/>
      <c r="AM61" s="348">
        <f>MAX('Land Calcs 10deg (lift)'!$I$6,'Land Calcs 10deg (lift)'!$I$26)</f>
        <v>166.44692910304767</v>
      </c>
      <c r="AN61" s="382"/>
      <c r="AO61" s="348">
        <f>MAX('Land Calcs 10deg (lift)'!$I$6,'Land Calcs 10deg (lift)'!$I$26)</f>
        <v>166.44692910304767</v>
      </c>
      <c r="AP61" s="382"/>
      <c r="AQ61" s="348">
        <f>MAX('Land Calcs 10deg (lift)'!$I$11,'Land Calcs 10deg (lift)'!$I$31)</f>
        <v>150.05643416711567</v>
      </c>
      <c r="AR61" s="382"/>
      <c r="AS61" s="348">
        <f>MAX('Land Calcs 10deg (lift)'!$I$11,'Land Calcs 10deg (lift)'!$I$31)</f>
        <v>150.05643416711567</v>
      </c>
      <c r="AT61" s="382"/>
      <c r="AW61" s="373"/>
      <c r="AY61" s="381"/>
      <c r="BB61" s="381"/>
      <c r="BE61" s="381"/>
      <c r="BH61" s="381"/>
      <c r="BK61" s="381"/>
      <c r="BM61" s="373"/>
      <c r="BO61" s="355"/>
      <c r="BP61" s="353">
        <v>2</v>
      </c>
      <c r="BQ61" s="382"/>
      <c r="BR61" s="348">
        <f>AK61</f>
        <v>207.42316644287763</v>
      </c>
      <c r="BS61" s="382"/>
      <c r="BT61" s="348">
        <f>AM61</f>
        <v>166.44692910304767</v>
      </c>
      <c r="BU61" s="382"/>
      <c r="BV61" s="348">
        <f>AO61</f>
        <v>166.44692910304767</v>
      </c>
      <c r="BW61" s="382"/>
      <c r="BX61" s="348">
        <f>AQ61</f>
        <v>150.05643416711567</v>
      </c>
      <c r="BY61" s="382"/>
      <c r="BZ61" s="348">
        <f>AS61</f>
        <v>150.05643416711567</v>
      </c>
      <c r="CA61" s="382"/>
      <c r="CC61" s="1426"/>
      <c r="CD61" s="353"/>
    </row>
    <row r="62" spans="1:82" hidden="1">
      <c r="E62" s="352"/>
      <c r="F62" s="1516"/>
      <c r="H62" s="1516"/>
      <c r="J62" s="1516"/>
      <c r="L62" s="1516"/>
      <c r="N62" s="1516"/>
      <c r="P62" s="1516"/>
      <c r="U62" s="1388">
        <f>IF(LEFT(F63,3)-LEFT(F63,1)=0.5,'1-Eng Inputs'!$C$39,0)+LEFT(F63,1)*'1-Eng Inputs'!$C$38</f>
        <v>128</v>
      </c>
      <c r="V62" s="350">
        <f>V61-BR60</f>
        <v>0</v>
      </c>
      <c r="W62" s="1402">
        <f>IF(LEFT(H63,3)-LEFT(H63,1)=0.5,'1-Eng Inputs'!$C$39,0)+LEFT(H63,1)*'1-Eng Inputs'!$C$38</f>
        <v>128</v>
      </c>
      <c r="X62" s="350">
        <f>X61-BT60</f>
        <v>0</v>
      </c>
      <c r="Y62" s="1402">
        <f>IF(LEFT(J63,3)-LEFT(J63,1)=0.5,'1-Eng Inputs'!$C$39,0)+LEFT(J63,1)*'1-Eng Inputs'!$C$38</f>
        <v>160</v>
      </c>
      <c r="Z62" s="350">
        <f>Z61-BV60</f>
        <v>0</v>
      </c>
      <c r="AA62" s="1402">
        <f>IF(LEFT(L63,3)-LEFT(L63,1)=0.5,'1-Eng Inputs'!$C$39,0)+LEFT(L63,1)*'1-Eng Inputs'!$C$38</f>
        <v>128</v>
      </c>
      <c r="AB62" s="350">
        <f>AB61-BX60</f>
        <v>0</v>
      </c>
      <c r="AC62" s="1404">
        <f>IF(LEFT(N63,3)-LEFT(N63,1)=0.5,'1-Eng Inputs'!$C$39,0)+LEFT(N63,1)*'1-Eng Inputs'!$C$38</f>
        <v>128</v>
      </c>
      <c r="AD62" s="350">
        <f>AD61-BZ60</f>
        <v>0</v>
      </c>
      <c r="AE62" s="1386">
        <f>IF(LEFT(P63,3)-LEFT(P63,1)=0.5,'1-Eng Inputs'!$C$39,0)+LEFT(P63,1)*'1-Eng Inputs'!$C$38</f>
        <v>128</v>
      </c>
      <c r="AJ62" s="1475">
        <f>(AK61*AX62)/'1-Eng Inputs'!$C$38</f>
        <v>2.1606579837799753</v>
      </c>
      <c r="AL62" s="1475">
        <f>(AK61*AZ62+AM61*BA62)/'1-Eng Inputs'!$C$38</f>
        <v>2.3806956255075473</v>
      </c>
      <c r="AN62" s="1475">
        <f>(AM61*BC62+AO61*BD62)/'1-Eng Inputs'!$C$38</f>
        <v>2.6007332672351198</v>
      </c>
      <c r="AP62" s="1475">
        <f>(AO61*BF62+AQ61*BG62)/'1-Eng Inputs'!$C$38</f>
        <v>2.472682525548151</v>
      </c>
      <c r="AR62" s="1475">
        <f>(AQ61*BI62+AS61*BJ62)/'1-Eng Inputs'!$C$38</f>
        <v>2.3446317838611823</v>
      </c>
      <c r="AT62" s="1475">
        <f>AR62</f>
        <v>2.3446317838611823</v>
      </c>
      <c r="AW62" s="373"/>
      <c r="AX62" s="1396">
        <v>0.33333333333333331</v>
      </c>
      <c r="AZ62" s="1412">
        <v>0.16666666666666666</v>
      </c>
      <c r="BA62" s="1394">
        <v>0.25</v>
      </c>
      <c r="BC62" s="1412">
        <v>0.25</v>
      </c>
      <c r="BD62" s="1394">
        <v>0.25</v>
      </c>
      <c r="BF62" s="1412">
        <v>0.25</v>
      </c>
      <c r="BG62" s="1394">
        <v>0.25</v>
      </c>
      <c r="BI62" s="1412">
        <v>0.25</v>
      </c>
      <c r="BJ62" s="1394">
        <v>0.25</v>
      </c>
      <c r="BL62" s="1396">
        <v>0.25</v>
      </c>
      <c r="BM62" s="373"/>
      <c r="BQ62" s="1475">
        <f>BQ63/factors!$B$4</f>
        <v>2.1606579837799753</v>
      </c>
      <c r="BS62" s="1475">
        <f>BS63/factors!$B$4</f>
        <v>2.3806956255075473</v>
      </c>
      <c r="BU62" s="1475">
        <f>BU63/factors!$B$4</f>
        <v>2.6007332672351193</v>
      </c>
      <c r="BW62" s="1475">
        <f>BW63/factors!$B$4</f>
        <v>2.472682525548151</v>
      </c>
      <c r="BY62" s="1475">
        <f>BY63/factors!$B$4</f>
        <v>2.3446317838611823</v>
      </c>
      <c r="CA62" s="1475">
        <f>BY62</f>
        <v>2.3446317838611823</v>
      </c>
      <c r="CB62" s="1426"/>
      <c r="CD62" s="353"/>
    </row>
    <row r="63" spans="1:82">
      <c r="E63" s="352"/>
      <c r="F63" s="1383">
        <f>IF($O$4="NO",ROUNDUP(BQ63-0.00499,0),LEFT(BQ63,1)+(IF(BQ63-LEFT(BQ63,1)&lt;0.00499,0,IF(BQ63-LEFT(BQ63,1)-0.00499&lt;('1-Eng Inputs'!$C$39/'1-Eng Inputs'!$C$38),0.5,1))))</f>
        <v>4</v>
      </c>
      <c r="G63" s="353"/>
      <c r="H63" s="1383">
        <f>IF($O$4="NO",ROUNDUP(BS63-0.00499,0),LEFT(BS63,1)+(IF(BS63-LEFT(BS63,1)&lt;0.00499,0,IF(BS63-LEFT(BS63,1)-0.00499&lt;('1-Eng Inputs'!$C$39/'1-Eng Inputs'!$C$38),0.5,1))))</f>
        <v>4</v>
      </c>
      <c r="I63" s="353"/>
      <c r="J63" s="1383">
        <f>IF($O$4="NO",ROUNDUP(BU63-0.00499,0),LEFT(BU63,1)+(IF(BU63-LEFT(BU63,1)&lt;0.00499,0,IF(BU63-LEFT(BU63,1)-0.00499&lt;('1-Eng Inputs'!$C$39/'1-Eng Inputs'!$C$38),0.5,1))))</f>
        <v>5</v>
      </c>
      <c r="K63" s="353"/>
      <c r="L63" s="1383">
        <f>IF($O$4="NO",ROUNDUP(BW63-0.00499,0),LEFT(BW63,1)+(IF(BW63-LEFT(BW63,1)&lt;0.00499,0,IF(BW63-LEFT(BW63,1)-0.00499&lt;('1-Eng Inputs'!$C$39/'1-Eng Inputs'!$C$38),0.5,1))))</f>
        <v>4</v>
      </c>
      <c r="M63" s="353"/>
      <c r="N63" s="1383">
        <f>IF($O$4="NO",ROUNDUP(BY63-0.00499,0),LEFT(BY63,1)+(IF(BY63-LEFT(BY63,1)&lt;0.00499,0,IF(BY63-LEFT(BY63,1)-0.00499&lt;('1-Eng Inputs'!$C$39/'1-Eng Inputs'!$C$38),0.5,1))))</f>
        <v>4</v>
      </c>
      <c r="O63" s="353"/>
      <c r="P63" s="1383">
        <f>IF($O$4="NO",ROUNDUP(CA63-0.00499,0),LEFT(CA63,1)+(IF(CA63-LEFT(CA63,1)&lt;0.00499,0,IF(CA63-LEFT(CA63,1)-0.00499&lt;('1-Eng Inputs'!$C$39/'1-Eng Inputs'!$C$38),0.5,1))))</f>
        <v>4</v>
      </c>
      <c r="U63" s="1389"/>
      <c r="V63" s="1379"/>
      <c r="W63" s="1403"/>
      <c r="X63" s="1379"/>
      <c r="Y63" s="1403"/>
      <c r="Z63" s="1379"/>
      <c r="AA63" s="1403"/>
      <c r="AB63" s="1379"/>
      <c r="AC63" s="1405"/>
      <c r="AD63" s="1379"/>
      <c r="AE63" s="1387"/>
      <c r="AJ63" s="384">
        <f>AJ62*factors!$B$4</f>
        <v>3.4570527740479609</v>
      </c>
      <c r="AK63" s="375"/>
      <c r="AL63" s="384">
        <f>AL62*factors!$B$4</f>
        <v>3.8091130008120757</v>
      </c>
      <c r="AM63" s="375"/>
      <c r="AN63" s="384">
        <f>AN62*factors!$B$4</f>
        <v>4.1611732275761915</v>
      </c>
      <c r="AO63" s="375"/>
      <c r="AP63" s="384">
        <f>AP62*factors!$B$4</f>
        <v>3.9562920408770417</v>
      </c>
      <c r="AQ63" s="375"/>
      <c r="AR63" s="1387">
        <f>AR62*factors!$B$4</f>
        <v>3.7514108541778919</v>
      </c>
      <c r="AS63" s="375"/>
      <c r="AT63" s="1387">
        <f>AR63</f>
        <v>3.7514108541778919</v>
      </c>
      <c r="AW63" s="373"/>
      <c r="AX63" s="1397"/>
      <c r="AZ63" s="1413"/>
      <c r="BA63" s="1395"/>
      <c r="BC63" s="1413"/>
      <c r="BD63" s="1395"/>
      <c r="BF63" s="1413"/>
      <c r="BG63" s="1395"/>
      <c r="BI63" s="1413"/>
      <c r="BJ63" s="1395"/>
      <c r="BL63" s="1397"/>
      <c r="BM63" s="373"/>
      <c r="BQ63" s="384">
        <f>AJ63</f>
        <v>3.4570527740479609</v>
      </c>
      <c r="BR63" s="375"/>
      <c r="BS63" s="384">
        <f>AL63</f>
        <v>3.8091130008120757</v>
      </c>
      <c r="BT63" s="375"/>
      <c r="BU63" s="384">
        <f>AN63</f>
        <v>4.1611732275761915</v>
      </c>
      <c r="BV63" s="375"/>
      <c r="BW63" s="384">
        <f>AP63</f>
        <v>3.9562920408770417</v>
      </c>
      <c r="BX63" s="375"/>
      <c r="BY63" s="1387">
        <f>AR63</f>
        <v>3.7514108541778919</v>
      </c>
      <c r="BZ63" s="375"/>
      <c r="CA63" s="1387">
        <f>BY63</f>
        <v>3.7514108541778919</v>
      </c>
      <c r="CB63" s="1426"/>
      <c r="CD63" s="353"/>
    </row>
    <row r="64" spans="1:82">
      <c r="E64" s="352"/>
      <c r="F64" s="374"/>
      <c r="G64" s="353"/>
      <c r="H64" s="374"/>
      <c r="I64" s="353"/>
      <c r="J64" s="374"/>
      <c r="K64" s="353"/>
      <c r="L64" s="374"/>
      <c r="M64" s="353"/>
      <c r="N64" s="374"/>
      <c r="O64" s="353"/>
      <c r="P64" s="374"/>
      <c r="U64" s="1426"/>
      <c r="V64" s="375"/>
      <c r="W64" s="1426"/>
      <c r="X64" s="375"/>
      <c r="Y64" s="1426"/>
      <c r="Z64" s="375"/>
      <c r="AA64" s="1426"/>
      <c r="AB64" s="375"/>
      <c r="AC64" s="1426"/>
      <c r="AD64" s="375"/>
      <c r="AE64" s="1426"/>
      <c r="AJ64" s="1426"/>
      <c r="AK64" s="375"/>
      <c r="AL64" s="1426"/>
      <c r="AM64" s="375"/>
      <c r="AN64" s="1426"/>
      <c r="AO64" s="375"/>
      <c r="AP64" s="1426"/>
      <c r="AQ64" s="375"/>
      <c r="AR64" s="1426"/>
      <c r="AS64" s="375"/>
      <c r="AT64" s="1426"/>
      <c r="AW64" s="373"/>
      <c r="AX64" s="373"/>
      <c r="AZ64" s="373"/>
      <c r="BA64" s="373"/>
      <c r="BC64" s="373"/>
      <c r="BD64" s="373"/>
      <c r="BF64" s="373"/>
      <c r="BG64" s="373"/>
      <c r="BI64" s="373"/>
      <c r="BJ64" s="373"/>
      <c r="BL64" s="373"/>
      <c r="BM64" s="373"/>
      <c r="BQ64" s="1426"/>
      <c r="BR64" s="375"/>
      <c r="BS64" s="1426"/>
      <c r="BT64" s="375"/>
      <c r="BU64" s="1426"/>
      <c r="BV64" s="375"/>
      <c r="BW64" s="1426"/>
      <c r="BX64" s="375"/>
      <c r="BY64" s="1426"/>
      <c r="BZ64" s="375"/>
      <c r="CA64" s="1426"/>
      <c r="CB64" s="1426"/>
      <c r="CD64" s="353"/>
    </row>
    <row r="65" spans="1:82">
      <c r="A65" s="349" t="s">
        <v>19434</v>
      </c>
      <c r="E65" s="352"/>
      <c r="S65" s="349"/>
      <c r="AH65" s="349" t="s">
        <v>19449</v>
      </c>
      <c r="BO65" s="349" t="s">
        <v>19443</v>
      </c>
      <c r="CD65" s="353"/>
    </row>
    <row r="66" spans="1:82">
      <c r="A66" s="1426"/>
      <c r="D66" s="356"/>
      <c r="E66" s="352"/>
      <c r="G66" s="350" t="s">
        <v>233</v>
      </c>
      <c r="N66" s="354" t="s">
        <v>215</v>
      </c>
      <c r="S66" s="356"/>
      <c r="AC66" s="354"/>
      <c r="AH66" s="356"/>
      <c r="AR66" s="354" t="s">
        <v>215</v>
      </c>
      <c r="AW66" s="370" t="s">
        <v>19376</v>
      </c>
      <c r="BO66" s="1426"/>
      <c r="BR66" s="350" t="s">
        <v>233</v>
      </c>
      <c r="BY66" s="354" t="s">
        <v>215</v>
      </c>
    </row>
    <row r="67" spans="1:82">
      <c r="A67" s="1426"/>
      <c r="D67" s="356"/>
      <c r="E67" s="352"/>
      <c r="G67" s="352">
        <v>1</v>
      </c>
      <c r="H67" s="352"/>
      <c r="I67" s="352">
        <v>2</v>
      </c>
      <c r="J67" s="352"/>
      <c r="K67" s="352">
        <v>3</v>
      </c>
      <c r="L67" s="352"/>
      <c r="M67" s="352">
        <v>4</v>
      </c>
      <c r="N67" s="357"/>
      <c r="O67" s="352"/>
      <c r="S67" s="356"/>
      <c r="V67" s="352"/>
      <c r="W67" s="352"/>
      <c r="X67" s="352"/>
      <c r="Y67" s="352"/>
      <c r="Z67" s="352"/>
      <c r="AA67" s="352"/>
      <c r="AB67" s="352"/>
      <c r="AD67" s="353"/>
      <c r="AH67" s="356"/>
      <c r="AK67" s="352">
        <v>1</v>
      </c>
      <c r="AL67" s="352"/>
      <c r="AM67" s="352">
        <v>2</v>
      </c>
      <c r="AN67" s="352"/>
      <c r="AO67" s="352">
        <v>3</v>
      </c>
      <c r="AP67" s="352"/>
      <c r="AQ67" s="352">
        <v>4</v>
      </c>
      <c r="AS67" s="353"/>
      <c r="BO67" s="1426"/>
      <c r="BR67" s="352">
        <v>1</v>
      </c>
      <c r="BS67" s="352"/>
      <c r="BT67" s="352">
        <v>2</v>
      </c>
      <c r="BU67" s="352"/>
      <c r="BV67" s="352">
        <v>3</v>
      </c>
      <c r="BW67" s="352"/>
      <c r="BX67" s="352">
        <v>4</v>
      </c>
      <c r="BZ67" s="353"/>
    </row>
    <row r="68" spans="1:82">
      <c r="E68" s="352"/>
      <c r="F68" s="1382">
        <f>IF($O$4="NO",ROUNDUP(BQ68-0.00499,0),LEFT(BQ68,1)+(IF(BQ68-LEFT(BQ68,1)&lt;0.00499,0,IF(BQ68-LEFT(BQ68,1)-0.00499&lt;('1-Eng Inputs'!$C$39/'1-Eng Inputs'!$C$38),0.5,1))))</f>
        <v>4</v>
      </c>
      <c r="G68" s="353"/>
      <c r="H68" s="1382">
        <f>IF($O$4="NO",ROUNDUP(BS68-0.00499,0),LEFT(BS68,1)+(IF(BS68-LEFT(BS68,1)&lt;0.00499,0,IF(BS68-LEFT(BS68,1)-0.00499&lt;('1-Eng Inputs'!$C$39/'1-Eng Inputs'!$C$38),0.5,1))))</f>
        <v>7</v>
      </c>
      <c r="I68" s="353"/>
      <c r="J68" s="1382">
        <f>IF($O$4="NO",ROUNDUP(BU68-0.00499,0),LEFT(BU68,1)+(IF(BU68-LEFT(BU68,1)&lt;0.00499,0,IF(BU68-LEFT(BU68,1)-0.00499&lt;('1-Eng Inputs'!$C$39/'1-Eng Inputs'!$C$38),0.5,1))))</f>
        <v>7</v>
      </c>
      <c r="K68" s="353"/>
      <c r="L68" s="1382">
        <f>IF($O$4="NO",ROUNDUP(BW68-0.00499,0),LEFT(BW68,1)+(IF(BW68-LEFT(BW68,1)&lt;0.00499,0,IF(BW68-LEFT(BW68,1)-0.00499&lt;('1-Eng Inputs'!$C$39/'1-Eng Inputs'!$C$38),0.5,1))))</f>
        <v>7</v>
      </c>
      <c r="M68" s="353"/>
      <c r="N68" s="1382">
        <f>IF($O$4="NO",ROUNDUP(BY68-0.00499,0),LEFT(BY68,1)+(IF(BY68-LEFT(BY68,1)&lt;0.00499,0,IF(BY68-LEFT(BY68,1)-0.00499&lt;('1-Eng Inputs'!$C$39/'1-Eng Inputs'!$C$38),0.5,1))))</f>
        <v>7</v>
      </c>
      <c r="U68" s="1388">
        <f>IF(LEFT(F68,3)-LEFT(F68,1)=0.5,'1-Eng Inputs'!$C$39,0)+LEFT(F68,1)*'1-Eng Inputs'!$C$38</f>
        <v>128</v>
      </c>
      <c r="W68" s="1420">
        <f>IF(LEFT(H68,3)-LEFT(H68,1)=0.5,'1-Eng Inputs'!$C$39,0)+LEFT(H68,1)*'1-Eng Inputs'!$C$38</f>
        <v>224</v>
      </c>
      <c r="Y68" s="1420">
        <f>IF(LEFT(J68,3)-LEFT(J68,1)=0.5,'1-Eng Inputs'!$C$39,0)+LEFT(J68,1)*'1-Eng Inputs'!$C$38</f>
        <v>224</v>
      </c>
      <c r="AA68" s="1420">
        <f>IF(LEFT(L68,3)-LEFT(L68,1)=0.5,'1-Eng Inputs'!$C$39,0)+LEFT(L68,1)*'1-Eng Inputs'!$C$38</f>
        <v>224</v>
      </c>
      <c r="AC68" s="1421">
        <f>IF(LEFT(N68,3)-LEFT(N68,1)=0.5,'1-Eng Inputs'!$C$39,0)+LEFT(N68,1)*'1-Eng Inputs'!$C$38</f>
        <v>224</v>
      </c>
      <c r="AE68" s="1426"/>
      <c r="AJ68" s="1384">
        <f>AJ69*factors!$B$3</f>
        <v>3.1650460747777536</v>
      </c>
      <c r="AL68" s="1384">
        <f>AL69*factors!$B$3</f>
        <v>6.3300921495555071</v>
      </c>
      <c r="AN68" s="1384">
        <f>AN69*factors!$B$3</f>
        <v>6.3300921495555071</v>
      </c>
      <c r="AP68" s="1384">
        <f>AP69*factors!$B$3</f>
        <v>6.3300921495555071</v>
      </c>
      <c r="AR68" s="1384">
        <f>AP68</f>
        <v>6.3300921495555071</v>
      </c>
      <c r="AX68" s="1396">
        <v>0.25</v>
      </c>
      <c r="AZ68" s="1412">
        <v>0.25</v>
      </c>
      <c r="BA68" s="1394">
        <v>0.25</v>
      </c>
      <c r="BC68" s="1412">
        <v>0.25</v>
      </c>
      <c r="BD68" s="1394">
        <v>0.25</v>
      </c>
      <c r="BF68" s="1412">
        <v>0.25</v>
      </c>
      <c r="BG68" s="1394">
        <v>0.25</v>
      </c>
      <c r="BI68" s="1396">
        <v>0.25</v>
      </c>
      <c r="BQ68" s="1384">
        <f>AJ68</f>
        <v>3.1650460747777536</v>
      </c>
      <c r="BS68" s="1384">
        <f>AL68</f>
        <v>6.3300921495555071</v>
      </c>
      <c r="BU68" s="1384">
        <f>AN68</f>
        <v>6.3300921495555071</v>
      </c>
      <c r="BW68" s="1384">
        <f>AP68</f>
        <v>6.3300921495555071</v>
      </c>
      <c r="BY68" s="1384">
        <f>BW68</f>
        <v>6.3300921495555071</v>
      </c>
    </row>
    <row r="69" spans="1:82" ht="15" hidden="1" customHeight="1">
      <c r="E69" s="352"/>
      <c r="F69" s="1383"/>
      <c r="G69" s="353"/>
      <c r="H69" s="1383"/>
      <c r="I69" s="353"/>
      <c r="J69" s="1383"/>
      <c r="K69" s="353"/>
      <c r="L69" s="1383"/>
      <c r="M69" s="353"/>
      <c r="N69" s="1383"/>
      <c r="U69" s="1389"/>
      <c r="V69" s="1379"/>
      <c r="W69" s="1403"/>
      <c r="X69" s="1379"/>
      <c r="Y69" s="1403"/>
      <c r="Z69" s="1379"/>
      <c r="AA69" s="1403"/>
      <c r="AB69" s="1379"/>
      <c r="AC69" s="1405"/>
      <c r="AD69" s="1379"/>
      <c r="AE69" s="1426"/>
      <c r="AJ69" s="1385">
        <f>(AK70*AX68)/'1-Eng Inputs'!$C$38</f>
        <v>2.2607471962698242</v>
      </c>
      <c r="AL69" s="1385">
        <f>(AK70*AZ68+AM70*BA68)/'1-Eng Inputs'!$C$38</f>
        <v>4.5214943925396485</v>
      </c>
      <c r="AN69" s="1385">
        <f>(AM70*BC68+AO70*BD68)/'1-Eng Inputs'!$C$38</f>
        <v>4.5214943925396485</v>
      </c>
      <c r="AP69" s="1385">
        <f>(AO70*BF68+AQ70*BG68)/'1-Eng Inputs'!$C$38</f>
        <v>4.5214943925396485</v>
      </c>
      <c r="AR69" s="1385">
        <f>AP69</f>
        <v>4.5214943925396485</v>
      </c>
      <c r="AX69" s="1397"/>
      <c r="AZ69" s="1413"/>
      <c r="BA69" s="1395"/>
      <c r="BC69" s="1413"/>
      <c r="BD69" s="1395"/>
      <c r="BF69" s="1413"/>
      <c r="BG69" s="1395"/>
      <c r="BI69" s="1397"/>
      <c r="BQ69" s="1385">
        <f>BQ68/factors!$B$3</f>
        <v>2.2607471962698242</v>
      </c>
      <c r="BR69" s="1379">
        <f>V70</f>
        <v>331.42857142857144</v>
      </c>
      <c r="BS69" s="1385">
        <f>BS68/factors!$B$3</f>
        <v>4.5214943925396485</v>
      </c>
      <c r="BT69" s="1379">
        <f>X70</f>
        <v>320</v>
      </c>
      <c r="BU69" s="1385">
        <f>BU68/factors!$B$3</f>
        <v>4.5214943925396485</v>
      </c>
      <c r="BV69" s="1379">
        <f>Z70</f>
        <v>320</v>
      </c>
      <c r="BW69" s="1385">
        <f>BW68/factors!$B$3</f>
        <v>4.5214943925396485</v>
      </c>
      <c r="BX69" s="1379">
        <f>AB70</f>
        <v>320</v>
      </c>
      <c r="BY69" s="1385">
        <f>BY68/factors!$B$3</f>
        <v>4.5214943925396485</v>
      </c>
      <c r="CC69" s="376"/>
    </row>
    <row r="70" spans="1:82" ht="24.75" customHeight="1">
      <c r="D70" s="355"/>
      <c r="E70" s="352">
        <v>1</v>
      </c>
      <c r="F70" s="382"/>
      <c r="G70" s="378" t="s">
        <v>19429</v>
      </c>
      <c r="H70" s="382"/>
      <c r="I70" s="378" t="s">
        <v>19429</v>
      </c>
      <c r="J70" s="382"/>
      <c r="K70" s="378" t="s">
        <v>19429</v>
      </c>
      <c r="L70" s="382"/>
      <c r="M70" s="378" t="s">
        <v>19429</v>
      </c>
      <c r="N70" s="382"/>
      <c r="O70" s="1426"/>
      <c r="S70" s="355"/>
      <c r="U70" s="382"/>
      <c r="V70" s="348">
        <f>U68*(AK70*AX68/(AJ69*'1-Eng Inputs'!$C$38))/factors!$B$3+U71*(AK70*AX71/(AJ71*'1-Eng Inputs'!$C$38))/factors!$B$4+W68*(AK70*AZ68/(AL69*'1-Eng Inputs'!$C$38))/factors!$B$3+W71*(AK70*AZ71/(AL71*'1-Eng Inputs'!$C$38))/factors!$B$4</f>
        <v>331.42857142857144</v>
      </c>
      <c r="W70" s="382"/>
      <c r="X70" s="348">
        <f>W68*(AM70*BA68/(AL69*'1-Eng Inputs'!$C$38))/factors!$B$3+W71*(AM70*BA71/(AL71*'1-Eng Inputs'!$C$38))/factors!$B$4+Y68*(AM70*BC68/(AN69*'1-Eng Inputs'!$C$38))/factors!$B$3+Y71*(AM70*BC71/(AN71*'1-Eng Inputs'!$C$38))/factors!$B$4</f>
        <v>320</v>
      </c>
      <c r="Y70" s="382"/>
      <c r="Z70" s="348">
        <f>Y68*(AO70*BD68/(AN69*'1-Eng Inputs'!$C$38))/factors!$B$3+Y71*(AO70*BD71/(AN71*'1-Eng Inputs'!$C$38))/factors!$B$4+AA68*(AO70*BF68/(AP69*'1-Eng Inputs'!$C$38))/factors!$B$3+AA71*(AO70*BF71/(AP71*'1-Eng Inputs'!$C$38))/factors!$B$4</f>
        <v>320</v>
      </c>
      <c r="AA70" s="382"/>
      <c r="AB70" s="348">
        <f>AA68*(AQ70*BG68/(AP69*'1-Eng Inputs'!$C$38))/factors!$B$3+AA71*(AQ70*BG71/(AP71*'1-Eng Inputs'!$C$38))/factors!$B$4+AC68*(AQ70*BI68/(AR69*'1-Eng Inputs'!$C$38))/factors!$B$3+AC71*(AQ70*BI71/(AR71*'1-Eng Inputs'!$C$38))/factors!$B$4</f>
        <v>320</v>
      </c>
      <c r="AC70" s="382"/>
      <c r="AD70" s="356"/>
      <c r="AE70" s="353"/>
      <c r="AH70" s="355"/>
      <c r="AI70" s="353">
        <v>1</v>
      </c>
      <c r="AJ70" s="382"/>
      <c r="AK70" s="348">
        <f>'Land Calcs 10deg (lift)'!$E$37</f>
        <v>289.3756411225375</v>
      </c>
      <c r="AL70" s="382"/>
      <c r="AM70" s="348">
        <f>'Land Calcs 10deg (lift)'!$E$37</f>
        <v>289.3756411225375</v>
      </c>
      <c r="AN70" s="382"/>
      <c r="AO70" s="348">
        <f>AM70</f>
        <v>289.3756411225375</v>
      </c>
      <c r="AP70" s="382"/>
      <c r="AQ70" s="348">
        <f>AO70</f>
        <v>289.3756411225375</v>
      </c>
      <c r="AR70" s="382"/>
      <c r="AS70" s="1426"/>
      <c r="AY70" s="381"/>
      <c r="BB70" s="381"/>
      <c r="BE70" s="381"/>
      <c r="BH70" s="381"/>
      <c r="BO70" s="354" t="s">
        <v>234</v>
      </c>
      <c r="BP70" s="353">
        <v>1</v>
      </c>
      <c r="BQ70" s="382"/>
      <c r="BR70" s="348">
        <f>AK70</f>
        <v>289.3756411225375</v>
      </c>
      <c r="BS70" s="382"/>
      <c r="BT70" s="348">
        <f>AM70</f>
        <v>289.3756411225375</v>
      </c>
      <c r="BU70" s="382"/>
      <c r="BV70" s="348">
        <f>AO70</f>
        <v>289.3756411225375</v>
      </c>
      <c r="BW70" s="382"/>
      <c r="BX70" s="348">
        <f>AQ70</f>
        <v>289.3756411225375</v>
      </c>
      <c r="BY70" s="382"/>
      <c r="BZ70" s="1426"/>
    </row>
    <row r="71" spans="1:82" ht="12.75" hidden="1" customHeight="1">
      <c r="E71" s="352"/>
      <c r="F71" s="1516"/>
      <c r="H71" s="1516"/>
      <c r="J71" s="1516"/>
      <c r="L71" s="1516"/>
      <c r="N71" s="1516"/>
      <c r="U71" s="1388">
        <f>IF(LEFT(F72,3)-LEFT(F72,1)=0.5,'1-Eng Inputs'!$C$39,0)+LEFT(F72,1)*'1-Eng Inputs'!$C$38</f>
        <v>128</v>
      </c>
      <c r="V71" s="375">
        <f>V70-BR69</f>
        <v>0</v>
      </c>
      <c r="W71" s="1402">
        <f>IF(LEFT(H72,3)-LEFT(H72,1)=0.5,'1-Eng Inputs'!$C$39,0)+LEFT(H72,1)*'1-Eng Inputs'!$C$38</f>
        <v>256</v>
      </c>
      <c r="X71" s="375">
        <f>X70-BT69</f>
        <v>0</v>
      </c>
      <c r="Y71" s="1402">
        <f>IF(LEFT(J72,3)-LEFT(J72,1)=0.5,'1-Eng Inputs'!$C$39,0)+LEFT(J72,1)*'1-Eng Inputs'!$C$38</f>
        <v>256</v>
      </c>
      <c r="Z71" s="375">
        <f>Z70-BV69</f>
        <v>0</v>
      </c>
      <c r="AA71" s="1402">
        <f>IF(LEFT(L72,3)-LEFT(L72,1)=0.5,'1-Eng Inputs'!$C$39,0)+LEFT(L72,1)*'1-Eng Inputs'!$C$38</f>
        <v>256</v>
      </c>
      <c r="AB71" s="375">
        <f>AB70-BX69</f>
        <v>0</v>
      </c>
      <c r="AC71" s="1404">
        <f>IF(LEFT(N72,3)-LEFT(N72,1)=0.5,'1-Eng Inputs'!$C$39,0)+LEFT(N72,1)*'1-Eng Inputs'!$C$38</f>
        <v>256</v>
      </c>
      <c r="AD71" s="375"/>
      <c r="AE71" s="1426"/>
      <c r="AJ71" s="1414">
        <f>(AK70*AX71)/'1-Eng Inputs'!$C$38</f>
        <v>2.2607471962698242</v>
      </c>
      <c r="AL71" s="1414">
        <f>(AK70*AZ71+AM70*BA71)/'1-Eng Inputs'!$C$38</f>
        <v>4.5214943925396485</v>
      </c>
      <c r="AN71" s="1414">
        <f>(AM70*BC71+AO70*BD71)/'1-Eng Inputs'!$C$38</f>
        <v>4.5214943925396485</v>
      </c>
      <c r="AP71" s="1414">
        <f>(AO70*BF71+AQ70*BG71)/'1-Eng Inputs'!$C$38</f>
        <v>4.5214943925396485</v>
      </c>
      <c r="AR71" s="1414">
        <f>AP71</f>
        <v>4.5214943925396485</v>
      </c>
      <c r="AX71" s="1396">
        <v>0.25</v>
      </c>
      <c r="AZ71" s="1412">
        <v>0.25</v>
      </c>
      <c r="BA71" s="1394">
        <v>0.25</v>
      </c>
      <c r="BC71" s="1412">
        <v>0.25</v>
      </c>
      <c r="BD71" s="1394">
        <v>0.25</v>
      </c>
      <c r="BF71" s="1412">
        <v>0.25</v>
      </c>
      <c r="BG71" s="1394">
        <v>0.25</v>
      </c>
      <c r="BI71" s="1396">
        <v>0.25</v>
      </c>
      <c r="BQ71" s="1414">
        <f>BQ72/factors!$B$4</f>
        <v>2.2607471962698242</v>
      </c>
      <c r="BS71" s="1414">
        <f>BS72/factors!$B$4</f>
        <v>4.5214943925396485</v>
      </c>
      <c r="BU71" s="1414">
        <f>BU72/factors!$B$4</f>
        <v>4.5214943925396485</v>
      </c>
      <c r="BW71" s="1414">
        <f>BW72/factors!$B$4</f>
        <v>4.5214943925396485</v>
      </c>
      <c r="BY71" s="1414">
        <f>BW71</f>
        <v>4.5214943925396485</v>
      </c>
    </row>
    <row r="72" spans="1:82">
      <c r="E72" s="352"/>
      <c r="F72" s="1383">
        <f>IF($O$4="NO",ROUNDUP(BQ72-0.00499,0),LEFT(BQ72,1)+(IF(BQ72-LEFT(BQ72,1)&lt;0.00499,0,IF(BQ72-LEFT(BQ72,1)-0.00499&lt;('1-Eng Inputs'!$C$39/'1-Eng Inputs'!$C$38),0.5,1))))</f>
        <v>4</v>
      </c>
      <c r="G72" s="353"/>
      <c r="H72" s="1383">
        <f>IF($O$4="NO",ROUNDUP(BS72-0.00499,0),LEFT(BS72,1)+(IF(BS72-LEFT(BS72,1)&lt;0.00499,0,IF(BS72-LEFT(BS72,1)-0.00499&lt;('1-Eng Inputs'!$C$39/'1-Eng Inputs'!$C$38),0.5,1))))</f>
        <v>8</v>
      </c>
      <c r="I72" s="353"/>
      <c r="J72" s="1383">
        <f>IF($O$4="NO",ROUNDUP(BU72-0.00499,0),LEFT(BU72,1)+(IF(BU72-LEFT(BU72,1)&lt;0.00499,0,IF(BU72-LEFT(BU72,1)-0.00499&lt;('1-Eng Inputs'!$C$39/'1-Eng Inputs'!$C$38),0.5,1))))</f>
        <v>8</v>
      </c>
      <c r="K72" s="353"/>
      <c r="L72" s="1383">
        <f>IF($O$4="NO",ROUNDUP(BW72-0.00499,0),LEFT(BW72,1)+(IF(BW72-LEFT(BW72,1)&lt;0.00499,0,IF(BW72-LEFT(BW72,1)-0.00499&lt;('1-Eng Inputs'!$C$39/'1-Eng Inputs'!$C$38),0.5,1))))</f>
        <v>8</v>
      </c>
      <c r="M72" s="353"/>
      <c r="N72" s="1383">
        <f>IF($O$4="NO",ROUNDUP(BY72-0.00499,0),LEFT(BY72,1)+(IF(BY72-LEFT(BY72,1)&lt;0.00499,0,IF(BY72-LEFT(BY72,1)-0.00499&lt;('1-Eng Inputs'!$C$39/'1-Eng Inputs'!$C$38),0.5,1))))</f>
        <v>8</v>
      </c>
      <c r="U72" s="1389"/>
      <c r="V72" s="1379"/>
      <c r="W72" s="1403"/>
      <c r="X72" s="1379"/>
      <c r="Y72" s="1403"/>
      <c r="Z72" s="1379"/>
      <c r="AA72" s="1403"/>
      <c r="AB72" s="1379"/>
      <c r="AC72" s="1405"/>
      <c r="AD72" s="1379"/>
      <c r="AE72" s="1426"/>
      <c r="AJ72" s="1415">
        <f>AJ71*factors!$B$4</f>
        <v>3.6171955140317191</v>
      </c>
      <c r="AL72" s="1415">
        <f>AL71*factors!$B$4</f>
        <v>7.2343910280634383</v>
      </c>
      <c r="AN72" s="1415">
        <f>AN71*factors!$B$4</f>
        <v>7.2343910280634383</v>
      </c>
      <c r="AP72" s="1415">
        <f>AP71*factors!$B$4</f>
        <v>7.2343910280634383</v>
      </c>
      <c r="AR72" s="1415">
        <f>AP72</f>
        <v>7.2343910280634383</v>
      </c>
      <c r="AX72" s="1397"/>
      <c r="AZ72" s="1413"/>
      <c r="BA72" s="1395"/>
      <c r="BC72" s="1413"/>
      <c r="BD72" s="1395"/>
      <c r="BF72" s="1413"/>
      <c r="BG72" s="1395"/>
      <c r="BI72" s="1397"/>
      <c r="BQ72" s="1415">
        <f>AJ72</f>
        <v>3.6171955140317191</v>
      </c>
      <c r="BS72" s="1415">
        <f>AL72</f>
        <v>7.2343910280634383</v>
      </c>
      <c r="BU72" s="1415">
        <f>AN72</f>
        <v>7.2343910280634383</v>
      </c>
      <c r="BW72" s="1415">
        <f>AP72</f>
        <v>7.2343910280634383</v>
      </c>
      <c r="BY72" s="1415">
        <f>BW72</f>
        <v>7.2343910280634383</v>
      </c>
    </row>
    <row r="73" spans="1:82">
      <c r="E73" s="352"/>
      <c r="F73" s="374"/>
      <c r="G73" s="353"/>
      <c r="H73" s="374"/>
      <c r="I73" s="353"/>
      <c r="J73" s="374"/>
      <c r="K73" s="353"/>
      <c r="L73" s="374"/>
      <c r="M73" s="353"/>
      <c r="N73" s="374"/>
      <c r="U73" s="1426"/>
      <c r="W73" s="1426"/>
      <c r="Y73" s="1426"/>
      <c r="AA73" s="1426"/>
      <c r="AC73" s="1426"/>
      <c r="AJ73" s="1426"/>
      <c r="AL73" s="1426"/>
      <c r="AN73" s="1426"/>
      <c r="AP73" s="1426"/>
      <c r="AR73" s="1426"/>
      <c r="AX73" s="373"/>
      <c r="AZ73" s="373"/>
      <c r="BA73" s="373"/>
      <c r="BC73" s="373"/>
      <c r="BD73" s="373"/>
      <c r="BF73" s="373"/>
      <c r="BG73" s="373"/>
      <c r="BI73" s="373"/>
      <c r="BQ73" s="1426"/>
      <c r="BS73" s="1426"/>
      <c r="BU73" s="1426"/>
      <c r="BW73" s="1426"/>
      <c r="BY73" s="1426"/>
    </row>
    <row r="74" spans="1:82">
      <c r="A74" s="349" t="s">
        <v>19435</v>
      </c>
      <c r="E74" s="352"/>
      <c r="S74" s="349"/>
      <c r="AH74" s="349" t="s">
        <v>19450</v>
      </c>
      <c r="BO74" s="349" t="s">
        <v>19444</v>
      </c>
    </row>
    <row r="75" spans="1:82" ht="12.75" customHeight="1">
      <c r="C75" s="1426"/>
      <c r="D75" s="356"/>
      <c r="E75" s="352"/>
      <c r="G75" s="350" t="s">
        <v>233</v>
      </c>
      <c r="S75" s="356"/>
      <c r="AH75" s="356"/>
      <c r="AK75" s="350" t="s">
        <v>233</v>
      </c>
      <c r="AW75" s="370" t="s">
        <v>19376</v>
      </c>
      <c r="BO75" s="356"/>
      <c r="BR75" s="350" t="s">
        <v>233</v>
      </c>
    </row>
    <row r="76" spans="1:82" ht="12.75" customHeight="1">
      <c r="C76" s="1426"/>
      <c r="D76" s="356"/>
      <c r="E76" s="352"/>
      <c r="F76" s="353"/>
      <c r="G76" s="352">
        <v>1</v>
      </c>
      <c r="H76" s="352"/>
      <c r="I76" s="352">
        <v>2</v>
      </c>
      <c r="J76" s="352"/>
      <c r="K76" s="352">
        <v>3</v>
      </c>
      <c r="L76" s="353"/>
      <c r="M76" s="353"/>
      <c r="N76" s="353"/>
      <c r="O76" s="353"/>
      <c r="P76" s="353"/>
      <c r="Q76" s="353"/>
      <c r="R76" s="359"/>
      <c r="S76" s="356"/>
      <c r="U76" s="353"/>
      <c r="V76" s="352"/>
      <c r="W76" s="352"/>
      <c r="X76" s="352"/>
      <c r="Y76" s="352"/>
      <c r="Z76" s="352"/>
      <c r="AA76" s="353"/>
      <c r="AB76" s="353"/>
      <c r="AC76" s="353"/>
      <c r="AD76" s="353"/>
      <c r="AE76" s="353"/>
      <c r="AF76" s="353"/>
      <c r="AG76" s="359"/>
      <c r="AH76" s="356"/>
      <c r="AJ76" s="353"/>
      <c r="AK76" s="352">
        <v>1</v>
      </c>
      <c r="AL76" s="352"/>
      <c r="AM76" s="352">
        <v>2</v>
      </c>
      <c r="AN76" s="352"/>
      <c r="AO76" s="352">
        <v>3</v>
      </c>
      <c r="AP76" s="353"/>
      <c r="AQ76" s="353"/>
      <c r="AR76" s="353"/>
      <c r="AS76" s="353"/>
      <c r="AT76" s="353"/>
      <c r="AU76" s="353"/>
      <c r="AV76" s="359"/>
      <c r="BN76" s="359"/>
      <c r="BO76" s="356"/>
      <c r="BQ76" s="353"/>
      <c r="BR76" s="352">
        <v>1</v>
      </c>
      <c r="BS76" s="352"/>
      <c r="BT76" s="352">
        <v>2</v>
      </c>
      <c r="BU76" s="352"/>
      <c r="BV76" s="352">
        <v>3</v>
      </c>
      <c r="BW76" s="353"/>
      <c r="BX76" s="353"/>
      <c r="BY76" s="353"/>
      <c r="BZ76" s="353"/>
      <c r="CA76" s="353"/>
      <c r="CB76" s="353"/>
      <c r="CC76" s="353"/>
    </row>
    <row r="77" spans="1:82">
      <c r="E77" s="352"/>
      <c r="F77" s="1382">
        <f>IF($O$4="NO",ROUNDUP(BQ77-0.00499,0),LEFT(BQ77,1)+(IF(BQ77-LEFT(BQ77,1)&lt;0.00499,0,IF(BQ77-LEFT(BQ77,1)-0.00499&lt;('1-Eng Inputs'!$C$39/'1-Eng Inputs'!$C$38),0.5,1))))</f>
        <v>3</v>
      </c>
      <c r="G77" s="353"/>
      <c r="H77" s="1382">
        <f>IF($O$4="NO",ROUNDUP(BS77-0.00499,0),LEFT(BS77,1)+(IF(BS77-LEFT(BS77,1)&lt;0.00499,0,IF(BS77-LEFT(BS77,1)-0.00499&lt;('1-Eng Inputs'!$C$39/'1-Eng Inputs'!$C$38),0.5,1))))</f>
        <v>5</v>
      </c>
      <c r="I77" s="353"/>
      <c r="J77" s="1382">
        <f>IF($O$4="NO",ROUNDUP(BU77-0.00499,0),LEFT(BU77,1)+(IF(BU77-LEFT(BU77,1)&lt;0.00499,0,IF(BU77-LEFT(BU77,1)-0.00499&lt;('1-Eng Inputs'!$C$39/'1-Eng Inputs'!$C$38),0.5,1))))</f>
        <v>5</v>
      </c>
      <c r="K77" s="353"/>
      <c r="L77" s="1382">
        <f>IF($O$4="NO",ROUNDUP(BW77-0.00499,0),LEFT(BW77,1)+(IF(BW77-LEFT(BW77,1)&lt;0.00499,0,IF(BW77-LEFT(BW77,1)-0.00499&lt;('1-Eng Inputs'!$C$39/'1-Eng Inputs'!$C$38),0.5,1))))</f>
        <v>3</v>
      </c>
      <c r="U77" s="1388">
        <f>IF(LEFT(F77,3)-LEFT(F77,1)=0.5,'1-Eng Inputs'!$C$39,0)+LEFT(F77,1)*'1-Eng Inputs'!$C$38</f>
        <v>96</v>
      </c>
      <c r="W77" s="1420">
        <f>IF(LEFT(H77,3)-LEFT(H77,1)=0.5,'1-Eng Inputs'!$C$39,0)+LEFT(H77,1)*'1-Eng Inputs'!$C$38</f>
        <v>160</v>
      </c>
      <c r="Y77" s="1420">
        <f>IF(LEFT(J77,3)-LEFT(J77,1)=0.5,'1-Eng Inputs'!$C$39,0)+LEFT(J77,1)*'1-Eng Inputs'!$C$38</f>
        <v>160</v>
      </c>
      <c r="AA77" s="1420">
        <f>IF(LEFT(L77,3)-LEFT(L77,1)=0.5,'1-Eng Inputs'!$C$39,0)+LEFT(L77,1)*'1-Eng Inputs'!$C$38</f>
        <v>96</v>
      </c>
      <c r="AJ77" s="1388">
        <f>AJ78*factors!$B$3</f>
        <v>2.5927895805359702</v>
      </c>
      <c r="AL77" s="1388">
        <f>AL78*factors!$B$3</f>
        <v>4.7811125788064066</v>
      </c>
      <c r="AN77" s="1388">
        <f>AN78*factors!$B$3</f>
        <v>4.7811125788064066</v>
      </c>
      <c r="AP77" s="1388">
        <f>AP78*factors!$B$3</f>
        <v>2.5927895805359702</v>
      </c>
      <c r="AX77" s="1396">
        <v>0.2857142857142857</v>
      </c>
      <c r="AZ77" s="1412">
        <v>0.2857142857142857</v>
      </c>
      <c r="BA77" s="1394">
        <v>0.33333333333333331</v>
      </c>
      <c r="BC77" s="1412">
        <f>BA77</f>
        <v>0.33333333333333331</v>
      </c>
      <c r="BD77" s="1394">
        <f>AZ77</f>
        <v>0.2857142857142857</v>
      </c>
      <c r="BF77" s="1396">
        <f>AX77</f>
        <v>0.2857142857142857</v>
      </c>
      <c r="BQ77" s="1388">
        <f>AJ77</f>
        <v>2.5927895805359702</v>
      </c>
      <c r="BS77" s="1388">
        <f>AL77</f>
        <v>4.7811125788064066</v>
      </c>
      <c r="BU77" s="1388">
        <f>AN77</f>
        <v>4.7811125788064066</v>
      </c>
      <c r="BW77" s="1388">
        <f>AP77</f>
        <v>2.5927895805359702</v>
      </c>
    </row>
    <row r="78" spans="1:82" ht="12.75" hidden="1" customHeight="1">
      <c r="E78" s="352"/>
      <c r="F78" s="1383"/>
      <c r="G78" s="353"/>
      <c r="H78" s="1383"/>
      <c r="I78" s="353"/>
      <c r="J78" s="1383"/>
      <c r="K78" s="353"/>
      <c r="L78" s="1383"/>
      <c r="M78" s="353"/>
      <c r="N78" s="353"/>
      <c r="O78" s="353"/>
      <c r="P78" s="353"/>
      <c r="U78" s="1389"/>
      <c r="V78" s="1379"/>
      <c r="W78" s="1403"/>
      <c r="X78" s="1379"/>
      <c r="Y78" s="1403"/>
      <c r="Z78" s="1379"/>
      <c r="AA78" s="1403"/>
      <c r="AB78" s="353"/>
      <c r="AC78" s="353"/>
      <c r="AD78" s="353"/>
      <c r="AE78" s="353"/>
      <c r="AJ78" s="1389">
        <f>(AK79*AX77)/'1-Eng Inputs'!$C$38</f>
        <v>1.851992557525693</v>
      </c>
      <c r="AK78" s="1379"/>
      <c r="AL78" s="1389">
        <f>(AK79*AZ77+AM79*BA77)/'1-Eng Inputs'!$C$38</f>
        <v>3.4150804134331478</v>
      </c>
      <c r="AM78" s="1379"/>
      <c r="AN78" s="1389">
        <f>(AM79*BC77+AO79*BD77)/'1-Eng Inputs'!$C$38</f>
        <v>3.4150804134331478</v>
      </c>
      <c r="AO78" s="1379"/>
      <c r="AP78" s="1389">
        <f>(AO79*BF77+AQ79*BG78)/'1-Eng Inputs'!$C$38</f>
        <v>1.851992557525693</v>
      </c>
      <c r="AQ78" s="353"/>
      <c r="AR78" s="353"/>
      <c r="AS78" s="353"/>
      <c r="AT78" s="353"/>
      <c r="AX78" s="1397"/>
      <c r="AZ78" s="1413"/>
      <c r="BA78" s="1395"/>
      <c r="BC78" s="1413"/>
      <c r="BD78" s="1395"/>
      <c r="BF78" s="1397"/>
      <c r="BQ78" s="1389">
        <f>BQ77/factors!$B$3</f>
        <v>1.851992557525693</v>
      </c>
      <c r="BR78" s="1379">
        <f>V79</f>
        <v>227.49243300726204</v>
      </c>
      <c r="BS78" s="1389">
        <f>BS77/factors!$B$3</f>
        <v>3.4150804134331478</v>
      </c>
      <c r="BT78" s="1379">
        <f>X79</f>
        <v>159.26197935102289</v>
      </c>
      <c r="BU78" s="1389">
        <f>BU77/factors!$B$3</f>
        <v>3.4150804134331478</v>
      </c>
      <c r="BV78" s="1379">
        <f>Z79</f>
        <v>227.49243300726204</v>
      </c>
      <c r="BW78" s="1389">
        <f>BW77/factors!$B$3</f>
        <v>1.851992557525693</v>
      </c>
      <c r="BX78" s="353"/>
      <c r="BY78" s="353"/>
      <c r="BZ78" s="353"/>
      <c r="CA78" s="353"/>
      <c r="CB78" s="353"/>
      <c r="CC78" s="353"/>
    </row>
    <row r="79" spans="1:82" ht="24.75" customHeight="1">
      <c r="D79" s="354" t="s">
        <v>234</v>
      </c>
      <c r="E79" s="352">
        <v>1</v>
      </c>
      <c r="F79" s="382"/>
      <c r="G79" s="378" t="s">
        <v>19424</v>
      </c>
      <c r="H79" s="382"/>
      <c r="I79" s="378" t="s">
        <v>19424</v>
      </c>
      <c r="J79" s="382"/>
      <c r="K79" s="378" t="s">
        <v>19424</v>
      </c>
      <c r="L79" s="382"/>
      <c r="S79" s="354"/>
      <c r="U79" s="382"/>
      <c r="V79" s="348">
        <f>(U77*(AK79*AX77/(AJ78*'1-Eng Inputs'!$C$38))/factors!$B$3+U80*(AK79*AX80/(AJ80*'1-Eng Inputs'!$C$38))+W77*(AK79*AZ77/(AL78*'1-Eng Inputs'!$C$38))/factors!$B$3+W80*(AK79*AZ80/(AL80*'1-Eng Inputs'!$C$38)))</f>
        <v>227.49243300726204</v>
      </c>
      <c r="W79" s="382"/>
      <c r="X79" s="348">
        <f>(W77*(AM79*BA77/(AL78*'1-Eng Inputs'!$C$38))/factors!$B$3+W80*(AM79*BA80/(AL80*'1-Eng Inputs'!$C$38))+Y77*(AM79*BC77/(AN78*'1-Eng Inputs'!$C$38))/factors!$B$3+Y80*(AM79*BC80/(AN80*'1-Eng Inputs'!$C$38)))</f>
        <v>159.26197935102289</v>
      </c>
      <c r="Y79" s="382"/>
      <c r="Z79" s="348">
        <f>(Y77*(AO79*BD77/(AN78*'1-Eng Inputs'!$C$38))/factors!$B$3+Y80*(AO79*BD80/(AN80*'1-Eng Inputs'!$C$38))+AA77*(AO79*BF77/(AP78*'1-Eng Inputs'!$C$38))/factors!$B$3+AA80*(AO79*BF80/(AP80*'1-Eng Inputs'!$C$38)))</f>
        <v>227.49243300726204</v>
      </c>
      <c r="AA79" s="382"/>
      <c r="AH79" s="354" t="s">
        <v>234</v>
      </c>
      <c r="AI79" s="353">
        <v>1</v>
      </c>
      <c r="AJ79" s="382"/>
      <c r="AK79" s="348">
        <f>'Land Calcs 10deg (lift)'!$H$6</f>
        <v>207.42316644287763</v>
      </c>
      <c r="AL79" s="382"/>
      <c r="AM79" s="348">
        <f>'Land Calcs 10deg (lift)'!$I$6</f>
        <v>150.05643416711567</v>
      </c>
      <c r="AN79" s="382"/>
      <c r="AO79" s="348">
        <f>'Land Calcs 10deg (lift)'!$H$6</f>
        <v>207.42316644287763</v>
      </c>
      <c r="AP79" s="382"/>
      <c r="AY79" s="381"/>
      <c r="BB79" s="381"/>
      <c r="BE79" s="381"/>
      <c r="BO79" s="354" t="s">
        <v>234</v>
      </c>
      <c r="BP79" s="353">
        <v>1</v>
      </c>
      <c r="BQ79" s="382"/>
      <c r="BR79" s="348">
        <f>AK79</f>
        <v>207.42316644287763</v>
      </c>
      <c r="BS79" s="382"/>
      <c r="BT79" s="348">
        <f>AM79</f>
        <v>150.05643416711567</v>
      </c>
      <c r="BU79" s="382"/>
      <c r="BV79" s="348">
        <f>AO79</f>
        <v>207.42316644287763</v>
      </c>
      <c r="BW79" s="382"/>
    </row>
    <row r="80" spans="1:82">
      <c r="E80" s="352"/>
      <c r="F80" s="1382">
        <f>IF($O$4="NO",ROUNDUP(BQ80-0.00499,0),LEFT(BQ80,1)+(IF(BQ80-LEFT(BQ80,1)&lt;0.00499,0,IF(BQ80-LEFT(BQ80,1)-0.00499&lt;('1-Eng Inputs'!$C$39/'1-Eng Inputs'!$C$38),0.5,1))))</f>
        <v>4</v>
      </c>
      <c r="G80" s="353"/>
      <c r="H80" s="1382">
        <f>IF($O$4="NO",ROUNDUP(BS80-0.00499,0),LEFT(BS80,1)+(IF(BS80-LEFT(BS80,1)&lt;0.00499,0,IF(BS80-LEFT(BS80,1)-0.00499&lt;('1-Eng Inputs'!$C$39/'1-Eng Inputs'!$C$38),0.5,1))))</f>
        <v>4</v>
      </c>
      <c r="I80" s="353"/>
      <c r="J80" s="1382">
        <f>IF($O$4="NO",ROUNDUP(BU80-0.00499,0),LEFT(BU80,1)+(IF(BU80-LEFT(BU80,1)&lt;0.00499,0,IF(BU80-LEFT(BU80,1)-0.00499&lt;('1-Eng Inputs'!$C$39/'1-Eng Inputs'!$C$38),0.5,1))))</f>
        <v>4</v>
      </c>
      <c r="K80" s="353"/>
      <c r="L80" s="1382">
        <f>IF($O$4="NO",ROUNDUP(BW80-0.00499,0),LEFT(BW80,1)+(IF(BW80-LEFT(BW80,1)&lt;0.00499,0,IF(BW80-LEFT(BW80,1)-0.00499&lt;('1-Eng Inputs'!$C$39/'1-Eng Inputs'!$C$38),0.5,1))))</f>
        <v>4</v>
      </c>
      <c r="U80" s="1388">
        <f>IF(LEFT(F80,3)-LEFT(F80,1)=0.5,'1-Eng Inputs'!$C$39,0)+LEFT(F80,1)*'1-Eng Inputs'!$C$38</f>
        <v>128</v>
      </c>
      <c r="V80" s="375">
        <f>V79-BR78</f>
        <v>0</v>
      </c>
      <c r="W80" s="1402">
        <f>IF(LEFT(H80,3)-LEFT(H80,1)=0.5,'1-Eng Inputs'!$C$39,0)+LEFT(H80,1)*'1-Eng Inputs'!$C$38</f>
        <v>128</v>
      </c>
      <c r="X80" s="375">
        <f>X79-BT78</f>
        <v>0</v>
      </c>
      <c r="Y80" s="1402">
        <f>IF(LEFT(J80,3)-LEFT(J80,1)=0.5,'1-Eng Inputs'!$C$39,0)+LEFT(J80,1)*'1-Eng Inputs'!$C$38</f>
        <v>128</v>
      </c>
      <c r="Z80" s="375">
        <f>Z79-BV78</f>
        <v>0</v>
      </c>
      <c r="AA80" s="1402">
        <f>IF(LEFT(L80,3)-LEFT(L80,1)=0.5,'1-Eng Inputs'!$C$39,0)+LEFT(L80,1)*'1-Eng Inputs'!$C$38</f>
        <v>128</v>
      </c>
      <c r="AJ80" s="1388">
        <f>(AK79*AX80+AK82*AX81)/'1-Eng Inputs'!$C$38</f>
        <v>3.6711818968070844</v>
      </c>
      <c r="AK80" s="375"/>
      <c r="AL80" s="1388">
        <f>(AK79*AZ80+AM79*BA80+AK82*AZ81+AM82*BA81)/'1-Eng Inputs'!$C$38</f>
        <v>3.6614000266008921</v>
      </c>
      <c r="AM80" s="375"/>
      <c r="AN80" s="1388">
        <f>(AM79*BC80+AO79*BD80+AM82*BC81+AO82*BD81)/'1-Eng Inputs'!$C$38</f>
        <v>3.6614000266008926</v>
      </c>
      <c r="AO80" s="375"/>
      <c r="AP80" s="1388">
        <f>(AO79*BF80+AQ79*BG80+AO82*BF81+AQ82*BG81)/'1-Eng Inputs'!$C$38</f>
        <v>3.6711818968070844</v>
      </c>
      <c r="AX80" s="1468">
        <v>0.2857142857142857</v>
      </c>
      <c r="AZ80" s="1471">
        <v>0.14285714285714285</v>
      </c>
      <c r="BA80" s="1473">
        <v>0.16666666666666666</v>
      </c>
      <c r="BC80" s="1471">
        <f>BA80</f>
        <v>0.16666666666666666</v>
      </c>
      <c r="BD80" s="1473">
        <f>AZ80</f>
        <v>0.14285714285714285</v>
      </c>
      <c r="BF80" s="1468">
        <f>AX80</f>
        <v>0.2857142857142857</v>
      </c>
      <c r="BQ80" s="1388">
        <f>AJ80</f>
        <v>3.6711818968070844</v>
      </c>
      <c r="BR80" s="375"/>
      <c r="BS80" s="1388">
        <f>AL80</f>
        <v>3.6614000266008921</v>
      </c>
      <c r="BT80" s="375"/>
      <c r="BU80" s="1388">
        <f>AN80</f>
        <v>3.6614000266008926</v>
      </c>
      <c r="BV80" s="375"/>
      <c r="BW80" s="1388">
        <f>AP80</f>
        <v>3.6711818968070844</v>
      </c>
    </row>
    <row r="81" spans="4:81" ht="12.75" hidden="1" customHeight="1">
      <c r="E81" s="352"/>
      <c r="F81" s="1383"/>
      <c r="G81" s="353"/>
      <c r="H81" s="1383"/>
      <c r="I81" s="353"/>
      <c r="J81" s="1383"/>
      <c r="K81" s="353"/>
      <c r="L81" s="1383"/>
      <c r="M81" s="1426"/>
      <c r="N81" s="1426"/>
      <c r="O81" s="1426"/>
      <c r="P81" s="1426"/>
      <c r="U81" s="1389"/>
      <c r="V81" s="1379"/>
      <c r="W81" s="1403"/>
      <c r="X81" s="1379"/>
      <c r="Y81" s="1403"/>
      <c r="Z81" s="1379"/>
      <c r="AA81" s="1403"/>
      <c r="AB81" s="1426"/>
      <c r="AC81" s="1426"/>
      <c r="AD81" s="1426"/>
      <c r="AE81" s="1426"/>
      <c r="AJ81" s="1389"/>
      <c r="AK81" s="1379"/>
      <c r="AL81" s="1389"/>
      <c r="AM81" s="1379"/>
      <c r="AN81" s="1389"/>
      <c r="AO81" s="1379"/>
      <c r="AP81" s="1389"/>
      <c r="AQ81" s="1426"/>
      <c r="AR81" s="1426"/>
      <c r="AS81" s="1426"/>
      <c r="AT81" s="1426"/>
      <c r="AW81" s="373"/>
      <c r="AX81" s="1469">
        <v>0.33333333333333331</v>
      </c>
      <c r="AZ81" s="1472">
        <v>0.16666666666666666</v>
      </c>
      <c r="BA81" s="1474">
        <v>0.25</v>
      </c>
      <c r="BC81" s="1472">
        <f>BA81</f>
        <v>0.25</v>
      </c>
      <c r="BD81" s="1474">
        <f>AZ81</f>
        <v>0.16666666666666666</v>
      </c>
      <c r="BF81" s="1469">
        <f>AX81</f>
        <v>0.33333333333333331</v>
      </c>
      <c r="BG81" s="373"/>
      <c r="BH81" s="373"/>
      <c r="BI81" s="373"/>
      <c r="BJ81" s="373"/>
      <c r="BK81" s="373"/>
      <c r="BL81" s="373"/>
      <c r="BM81" s="373"/>
      <c r="BQ81" s="1389"/>
      <c r="BR81" s="1379">
        <f>V82</f>
        <v>189.02132501747801</v>
      </c>
      <c r="BS81" s="1389"/>
      <c r="BT81" s="1379">
        <f>X82</f>
        <v>141.42479031378281</v>
      </c>
      <c r="BU81" s="1389"/>
      <c r="BV81" s="1379">
        <f>Z82</f>
        <v>189.02132501747798</v>
      </c>
      <c r="BW81" s="1389"/>
      <c r="BX81" s="1426"/>
      <c r="BY81" s="1426"/>
      <c r="BZ81" s="1426"/>
      <c r="CA81" s="1426"/>
      <c r="CB81" s="1426"/>
      <c r="CC81" s="1426"/>
    </row>
    <row r="82" spans="4:81" ht="24.75" customHeight="1">
      <c r="D82" s="355"/>
      <c r="E82" s="352">
        <v>2</v>
      </c>
      <c r="F82" s="382"/>
      <c r="G82" s="378" t="s">
        <v>19424</v>
      </c>
      <c r="H82" s="382"/>
      <c r="I82" s="378" t="s">
        <v>19424</v>
      </c>
      <c r="J82" s="382"/>
      <c r="K82" s="378" t="s">
        <v>19424</v>
      </c>
      <c r="L82" s="382"/>
      <c r="S82" s="355"/>
      <c r="U82" s="382"/>
      <c r="V82" s="348">
        <f>(U80*(AK82*AX81/(AJ80*'1-Eng Inputs'!$C$38))+U83*(AK82*AX83/(AJ83*'1-Eng Inputs'!$C$38))+W80*(AK82*AZ81/(AL80*'1-Eng Inputs'!$C$38))+W83*(AK82*AZ83/(AL83*'1-Eng Inputs'!$C$38)))</f>
        <v>189.02132501747801</v>
      </c>
      <c r="W82" s="382"/>
      <c r="X82" s="348">
        <f>(W80*(AM82*BA81/(AL80*'1-Eng Inputs'!$C$38))+W83*(AM82*BA83/(AL83*'1-Eng Inputs'!$C$38))+Y80*(AM82*BC81/(AN80*'1-Eng Inputs'!$C$38))+Y83*(AM82*BC83/(AN83*'1-Eng Inputs'!$C$38)))</f>
        <v>141.42479031378281</v>
      </c>
      <c r="Y82" s="382"/>
      <c r="Z82" s="348">
        <f>(Y80*(AO82*BD81/(AN80*'1-Eng Inputs'!$C$38))+Y83*(AO82*BD83/(AN83*'1-Eng Inputs'!$C$38))+AA80*(AO82*BF81/(AP80*'1-Eng Inputs'!$C$38))+AA83*(AO82*BF83/(AP83*'1-Eng Inputs'!$C$38)))</f>
        <v>189.02132501747798</v>
      </c>
      <c r="AA82" s="382"/>
      <c r="AH82" s="355"/>
      <c r="AI82" s="353">
        <v>2</v>
      </c>
      <c r="AJ82" s="382"/>
      <c r="AK82" s="348">
        <f>'Land Calcs 10deg (lift)'!$J$6</f>
        <v>174.64217657101361</v>
      </c>
      <c r="AL82" s="382"/>
      <c r="AM82" s="348">
        <f>'Land Calcs 10deg (lift)'!$K$6</f>
        <v>133.6659392311837</v>
      </c>
      <c r="AN82" s="382"/>
      <c r="AO82" s="348">
        <f>'Land Calcs 10deg (lift)'!$J$6</f>
        <v>174.64217657101361</v>
      </c>
      <c r="AP82" s="382"/>
      <c r="AY82" s="381"/>
      <c r="BB82" s="381"/>
      <c r="BE82" s="381"/>
      <c r="BO82" s="355"/>
      <c r="BP82" s="353">
        <v>2</v>
      </c>
      <c r="BQ82" s="382"/>
      <c r="BR82" s="348">
        <f>AK82</f>
        <v>174.64217657101361</v>
      </c>
      <c r="BS82" s="382"/>
      <c r="BT82" s="348">
        <f>AM82</f>
        <v>133.6659392311837</v>
      </c>
      <c r="BU82" s="382"/>
      <c r="BV82" s="348">
        <f>AO82</f>
        <v>174.64217657101361</v>
      </c>
      <c r="BW82" s="382"/>
    </row>
    <row r="83" spans="4:81">
      <c r="E83" s="352"/>
      <c r="F83" s="1382">
        <f>IF($O$4="NO",ROUNDUP(BQ83-0.00499,0),LEFT(BQ83,1)+(IF(BQ83-LEFT(BQ83,1)&lt;0.00499,0,IF(BQ83-LEFT(BQ83,1)-0.00499&lt;('1-Eng Inputs'!$C$39/'1-Eng Inputs'!$C$38),0.5,1))))</f>
        <v>4</v>
      </c>
      <c r="G83" s="353"/>
      <c r="H83" s="1382">
        <f>IF($O$4="NO",ROUNDUP(BS83-0.00499,0),LEFT(BS83,1)+(IF(BS83-LEFT(BS83,1)&lt;0.00499,0,IF(BS83-LEFT(BS83,1)-0.00499&lt;('1-Eng Inputs'!$C$39/'1-Eng Inputs'!$C$38),0.5,1))))</f>
        <v>4</v>
      </c>
      <c r="I83" s="353"/>
      <c r="J83" s="1382">
        <f>IF($O$4="NO",ROUNDUP(BU83-0.00499,0),LEFT(BU83,1)+(IF(BU83-LEFT(BU83,1)&lt;0.00499,0,IF(BU83-LEFT(BU83,1)-0.00499&lt;('1-Eng Inputs'!$C$39/'1-Eng Inputs'!$C$38),0.5,1))))</f>
        <v>4</v>
      </c>
      <c r="K83" s="353"/>
      <c r="L83" s="1382">
        <f>IF($O$4="NO",ROUNDUP(BW83-0.00499,0),LEFT(BW83,1)+(IF(BW83-LEFT(BW83,1)&lt;0.00499,0,IF(BW83-LEFT(BW83,1)-0.00499&lt;('1-Eng Inputs'!$C$39/'1-Eng Inputs'!$C$38),0.5,1))))</f>
        <v>4</v>
      </c>
      <c r="U83" s="1388">
        <f>IF(LEFT(F83,3)-LEFT(F83,1)=0.5,'1-Eng Inputs'!$C$39,0)+LEFT(F83,1)*'1-Eng Inputs'!$C$38</f>
        <v>128</v>
      </c>
      <c r="V83" s="350">
        <f>V82-BR81</f>
        <v>0</v>
      </c>
      <c r="W83" s="1402">
        <f>IF(LEFT(H83,3)-LEFT(H83,1)=0.5,'1-Eng Inputs'!$C$39,0)+LEFT(H83,1)*'1-Eng Inputs'!$C$38</f>
        <v>128</v>
      </c>
      <c r="X83" s="350">
        <f>X82-BT81</f>
        <v>0</v>
      </c>
      <c r="Y83" s="1402">
        <f>IF(LEFT(J83,3)-LEFT(J83,1)=0.5,'1-Eng Inputs'!$C$39,0)+LEFT(J83,1)*'1-Eng Inputs'!$C$38</f>
        <v>128</v>
      </c>
      <c r="Z83" s="350">
        <f>Z82-BV81</f>
        <v>0</v>
      </c>
      <c r="AA83" s="1402">
        <f>IF(LEFT(L83,3)-LEFT(L83,1)=0.5,'1-Eng Inputs'!$C$39,0)+LEFT(L83,1)*'1-Eng Inputs'!$C$38</f>
        <v>128</v>
      </c>
      <c r="AJ83" s="1388">
        <f>(AK82*AX83+AK85*AX84)/'1-Eng Inputs'!$C$38</f>
        <v>3.6383786785627832</v>
      </c>
      <c r="AK83" s="375"/>
      <c r="AL83" s="1388">
        <f>(AK82*AZ83+AM82*BA83+AK85*AZ84+AM85*BA84)/'1-Eng Inputs'!$C$38</f>
        <v>3.9077196397686369</v>
      </c>
      <c r="AM83" s="375"/>
      <c r="AN83" s="1388">
        <f>(AM82*BC83+AO82*BD83+AM85*BC84+AO85*BD84)/'1-Eng Inputs'!$C$38</f>
        <v>3.9077196397686373</v>
      </c>
      <c r="AO83" s="375"/>
      <c r="AP83" s="1388">
        <f>(AO82*BF83+AQ82*BG83+AO85*BF84+AQ85*BG84)/'1-Eng Inputs'!$C$38</f>
        <v>3.6383786785627832</v>
      </c>
      <c r="AX83" s="1468">
        <v>0.33333333333333331</v>
      </c>
      <c r="AZ83" s="1471">
        <v>0.16666666666666666</v>
      </c>
      <c r="BA83" s="1473">
        <v>0.25</v>
      </c>
      <c r="BC83" s="1471">
        <f>BA83</f>
        <v>0.25</v>
      </c>
      <c r="BD83" s="1473">
        <f>AZ83</f>
        <v>0.16666666666666666</v>
      </c>
      <c r="BF83" s="1468">
        <f>AX83</f>
        <v>0.33333333333333331</v>
      </c>
      <c r="BQ83" s="1388">
        <f>AJ83</f>
        <v>3.6383786785627832</v>
      </c>
      <c r="BR83" s="375"/>
      <c r="BS83" s="1388">
        <f>AL83</f>
        <v>3.9077196397686369</v>
      </c>
      <c r="BT83" s="375"/>
      <c r="BU83" s="1388">
        <f>AN83</f>
        <v>3.9077196397686373</v>
      </c>
      <c r="BV83" s="375"/>
      <c r="BW83" s="1388">
        <f>AP83</f>
        <v>3.6383786785627832</v>
      </c>
    </row>
    <row r="84" spans="4:81" ht="12.75" hidden="1" customHeight="1">
      <c r="E84" s="352"/>
      <c r="F84" s="1383"/>
      <c r="G84" s="353"/>
      <c r="H84" s="1383"/>
      <c r="I84" s="353"/>
      <c r="J84" s="1383"/>
      <c r="K84" s="353"/>
      <c r="L84" s="1383"/>
      <c r="M84" s="1426"/>
      <c r="N84" s="1426"/>
      <c r="O84" s="1426"/>
      <c r="P84" s="1426"/>
      <c r="U84" s="1389"/>
      <c r="V84" s="1379"/>
      <c r="W84" s="1403"/>
      <c r="X84" s="1379"/>
      <c r="Y84" s="1403"/>
      <c r="Z84" s="1379"/>
      <c r="AA84" s="1403"/>
      <c r="AB84" s="1426"/>
      <c r="AC84" s="1426"/>
      <c r="AD84" s="1426"/>
      <c r="AE84" s="1426"/>
      <c r="AJ84" s="1389"/>
      <c r="AK84" s="1379"/>
      <c r="AL84" s="1389"/>
      <c r="AM84" s="1379"/>
      <c r="AN84" s="1389"/>
      <c r="AO84" s="1379"/>
      <c r="AP84" s="1389"/>
      <c r="AQ84" s="1426"/>
      <c r="AR84" s="1426"/>
      <c r="AS84" s="1426"/>
      <c r="AT84" s="1426"/>
      <c r="AW84" s="373"/>
      <c r="AX84" s="1469">
        <v>0.33333333333333331</v>
      </c>
      <c r="AZ84" s="1472">
        <v>0.16666666666666666</v>
      </c>
      <c r="BA84" s="1474">
        <v>0.25</v>
      </c>
      <c r="BC84" s="1472">
        <f>BA84</f>
        <v>0.25</v>
      </c>
      <c r="BD84" s="1474">
        <f>AZ84</f>
        <v>0.16666666666666666</v>
      </c>
      <c r="BF84" s="1469">
        <f>AX84</f>
        <v>0.33333333333333331</v>
      </c>
      <c r="BG84" s="373"/>
      <c r="BH84" s="373"/>
      <c r="BI84" s="373"/>
      <c r="BJ84" s="373"/>
      <c r="BK84" s="373"/>
      <c r="BL84" s="373"/>
      <c r="BM84" s="373"/>
      <c r="BQ84" s="1389"/>
      <c r="BR84" s="1379">
        <f>V85</f>
        <v>200.16352187412429</v>
      </c>
      <c r="BS84" s="1389"/>
      <c r="BT84" s="1379">
        <f>X85</f>
        <v>146.16465725586454</v>
      </c>
      <c r="BU84" s="1389"/>
      <c r="BV84" s="1379">
        <f>Z85</f>
        <v>200.16352187412429</v>
      </c>
      <c r="BW84" s="1389"/>
      <c r="BX84" s="1426"/>
      <c r="BY84" s="1426"/>
      <c r="BZ84" s="1426"/>
      <c r="CA84" s="1426"/>
      <c r="CB84" s="1426"/>
      <c r="CC84" s="1426"/>
    </row>
    <row r="85" spans="4:81" ht="24.75" customHeight="1">
      <c r="D85" s="355"/>
      <c r="E85" s="352">
        <v>3</v>
      </c>
      <c r="F85" s="382"/>
      <c r="G85" s="378" t="s">
        <v>19424</v>
      </c>
      <c r="H85" s="382"/>
      <c r="I85" s="378" t="s">
        <v>19424</v>
      </c>
      <c r="J85" s="382"/>
      <c r="K85" s="378" t="s">
        <v>19424</v>
      </c>
      <c r="L85" s="382"/>
      <c r="S85" s="355"/>
      <c r="U85" s="382"/>
      <c r="V85" s="348">
        <f>(U83*(AK85*AX84/(AJ83*'1-Eng Inputs'!$C$38))+U86*(AK85*AX86/(AJ86*'1-Eng Inputs'!$C$38))+W83*(AK85*AZ84/(AL83*'1-Eng Inputs'!$C$38))+W86*(AK85*AZ86/(AL86*'1-Eng Inputs'!$C$38)))</f>
        <v>200.16352187412429</v>
      </c>
      <c r="W85" s="382"/>
      <c r="X85" s="348">
        <f>(W83*(AM85*BA84/(AL83*'1-Eng Inputs'!$C$38))+W86*(AM85*BA86/(AL86*'1-Eng Inputs'!$C$38))+Y83*(AM85*BC84/(AN83*'1-Eng Inputs'!$C$38))+Y86*(AM85*BC86/(AN86*'1-Eng Inputs'!$C$38)))</f>
        <v>146.16465725586454</v>
      </c>
      <c r="Y85" s="382"/>
      <c r="Z85" s="348">
        <f>(Y83*(AO85*BD84/(AN83*'1-Eng Inputs'!$C$38))+Y86*(AO85*BD86/(AN86*'1-Eng Inputs'!$C$38))+AA83*(AO85*BF84/(AP83*'1-Eng Inputs'!$C$38))+AA86*(AO85*BF86/(AP86*'1-Eng Inputs'!$C$38)))</f>
        <v>200.16352187412429</v>
      </c>
      <c r="AA85" s="382"/>
      <c r="AH85" s="355"/>
      <c r="AI85" s="353">
        <v>3</v>
      </c>
      <c r="AJ85" s="382"/>
      <c r="AK85" s="348">
        <f>'Land Calcs 10deg (lift)'!$J$6</f>
        <v>174.64217657101361</v>
      </c>
      <c r="AL85" s="382"/>
      <c r="AM85" s="348">
        <f>'Land Calcs 10deg (lift)'!$K$6</f>
        <v>133.6659392311837</v>
      </c>
      <c r="AN85" s="382"/>
      <c r="AO85" s="348">
        <f>'Land Calcs 10deg (lift)'!$J$6</f>
        <v>174.64217657101361</v>
      </c>
      <c r="AP85" s="382"/>
      <c r="AY85" s="381"/>
      <c r="BB85" s="381"/>
      <c r="BE85" s="381"/>
      <c r="BO85" s="355"/>
      <c r="BP85" s="353">
        <v>3</v>
      </c>
      <c r="BQ85" s="382"/>
      <c r="BR85" s="348">
        <f>AK85</f>
        <v>174.64217657101361</v>
      </c>
      <c r="BS85" s="382"/>
      <c r="BT85" s="348">
        <f>AM85</f>
        <v>133.6659392311837</v>
      </c>
      <c r="BU85" s="382"/>
      <c r="BV85" s="348">
        <f>AO85</f>
        <v>174.64217657101361</v>
      </c>
      <c r="BW85" s="382"/>
    </row>
    <row r="86" spans="4:81">
      <c r="D86" s="355"/>
      <c r="E86" s="352"/>
      <c r="F86" s="1382">
        <f>IF($O$4="NO",ROUNDUP(BQ86-0.00499,0),LEFT(BQ86,1)+(IF(BQ86-LEFT(BQ86,1)&lt;0.00499,0,IF(BQ86-LEFT(BQ86,1)-0.00499&lt;('1-Eng Inputs'!$C$39/'1-Eng Inputs'!$C$38),0.5,1))))</f>
        <v>4</v>
      </c>
      <c r="G86" s="353"/>
      <c r="H86" s="1382">
        <f>IF($O$4="NO",ROUNDUP(BS86-0.00499,0),LEFT(BS86,1)+(IF(BS86-LEFT(BS86,1)&lt;0.00499,0,IF(BS86-LEFT(BS86,1)-0.00499&lt;('1-Eng Inputs'!$C$39/'1-Eng Inputs'!$C$38),0.5,1))))</f>
        <v>4</v>
      </c>
      <c r="I86" s="353"/>
      <c r="J86" s="1382">
        <f>IF($O$4="NO",ROUNDUP(BU86-0.00499,0),LEFT(BU86,1)+(IF(BU86-LEFT(BU86,1)&lt;0.00499,0,IF(BU86-LEFT(BU86,1)-0.00499&lt;('1-Eng Inputs'!$C$39/'1-Eng Inputs'!$C$38),0.5,1))))</f>
        <v>4</v>
      </c>
      <c r="K86" s="353"/>
      <c r="L86" s="1382">
        <f>IF($O$4="NO",ROUNDUP(BW86-0.00499,0),LEFT(BW86,1)+(IF(BW86-LEFT(BW86,1)&lt;0.00499,0,IF(BW86-LEFT(BW86,1)-0.00499&lt;('1-Eng Inputs'!$C$39/'1-Eng Inputs'!$C$38),0.5,1))))</f>
        <v>4</v>
      </c>
      <c r="S86" s="355"/>
      <c r="U86" s="1388">
        <f>IF(LEFT(F86,3)-LEFT(F86,1)=0.5,'1-Eng Inputs'!$C$39,0)+LEFT(F86,1)*'1-Eng Inputs'!$C$38</f>
        <v>128</v>
      </c>
      <c r="V86" s="350">
        <f>V85-BR84</f>
        <v>0</v>
      </c>
      <c r="W86" s="1402">
        <f>IF(LEFT(H86,3)-LEFT(H86,1)=0.5,'1-Eng Inputs'!$C$39,0)+LEFT(H86,1)*'1-Eng Inputs'!$C$38</f>
        <v>128</v>
      </c>
      <c r="X86" s="350">
        <f>X85-BT84</f>
        <v>0</v>
      </c>
      <c r="Y86" s="1402">
        <f>IF(LEFT(J86,3)-LEFT(J86,1)=0.5,'1-Eng Inputs'!$C$39,0)+LEFT(J86,1)*'1-Eng Inputs'!$C$38</f>
        <v>128</v>
      </c>
      <c r="Z86" s="350">
        <f>Z85-BV84</f>
        <v>0</v>
      </c>
      <c r="AA86" s="1402">
        <f>IF(LEFT(L86,3)-LEFT(L86,1)=0.5,'1-Eng Inputs'!$C$39,0)+LEFT(L86,1)*'1-Eng Inputs'!$C$38</f>
        <v>128</v>
      </c>
      <c r="AH86" s="355"/>
      <c r="AJ86" s="1388">
        <f>(AK85*AX86+AK88*AX87)/'1-Eng Inputs'!$C$38</f>
        <v>3.211542872939555</v>
      </c>
      <c r="AK86" s="375"/>
      <c r="AL86" s="1388">
        <f>(AK85*AZ86+AM85*BA86+AK88*AZ87+AM88*BA87)/'1-Eng Inputs'!$C$38</f>
        <v>3.4382002535830858</v>
      </c>
      <c r="AM86" s="375"/>
      <c r="AN86" s="1388">
        <f>(AM85*BC86+AO85*BD86+AM88*BC87+AO88*BD87)/'1-Eng Inputs'!$C$38</f>
        <v>3.4382002535830853</v>
      </c>
      <c r="AO86" s="375"/>
      <c r="AP86" s="1388">
        <f>(AO85*BF86+AQ85*BG86+AO88*BF87+AQ88*BG87)/'1-Eng Inputs'!$C$38</f>
        <v>3.211542872939555</v>
      </c>
      <c r="AX86" s="1468">
        <v>0.33333333333333331</v>
      </c>
      <c r="AZ86" s="1471">
        <v>0.16666666666666666</v>
      </c>
      <c r="BA86" s="1473">
        <v>0.25</v>
      </c>
      <c r="BC86" s="1471">
        <f>BA86</f>
        <v>0.25</v>
      </c>
      <c r="BD86" s="1473">
        <f>AZ86</f>
        <v>0.16666666666666666</v>
      </c>
      <c r="BF86" s="1468">
        <f>AX86</f>
        <v>0.33333333333333331</v>
      </c>
      <c r="BO86" s="355"/>
      <c r="BQ86" s="1388">
        <f>AJ86</f>
        <v>3.211542872939555</v>
      </c>
      <c r="BR86" s="375"/>
      <c r="BS86" s="1388">
        <f>AL86</f>
        <v>3.4382002535830858</v>
      </c>
      <c r="BT86" s="375"/>
      <c r="BU86" s="1388">
        <f>AN86</f>
        <v>3.4382002535830853</v>
      </c>
      <c r="BV86" s="375"/>
      <c r="BW86" s="1388">
        <f>AP86</f>
        <v>3.211542872939555</v>
      </c>
    </row>
    <row r="87" spans="4:81" ht="12.75" hidden="1" customHeight="1">
      <c r="D87" s="355"/>
      <c r="E87" s="352"/>
      <c r="F87" s="1383"/>
      <c r="G87" s="353"/>
      <c r="H87" s="1383"/>
      <c r="I87" s="353"/>
      <c r="J87" s="1383"/>
      <c r="K87" s="353"/>
      <c r="L87" s="1383"/>
      <c r="M87" s="1426"/>
      <c r="N87" s="1426"/>
      <c r="O87" s="1426"/>
      <c r="P87" s="1426"/>
      <c r="S87" s="355"/>
      <c r="U87" s="1389"/>
      <c r="V87" s="1379"/>
      <c r="W87" s="1403"/>
      <c r="X87" s="1379"/>
      <c r="Y87" s="1403"/>
      <c r="Z87" s="1379"/>
      <c r="AA87" s="1403"/>
      <c r="AB87" s="1426"/>
      <c r="AC87" s="1426"/>
      <c r="AD87" s="1426"/>
      <c r="AE87" s="1426"/>
      <c r="AH87" s="355"/>
      <c r="AJ87" s="1389"/>
      <c r="AK87" s="1379"/>
      <c r="AL87" s="1389"/>
      <c r="AM87" s="1379"/>
      <c r="AN87" s="1389"/>
      <c r="AO87" s="1379"/>
      <c r="AP87" s="1389"/>
      <c r="AQ87" s="1426"/>
      <c r="AR87" s="1426"/>
      <c r="AS87" s="1426"/>
      <c r="AT87" s="1426"/>
      <c r="AW87" s="373"/>
      <c r="AX87" s="1469">
        <v>0.33333333333333331</v>
      </c>
      <c r="AZ87" s="1472">
        <v>0.16666666666666666</v>
      </c>
      <c r="BA87" s="1474">
        <v>0.25</v>
      </c>
      <c r="BC87" s="1472">
        <f>BA87</f>
        <v>0.25</v>
      </c>
      <c r="BD87" s="1474">
        <f>AZ87</f>
        <v>0.16666666666666666</v>
      </c>
      <c r="BF87" s="1469">
        <f>AX87</f>
        <v>0.33333333333333331</v>
      </c>
      <c r="BG87" s="373"/>
      <c r="BH87" s="373"/>
      <c r="BI87" s="373"/>
      <c r="BJ87" s="373"/>
      <c r="BK87" s="373"/>
      <c r="BL87" s="373"/>
      <c r="BM87" s="373"/>
      <c r="BO87" s="355"/>
      <c r="BQ87" s="1389"/>
      <c r="BR87" s="1379">
        <f>V88</f>
        <v>151.92446036582911</v>
      </c>
      <c r="BS87" s="1389"/>
      <c r="BT87" s="1379">
        <f>X88</f>
        <v>109.65937826422874</v>
      </c>
      <c r="BU87" s="1389"/>
      <c r="BV87" s="1379">
        <f>Z88</f>
        <v>151.92446036582911</v>
      </c>
      <c r="BW87" s="1389"/>
      <c r="BX87" s="1426"/>
      <c r="BY87" s="1426"/>
      <c r="BZ87" s="1426"/>
      <c r="CA87" s="1426"/>
      <c r="CB87" s="1426"/>
      <c r="CC87" s="1426"/>
    </row>
    <row r="88" spans="4:81" ht="24.75" customHeight="1">
      <c r="D88" s="355"/>
      <c r="E88" s="352">
        <v>4</v>
      </c>
      <c r="F88" s="382"/>
      <c r="G88" s="378" t="s">
        <v>19426</v>
      </c>
      <c r="H88" s="382"/>
      <c r="I88" s="378" t="s">
        <v>19426</v>
      </c>
      <c r="J88" s="382"/>
      <c r="K88" s="378" t="s">
        <v>19426</v>
      </c>
      <c r="L88" s="382"/>
      <c r="S88" s="355"/>
      <c r="U88" s="382"/>
      <c r="V88" s="348">
        <f>(U86*(AK88*AX87/(AJ86*'1-Eng Inputs'!$C$38))+U89*(AK88*AX89/(AJ89*'1-Eng Inputs'!$C$38))+W86*(AK88*AZ87/(AL86*'1-Eng Inputs'!$C$38))+W89*(AK88*AZ89/(AL89*'1-Eng Inputs'!$C$38)))</f>
        <v>151.92446036582911</v>
      </c>
      <c r="W88" s="382"/>
      <c r="X88" s="348">
        <f>(W86*(AM88*BA87/(AL86*'1-Eng Inputs'!$C$38))+W89*(AM88*BA89/(AL89*'1-Eng Inputs'!$C$38))+Y86*(AM88*BC87/(AN86*'1-Eng Inputs'!$C$38))+Y89*(AM88*BC89/(AN89*'1-Eng Inputs'!$C$38)))</f>
        <v>109.65937826422874</v>
      </c>
      <c r="Y88" s="382"/>
      <c r="Z88" s="348">
        <f>(Y86*(AO88*BD87/(AN86*'1-Eng Inputs'!$C$38))+Y89*(AO88*BD89/(AN89*'1-Eng Inputs'!$C$38))+AA86*(AO88*BF87/(AP86*'1-Eng Inputs'!$C$38))+AA89*(AO88*BF89/(AP89*'1-Eng Inputs'!$C$38)))</f>
        <v>151.92446036582911</v>
      </c>
      <c r="AA88" s="382"/>
      <c r="AH88" s="355"/>
      <c r="AI88" s="353">
        <v>4</v>
      </c>
      <c r="AJ88" s="382"/>
      <c r="AK88" s="348">
        <f>'Land Calcs 10deg (lift)'!$J$16</f>
        <v>133.6659392311837</v>
      </c>
      <c r="AL88" s="382"/>
      <c r="AM88" s="348">
        <f>'Land Calcs 10deg (lift)'!$K$16</f>
        <v>100.88494935931976</v>
      </c>
      <c r="AN88" s="382"/>
      <c r="AO88" s="348">
        <f>'Land Calcs 10deg (lift)'!$J$16</f>
        <v>133.6659392311837</v>
      </c>
      <c r="AP88" s="382"/>
      <c r="AY88" s="381"/>
      <c r="BB88" s="381"/>
      <c r="BE88" s="381"/>
      <c r="BO88" s="355"/>
      <c r="BP88" s="353">
        <v>4</v>
      </c>
      <c r="BQ88" s="382"/>
      <c r="BR88" s="348">
        <f>AK88</f>
        <v>133.6659392311837</v>
      </c>
      <c r="BS88" s="382"/>
      <c r="BT88" s="348">
        <f>AM88</f>
        <v>100.88494935931976</v>
      </c>
      <c r="BU88" s="382"/>
      <c r="BV88" s="348">
        <f>AO88</f>
        <v>133.6659392311837</v>
      </c>
      <c r="BW88" s="382"/>
    </row>
    <row r="89" spans="4:81">
      <c r="D89" s="355"/>
      <c r="E89" s="352"/>
      <c r="F89" s="1382">
        <f>IF($O$4="NO",ROUNDUP(BQ89-0.00499,0),LEFT(BQ89,1)+(IF(BQ89-LEFT(BQ89,1)&lt;0.00499,0,IF(BQ89-LEFT(BQ89,1)-0.00499&lt;('1-Eng Inputs'!$C$39/'1-Eng Inputs'!$C$38),0.5,1))))</f>
        <v>3</v>
      </c>
      <c r="G89" s="353"/>
      <c r="H89" s="1382">
        <f>IF($O$4="NO",ROUNDUP(BS89-0.00499,0),LEFT(BS89,1)+(IF(BS89-LEFT(BS89,1)&lt;0.00499,0,IF(BS89-LEFT(BS89,1)-0.00499&lt;('1-Eng Inputs'!$C$39/'1-Eng Inputs'!$C$38),0.5,1))))</f>
        <v>3</v>
      </c>
      <c r="I89" s="353"/>
      <c r="J89" s="1382">
        <f>IF($O$4="NO",ROUNDUP(BU89-0.00499,0),LEFT(BU89,1)+(IF(BU89-LEFT(BU89,1)&lt;0.00499,0,IF(BU89-LEFT(BU89,1)-0.00499&lt;('1-Eng Inputs'!$C$39/'1-Eng Inputs'!$C$38),0.5,1))))</f>
        <v>3</v>
      </c>
      <c r="K89" s="353"/>
      <c r="L89" s="1382">
        <f>IF($O$4="NO",ROUNDUP(BW89-0.00499,0),LEFT(BW89,1)+(IF(BW89-LEFT(BW89,1)&lt;0.00499,0,IF(BW89-LEFT(BW89,1)-0.00499&lt;('1-Eng Inputs'!$C$39/'1-Eng Inputs'!$C$38),0.5,1))))</f>
        <v>3</v>
      </c>
      <c r="S89" s="355"/>
      <c r="U89" s="1392">
        <f>IF(LEFT(F89,3)-LEFT(F89,1)=0.5,'1-Eng Inputs'!$C$39,0)+LEFT(F89,1)*'1-Eng Inputs'!$C$38</f>
        <v>96</v>
      </c>
      <c r="V89" s="350">
        <f>V88-BR87</f>
        <v>0</v>
      </c>
      <c r="W89" s="1410">
        <f>IF(LEFT(H89,3)-LEFT(H89,1)=0.5,'1-Eng Inputs'!$C$39,0)+LEFT(H89,1)*'1-Eng Inputs'!$C$38</f>
        <v>96</v>
      </c>
      <c r="X89" s="350">
        <f>X88-BT87</f>
        <v>0</v>
      </c>
      <c r="Y89" s="1410">
        <f>IF(LEFT(J89,3)-LEFT(J89,1)=0.5,'1-Eng Inputs'!$C$39,0)+LEFT(J89,1)*'1-Eng Inputs'!$C$38</f>
        <v>96</v>
      </c>
      <c r="Z89" s="350">
        <f>Z88-BV87</f>
        <v>0</v>
      </c>
      <c r="AA89" s="1410">
        <f>IF(LEFT(L89,3)-LEFT(L89,1)=0.5,'1-Eng Inputs'!$C$39,0)+LEFT(L89,1)*'1-Eng Inputs'!$C$38</f>
        <v>96</v>
      </c>
      <c r="AH89" s="355"/>
      <c r="AJ89" s="1392">
        <f>(AK88*AX89+AK91*AX90)/'1-Eng Inputs'!$C$38</f>
        <v>2.7847070673163268</v>
      </c>
      <c r="AK89" s="375"/>
      <c r="AL89" s="1392">
        <f>(AK88*AZ89+AM88*BA89+AK91*AZ90+AM91*BA90)/'1-Eng Inputs'!$C$38</f>
        <v>2.9686808673975347</v>
      </c>
      <c r="AM89" s="375"/>
      <c r="AN89" s="1392">
        <f>(AM88*BC89+AO88*BD89+AM91*BC90+AO91*BD90)/'1-Eng Inputs'!$C$38</f>
        <v>2.9686808673975342</v>
      </c>
      <c r="AO89" s="375"/>
      <c r="AP89" s="1392">
        <f>(AO88*BF89+AQ88*BG89+AO91*BF90+AQ91*BG90)/'1-Eng Inputs'!$C$38</f>
        <v>2.7847070673163268</v>
      </c>
      <c r="AX89" s="1468">
        <v>0.33333333333333331</v>
      </c>
      <c r="AZ89" s="1471">
        <v>0.16666666666666666</v>
      </c>
      <c r="BA89" s="1473">
        <v>0.25</v>
      </c>
      <c r="BC89" s="1471">
        <f>BA89</f>
        <v>0.25</v>
      </c>
      <c r="BD89" s="1473">
        <f>AZ89</f>
        <v>0.16666666666666666</v>
      </c>
      <c r="BF89" s="1468">
        <f>AX89</f>
        <v>0.33333333333333331</v>
      </c>
      <c r="BO89" s="355"/>
      <c r="BQ89" s="1392">
        <f>AJ89</f>
        <v>2.7847070673163268</v>
      </c>
      <c r="BR89" s="375"/>
      <c r="BS89" s="1392">
        <f>AL89</f>
        <v>2.9686808673975347</v>
      </c>
      <c r="BT89" s="375"/>
      <c r="BU89" s="1392">
        <f>AN89</f>
        <v>2.9686808673975342</v>
      </c>
      <c r="BV89" s="375"/>
      <c r="BW89" s="1392">
        <f>AP89</f>
        <v>2.7847070673163268</v>
      </c>
    </row>
    <row r="90" spans="4:81" ht="12.75" hidden="1" customHeight="1">
      <c r="D90" s="355"/>
      <c r="E90" s="352"/>
      <c r="F90" s="1383"/>
      <c r="G90" s="353"/>
      <c r="H90" s="1383"/>
      <c r="I90" s="353"/>
      <c r="J90" s="1383"/>
      <c r="K90" s="353"/>
      <c r="L90" s="1383"/>
      <c r="M90" s="1426"/>
      <c r="N90" s="1426"/>
      <c r="O90" s="1426"/>
      <c r="P90" s="1426"/>
      <c r="S90" s="355"/>
      <c r="U90" s="1393"/>
      <c r="V90" s="1379"/>
      <c r="W90" s="1411"/>
      <c r="X90" s="1379"/>
      <c r="Y90" s="1411"/>
      <c r="Z90" s="1379"/>
      <c r="AA90" s="1411"/>
      <c r="AB90" s="1426"/>
      <c r="AC90" s="1426"/>
      <c r="AD90" s="1426"/>
      <c r="AE90" s="1426"/>
      <c r="AH90" s="355"/>
      <c r="AJ90" s="1393"/>
      <c r="AK90" s="1379"/>
      <c r="AL90" s="1393"/>
      <c r="AM90" s="1379"/>
      <c r="AN90" s="1393"/>
      <c r="AO90" s="1379"/>
      <c r="AP90" s="1393"/>
      <c r="AQ90" s="1426"/>
      <c r="AR90" s="1426"/>
      <c r="AS90" s="1426"/>
      <c r="AT90" s="1426"/>
      <c r="AW90" s="373"/>
      <c r="AX90" s="1469">
        <v>0.33333333333333331</v>
      </c>
      <c r="AZ90" s="1472">
        <v>0.16666666666666666</v>
      </c>
      <c r="BA90" s="1474">
        <v>0.25</v>
      </c>
      <c r="BC90" s="1472">
        <f>BA90</f>
        <v>0.25</v>
      </c>
      <c r="BD90" s="1474">
        <f>AZ90</f>
        <v>0.16666666666666666</v>
      </c>
      <c r="BF90" s="1469">
        <f>AX90</f>
        <v>0.33333333333333331</v>
      </c>
      <c r="BG90" s="373"/>
      <c r="BH90" s="373"/>
      <c r="BI90" s="373"/>
      <c r="BJ90" s="373"/>
      <c r="BK90" s="373"/>
      <c r="BL90" s="373"/>
      <c r="BM90" s="373"/>
      <c r="BO90" s="355"/>
      <c r="BQ90" s="1393"/>
      <c r="BR90" s="1379">
        <f>V91</f>
        <v>141.02536486798618</v>
      </c>
      <c r="BS90" s="1393"/>
      <c r="BT90" s="1379">
        <f>X91</f>
        <v>101.94927026402763</v>
      </c>
      <c r="BU90" s="1393"/>
      <c r="BV90" s="1379">
        <f>Z91</f>
        <v>141.02536486798618</v>
      </c>
      <c r="BW90" s="1393"/>
      <c r="BX90" s="1426"/>
      <c r="BY90" s="1426"/>
      <c r="BZ90" s="1426"/>
      <c r="CA90" s="1426"/>
      <c r="CB90" s="1426"/>
      <c r="CC90" s="1426"/>
    </row>
    <row r="91" spans="4:81" ht="24.75" customHeight="1">
      <c r="D91" s="355"/>
      <c r="E91" s="352">
        <v>5</v>
      </c>
      <c r="F91" s="382"/>
      <c r="G91" s="378" t="s">
        <v>19426</v>
      </c>
      <c r="H91" s="382"/>
      <c r="I91" s="378" t="s">
        <v>19426</v>
      </c>
      <c r="J91" s="382"/>
      <c r="K91" s="378" t="s">
        <v>19426</v>
      </c>
      <c r="L91" s="382"/>
      <c r="S91" s="355"/>
      <c r="U91" s="382"/>
      <c r="V91" s="348">
        <f>(U89*(AK91*AX90/(AJ89*'1-Eng Inputs'!$C$38))+U92*(AK91*AX92/(AJ92*'1-Eng Inputs'!$C$38))+W89*(AK91*AZ90/(AL89*'1-Eng Inputs'!$C$38))+W92*(AK91*AZ92/(AL92*'1-Eng Inputs'!$C$38)))</f>
        <v>141.02536486798618</v>
      </c>
      <c r="W91" s="382"/>
      <c r="X91" s="348">
        <f>(W89*(AM91*BA90/(AL89*'1-Eng Inputs'!$C$38))+W92*(AM91*BA92/(AL92*'1-Eng Inputs'!$C$38))+Y89*(AM91*BC90/(AN89*'1-Eng Inputs'!$C$38))+Y92*(AM91*BC92/(AN92*'1-Eng Inputs'!$C$38)))</f>
        <v>101.94927026402763</v>
      </c>
      <c r="Y91" s="382"/>
      <c r="Z91" s="348">
        <f>(Y89*(AO91*BD90/(AN89*'1-Eng Inputs'!$C$38))+Y92*(AO91*BD92/(AN92*'1-Eng Inputs'!$C$38))+AA89*(AO91*BF90/(AP89*'1-Eng Inputs'!$C$38))+AA92*(AO91*BF92/(AP92*'1-Eng Inputs'!$C$38)))</f>
        <v>141.02536486798618</v>
      </c>
      <c r="AA91" s="382"/>
      <c r="AH91" s="355"/>
      <c r="AI91" s="353">
        <v>5</v>
      </c>
      <c r="AJ91" s="382"/>
      <c r="AK91" s="348">
        <f>AK88</f>
        <v>133.6659392311837</v>
      </c>
      <c r="AL91" s="382"/>
      <c r="AM91" s="348">
        <f>AM88</f>
        <v>100.88494935931976</v>
      </c>
      <c r="AN91" s="382"/>
      <c r="AO91" s="348">
        <f>AO88</f>
        <v>133.6659392311837</v>
      </c>
      <c r="AP91" s="382"/>
      <c r="AY91" s="381"/>
      <c r="BB91" s="381"/>
      <c r="BE91" s="381"/>
      <c r="BO91" s="355"/>
      <c r="BP91" s="353">
        <v>5</v>
      </c>
      <c r="BQ91" s="382"/>
      <c r="BR91" s="348">
        <f>AK91</f>
        <v>133.6659392311837</v>
      </c>
      <c r="BS91" s="382"/>
      <c r="BT91" s="348">
        <f>AM91</f>
        <v>100.88494935931976</v>
      </c>
      <c r="BU91" s="382"/>
      <c r="BV91" s="348">
        <f>AO91</f>
        <v>133.6659392311837</v>
      </c>
      <c r="BW91" s="382"/>
    </row>
    <row r="92" spans="4:81">
      <c r="D92" s="355"/>
      <c r="E92" s="352"/>
      <c r="F92" s="1382">
        <f>IF($O$4="NO",ROUNDUP(BQ92-0.00499,0),LEFT(BQ92,1)+(IF(BQ92-LEFT(BQ92,1)&lt;0.00499,0,IF(BQ92-LEFT(BQ92,1)-0.00499&lt;('1-Eng Inputs'!$C$39/'1-Eng Inputs'!$C$38),0.5,1))))</f>
        <v>3</v>
      </c>
      <c r="G92" s="353"/>
      <c r="H92" s="1382">
        <f>IF($O$4="NO",ROUNDUP(BS92-0.00499,0),LEFT(BS92,1)+(IF(BS92-LEFT(BS92,1)&lt;0.00499,0,IF(BS92-LEFT(BS92,1)-0.00499&lt;('1-Eng Inputs'!$C$39/'1-Eng Inputs'!$C$38),0.5,1))))</f>
        <v>3</v>
      </c>
      <c r="I92" s="353"/>
      <c r="J92" s="1382">
        <f>IF($O$4="NO",ROUNDUP(BU92-0.00499,0),LEFT(BU92,1)+(IF(BU92-LEFT(BU92,1)&lt;0.00499,0,IF(BU92-LEFT(BU92,1)-0.00499&lt;('1-Eng Inputs'!$C$39/'1-Eng Inputs'!$C$38),0.5,1))))</f>
        <v>3</v>
      </c>
      <c r="K92" s="353"/>
      <c r="L92" s="1382">
        <f>IF($O$4="NO",ROUNDUP(BW92-0.00499,0),LEFT(BW92,1)+(IF(BW92-LEFT(BW92,1)&lt;0.00499,0,IF(BW92-LEFT(BW92,1)-0.00499&lt;('1-Eng Inputs'!$C$39/'1-Eng Inputs'!$C$38),0.5,1))))</f>
        <v>3</v>
      </c>
      <c r="S92" s="355"/>
      <c r="U92" s="1390">
        <f>IF(LEFT(F92,3)-LEFT(F92,1)=0.5,'1-Eng Inputs'!$C$39,0)+LEFT(F92,1)*'1-Eng Inputs'!$C$38</f>
        <v>96</v>
      </c>
      <c r="V92" s="350">
        <f>V91-BR90</f>
        <v>0</v>
      </c>
      <c r="W92" s="1416">
        <f>IF(LEFT(H92,3)-LEFT(H92,1)=0.5,'1-Eng Inputs'!$C$39,0)+LEFT(H92,1)*'1-Eng Inputs'!$C$38</f>
        <v>96</v>
      </c>
      <c r="X92" s="350">
        <f>X91-BT90</f>
        <v>0</v>
      </c>
      <c r="Y92" s="1416">
        <f>IF(LEFT(J92,3)-LEFT(J92,1)=0.5,'1-Eng Inputs'!$C$39,0)+LEFT(J92,1)*'1-Eng Inputs'!$C$38</f>
        <v>96</v>
      </c>
      <c r="Z92" s="350">
        <f>Z91-BV90</f>
        <v>0</v>
      </c>
      <c r="AA92" s="1416">
        <f>IF(LEFT(L92,3)-LEFT(L92,1)=0.5,'1-Eng Inputs'!$C$39,0)+LEFT(L92,1)*'1-Eng Inputs'!$C$38</f>
        <v>96</v>
      </c>
      <c r="AH92" s="355"/>
      <c r="AJ92" s="1390">
        <f>(AK91*AX92+AK94*AX93)/'1-Eng Inputs'!$C$38</f>
        <v>2.7847070673163268</v>
      </c>
      <c r="AK92" s="375"/>
      <c r="AL92" s="1390">
        <f>(AK91*AZ92+AM91*BA92+AK94*AZ93+AM94*BA93)/'1-Eng Inputs'!$C$38</f>
        <v>2.9686808673975347</v>
      </c>
      <c r="AM92" s="375"/>
      <c r="AN92" s="1390">
        <f>(AM91*BC92+AO91*BD92+AM94*BC93+AO94*BD93)/'1-Eng Inputs'!$C$38</f>
        <v>2.9686808673975342</v>
      </c>
      <c r="AO92" s="375"/>
      <c r="AP92" s="1390">
        <f>(AO91*BF92+AQ91*BG92+AO94*BF93+AQ94*BG93)/'1-Eng Inputs'!$C$38</f>
        <v>2.7847070673163268</v>
      </c>
      <c r="AX92" s="1468">
        <v>0.33333333333333331</v>
      </c>
      <c r="AZ92" s="1471">
        <v>0.16666666666666666</v>
      </c>
      <c r="BA92" s="1473">
        <v>0.25</v>
      </c>
      <c r="BC92" s="1471">
        <f>BA92</f>
        <v>0.25</v>
      </c>
      <c r="BD92" s="1473">
        <f>AZ92</f>
        <v>0.16666666666666666</v>
      </c>
      <c r="BF92" s="1468">
        <f>AX92</f>
        <v>0.33333333333333331</v>
      </c>
      <c r="BO92" s="355"/>
      <c r="BQ92" s="1390">
        <f>AJ92</f>
        <v>2.7847070673163268</v>
      </c>
      <c r="BR92" s="375"/>
      <c r="BS92" s="1390">
        <f>AL92</f>
        <v>2.9686808673975347</v>
      </c>
      <c r="BT92" s="375"/>
      <c r="BU92" s="1390">
        <f>AN92</f>
        <v>2.9686808673975342</v>
      </c>
      <c r="BV92" s="375"/>
      <c r="BW92" s="1390">
        <f>AP92</f>
        <v>2.7847070673163268</v>
      </c>
    </row>
    <row r="93" spans="4:81" ht="12.75" hidden="1" customHeight="1">
      <c r="D93" s="355"/>
      <c r="E93" s="352"/>
      <c r="F93" s="1383"/>
      <c r="G93" s="353"/>
      <c r="H93" s="1383"/>
      <c r="I93" s="353"/>
      <c r="J93" s="1383"/>
      <c r="K93" s="353"/>
      <c r="L93" s="1383"/>
      <c r="M93" s="1426"/>
      <c r="N93" s="1426"/>
      <c r="O93" s="1426"/>
      <c r="P93" s="1426"/>
      <c r="S93" s="355"/>
      <c r="U93" s="1391"/>
      <c r="V93" s="1379"/>
      <c r="W93" s="1417"/>
      <c r="X93" s="1379"/>
      <c r="Y93" s="1417"/>
      <c r="Z93" s="1379"/>
      <c r="AA93" s="1417"/>
      <c r="AB93" s="1426"/>
      <c r="AC93" s="1426"/>
      <c r="AD93" s="1426"/>
      <c r="AE93" s="1426"/>
      <c r="AH93" s="355"/>
      <c r="AJ93" s="1391"/>
      <c r="AK93" s="1379"/>
      <c r="AL93" s="1391"/>
      <c r="AM93" s="1379"/>
      <c r="AN93" s="1391"/>
      <c r="AO93" s="1379"/>
      <c r="AP93" s="1391"/>
      <c r="AQ93" s="1426"/>
      <c r="AR93" s="1426"/>
      <c r="AS93" s="1426"/>
      <c r="AT93" s="1426"/>
      <c r="AW93" s="373"/>
      <c r="AX93" s="1469">
        <v>0.33333333333333331</v>
      </c>
      <c r="AZ93" s="1472">
        <v>0.16666666666666666</v>
      </c>
      <c r="BA93" s="1474">
        <v>0.25</v>
      </c>
      <c r="BC93" s="1472">
        <f>BA93</f>
        <v>0.25</v>
      </c>
      <c r="BD93" s="1474">
        <f>AZ93</f>
        <v>0.16666666666666666</v>
      </c>
      <c r="BF93" s="1469">
        <f>AX93</f>
        <v>0.33333333333333331</v>
      </c>
      <c r="BG93" s="373"/>
      <c r="BH93" s="373"/>
      <c r="BI93" s="373"/>
      <c r="BJ93" s="373"/>
      <c r="BK93" s="373"/>
      <c r="BL93" s="373"/>
      <c r="BM93" s="373"/>
      <c r="BO93" s="355"/>
      <c r="BQ93" s="1391"/>
      <c r="BR93" s="1379">
        <f>V94</f>
        <v>141.02536486798618</v>
      </c>
      <c r="BS93" s="1391"/>
      <c r="BT93" s="1379">
        <f>X94</f>
        <v>101.94927026402763</v>
      </c>
      <c r="BU93" s="1391"/>
      <c r="BV93" s="1379">
        <f>Z94</f>
        <v>141.02536486798618</v>
      </c>
      <c r="BW93" s="1391"/>
      <c r="BX93" s="1426"/>
      <c r="BY93" s="1426"/>
      <c r="BZ93" s="1426"/>
      <c r="CA93" s="1426"/>
      <c r="CB93" s="1426"/>
      <c r="CC93" s="1426"/>
    </row>
    <row r="94" spans="4:81" ht="24.75" customHeight="1">
      <c r="D94" s="355"/>
      <c r="E94" s="352">
        <v>6</v>
      </c>
      <c r="F94" s="382"/>
      <c r="G94" s="378" t="s">
        <v>19427</v>
      </c>
      <c r="H94" s="382"/>
      <c r="I94" s="378" t="s">
        <v>19427</v>
      </c>
      <c r="J94" s="382"/>
      <c r="K94" s="378" t="s">
        <v>19427</v>
      </c>
      <c r="L94" s="382"/>
      <c r="S94" s="355"/>
      <c r="U94" s="382"/>
      <c r="V94" s="348">
        <f>(U92*(AK94*AX93/(AJ92*'1-Eng Inputs'!$C$38))+U95*(AK94*AX95/(AJ95*'1-Eng Inputs'!$C$38))+W92*(AK94*AZ93/(AL92*'1-Eng Inputs'!$C$38))+W95*(AK94*AZ95/(AL95*'1-Eng Inputs'!$C$38)))</f>
        <v>141.02536486798618</v>
      </c>
      <c r="W94" s="382"/>
      <c r="X94" s="348">
        <f>(W92*(AM94*BA93/(AL92*'1-Eng Inputs'!$C$38))+W95*(AM94*BA95/(AL95*'1-Eng Inputs'!$C$38))+Y92*(AM94*BC93/(AN92*'1-Eng Inputs'!$C$38))+Y95*(AM94*BC95/(AN95*'1-Eng Inputs'!$C$38)))</f>
        <v>101.94927026402763</v>
      </c>
      <c r="Y94" s="382"/>
      <c r="Z94" s="348">
        <f>(Y92*(AO94*BD93/(AN92*'1-Eng Inputs'!$C$38))+Y95*(AO94*BD95/(AN95*'1-Eng Inputs'!$C$38))+AA92*(AO94*BF93/(AP92*'1-Eng Inputs'!$C$38))+AA95*(AO94*BF95/(AP95*'1-Eng Inputs'!$C$38)))</f>
        <v>141.02536486798618</v>
      </c>
      <c r="AA94" s="382"/>
      <c r="AH94" s="355"/>
      <c r="AI94" s="353">
        <v>6</v>
      </c>
      <c r="AJ94" s="382"/>
      <c r="AK94" s="348">
        <f>'Land Calcs 10deg (lift)'!$J$26</f>
        <v>133.6659392311837</v>
      </c>
      <c r="AL94" s="382"/>
      <c r="AM94" s="348">
        <f>'Land Calcs 10deg (lift)'!$K$26</f>
        <v>100.88494935931976</v>
      </c>
      <c r="AN94" s="382"/>
      <c r="AO94" s="348">
        <f>'Land Calcs 10deg (lift)'!$J$26</f>
        <v>133.6659392311837</v>
      </c>
      <c r="AP94" s="382"/>
      <c r="AY94" s="381"/>
      <c r="BB94" s="381"/>
      <c r="BE94" s="381"/>
      <c r="BO94" s="355"/>
      <c r="BP94" s="353">
        <v>6</v>
      </c>
      <c r="BQ94" s="382"/>
      <c r="BR94" s="348">
        <f>AK94</f>
        <v>133.6659392311837</v>
      </c>
      <c r="BS94" s="382"/>
      <c r="BT94" s="348">
        <f>AM94</f>
        <v>100.88494935931976</v>
      </c>
      <c r="BU94" s="382"/>
      <c r="BV94" s="348">
        <f>AO94</f>
        <v>133.6659392311837</v>
      </c>
      <c r="BW94" s="382"/>
    </row>
    <row r="95" spans="4:81">
      <c r="D95" s="355"/>
      <c r="E95" s="352"/>
      <c r="F95" s="1382">
        <f>IF($O$4="NO",ROUNDUP(BQ95-0.00499,0),LEFT(BQ95,1)+(IF(BQ95-LEFT(BQ95,1)&lt;0.00499,0,IF(BQ95-LEFT(BQ95,1)-0.00499&lt;('1-Eng Inputs'!$C$39/'1-Eng Inputs'!$C$38),0.5,1))))</f>
        <v>3</v>
      </c>
      <c r="G95" s="353"/>
      <c r="H95" s="1382">
        <f>IF($O$4="NO",ROUNDUP(BS95-0.00499,0),LEFT(BS95,1)+(IF(BS95-LEFT(BS95,1)&lt;0.00499,0,IF(BS95-LEFT(BS95,1)-0.00499&lt;('1-Eng Inputs'!$C$39/'1-Eng Inputs'!$C$38),0.5,1))))</f>
        <v>3</v>
      </c>
      <c r="I95" s="353"/>
      <c r="J95" s="1382">
        <f>IF($O$4="NO",ROUNDUP(BU95-0.00499,0),LEFT(BU95,1)+(IF(BU95-LEFT(BU95,1)&lt;0.00499,0,IF(BU95-LEFT(BU95,1)-0.00499&lt;('1-Eng Inputs'!$C$39/'1-Eng Inputs'!$C$38),0.5,1))))</f>
        <v>3</v>
      </c>
      <c r="K95" s="353"/>
      <c r="L95" s="1382">
        <f>IF($O$4="NO",ROUNDUP(BW95-0.00499,0),LEFT(BW95,1)+(IF(BW95-LEFT(BW95,1)&lt;0.00499,0,IF(BW95-LEFT(BW95,1)-0.00499&lt;('1-Eng Inputs'!$C$39/'1-Eng Inputs'!$C$38),0.5,1))))</f>
        <v>3</v>
      </c>
      <c r="S95" s="355"/>
      <c r="U95" s="1390">
        <f>IF(LEFT(F95,3)-LEFT(F95,1)=0.5,'1-Eng Inputs'!$C$39,0)+LEFT(F95,1)*'1-Eng Inputs'!$C$38</f>
        <v>96</v>
      </c>
      <c r="V95" s="350">
        <f>V94-BR93</f>
        <v>0</v>
      </c>
      <c r="W95" s="1416">
        <f>IF(LEFT(H95,3)-LEFT(H95,1)=0.5,'1-Eng Inputs'!$C$39,0)+LEFT(H95,1)*'1-Eng Inputs'!$C$38</f>
        <v>96</v>
      </c>
      <c r="X95" s="350">
        <f>X94-BT93</f>
        <v>0</v>
      </c>
      <c r="Y95" s="1416">
        <f>IF(LEFT(J95,3)-LEFT(J95,1)=0.5,'1-Eng Inputs'!$C$39,0)+LEFT(J95,1)*'1-Eng Inputs'!$C$38</f>
        <v>96</v>
      </c>
      <c r="Z95" s="350">
        <f>Z94-BV93</f>
        <v>0</v>
      </c>
      <c r="AA95" s="1416">
        <f>IF(LEFT(L95,3)-LEFT(L95,1)=0.5,'1-Eng Inputs'!$C$39,0)+LEFT(L95,1)*'1-Eng Inputs'!$C$38</f>
        <v>96</v>
      </c>
      <c r="AH95" s="355"/>
      <c r="AJ95" s="1390">
        <f>(AK94*AX95+AK97*AX96)/'1-Eng Inputs'!$C$38</f>
        <v>2.7847070673163268</v>
      </c>
      <c r="AK95" s="375"/>
      <c r="AL95" s="1390">
        <f>(AK94*AZ95+AM94*BA95+AK97*AZ96+AM97*BA96)/'1-Eng Inputs'!$C$38</f>
        <v>2.9686808673975347</v>
      </c>
      <c r="AM95" s="375"/>
      <c r="AN95" s="1390">
        <f>(AM94*BC95+AO94*BD95+AM97*BC96+AO97*BD96)/'1-Eng Inputs'!$C$38</f>
        <v>2.9686808673975342</v>
      </c>
      <c r="AO95" s="375"/>
      <c r="AP95" s="1390">
        <f>(AO94*BF95+AQ94*BG95+AO97*BF96+AQ97*BG96)/'1-Eng Inputs'!$C$38</f>
        <v>2.7847070673163268</v>
      </c>
      <c r="AX95" s="1468">
        <v>0.33333333333333331</v>
      </c>
      <c r="AZ95" s="1471">
        <v>0.16666666666666666</v>
      </c>
      <c r="BA95" s="1473">
        <v>0.25</v>
      </c>
      <c r="BC95" s="1471">
        <f>BA95</f>
        <v>0.25</v>
      </c>
      <c r="BD95" s="1473">
        <f>AZ95</f>
        <v>0.16666666666666666</v>
      </c>
      <c r="BF95" s="1468">
        <f>AX95</f>
        <v>0.33333333333333331</v>
      </c>
      <c r="BO95" s="355"/>
      <c r="BQ95" s="1390">
        <f>AJ95</f>
        <v>2.7847070673163268</v>
      </c>
      <c r="BR95" s="375"/>
      <c r="BS95" s="1390">
        <f>AL95</f>
        <v>2.9686808673975347</v>
      </c>
      <c r="BT95" s="375"/>
      <c r="BU95" s="1390">
        <f>AN95</f>
        <v>2.9686808673975342</v>
      </c>
      <c r="BV95" s="375"/>
      <c r="BW95" s="1390">
        <f>AP95</f>
        <v>2.7847070673163268</v>
      </c>
    </row>
    <row r="96" spans="4:81" ht="12.75" hidden="1" customHeight="1">
      <c r="D96" s="355"/>
      <c r="E96" s="352"/>
      <c r="F96" s="1383"/>
      <c r="G96" s="353"/>
      <c r="H96" s="1383"/>
      <c r="I96" s="353"/>
      <c r="J96" s="1383"/>
      <c r="K96" s="353"/>
      <c r="L96" s="1383"/>
      <c r="M96" s="1426"/>
      <c r="N96" s="1426"/>
      <c r="O96" s="1426"/>
      <c r="P96" s="1426"/>
      <c r="S96" s="355"/>
      <c r="U96" s="1391"/>
      <c r="V96" s="1379"/>
      <c r="W96" s="1417"/>
      <c r="X96" s="1379"/>
      <c r="Y96" s="1417"/>
      <c r="Z96" s="1379"/>
      <c r="AA96" s="1417"/>
      <c r="AB96" s="1426"/>
      <c r="AC96" s="1426"/>
      <c r="AD96" s="1426"/>
      <c r="AE96" s="1426"/>
      <c r="AH96" s="355"/>
      <c r="AJ96" s="1391"/>
      <c r="AK96" s="1379"/>
      <c r="AL96" s="1391"/>
      <c r="AM96" s="1379"/>
      <c r="AN96" s="1391"/>
      <c r="AO96" s="1379"/>
      <c r="AP96" s="1391"/>
      <c r="AQ96" s="1426"/>
      <c r="AR96" s="1426"/>
      <c r="AS96" s="1426"/>
      <c r="AT96" s="1426"/>
      <c r="AW96" s="373"/>
      <c r="AX96" s="1469">
        <v>0.33333333333333331</v>
      </c>
      <c r="AZ96" s="1472">
        <v>0.16666666666666666</v>
      </c>
      <c r="BA96" s="1474">
        <v>0.25</v>
      </c>
      <c r="BC96" s="1472">
        <f>BA96</f>
        <v>0.25</v>
      </c>
      <c r="BD96" s="1474">
        <f>AZ96</f>
        <v>0.16666666666666666</v>
      </c>
      <c r="BF96" s="1469">
        <f>AX96</f>
        <v>0.33333333333333331</v>
      </c>
      <c r="BG96" s="373"/>
      <c r="BH96" s="373"/>
      <c r="BI96" s="373"/>
      <c r="BJ96" s="373"/>
      <c r="BK96" s="373"/>
      <c r="BL96" s="373"/>
      <c r="BM96" s="373"/>
      <c r="BO96" s="355"/>
      <c r="BQ96" s="1391"/>
      <c r="BR96" s="1379">
        <f>V97</f>
        <v>143.72887443614502</v>
      </c>
      <c r="BS96" s="1391"/>
      <c r="BT96" s="1379">
        <f>X97</f>
        <v>103.17852032941946</v>
      </c>
      <c r="BU96" s="1391"/>
      <c r="BV96" s="1379">
        <f>Z97</f>
        <v>143.72887443614502</v>
      </c>
      <c r="BW96" s="1391"/>
      <c r="BX96" s="1426"/>
      <c r="BY96" s="1426"/>
      <c r="BZ96" s="1426"/>
      <c r="CA96" s="1426"/>
      <c r="CB96" s="1426"/>
      <c r="CC96" s="1426"/>
    </row>
    <row r="97" spans="1:81" ht="24.75" customHeight="1">
      <c r="D97" s="355"/>
      <c r="E97" s="352">
        <v>7</v>
      </c>
      <c r="F97" s="382"/>
      <c r="G97" s="378" t="s">
        <v>19427</v>
      </c>
      <c r="H97" s="382"/>
      <c r="I97" s="378" t="s">
        <v>19427</v>
      </c>
      <c r="J97" s="382"/>
      <c r="K97" s="378" t="s">
        <v>19427</v>
      </c>
      <c r="L97" s="382"/>
      <c r="S97" s="355"/>
      <c r="U97" s="382"/>
      <c r="V97" s="348">
        <f>(U95*(AK97*AX96/(AJ95*'1-Eng Inputs'!$C$38))+U98*(AK97*AX98/(AJ98*'1-Eng Inputs'!$C$38))+W95*(AK97*AZ96/(AL95*'1-Eng Inputs'!$C$38))+W98*(AK97*AZ98/(AL98*'1-Eng Inputs'!$C$38)))</f>
        <v>143.72887443614502</v>
      </c>
      <c r="W97" s="382"/>
      <c r="X97" s="348">
        <f>(W95*(AM97*BA96/(AL95*'1-Eng Inputs'!$C$38))+W98*(AM97*BA98/(AL98*'1-Eng Inputs'!$C$38))+Y95*(AM97*BC96/(AN95*'1-Eng Inputs'!$C$38))+Y98*(AM97*BC98/(AN98*'1-Eng Inputs'!$C$38)))</f>
        <v>103.17852032941946</v>
      </c>
      <c r="Y97" s="382"/>
      <c r="Z97" s="348">
        <f>(Y95*(AO97*BD96/(AN95*'1-Eng Inputs'!$C$38))+Y98*(AO97*BD98/(AN98*'1-Eng Inputs'!$C$38))+AA95*(AO97*BF96/(AP95*'1-Eng Inputs'!$C$38))+AA98*(AO97*BF98/(AP98*'1-Eng Inputs'!$C$38)))</f>
        <v>143.72887443614502</v>
      </c>
      <c r="AA97" s="382"/>
      <c r="AH97" s="355"/>
      <c r="AI97" s="353">
        <v>7</v>
      </c>
      <c r="AJ97" s="382"/>
      <c r="AK97" s="348">
        <f>AK94</f>
        <v>133.6659392311837</v>
      </c>
      <c r="AL97" s="382"/>
      <c r="AM97" s="348">
        <f>AM94</f>
        <v>100.88494935931976</v>
      </c>
      <c r="AN97" s="382"/>
      <c r="AO97" s="348">
        <f>AO94</f>
        <v>133.6659392311837</v>
      </c>
      <c r="AP97" s="382"/>
      <c r="AY97" s="381"/>
      <c r="BB97" s="381"/>
      <c r="BE97" s="381"/>
      <c r="BO97" s="355"/>
      <c r="BP97" s="353">
        <v>7</v>
      </c>
      <c r="BQ97" s="382"/>
      <c r="BR97" s="348">
        <f>AK97</f>
        <v>133.6659392311837</v>
      </c>
      <c r="BS97" s="382"/>
      <c r="BT97" s="348">
        <f>AM97</f>
        <v>100.88494935931976</v>
      </c>
      <c r="BU97" s="382"/>
      <c r="BV97" s="348">
        <f>AO97</f>
        <v>133.6659392311837</v>
      </c>
      <c r="BW97" s="382"/>
    </row>
    <row r="98" spans="1:81" ht="12" customHeight="1">
      <c r="D98" s="355"/>
      <c r="E98" s="352"/>
      <c r="F98" s="1382">
        <f>IF($O$4="NO",ROUNDUP(BQ98-0.00499,0),LEFT(BQ98,1)+(IF(BQ98-LEFT(BQ98,1)&lt;0.00499,0,IF(BQ98-LEFT(BQ98,1)-0.00499&lt;('1-Eng Inputs'!$C$39/'1-Eng Inputs'!$C$38),0.5,1))))</f>
        <v>4</v>
      </c>
      <c r="G98" s="353"/>
      <c r="H98" s="1382">
        <f>IF($O$4="NO",ROUNDUP(BS98-0.00499,0),LEFT(BS98,1)+(IF(BS98-LEFT(BS98,1)&lt;0.00499,0,IF(BS98-LEFT(BS98,1)-0.00499&lt;('1-Eng Inputs'!$C$39/'1-Eng Inputs'!$C$38),0.5,1))))</f>
        <v>4</v>
      </c>
      <c r="I98" s="353"/>
      <c r="J98" s="1382">
        <f>IF($O$4="NO",ROUNDUP(BU98-0.00499,0),LEFT(BU98,1)+(IF(BU98-LEFT(BU98,1)&lt;0.00499,0,IF(BU98-LEFT(BU98,1)-0.00499&lt;('1-Eng Inputs'!$C$39/'1-Eng Inputs'!$C$38),0.5,1))))</f>
        <v>4</v>
      </c>
      <c r="K98" s="353"/>
      <c r="L98" s="1382">
        <f>IF($O$4="NO",ROUNDUP(BW98-0.00499,0),LEFT(BW98,1)+(IF(BW98-LEFT(BW98,1)&lt;0.00499,0,IF(BW98-LEFT(BW98,1)-0.00499&lt;('1-Eng Inputs'!$C$39/'1-Eng Inputs'!$C$38),0.5,1))))</f>
        <v>4</v>
      </c>
      <c r="S98" s="355"/>
      <c r="U98" s="1390">
        <f>IF(LEFT(F98,3)-LEFT(F98,1)=0.5,'1-Eng Inputs'!$C$39,0)+LEFT(F98,1)*'1-Eng Inputs'!$C$38</f>
        <v>128</v>
      </c>
      <c r="V98" s="356">
        <f>V97-BR96</f>
        <v>0</v>
      </c>
      <c r="W98" s="1416">
        <f>IF(LEFT(H98,3)-LEFT(H98,1)=0.5,'1-Eng Inputs'!$C$39,0)+LEFT(H98,1)*'1-Eng Inputs'!$C$38</f>
        <v>128</v>
      </c>
      <c r="X98" s="356">
        <f>X97-BT96</f>
        <v>0</v>
      </c>
      <c r="Y98" s="1416">
        <f>IF(LEFT(J98,3)-LEFT(J98,1)=0.5,'1-Eng Inputs'!$C$39,0)+LEFT(J98,1)*'1-Eng Inputs'!$C$38</f>
        <v>128</v>
      </c>
      <c r="Z98" s="356">
        <f>Z97-BV96</f>
        <v>0</v>
      </c>
      <c r="AA98" s="1416">
        <f>IF(LEFT(L98,3)-LEFT(L98,1)=0.5,'1-Eng Inputs'!$C$39,0)+LEFT(L98,1)*'1-Eng Inputs'!$C$38</f>
        <v>128</v>
      </c>
      <c r="AH98" s="355"/>
      <c r="AJ98" s="1390">
        <f>(AK97*AX98+AK100*AX99)/'1-Eng Inputs'!$C$38</f>
        <v>3.5530115174381387</v>
      </c>
      <c r="AK98" s="356"/>
      <c r="AL98" s="1390">
        <f>(AK97*AZ98+AM97*BA98+AK100*AZ99+AM100*BA99)/'1-Eng Inputs'!$C$38</f>
        <v>3.8650360592063144</v>
      </c>
      <c r="AM98" s="356"/>
      <c r="AN98" s="1390">
        <f>(AM97*BC98+AO97*BD98+AM100*BC99+AO100*BD99)/'1-Eng Inputs'!$C$38</f>
        <v>3.8650360592063149</v>
      </c>
      <c r="AO98" s="356"/>
      <c r="AP98" s="1390">
        <f>(AO97*BF98+AQ97*BG98+AO100*BF99+AQ100*BG99)/'1-Eng Inputs'!$C$38</f>
        <v>3.5530115174381387</v>
      </c>
      <c r="AX98" s="1468">
        <v>0.33333333333333331</v>
      </c>
      <c r="AZ98" s="1471">
        <v>0.16666666666666666</v>
      </c>
      <c r="BA98" s="1473">
        <v>0.25</v>
      </c>
      <c r="BC98" s="1471">
        <f>BA98</f>
        <v>0.25</v>
      </c>
      <c r="BD98" s="1473">
        <f>AZ98</f>
        <v>0.16666666666666666</v>
      </c>
      <c r="BF98" s="1468">
        <f>AX98</f>
        <v>0.33333333333333331</v>
      </c>
      <c r="BO98" s="355"/>
      <c r="BQ98" s="1390">
        <f>AJ98</f>
        <v>3.5530115174381387</v>
      </c>
      <c r="BR98" s="356"/>
      <c r="BS98" s="1390">
        <f>AL98</f>
        <v>3.8650360592063144</v>
      </c>
      <c r="BT98" s="356"/>
      <c r="BU98" s="1390">
        <f>AN98</f>
        <v>3.8650360592063149</v>
      </c>
      <c r="BV98" s="356"/>
      <c r="BW98" s="1390">
        <f>AP98</f>
        <v>3.5530115174381387</v>
      </c>
    </row>
    <row r="99" spans="1:81" ht="12.75" hidden="1" customHeight="1">
      <c r="D99" s="355"/>
      <c r="E99" s="352"/>
      <c r="F99" s="1383"/>
      <c r="G99" s="353"/>
      <c r="H99" s="1383"/>
      <c r="I99" s="353"/>
      <c r="J99" s="1383"/>
      <c r="K99" s="353"/>
      <c r="L99" s="1383"/>
      <c r="S99" s="355"/>
      <c r="U99" s="1391"/>
      <c r="V99" s="1379"/>
      <c r="W99" s="1417"/>
      <c r="X99" s="1379"/>
      <c r="Y99" s="1417"/>
      <c r="Z99" s="1379"/>
      <c r="AA99" s="1417"/>
      <c r="AH99" s="355"/>
      <c r="AJ99" s="1391"/>
      <c r="AK99" s="1379"/>
      <c r="AL99" s="1391"/>
      <c r="AM99" s="1379"/>
      <c r="AN99" s="1391"/>
      <c r="AO99" s="1379"/>
      <c r="AP99" s="1391"/>
      <c r="AX99" s="1469">
        <v>0.33333333333333331</v>
      </c>
      <c r="AZ99" s="1472">
        <v>0.16666666666666666</v>
      </c>
      <c r="BA99" s="1474">
        <v>0.25</v>
      </c>
      <c r="BC99" s="1472">
        <f>BA99</f>
        <v>0.25</v>
      </c>
      <c r="BD99" s="1474">
        <f>AZ99</f>
        <v>0.16666666666666666</v>
      </c>
      <c r="BF99" s="1469">
        <f>AX99</f>
        <v>0.33333333333333331</v>
      </c>
      <c r="BO99" s="355"/>
      <c r="BQ99" s="1391"/>
      <c r="BR99" s="1379">
        <f>V100</f>
        <v>229.92005394672785</v>
      </c>
      <c r="BS99" s="1391"/>
      <c r="BT99" s="1379">
        <f>X100</f>
        <v>173.52362290483481</v>
      </c>
      <c r="BU99" s="1391"/>
      <c r="BV99" s="1379">
        <f>Z100</f>
        <v>229.92005394672785</v>
      </c>
      <c r="BW99" s="1391"/>
    </row>
    <row r="100" spans="1:81" ht="24.75" customHeight="1">
      <c r="D100" s="355"/>
      <c r="E100" s="352">
        <v>8</v>
      </c>
      <c r="F100" s="382"/>
      <c r="G100" s="378" t="s">
        <v>19427</v>
      </c>
      <c r="H100" s="382"/>
      <c r="I100" s="378" t="s">
        <v>19427</v>
      </c>
      <c r="J100" s="382"/>
      <c r="K100" s="378" t="s">
        <v>19427</v>
      </c>
      <c r="L100" s="382"/>
      <c r="M100" s="1426"/>
      <c r="N100" s="1426"/>
      <c r="O100" s="1426"/>
      <c r="P100" s="1426"/>
      <c r="S100" s="355"/>
      <c r="U100" s="382"/>
      <c r="V100" s="348">
        <f>U98*(AK100*AX99/(AJ98*'1-Eng Inputs'!$C$38))+U101*(AK100*AX101/(AJ101*'1-Eng Inputs'!$C$38))/factors!$B$4+W98*(AK100*AZ99/(AL98*'1-Eng Inputs'!$C$38))+W101*(AK100*AZ101/(AL101*'1-Eng Inputs'!$C$38))/factors!$B$4</f>
        <v>229.92005394672785</v>
      </c>
      <c r="W100" s="382"/>
      <c r="X100" s="348">
        <f>W98*(AM100*BA99/(AL98*'1-Eng Inputs'!$C$38))+W101*(AM100*BA101/(AL101*'1-Eng Inputs'!$C$38))/factors!$B$4+Y98*(AM100*BC99/(AN98*'1-Eng Inputs'!$C$38))+Y101*(AM100*BC101/(AN101*'1-Eng Inputs'!$C$38))/factors!$B$4</f>
        <v>173.52362290483481</v>
      </c>
      <c r="Y100" s="382"/>
      <c r="Z100" s="348">
        <f>Y98*(AO100*BD99/(AN98*'1-Eng Inputs'!$C$38))+Y101*(AO100*BD101/(AN101*'1-Eng Inputs'!$C$38))/factors!$B$4+AA98*(AO100*BF99/(AP98*'1-Eng Inputs'!$C$38))+AA101*(AO100*BF101/(AP101*'1-Eng Inputs'!$C$38))/factors!$B$4</f>
        <v>229.92005394672785</v>
      </c>
      <c r="AA100" s="382"/>
      <c r="AB100" s="1426"/>
      <c r="AC100" s="1426"/>
      <c r="AD100" s="1426"/>
      <c r="AE100" s="1426"/>
      <c r="AH100" s="355"/>
      <c r="AI100" s="353">
        <v>8</v>
      </c>
      <c r="AJ100" s="382"/>
      <c r="AK100" s="348">
        <f>'Land Calcs 10deg (lift)'!$H$26</f>
        <v>207.42316644287763</v>
      </c>
      <c r="AL100" s="382"/>
      <c r="AM100" s="348">
        <f>'Land Calcs 10deg (lift)'!$I$26</f>
        <v>166.44692910304767</v>
      </c>
      <c r="AN100" s="382"/>
      <c r="AO100" s="348">
        <f>'Land Calcs 10deg (lift)'!$H$26</f>
        <v>207.42316644287763</v>
      </c>
      <c r="AP100" s="382"/>
      <c r="AQ100" s="1426"/>
      <c r="AR100" s="1426"/>
      <c r="AS100" s="1426"/>
      <c r="AT100" s="1426"/>
      <c r="AW100" s="373"/>
      <c r="AY100" s="381"/>
      <c r="BB100" s="381"/>
      <c r="BE100" s="381"/>
      <c r="BG100" s="373"/>
      <c r="BH100" s="373"/>
      <c r="BI100" s="373"/>
      <c r="BJ100" s="373"/>
      <c r="BK100" s="373"/>
      <c r="BL100" s="373"/>
      <c r="BM100" s="373"/>
      <c r="BO100" s="355"/>
      <c r="BP100" s="353">
        <v>8</v>
      </c>
      <c r="BQ100" s="382"/>
      <c r="BR100" s="348">
        <f>AK100</f>
        <v>207.42316644287763</v>
      </c>
      <c r="BS100" s="382"/>
      <c r="BT100" s="348">
        <f>AM100</f>
        <v>166.44692910304767</v>
      </c>
      <c r="BU100" s="382"/>
      <c r="BV100" s="348">
        <f>AO100</f>
        <v>207.42316644287763</v>
      </c>
      <c r="BW100" s="382"/>
      <c r="BX100" s="1426"/>
      <c r="BY100" s="1426"/>
      <c r="BZ100" s="1426"/>
      <c r="CA100" s="1426"/>
      <c r="CB100" s="1426"/>
      <c r="CC100" s="1426"/>
    </row>
    <row r="101" spans="1:81" ht="12.75" hidden="1" customHeight="1">
      <c r="E101" s="352"/>
      <c r="F101" s="1516"/>
      <c r="H101" s="1516"/>
      <c r="J101" s="1516"/>
      <c r="L101" s="1516"/>
      <c r="U101" s="1390">
        <f>IF(LEFT(F102,3)-LEFT(F102,1)=0.5,'1-Eng Inputs'!$C$39,0)+LEFT(F102,1)*'1-Eng Inputs'!$C$38</f>
        <v>128</v>
      </c>
      <c r="V101" s="1379">
        <f>V100-BR99</f>
        <v>0</v>
      </c>
      <c r="W101" s="1416">
        <f>IF(LEFT(H102,3)-LEFT(H102,1)=0.5,'1-Eng Inputs'!$C$39,0)+LEFT(H102,1)*'1-Eng Inputs'!$C$38</f>
        <v>128</v>
      </c>
      <c r="X101" s="1379">
        <f>X100-BT99</f>
        <v>0</v>
      </c>
      <c r="Y101" s="1416">
        <f>IF(LEFT(J102,3)-LEFT(J102,1)=0.5,'1-Eng Inputs'!$C$39,0)+LEFT(J102,1)*'1-Eng Inputs'!$C$38</f>
        <v>128</v>
      </c>
      <c r="Z101" s="1379">
        <f>Z100-BV99</f>
        <v>0</v>
      </c>
      <c r="AA101" s="1416">
        <f>IF(LEFT(L102,3)-LEFT(L102,1)=0.5,'1-Eng Inputs'!$C$39,0)+LEFT(L102,1)*'1-Eng Inputs'!$C$38</f>
        <v>128</v>
      </c>
      <c r="AJ101" s="1390">
        <f>(AK100*AX101)/'1-Eng Inputs'!$C$38</f>
        <v>2.1606579837799753</v>
      </c>
      <c r="AL101" s="1390">
        <f>(AK100*AZ101+AM100*BA101)/'1-Eng Inputs'!$C$38</f>
        <v>2.3806956255075473</v>
      </c>
      <c r="AN101" s="1390">
        <f>(AM100*BC101+AO100*BD101)/'1-Eng Inputs'!$C$38</f>
        <v>2.3806956255075473</v>
      </c>
      <c r="AP101" s="1390">
        <f>(AO100*BF101+AQ100*BG101)/'1-Eng Inputs'!$C$38</f>
        <v>2.1606579837799753</v>
      </c>
      <c r="AX101" s="1396">
        <v>0.33333333333333331</v>
      </c>
      <c r="AZ101" s="1412">
        <v>0.16666666666666666</v>
      </c>
      <c r="BA101" s="1394">
        <v>0.25</v>
      </c>
      <c r="BC101" s="1412">
        <f>BA101</f>
        <v>0.25</v>
      </c>
      <c r="BD101" s="1394">
        <f>AZ101</f>
        <v>0.16666666666666666</v>
      </c>
      <c r="BF101" s="1396">
        <f>AX101</f>
        <v>0.33333333333333331</v>
      </c>
      <c r="BQ101" s="1390">
        <f>BQ102/factors!$B$4</f>
        <v>2.1606579837799753</v>
      </c>
      <c r="BS101" s="1390">
        <f>BS102/factors!$B$4</f>
        <v>2.3806956255075473</v>
      </c>
      <c r="BU101" s="1390">
        <f>BU102/factors!$B$4</f>
        <v>2.3806956255075473</v>
      </c>
      <c r="BW101" s="1390">
        <f>BW102/factors!$B$4</f>
        <v>2.1606579837799753</v>
      </c>
    </row>
    <row r="102" spans="1:81">
      <c r="E102" s="352"/>
      <c r="F102" s="1383">
        <f>IF($O$4="NO",ROUNDUP(BQ102-0.00499,0),LEFT(BQ102,1)+(IF(BQ102-LEFT(BQ102,1)&lt;0.00499,0,IF(BQ102-LEFT(BQ102,1)-0.00499&lt;('1-Eng Inputs'!$C$39/'1-Eng Inputs'!$C$38),0.5,1))))</f>
        <v>4</v>
      </c>
      <c r="G102" s="353"/>
      <c r="H102" s="1383">
        <f>IF($O$4="NO",ROUNDUP(BS102-0.00499,0),LEFT(BS102,1)+(IF(BS102-LEFT(BS102,1)&lt;0.00499,0,IF(BS102-LEFT(BS102,1)-0.00499&lt;('1-Eng Inputs'!$C$39/'1-Eng Inputs'!$C$38),0.5,1))))</f>
        <v>4</v>
      </c>
      <c r="I102" s="353"/>
      <c r="J102" s="1383">
        <f>IF($O$4="NO",ROUNDUP(BU102-0.00499,0),LEFT(BU102,1)+(IF(BU102-LEFT(BU102,1)&lt;0.00499,0,IF(BU102-LEFT(BU102,1)-0.00499&lt;('1-Eng Inputs'!$C$39/'1-Eng Inputs'!$C$38),0.5,1))))</f>
        <v>4</v>
      </c>
      <c r="K102" s="353"/>
      <c r="L102" s="1383">
        <f>IF($O$4="NO",ROUNDUP(BW102-0.00499,0),LEFT(BW102,1)+(IF(BW102-LEFT(BW102,1)&lt;0.00499,0,IF(BW102-LEFT(BW102,1)-0.00499&lt;('1-Eng Inputs'!$C$39/'1-Eng Inputs'!$C$38),0.5,1))))</f>
        <v>4</v>
      </c>
      <c r="M102" s="1426"/>
      <c r="N102" s="1426"/>
      <c r="O102" s="1426"/>
      <c r="P102" s="1426"/>
      <c r="U102" s="1391"/>
      <c r="V102" s="375"/>
      <c r="W102" s="1418"/>
      <c r="X102" s="375"/>
      <c r="Y102" s="1418"/>
      <c r="Z102" s="375"/>
      <c r="AA102" s="1418"/>
      <c r="AB102" s="1426"/>
      <c r="AC102" s="1426"/>
      <c r="AD102" s="1426"/>
      <c r="AE102" s="1426"/>
      <c r="AJ102" s="1391">
        <f>AJ101*factors!$B$4</f>
        <v>3.4570527740479609</v>
      </c>
      <c r="AK102" s="375"/>
      <c r="AL102" s="1391">
        <f>AL101*factors!$B$4</f>
        <v>3.8091130008120757</v>
      </c>
      <c r="AM102" s="375"/>
      <c r="AN102" s="1391">
        <f>AN101*factors!$B$4</f>
        <v>3.8091130008120757</v>
      </c>
      <c r="AO102" s="375"/>
      <c r="AP102" s="1391">
        <f>AP101*factors!$B$4</f>
        <v>3.4570527740479609</v>
      </c>
      <c r="AQ102" s="1426"/>
      <c r="AR102" s="1426"/>
      <c r="AS102" s="1426"/>
      <c r="AT102" s="1426"/>
      <c r="AW102" s="373"/>
      <c r="AX102" s="1397"/>
      <c r="AZ102" s="1413"/>
      <c r="BA102" s="1395"/>
      <c r="BC102" s="1413"/>
      <c r="BD102" s="1395"/>
      <c r="BF102" s="1397"/>
      <c r="BG102" s="373"/>
      <c r="BH102" s="373"/>
      <c r="BI102" s="373"/>
      <c r="BJ102" s="373"/>
      <c r="BK102" s="373"/>
      <c r="BL102" s="373"/>
      <c r="BM102" s="373"/>
      <c r="BQ102" s="1391">
        <f>AJ102</f>
        <v>3.4570527740479609</v>
      </c>
      <c r="BR102" s="1379"/>
      <c r="BS102" s="1391">
        <f>AL102</f>
        <v>3.8091130008120757</v>
      </c>
      <c r="BT102" s="375"/>
      <c r="BU102" s="1391">
        <f>AN102</f>
        <v>3.8091130008120757</v>
      </c>
      <c r="BV102" s="375"/>
      <c r="BW102" s="1391">
        <f>AP102</f>
        <v>3.4570527740479609</v>
      </c>
      <c r="BX102" s="1426"/>
      <c r="BY102" s="1426"/>
      <c r="BZ102" s="1426"/>
      <c r="CA102" s="1426"/>
      <c r="CB102" s="1426"/>
      <c r="CC102" s="1426"/>
    </row>
    <row r="103" spans="1:81">
      <c r="E103" s="352"/>
      <c r="F103" s="374"/>
      <c r="G103" s="353"/>
      <c r="H103" s="374"/>
      <c r="I103" s="353"/>
      <c r="J103" s="374"/>
      <c r="K103" s="353"/>
      <c r="L103" s="374"/>
      <c r="M103" s="1426"/>
      <c r="N103" s="1426"/>
      <c r="O103" s="1426"/>
      <c r="P103" s="1426"/>
      <c r="U103" s="1426"/>
      <c r="V103" s="375"/>
      <c r="W103" s="1426"/>
      <c r="X103" s="375"/>
      <c r="Y103" s="1426"/>
      <c r="Z103" s="375"/>
      <c r="AA103" s="1426"/>
      <c r="AB103" s="1426"/>
      <c r="AC103" s="1426"/>
      <c r="AD103" s="1426"/>
      <c r="AE103" s="1426"/>
      <c r="AJ103" s="1426"/>
      <c r="AK103" s="375"/>
      <c r="AL103" s="1426"/>
      <c r="AM103" s="375"/>
      <c r="AN103" s="1426"/>
      <c r="AO103" s="375"/>
      <c r="AP103" s="1426"/>
      <c r="AQ103" s="1426"/>
      <c r="AR103" s="1426"/>
      <c r="AS103" s="1426"/>
      <c r="AT103" s="1426"/>
      <c r="AW103" s="373"/>
      <c r="AX103" s="373"/>
      <c r="AZ103" s="373"/>
      <c r="BA103" s="373"/>
      <c r="BC103" s="373"/>
      <c r="BD103" s="373"/>
      <c r="BF103" s="373"/>
      <c r="BG103" s="373"/>
      <c r="BH103" s="373"/>
      <c r="BI103" s="373"/>
      <c r="BJ103" s="373"/>
      <c r="BK103" s="373"/>
      <c r="BL103" s="373"/>
      <c r="BM103" s="373"/>
      <c r="BQ103" s="1426"/>
      <c r="BR103" s="375"/>
      <c r="BS103" s="1426"/>
      <c r="BT103" s="375"/>
      <c r="BU103" s="1426"/>
      <c r="BV103" s="375"/>
      <c r="BW103" s="1426"/>
      <c r="BX103" s="1426"/>
      <c r="BY103" s="1426"/>
      <c r="BZ103" s="1426"/>
      <c r="CA103" s="1426"/>
      <c r="CB103" s="1426"/>
      <c r="CC103" s="1426"/>
    </row>
    <row r="104" spans="1:81">
      <c r="A104" s="349" t="s">
        <v>19436</v>
      </c>
      <c r="E104" s="352"/>
      <c r="S104" s="349"/>
      <c r="AH104" s="349" t="s">
        <v>19451</v>
      </c>
      <c r="BO104" s="349" t="s">
        <v>19445</v>
      </c>
    </row>
    <row r="105" spans="1:81" ht="12.75" customHeight="1">
      <c r="C105" s="1426"/>
      <c r="D105" s="356"/>
      <c r="E105" s="352"/>
      <c r="G105" s="350" t="s">
        <v>233</v>
      </c>
      <c r="S105" s="356"/>
      <c r="AH105" s="356"/>
      <c r="AK105" s="350" t="s">
        <v>233</v>
      </c>
      <c r="AW105" s="370" t="s">
        <v>19376</v>
      </c>
      <c r="BO105" s="356"/>
      <c r="BR105" s="350" t="s">
        <v>233</v>
      </c>
    </row>
    <row r="106" spans="1:81" ht="12.75" customHeight="1">
      <c r="C106" s="1426"/>
      <c r="D106" s="356"/>
      <c r="E106" s="352"/>
      <c r="F106" s="353"/>
      <c r="G106" s="352">
        <v>1</v>
      </c>
      <c r="H106" s="352"/>
      <c r="I106" s="352">
        <v>2</v>
      </c>
      <c r="J106" s="353"/>
      <c r="K106" s="353"/>
      <c r="L106" s="353"/>
      <c r="M106" s="353"/>
      <c r="N106" s="353"/>
      <c r="O106" s="353"/>
      <c r="P106" s="353"/>
      <c r="Q106" s="353"/>
      <c r="R106" s="359"/>
      <c r="S106" s="356"/>
      <c r="U106" s="353"/>
      <c r="V106" s="352"/>
      <c r="W106" s="352"/>
      <c r="X106" s="352"/>
      <c r="Y106" s="352"/>
      <c r="Z106" s="353"/>
      <c r="AA106" s="353"/>
      <c r="AB106" s="353"/>
      <c r="AC106" s="353"/>
      <c r="AD106" s="353"/>
      <c r="AE106" s="353"/>
      <c r="AF106" s="353"/>
      <c r="AG106" s="359"/>
      <c r="AH106" s="356"/>
      <c r="AJ106" s="353"/>
      <c r="AK106" s="352">
        <v>1</v>
      </c>
      <c r="AL106" s="352"/>
      <c r="AM106" s="352">
        <v>2</v>
      </c>
      <c r="AN106" s="352"/>
      <c r="AO106" s="353"/>
      <c r="AP106" s="353"/>
      <c r="AQ106" s="353"/>
      <c r="AR106" s="353"/>
      <c r="AS106" s="353"/>
      <c r="AT106" s="353"/>
      <c r="AU106" s="353"/>
      <c r="AV106" s="359"/>
      <c r="BN106" s="359"/>
      <c r="BO106" s="356"/>
      <c r="BQ106" s="353"/>
      <c r="BR106" s="352">
        <v>1</v>
      </c>
      <c r="BS106" s="352"/>
      <c r="BT106" s="352">
        <v>2</v>
      </c>
      <c r="BU106" s="352"/>
      <c r="BV106" s="353"/>
      <c r="BW106" s="353"/>
      <c r="BX106" s="353"/>
      <c r="BY106" s="353"/>
      <c r="BZ106" s="353"/>
      <c r="CA106" s="353"/>
      <c r="CB106" s="353"/>
      <c r="CC106" s="353"/>
    </row>
    <row r="107" spans="1:81">
      <c r="E107" s="352"/>
      <c r="F107" s="1382">
        <f>IF($O$4="NO",ROUNDUP(BQ107-0.00499,0),LEFT(BQ107,1)+(IF(BQ107-LEFT(BQ107,1)&lt;0.00499,0,IF(BQ107-LEFT(BQ107,1)-0.00499&lt;('1-Eng Inputs'!$C$39/'1-Eng Inputs'!$C$38),0.5,1))))</f>
        <v>3</v>
      </c>
      <c r="G107" s="353"/>
      <c r="H107" s="1382">
        <f>IF($O$4="NO",ROUNDUP(BS107-0.00499,0),LEFT(BS107,1)+(IF(BS107-LEFT(BS107,1)&lt;0.00499,0,IF(BS107-LEFT(BS107,1)-0.00499&lt;('1-Eng Inputs'!$C$39/'1-Eng Inputs'!$C$38),0.5,1))))</f>
        <v>6</v>
      </c>
      <c r="I107" s="353"/>
      <c r="J107" s="1382">
        <f>IF($O$4="NO",ROUNDUP(BU107-0.00499,0),LEFT(BU107,1)+(IF(BU107-LEFT(BU107,1)&lt;0.00499,0,IF(BU107-LEFT(BU107,1)-0.00499&lt;('1-Eng Inputs'!$C$39/'1-Eng Inputs'!$C$38),0.5,1))))</f>
        <v>3</v>
      </c>
      <c r="U107" s="1388">
        <f>IF(LEFT(F107,3)-LEFT(F107,1)=0.5,'1-Eng Inputs'!$C$39,0)+LEFT(F107,1)*'1-Eng Inputs'!$C$38</f>
        <v>96</v>
      </c>
      <c r="W107" s="1420">
        <f>IF(LEFT(H107,3)-LEFT(H107,1)=0.5,'1-Eng Inputs'!$C$39,0)+LEFT(H107,1)*'1-Eng Inputs'!$C$38</f>
        <v>192</v>
      </c>
      <c r="Y107" s="1420">
        <f>IF(LEFT(J107,3)-LEFT(J107,1)=0.5,'1-Eng Inputs'!$C$39,0)+LEFT(J107,1)*'1-Eng Inputs'!$C$38</f>
        <v>96</v>
      </c>
      <c r="AJ107" s="1388">
        <f>AJ108*factors!$B$3</f>
        <v>2.5927895805359702</v>
      </c>
      <c r="AL107" s="1388">
        <f>AL108*factors!$B$3</f>
        <v>5.1855791610719404</v>
      </c>
      <c r="AN107" s="1388">
        <f>AN108*factors!$B$3</f>
        <v>2.5927895805359702</v>
      </c>
      <c r="AX107" s="1396">
        <v>0.2857142857142857</v>
      </c>
      <c r="AZ107" s="1412">
        <v>0.2857142857142857</v>
      </c>
      <c r="BA107" s="1394">
        <v>0.2857142857142857</v>
      </c>
      <c r="BC107" s="1396">
        <v>0.2857142857142857</v>
      </c>
      <c r="BQ107" s="1388">
        <f>AJ107</f>
        <v>2.5927895805359702</v>
      </c>
      <c r="BS107" s="1388">
        <f>AL107</f>
        <v>5.1855791610719404</v>
      </c>
      <c r="BU107" s="1388">
        <f>AN107</f>
        <v>2.5927895805359702</v>
      </c>
    </row>
    <row r="108" spans="1:81" ht="12.75" hidden="1" customHeight="1">
      <c r="E108" s="352"/>
      <c r="F108" s="1383"/>
      <c r="G108" s="353"/>
      <c r="H108" s="1383"/>
      <c r="I108" s="353"/>
      <c r="J108" s="1383"/>
      <c r="K108" s="353"/>
      <c r="L108" s="353"/>
      <c r="M108" s="353"/>
      <c r="N108" s="353"/>
      <c r="O108" s="353"/>
      <c r="P108" s="353"/>
      <c r="U108" s="1389"/>
      <c r="V108" s="1379"/>
      <c r="W108" s="1403"/>
      <c r="X108" s="1379"/>
      <c r="Y108" s="1403"/>
      <c r="Z108" s="353"/>
      <c r="AA108" s="353"/>
      <c r="AB108" s="353"/>
      <c r="AC108" s="353"/>
      <c r="AD108" s="353"/>
      <c r="AE108" s="353"/>
      <c r="AJ108" s="1389">
        <f>(AK109*AX107)/'1-Eng Inputs'!$C$38</f>
        <v>1.851992557525693</v>
      </c>
      <c r="AL108" s="1389">
        <f>(AK109*AZ107+AM109*BA107)/'1-Eng Inputs'!$C$38</f>
        <v>3.7039851150513861</v>
      </c>
      <c r="AN108" s="1389">
        <f>(AM109*BC107+AO109*BD108)/'1-Eng Inputs'!$C$38</f>
        <v>1.851992557525693</v>
      </c>
      <c r="AO108" s="353"/>
      <c r="AP108" s="353"/>
      <c r="AQ108" s="353"/>
      <c r="AR108" s="353"/>
      <c r="AS108" s="353"/>
      <c r="AT108" s="353"/>
      <c r="AX108" s="1397"/>
      <c r="AZ108" s="1413"/>
      <c r="BA108" s="1395"/>
      <c r="BC108" s="1397"/>
      <c r="BQ108" s="1389">
        <f>BQ107/factors!$B$3</f>
        <v>1.851992557525693</v>
      </c>
      <c r="BR108" s="1379">
        <f>V109</f>
        <v>234.00064873149833</v>
      </c>
      <c r="BS108" s="1389">
        <f>BS107/factors!$B$3</f>
        <v>3.7039851150513861</v>
      </c>
      <c r="BT108" s="1379">
        <f>X109</f>
        <v>234.00064873149836</v>
      </c>
      <c r="BU108" s="1389">
        <f>BU107/factors!$B$3</f>
        <v>1.851992557525693</v>
      </c>
      <c r="BV108" s="353"/>
      <c r="BW108" s="353"/>
      <c r="BX108" s="353"/>
      <c r="BY108" s="353"/>
      <c r="BZ108" s="353"/>
      <c r="CA108" s="353"/>
      <c r="CB108" s="353"/>
      <c r="CC108" s="353"/>
    </row>
    <row r="109" spans="1:81" ht="24.75" customHeight="1">
      <c r="D109" s="354" t="s">
        <v>234</v>
      </c>
      <c r="E109" s="352">
        <v>1</v>
      </c>
      <c r="F109" s="382"/>
      <c r="G109" s="378" t="s">
        <v>19424</v>
      </c>
      <c r="H109" s="382"/>
      <c r="I109" s="378" t="s">
        <v>19424</v>
      </c>
      <c r="J109" s="382"/>
      <c r="S109" s="354"/>
      <c r="U109" s="382"/>
      <c r="V109" s="348">
        <f>(U107*(AK109*AX107/(AJ108*'1-Eng Inputs'!$C$38))/factors!$B$3+U110*(AK109*AX110/(AJ110*'1-Eng Inputs'!$C$38))+W107*(AK109*AZ107/(AL108*'1-Eng Inputs'!$C$38))/factors!$B$3+W110*(AK109*AZ110/(AL110*'1-Eng Inputs'!$C$38)))</f>
        <v>234.00064873149833</v>
      </c>
      <c r="W109" s="382"/>
      <c r="X109" s="348">
        <f>(W107*(AM109*BA107/(AL108*'1-Eng Inputs'!$C$38))/factors!$B$3+W110*(AM109*BA110/(AL110*'1-Eng Inputs'!$C$38))+Y107*(AM109*BC107/(AN108*'1-Eng Inputs'!$C$38))/factors!$B$3+Y110*(AM109*BC110/(AN110*'1-Eng Inputs'!$C$38)))</f>
        <v>234.00064873149836</v>
      </c>
      <c r="Y109" s="382"/>
      <c r="AH109" s="354" t="s">
        <v>234</v>
      </c>
      <c r="AI109" s="353">
        <v>1</v>
      </c>
      <c r="AJ109" s="382"/>
      <c r="AK109" s="348">
        <f>'Land Calcs 10deg (lift)'!$H$6</f>
        <v>207.42316644287763</v>
      </c>
      <c r="AL109" s="382"/>
      <c r="AM109" s="348">
        <f>'Land Calcs 10deg (lift)'!$H$6</f>
        <v>207.42316644287763</v>
      </c>
      <c r="AN109" s="382"/>
      <c r="AY109" s="381"/>
      <c r="BB109" s="381"/>
      <c r="BO109" s="354" t="s">
        <v>234</v>
      </c>
      <c r="BP109" s="353">
        <v>1</v>
      </c>
      <c r="BQ109" s="382"/>
      <c r="BR109" s="348">
        <f>AK109</f>
        <v>207.42316644287763</v>
      </c>
      <c r="BS109" s="382"/>
      <c r="BT109" s="348">
        <f>AM109</f>
        <v>207.42316644287763</v>
      </c>
      <c r="BU109" s="382"/>
    </row>
    <row r="110" spans="1:81">
      <c r="E110" s="352"/>
      <c r="F110" s="1382">
        <f>IF($O$4="NO",ROUNDUP(BQ110-0.00499,0),LEFT(BQ110,1)+(IF(BQ110-LEFT(BQ110,1)&lt;0.00499,0,IF(BQ110-LEFT(BQ110,1)-0.00499&lt;('1-Eng Inputs'!$C$39/'1-Eng Inputs'!$C$38),0.5,1))))</f>
        <v>4</v>
      </c>
      <c r="G110" s="353"/>
      <c r="H110" s="1382">
        <f>IF($O$4="NO",ROUNDUP(BS110-0.00499,0),LEFT(BS110,1)+(IF(BS110-LEFT(BS110,1)&lt;0.00499,0,IF(BS110-LEFT(BS110,1)-0.00499&lt;('1-Eng Inputs'!$C$39/'1-Eng Inputs'!$C$38),0.5,1))))</f>
        <v>4</v>
      </c>
      <c r="I110" s="353"/>
      <c r="J110" s="1382">
        <f>IF($O$4="NO",ROUNDUP(BU110-0.00499,0),LEFT(BU110,1)+(IF(BU110-LEFT(BU110,1)&lt;0.00499,0,IF(BU110-LEFT(BU110,1)-0.00499&lt;('1-Eng Inputs'!$C$39/'1-Eng Inputs'!$C$38),0.5,1))))</f>
        <v>4</v>
      </c>
      <c r="U110" s="1388">
        <f>IF(LEFT(F110,3)-LEFT(F110,1)=0.5,'1-Eng Inputs'!$C$39,0)+LEFT(F110,1)*'1-Eng Inputs'!$C$38</f>
        <v>128</v>
      </c>
      <c r="V110" s="375">
        <f>V109-BR108</f>
        <v>0</v>
      </c>
      <c r="W110" s="1402">
        <f>IF(LEFT(H110,3)-LEFT(H110,1)=0.5,'1-Eng Inputs'!$C$39,0)+LEFT(H110,1)*'1-Eng Inputs'!$C$38</f>
        <v>128</v>
      </c>
      <c r="X110" s="375">
        <f>X109-BT108</f>
        <v>0</v>
      </c>
      <c r="Y110" s="1402">
        <f>IF(LEFT(J110,3)-LEFT(J110,1)=0.5,'1-Eng Inputs'!$C$39,0)+LEFT(J110,1)*'1-Eng Inputs'!$C$38</f>
        <v>128</v>
      </c>
      <c r="AJ110" s="1388">
        <f>(AK109*AX110+AK112*AX111)/'1-Eng Inputs'!$C$38</f>
        <v>3.6711818968070844</v>
      </c>
      <c r="AK110" s="375"/>
      <c r="AL110" s="1388">
        <f>(AK109*AZ110+AM109*BA110+AK112*AZ111+AM112*BA111)/'1-Eng Inputs'!$C$38</f>
        <v>3.6711818968070844</v>
      </c>
      <c r="AM110" s="375"/>
      <c r="AN110" s="1388">
        <f>(AM109*BC110+AO109*BD110+AM112*BC111+AO112*BD111)/'1-Eng Inputs'!$C$38</f>
        <v>3.6711818968070844</v>
      </c>
      <c r="AX110" s="1468">
        <v>0.2857142857142857</v>
      </c>
      <c r="AZ110" s="1471">
        <v>0.14285714285714285</v>
      </c>
      <c r="BA110" s="1473">
        <v>0.14285714285714285</v>
      </c>
      <c r="BC110" s="1468">
        <v>0.2857142857142857</v>
      </c>
      <c r="BQ110" s="1388">
        <f>AJ110</f>
        <v>3.6711818968070844</v>
      </c>
      <c r="BR110" s="375"/>
      <c r="BS110" s="1388">
        <f>AL110</f>
        <v>3.6711818968070844</v>
      </c>
      <c r="BT110" s="1379"/>
      <c r="BU110" s="1388">
        <f>AN110</f>
        <v>3.6711818968070844</v>
      </c>
    </row>
    <row r="111" spans="1:81" ht="12.75" hidden="1" customHeight="1">
      <c r="E111" s="352"/>
      <c r="F111" s="1383"/>
      <c r="G111" s="353"/>
      <c r="H111" s="1383"/>
      <c r="I111" s="353"/>
      <c r="J111" s="1383"/>
      <c r="K111" s="1426"/>
      <c r="L111" s="1426"/>
      <c r="M111" s="1426"/>
      <c r="N111" s="1426"/>
      <c r="O111" s="1426"/>
      <c r="P111" s="1426"/>
      <c r="U111" s="1389"/>
      <c r="V111" s="1379"/>
      <c r="W111" s="1403"/>
      <c r="X111" s="1379"/>
      <c r="Y111" s="1403"/>
      <c r="Z111" s="1426"/>
      <c r="AA111" s="1426"/>
      <c r="AB111" s="1426"/>
      <c r="AC111" s="1426"/>
      <c r="AD111" s="1426"/>
      <c r="AE111" s="1426"/>
      <c r="AJ111" s="1389"/>
      <c r="AK111" s="1379"/>
      <c r="AL111" s="1389"/>
      <c r="AM111" s="1379"/>
      <c r="AN111" s="1389"/>
      <c r="AO111" s="1426"/>
      <c r="AP111" s="1426"/>
      <c r="AQ111" s="1426"/>
      <c r="AR111" s="1426"/>
      <c r="AS111" s="1426"/>
      <c r="AT111" s="1426"/>
      <c r="AW111" s="373"/>
      <c r="AX111" s="1469">
        <v>0.33333333333333331</v>
      </c>
      <c r="AZ111" s="1472">
        <v>0.16666666666666666</v>
      </c>
      <c r="BA111" s="1474">
        <v>0.16666666666666666</v>
      </c>
      <c r="BC111" s="1469">
        <v>0.33333333333333331</v>
      </c>
      <c r="BD111" s="373"/>
      <c r="BE111" s="373"/>
      <c r="BF111" s="373"/>
      <c r="BG111" s="373"/>
      <c r="BH111" s="373"/>
      <c r="BI111" s="373"/>
      <c r="BJ111" s="373"/>
      <c r="BK111" s="373"/>
      <c r="BL111" s="373"/>
      <c r="BM111" s="373"/>
      <c r="BQ111" s="1389"/>
      <c r="BR111" s="1379">
        <f>V112</f>
        <v>191.14220841135881</v>
      </c>
      <c r="BS111" s="1389"/>
      <c r="BT111" s="1379">
        <f>X112</f>
        <v>191.14220841135881</v>
      </c>
      <c r="BU111" s="1389"/>
      <c r="BV111" s="1426"/>
      <c r="BW111" s="1426"/>
      <c r="BX111" s="1426"/>
      <c r="BY111" s="1426"/>
      <c r="BZ111" s="1426"/>
      <c r="CA111" s="1426"/>
      <c r="CB111" s="1426"/>
      <c r="CC111" s="1426"/>
    </row>
    <row r="112" spans="1:81" ht="24.75" customHeight="1">
      <c r="D112" s="355"/>
      <c r="E112" s="352">
        <v>2</v>
      </c>
      <c r="F112" s="382"/>
      <c r="G112" s="378" t="s">
        <v>19424</v>
      </c>
      <c r="H112" s="382"/>
      <c r="I112" s="378" t="s">
        <v>19424</v>
      </c>
      <c r="J112" s="382"/>
      <c r="S112" s="355"/>
      <c r="U112" s="382"/>
      <c r="V112" s="348">
        <f>(U110*(AK112*AX111/(AJ110*'1-Eng Inputs'!$C$38))+U113*(AK112*AX113/(AJ113*'1-Eng Inputs'!$C$38))+W110*(AK112*AZ111/(AL110*'1-Eng Inputs'!$C$38))+W113*(AK112*AZ113/(AL113*'1-Eng Inputs'!$C$38)))</f>
        <v>191.14220841135881</v>
      </c>
      <c r="W112" s="382"/>
      <c r="X112" s="348">
        <f>(W110*(AM112*BA111/(AL110*'1-Eng Inputs'!$C$38))+W113*(AM112*BA113/(AL113*'1-Eng Inputs'!$C$38))+Y110*(AM112*BC111/(AN110*'1-Eng Inputs'!$C$38))+Y113*(AM112*BC113/(AN113*'1-Eng Inputs'!$C$38)))</f>
        <v>191.14220841135881</v>
      </c>
      <c r="Y112" s="382"/>
      <c r="AH112" s="355"/>
      <c r="AI112" s="353">
        <v>2</v>
      </c>
      <c r="AJ112" s="382"/>
      <c r="AK112" s="348">
        <f>'Land Calcs 10deg (lift)'!$J$6</f>
        <v>174.64217657101361</v>
      </c>
      <c r="AL112" s="382"/>
      <c r="AM112" s="348">
        <f>'Land Calcs 10deg (lift)'!$J$6</f>
        <v>174.64217657101361</v>
      </c>
      <c r="AN112" s="382"/>
      <c r="AY112" s="381"/>
      <c r="BB112" s="381"/>
      <c r="BO112" s="355"/>
      <c r="BP112" s="353">
        <v>2</v>
      </c>
      <c r="BQ112" s="382"/>
      <c r="BR112" s="348">
        <f>AK112</f>
        <v>174.64217657101361</v>
      </c>
      <c r="BS112" s="382"/>
      <c r="BT112" s="348">
        <f>AM112</f>
        <v>174.64217657101361</v>
      </c>
      <c r="BU112" s="382"/>
    </row>
    <row r="113" spans="4:81">
      <c r="E113" s="352"/>
      <c r="F113" s="1382">
        <f>IF($O$4="NO",ROUNDUP(BQ113-0.00499,0),LEFT(BQ113,1)+(IF(BQ113-LEFT(BQ113,1)&lt;0.00499,0,IF(BQ113-LEFT(BQ113,1)-0.00499&lt;('1-Eng Inputs'!$C$39/'1-Eng Inputs'!$C$38),0.5,1))))</f>
        <v>4</v>
      </c>
      <c r="G113" s="353"/>
      <c r="H113" s="1382">
        <f>IF($O$4="NO",ROUNDUP(BS113-0.00499,0),LEFT(BS113,1)+(IF(BS113-LEFT(BS113,1)&lt;0.00499,0,IF(BS113-LEFT(BS113,1)-0.00499&lt;('1-Eng Inputs'!$C$39/'1-Eng Inputs'!$C$38),0.5,1))))</f>
        <v>4</v>
      </c>
      <c r="I113" s="353"/>
      <c r="J113" s="1382">
        <f>IF($O$4="NO",ROUNDUP(BU113-0.00499,0),LEFT(BU113,1)+(IF(BU113-LEFT(BU113,1)&lt;0.00499,0,IF(BU113-LEFT(BU113,1)-0.00499&lt;('1-Eng Inputs'!$C$39/'1-Eng Inputs'!$C$38),0.5,1))))</f>
        <v>4</v>
      </c>
      <c r="U113" s="1388">
        <f>IF(LEFT(F113,3)-LEFT(F113,1)=0.5,'1-Eng Inputs'!$C$39,0)+LEFT(F113,1)*'1-Eng Inputs'!$C$38</f>
        <v>128</v>
      </c>
      <c r="V113" s="350">
        <f>V112-BR111</f>
        <v>0</v>
      </c>
      <c r="W113" s="1402">
        <f>IF(LEFT(H113,3)-LEFT(H113,1)=0.5,'1-Eng Inputs'!$C$39,0)+LEFT(H113,1)*'1-Eng Inputs'!$C$38</f>
        <v>128</v>
      </c>
      <c r="X113" s="350">
        <f>X112-BT111</f>
        <v>0</v>
      </c>
      <c r="Y113" s="1402">
        <f>IF(LEFT(J113,3)-LEFT(J113,1)=0.5,'1-Eng Inputs'!$C$39,0)+LEFT(J113,1)*'1-Eng Inputs'!$C$38</f>
        <v>128</v>
      </c>
      <c r="AJ113" s="1388">
        <f>(AK112*AX113+AK115*AX114)/'1-Eng Inputs'!$C$38</f>
        <v>3.6383786785627832</v>
      </c>
      <c r="AK113" s="375"/>
      <c r="AL113" s="1388">
        <f>(AK112*AZ113+AM112*BA113+AK115*AZ114+AM115*BA114)/'1-Eng Inputs'!$C$38</f>
        <v>3.6383786785627832</v>
      </c>
      <c r="AM113" s="375"/>
      <c r="AN113" s="1388">
        <f>(AM112*BC113+AO112*BD113+AM115*BC114+AO115*BD114)/'1-Eng Inputs'!$C$38</f>
        <v>3.6383786785627832</v>
      </c>
      <c r="AX113" s="1468">
        <v>0.33333333333333331</v>
      </c>
      <c r="AZ113" s="1471">
        <v>0.16666666666666666</v>
      </c>
      <c r="BA113" s="1473">
        <v>0.16666666666666666</v>
      </c>
      <c r="BC113" s="1468">
        <v>0.33333333333333331</v>
      </c>
      <c r="BQ113" s="1388">
        <f>AJ113</f>
        <v>3.6383786785627832</v>
      </c>
      <c r="BR113" s="375"/>
      <c r="BS113" s="1388">
        <f>AL113</f>
        <v>3.6383786785627832</v>
      </c>
      <c r="BT113" s="375"/>
      <c r="BU113" s="1388">
        <f>AN113</f>
        <v>3.6383786785627832</v>
      </c>
    </row>
    <row r="114" spans="4:81" ht="12.75" hidden="1" customHeight="1">
      <c r="E114" s="352"/>
      <c r="F114" s="1383"/>
      <c r="G114" s="353"/>
      <c r="H114" s="1383"/>
      <c r="I114" s="353"/>
      <c r="J114" s="1383"/>
      <c r="K114" s="1426"/>
      <c r="L114" s="1426"/>
      <c r="M114" s="1426"/>
      <c r="N114" s="1426"/>
      <c r="O114" s="1426"/>
      <c r="P114" s="1426"/>
      <c r="U114" s="1389"/>
      <c r="V114" s="1379"/>
      <c r="W114" s="1403"/>
      <c r="X114" s="1379"/>
      <c r="Y114" s="1403"/>
      <c r="Z114" s="1426"/>
      <c r="AA114" s="1426"/>
      <c r="AB114" s="1426"/>
      <c r="AC114" s="1426"/>
      <c r="AD114" s="1426"/>
      <c r="AE114" s="1426"/>
      <c r="AJ114" s="1389"/>
      <c r="AK114" s="1379"/>
      <c r="AL114" s="1389"/>
      <c r="AM114" s="1379"/>
      <c r="AN114" s="1389"/>
      <c r="AO114" s="1426"/>
      <c r="AP114" s="1426"/>
      <c r="AQ114" s="1426"/>
      <c r="AR114" s="1426"/>
      <c r="AS114" s="1426"/>
      <c r="AT114" s="1426"/>
      <c r="AW114" s="373"/>
      <c r="AX114" s="1469">
        <v>0.33333333333333331</v>
      </c>
      <c r="AZ114" s="1472">
        <v>0.16666666666666666</v>
      </c>
      <c r="BA114" s="1474">
        <v>0.16666666666666666</v>
      </c>
      <c r="BC114" s="1469">
        <v>0.33333333333333331</v>
      </c>
      <c r="BD114" s="373"/>
      <c r="BE114" s="373"/>
      <c r="BF114" s="373"/>
      <c r="BG114" s="373"/>
      <c r="BH114" s="373"/>
      <c r="BI114" s="373"/>
      <c r="BJ114" s="373"/>
      <c r="BK114" s="373"/>
      <c r="BL114" s="373"/>
      <c r="BM114" s="373"/>
      <c r="BQ114" s="1389"/>
      <c r="BR114" s="1379">
        <f>V115</f>
        <v>204.75905038824035</v>
      </c>
      <c r="BS114" s="1389"/>
      <c r="BT114" s="1379">
        <f>X115</f>
        <v>204.75905038824033</v>
      </c>
      <c r="BU114" s="1389"/>
      <c r="BV114" s="1426"/>
      <c r="BW114" s="1426"/>
      <c r="BX114" s="1426"/>
      <c r="BY114" s="1426"/>
      <c r="BZ114" s="1426"/>
      <c r="CA114" s="1426"/>
      <c r="CB114" s="1426"/>
      <c r="CC114" s="1426"/>
    </row>
    <row r="115" spans="4:81" ht="24.75" customHeight="1">
      <c r="D115" s="355"/>
      <c r="E115" s="352">
        <v>3</v>
      </c>
      <c r="F115" s="382"/>
      <c r="G115" s="378" t="s">
        <v>19424</v>
      </c>
      <c r="H115" s="382"/>
      <c r="I115" s="378" t="s">
        <v>19424</v>
      </c>
      <c r="J115" s="382"/>
      <c r="S115" s="355"/>
      <c r="U115" s="382"/>
      <c r="V115" s="348">
        <f>(U113*(AK115*AX114/(AJ113*'1-Eng Inputs'!$C$38))+U116*(AK115*AX116/(AJ116*'1-Eng Inputs'!$C$38))+W113*(AK115*AZ114/(AL113*'1-Eng Inputs'!$C$38))+W116*(AK115*AZ116/(AL116*'1-Eng Inputs'!$C$38)))</f>
        <v>204.75905038824035</v>
      </c>
      <c r="W115" s="382"/>
      <c r="X115" s="348">
        <f>(W113*(AM115*BA114/(AL113*'1-Eng Inputs'!$C$38))+W116*(AM115*BA116/(AL116*'1-Eng Inputs'!$C$38))+Y113*(AM115*BC114/(AN113*'1-Eng Inputs'!$C$38))+Y116*(AM115*BC116/(AN116*'1-Eng Inputs'!$C$38)))</f>
        <v>204.75905038824033</v>
      </c>
      <c r="Y115" s="382"/>
      <c r="AH115" s="355"/>
      <c r="AI115" s="353">
        <v>3</v>
      </c>
      <c r="AJ115" s="382"/>
      <c r="AK115" s="348">
        <f>'Land Calcs 10deg (lift)'!$J$6</f>
        <v>174.64217657101361</v>
      </c>
      <c r="AL115" s="382"/>
      <c r="AM115" s="348">
        <f>'Land Calcs 10deg (lift)'!$J$6</f>
        <v>174.64217657101361</v>
      </c>
      <c r="AN115" s="382"/>
      <c r="AY115" s="381"/>
      <c r="BB115" s="381"/>
      <c r="BO115" s="355"/>
      <c r="BP115" s="353">
        <v>3</v>
      </c>
      <c r="BQ115" s="382"/>
      <c r="BR115" s="348">
        <f>AK115</f>
        <v>174.64217657101361</v>
      </c>
      <c r="BS115" s="382"/>
      <c r="BT115" s="348">
        <f>AM115</f>
        <v>174.64217657101361</v>
      </c>
      <c r="BU115" s="382"/>
    </row>
    <row r="116" spans="4:81">
      <c r="D116" s="355"/>
      <c r="E116" s="352"/>
      <c r="F116" s="1382">
        <f>IF($O$4="NO",ROUNDUP(BQ116-0.00499,0),LEFT(BQ116,1)+(IF(BQ116-LEFT(BQ116,1)&lt;0.00499,0,IF(BQ116-LEFT(BQ116,1)-0.00499&lt;('1-Eng Inputs'!$C$39/'1-Eng Inputs'!$C$38),0.5,1))))</f>
        <v>4</v>
      </c>
      <c r="G116" s="353"/>
      <c r="H116" s="1382">
        <f>IF($O$4="NO",ROUNDUP(BS116-0.00499,0),LEFT(BS116,1)+(IF(BS116-LEFT(BS116,1)&lt;0.00499,0,IF(BS116-LEFT(BS116,1)-0.00499&lt;('1-Eng Inputs'!$C$39/'1-Eng Inputs'!$C$38),0.5,1))))</f>
        <v>4</v>
      </c>
      <c r="I116" s="353"/>
      <c r="J116" s="1382">
        <f>IF($O$4="NO",ROUNDUP(BU116-0.00499,0),LEFT(BU116,1)+(IF(BU116-LEFT(BU116,1)&lt;0.00499,0,IF(BU116-LEFT(BU116,1)-0.00499&lt;('1-Eng Inputs'!$C$39/'1-Eng Inputs'!$C$38),0.5,1))))</f>
        <v>4</v>
      </c>
      <c r="S116" s="355"/>
      <c r="U116" s="1388">
        <f>IF(LEFT(F116,3)-LEFT(F116,1)=0.5,'1-Eng Inputs'!$C$39,0)+LEFT(F116,1)*'1-Eng Inputs'!$C$38</f>
        <v>128</v>
      </c>
      <c r="V116" s="350">
        <f>V115-BR114</f>
        <v>0</v>
      </c>
      <c r="W116" s="1402">
        <f>IF(LEFT(H116,3)-LEFT(H116,1)=0.5,'1-Eng Inputs'!$C$39,0)+LEFT(H116,1)*'1-Eng Inputs'!$C$38</f>
        <v>128</v>
      </c>
      <c r="X116" s="350">
        <f>X115-BT114</f>
        <v>0</v>
      </c>
      <c r="Y116" s="1402">
        <f>IF(LEFT(J116,3)-LEFT(J116,1)=0.5,'1-Eng Inputs'!$C$39,0)+LEFT(J116,1)*'1-Eng Inputs'!$C$38</f>
        <v>128</v>
      </c>
      <c r="AH116" s="355"/>
      <c r="AJ116" s="1388">
        <f>(AK115*AX116+AK118*AX117)/'1-Eng Inputs'!$C$38</f>
        <v>3.211542872939555</v>
      </c>
      <c r="AK116" s="375"/>
      <c r="AL116" s="1388">
        <f>(AK115*AZ116+AM115*BA116+AK118*AZ117+AM118*BA117)/'1-Eng Inputs'!$C$38</f>
        <v>3.211542872939555</v>
      </c>
      <c r="AM116" s="375"/>
      <c r="AN116" s="1388">
        <f>(AM115*BC116+AO115*BD116+AM118*BC117+AO118*BD117)/'1-Eng Inputs'!$C$38</f>
        <v>3.211542872939555</v>
      </c>
      <c r="AX116" s="1468">
        <v>0.33333333333333331</v>
      </c>
      <c r="AZ116" s="1471">
        <v>0.16666666666666666</v>
      </c>
      <c r="BA116" s="1473">
        <v>0.16666666666666666</v>
      </c>
      <c r="BC116" s="1468">
        <v>0.33333333333333331</v>
      </c>
      <c r="BO116" s="355"/>
      <c r="BQ116" s="1388">
        <f>AJ116</f>
        <v>3.211542872939555</v>
      </c>
      <c r="BR116" s="1379"/>
      <c r="BS116" s="1388">
        <f>AL116</f>
        <v>3.211542872939555</v>
      </c>
      <c r="BT116" s="375"/>
      <c r="BU116" s="1388">
        <f>AN116</f>
        <v>3.211542872939555</v>
      </c>
    </row>
    <row r="117" spans="4:81" ht="12.75" hidden="1" customHeight="1">
      <c r="D117" s="355"/>
      <c r="E117" s="352"/>
      <c r="F117" s="1383"/>
      <c r="G117" s="353"/>
      <c r="H117" s="1383"/>
      <c r="I117" s="353"/>
      <c r="J117" s="1383"/>
      <c r="K117" s="1426"/>
      <c r="L117" s="1426"/>
      <c r="M117" s="1426"/>
      <c r="N117" s="1426"/>
      <c r="O117" s="1426"/>
      <c r="P117" s="1426"/>
      <c r="S117" s="355"/>
      <c r="U117" s="1389"/>
      <c r="V117" s="1379"/>
      <c r="W117" s="1403"/>
      <c r="X117" s="1379"/>
      <c r="Y117" s="1403"/>
      <c r="Z117" s="1426"/>
      <c r="AA117" s="1426"/>
      <c r="AB117" s="1426"/>
      <c r="AC117" s="1426"/>
      <c r="AD117" s="1426"/>
      <c r="AE117" s="1426"/>
      <c r="AH117" s="355"/>
      <c r="AJ117" s="1389"/>
      <c r="AK117" s="1379"/>
      <c r="AL117" s="1389"/>
      <c r="AM117" s="1379"/>
      <c r="AN117" s="1389"/>
      <c r="AO117" s="1426"/>
      <c r="AP117" s="1426"/>
      <c r="AQ117" s="1426"/>
      <c r="AR117" s="1426"/>
      <c r="AS117" s="1426"/>
      <c r="AT117" s="1426"/>
      <c r="AW117" s="373"/>
      <c r="AX117" s="1469">
        <v>0.33333333333333331</v>
      </c>
      <c r="AZ117" s="1472">
        <v>0.16666666666666666</v>
      </c>
      <c r="BA117" s="1474">
        <v>0.16666666666666666</v>
      </c>
      <c r="BC117" s="1469">
        <v>0.33333333333333331</v>
      </c>
      <c r="BD117" s="373"/>
      <c r="BE117" s="373"/>
      <c r="BF117" s="373"/>
      <c r="BG117" s="373"/>
      <c r="BH117" s="373"/>
      <c r="BI117" s="373"/>
      <c r="BJ117" s="373"/>
      <c r="BK117" s="373"/>
      <c r="BL117" s="373"/>
      <c r="BM117" s="373"/>
      <c r="BO117" s="355"/>
      <c r="BQ117" s="1389"/>
      <c r="BR117" s="1379">
        <f>V118</f>
        <v>155.24094961175967</v>
      </c>
      <c r="BS117" s="1389"/>
      <c r="BT117" s="1379">
        <f>X118</f>
        <v>155.24094961175967</v>
      </c>
      <c r="BU117" s="1389"/>
      <c r="BV117" s="1426"/>
      <c r="BW117" s="1426"/>
      <c r="BX117" s="1426"/>
      <c r="BY117" s="1426"/>
      <c r="BZ117" s="1426"/>
      <c r="CA117" s="1426"/>
      <c r="CB117" s="1426"/>
      <c r="CC117" s="1426"/>
    </row>
    <row r="118" spans="4:81" ht="24.75" customHeight="1">
      <c r="D118" s="355"/>
      <c r="E118" s="352">
        <v>4</v>
      </c>
      <c r="F118" s="382"/>
      <c r="G118" s="378" t="s">
        <v>19426</v>
      </c>
      <c r="H118" s="382"/>
      <c r="I118" s="378" t="s">
        <v>19426</v>
      </c>
      <c r="J118" s="382"/>
      <c r="S118" s="355"/>
      <c r="U118" s="382"/>
      <c r="V118" s="348">
        <f>(U116*(AK118*AX117/(AJ116*'1-Eng Inputs'!$C$38))+U119*(AK118*AX119/(AJ119*'1-Eng Inputs'!$C$38))+W116*(AK118*AZ117/(AL116*'1-Eng Inputs'!$C$38))+W119*(AK118*AZ119/(AL119*'1-Eng Inputs'!$C$38)))</f>
        <v>155.24094961175967</v>
      </c>
      <c r="W118" s="382"/>
      <c r="X118" s="348">
        <f>(W116*(AM118*BA117/(AL116*'1-Eng Inputs'!$C$38))+W119*(AM118*BA119/(AL119*'1-Eng Inputs'!$C$38))+Y116*(AM118*BC117/(AN116*'1-Eng Inputs'!$C$38))+Y119*(AM118*BC119/(AN119*'1-Eng Inputs'!$C$38)))</f>
        <v>155.24094961175967</v>
      </c>
      <c r="Y118" s="382"/>
      <c r="AH118" s="355"/>
      <c r="AI118" s="353">
        <v>4</v>
      </c>
      <c r="AJ118" s="382"/>
      <c r="AK118" s="348">
        <f>'Land Calcs 10deg (lift)'!$J$16</f>
        <v>133.6659392311837</v>
      </c>
      <c r="AL118" s="382"/>
      <c r="AM118" s="348">
        <f>'Land Calcs 10deg (lift)'!$J$16</f>
        <v>133.6659392311837</v>
      </c>
      <c r="AN118" s="382"/>
      <c r="AY118" s="381"/>
      <c r="BB118" s="381"/>
      <c r="BO118" s="355"/>
      <c r="BP118" s="353">
        <v>4</v>
      </c>
      <c r="BQ118" s="382"/>
      <c r="BR118" s="348">
        <f>AK118</f>
        <v>133.6659392311837</v>
      </c>
      <c r="BS118" s="382"/>
      <c r="BT118" s="348">
        <f>AM118</f>
        <v>133.6659392311837</v>
      </c>
      <c r="BU118" s="382"/>
    </row>
    <row r="119" spans="4:81">
      <c r="D119" s="355"/>
      <c r="E119" s="352"/>
      <c r="F119" s="1382">
        <f>IF($O$4="NO",ROUNDUP(BQ119-0.00499,0),LEFT(BQ119,1)+(IF(BQ119-LEFT(BQ119,1)&lt;0.00499,0,IF(BQ119-LEFT(BQ119,1)-0.00499&lt;('1-Eng Inputs'!$C$39/'1-Eng Inputs'!$C$38),0.5,1))))</f>
        <v>3</v>
      </c>
      <c r="G119" s="353"/>
      <c r="H119" s="1382">
        <f>IF($O$4="NO",ROUNDUP(BS119-0.00499,0),LEFT(BS119,1)+(IF(BS119-LEFT(BS119,1)&lt;0.00499,0,IF(BS119-LEFT(BS119,1)-0.00499&lt;('1-Eng Inputs'!$C$39/'1-Eng Inputs'!$C$38),0.5,1))))</f>
        <v>3</v>
      </c>
      <c r="I119" s="353"/>
      <c r="J119" s="1382">
        <f>IF($O$4="NO",ROUNDUP(BU119-0.00499,0),LEFT(BU119,1)+(IF(BU119-LEFT(BU119,1)&lt;0.00499,0,IF(BU119-LEFT(BU119,1)-0.00499&lt;('1-Eng Inputs'!$C$39/'1-Eng Inputs'!$C$38),0.5,1))))</f>
        <v>3</v>
      </c>
      <c r="S119" s="355"/>
      <c r="U119" s="1392">
        <f>IF(LEFT(F119,3)-LEFT(F119,1)=0.5,'1-Eng Inputs'!$C$39,0)+LEFT(F119,1)*'1-Eng Inputs'!$C$38</f>
        <v>96</v>
      </c>
      <c r="V119" s="350">
        <f>V118-BR117</f>
        <v>0</v>
      </c>
      <c r="W119" s="1410">
        <f>IF(LEFT(H119,3)-LEFT(H119,1)=0.5,'1-Eng Inputs'!$C$39,0)+LEFT(H119,1)*'1-Eng Inputs'!$C$38</f>
        <v>96</v>
      </c>
      <c r="X119" s="350">
        <f>X118-BT117</f>
        <v>0</v>
      </c>
      <c r="Y119" s="1410">
        <f>IF(LEFT(J119,3)-LEFT(J119,1)=0.5,'1-Eng Inputs'!$C$39,0)+LEFT(J119,1)*'1-Eng Inputs'!$C$38</f>
        <v>96</v>
      </c>
      <c r="AD119" s="353"/>
      <c r="AE119" s="353"/>
      <c r="AH119" s="355"/>
      <c r="AJ119" s="1392">
        <f>(AK118*AX119+AK121*AX120)/'1-Eng Inputs'!$C$38</f>
        <v>2.7847070673163268</v>
      </c>
      <c r="AK119" s="375"/>
      <c r="AL119" s="1392">
        <f>(AK118*AZ119+AM118*BA119+AK121*AZ120+AM121*BA120)/'1-Eng Inputs'!$C$38</f>
        <v>2.7847070673163268</v>
      </c>
      <c r="AM119" s="375"/>
      <c r="AN119" s="1392">
        <f>(AM118*BC119+AO118*BD119+AM121*BC120+AO121*BD120)/'1-Eng Inputs'!$C$38</f>
        <v>2.7847070673163268</v>
      </c>
      <c r="AS119" s="353"/>
      <c r="AT119" s="353"/>
      <c r="AX119" s="1468">
        <v>0.33333333333333331</v>
      </c>
      <c r="AZ119" s="1471">
        <v>0.16666666666666666</v>
      </c>
      <c r="BA119" s="1473">
        <v>0.16666666666666666</v>
      </c>
      <c r="BC119" s="1468">
        <v>0.33333333333333331</v>
      </c>
      <c r="BO119" s="355"/>
      <c r="BQ119" s="1392">
        <f>AJ119</f>
        <v>2.7847070673163268</v>
      </c>
      <c r="BR119" s="375"/>
      <c r="BS119" s="1392">
        <f>AL119</f>
        <v>2.7847070673163268</v>
      </c>
      <c r="BT119" s="375"/>
      <c r="BU119" s="1392">
        <f>AN119</f>
        <v>2.7847070673163268</v>
      </c>
      <c r="BZ119" s="353"/>
      <c r="CA119" s="353"/>
      <c r="CB119" s="353"/>
    </row>
    <row r="120" spans="4:81" ht="12.75" hidden="1" customHeight="1">
      <c r="D120" s="355"/>
      <c r="E120" s="352"/>
      <c r="F120" s="1383"/>
      <c r="G120" s="353"/>
      <c r="H120" s="1383"/>
      <c r="I120" s="353"/>
      <c r="J120" s="1383"/>
      <c r="K120" s="1426"/>
      <c r="L120" s="1426"/>
      <c r="M120" s="1426"/>
      <c r="N120" s="1426"/>
      <c r="O120" s="1426"/>
      <c r="P120" s="1426"/>
      <c r="S120" s="355"/>
      <c r="U120" s="1393"/>
      <c r="V120" s="1379"/>
      <c r="W120" s="1411"/>
      <c r="X120" s="1379"/>
      <c r="Y120" s="1411"/>
      <c r="Z120" s="1426"/>
      <c r="AA120" s="1426"/>
      <c r="AB120" s="1426"/>
      <c r="AC120" s="1426"/>
      <c r="AH120" s="355"/>
      <c r="AJ120" s="1393"/>
      <c r="AK120" s="1379"/>
      <c r="AL120" s="1393"/>
      <c r="AM120" s="1379"/>
      <c r="AN120" s="1393"/>
      <c r="AO120" s="1426"/>
      <c r="AP120" s="1426"/>
      <c r="AQ120" s="1426"/>
      <c r="AR120" s="1426"/>
      <c r="AW120" s="373"/>
      <c r="AX120" s="1469">
        <v>0.33333333333333331</v>
      </c>
      <c r="AZ120" s="1472">
        <v>0.16666666666666666</v>
      </c>
      <c r="BA120" s="1474">
        <v>0.16666666666666666</v>
      </c>
      <c r="BC120" s="1469">
        <v>0.33333333333333331</v>
      </c>
      <c r="BD120" s="373"/>
      <c r="BE120" s="373"/>
      <c r="BF120" s="373"/>
      <c r="BG120" s="373"/>
      <c r="BH120" s="373"/>
      <c r="BI120" s="373"/>
      <c r="BJ120" s="373"/>
      <c r="BK120" s="373"/>
      <c r="BL120" s="373"/>
      <c r="BM120" s="373"/>
      <c r="BO120" s="355"/>
      <c r="BQ120" s="1393"/>
      <c r="BR120" s="1379">
        <f>V121</f>
        <v>144</v>
      </c>
      <c r="BS120" s="1393"/>
      <c r="BT120" s="1379">
        <f>X121</f>
        <v>144</v>
      </c>
      <c r="BU120" s="1393"/>
      <c r="BV120" s="1426"/>
      <c r="BW120" s="1426"/>
      <c r="BX120" s="1426"/>
      <c r="BY120" s="1426"/>
      <c r="CC120" s="1426"/>
    </row>
    <row r="121" spans="4:81" ht="24.75" customHeight="1">
      <c r="D121" s="355"/>
      <c r="E121" s="352">
        <v>5</v>
      </c>
      <c r="F121" s="382"/>
      <c r="G121" s="378" t="s">
        <v>19426</v>
      </c>
      <c r="H121" s="382"/>
      <c r="I121" s="378" t="s">
        <v>19426</v>
      </c>
      <c r="J121" s="382"/>
      <c r="S121" s="355"/>
      <c r="U121" s="382"/>
      <c r="V121" s="348">
        <f>(U119*(AK121*AX120/(AJ119*'1-Eng Inputs'!$C$38))+U122*(AK121*AX122/(AJ122*'1-Eng Inputs'!$C$38))+W119*(AK121*AZ120/(AL119*'1-Eng Inputs'!$C$38))+W122*(AK121*AZ122/(AL122*'1-Eng Inputs'!$C$38)))</f>
        <v>144</v>
      </c>
      <c r="W121" s="382"/>
      <c r="X121" s="348">
        <f>(W119*(AM121*BA120/(AL119*'1-Eng Inputs'!$C$38))+W122*(AM121*BA122/(AL122*'1-Eng Inputs'!$C$38))+Y119*(AM121*BC120/(AN119*'1-Eng Inputs'!$C$38))+Y122*(AM121*BC122/(AN122*'1-Eng Inputs'!$C$38)))</f>
        <v>144</v>
      </c>
      <c r="Y121" s="382"/>
      <c r="AH121" s="355"/>
      <c r="AI121" s="353">
        <v>5</v>
      </c>
      <c r="AJ121" s="382"/>
      <c r="AK121" s="348">
        <f>AK118</f>
        <v>133.6659392311837</v>
      </c>
      <c r="AL121" s="382"/>
      <c r="AM121" s="348">
        <f>AM118</f>
        <v>133.6659392311837</v>
      </c>
      <c r="AN121" s="382"/>
      <c r="AY121" s="381"/>
      <c r="BB121" s="381"/>
      <c r="BO121" s="355"/>
      <c r="BP121" s="353">
        <v>5</v>
      </c>
      <c r="BQ121" s="382"/>
      <c r="BR121" s="348">
        <f>AK121</f>
        <v>133.6659392311837</v>
      </c>
      <c r="BS121" s="382"/>
      <c r="BT121" s="348">
        <f>AM121</f>
        <v>133.6659392311837</v>
      </c>
      <c r="BU121" s="382"/>
    </row>
    <row r="122" spans="4:81">
      <c r="D122" s="355"/>
      <c r="E122" s="352"/>
      <c r="F122" s="1382">
        <f>IF($O$4="NO",ROUNDUP(BQ122-0.00499,0),LEFT(BQ122,1)+(IF(BQ122-LEFT(BQ122,1)&lt;0.00499,0,IF(BQ122-LEFT(BQ122,1)-0.00499&lt;('1-Eng Inputs'!$C$39/'1-Eng Inputs'!$C$38),0.5,1))))</f>
        <v>3</v>
      </c>
      <c r="G122" s="353"/>
      <c r="H122" s="1382">
        <f>IF($O$4="NO",ROUNDUP(BS122-0.00499,0),LEFT(BS122,1)+(IF(BS122-LEFT(BS122,1)&lt;0.00499,0,IF(BS122-LEFT(BS122,1)-0.00499&lt;('1-Eng Inputs'!$C$39/'1-Eng Inputs'!$C$38),0.5,1))))</f>
        <v>3</v>
      </c>
      <c r="I122" s="353"/>
      <c r="J122" s="1382">
        <f>IF($O$4="NO",ROUNDUP(BU122-0.00499,0),LEFT(BU122,1)+(IF(BU122-LEFT(BU122,1)&lt;0.00499,0,IF(BU122-LEFT(BU122,1)-0.00499&lt;('1-Eng Inputs'!$C$39/'1-Eng Inputs'!$C$38),0.5,1))))</f>
        <v>3</v>
      </c>
      <c r="S122" s="355"/>
      <c r="U122" s="1390">
        <f>IF(LEFT(F122,3)-LEFT(F122,1)=0.5,'1-Eng Inputs'!$C$39,0)+LEFT(F122,1)*'1-Eng Inputs'!$C$38</f>
        <v>96</v>
      </c>
      <c r="V122" s="350">
        <f>V121-BR120</f>
        <v>0</v>
      </c>
      <c r="W122" s="1416">
        <f>IF(LEFT(H122,3)-LEFT(H122,1)=0.5,'1-Eng Inputs'!$C$39,0)+LEFT(H122,1)*'1-Eng Inputs'!$C$38</f>
        <v>96</v>
      </c>
      <c r="X122" s="350">
        <f>X121-BT120</f>
        <v>0</v>
      </c>
      <c r="Y122" s="1416">
        <f>IF(LEFT(J122,3)-LEFT(J122,1)=0.5,'1-Eng Inputs'!$C$39,0)+LEFT(J122,1)*'1-Eng Inputs'!$C$38</f>
        <v>96</v>
      </c>
      <c r="AD122" s="1426"/>
      <c r="AE122" s="1426"/>
      <c r="AH122" s="355"/>
      <c r="AJ122" s="1390">
        <f>(AK121*AX122+AK124*AX123)/'1-Eng Inputs'!$C$38</f>
        <v>2.7847070673163268</v>
      </c>
      <c r="AK122" s="375"/>
      <c r="AL122" s="1390">
        <f>(AK121*AZ122+AM121*BA122+AK124*AZ123+AM124*BA123)/'1-Eng Inputs'!$C$38</f>
        <v>2.7847070673163268</v>
      </c>
      <c r="AM122" s="375"/>
      <c r="AN122" s="1390">
        <f>(AM121*BC122+AO121*BD122+AM124*BC123+AO124*BD123)/'1-Eng Inputs'!$C$38</f>
        <v>2.7847070673163268</v>
      </c>
      <c r="AS122" s="1426"/>
      <c r="AT122" s="1426"/>
      <c r="AX122" s="1468">
        <v>0.33333333333333331</v>
      </c>
      <c r="AZ122" s="1471">
        <v>0.16666666666666666</v>
      </c>
      <c r="BA122" s="1473">
        <v>0.16666666666666666</v>
      </c>
      <c r="BC122" s="1468">
        <v>0.33333333333333331</v>
      </c>
      <c r="BO122" s="355"/>
      <c r="BQ122" s="1390">
        <f>AJ122</f>
        <v>2.7847070673163268</v>
      </c>
      <c r="BR122" s="375"/>
      <c r="BS122" s="1390">
        <f>AL122</f>
        <v>2.7847070673163268</v>
      </c>
      <c r="BT122" s="375"/>
      <c r="BU122" s="1390">
        <f>AN122</f>
        <v>2.7847070673163268</v>
      </c>
      <c r="BZ122" s="1426"/>
      <c r="CA122" s="1426"/>
      <c r="CB122" s="1426"/>
    </row>
    <row r="123" spans="4:81" ht="12.75" hidden="1" customHeight="1">
      <c r="D123" s="355"/>
      <c r="E123" s="352"/>
      <c r="F123" s="1383"/>
      <c r="G123" s="353"/>
      <c r="H123" s="1383"/>
      <c r="I123" s="353"/>
      <c r="J123" s="1383"/>
      <c r="K123" s="1426"/>
      <c r="L123" s="1426"/>
      <c r="M123" s="1426"/>
      <c r="N123" s="1426"/>
      <c r="O123" s="1426"/>
      <c r="P123" s="1426"/>
      <c r="S123" s="355"/>
      <c r="U123" s="1391"/>
      <c r="V123" s="1379"/>
      <c r="W123" s="1417"/>
      <c r="X123" s="1379"/>
      <c r="Y123" s="1417"/>
      <c r="Z123" s="1426"/>
      <c r="AA123" s="1426"/>
      <c r="AB123" s="1426"/>
      <c r="AC123" s="1426"/>
      <c r="AH123" s="355"/>
      <c r="AJ123" s="1391"/>
      <c r="AK123" s="1379"/>
      <c r="AL123" s="1391"/>
      <c r="AM123" s="1379"/>
      <c r="AN123" s="1391"/>
      <c r="AO123" s="1426"/>
      <c r="AP123" s="1426"/>
      <c r="AQ123" s="1426"/>
      <c r="AR123" s="1426"/>
      <c r="AW123" s="373"/>
      <c r="AX123" s="1469">
        <v>0.33333333333333331</v>
      </c>
      <c r="AZ123" s="1472">
        <v>0.16666666666666666</v>
      </c>
      <c r="BA123" s="1474">
        <v>0.16666666666666666</v>
      </c>
      <c r="BC123" s="1469">
        <v>0.33333333333333331</v>
      </c>
      <c r="BD123" s="373"/>
      <c r="BE123" s="373"/>
      <c r="BF123" s="373"/>
      <c r="BG123" s="373"/>
      <c r="BH123" s="373"/>
      <c r="BI123" s="373"/>
      <c r="BJ123" s="373"/>
      <c r="BK123" s="373"/>
      <c r="BL123" s="373"/>
      <c r="BM123" s="373"/>
      <c r="BO123" s="355"/>
      <c r="BQ123" s="1391"/>
      <c r="BR123" s="1379">
        <f>V124</f>
        <v>144</v>
      </c>
      <c r="BS123" s="1391"/>
      <c r="BT123" s="1379">
        <f>X124</f>
        <v>144</v>
      </c>
      <c r="BU123" s="1391"/>
      <c r="BV123" s="1426"/>
      <c r="BW123" s="1426"/>
      <c r="BX123" s="1426"/>
      <c r="BY123" s="1426"/>
      <c r="CC123" s="1426"/>
    </row>
    <row r="124" spans="4:81" ht="24.75" customHeight="1">
      <c r="D124" s="355"/>
      <c r="E124" s="352">
        <v>6</v>
      </c>
      <c r="F124" s="382"/>
      <c r="G124" s="378" t="s">
        <v>19427</v>
      </c>
      <c r="H124" s="382"/>
      <c r="I124" s="378" t="s">
        <v>19427</v>
      </c>
      <c r="J124" s="382"/>
      <c r="S124" s="355"/>
      <c r="U124" s="382"/>
      <c r="V124" s="348">
        <f>(U122*(AK124*AX123/(AJ122*'1-Eng Inputs'!$C$38))+U125*(AK124*AX125/(AJ125*'1-Eng Inputs'!$C$38))+W122*(AK124*AZ123/(AL122*'1-Eng Inputs'!$C$38))+W125*(AK124*AZ125/(AL125*'1-Eng Inputs'!$C$38)))</f>
        <v>144</v>
      </c>
      <c r="W124" s="382"/>
      <c r="X124" s="348">
        <f>(W122*(AM124*BA123/(AL122*'1-Eng Inputs'!$C$38))+W125*(AM124*BA125/(AL125*'1-Eng Inputs'!$C$38))+Y122*(AM124*BC123/(AN122*'1-Eng Inputs'!$C$38))+Y125*(AM124*BC125/(AN125*'1-Eng Inputs'!$C$38)))</f>
        <v>144</v>
      </c>
      <c r="Y124" s="382"/>
      <c r="AH124" s="355"/>
      <c r="AI124" s="353">
        <v>6</v>
      </c>
      <c r="AJ124" s="382"/>
      <c r="AK124" s="348">
        <f>'Land Calcs 10deg (lift)'!$J$26</f>
        <v>133.6659392311837</v>
      </c>
      <c r="AL124" s="382"/>
      <c r="AM124" s="348">
        <f>'Land Calcs 10deg (lift)'!$J$26</f>
        <v>133.6659392311837</v>
      </c>
      <c r="AN124" s="382"/>
      <c r="AY124" s="381"/>
      <c r="BB124" s="381"/>
      <c r="BO124" s="355"/>
      <c r="BP124" s="353">
        <v>6</v>
      </c>
      <c r="BQ124" s="382"/>
      <c r="BR124" s="348">
        <f>AK124</f>
        <v>133.6659392311837</v>
      </c>
      <c r="BS124" s="382"/>
      <c r="BT124" s="348">
        <f>AM124</f>
        <v>133.6659392311837</v>
      </c>
      <c r="BU124" s="382"/>
    </row>
    <row r="125" spans="4:81">
      <c r="D125" s="355"/>
      <c r="E125" s="352"/>
      <c r="F125" s="1382">
        <f>IF($O$4="NO",ROUNDUP(BQ125-0.00499,0),LEFT(BQ125,1)+(IF(BQ125-LEFT(BQ125,1)&lt;0.00499,0,IF(BQ125-LEFT(BQ125,1)-0.00499&lt;('1-Eng Inputs'!$C$39/'1-Eng Inputs'!$C$38),0.5,1))))</f>
        <v>3</v>
      </c>
      <c r="G125" s="353"/>
      <c r="H125" s="1382">
        <f>IF($O$4="NO",ROUNDUP(BS125-0.00499,0),LEFT(BS125,1)+(IF(BS125-LEFT(BS125,1)&lt;0.00499,0,IF(BS125-LEFT(BS125,1)-0.00499&lt;('1-Eng Inputs'!$C$39/'1-Eng Inputs'!$C$38),0.5,1))))</f>
        <v>3</v>
      </c>
      <c r="I125" s="353"/>
      <c r="J125" s="1382">
        <f>IF($O$4="NO",ROUNDUP(BU125-0.00499,0),LEFT(BU125,1)+(IF(BU125-LEFT(BU125,1)&lt;0.00499,0,IF(BU125-LEFT(BU125,1)-0.00499&lt;('1-Eng Inputs'!$C$39/'1-Eng Inputs'!$C$38),0.5,1))))</f>
        <v>3</v>
      </c>
      <c r="S125" s="355"/>
      <c r="U125" s="1390">
        <f>IF(LEFT(F125,3)-LEFT(F125,1)=0.5,'1-Eng Inputs'!$C$39,0)+LEFT(F125,1)*'1-Eng Inputs'!$C$38</f>
        <v>96</v>
      </c>
      <c r="V125" s="350">
        <f>V124-BR123</f>
        <v>0</v>
      </c>
      <c r="W125" s="1416">
        <f>IF(LEFT(H125,3)-LEFT(H125,1)=0.5,'1-Eng Inputs'!$C$39,0)+LEFT(H125,1)*'1-Eng Inputs'!$C$38</f>
        <v>96</v>
      </c>
      <c r="X125" s="350">
        <f>X124-BT123</f>
        <v>0</v>
      </c>
      <c r="Y125" s="1416">
        <f>IF(LEFT(J125,3)-LEFT(J125,1)=0.5,'1-Eng Inputs'!$C$39,0)+LEFT(J125,1)*'1-Eng Inputs'!$C$38</f>
        <v>96</v>
      </c>
      <c r="AD125" s="1426"/>
      <c r="AE125" s="1426"/>
      <c r="AH125" s="355"/>
      <c r="AJ125" s="1390">
        <f>(AK124*AX125+AK127*AX126)/'1-Eng Inputs'!$C$38</f>
        <v>2.7847070673163268</v>
      </c>
      <c r="AL125" s="1390">
        <f>(AK124*AZ125+AM124*BA125+AK127*AZ126+AM127*BA126)/'1-Eng Inputs'!$C$38</f>
        <v>2.7847070673163268</v>
      </c>
      <c r="AN125" s="1390">
        <f>(AM124*BC125+AO124*BD125+AM127*BC126+AO127*BD126)/'1-Eng Inputs'!$C$38</f>
        <v>2.7847070673163268</v>
      </c>
      <c r="AS125" s="1426"/>
      <c r="AT125" s="1426"/>
      <c r="AX125" s="1468">
        <v>0.33333333333333331</v>
      </c>
      <c r="AZ125" s="1471">
        <v>0.16666666666666666</v>
      </c>
      <c r="BA125" s="1473">
        <v>0.16666666666666666</v>
      </c>
      <c r="BC125" s="1468">
        <v>0.33333333333333331</v>
      </c>
      <c r="BO125" s="355"/>
      <c r="BQ125" s="1390">
        <f>AJ125</f>
        <v>2.7847070673163268</v>
      </c>
      <c r="BS125" s="1390">
        <f>AL125</f>
        <v>2.7847070673163268</v>
      </c>
      <c r="BU125" s="1390">
        <f>AN125</f>
        <v>2.7847070673163268</v>
      </c>
      <c r="BZ125" s="1426"/>
      <c r="CA125" s="1426"/>
      <c r="CB125" s="1426"/>
    </row>
    <row r="126" spans="4:81" ht="12.75" hidden="1" customHeight="1">
      <c r="D126" s="355"/>
      <c r="E126" s="352"/>
      <c r="F126" s="1383"/>
      <c r="G126" s="353"/>
      <c r="H126" s="1383"/>
      <c r="I126" s="353"/>
      <c r="J126" s="1383"/>
      <c r="K126" s="1426"/>
      <c r="L126" s="1426"/>
      <c r="M126" s="1426"/>
      <c r="N126" s="1426"/>
      <c r="O126" s="1426"/>
      <c r="P126" s="1426"/>
      <c r="S126" s="355"/>
      <c r="U126" s="1391"/>
      <c r="V126" s="1379"/>
      <c r="W126" s="1417"/>
      <c r="X126" s="1379"/>
      <c r="Y126" s="1417"/>
      <c r="Z126" s="1426"/>
      <c r="AA126" s="1426"/>
      <c r="AB126" s="1426"/>
      <c r="AC126" s="1426"/>
      <c r="AH126" s="355"/>
      <c r="AJ126" s="1391"/>
      <c r="AL126" s="1391"/>
      <c r="AN126" s="1391"/>
      <c r="AO126" s="1426"/>
      <c r="AP126" s="1426"/>
      <c r="AQ126" s="1426"/>
      <c r="AR126" s="1426"/>
      <c r="AW126" s="373"/>
      <c r="AX126" s="1469">
        <v>0.33333333333333331</v>
      </c>
      <c r="AZ126" s="1472">
        <v>0.16666666666666666</v>
      </c>
      <c r="BA126" s="1474">
        <v>0.16666666666666666</v>
      </c>
      <c r="BC126" s="1469">
        <v>0.33333333333333331</v>
      </c>
      <c r="BD126" s="373"/>
      <c r="BE126" s="373"/>
      <c r="BF126" s="373"/>
      <c r="BG126" s="373"/>
      <c r="BH126" s="373"/>
      <c r="BI126" s="373"/>
      <c r="BJ126" s="373"/>
      <c r="BK126" s="373"/>
      <c r="BL126" s="373"/>
      <c r="BM126" s="373"/>
      <c r="BO126" s="355"/>
      <c r="BQ126" s="1391"/>
      <c r="BR126" s="1379">
        <f>V127</f>
        <v>147.24092650707877</v>
      </c>
      <c r="BS126" s="1391"/>
      <c r="BT126" s="1379">
        <f>X127</f>
        <v>147.24092650707877</v>
      </c>
      <c r="BU126" s="1391"/>
      <c r="BV126" s="1426"/>
      <c r="BW126" s="1426"/>
      <c r="BX126" s="1426"/>
      <c r="BY126" s="1426"/>
      <c r="CC126" s="1426"/>
    </row>
    <row r="127" spans="4:81" ht="24.75" customHeight="1">
      <c r="D127" s="355"/>
      <c r="E127" s="352">
        <v>7</v>
      </c>
      <c r="F127" s="382"/>
      <c r="G127" s="378" t="s">
        <v>19427</v>
      </c>
      <c r="H127" s="382"/>
      <c r="I127" s="378" t="s">
        <v>19427</v>
      </c>
      <c r="J127" s="382"/>
      <c r="S127" s="355"/>
      <c r="U127" s="382"/>
      <c r="V127" s="348">
        <f>(U125*(AK127*AX126/(AJ125*'1-Eng Inputs'!$C$38))+U128*(AK127*AX128/(AJ128*'1-Eng Inputs'!$C$38))+W125*(AK127*AZ126/(AL125*'1-Eng Inputs'!$C$38))+W128*(AK127*AZ128/(AL128*'1-Eng Inputs'!$C$38)))</f>
        <v>147.24092650707877</v>
      </c>
      <c r="W127" s="382"/>
      <c r="X127" s="348">
        <f>(W125*(AM127*BA126/(AL125*'1-Eng Inputs'!$C$38))+W128*(AM127*BA128/(AL128*'1-Eng Inputs'!$C$38))+Y125*(AM127*BC126/(AN125*'1-Eng Inputs'!$C$38))+Y128*(AM127*BC128/(AN128*'1-Eng Inputs'!$C$38)))</f>
        <v>147.24092650707877</v>
      </c>
      <c r="Y127" s="382"/>
      <c r="AH127" s="355"/>
      <c r="AI127" s="353">
        <v>7</v>
      </c>
      <c r="AJ127" s="382"/>
      <c r="AK127" s="348">
        <f>AK124</f>
        <v>133.6659392311837</v>
      </c>
      <c r="AL127" s="382"/>
      <c r="AM127" s="348">
        <f>AM124</f>
        <v>133.6659392311837</v>
      </c>
      <c r="AN127" s="382"/>
      <c r="AY127" s="381"/>
      <c r="BB127" s="381"/>
      <c r="BO127" s="355"/>
      <c r="BP127" s="353">
        <v>7</v>
      </c>
      <c r="BQ127" s="382"/>
      <c r="BR127" s="348">
        <f>AK127</f>
        <v>133.6659392311837</v>
      </c>
      <c r="BS127" s="382"/>
      <c r="BT127" s="348">
        <f>AM127</f>
        <v>133.6659392311837</v>
      </c>
      <c r="BU127" s="382"/>
    </row>
    <row r="128" spans="4:81" ht="12" customHeight="1">
      <c r="D128" s="355"/>
      <c r="E128" s="352"/>
      <c r="F128" s="1382">
        <f>IF($O$4="NO",ROUNDUP(BQ128-0.00499,0),LEFT(BQ128,1)+(IF(BQ128-LEFT(BQ128,1)&lt;0.00499,0,IF(BQ128-LEFT(BQ128,1)-0.00499&lt;('1-Eng Inputs'!$C$39/'1-Eng Inputs'!$C$38),0.5,1))))</f>
        <v>4</v>
      </c>
      <c r="G128" s="353"/>
      <c r="H128" s="1382">
        <f>IF($O$4="NO",ROUNDUP(BS128-0.00499,0),LEFT(BS128,1)+(IF(BS128-LEFT(BS128,1)&lt;0.00499,0,IF(BS128-LEFT(BS128,1)-0.00499&lt;('1-Eng Inputs'!$C$39/'1-Eng Inputs'!$C$38),0.5,1))))</f>
        <v>4</v>
      </c>
      <c r="I128" s="353"/>
      <c r="J128" s="1382">
        <f>IF($O$4="NO",ROUNDUP(BU128-0.00499,0),LEFT(BU128,1)+(IF(BU128-LEFT(BU128,1)&lt;0.00499,0,IF(BU128-LEFT(BU128,1)-0.00499&lt;('1-Eng Inputs'!$C$39/'1-Eng Inputs'!$C$38),0.5,1))))</f>
        <v>4</v>
      </c>
      <c r="S128" s="355"/>
      <c r="U128" s="1390">
        <f>IF(LEFT(F128,3)-LEFT(F128,1)=0.5,'1-Eng Inputs'!$C$39,0)+LEFT(F128,1)*'1-Eng Inputs'!$C$38</f>
        <v>128</v>
      </c>
      <c r="V128" s="452">
        <f>V127-BR126</f>
        <v>0</v>
      </c>
      <c r="W128" s="1416">
        <f>IF(LEFT(H128,3)-LEFT(H128,1)=0.5,'1-Eng Inputs'!$C$39,0)+LEFT(H128,1)*'1-Eng Inputs'!$C$38</f>
        <v>128</v>
      </c>
      <c r="X128" s="452">
        <f>X127-BT126</f>
        <v>0</v>
      </c>
      <c r="Y128" s="1416">
        <f>IF(LEFT(J128,3)-LEFT(J128,1)=0.5,'1-Eng Inputs'!$C$39,0)+LEFT(J128,1)*'1-Eng Inputs'!$C$38</f>
        <v>128</v>
      </c>
      <c r="AH128" s="355"/>
      <c r="AJ128" s="1390">
        <f>(AK127*AX128+AK130*AX129)/'1-Eng Inputs'!$C$38</f>
        <v>3.5530115174381387</v>
      </c>
      <c r="AK128" s="356"/>
      <c r="AL128" s="1390">
        <f>(AK127*AZ128+AM127*BA128+AK130*AZ129+AM130*BA129)/'1-Eng Inputs'!$C$38</f>
        <v>3.5530115174381387</v>
      </c>
      <c r="AM128" s="356"/>
      <c r="AN128" s="1390">
        <f>(AM127*BC128+AO127*BD128+AM130*BC129+AO130*BD129)/'1-Eng Inputs'!$C$38</f>
        <v>3.5530115174381387</v>
      </c>
      <c r="AX128" s="1468">
        <v>0.33333333333333331</v>
      </c>
      <c r="AZ128" s="1471">
        <v>0.16666666666666666</v>
      </c>
      <c r="BA128" s="1473">
        <v>0.16666666666666666</v>
      </c>
      <c r="BC128" s="1468">
        <v>0.33333333333333331</v>
      </c>
      <c r="BO128" s="355"/>
      <c r="BQ128" s="1390">
        <f>AJ128</f>
        <v>3.5530115174381387</v>
      </c>
      <c r="BR128" s="356"/>
      <c r="BS128" s="1390">
        <f>AL128</f>
        <v>3.5530115174381387</v>
      </c>
      <c r="BT128" s="356"/>
      <c r="BU128" s="1390">
        <f>AN128</f>
        <v>3.5530115174381387</v>
      </c>
    </row>
    <row r="129" spans="1:81" ht="12.75" hidden="1" customHeight="1">
      <c r="D129" s="355"/>
      <c r="E129" s="352"/>
      <c r="F129" s="1383"/>
      <c r="G129" s="353"/>
      <c r="H129" s="1383"/>
      <c r="I129" s="353"/>
      <c r="J129" s="1383"/>
      <c r="S129" s="355"/>
      <c r="U129" s="1391"/>
      <c r="V129" s="1379"/>
      <c r="W129" s="1417"/>
      <c r="X129" s="1379"/>
      <c r="Y129" s="1417"/>
      <c r="AD129" s="1426"/>
      <c r="AE129" s="1426"/>
      <c r="AH129" s="355"/>
      <c r="AJ129" s="1391"/>
      <c r="AK129" s="1379"/>
      <c r="AL129" s="1391"/>
      <c r="AM129" s="1379"/>
      <c r="AN129" s="1391"/>
      <c r="AS129" s="1426"/>
      <c r="AT129" s="1426"/>
      <c r="AX129" s="1469">
        <v>0.33333333333333331</v>
      </c>
      <c r="AZ129" s="1472">
        <v>0.16666666666666666</v>
      </c>
      <c r="BA129" s="1474">
        <v>0.16666666666666666</v>
      </c>
      <c r="BC129" s="1469">
        <v>0.33333333333333331</v>
      </c>
      <c r="BO129" s="355"/>
      <c r="BQ129" s="1391"/>
      <c r="BR129" s="1379">
        <f>V130</f>
        <v>236.75907349292123</v>
      </c>
      <c r="BS129" s="1391"/>
      <c r="BT129" s="1379">
        <f>X130</f>
        <v>236.75907349292123</v>
      </c>
      <c r="BU129" s="1391"/>
      <c r="BZ129" s="1426"/>
      <c r="CA129" s="1426"/>
      <c r="CB129" s="1426"/>
    </row>
    <row r="130" spans="1:81" ht="24.75" customHeight="1">
      <c r="D130" s="355"/>
      <c r="E130" s="352">
        <v>8</v>
      </c>
      <c r="F130" s="382"/>
      <c r="G130" s="378" t="s">
        <v>19427</v>
      </c>
      <c r="H130" s="382"/>
      <c r="I130" s="378" t="s">
        <v>19427</v>
      </c>
      <c r="J130" s="382"/>
      <c r="K130" s="1426"/>
      <c r="L130" s="1426"/>
      <c r="M130" s="1426"/>
      <c r="N130" s="1426"/>
      <c r="O130" s="1426"/>
      <c r="P130" s="1426"/>
      <c r="S130" s="355"/>
      <c r="U130" s="382"/>
      <c r="V130" s="348">
        <f>U128*(AK130*AX129/(AJ128*'1-Eng Inputs'!$C$38))+U131*(AK130*AX131/(AJ131*'1-Eng Inputs'!$C$38))/factors!$B$4+W128*(AK130*AZ129/(AL128*'1-Eng Inputs'!$C$38))+W131*(AK130*AZ131/(AL131*'1-Eng Inputs'!$C$38))/factors!$B$4</f>
        <v>236.75907349292123</v>
      </c>
      <c r="W130" s="382"/>
      <c r="X130" s="348">
        <f>W128*(AM130*BA129/(AL128*'1-Eng Inputs'!$C$38))+W131*(AM130*BA131/(AL131*'1-Eng Inputs'!$C$38))/factors!$B$4+Y128*(AM130*BC129/(AN128*'1-Eng Inputs'!$C$38))+Y131*(AM130*BC131/(AN131*'1-Eng Inputs'!$C$38))/factors!$B$4</f>
        <v>236.75907349292123</v>
      </c>
      <c r="Y130" s="382"/>
      <c r="Z130" s="1426"/>
      <c r="AA130" s="1426"/>
      <c r="AB130" s="1426"/>
      <c r="AC130" s="1426"/>
      <c r="AH130" s="355"/>
      <c r="AI130" s="353">
        <v>8</v>
      </c>
      <c r="AJ130" s="382"/>
      <c r="AK130" s="348">
        <f>'Land Calcs 10deg (lift)'!$H$26</f>
        <v>207.42316644287763</v>
      </c>
      <c r="AL130" s="382"/>
      <c r="AM130" s="348">
        <f>'Land Calcs 10deg (lift)'!$H$26</f>
        <v>207.42316644287763</v>
      </c>
      <c r="AN130" s="382"/>
      <c r="AO130" s="1426"/>
      <c r="AP130" s="1426"/>
      <c r="AQ130" s="1426"/>
      <c r="AR130" s="1426"/>
      <c r="AW130" s="373"/>
      <c r="AY130" s="381"/>
      <c r="BB130" s="381"/>
      <c r="BD130" s="373"/>
      <c r="BE130" s="373"/>
      <c r="BF130" s="373"/>
      <c r="BG130" s="373"/>
      <c r="BH130" s="373"/>
      <c r="BI130" s="373"/>
      <c r="BJ130" s="373"/>
      <c r="BK130" s="373"/>
      <c r="BL130" s="373"/>
      <c r="BM130" s="373"/>
      <c r="BO130" s="355"/>
      <c r="BP130" s="353">
        <v>8</v>
      </c>
      <c r="BQ130" s="382"/>
      <c r="BR130" s="348">
        <f>AK130</f>
        <v>207.42316644287763</v>
      </c>
      <c r="BS130" s="382"/>
      <c r="BT130" s="348">
        <f>AM130</f>
        <v>207.42316644287763</v>
      </c>
      <c r="BU130" s="382"/>
      <c r="BV130" s="1426"/>
      <c r="BW130" s="1426"/>
      <c r="BX130" s="1426"/>
      <c r="BY130" s="1426"/>
      <c r="CC130" s="1426"/>
    </row>
    <row r="131" spans="1:81" ht="12.75" hidden="1" customHeight="1">
      <c r="E131" s="352"/>
      <c r="F131" s="1516"/>
      <c r="H131" s="1516"/>
      <c r="J131" s="1516"/>
      <c r="U131" s="1390">
        <f>IF(LEFT(F132,3)-LEFT(F132,1)=0.5,'1-Eng Inputs'!$C$39,0)+LEFT(F132,1)*'1-Eng Inputs'!$C$38</f>
        <v>128</v>
      </c>
      <c r="V131" s="1379">
        <f>V130-BR129</f>
        <v>0</v>
      </c>
      <c r="W131" s="1416">
        <f>IF(LEFT(H132,3)-LEFT(H132,1)=0.5,'1-Eng Inputs'!$C$39,0)+LEFT(H132,1)*'1-Eng Inputs'!$C$38</f>
        <v>128</v>
      </c>
      <c r="X131" s="1379">
        <f>X130-BT129</f>
        <v>0</v>
      </c>
      <c r="Y131" s="1416">
        <f>IF(LEFT(J132,3)-LEFT(J132,1)=0.5,'1-Eng Inputs'!$C$39,0)+LEFT(J132,1)*'1-Eng Inputs'!$C$38</f>
        <v>128</v>
      </c>
      <c r="AJ131" s="1390">
        <f>(AK130*AX131)/'1-Eng Inputs'!$C$38</f>
        <v>2.1606579837799753</v>
      </c>
      <c r="AL131" s="1390">
        <f>(AK130*AZ131+AM130*BA131)/'1-Eng Inputs'!$C$38</f>
        <v>2.1606579837799753</v>
      </c>
      <c r="AN131" s="1390">
        <f>(AM130*BC131+AO130*BD132)/'1-Eng Inputs'!$C$38</f>
        <v>2.1606579837799753</v>
      </c>
      <c r="AX131" s="1396">
        <v>0.33333333333333331</v>
      </c>
      <c r="AZ131" s="1412">
        <v>0.16666666666666666</v>
      </c>
      <c r="BA131" s="1394">
        <v>0.16666666666666666</v>
      </c>
      <c r="BC131" s="1396">
        <v>0.33333333333333331</v>
      </c>
      <c r="BQ131" s="1390">
        <f>BQ132/factors!$B$4</f>
        <v>2.1606579837799753</v>
      </c>
      <c r="BS131" s="1390">
        <f>BS132/factors!$B$4</f>
        <v>2.1606579837799753</v>
      </c>
      <c r="BU131" s="1390">
        <f>BU132/factors!$B$4</f>
        <v>2.1606579837799753</v>
      </c>
    </row>
    <row r="132" spans="1:81">
      <c r="E132" s="352"/>
      <c r="F132" s="1383">
        <f>IF($O$4="NO",ROUNDUP(BQ132-0.00499,0),LEFT(BQ132,1)+(IF(BQ132-LEFT(BQ132,1)&lt;0.00499,0,IF(BQ132-LEFT(BQ132,1)-0.00499&lt;('1-Eng Inputs'!$C$39/'1-Eng Inputs'!$C$38),0.5,1))))</f>
        <v>4</v>
      </c>
      <c r="G132" s="353"/>
      <c r="H132" s="1383">
        <f>IF($O$4="NO",ROUNDUP(BS132-0.00499,0),LEFT(BS132,1)+(IF(BS132-LEFT(BS132,1)&lt;0.00499,0,IF(BS132-LEFT(BS132,1)-0.00499&lt;('1-Eng Inputs'!$C$39/'1-Eng Inputs'!$C$38),0.5,1))))</f>
        <v>4</v>
      </c>
      <c r="I132" s="353"/>
      <c r="J132" s="1383">
        <f>IF($O$4="NO",ROUNDUP(BU132-0.00499,0),LEFT(BU132,1)+(IF(BU132-LEFT(BU132,1)&lt;0.00499,0,IF(BU132-LEFT(BU132,1)-0.00499&lt;('1-Eng Inputs'!$C$39/'1-Eng Inputs'!$C$38),0.5,1))))</f>
        <v>4</v>
      </c>
      <c r="K132" s="1426"/>
      <c r="L132" s="1426"/>
      <c r="M132" s="1426"/>
      <c r="N132" s="1426"/>
      <c r="O132" s="1426"/>
      <c r="P132" s="1426"/>
      <c r="U132" s="1391"/>
      <c r="V132" s="375"/>
      <c r="W132" s="1418"/>
      <c r="X132" s="375"/>
      <c r="Y132" s="1418"/>
      <c r="Z132" s="1426"/>
      <c r="AA132" s="1426"/>
      <c r="AB132" s="1426"/>
      <c r="AC132" s="1426"/>
      <c r="AD132" s="1426"/>
      <c r="AE132" s="1426"/>
      <c r="AJ132" s="1391">
        <f>AJ131*factors!$B$4</f>
        <v>3.4570527740479609</v>
      </c>
      <c r="AK132" s="375"/>
      <c r="AL132" s="1391">
        <f>AL131*factors!$B$4</f>
        <v>3.4570527740479609</v>
      </c>
      <c r="AM132" s="375"/>
      <c r="AN132" s="1391">
        <f>AN131*factors!$B$4</f>
        <v>3.4570527740479609</v>
      </c>
      <c r="AO132" s="1426"/>
      <c r="AP132" s="1426"/>
      <c r="AQ132" s="1426"/>
      <c r="AR132" s="1426"/>
      <c r="AS132" s="1426"/>
      <c r="AT132" s="1426"/>
      <c r="AW132" s="373"/>
      <c r="AX132" s="1397"/>
      <c r="AZ132" s="1413"/>
      <c r="BA132" s="1395"/>
      <c r="BC132" s="1397"/>
      <c r="BD132" s="373"/>
      <c r="BE132" s="373"/>
      <c r="BF132" s="373"/>
      <c r="BG132" s="373"/>
      <c r="BH132" s="373"/>
      <c r="BI132" s="373"/>
      <c r="BJ132" s="373"/>
      <c r="BK132" s="373"/>
      <c r="BL132" s="373"/>
      <c r="BM132" s="373"/>
      <c r="BQ132" s="1391">
        <f>AJ132</f>
        <v>3.4570527740479609</v>
      </c>
      <c r="BR132" s="375"/>
      <c r="BS132" s="1391">
        <f>AL132</f>
        <v>3.4570527740479609</v>
      </c>
      <c r="BT132" s="375"/>
      <c r="BU132" s="1391">
        <f>AN132</f>
        <v>3.4570527740479609</v>
      </c>
      <c r="BV132" s="1426"/>
      <c r="BW132" s="1426"/>
      <c r="BX132" s="1426"/>
      <c r="BY132" s="1426"/>
      <c r="BZ132" s="1426"/>
      <c r="CA132" s="1426"/>
      <c r="CB132" s="1426"/>
      <c r="CC132" s="1426"/>
    </row>
    <row r="133" spans="1:81">
      <c r="E133" s="352"/>
      <c r="F133" s="374"/>
      <c r="G133" s="353"/>
      <c r="H133" s="374"/>
      <c r="I133" s="353"/>
      <c r="J133" s="374"/>
      <c r="K133" s="1426"/>
      <c r="L133" s="1426"/>
      <c r="M133" s="1426"/>
      <c r="N133" s="1426"/>
      <c r="O133" s="1426"/>
      <c r="P133" s="1426"/>
      <c r="U133" s="1426"/>
      <c r="V133" s="375"/>
      <c r="W133" s="1426"/>
      <c r="X133" s="375"/>
      <c r="Y133" s="1426"/>
      <c r="Z133" s="1426"/>
      <c r="AA133" s="1426"/>
      <c r="AB133" s="1426"/>
      <c r="AC133" s="1426"/>
      <c r="AD133" s="1426"/>
      <c r="AE133" s="1426"/>
      <c r="AJ133" s="1426"/>
      <c r="AK133" s="375"/>
      <c r="AL133" s="1426"/>
      <c r="AM133" s="375"/>
      <c r="AN133" s="1426"/>
      <c r="AO133" s="1426"/>
      <c r="AP133" s="1426"/>
      <c r="AQ133" s="1426"/>
      <c r="AR133" s="1426"/>
      <c r="AS133" s="1426"/>
      <c r="AT133" s="1426"/>
      <c r="AW133" s="373"/>
      <c r="AX133" s="373"/>
      <c r="AZ133" s="373"/>
      <c r="BA133" s="373"/>
      <c r="BC133" s="373"/>
      <c r="BD133" s="373"/>
      <c r="BE133" s="373"/>
      <c r="BF133" s="373"/>
      <c r="BG133" s="373"/>
      <c r="BH133" s="373"/>
      <c r="BI133" s="373"/>
      <c r="BJ133" s="373"/>
      <c r="BK133" s="373"/>
      <c r="BL133" s="373"/>
      <c r="BM133" s="373"/>
      <c r="BQ133" s="1426"/>
      <c r="BR133" s="375"/>
      <c r="BS133" s="1426"/>
      <c r="BT133" s="375"/>
      <c r="BU133" s="1426"/>
      <c r="BV133" s="1426"/>
      <c r="BW133" s="1426"/>
      <c r="BX133" s="1426"/>
      <c r="BY133" s="1426"/>
      <c r="BZ133" s="1426"/>
      <c r="CA133" s="1426"/>
      <c r="CB133" s="1426"/>
      <c r="CC133" s="1426"/>
    </row>
    <row r="134" spans="1:81">
      <c r="A134" s="349" t="s">
        <v>19437</v>
      </c>
      <c r="E134" s="352"/>
      <c r="S134" s="349"/>
      <c r="AH134" s="349" t="s">
        <v>19452</v>
      </c>
      <c r="BO134" s="349" t="s">
        <v>19446</v>
      </c>
    </row>
    <row r="135" spans="1:81">
      <c r="C135" s="1426"/>
      <c r="D135" s="356"/>
      <c r="E135" s="352"/>
      <c r="F135" s="375"/>
      <c r="G135" s="350" t="s">
        <v>233</v>
      </c>
      <c r="H135" s="375"/>
      <c r="I135" s="375"/>
      <c r="J135" s="375"/>
      <c r="K135" s="375"/>
      <c r="L135" s="375"/>
      <c r="M135" s="375"/>
      <c r="S135" s="356"/>
      <c r="AD135" s="1426"/>
      <c r="AE135" s="1426"/>
      <c r="AH135" s="356"/>
      <c r="AK135" s="350" t="s">
        <v>233</v>
      </c>
      <c r="AS135" s="1426"/>
      <c r="AT135" s="1426"/>
      <c r="AW135" s="370" t="s">
        <v>19376</v>
      </c>
      <c r="BO135" s="354"/>
      <c r="BR135" s="350" t="s">
        <v>233</v>
      </c>
      <c r="BZ135" s="1426"/>
      <c r="CA135" s="1426"/>
      <c r="CB135" s="1426"/>
    </row>
    <row r="136" spans="1:81">
      <c r="C136" s="1426"/>
      <c r="D136" s="356"/>
      <c r="E136" s="352"/>
      <c r="F136" s="375"/>
      <c r="G136" s="377">
        <v>1</v>
      </c>
      <c r="H136" s="375"/>
      <c r="I136" s="375"/>
      <c r="J136" s="375"/>
      <c r="K136" s="375"/>
      <c r="L136" s="375"/>
      <c r="M136" s="375"/>
      <c r="S136" s="356"/>
      <c r="V136" s="377"/>
      <c r="AH136" s="356"/>
      <c r="AK136" s="377">
        <v>1</v>
      </c>
      <c r="BO136" s="356"/>
      <c r="BR136" s="377">
        <v>1</v>
      </c>
    </row>
    <row r="137" spans="1:81">
      <c r="E137" s="352"/>
      <c r="F137" s="1382">
        <f>IF($O$4="NO",ROUNDUP(BQ137-0.00499,0),LEFT(BQ137,1)+(IF(BQ137-LEFT(BQ137,1)&lt;0.00499,0,IF(BQ137-LEFT(BQ137,1)-0.00499&lt;('1-Eng Inputs'!$C$39/'1-Eng Inputs'!$C$38),0.5,1))))</f>
        <v>5</v>
      </c>
      <c r="G137" s="640" t="s">
        <v>6094</v>
      </c>
      <c r="H137" s="1382">
        <f>IF($O$4="NO",ROUNDUP(BS137-0.00499,0),LEFT(BS137,1)+(IF(BS137-LEFT(BS137,1)&lt;0.00499,0,IF(BS137-LEFT(BS137,1)-0.00499&lt;('1-Eng Inputs'!$C$39/'1-Eng Inputs'!$C$38),0.5,1))))</f>
        <v>5</v>
      </c>
      <c r="I137" s="356"/>
      <c r="J137" s="356"/>
      <c r="K137" s="356"/>
      <c r="L137" s="356"/>
      <c r="M137" s="356"/>
      <c r="N137" s="1426"/>
      <c r="O137" s="1426"/>
      <c r="P137" s="1426"/>
      <c r="U137" s="1384">
        <f>IF(LEFT(F137,3)-LEFT(F137,1)=0.5,'1-Eng Inputs'!$C$39,0)+LEFT(F137,1)*'1-Eng Inputs'!$C$38</f>
        <v>160</v>
      </c>
      <c r="W137" s="1384">
        <f>IF(LEFT(H137,3)-LEFT(H137,1)=0.5,'1-Eng Inputs'!$C$39,0)+LEFT(H137,1)*'1-Eng Inputs'!$C$38</f>
        <v>160</v>
      </c>
      <c r="X137" s="1426"/>
      <c r="Y137" s="1426"/>
      <c r="Z137" s="1426"/>
      <c r="AA137" s="1426"/>
      <c r="AB137" s="1426"/>
      <c r="AC137" s="1426"/>
      <c r="AJ137" s="1384">
        <f>AJ138*factors!$B$3</f>
        <v>4.4590894841860127</v>
      </c>
      <c r="AL137" s="1384">
        <f>AL138*factors!$B$3</f>
        <v>4.4590894841860127</v>
      </c>
      <c r="AM137" s="1426"/>
      <c r="AN137" s="1426"/>
      <c r="AO137" s="1426"/>
      <c r="AP137" s="1426"/>
      <c r="AQ137" s="1426"/>
      <c r="AR137" s="1426"/>
      <c r="AW137" s="373"/>
      <c r="AX137" s="1396">
        <v>0.33333333333333331</v>
      </c>
      <c r="AZ137" s="1396">
        <v>0.33333333333333331</v>
      </c>
      <c r="BA137" s="373"/>
      <c r="BB137" s="373"/>
      <c r="BC137" s="373"/>
      <c r="BD137" s="373"/>
      <c r="BE137" s="373"/>
      <c r="BF137" s="373"/>
      <c r="BG137" s="373"/>
      <c r="BH137" s="373"/>
      <c r="BI137" s="373"/>
      <c r="BJ137" s="373"/>
      <c r="BK137" s="373"/>
      <c r="BL137" s="373"/>
      <c r="BM137" s="373"/>
      <c r="BQ137" s="1384">
        <f>AJ137</f>
        <v>4.4590894841860127</v>
      </c>
      <c r="BS137" s="1384">
        <f>AL137</f>
        <v>4.4590894841860127</v>
      </c>
      <c r="BT137" s="1426"/>
      <c r="BU137" s="1426"/>
      <c r="BV137" s="1426"/>
      <c r="BW137" s="1426"/>
      <c r="BX137" s="1426"/>
      <c r="BY137" s="1426"/>
      <c r="CC137" s="1426"/>
    </row>
    <row r="138" spans="1:81" ht="12.75" hidden="1" customHeight="1">
      <c r="E138" s="352"/>
      <c r="F138" s="1383"/>
      <c r="G138" s="353"/>
      <c r="H138" s="1383"/>
      <c r="I138" s="356"/>
      <c r="J138" s="356"/>
      <c r="K138" s="356"/>
      <c r="L138" s="356"/>
      <c r="M138" s="356"/>
      <c r="N138" s="1426"/>
      <c r="O138" s="1426"/>
      <c r="P138" s="1426"/>
      <c r="U138" s="1385"/>
      <c r="V138" s="1379"/>
      <c r="W138" s="1385"/>
      <c r="X138" s="1426"/>
      <c r="Y138" s="1426"/>
      <c r="Z138" s="376"/>
      <c r="AA138" s="1426"/>
      <c r="AB138" s="1426"/>
      <c r="AC138" s="1426"/>
      <c r="AD138" s="1426"/>
      <c r="AE138" s="1426"/>
      <c r="AJ138" s="1385">
        <f>(AK139*AX137)/'1-Eng Inputs'!$C$38</f>
        <v>3.1850639172757234</v>
      </c>
      <c r="AK138" s="1379"/>
      <c r="AL138" s="1385">
        <f>(AK139*AZ137)/'1-Eng Inputs'!$C$38</f>
        <v>3.1850639172757234</v>
      </c>
      <c r="AM138" s="1426"/>
      <c r="AN138" s="1426"/>
      <c r="AO138" s="376"/>
      <c r="AP138" s="1426"/>
      <c r="AQ138" s="1426"/>
      <c r="AR138" s="1426"/>
      <c r="AS138" s="1426"/>
      <c r="AT138" s="1426"/>
      <c r="AW138" s="373"/>
      <c r="AX138" s="1397"/>
      <c r="AZ138" s="1397"/>
      <c r="BA138" s="373"/>
      <c r="BB138" s="373"/>
      <c r="BC138" s="373"/>
      <c r="BD138" s="373"/>
      <c r="BE138" s="373"/>
      <c r="BF138" s="373"/>
      <c r="BG138" s="373"/>
      <c r="BH138" s="373"/>
      <c r="BI138" s="373"/>
      <c r="BJ138" s="373"/>
      <c r="BK138" s="373"/>
      <c r="BL138" s="373"/>
      <c r="BM138" s="373"/>
      <c r="BQ138" s="1385">
        <f>BQ137/factors!$B$3</f>
        <v>3.1850639172757234</v>
      </c>
      <c r="BR138" s="1379">
        <f>V139</f>
        <v>330.97142857142859</v>
      </c>
      <c r="BS138" s="1385">
        <f>BS137/factors!$B$3</f>
        <v>3.1850639172757234</v>
      </c>
      <c r="BT138" s="1426"/>
      <c r="BU138" s="1426"/>
      <c r="BV138" s="376"/>
      <c r="BW138" s="1426"/>
      <c r="BX138" s="1426"/>
      <c r="BY138" s="1426"/>
      <c r="BZ138" s="1426"/>
      <c r="CA138" s="1426"/>
      <c r="CB138" s="1426"/>
      <c r="CC138" s="1426"/>
    </row>
    <row r="139" spans="1:81" ht="24.75" customHeight="1">
      <c r="D139" s="354" t="s">
        <v>234</v>
      </c>
      <c r="E139" s="352">
        <v>1</v>
      </c>
      <c r="F139" s="382"/>
      <c r="G139" s="378" t="s">
        <v>19430</v>
      </c>
      <c r="H139" s="382"/>
      <c r="I139" s="356"/>
      <c r="J139" s="356"/>
      <c r="K139" s="356"/>
      <c r="L139" s="356"/>
      <c r="M139" s="356"/>
      <c r="N139" s="1426"/>
      <c r="O139" s="1426"/>
      <c r="P139" s="1426"/>
      <c r="S139" s="354"/>
      <c r="U139" s="382"/>
      <c r="V139" s="348">
        <f>(U137*(AK139*AX137/(AJ138*'1-Eng Inputs'!$C$38))/factors!$B$3+U140*(AK139*AX140/(AJ140*'1-Eng Inputs'!$C$38))+W137*(AK139*AZ137/(AL138*'1-Eng Inputs'!$C$38))/factors!$B$3+W140*(AK139*AZ140/(AL140*'1-Eng Inputs'!$C$38)))</f>
        <v>330.97142857142859</v>
      </c>
      <c r="W139" s="382"/>
      <c r="X139" s="1426"/>
      <c r="Y139" s="1426"/>
      <c r="Z139" s="1426"/>
      <c r="AA139" s="1426"/>
      <c r="AB139" s="1426"/>
      <c r="AC139" s="1426"/>
      <c r="AH139" s="354"/>
      <c r="AI139" s="353">
        <v>1</v>
      </c>
      <c r="AJ139" s="382"/>
      <c r="AK139" s="348">
        <f>'Land Calcs 10deg (lift)'!D37</f>
        <v>305.76613605846944</v>
      </c>
      <c r="AL139" s="382"/>
      <c r="AM139" s="1426"/>
      <c r="AN139" s="1426"/>
      <c r="AO139" s="1426"/>
      <c r="AP139" s="1426"/>
      <c r="AQ139" s="1426"/>
      <c r="AR139" s="1426"/>
      <c r="AW139" s="373"/>
      <c r="AY139" s="381"/>
      <c r="BA139" s="373"/>
      <c r="BB139" s="373"/>
      <c r="BC139" s="373"/>
      <c r="BD139" s="373"/>
      <c r="BE139" s="373"/>
      <c r="BF139" s="373"/>
      <c r="BG139" s="373"/>
      <c r="BH139" s="373"/>
      <c r="BI139" s="373"/>
      <c r="BJ139" s="373"/>
      <c r="BK139" s="373"/>
      <c r="BL139" s="373"/>
      <c r="BM139" s="373"/>
      <c r="BO139" s="354" t="s">
        <v>234</v>
      </c>
      <c r="BP139" s="353">
        <v>1</v>
      </c>
      <c r="BQ139" s="382"/>
      <c r="BR139" s="348">
        <f>AK139</f>
        <v>305.76613605846944</v>
      </c>
      <c r="BS139" s="382"/>
      <c r="BT139" s="1426"/>
      <c r="BU139" s="1426"/>
      <c r="BV139" s="1426"/>
      <c r="BW139" s="1426"/>
      <c r="BX139" s="1426"/>
      <c r="BY139" s="1426"/>
      <c r="CC139" s="1426"/>
    </row>
    <row r="140" spans="1:81">
      <c r="E140" s="352"/>
      <c r="F140" s="1382">
        <f>IF($O$4="NO",ROUNDUP(BQ140-0.00499,0),LEFT(BQ140,1)+(IF(BQ140-LEFT(BQ140,1)&lt;0.00499,0,IF(BQ140-LEFT(BQ140,1)-0.00499&lt;('1-Eng Inputs'!$C$39/'1-Eng Inputs'!$C$38),0.5,1))))</f>
        <v>4</v>
      </c>
      <c r="G140" s="353"/>
      <c r="H140" s="1382">
        <f>IF($O$4="NO",ROUNDUP(BS140-0.00499,0),LEFT(BS140,1)+(IF(BS140-LEFT(BS140,1)&lt;0.00499,0,IF(BS140-LEFT(BS140,1)-0.00499&lt;('1-Eng Inputs'!$C$39/'1-Eng Inputs'!$C$38),0.5,1))))</f>
        <v>4</v>
      </c>
      <c r="I140" s="356"/>
      <c r="J140" s="356"/>
      <c r="K140" s="356"/>
      <c r="L140" s="356"/>
      <c r="M140" s="356"/>
      <c r="N140" s="1426"/>
      <c r="O140" s="1426"/>
      <c r="P140" s="1426"/>
      <c r="U140" s="1384">
        <f>IF(LEFT(F140,3)-LEFT(F140,1)=0.5,'1-Eng Inputs'!$C$39,0)+LEFT(F140,1)*'1-Eng Inputs'!$C$38</f>
        <v>128</v>
      </c>
      <c r="W140" s="1384">
        <f>IF(LEFT(H140,3)-LEFT(H140,1)=0.5,'1-Eng Inputs'!$C$39,0)+LEFT(H140,1)*'1-Eng Inputs'!$C$38</f>
        <v>128</v>
      </c>
      <c r="X140" s="1426"/>
      <c r="Y140" s="1426"/>
      <c r="Z140" s="1426"/>
      <c r="AA140" s="1426"/>
      <c r="AB140" s="1426"/>
      <c r="AC140" s="1426"/>
      <c r="AJ140" s="1384">
        <f>(AK139*AX140+AK142*AX141)/'1-Eng Inputs'!$C$38</f>
        <v>3.9813298965946542</v>
      </c>
      <c r="AL140" s="1384">
        <f>(AK139*AZ140+AK142*AZ141)/'1-Eng Inputs'!$C$38</f>
        <v>3.9813298965946542</v>
      </c>
      <c r="AM140" s="1426"/>
      <c r="AN140" s="1426"/>
      <c r="AO140" s="1426"/>
      <c r="AP140" s="1426"/>
      <c r="AQ140" s="1426"/>
      <c r="AR140" s="1426"/>
      <c r="AW140" s="373"/>
      <c r="AX140" s="1468">
        <v>0.16666666666666666</v>
      </c>
      <c r="AZ140" s="1468">
        <v>0.16666666666666666</v>
      </c>
      <c r="BA140" s="373"/>
      <c r="BB140" s="373"/>
      <c r="BC140" s="373"/>
      <c r="BD140" s="373"/>
      <c r="BE140" s="373"/>
      <c r="BF140" s="373"/>
      <c r="BG140" s="373"/>
      <c r="BH140" s="373"/>
      <c r="BI140" s="373"/>
      <c r="BJ140" s="373"/>
      <c r="BK140" s="373"/>
      <c r="BL140" s="373"/>
      <c r="BM140" s="373"/>
      <c r="BQ140" s="1384">
        <f>AJ140</f>
        <v>3.9813298965946542</v>
      </c>
      <c r="BS140" s="1384">
        <f>AL140</f>
        <v>3.9813298965946542</v>
      </c>
      <c r="BT140" s="1426"/>
      <c r="BU140" s="1426"/>
      <c r="BV140" s="1426"/>
      <c r="BW140" s="1426"/>
      <c r="BX140" s="1426"/>
      <c r="BY140" s="1426"/>
      <c r="CC140" s="1426"/>
    </row>
    <row r="141" spans="1:81" ht="12.75" hidden="1" customHeight="1">
      <c r="E141" s="352"/>
      <c r="F141" s="1383"/>
      <c r="G141" s="353"/>
      <c r="H141" s="1383"/>
      <c r="I141" s="356"/>
      <c r="J141" s="356"/>
      <c r="K141" s="356"/>
      <c r="L141" s="356"/>
      <c r="M141" s="356"/>
      <c r="N141" s="1426"/>
      <c r="O141" s="1426"/>
      <c r="P141" s="1426"/>
      <c r="U141" s="1385"/>
      <c r="V141" s="1379"/>
      <c r="W141" s="1385"/>
      <c r="X141" s="1426"/>
      <c r="Y141" s="1426"/>
      <c r="Z141" s="1426"/>
      <c r="AA141" s="1426"/>
      <c r="AB141" s="1426"/>
      <c r="AC141" s="1426"/>
      <c r="AD141" s="1426"/>
      <c r="AE141" s="1426"/>
      <c r="AJ141" s="1385"/>
      <c r="AK141" s="1379"/>
      <c r="AL141" s="1385"/>
      <c r="AM141" s="1426"/>
      <c r="AN141" s="1426"/>
      <c r="AO141" s="1426"/>
      <c r="AP141" s="1426"/>
      <c r="AQ141" s="1426"/>
      <c r="AR141" s="1426"/>
      <c r="AS141" s="1426"/>
      <c r="AT141" s="1426"/>
      <c r="AW141" s="373"/>
      <c r="AX141" s="1469">
        <v>0.25</v>
      </c>
      <c r="AZ141" s="1469">
        <v>0.25</v>
      </c>
      <c r="BA141" s="373"/>
      <c r="BB141" s="373"/>
      <c r="BC141" s="373"/>
      <c r="BD141" s="373"/>
      <c r="BE141" s="373"/>
      <c r="BF141" s="373"/>
      <c r="BG141" s="373"/>
      <c r="BH141" s="373"/>
      <c r="BI141" s="373"/>
      <c r="BJ141" s="373"/>
      <c r="BK141" s="373"/>
      <c r="BL141" s="373"/>
      <c r="BM141" s="373"/>
      <c r="BQ141" s="1385"/>
      <c r="BR141" s="1379">
        <f>V142</f>
        <v>313.60000000000002</v>
      </c>
      <c r="BS141" s="1385"/>
      <c r="BT141" s="1426"/>
      <c r="BU141" s="1426"/>
      <c r="BV141" s="1426"/>
      <c r="BW141" s="1426"/>
      <c r="BX141" s="1426"/>
      <c r="BY141" s="1426"/>
      <c r="BZ141" s="1426"/>
      <c r="CA141" s="1426"/>
      <c r="CB141" s="1426"/>
      <c r="CC141" s="1426"/>
    </row>
    <row r="142" spans="1:81" ht="24.75" customHeight="1">
      <c r="D142" s="355"/>
      <c r="E142" s="352">
        <v>2</v>
      </c>
      <c r="F142" s="382"/>
      <c r="G142" s="378" t="s">
        <v>19430</v>
      </c>
      <c r="H142" s="382"/>
      <c r="I142" s="356"/>
      <c r="J142" s="356"/>
      <c r="K142" s="356"/>
      <c r="L142" s="356"/>
      <c r="M142" s="356"/>
      <c r="N142" s="1426"/>
      <c r="O142" s="1426"/>
      <c r="P142" s="1426"/>
      <c r="S142" s="355"/>
      <c r="U142" s="382"/>
      <c r="V142" s="348">
        <f>(U140*(AK142*AX141/(AJ140*'1-Eng Inputs'!$C$38))+U143*(AK142*AX143/(AJ143*'1-Eng Inputs'!$C$38))+W140*(AK142*AZ141/(AL140*'1-Eng Inputs'!$C$38))+W143*(AK142*AZ143/(AL143*'1-Eng Inputs'!$C$38)))</f>
        <v>313.60000000000002</v>
      </c>
      <c r="W142" s="382"/>
      <c r="X142" s="1426"/>
      <c r="Y142" s="1426"/>
      <c r="Z142" s="1426"/>
      <c r="AA142" s="1426"/>
      <c r="AB142" s="1426"/>
      <c r="AC142" s="1426"/>
      <c r="AH142" s="355"/>
      <c r="AI142" s="353">
        <v>2</v>
      </c>
      <c r="AJ142" s="382"/>
      <c r="AK142" s="348">
        <f>'Land Calcs 10deg (lift)'!D37</f>
        <v>305.76613605846944</v>
      </c>
      <c r="AL142" s="382"/>
      <c r="AM142" s="1426"/>
      <c r="AN142" s="1426"/>
      <c r="AO142" s="1426"/>
      <c r="AP142" s="1426"/>
      <c r="AQ142" s="1426"/>
      <c r="AR142" s="1426"/>
      <c r="AW142" s="373"/>
      <c r="AY142" s="381"/>
      <c r="BA142" s="373"/>
      <c r="BB142" s="373"/>
      <c r="BC142" s="373"/>
      <c r="BD142" s="373"/>
      <c r="BE142" s="373"/>
      <c r="BF142" s="373"/>
      <c r="BG142" s="373"/>
      <c r="BH142" s="373"/>
      <c r="BI142" s="373"/>
      <c r="BJ142" s="373"/>
      <c r="BK142" s="373"/>
      <c r="BL142" s="373"/>
      <c r="BM142" s="373"/>
      <c r="BO142" s="355"/>
      <c r="BP142" s="353">
        <v>2</v>
      </c>
      <c r="BQ142" s="382"/>
      <c r="BR142" s="348">
        <f>AK142</f>
        <v>305.76613605846944</v>
      </c>
      <c r="BS142" s="382"/>
      <c r="BT142" s="1426"/>
      <c r="BU142" s="1426"/>
      <c r="BV142" s="1426"/>
      <c r="BW142" s="1426"/>
      <c r="BX142" s="1426"/>
      <c r="BY142" s="1426"/>
      <c r="CC142" s="1426"/>
    </row>
    <row r="143" spans="1:81">
      <c r="E143" s="352"/>
      <c r="F143" s="1382">
        <f>IF($O$4="NO",ROUNDUP(BQ143-0.00499,0),LEFT(BQ143,1)+(IF(BQ143-LEFT(BQ143,1)&lt;0.00499,0,IF(BQ143-LEFT(BQ143,1)-0.00499&lt;('1-Eng Inputs'!$C$39/'1-Eng Inputs'!$C$38),0.5,1))))</f>
        <v>5</v>
      </c>
      <c r="G143" s="640" t="s">
        <v>94</v>
      </c>
      <c r="H143" s="1382">
        <f>IF($O$4="NO",ROUNDUP(BS143-0.00499,0),LEFT(BS143,1)+(IF(BS143-LEFT(BS143,1)&lt;0.00499,0,IF(BS143-LEFT(BS143,1)-0.00499&lt;('1-Eng Inputs'!$C$39/'1-Eng Inputs'!$C$38),0.5,1))))</f>
        <v>5</v>
      </c>
      <c r="I143" s="356"/>
      <c r="J143" s="356"/>
      <c r="K143" s="356"/>
      <c r="L143" s="356"/>
      <c r="M143" s="356"/>
      <c r="N143" s="1426"/>
      <c r="O143" s="1426"/>
      <c r="P143" s="1426"/>
      <c r="U143" s="1414">
        <f>IF(LEFT(F143,3)-LEFT(F143,1)=0.5,'1-Eng Inputs'!$C$39,0)+LEFT(F143,1)*'1-Eng Inputs'!$C$38</f>
        <v>160</v>
      </c>
      <c r="W143" s="1414">
        <f>IF(LEFT(H143,3)-LEFT(H143,1)=0.5,'1-Eng Inputs'!$C$39,0)+LEFT(H143,1)*'1-Eng Inputs'!$C$38</f>
        <v>160</v>
      </c>
      <c r="X143" s="1426"/>
      <c r="Y143" s="1426"/>
      <c r="Z143" s="1426"/>
      <c r="AA143" s="1426"/>
      <c r="AB143" s="1426"/>
      <c r="AC143" s="1426"/>
      <c r="AD143" s="1426"/>
      <c r="AE143" s="1426"/>
      <c r="AJ143" s="1414">
        <f>(AK142*AX143+AK145*AX144)/'1-Eng Inputs'!$C$38</f>
        <v>4.777595875913585</v>
      </c>
      <c r="AL143" s="1414">
        <f>(AK142*AZ143+AK145*AZ144)/'1-Eng Inputs'!$C$38</f>
        <v>4.777595875913585</v>
      </c>
      <c r="AM143" s="1426"/>
      <c r="AN143" s="1426"/>
      <c r="AO143" s="1426"/>
      <c r="AP143" s="1426"/>
      <c r="AQ143" s="1426"/>
      <c r="AR143" s="1426"/>
      <c r="AS143" s="1426"/>
      <c r="AT143" s="1426"/>
      <c r="AW143" s="373"/>
      <c r="AX143" s="1468">
        <v>0.25</v>
      </c>
      <c r="AZ143" s="1468">
        <v>0.25</v>
      </c>
      <c r="BA143" s="373"/>
      <c r="BB143" s="373"/>
      <c r="BC143" s="373"/>
      <c r="BD143" s="373"/>
      <c r="BE143" s="373"/>
      <c r="BF143" s="373"/>
      <c r="BG143" s="373"/>
      <c r="BH143" s="373"/>
      <c r="BI143" s="373"/>
      <c r="BJ143" s="373"/>
      <c r="BK143" s="373"/>
      <c r="BL143" s="373"/>
      <c r="BM143" s="373"/>
      <c r="BQ143" s="1414">
        <f>AJ143</f>
        <v>4.777595875913585</v>
      </c>
      <c r="BS143" s="1414">
        <f>AL143</f>
        <v>4.777595875913585</v>
      </c>
      <c r="BT143" s="1426"/>
      <c r="BU143" s="1426"/>
      <c r="BV143" s="1426"/>
      <c r="BW143" s="1426"/>
      <c r="BX143" s="1426"/>
      <c r="BY143" s="1426"/>
      <c r="BZ143" s="1426"/>
      <c r="CA143" s="1426"/>
      <c r="CB143" s="1426"/>
      <c r="CC143" s="1426"/>
    </row>
    <row r="144" spans="1:81" ht="12.75" hidden="1" customHeight="1">
      <c r="E144" s="352"/>
      <c r="F144" s="1383"/>
      <c r="G144" s="459"/>
      <c r="H144" s="1383"/>
      <c r="I144" s="356"/>
      <c r="J144" s="356"/>
      <c r="K144" s="356"/>
      <c r="L144" s="356"/>
      <c r="M144" s="356"/>
      <c r="N144" s="1426"/>
      <c r="O144" s="1426"/>
      <c r="P144" s="1426"/>
      <c r="U144" s="1415"/>
      <c r="V144" s="1379"/>
      <c r="W144" s="1415"/>
      <c r="X144" s="1426"/>
      <c r="Y144" s="1426"/>
      <c r="Z144" s="1426"/>
      <c r="AA144" s="1426"/>
      <c r="AB144" s="1426"/>
      <c r="AC144" s="1426"/>
      <c r="AD144" s="1426"/>
      <c r="AE144" s="1426"/>
      <c r="AJ144" s="1415"/>
      <c r="AK144" s="1379"/>
      <c r="AL144" s="1415"/>
      <c r="AM144" s="1426"/>
      <c r="AN144" s="1426"/>
      <c r="AO144" s="1426"/>
      <c r="AP144" s="1426"/>
      <c r="AQ144" s="1426"/>
      <c r="AR144" s="1426"/>
      <c r="AS144" s="1426"/>
      <c r="AT144" s="1426"/>
      <c r="AW144" s="373"/>
      <c r="AX144" s="1469">
        <v>0.25</v>
      </c>
      <c r="AZ144" s="1469">
        <v>0.25</v>
      </c>
      <c r="BA144" s="373"/>
      <c r="BB144" s="373"/>
      <c r="BC144" s="373"/>
      <c r="BD144" s="373"/>
      <c r="BE144" s="373"/>
      <c r="BF144" s="373"/>
      <c r="BG144" s="373"/>
      <c r="BH144" s="373"/>
      <c r="BI144" s="373"/>
      <c r="BJ144" s="373"/>
      <c r="BK144" s="373"/>
      <c r="BL144" s="373"/>
      <c r="BM144" s="373"/>
      <c r="BQ144" s="1415"/>
      <c r="BR144" s="1379">
        <f>V145</f>
        <v>320</v>
      </c>
      <c r="BS144" s="1415"/>
      <c r="BT144" s="1426"/>
      <c r="BU144" s="1426"/>
      <c r="BV144" s="1426"/>
      <c r="BW144" s="1426"/>
      <c r="BX144" s="1426"/>
      <c r="BY144" s="1426"/>
      <c r="BZ144" s="1426"/>
      <c r="CA144" s="1426"/>
      <c r="CB144" s="1426"/>
      <c r="CC144" s="1426"/>
    </row>
    <row r="145" spans="4:81" ht="24.75" customHeight="1">
      <c r="D145" s="355"/>
      <c r="E145" s="352">
        <v>3</v>
      </c>
      <c r="F145" s="382"/>
      <c r="G145" s="378" t="s">
        <v>19430</v>
      </c>
      <c r="H145" s="382"/>
      <c r="I145" s="356"/>
      <c r="J145" s="356"/>
      <c r="K145" s="356"/>
      <c r="L145" s="356"/>
      <c r="M145" s="356"/>
      <c r="N145" s="1426"/>
      <c r="O145" s="1426"/>
      <c r="P145" s="1426"/>
      <c r="S145" s="355"/>
      <c r="U145" s="382"/>
      <c r="V145" s="348">
        <f>(U143*(AK145*AX144/(AJ143*'1-Eng Inputs'!$C$38))+U146*(AK145*AX146/(AJ146*'1-Eng Inputs'!$C$38))+W143*(AK145*AZ144/(AL143*'1-Eng Inputs'!$C$38))+W146*(AK145*AZ146/(AL146*'1-Eng Inputs'!$C$38)))</f>
        <v>320</v>
      </c>
      <c r="W145" s="382"/>
      <c r="X145" s="1426"/>
      <c r="Y145" s="1426"/>
      <c r="Z145" s="1426"/>
      <c r="AA145" s="1426"/>
      <c r="AB145" s="1426"/>
      <c r="AC145" s="1426"/>
      <c r="AD145" s="1426"/>
      <c r="AE145" s="1426"/>
      <c r="AH145" s="355"/>
      <c r="AI145" s="353">
        <v>3</v>
      </c>
      <c r="AJ145" s="382"/>
      <c r="AK145" s="348">
        <f>AK142</f>
        <v>305.76613605846944</v>
      </c>
      <c r="AL145" s="382"/>
      <c r="AM145" s="1426"/>
      <c r="AN145" s="1426"/>
      <c r="AO145" s="1426"/>
      <c r="AP145" s="1426"/>
      <c r="AQ145" s="1426"/>
      <c r="AR145" s="1426"/>
      <c r="AS145" s="1426"/>
      <c r="AT145" s="1426"/>
      <c r="AW145" s="373"/>
      <c r="AY145" s="381"/>
      <c r="BA145" s="373"/>
      <c r="BB145" s="373"/>
      <c r="BC145" s="373"/>
      <c r="BD145" s="373"/>
      <c r="BE145" s="373"/>
      <c r="BF145" s="373"/>
      <c r="BG145" s="373"/>
      <c r="BH145" s="373"/>
      <c r="BI145" s="373"/>
      <c r="BJ145" s="373"/>
      <c r="BK145" s="373"/>
      <c r="BL145" s="373"/>
      <c r="BM145" s="373"/>
      <c r="BO145" s="355"/>
      <c r="BP145" s="353">
        <v>3</v>
      </c>
      <c r="BQ145" s="382"/>
      <c r="BR145" s="348">
        <f>AK145</f>
        <v>305.76613605846944</v>
      </c>
      <c r="BS145" s="382"/>
      <c r="BT145" s="1426"/>
      <c r="BU145" s="1426"/>
      <c r="BV145" s="1426"/>
      <c r="BW145" s="1426"/>
      <c r="BX145" s="1426"/>
      <c r="BY145" s="1426"/>
      <c r="BZ145" s="1426"/>
      <c r="CA145" s="1426"/>
      <c r="CB145" s="1426"/>
      <c r="CC145" s="1426"/>
    </row>
    <row r="146" spans="4:81">
      <c r="E146" s="352"/>
      <c r="F146" s="1382">
        <f>IF($O$4="NO",ROUNDUP(BQ146-0.00499,0),LEFT(BQ146,1)+(IF(BQ146-LEFT(BQ146,1)&lt;0.00499,0,IF(BQ146-LEFT(BQ146,1)-0.00499&lt;('1-Eng Inputs'!$C$39/'1-Eng Inputs'!$C$38),0.5,1))))</f>
        <v>5</v>
      </c>
      <c r="G146" s="353"/>
      <c r="H146" s="1382">
        <f>IF($O$4="NO",ROUNDUP(BS146-0.00499,0),LEFT(BS146,1)+(IF(BS146-LEFT(BS146,1)&lt;0.00499,0,IF(BS146-LEFT(BS146,1)-0.00499&lt;('1-Eng Inputs'!$C$39/'1-Eng Inputs'!$C$38),0.5,1))))</f>
        <v>5</v>
      </c>
      <c r="I146" s="356"/>
      <c r="J146" s="356"/>
      <c r="K146" s="356"/>
      <c r="L146" s="356"/>
      <c r="M146" s="356"/>
      <c r="N146" s="1426"/>
      <c r="O146" s="1426"/>
      <c r="P146" s="1426"/>
      <c r="U146" s="1414">
        <f>IF(LEFT(F146,3)-LEFT(F146,1)=0.5,'1-Eng Inputs'!$C$39,0)+LEFT(F146,1)*'1-Eng Inputs'!$C$38</f>
        <v>160</v>
      </c>
      <c r="W146" s="1414">
        <f>IF(LEFT(H146,3)-LEFT(H146,1)=0.5,'1-Eng Inputs'!$C$39,0)+LEFT(H146,1)*'1-Eng Inputs'!$C$38</f>
        <v>160</v>
      </c>
      <c r="X146" s="1426"/>
      <c r="Y146" s="1426"/>
      <c r="Z146" s="1426"/>
      <c r="AA146" s="1426"/>
      <c r="AB146" s="1426"/>
      <c r="AC146" s="1426"/>
      <c r="AD146" s="1426"/>
      <c r="AE146" s="1426"/>
      <c r="AJ146" s="1414">
        <f>(AK142*AX146+AK148*AX147)/'1-Eng Inputs'!$C$38</f>
        <v>4.777595875913585</v>
      </c>
      <c r="AL146" s="1414">
        <f>(AK142*AZ146+AK148*AZ147)/'1-Eng Inputs'!$C$38</f>
        <v>4.777595875913585</v>
      </c>
      <c r="AM146" s="1426"/>
      <c r="AN146" s="1426"/>
      <c r="AO146" s="1426"/>
      <c r="AP146" s="1426"/>
      <c r="AQ146" s="1426"/>
      <c r="AR146" s="1426"/>
      <c r="AS146" s="1426"/>
      <c r="AT146" s="1426"/>
      <c r="AW146" s="373"/>
      <c r="AX146" s="1468">
        <v>0.25</v>
      </c>
      <c r="AZ146" s="1468">
        <v>0.25</v>
      </c>
      <c r="BA146" s="373"/>
      <c r="BB146" s="373"/>
      <c r="BC146" s="373"/>
      <c r="BD146" s="373"/>
      <c r="BE146" s="373"/>
      <c r="BF146" s="373"/>
      <c r="BG146" s="373"/>
      <c r="BH146" s="373"/>
      <c r="BI146" s="373"/>
      <c r="BJ146" s="373"/>
      <c r="BK146" s="373"/>
      <c r="BL146" s="373"/>
      <c r="BM146" s="373"/>
      <c r="BQ146" s="1414">
        <f>AJ146</f>
        <v>4.777595875913585</v>
      </c>
      <c r="BS146" s="1414">
        <f>AL146</f>
        <v>4.777595875913585</v>
      </c>
      <c r="BT146" s="1426"/>
      <c r="BU146" s="1426"/>
      <c r="BV146" s="1426"/>
      <c r="BW146" s="1426"/>
      <c r="BX146" s="1426"/>
      <c r="BY146" s="1426"/>
      <c r="BZ146" s="1426"/>
      <c r="CA146" s="1426"/>
      <c r="CB146" s="1426"/>
      <c r="CC146" s="1426"/>
    </row>
    <row r="147" spans="4:81" ht="12.75" hidden="1" customHeight="1">
      <c r="E147" s="352"/>
      <c r="F147" s="1383"/>
      <c r="G147" s="353"/>
      <c r="H147" s="1383"/>
      <c r="I147" s="356"/>
      <c r="J147" s="356"/>
      <c r="K147" s="356"/>
      <c r="L147" s="356"/>
      <c r="M147" s="356"/>
      <c r="N147" s="1426"/>
      <c r="O147" s="1426"/>
      <c r="P147" s="1426"/>
      <c r="U147" s="1415"/>
      <c r="V147" s="1379"/>
      <c r="W147" s="1415"/>
      <c r="X147" s="1426"/>
      <c r="Y147" s="1426"/>
      <c r="Z147" s="1426"/>
      <c r="AA147" s="1426"/>
      <c r="AB147" s="1426"/>
      <c r="AC147" s="1426"/>
      <c r="AD147" s="1426"/>
      <c r="AE147" s="1426"/>
      <c r="AJ147" s="1415"/>
      <c r="AK147" s="1379"/>
      <c r="AL147" s="1415"/>
      <c r="AM147" s="1426"/>
      <c r="AN147" s="1426"/>
      <c r="AO147" s="1426"/>
      <c r="AP147" s="1426"/>
      <c r="AQ147" s="1426"/>
      <c r="AR147" s="1426"/>
      <c r="AS147" s="1426"/>
      <c r="AT147" s="1426"/>
      <c r="AW147" s="373"/>
      <c r="AX147" s="1469">
        <v>0.25</v>
      </c>
      <c r="AZ147" s="1469">
        <v>0.25</v>
      </c>
      <c r="BA147" s="373"/>
      <c r="BB147" s="373"/>
      <c r="BC147" s="373"/>
      <c r="BD147" s="373"/>
      <c r="BE147" s="373"/>
      <c r="BF147" s="373"/>
      <c r="BG147" s="373"/>
      <c r="BH147" s="373"/>
      <c r="BI147" s="373"/>
      <c r="BJ147" s="373"/>
      <c r="BK147" s="373"/>
      <c r="BL147" s="373"/>
      <c r="BM147" s="373"/>
      <c r="BQ147" s="1415"/>
      <c r="BR147" s="1379">
        <f>V148</f>
        <v>320</v>
      </c>
      <c r="BS147" s="1415"/>
      <c r="BT147" s="1426"/>
      <c r="BU147" s="1426"/>
      <c r="BV147" s="1426"/>
      <c r="BW147" s="1426"/>
      <c r="BX147" s="1426"/>
      <c r="BY147" s="1426"/>
      <c r="BZ147" s="1426"/>
      <c r="CA147" s="1426"/>
      <c r="CB147" s="1426"/>
      <c r="CC147" s="1426"/>
    </row>
    <row r="148" spans="4:81" ht="24.75" customHeight="1">
      <c r="D148" s="355"/>
      <c r="E148" s="352">
        <v>5</v>
      </c>
      <c r="F148" s="382"/>
      <c r="G148" s="378" t="s">
        <v>19430</v>
      </c>
      <c r="H148" s="382"/>
      <c r="I148" s="356"/>
      <c r="J148" s="356"/>
      <c r="K148" s="356"/>
      <c r="L148" s="356"/>
      <c r="M148" s="356"/>
      <c r="N148" s="1426"/>
      <c r="O148" s="1426"/>
      <c r="P148" s="1426"/>
      <c r="S148" s="355"/>
      <c r="U148" s="382"/>
      <c r="V148" s="348">
        <f>(U146*(AK148*AX147/(AJ146*'1-Eng Inputs'!$C$38))+U149*(AK148*AX149/(AJ149*'1-Eng Inputs'!$C$38))+W146*(AK148*AZ147/(AL146*'1-Eng Inputs'!$C$38))+W149*(AK148*AZ149/(AL149*'1-Eng Inputs'!$C$38)))</f>
        <v>320</v>
      </c>
      <c r="W148" s="382"/>
      <c r="X148" s="1426"/>
      <c r="Y148" s="1426"/>
      <c r="Z148" s="1426"/>
      <c r="AA148" s="1426"/>
      <c r="AB148" s="1426"/>
      <c r="AC148" s="1426"/>
      <c r="AD148" s="1426"/>
      <c r="AE148" s="1426"/>
      <c r="AH148" s="355"/>
      <c r="AI148" s="353">
        <v>4</v>
      </c>
      <c r="AJ148" s="382"/>
      <c r="AK148" s="348">
        <f>AK142</f>
        <v>305.76613605846944</v>
      </c>
      <c r="AL148" s="382"/>
      <c r="AM148" s="1426"/>
      <c r="AN148" s="1426"/>
      <c r="AO148" s="1426"/>
      <c r="AP148" s="1426"/>
      <c r="AQ148" s="1426"/>
      <c r="AR148" s="1426"/>
      <c r="AS148" s="1426"/>
      <c r="AT148" s="1426"/>
      <c r="AW148" s="373"/>
      <c r="AY148" s="381"/>
      <c r="BA148" s="373"/>
      <c r="BB148" s="373"/>
      <c r="BC148" s="373"/>
      <c r="BD148" s="373"/>
      <c r="BE148" s="373"/>
      <c r="BF148" s="373"/>
      <c r="BG148" s="373"/>
      <c r="BH148" s="373"/>
      <c r="BI148" s="373"/>
      <c r="BJ148" s="373"/>
      <c r="BK148" s="373"/>
      <c r="BL148" s="373"/>
      <c r="BM148" s="373"/>
      <c r="BO148" s="355"/>
      <c r="BP148" s="353">
        <v>4</v>
      </c>
      <c r="BQ148" s="382"/>
      <c r="BR148" s="348">
        <f>AK148</f>
        <v>305.76613605846944</v>
      </c>
      <c r="BS148" s="382"/>
      <c r="BT148" s="1426"/>
      <c r="BU148" s="1426"/>
      <c r="BV148" s="1426"/>
      <c r="BW148" s="1426"/>
      <c r="BX148" s="1426"/>
      <c r="BY148" s="1426"/>
      <c r="BZ148" s="1426"/>
      <c r="CA148" s="1426"/>
      <c r="CB148" s="1426"/>
      <c r="CC148" s="1426"/>
    </row>
    <row r="149" spans="4:81">
      <c r="E149" s="352"/>
      <c r="F149" s="1382">
        <f>IF($O$4="NO",ROUNDUP(BQ149-0.00499,0),LEFT(BQ149,1)+(IF(BQ149-LEFT(BQ149,1)&lt;0.00499,0,IF(BQ149-LEFT(BQ149,1)-0.00499&lt;('1-Eng Inputs'!$C$39/'1-Eng Inputs'!$C$38),0.5,1))))</f>
        <v>5</v>
      </c>
      <c r="G149" s="353"/>
      <c r="H149" s="1382">
        <f>IF($O$4="NO",ROUNDUP(BS149-0.00499,0),LEFT(BS149,1)+(IF(BS149-LEFT(BS149,1)&lt;0.00499,0,IF(BS149-LEFT(BS149,1)-0.00499&lt;('1-Eng Inputs'!$C$39/'1-Eng Inputs'!$C$38),0.5,1))))</f>
        <v>5</v>
      </c>
      <c r="I149" s="356"/>
      <c r="J149" s="356"/>
      <c r="K149" s="356"/>
      <c r="L149" s="356"/>
      <c r="M149" s="356"/>
      <c r="N149" s="1426"/>
      <c r="O149" s="1426"/>
      <c r="P149" s="1426"/>
      <c r="U149" s="1414">
        <f>IF(LEFT(F149,3)-LEFT(F149,1)=0.5,'1-Eng Inputs'!$C$39,0)+LEFT(F149,1)*'1-Eng Inputs'!$C$38</f>
        <v>160</v>
      </c>
      <c r="W149" s="1414">
        <f>IF(LEFT(H149,3)-LEFT(H149,1)=0.5,'1-Eng Inputs'!$C$39,0)+LEFT(H149,1)*'1-Eng Inputs'!$C$38</f>
        <v>160</v>
      </c>
      <c r="X149" s="1426"/>
      <c r="Y149" s="1426"/>
      <c r="Z149" s="1426"/>
      <c r="AA149" s="1426"/>
      <c r="AB149" s="1426"/>
      <c r="AC149" s="1426"/>
      <c r="AD149" s="1426"/>
      <c r="AE149" s="1426"/>
      <c r="AJ149" s="1414">
        <f>(AK145*AX149+AK151*AX150)/'1-Eng Inputs'!$C$38</f>
        <v>4.777595875913585</v>
      </c>
      <c r="AL149" s="1414">
        <f>(AK145*AZ149+AK151*AZ150)/'1-Eng Inputs'!$C$38</f>
        <v>4.777595875913585</v>
      </c>
      <c r="AM149" s="1426"/>
      <c r="AN149" s="1426"/>
      <c r="AO149" s="1426"/>
      <c r="AP149" s="1426"/>
      <c r="AQ149" s="1426"/>
      <c r="AR149" s="1426"/>
      <c r="AS149" s="1426"/>
      <c r="AT149" s="1426"/>
      <c r="AW149" s="373"/>
      <c r="AX149" s="1468">
        <v>0.25</v>
      </c>
      <c r="AZ149" s="1468">
        <v>0.25</v>
      </c>
      <c r="BA149" s="373"/>
      <c r="BB149" s="373"/>
      <c r="BC149" s="373"/>
      <c r="BD149" s="373"/>
      <c r="BE149" s="373"/>
      <c r="BF149" s="373"/>
      <c r="BG149" s="373"/>
      <c r="BH149" s="373"/>
      <c r="BI149" s="373"/>
      <c r="BJ149" s="373"/>
      <c r="BK149" s="373"/>
      <c r="BL149" s="373"/>
      <c r="BM149" s="373"/>
      <c r="BQ149" s="1414">
        <f>AJ149</f>
        <v>4.777595875913585</v>
      </c>
      <c r="BS149" s="1414">
        <f>AL149</f>
        <v>4.777595875913585</v>
      </c>
      <c r="BT149" s="1426"/>
      <c r="BU149" s="1426"/>
      <c r="BV149" s="1426"/>
      <c r="BW149" s="1426"/>
      <c r="BX149" s="1426"/>
      <c r="BY149" s="1426"/>
      <c r="BZ149" s="1426"/>
      <c r="CA149" s="1426"/>
      <c r="CB149" s="1426"/>
      <c r="CC149" s="1426"/>
    </row>
    <row r="150" spans="4:81" ht="12.75" hidden="1" customHeight="1">
      <c r="E150" s="352"/>
      <c r="F150" s="1383"/>
      <c r="G150" s="353"/>
      <c r="H150" s="1383"/>
      <c r="I150" s="356"/>
      <c r="J150" s="356"/>
      <c r="K150" s="356"/>
      <c r="L150" s="356"/>
      <c r="M150" s="356"/>
      <c r="N150" s="1426"/>
      <c r="O150" s="1426"/>
      <c r="P150" s="1426"/>
      <c r="U150" s="1415"/>
      <c r="V150" s="1379"/>
      <c r="W150" s="1415"/>
      <c r="X150" s="1426"/>
      <c r="Y150" s="1426"/>
      <c r="Z150" s="1426"/>
      <c r="AA150" s="1426"/>
      <c r="AB150" s="1426"/>
      <c r="AC150" s="1426"/>
      <c r="AD150" s="1426"/>
      <c r="AE150" s="1426"/>
      <c r="AJ150" s="1415"/>
      <c r="AK150" s="1379"/>
      <c r="AL150" s="1415"/>
      <c r="AM150" s="1426"/>
      <c r="AN150" s="1426"/>
      <c r="AO150" s="1426"/>
      <c r="AP150" s="1426"/>
      <c r="AQ150" s="1426"/>
      <c r="AR150" s="1426"/>
      <c r="AS150" s="1426"/>
      <c r="AT150" s="1426"/>
      <c r="AW150" s="373"/>
      <c r="AX150" s="1469">
        <v>0.25</v>
      </c>
      <c r="AZ150" s="1469">
        <v>0.25</v>
      </c>
      <c r="BA150" s="373"/>
      <c r="BB150" s="373"/>
      <c r="BC150" s="373"/>
      <c r="BD150" s="373"/>
      <c r="BE150" s="373"/>
      <c r="BF150" s="373"/>
      <c r="BG150" s="373"/>
      <c r="BH150" s="373"/>
      <c r="BI150" s="373"/>
      <c r="BJ150" s="373"/>
      <c r="BK150" s="373"/>
      <c r="BL150" s="373"/>
      <c r="BM150" s="373"/>
      <c r="BQ150" s="1415"/>
      <c r="BR150" s="1379">
        <f>V151</f>
        <v>313.60000000000002</v>
      </c>
      <c r="BS150" s="1415"/>
      <c r="BT150" s="1426"/>
      <c r="BU150" s="1426"/>
      <c r="BV150" s="1426"/>
      <c r="BW150" s="1426"/>
      <c r="BX150" s="1426"/>
      <c r="BY150" s="1426"/>
      <c r="BZ150" s="1426"/>
      <c r="CA150" s="1426"/>
      <c r="CB150" s="1426"/>
      <c r="CC150" s="1426"/>
    </row>
    <row r="151" spans="4:81" ht="24.75" customHeight="1">
      <c r="D151" s="355"/>
      <c r="E151" s="352">
        <v>6</v>
      </c>
      <c r="F151" s="382"/>
      <c r="G151" s="378" t="s">
        <v>19430</v>
      </c>
      <c r="H151" s="382"/>
      <c r="I151" s="356"/>
      <c r="J151" s="356"/>
      <c r="K151" s="356"/>
      <c r="L151" s="356"/>
      <c r="M151" s="356"/>
      <c r="N151" s="1426"/>
      <c r="O151" s="1426"/>
      <c r="P151" s="1426"/>
      <c r="S151" s="355"/>
      <c r="U151" s="382"/>
      <c r="V151" s="348">
        <f>(U149*(AK151*AX150/(AJ149*'1-Eng Inputs'!$C$38))+U152*(AK151*AX152/(AJ152*'1-Eng Inputs'!$C$38))+W149*(AK151*AZ150/(AL149*'1-Eng Inputs'!$C$38))+W152*(AK151*AZ152/(AL152*'1-Eng Inputs'!$C$38)))</f>
        <v>313.60000000000002</v>
      </c>
      <c r="W151" s="382"/>
      <c r="X151" s="1426"/>
      <c r="Y151" s="1426"/>
      <c r="Z151" s="1426"/>
      <c r="AA151" s="1426"/>
      <c r="AB151" s="1426"/>
      <c r="AC151" s="1426"/>
      <c r="AD151" s="1426"/>
      <c r="AE151" s="1426"/>
      <c r="AH151" s="355"/>
      <c r="AI151" s="353">
        <v>4</v>
      </c>
      <c r="AJ151" s="382"/>
      <c r="AK151" s="348">
        <f>AK145</f>
        <v>305.76613605846944</v>
      </c>
      <c r="AL151" s="382"/>
      <c r="AM151" s="1426"/>
      <c r="AN151" s="1426"/>
      <c r="AO151" s="1426"/>
      <c r="AP151" s="1426"/>
      <c r="AQ151" s="1426"/>
      <c r="AR151" s="1426"/>
      <c r="AS151" s="1426"/>
      <c r="AT151" s="1426"/>
      <c r="AW151" s="373"/>
      <c r="AY151" s="381"/>
      <c r="BA151" s="373"/>
      <c r="BB151" s="373"/>
      <c r="BC151" s="373"/>
      <c r="BD151" s="373"/>
      <c r="BE151" s="373"/>
      <c r="BF151" s="373"/>
      <c r="BG151" s="373"/>
      <c r="BH151" s="373"/>
      <c r="BI151" s="373"/>
      <c r="BJ151" s="373"/>
      <c r="BK151" s="373"/>
      <c r="BL151" s="373"/>
      <c r="BM151" s="373"/>
      <c r="BO151" s="355"/>
      <c r="BP151" s="353">
        <v>4</v>
      </c>
      <c r="BQ151" s="382"/>
      <c r="BR151" s="348">
        <f>AK151</f>
        <v>305.76613605846944</v>
      </c>
      <c r="BS151" s="382"/>
      <c r="BT151" s="1426"/>
      <c r="BU151" s="1426"/>
      <c r="BV151" s="1426"/>
      <c r="BW151" s="1426"/>
      <c r="BX151" s="1426"/>
      <c r="BY151" s="1426"/>
      <c r="BZ151" s="1426"/>
      <c r="CA151" s="1426"/>
      <c r="CB151" s="1426"/>
      <c r="CC151" s="1426"/>
    </row>
    <row r="152" spans="4:81" ht="12.75" customHeight="1">
      <c r="E152" s="352"/>
      <c r="F152" s="1382">
        <f>IF($O$4="NO",ROUNDUP(BQ152-0.00499,0),LEFT(BQ152,1)+(IF(BQ152-LEFT(BQ152,1)&lt;0.00499,0,IF(BQ152-LEFT(BQ152,1)-0.00499&lt;('1-Eng Inputs'!$C$39/'1-Eng Inputs'!$C$38),0.5,1))))</f>
        <v>4</v>
      </c>
      <c r="G152" s="353"/>
      <c r="H152" s="1382">
        <f>IF($O$4="NO",ROUNDUP(BS152-0.00499,0),LEFT(BS152,1)+(IF(BS152-LEFT(BS152,1)&lt;0.00499,0,IF(BS152-LEFT(BS152,1)-0.00499&lt;('1-Eng Inputs'!$C$39/'1-Eng Inputs'!$C$38),0.5,1))))</f>
        <v>4</v>
      </c>
      <c r="I152" s="1426"/>
      <c r="J152" s="1426"/>
      <c r="K152" s="1426"/>
      <c r="L152" s="1426"/>
      <c r="M152" s="1426"/>
      <c r="N152" s="1426"/>
      <c r="O152" s="1426"/>
      <c r="P152" s="1426"/>
      <c r="U152" s="1384">
        <f>IF(LEFT(F152,3)-LEFT(F152,1)=0.5,'1-Eng Inputs'!$C$39,0)+LEFT(F152,1)*'1-Eng Inputs'!$C$38</f>
        <v>128</v>
      </c>
      <c r="W152" s="1384">
        <f>IF(LEFT(H152,3)-LEFT(H152,1)=0.5,'1-Eng Inputs'!$C$39,0)+LEFT(H152,1)*'1-Eng Inputs'!$C$38</f>
        <v>128</v>
      </c>
      <c r="X152" s="1426"/>
      <c r="Y152" s="1426"/>
      <c r="Z152" s="1426"/>
      <c r="AA152" s="1426"/>
      <c r="AB152" s="1426"/>
      <c r="AC152" s="1426"/>
      <c r="AD152" s="1426"/>
      <c r="AE152" s="1426"/>
      <c r="AJ152" s="1384">
        <f>(AK151*AX152+AK154*AX153)/'1-Eng Inputs'!$C$38</f>
        <v>3.9813298965946542</v>
      </c>
      <c r="AL152" s="1384">
        <f>(AK151*AZ152+AK154*AZ153)/'1-Eng Inputs'!$C$38</f>
        <v>3.9813298965946542</v>
      </c>
      <c r="AM152" s="1426"/>
      <c r="AN152" s="1426"/>
      <c r="AO152" s="1426"/>
      <c r="AP152" s="1426"/>
      <c r="AQ152" s="1426"/>
      <c r="AR152" s="1426"/>
      <c r="AS152" s="1426"/>
      <c r="AT152" s="1426"/>
      <c r="AW152" s="373"/>
      <c r="AX152" s="1468">
        <v>0.25</v>
      </c>
      <c r="AZ152" s="1468">
        <v>0.25</v>
      </c>
      <c r="BA152" s="373"/>
      <c r="BB152" s="373"/>
      <c r="BC152" s="373"/>
      <c r="BD152" s="373"/>
      <c r="BE152" s="373"/>
      <c r="BF152" s="373"/>
      <c r="BG152" s="373"/>
      <c r="BH152" s="373"/>
      <c r="BI152" s="373"/>
      <c r="BJ152" s="373"/>
      <c r="BK152" s="373"/>
      <c r="BL152" s="373"/>
      <c r="BM152" s="373"/>
      <c r="BQ152" s="1384">
        <f>AJ152</f>
        <v>3.9813298965946542</v>
      </c>
      <c r="BS152" s="1384">
        <f>AL152</f>
        <v>3.9813298965946542</v>
      </c>
      <c r="BT152" s="1426"/>
      <c r="BU152" s="1426"/>
      <c r="BV152" s="1426"/>
      <c r="BW152" s="1426"/>
      <c r="BX152" s="1426"/>
      <c r="BY152" s="1426"/>
      <c r="BZ152" s="1426"/>
      <c r="CA152" s="1426"/>
      <c r="CB152" s="1426"/>
      <c r="CC152" s="1426"/>
    </row>
    <row r="153" spans="4:81" ht="12.75" hidden="1" customHeight="1">
      <c r="E153" s="352"/>
      <c r="F153" s="1383"/>
      <c r="G153" s="353"/>
      <c r="H153" s="1383"/>
      <c r="I153" s="1426"/>
      <c r="J153" s="1426"/>
      <c r="K153" s="1426"/>
      <c r="L153" s="1426"/>
      <c r="M153" s="1426"/>
      <c r="N153" s="1426"/>
      <c r="O153" s="1426"/>
      <c r="P153" s="1426"/>
      <c r="U153" s="1385"/>
      <c r="V153" s="357"/>
      <c r="W153" s="1385"/>
      <c r="X153" s="1426"/>
      <c r="Y153" s="1426"/>
      <c r="Z153" s="1426"/>
      <c r="AA153" s="1426"/>
      <c r="AB153" s="1426"/>
      <c r="AC153" s="1426"/>
      <c r="AD153" s="1426"/>
      <c r="AE153" s="1426"/>
      <c r="AJ153" s="1385"/>
      <c r="AK153" s="1379"/>
      <c r="AL153" s="1385"/>
      <c r="AM153" s="1426"/>
      <c r="AN153" s="1426"/>
      <c r="AO153" s="1426"/>
      <c r="AP153" s="1426"/>
      <c r="AQ153" s="1426"/>
      <c r="AR153" s="1426"/>
      <c r="AS153" s="1426"/>
      <c r="AT153" s="1426"/>
      <c r="AW153" s="373"/>
      <c r="AX153" s="1469">
        <v>0.16666666666666666</v>
      </c>
      <c r="AZ153" s="1469">
        <v>0.16666666666666666</v>
      </c>
      <c r="BB153" s="373"/>
      <c r="BC153" s="373"/>
      <c r="BD153" s="373"/>
      <c r="BE153" s="373"/>
      <c r="BF153" s="373"/>
      <c r="BG153" s="373"/>
      <c r="BH153" s="373"/>
      <c r="BI153" s="373"/>
      <c r="BJ153" s="373"/>
      <c r="BK153" s="373"/>
      <c r="BL153" s="373"/>
      <c r="BM153" s="373"/>
      <c r="BQ153" s="1385"/>
      <c r="BR153" s="357">
        <f>V154</f>
        <v>342.4</v>
      </c>
      <c r="BS153" s="1385"/>
      <c r="BT153" s="1426"/>
      <c r="BU153" s="1426"/>
      <c r="BV153" s="1426"/>
      <c r="BW153" s="1426"/>
      <c r="BX153" s="1426"/>
      <c r="BY153" s="1426"/>
      <c r="BZ153" s="1426"/>
      <c r="CA153" s="1426"/>
      <c r="CB153" s="1426"/>
      <c r="CC153" s="1426"/>
    </row>
    <row r="154" spans="4:81" ht="26.25" customHeight="1">
      <c r="E154" s="352">
        <v>7</v>
      </c>
      <c r="F154" s="382"/>
      <c r="G154" s="378" t="s">
        <v>19430</v>
      </c>
      <c r="H154" s="382"/>
      <c r="I154" s="1426"/>
      <c r="J154" s="1426"/>
      <c r="K154" s="1426"/>
      <c r="L154" s="1426"/>
      <c r="M154" s="1426"/>
      <c r="N154" s="1426"/>
      <c r="O154" s="1426"/>
      <c r="P154" s="1426"/>
      <c r="U154" s="382"/>
      <c r="V154" s="348">
        <f>U152*(AK154*AX153/(AJ152*'1-Eng Inputs'!$C$38))+U155*(AK154*AX155/(AJ155*'1-Eng Inputs'!$C$38))/factors!$B$4+W152*(AK154*AZ153/(AL152*'1-Eng Inputs'!$C$38))+W155*(AK154*AZ155/(AL155*'1-Eng Inputs'!$C$38))/factors!$B$4</f>
        <v>342.4</v>
      </c>
      <c r="W154" s="382"/>
      <c r="X154" s="1426"/>
      <c r="Y154" s="1426"/>
      <c r="Z154" s="1426"/>
      <c r="AA154" s="1426"/>
      <c r="AB154" s="1426"/>
      <c r="AC154" s="1426"/>
      <c r="AD154" s="1426"/>
      <c r="AE154" s="1426"/>
      <c r="AJ154" s="382"/>
      <c r="AK154" s="348">
        <f>'Land Calcs 10deg (lift)'!D37</f>
        <v>305.76613605846944</v>
      </c>
      <c r="AL154" s="382"/>
      <c r="AM154" s="1426"/>
      <c r="AN154" s="1426"/>
      <c r="AO154" s="1426"/>
      <c r="AP154" s="1426"/>
      <c r="AQ154" s="1426"/>
      <c r="AR154" s="1426"/>
      <c r="AS154" s="1426"/>
      <c r="AT154" s="1426"/>
      <c r="AW154" s="373"/>
      <c r="AY154" s="381"/>
      <c r="BB154" s="373"/>
      <c r="BC154" s="373"/>
      <c r="BD154" s="373"/>
      <c r="BE154" s="373"/>
      <c r="BF154" s="373"/>
      <c r="BG154" s="373"/>
      <c r="BH154" s="373"/>
      <c r="BI154" s="373"/>
      <c r="BJ154" s="373"/>
      <c r="BK154" s="373"/>
      <c r="BL154" s="373"/>
      <c r="BM154" s="373"/>
      <c r="BQ154" s="382"/>
      <c r="BR154" s="348">
        <f>AK154</f>
        <v>305.76613605846944</v>
      </c>
      <c r="BS154" s="382"/>
      <c r="BT154" s="1426"/>
      <c r="BU154" s="1426"/>
      <c r="BV154" s="1426"/>
      <c r="BW154" s="1426"/>
      <c r="BX154" s="1426"/>
      <c r="BY154" s="1426"/>
      <c r="BZ154" s="1426"/>
      <c r="CA154" s="1426"/>
      <c r="CB154" s="1426"/>
      <c r="CC154" s="1426"/>
    </row>
    <row r="155" spans="4:81" hidden="1">
      <c r="E155" s="352"/>
      <c r="F155" s="1516"/>
      <c r="H155" s="1516"/>
      <c r="I155" s="1426"/>
      <c r="J155" s="1426"/>
      <c r="K155" s="1426"/>
      <c r="L155" s="1426"/>
      <c r="M155" s="1426"/>
      <c r="N155" s="1426"/>
      <c r="O155" s="1426"/>
      <c r="P155" s="1426"/>
      <c r="U155" s="1384">
        <f>IF(LEFT(F156,3)-LEFT(F156,1)=0.5,'1-Eng Inputs'!$C$39,0)+LEFT(F156,1)*'1-Eng Inputs'!$C$38</f>
        <v>192</v>
      </c>
      <c r="W155" s="1384">
        <f>IF(LEFT(H156,3)-LEFT(H156,1)=0.5,'1-Eng Inputs'!$C$39,0)+LEFT(H156,1)*'1-Eng Inputs'!$C$38</f>
        <v>192</v>
      </c>
      <c r="X155" s="1426"/>
      <c r="Y155" s="1426"/>
      <c r="Z155" s="1426"/>
      <c r="AA155" s="1426"/>
      <c r="AB155" s="1426"/>
      <c r="AC155" s="1426"/>
      <c r="AD155" s="1426"/>
      <c r="AE155" s="1426"/>
      <c r="AJ155" s="1384">
        <f>(AK154*AX155+AK157*AX156)/'1-Eng Inputs'!$C$38</f>
        <v>3.1850639172757234</v>
      </c>
      <c r="AL155" s="1384">
        <f>(AK154*AZ155+AK157*AZ156)/'1-Eng Inputs'!$C$38</f>
        <v>3.1850639172757234</v>
      </c>
      <c r="AM155" s="1426"/>
      <c r="AN155" s="1426"/>
      <c r="AO155" s="1426"/>
      <c r="AP155" s="1426"/>
      <c r="AQ155" s="1426"/>
      <c r="AR155" s="1426"/>
      <c r="AS155" s="1426"/>
      <c r="AT155" s="1426"/>
      <c r="AW155" s="373"/>
      <c r="AX155" s="1396">
        <v>0.33333333333333331</v>
      </c>
      <c r="AZ155" s="1396">
        <v>0.33333333333333331</v>
      </c>
      <c r="BB155" s="373"/>
      <c r="BC155" s="373"/>
      <c r="BD155" s="373"/>
      <c r="BE155" s="373"/>
      <c r="BF155" s="373"/>
      <c r="BG155" s="373"/>
      <c r="BH155" s="373"/>
      <c r="BI155" s="373"/>
      <c r="BJ155" s="373"/>
      <c r="BK155" s="373"/>
      <c r="BL155" s="373"/>
      <c r="BM155" s="373"/>
      <c r="BQ155" s="1384">
        <f>BQ156/factors!$B$4</f>
        <v>3.1850639172757234</v>
      </c>
      <c r="BS155" s="1384">
        <f>BS156/factors!$B$4</f>
        <v>3.1850639172757234</v>
      </c>
      <c r="BT155" s="1426"/>
      <c r="BU155" s="1426"/>
      <c r="BV155" s="1426"/>
      <c r="BW155" s="1426"/>
      <c r="BX155" s="1426"/>
      <c r="BY155" s="1426"/>
      <c r="BZ155" s="1426"/>
      <c r="CA155" s="1426"/>
      <c r="CB155" s="1426"/>
      <c r="CC155" s="1426"/>
    </row>
    <row r="156" spans="4:81">
      <c r="E156" s="352"/>
      <c r="F156" s="1383">
        <f>IF($O$4="NO",ROUNDUP(BQ156-0.00499,0),LEFT(BQ156,1)+(IF(BQ156-LEFT(BQ156,1)&lt;0.00499,0,IF(BQ156-LEFT(BQ156,1)-0.00499&lt;('1-Eng Inputs'!$C$39/'1-Eng Inputs'!$C$38),0.5,1))))</f>
        <v>6</v>
      </c>
      <c r="G156" s="353"/>
      <c r="H156" s="1383">
        <f>IF($O$4="NO",ROUNDUP(BS156-0.00499,0),LEFT(BS156,1)+(IF(BS156-LEFT(BS156,1)&lt;0.00499,0,IF(BS156-LEFT(BS156,1)-0.00499&lt;('1-Eng Inputs'!$C$39/'1-Eng Inputs'!$C$38),0.5,1))))</f>
        <v>6</v>
      </c>
      <c r="U156" s="1385"/>
      <c r="V156" s="357"/>
      <c r="W156" s="1385"/>
      <c r="AJ156" s="1385">
        <f>AJ155*factors!$B$4</f>
        <v>5.0961022676411574</v>
      </c>
      <c r="AK156" s="1379"/>
      <c r="AL156" s="1385">
        <f>AL155*factors!$B$4</f>
        <v>5.0961022676411574</v>
      </c>
      <c r="AX156" s="1397"/>
      <c r="AZ156" s="1397"/>
      <c r="BQ156" s="1385">
        <f>AJ156</f>
        <v>5.0961022676411574</v>
      </c>
      <c r="BR156" s="357"/>
      <c r="BS156" s="1385">
        <f>AL156</f>
        <v>5.0961022676411574</v>
      </c>
    </row>
    <row r="157" spans="4:81">
      <c r="E157" s="352"/>
      <c r="G157" s="1379" t="s">
        <v>19534</v>
      </c>
    </row>
    <row r="158" spans="4:81">
      <c r="E158" s="352"/>
    </row>
    <row r="159" spans="4:81">
      <c r="E159" s="352"/>
    </row>
    <row r="160" spans="4:81">
      <c r="E160" s="352"/>
      <c r="BB160" s="1379" t="s">
        <v>19364</v>
      </c>
      <c r="BC160" s="1379"/>
      <c r="BD160" s="1379" t="s">
        <v>19365</v>
      </c>
      <c r="BE160" s="1379"/>
      <c r="BF160" s="1379" t="s">
        <v>19366</v>
      </c>
      <c r="BG160" s="350"/>
    </row>
    <row r="161" spans="5:59">
      <c r="E161" s="352"/>
      <c r="BB161" s="1379"/>
      <c r="BC161" s="1379" t="s">
        <v>19370</v>
      </c>
      <c r="BD161" s="1379"/>
      <c r="BE161" s="1379" t="s">
        <v>19371</v>
      </c>
      <c r="BF161" s="1379"/>
      <c r="BG161" s="350"/>
    </row>
    <row r="162" spans="5:59">
      <c r="E162" s="352"/>
      <c r="BB162" s="366"/>
      <c r="BC162" s="1379"/>
      <c r="BD162" s="366"/>
      <c r="BE162" s="1379"/>
      <c r="BF162" s="366"/>
      <c r="BG162" s="365"/>
    </row>
    <row r="163" spans="5:59">
      <c r="E163" s="352"/>
      <c r="BB163" s="1379" t="s">
        <v>19365</v>
      </c>
      <c r="BC163" s="1379"/>
      <c r="BD163" s="362" t="s">
        <v>19367</v>
      </c>
      <c r="BE163" s="1379"/>
      <c r="BF163" s="1379" t="s">
        <v>19368</v>
      </c>
      <c r="BG163" s="361"/>
    </row>
    <row r="164" spans="5:59">
      <c r="E164" s="352"/>
      <c r="BB164" s="1379"/>
      <c r="BC164" s="1379" t="s">
        <v>19372</v>
      </c>
      <c r="BD164" s="1379"/>
      <c r="BE164" s="1379" t="s">
        <v>19373</v>
      </c>
      <c r="BF164" s="1379"/>
      <c r="BG164" s="350"/>
    </row>
    <row r="165" spans="5:59">
      <c r="E165" s="352"/>
      <c r="BB165" s="1379"/>
      <c r="BC165" s="1379"/>
      <c r="BD165" s="1379"/>
      <c r="BE165" s="1379"/>
      <c r="BF165" s="1379"/>
      <c r="BG165" s="350"/>
    </row>
    <row r="166" spans="5:59">
      <c r="E166" s="352"/>
      <c r="BB166" s="1379" t="s">
        <v>19366</v>
      </c>
      <c r="BC166" s="1379"/>
      <c r="BD166" s="1379" t="s">
        <v>19377</v>
      </c>
      <c r="BE166" s="1379"/>
      <c r="BF166" s="1379" t="s">
        <v>19369</v>
      </c>
      <c r="BG166" s="350"/>
    </row>
    <row r="167" spans="5:59">
      <c r="E167" s="352"/>
      <c r="BB167" s="1379"/>
      <c r="BC167" s="367"/>
      <c r="BD167" s="1379"/>
      <c r="BE167" s="367"/>
      <c r="BF167" s="1379"/>
      <c r="BG167" s="350"/>
    </row>
    <row r="168" spans="5:59">
      <c r="E168" s="352"/>
      <c r="BB168" s="357"/>
      <c r="BC168" s="364"/>
      <c r="BD168" s="1379"/>
      <c r="BE168" s="364"/>
      <c r="BF168" s="357"/>
      <c r="BG168" s="350"/>
    </row>
    <row r="169" spans="5:59" ht="12.75" customHeight="1">
      <c r="E169" s="352"/>
      <c r="BB169" s="1380" t="s">
        <v>19374</v>
      </c>
      <c r="BC169" s="1380"/>
      <c r="BD169" s="1380"/>
      <c r="BE169" s="1380"/>
      <c r="BF169" s="1380"/>
      <c r="BG169" s="1380"/>
    </row>
    <row r="170" spans="5:59">
      <c r="E170" s="352"/>
      <c r="BB170" s="1381" t="s">
        <v>19375</v>
      </c>
      <c r="BC170" s="1381"/>
      <c r="BD170" s="1381"/>
      <c r="BE170" s="1381"/>
      <c r="BF170" s="1381"/>
      <c r="BG170" s="350"/>
    </row>
    <row r="171" spans="5:59">
      <c r="E171" s="352"/>
    </row>
    <row r="172" spans="5:59">
      <c r="E172" s="352"/>
    </row>
    <row r="173" spans="5:59">
      <c r="E173" s="352"/>
    </row>
    <row r="174" spans="5:59">
      <c r="E174" s="352"/>
    </row>
    <row r="175" spans="5:59">
      <c r="E175" s="352"/>
    </row>
    <row r="176" spans="5:59">
      <c r="E176" s="352"/>
    </row>
    <row r="177" spans="5:5">
      <c r="E177" s="352"/>
    </row>
    <row r="178" spans="5:5">
      <c r="E178" s="352"/>
    </row>
    <row r="179" spans="5:5">
      <c r="E179" s="352"/>
    </row>
    <row r="180" spans="5:5">
      <c r="E180" s="352"/>
    </row>
    <row r="181" spans="5:5">
      <c r="E181" s="352"/>
    </row>
    <row r="182" spans="5:5">
      <c r="E182" s="352"/>
    </row>
    <row r="183" spans="5:5">
      <c r="E183" s="352"/>
    </row>
    <row r="184" spans="5:5">
      <c r="E184" s="352"/>
    </row>
    <row r="185" spans="5:5">
      <c r="E185" s="352"/>
    </row>
    <row r="186" spans="5:5">
      <c r="E186" s="352"/>
    </row>
    <row r="187" spans="5:5">
      <c r="E187" s="352"/>
    </row>
    <row r="188" spans="5:5">
      <c r="E188" s="352"/>
    </row>
    <row r="189" spans="5:5">
      <c r="E189" s="352"/>
    </row>
    <row r="190" spans="5:5">
      <c r="E190" s="352"/>
    </row>
    <row r="191" spans="5:5">
      <c r="E191" s="352"/>
    </row>
    <row r="192" spans="5:5">
      <c r="E192" s="352"/>
    </row>
    <row r="193" spans="5:5">
      <c r="E193" s="352"/>
    </row>
    <row r="194" spans="5:5">
      <c r="E194" s="352"/>
    </row>
    <row r="195" spans="5:5">
      <c r="E195" s="352"/>
    </row>
    <row r="196" spans="5:5">
      <c r="E196" s="352"/>
    </row>
    <row r="197" spans="5:5">
      <c r="E197" s="352"/>
    </row>
    <row r="198" spans="5:5">
      <c r="E198" s="352"/>
    </row>
    <row r="199" spans="5:5">
      <c r="E199" s="352"/>
    </row>
    <row r="200" spans="5:5">
      <c r="E200" s="352"/>
    </row>
    <row r="201" spans="5:5">
      <c r="E201" s="352"/>
    </row>
    <row r="202" spans="5:5">
      <c r="E202" s="352"/>
    </row>
    <row r="203" spans="5:5">
      <c r="E203" s="352"/>
    </row>
    <row r="204" spans="5:5">
      <c r="E204" s="352"/>
    </row>
    <row r="205" spans="5:5">
      <c r="E205" s="352"/>
    </row>
    <row r="206" spans="5:5">
      <c r="E206" s="352"/>
    </row>
    <row r="207" spans="5:5">
      <c r="E207" s="352"/>
    </row>
    <row r="208" spans="5:5">
      <c r="E208" s="352"/>
    </row>
    <row r="209" spans="5:5">
      <c r="E209" s="352"/>
    </row>
    <row r="210" spans="5:5">
      <c r="E210" s="352"/>
    </row>
    <row r="211" spans="5:5">
      <c r="E211" s="352"/>
    </row>
    <row r="212" spans="5:5">
      <c r="E212" s="352"/>
    </row>
    <row r="213" spans="5:5">
      <c r="E213" s="352"/>
    </row>
    <row r="214" spans="5:5">
      <c r="E214" s="352"/>
    </row>
    <row r="215" spans="5:5">
      <c r="E215" s="352"/>
    </row>
    <row r="216" spans="5:5">
      <c r="E216" s="352"/>
    </row>
    <row r="217" spans="5:5">
      <c r="E217" s="352"/>
    </row>
    <row r="218" spans="5:5">
      <c r="E218" s="352"/>
    </row>
    <row r="219" spans="5:5">
      <c r="E219" s="352"/>
    </row>
    <row r="220" spans="5:5">
      <c r="E220" s="352"/>
    </row>
    <row r="221" spans="5:5">
      <c r="E221" s="352"/>
    </row>
    <row r="222" spans="5:5">
      <c r="E222" s="352"/>
    </row>
    <row r="223" spans="5:5">
      <c r="E223" s="352"/>
    </row>
    <row r="224" spans="5:5">
      <c r="E224" s="352"/>
    </row>
    <row r="225" spans="5:5">
      <c r="E225" s="352"/>
    </row>
    <row r="226" spans="5:5">
      <c r="E226" s="352"/>
    </row>
    <row r="227" spans="5:5">
      <c r="E227" s="352"/>
    </row>
    <row r="228" spans="5:5">
      <c r="E228" s="352"/>
    </row>
    <row r="229" spans="5:5">
      <c r="E229" s="352"/>
    </row>
    <row r="230" spans="5:5">
      <c r="E230" s="352"/>
    </row>
    <row r="231" spans="5:5">
      <c r="E231" s="352"/>
    </row>
    <row r="232" spans="5:5">
      <c r="E232" s="352"/>
    </row>
    <row r="233" spans="5:5">
      <c r="E233" s="352"/>
    </row>
    <row r="234" spans="5:5">
      <c r="E234" s="352"/>
    </row>
    <row r="235" spans="5:5">
      <c r="E235" s="352"/>
    </row>
    <row r="236" spans="5:5">
      <c r="E236" s="352"/>
    </row>
    <row r="237" spans="5:5">
      <c r="E237" s="352"/>
    </row>
  </sheetData>
  <mergeCells count="1">
    <mergeCell ref="BT2:BV2"/>
  </mergeCells>
  <conditionalFormatting sqref="BR13 BT61 BV61 BX61 BZ61 BR70 BT70 BV70 BX70 BR79 BT79 BV79 BR82 BT82 BV82 BV85 BT85 BR85 BR88 BT88 BV88 BV91 BT91 BR91 BR94 BT94 BV94 BV97 BT97 BR97 BR100 BT100 BV100 BR109 BT109 BT112 BR112 BR115 BT115 BT118 BR118 BR121 BT121 BT124 BR124 BR127 BT127 BT130 BR130 BR139 BR142 BR145 BR151 BR154 BR16 BR19 BR22 BR25 BR28 BR31 BR34 BT34 BT31 BT28 BT25 BT22 BT19 BT16 BT13 BV13 BV16 BV19 BV22 BV25 BV28 BV31 BV34 BX34 BX31 BX28 BX25 BX22 BX19 BX16 BX13 BZ13 BZ16 BZ19 BZ22 BZ25 BZ28 BZ31 BZ34 BR43 BT43 BV43 BX43 BZ43 BZ46 BX46 BV46 BT46 BR46 BR49 BT49 BV49 BX49 BZ49 BZ58 BX58 BV58 BT58 BR58 BR61">
    <cfRule type="expression" dxfId="6224" priority="2716">
      <formula>AND(BR13&gt;0,BR12&lt;BR13)</formula>
    </cfRule>
  </conditionalFormatting>
  <conditionalFormatting sqref="F37 H37 J37 L37 N37 P37 A3:F4 G3 B5:F8 H11 J11 L11 N11 P11 F156">
    <cfRule type="cellIs" dxfId="6223" priority="2670" operator="greaterThan">
      <formula>6.6</formula>
    </cfRule>
    <cfRule type="cellIs" dxfId="6222" priority="2671" operator="equal">
      <formula>6.5</formula>
    </cfRule>
    <cfRule type="cellIs" dxfId="6221" priority="2672" operator="equal">
      <formula>6</formula>
    </cfRule>
    <cfRule type="cellIs" dxfId="6220" priority="2673" operator="equal">
      <formula>5.5</formula>
    </cfRule>
    <cfRule type="cellIs" dxfId="6219" priority="2674" operator="equal">
      <formula>5</formula>
    </cfRule>
    <cfRule type="cellIs" dxfId="6218" priority="2675" operator="equal">
      <formula>4.5</formula>
    </cfRule>
    <cfRule type="cellIs" dxfId="6217" priority="2676" operator="equal">
      <formula>4</formula>
    </cfRule>
    <cfRule type="cellIs" dxfId="6216" priority="2677" operator="equal">
      <formula>3.5</formula>
    </cfRule>
    <cfRule type="cellIs" dxfId="6215" priority="2678" operator="equal">
      <formula>3</formula>
    </cfRule>
    <cfRule type="cellIs" dxfId="6214" priority="2679" operator="equal">
      <formula>2.5</formula>
    </cfRule>
    <cfRule type="cellIs" dxfId="6213" priority="2680" operator="equal">
      <formula>2</formula>
    </cfRule>
    <cfRule type="cellIs" dxfId="6212" priority="2681" operator="equal">
      <formula>1.5</formula>
    </cfRule>
    <cfRule type="cellIs" dxfId="6211" priority="2682" operator="equal">
      <formula>1</formula>
    </cfRule>
  </conditionalFormatting>
  <conditionalFormatting sqref="P52 N52 L52 J52 H52 F52">
    <cfRule type="cellIs" dxfId="6210" priority="2176" operator="greaterThan">
      <formula>6.6</formula>
    </cfRule>
    <cfRule type="cellIs" dxfId="6209" priority="2177" operator="equal">
      <formula>6.5</formula>
    </cfRule>
    <cfRule type="cellIs" dxfId="6208" priority="2178" operator="equal">
      <formula>6</formula>
    </cfRule>
    <cfRule type="cellIs" dxfId="6207" priority="2179" operator="equal">
      <formula>5.5</formula>
    </cfRule>
    <cfRule type="cellIs" dxfId="6206" priority="2180" operator="equal">
      <formula>5</formula>
    </cfRule>
    <cfRule type="cellIs" dxfId="6205" priority="2181" operator="equal">
      <formula>4.5</formula>
    </cfRule>
    <cfRule type="cellIs" dxfId="6204" priority="2182" operator="equal">
      <formula>4</formula>
    </cfRule>
    <cfRule type="cellIs" dxfId="6203" priority="2183" operator="equal">
      <formula>3.5</formula>
    </cfRule>
    <cfRule type="cellIs" dxfId="6202" priority="2184" operator="equal">
      <formula>3</formula>
    </cfRule>
    <cfRule type="cellIs" dxfId="6201" priority="2185" operator="equal">
      <formula>2.5</formula>
    </cfRule>
    <cfRule type="cellIs" dxfId="6200" priority="2186" operator="equal">
      <formula>2</formula>
    </cfRule>
    <cfRule type="cellIs" dxfId="6199" priority="2187" operator="equal">
      <formula>1.5</formula>
    </cfRule>
    <cfRule type="cellIs" dxfId="6198" priority="2188" operator="equal">
      <formula>1</formula>
    </cfRule>
  </conditionalFormatting>
  <conditionalFormatting sqref="F64 H64 J64 L64 N64 P64">
    <cfRule type="cellIs" dxfId="6197" priority="2150" operator="greaterThan">
      <formula>6.6</formula>
    </cfRule>
    <cfRule type="cellIs" dxfId="6196" priority="2151" operator="equal">
      <formula>6.5</formula>
    </cfRule>
    <cfRule type="cellIs" dxfId="6195" priority="2152" operator="equal">
      <formula>6</formula>
    </cfRule>
    <cfRule type="cellIs" dxfId="6194" priority="2153" operator="equal">
      <formula>5.5</formula>
    </cfRule>
    <cfRule type="cellIs" dxfId="6193" priority="2154" operator="equal">
      <formula>5</formula>
    </cfRule>
    <cfRule type="cellIs" dxfId="6192" priority="2155" operator="equal">
      <formula>4.5</formula>
    </cfRule>
    <cfRule type="cellIs" dxfId="6191" priority="2156" operator="equal">
      <formula>4</formula>
    </cfRule>
    <cfRule type="cellIs" dxfId="6190" priority="2157" operator="equal">
      <formula>3.5</formula>
    </cfRule>
    <cfRule type="cellIs" dxfId="6189" priority="2158" operator="equal">
      <formula>3</formula>
    </cfRule>
    <cfRule type="cellIs" dxfId="6188" priority="2159" operator="equal">
      <formula>2.5</formula>
    </cfRule>
    <cfRule type="cellIs" dxfId="6187" priority="2160" operator="equal">
      <formula>2</formula>
    </cfRule>
    <cfRule type="cellIs" dxfId="6186" priority="2161" operator="equal">
      <formula>1.5</formula>
    </cfRule>
    <cfRule type="cellIs" dxfId="6185" priority="2162" operator="equal">
      <formula>1</formula>
    </cfRule>
  </conditionalFormatting>
  <conditionalFormatting sqref="N73 L73 J73 H73 F73">
    <cfRule type="cellIs" dxfId="6184" priority="2137" operator="greaterThan">
      <formula>6.6</formula>
    </cfRule>
    <cfRule type="cellIs" dxfId="6183" priority="2138" operator="equal">
      <formula>6.5</formula>
    </cfRule>
    <cfRule type="cellIs" dxfId="6182" priority="2139" operator="equal">
      <formula>6</formula>
    </cfRule>
    <cfRule type="cellIs" dxfId="6181" priority="2140" operator="equal">
      <formula>5.5</formula>
    </cfRule>
    <cfRule type="cellIs" dxfId="6180" priority="2141" operator="equal">
      <formula>5</formula>
    </cfRule>
    <cfRule type="cellIs" dxfId="6179" priority="2142" operator="equal">
      <formula>4.5</formula>
    </cfRule>
    <cfRule type="cellIs" dxfId="6178" priority="2143" operator="equal">
      <formula>4</formula>
    </cfRule>
    <cfRule type="cellIs" dxfId="6177" priority="2144" operator="equal">
      <formula>3.5</formula>
    </cfRule>
    <cfRule type="cellIs" dxfId="6176" priority="2145" operator="equal">
      <formula>3</formula>
    </cfRule>
    <cfRule type="cellIs" dxfId="6175" priority="2146" operator="equal">
      <formula>2.5</formula>
    </cfRule>
    <cfRule type="cellIs" dxfId="6174" priority="2147" operator="equal">
      <formula>2</formula>
    </cfRule>
    <cfRule type="cellIs" dxfId="6173" priority="2148" operator="equal">
      <formula>1.5</formula>
    </cfRule>
    <cfRule type="cellIs" dxfId="6172" priority="2149" operator="equal">
      <formula>1</formula>
    </cfRule>
  </conditionalFormatting>
  <conditionalFormatting sqref="F103 H103 J103 L103">
    <cfRule type="cellIs" dxfId="6171" priority="2124" operator="greaterThan">
      <formula>6.6</formula>
    </cfRule>
    <cfRule type="cellIs" dxfId="6170" priority="2125" operator="equal">
      <formula>6.5</formula>
    </cfRule>
    <cfRule type="cellIs" dxfId="6169" priority="2126" operator="equal">
      <formula>6</formula>
    </cfRule>
    <cfRule type="cellIs" dxfId="6168" priority="2127" operator="equal">
      <formula>5.5</formula>
    </cfRule>
    <cfRule type="cellIs" dxfId="6167" priority="2128" operator="equal">
      <formula>5</formula>
    </cfRule>
    <cfRule type="cellIs" dxfId="6166" priority="2129" operator="equal">
      <formula>4.5</formula>
    </cfRule>
    <cfRule type="cellIs" dxfId="6165" priority="2130" operator="equal">
      <formula>4</formula>
    </cfRule>
    <cfRule type="cellIs" dxfId="6164" priority="2131" operator="equal">
      <formula>3.5</formula>
    </cfRule>
    <cfRule type="cellIs" dxfId="6163" priority="2132" operator="equal">
      <formula>3</formula>
    </cfRule>
    <cfRule type="cellIs" dxfId="6162" priority="2133" operator="equal">
      <formula>2.5</formula>
    </cfRule>
    <cfRule type="cellIs" dxfId="6161" priority="2134" operator="equal">
      <formula>2</formula>
    </cfRule>
    <cfRule type="cellIs" dxfId="6160" priority="2135" operator="equal">
      <formula>1.5</formula>
    </cfRule>
    <cfRule type="cellIs" dxfId="6159" priority="2136" operator="equal">
      <formula>1</formula>
    </cfRule>
  </conditionalFormatting>
  <conditionalFormatting sqref="F133 H133 J133">
    <cfRule type="cellIs" dxfId="6158" priority="2111" operator="greaterThan">
      <formula>6.6</formula>
    </cfRule>
    <cfRule type="cellIs" dxfId="6157" priority="2112" operator="equal">
      <formula>6.5</formula>
    </cfRule>
    <cfRule type="cellIs" dxfId="6156" priority="2113" operator="equal">
      <formula>6</formula>
    </cfRule>
    <cfRule type="cellIs" dxfId="6155" priority="2114" operator="equal">
      <formula>5.5</formula>
    </cfRule>
    <cfRule type="cellIs" dxfId="6154" priority="2115" operator="equal">
      <formula>5</formula>
    </cfRule>
    <cfRule type="cellIs" dxfId="6153" priority="2116" operator="equal">
      <formula>4.5</formula>
    </cfRule>
    <cfRule type="cellIs" dxfId="6152" priority="2117" operator="equal">
      <formula>4</formula>
    </cfRule>
    <cfRule type="cellIs" dxfId="6151" priority="2118" operator="equal">
      <formula>3.5</formula>
    </cfRule>
    <cfRule type="cellIs" dxfId="6150" priority="2119" operator="equal">
      <formula>3</formula>
    </cfRule>
    <cfRule type="cellIs" dxfId="6149" priority="2120" operator="equal">
      <formula>2.5</formula>
    </cfRule>
    <cfRule type="cellIs" dxfId="6148" priority="2121" operator="equal">
      <formula>2</formula>
    </cfRule>
    <cfRule type="cellIs" dxfId="6147" priority="2122" operator="equal">
      <formula>1.5</formula>
    </cfRule>
    <cfRule type="cellIs" dxfId="6146" priority="2123" operator="equal">
      <formula>1</formula>
    </cfRule>
  </conditionalFormatting>
  <conditionalFormatting sqref="O4">
    <cfRule type="cellIs" dxfId="6145" priority="2084" operator="equal">
      <formula>"YES"</formula>
    </cfRule>
  </conditionalFormatting>
  <conditionalFormatting sqref="F41:F42 H41:H42 J41:J42 L41:L42 N41:N42 P41:P42">
    <cfRule type="cellIs" dxfId="6144" priority="1941" operator="greaterThan">
      <formula>6.6</formula>
    </cfRule>
    <cfRule type="cellIs" dxfId="6143" priority="1942" operator="equal">
      <formula>6.5</formula>
    </cfRule>
    <cfRule type="cellIs" dxfId="6142" priority="1943" operator="equal">
      <formula>6</formula>
    </cfRule>
    <cfRule type="cellIs" dxfId="6141" priority="1944" operator="equal">
      <formula>5.5</formula>
    </cfRule>
    <cfRule type="cellIs" dxfId="6140" priority="1945" operator="equal">
      <formula>5</formula>
    </cfRule>
    <cfRule type="cellIs" dxfId="6139" priority="1946" operator="equal">
      <formula>4.5</formula>
    </cfRule>
    <cfRule type="cellIs" dxfId="6138" priority="1947" operator="equal">
      <formula>4</formula>
    </cfRule>
    <cfRule type="cellIs" dxfId="6137" priority="1948" operator="equal">
      <formula>3.5</formula>
    </cfRule>
    <cfRule type="cellIs" dxfId="6136" priority="1949" operator="equal">
      <formula>3</formula>
    </cfRule>
    <cfRule type="cellIs" dxfId="6135" priority="1950" operator="equal">
      <formula>2.5</formula>
    </cfRule>
    <cfRule type="cellIs" dxfId="6134" priority="1951" operator="equal">
      <formula>2</formula>
    </cfRule>
    <cfRule type="cellIs" dxfId="6133" priority="1952" operator="equal">
      <formula>1.5</formula>
    </cfRule>
    <cfRule type="cellIs" dxfId="6132" priority="1953" operator="equal">
      <formula>1</formula>
    </cfRule>
  </conditionalFormatting>
  <conditionalFormatting sqref="BR154">
    <cfRule type="expression" dxfId="6131" priority="717">
      <formula>BR153&lt;BR154</formula>
    </cfRule>
  </conditionalFormatting>
  <conditionalFormatting sqref="F14 H14 J14 L14 N14 P14">
    <cfRule type="cellIs" dxfId="6130" priority="704" operator="greaterThan">
      <formula>6.6</formula>
    </cfRule>
    <cfRule type="cellIs" dxfId="6129" priority="705" operator="equal">
      <formula>6.5</formula>
    </cfRule>
    <cfRule type="cellIs" dxfId="6128" priority="706" operator="equal">
      <formula>6</formula>
    </cfRule>
    <cfRule type="cellIs" dxfId="6127" priority="707" operator="equal">
      <formula>5.5</formula>
    </cfRule>
    <cfRule type="cellIs" dxfId="6126" priority="708" operator="equal">
      <formula>5</formula>
    </cfRule>
    <cfRule type="cellIs" dxfId="6125" priority="709" operator="equal">
      <formula>4.5</formula>
    </cfRule>
    <cfRule type="cellIs" dxfId="6124" priority="710" operator="equal">
      <formula>4</formula>
    </cfRule>
    <cfRule type="cellIs" dxfId="6123" priority="711" operator="equal">
      <formula>3.5</formula>
    </cfRule>
    <cfRule type="cellIs" dxfId="6122" priority="712" operator="equal">
      <formula>3</formula>
    </cfRule>
    <cfRule type="cellIs" dxfId="6121" priority="713" operator="equal">
      <formula>2.5</formula>
    </cfRule>
    <cfRule type="cellIs" dxfId="6120" priority="714" operator="equal">
      <formula>2</formula>
    </cfRule>
    <cfRule type="cellIs" dxfId="6119" priority="715" operator="equal">
      <formula>1.5</formula>
    </cfRule>
    <cfRule type="cellIs" dxfId="6118" priority="716" operator="equal">
      <formula>1</formula>
    </cfRule>
  </conditionalFormatting>
  <conditionalFormatting sqref="F17 H17 J17 L17 N17 P17">
    <cfRule type="cellIs" dxfId="6117" priority="691" operator="greaterThan">
      <formula>6.6</formula>
    </cfRule>
    <cfRule type="cellIs" dxfId="6116" priority="692" operator="equal">
      <formula>6.5</formula>
    </cfRule>
    <cfRule type="cellIs" dxfId="6115" priority="693" operator="equal">
      <formula>6</formula>
    </cfRule>
    <cfRule type="cellIs" dxfId="6114" priority="694" operator="equal">
      <formula>5.5</formula>
    </cfRule>
    <cfRule type="cellIs" dxfId="6113" priority="695" operator="equal">
      <formula>5</formula>
    </cfRule>
    <cfRule type="cellIs" dxfId="6112" priority="696" operator="equal">
      <formula>4.5</formula>
    </cfRule>
    <cfRule type="cellIs" dxfId="6111" priority="697" operator="equal">
      <formula>4</formula>
    </cfRule>
    <cfRule type="cellIs" dxfId="6110" priority="698" operator="equal">
      <formula>3.5</formula>
    </cfRule>
    <cfRule type="cellIs" dxfId="6109" priority="699" operator="equal">
      <formula>3</formula>
    </cfRule>
    <cfRule type="cellIs" dxfId="6108" priority="700" operator="equal">
      <formula>2.5</formula>
    </cfRule>
    <cfRule type="cellIs" dxfId="6107" priority="701" operator="equal">
      <formula>2</formula>
    </cfRule>
    <cfRule type="cellIs" dxfId="6106" priority="702" operator="equal">
      <formula>1.5</formula>
    </cfRule>
    <cfRule type="cellIs" dxfId="6105" priority="703" operator="equal">
      <formula>1</formula>
    </cfRule>
  </conditionalFormatting>
  <conditionalFormatting sqref="F20 H20 J20 L20 N20 P20">
    <cfRule type="cellIs" dxfId="6104" priority="678" operator="greaterThan">
      <formula>6.6</formula>
    </cfRule>
    <cfRule type="cellIs" dxfId="6103" priority="679" operator="equal">
      <formula>6.5</formula>
    </cfRule>
    <cfRule type="cellIs" dxfId="6102" priority="680" operator="equal">
      <formula>6</formula>
    </cfRule>
    <cfRule type="cellIs" dxfId="6101" priority="681" operator="equal">
      <formula>5.5</formula>
    </cfRule>
    <cfRule type="cellIs" dxfId="6100" priority="682" operator="equal">
      <formula>5</formula>
    </cfRule>
    <cfRule type="cellIs" dxfId="6099" priority="683" operator="equal">
      <formula>4.5</formula>
    </cfRule>
    <cfRule type="cellIs" dxfId="6098" priority="684" operator="equal">
      <formula>4</formula>
    </cfRule>
    <cfRule type="cellIs" dxfId="6097" priority="685" operator="equal">
      <formula>3.5</formula>
    </cfRule>
    <cfRule type="cellIs" dxfId="6096" priority="686" operator="equal">
      <formula>3</formula>
    </cfRule>
    <cfRule type="cellIs" dxfId="6095" priority="687" operator="equal">
      <formula>2.5</formula>
    </cfRule>
    <cfRule type="cellIs" dxfId="6094" priority="688" operator="equal">
      <formula>2</formula>
    </cfRule>
    <cfRule type="cellIs" dxfId="6093" priority="689" operator="equal">
      <formula>1.5</formula>
    </cfRule>
    <cfRule type="cellIs" dxfId="6092" priority="690" operator="equal">
      <formula>1</formula>
    </cfRule>
  </conditionalFormatting>
  <conditionalFormatting sqref="F23 H23 J23 L23 N23 P23">
    <cfRule type="cellIs" dxfId="6091" priority="665" operator="greaterThan">
      <formula>6.6</formula>
    </cfRule>
    <cfRule type="cellIs" dxfId="6090" priority="666" operator="equal">
      <formula>6.5</formula>
    </cfRule>
    <cfRule type="cellIs" dxfId="6089" priority="667" operator="equal">
      <formula>6</formula>
    </cfRule>
    <cfRule type="cellIs" dxfId="6088" priority="668" operator="equal">
      <formula>5.5</formula>
    </cfRule>
    <cfRule type="cellIs" dxfId="6087" priority="669" operator="equal">
      <formula>5</formula>
    </cfRule>
    <cfRule type="cellIs" dxfId="6086" priority="670" operator="equal">
      <formula>4.5</formula>
    </cfRule>
    <cfRule type="cellIs" dxfId="6085" priority="671" operator="equal">
      <formula>4</formula>
    </cfRule>
    <cfRule type="cellIs" dxfId="6084" priority="672" operator="equal">
      <formula>3.5</formula>
    </cfRule>
    <cfRule type="cellIs" dxfId="6083" priority="673" operator="equal">
      <formula>3</formula>
    </cfRule>
    <cfRule type="cellIs" dxfId="6082" priority="674" operator="equal">
      <formula>2.5</formula>
    </cfRule>
    <cfRule type="cellIs" dxfId="6081" priority="675" operator="equal">
      <formula>2</formula>
    </cfRule>
    <cfRule type="cellIs" dxfId="6080" priority="676" operator="equal">
      <formula>1.5</formula>
    </cfRule>
    <cfRule type="cellIs" dxfId="6079" priority="677" operator="equal">
      <formula>1</formula>
    </cfRule>
  </conditionalFormatting>
  <conditionalFormatting sqref="F26 H26 J26 L26 N26 P26">
    <cfRule type="cellIs" dxfId="6078" priority="652" operator="greaterThan">
      <formula>6.6</formula>
    </cfRule>
    <cfRule type="cellIs" dxfId="6077" priority="653" operator="equal">
      <formula>6.5</formula>
    </cfRule>
    <cfRule type="cellIs" dxfId="6076" priority="654" operator="equal">
      <formula>6</formula>
    </cfRule>
    <cfRule type="cellIs" dxfId="6075" priority="655" operator="equal">
      <formula>5.5</formula>
    </cfRule>
    <cfRule type="cellIs" dxfId="6074" priority="656" operator="equal">
      <formula>5</formula>
    </cfRule>
    <cfRule type="cellIs" dxfId="6073" priority="657" operator="equal">
      <formula>4.5</formula>
    </cfRule>
    <cfRule type="cellIs" dxfId="6072" priority="658" operator="equal">
      <formula>4</formula>
    </cfRule>
    <cfRule type="cellIs" dxfId="6071" priority="659" operator="equal">
      <formula>3.5</formula>
    </cfRule>
    <cfRule type="cellIs" dxfId="6070" priority="660" operator="equal">
      <formula>3</formula>
    </cfRule>
    <cfRule type="cellIs" dxfId="6069" priority="661" operator="equal">
      <formula>2.5</formula>
    </cfRule>
    <cfRule type="cellIs" dxfId="6068" priority="662" operator="equal">
      <formula>2</formula>
    </cfRule>
    <cfRule type="cellIs" dxfId="6067" priority="663" operator="equal">
      <formula>1.5</formula>
    </cfRule>
    <cfRule type="cellIs" dxfId="6066" priority="664" operator="equal">
      <formula>1</formula>
    </cfRule>
  </conditionalFormatting>
  <conditionalFormatting sqref="F29 H29 J29 L29 N29 P29">
    <cfRule type="cellIs" dxfId="6065" priority="639" operator="greaterThan">
      <formula>6.6</formula>
    </cfRule>
    <cfRule type="cellIs" dxfId="6064" priority="640" operator="equal">
      <formula>6.5</formula>
    </cfRule>
    <cfRule type="cellIs" dxfId="6063" priority="641" operator="equal">
      <formula>6</formula>
    </cfRule>
    <cfRule type="cellIs" dxfId="6062" priority="642" operator="equal">
      <formula>5.5</formula>
    </cfRule>
    <cfRule type="cellIs" dxfId="6061" priority="643" operator="equal">
      <formula>5</formula>
    </cfRule>
    <cfRule type="cellIs" dxfId="6060" priority="644" operator="equal">
      <formula>4.5</formula>
    </cfRule>
    <cfRule type="cellIs" dxfId="6059" priority="645" operator="equal">
      <formula>4</formula>
    </cfRule>
    <cfRule type="cellIs" dxfId="6058" priority="646" operator="equal">
      <formula>3.5</formula>
    </cfRule>
    <cfRule type="cellIs" dxfId="6057" priority="647" operator="equal">
      <formula>3</formula>
    </cfRule>
    <cfRule type="cellIs" dxfId="6056" priority="648" operator="equal">
      <formula>2.5</formula>
    </cfRule>
    <cfRule type="cellIs" dxfId="6055" priority="649" operator="equal">
      <formula>2</formula>
    </cfRule>
    <cfRule type="cellIs" dxfId="6054" priority="650" operator="equal">
      <formula>1.5</formula>
    </cfRule>
    <cfRule type="cellIs" dxfId="6053" priority="651" operator="equal">
      <formula>1</formula>
    </cfRule>
  </conditionalFormatting>
  <conditionalFormatting sqref="F32 H32 J32 L32 N32 P32">
    <cfRule type="cellIs" dxfId="6052" priority="626" operator="greaterThan">
      <formula>6.6</formula>
    </cfRule>
    <cfRule type="cellIs" dxfId="6051" priority="627" operator="equal">
      <formula>6.5</formula>
    </cfRule>
    <cfRule type="cellIs" dxfId="6050" priority="628" operator="equal">
      <formula>6</formula>
    </cfRule>
    <cfRule type="cellIs" dxfId="6049" priority="629" operator="equal">
      <formula>5.5</formula>
    </cfRule>
    <cfRule type="cellIs" dxfId="6048" priority="630" operator="equal">
      <formula>5</formula>
    </cfRule>
    <cfRule type="cellIs" dxfId="6047" priority="631" operator="equal">
      <formula>4.5</formula>
    </cfRule>
    <cfRule type="cellIs" dxfId="6046" priority="632" operator="equal">
      <formula>4</formula>
    </cfRule>
    <cfRule type="cellIs" dxfId="6045" priority="633" operator="equal">
      <formula>3.5</formula>
    </cfRule>
    <cfRule type="cellIs" dxfId="6044" priority="634" operator="equal">
      <formula>3</formula>
    </cfRule>
    <cfRule type="cellIs" dxfId="6043" priority="635" operator="equal">
      <formula>2.5</formula>
    </cfRule>
    <cfRule type="cellIs" dxfId="6042" priority="636" operator="equal">
      <formula>2</formula>
    </cfRule>
    <cfRule type="cellIs" dxfId="6041" priority="637" operator="equal">
      <formula>1.5</formula>
    </cfRule>
    <cfRule type="cellIs" dxfId="6040" priority="638" operator="equal">
      <formula>1</formula>
    </cfRule>
  </conditionalFormatting>
  <conditionalFormatting sqref="F44:F45 H44:H45 J44:J45 L44:L45 N44:N45 P44:P45">
    <cfRule type="cellIs" dxfId="6039" priority="600" operator="greaterThan">
      <formula>6.6</formula>
    </cfRule>
    <cfRule type="cellIs" dxfId="6038" priority="601" operator="equal">
      <formula>6.5</formula>
    </cfRule>
    <cfRule type="cellIs" dxfId="6037" priority="602" operator="equal">
      <formula>6</formula>
    </cfRule>
    <cfRule type="cellIs" dxfId="6036" priority="603" operator="equal">
      <formula>5.5</formula>
    </cfRule>
    <cfRule type="cellIs" dxfId="6035" priority="604" operator="equal">
      <formula>5</formula>
    </cfRule>
    <cfRule type="cellIs" dxfId="6034" priority="605" operator="equal">
      <formula>4.5</formula>
    </cfRule>
    <cfRule type="cellIs" dxfId="6033" priority="606" operator="equal">
      <formula>4</formula>
    </cfRule>
    <cfRule type="cellIs" dxfId="6032" priority="607" operator="equal">
      <formula>3.5</formula>
    </cfRule>
    <cfRule type="cellIs" dxfId="6031" priority="608" operator="equal">
      <formula>3</formula>
    </cfRule>
    <cfRule type="cellIs" dxfId="6030" priority="609" operator="equal">
      <formula>2.5</formula>
    </cfRule>
    <cfRule type="cellIs" dxfId="6029" priority="610" operator="equal">
      <formula>2</formula>
    </cfRule>
    <cfRule type="cellIs" dxfId="6028" priority="611" operator="equal">
      <formula>1.5</formula>
    </cfRule>
    <cfRule type="cellIs" dxfId="6027" priority="612" operator="equal">
      <formula>1</formula>
    </cfRule>
  </conditionalFormatting>
  <conditionalFormatting sqref="F47:F48 H47:H48 J47:J48 L47:L48 N47:N48 P47:P48">
    <cfRule type="cellIs" dxfId="6026" priority="587" operator="greaterThan">
      <formula>6.6</formula>
    </cfRule>
    <cfRule type="cellIs" dxfId="6025" priority="588" operator="equal">
      <formula>6.5</formula>
    </cfRule>
    <cfRule type="cellIs" dxfId="6024" priority="589" operator="equal">
      <formula>6</formula>
    </cfRule>
    <cfRule type="cellIs" dxfId="6023" priority="590" operator="equal">
      <formula>5.5</formula>
    </cfRule>
    <cfRule type="cellIs" dxfId="6022" priority="591" operator="equal">
      <formula>5</formula>
    </cfRule>
    <cfRule type="cellIs" dxfId="6021" priority="592" operator="equal">
      <formula>4.5</formula>
    </cfRule>
    <cfRule type="cellIs" dxfId="6020" priority="593" operator="equal">
      <formula>4</formula>
    </cfRule>
    <cfRule type="cellIs" dxfId="6019" priority="594" operator="equal">
      <formula>3.5</formula>
    </cfRule>
    <cfRule type="cellIs" dxfId="6018" priority="595" operator="equal">
      <formula>3</formula>
    </cfRule>
    <cfRule type="cellIs" dxfId="6017" priority="596" operator="equal">
      <formula>2.5</formula>
    </cfRule>
    <cfRule type="cellIs" dxfId="6016" priority="597" operator="equal">
      <formula>2</formula>
    </cfRule>
    <cfRule type="cellIs" dxfId="6015" priority="598" operator="equal">
      <formula>1.5</formula>
    </cfRule>
    <cfRule type="cellIs" dxfId="6014" priority="599" operator="equal">
      <formula>1</formula>
    </cfRule>
  </conditionalFormatting>
  <conditionalFormatting sqref="F56:F57 H56:H57 J56:J57 L56:L57 N56:N57 P56:P57">
    <cfRule type="cellIs" dxfId="6013" priority="574" operator="greaterThan">
      <formula>6.6</formula>
    </cfRule>
    <cfRule type="cellIs" dxfId="6012" priority="575" operator="equal">
      <formula>6.5</formula>
    </cfRule>
    <cfRule type="cellIs" dxfId="6011" priority="576" operator="equal">
      <formula>6</formula>
    </cfRule>
    <cfRule type="cellIs" dxfId="6010" priority="577" operator="equal">
      <formula>5.5</formula>
    </cfRule>
    <cfRule type="cellIs" dxfId="6009" priority="578" operator="equal">
      <formula>5</formula>
    </cfRule>
    <cfRule type="cellIs" dxfId="6008" priority="579" operator="equal">
      <formula>4.5</formula>
    </cfRule>
    <cfRule type="cellIs" dxfId="6007" priority="580" operator="equal">
      <formula>4</formula>
    </cfRule>
    <cfRule type="cellIs" dxfId="6006" priority="581" operator="equal">
      <formula>3.5</formula>
    </cfRule>
    <cfRule type="cellIs" dxfId="6005" priority="582" operator="equal">
      <formula>3</formula>
    </cfRule>
    <cfRule type="cellIs" dxfId="6004" priority="583" operator="equal">
      <formula>2.5</formula>
    </cfRule>
    <cfRule type="cellIs" dxfId="6003" priority="584" operator="equal">
      <formula>2</formula>
    </cfRule>
    <cfRule type="cellIs" dxfId="6002" priority="585" operator="equal">
      <formula>1.5</formula>
    </cfRule>
    <cfRule type="cellIs" dxfId="6001" priority="586" operator="equal">
      <formula>1</formula>
    </cfRule>
  </conditionalFormatting>
  <conditionalFormatting sqref="H59:H60 J59:J60 L59:L60 N59:N60 P59:P60">
    <cfRule type="cellIs" dxfId="6000" priority="561" operator="greaterThan">
      <formula>6.6</formula>
    </cfRule>
    <cfRule type="cellIs" dxfId="5999" priority="562" operator="equal">
      <formula>6.5</formula>
    </cfRule>
    <cfRule type="cellIs" dxfId="5998" priority="563" operator="equal">
      <formula>6</formula>
    </cfRule>
    <cfRule type="cellIs" dxfId="5997" priority="564" operator="equal">
      <formula>5.5</formula>
    </cfRule>
    <cfRule type="cellIs" dxfId="5996" priority="565" operator="equal">
      <formula>5</formula>
    </cfRule>
    <cfRule type="cellIs" dxfId="5995" priority="566" operator="equal">
      <formula>4.5</formula>
    </cfRule>
    <cfRule type="cellIs" dxfId="5994" priority="567" operator="equal">
      <formula>4</formula>
    </cfRule>
    <cfRule type="cellIs" dxfId="5993" priority="568" operator="equal">
      <formula>3.5</formula>
    </cfRule>
    <cfRule type="cellIs" dxfId="5992" priority="569" operator="equal">
      <formula>3</formula>
    </cfRule>
    <cfRule type="cellIs" dxfId="5991" priority="570" operator="equal">
      <formula>2.5</formula>
    </cfRule>
    <cfRule type="cellIs" dxfId="5990" priority="571" operator="equal">
      <formula>2</formula>
    </cfRule>
    <cfRule type="cellIs" dxfId="5989" priority="572" operator="equal">
      <formula>1.5</formula>
    </cfRule>
    <cfRule type="cellIs" dxfId="5988" priority="573" operator="equal">
      <formula>1</formula>
    </cfRule>
  </conditionalFormatting>
  <conditionalFormatting sqref="F68:F69 H68:H69 J68:J69 L68:L69 N68:N69">
    <cfRule type="cellIs" dxfId="5987" priority="509" operator="greaterThan">
      <formula>6.6</formula>
    </cfRule>
    <cfRule type="cellIs" dxfId="5986" priority="510" operator="equal">
      <formula>6.5</formula>
    </cfRule>
    <cfRule type="cellIs" dxfId="5985" priority="511" operator="equal">
      <formula>6</formula>
    </cfRule>
    <cfRule type="cellIs" dxfId="5984" priority="512" operator="equal">
      <formula>5.5</formula>
    </cfRule>
    <cfRule type="cellIs" dxfId="5983" priority="513" operator="equal">
      <formula>5</formula>
    </cfRule>
    <cfRule type="cellIs" dxfId="5982" priority="514" operator="equal">
      <formula>4.5</formula>
    </cfRule>
    <cfRule type="cellIs" dxfId="5981" priority="515" operator="equal">
      <formula>4</formula>
    </cfRule>
    <cfRule type="cellIs" dxfId="5980" priority="516" operator="equal">
      <formula>3.5</formula>
    </cfRule>
    <cfRule type="cellIs" dxfId="5979" priority="517" operator="equal">
      <formula>3</formula>
    </cfRule>
    <cfRule type="cellIs" dxfId="5978" priority="518" operator="equal">
      <formula>2.5</formula>
    </cfRule>
    <cfRule type="cellIs" dxfId="5977" priority="519" operator="equal">
      <formula>2</formula>
    </cfRule>
    <cfRule type="cellIs" dxfId="5976" priority="520" operator="equal">
      <formula>1.5</formula>
    </cfRule>
    <cfRule type="cellIs" dxfId="5975" priority="521" operator="equal">
      <formula>1</formula>
    </cfRule>
  </conditionalFormatting>
  <conditionalFormatting sqref="F77:F78 H77:H78 J77:J78 L77:L78">
    <cfRule type="cellIs" dxfId="5974" priority="496" operator="greaterThan">
      <formula>6.6</formula>
    </cfRule>
    <cfRule type="cellIs" dxfId="5973" priority="497" operator="equal">
      <formula>6.5</formula>
    </cfRule>
    <cfRule type="cellIs" dxfId="5972" priority="498" operator="equal">
      <formula>6</formula>
    </cfRule>
    <cfRule type="cellIs" dxfId="5971" priority="499" operator="equal">
      <formula>5.5</formula>
    </cfRule>
    <cfRule type="cellIs" dxfId="5970" priority="500" operator="equal">
      <formula>5</formula>
    </cfRule>
    <cfRule type="cellIs" dxfId="5969" priority="501" operator="equal">
      <formula>4.5</formula>
    </cfRule>
    <cfRule type="cellIs" dxfId="5968" priority="502" operator="equal">
      <formula>4</formula>
    </cfRule>
    <cfRule type="cellIs" dxfId="5967" priority="503" operator="equal">
      <formula>3.5</formula>
    </cfRule>
    <cfRule type="cellIs" dxfId="5966" priority="504" operator="equal">
      <formula>3</formula>
    </cfRule>
    <cfRule type="cellIs" dxfId="5965" priority="505" operator="equal">
      <formula>2.5</formula>
    </cfRule>
    <cfRule type="cellIs" dxfId="5964" priority="506" operator="equal">
      <formula>2</formula>
    </cfRule>
    <cfRule type="cellIs" dxfId="5963" priority="507" operator="equal">
      <formula>1.5</formula>
    </cfRule>
    <cfRule type="cellIs" dxfId="5962" priority="508" operator="equal">
      <formula>1</formula>
    </cfRule>
  </conditionalFormatting>
  <conditionalFormatting sqref="F80:F81 H80:H81 J80:J81 L80:L81">
    <cfRule type="cellIs" dxfId="5961" priority="483" operator="greaterThan">
      <formula>6.6</formula>
    </cfRule>
    <cfRule type="cellIs" dxfId="5960" priority="484" operator="equal">
      <formula>6.5</formula>
    </cfRule>
    <cfRule type="cellIs" dxfId="5959" priority="485" operator="equal">
      <formula>6</formula>
    </cfRule>
    <cfRule type="cellIs" dxfId="5958" priority="486" operator="equal">
      <formula>5.5</formula>
    </cfRule>
    <cfRule type="cellIs" dxfId="5957" priority="487" operator="equal">
      <formula>5</formula>
    </cfRule>
    <cfRule type="cellIs" dxfId="5956" priority="488" operator="equal">
      <formula>4.5</formula>
    </cfRule>
    <cfRule type="cellIs" dxfId="5955" priority="489" operator="equal">
      <formula>4</formula>
    </cfRule>
    <cfRule type="cellIs" dxfId="5954" priority="490" operator="equal">
      <formula>3.5</formula>
    </cfRule>
    <cfRule type="cellIs" dxfId="5953" priority="491" operator="equal">
      <formula>3</formula>
    </cfRule>
    <cfRule type="cellIs" dxfId="5952" priority="492" operator="equal">
      <formula>2.5</formula>
    </cfRule>
    <cfRule type="cellIs" dxfId="5951" priority="493" operator="equal">
      <formula>2</formula>
    </cfRule>
    <cfRule type="cellIs" dxfId="5950" priority="494" operator="equal">
      <formula>1.5</formula>
    </cfRule>
    <cfRule type="cellIs" dxfId="5949" priority="495" operator="equal">
      <formula>1</formula>
    </cfRule>
  </conditionalFormatting>
  <conditionalFormatting sqref="F83:F84 H83:H84 J83:J84 L83:L84">
    <cfRule type="cellIs" dxfId="5948" priority="470" operator="greaterThan">
      <formula>6.6</formula>
    </cfRule>
    <cfRule type="cellIs" dxfId="5947" priority="471" operator="equal">
      <formula>6.5</formula>
    </cfRule>
    <cfRule type="cellIs" dxfId="5946" priority="472" operator="equal">
      <formula>6</formula>
    </cfRule>
    <cfRule type="cellIs" dxfId="5945" priority="473" operator="equal">
      <formula>5.5</formula>
    </cfRule>
    <cfRule type="cellIs" dxfId="5944" priority="474" operator="equal">
      <formula>5</formula>
    </cfRule>
    <cfRule type="cellIs" dxfId="5943" priority="475" operator="equal">
      <formula>4.5</formula>
    </cfRule>
    <cfRule type="cellIs" dxfId="5942" priority="476" operator="equal">
      <formula>4</formula>
    </cfRule>
    <cfRule type="cellIs" dxfId="5941" priority="477" operator="equal">
      <formula>3.5</formula>
    </cfRule>
    <cfRule type="cellIs" dxfId="5940" priority="478" operator="equal">
      <formula>3</formula>
    </cfRule>
    <cfRule type="cellIs" dxfId="5939" priority="479" operator="equal">
      <formula>2.5</formula>
    </cfRule>
    <cfRule type="cellIs" dxfId="5938" priority="480" operator="equal">
      <formula>2</formula>
    </cfRule>
    <cfRule type="cellIs" dxfId="5937" priority="481" operator="equal">
      <formula>1.5</formula>
    </cfRule>
    <cfRule type="cellIs" dxfId="5936" priority="482" operator="equal">
      <formula>1</formula>
    </cfRule>
  </conditionalFormatting>
  <conditionalFormatting sqref="F86:F87 H86:H87 J86:J87 L86:L87">
    <cfRule type="cellIs" dxfId="5935" priority="457" operator="greaterThan">
      <formula>6.6</formula>
    </cfRule>
    <cfRule type="cellIs" dxfId="5934" priority="458" operator="equal">
      <formula>6.5</formula>
    </cfRule>
    <cfRule type="cellIs" dxfId="5933" priority="459" operator="equal">
      <formula>6</formula>
    </cfRule>
    <cfRule type="cellIs" dxfId="5932" priority="460" operator="equal">
      <formula>5.5</formula>
    </cfRule>
    <cfRule type="cellIs" dxfId="5931" priority="461" operator="equal">
      <formula>5</formula>
    </cfRule>
    <cfRule type="cellIs" dxfId="5930" priority="462" operator="equal">
      <formula>4.5</formula>
    </cfRule>
    <cfRule type="cellIs" dxfId="5929" priority="463" operator="equal">
      <formula>4</formula>
    </cfRule>
    <cfRule type="cellIs" dxfId="5928" priority="464" operator="equal">
      <formula>3.5</formula>
    </cfRule>
    <cfRule type="cellIs" dxfId="5927" priority="465" operator="equal">
      <formula>3</formula>
    </cfRule>
    <cfRule type="cellIs" dxfId="5926" priority="466" operator="equal">
      <formula>2.5</formula>
    </cfRule>
    <cfRule type="cellIs" dxfId="5925" priority="467" operator="equal">
      <formula>2</formula>
    </cfRule>
    <cfRule type="cellIs" dxfId="5924" priority="468" operator="equal">
      <formula>1.5</formula>
    </cfRule>
    <cfRule type="cellIs" dxfId="5923" priority="469" operator="equal">
      <formula>1</formula>
    </cfRule>
  </conditionalFormatting>
  <conditionalFormatting sqref="F89:F90 H89:H90 J89:J90 L89:L90">
    <cfRule type="cellIs" dxfId="5922" priority="444" operator="greaterThan">
      <formula>6.6</formula>
    </cfRule>
    <cfRule type="cellIs" dxfId="5921" priority="445" operator="equal">
      <formula>6.5</formula>
    </cfRule>
    <cfRule type="cellIs" dxfId="5920" priority="446" operator="equal">
      <formula>6</formula>
    </cfRule>
    <cfRule type="cellIs" dxfId="5919" priority="447" operator="equal">
      <formula>5.5</formula>
    </cfRule>
    <cfRule type="cellIs" dxfId="5918" priority="448" operator="equal">
      <formula>5</formula>
    </cfRule>
    <cfRule type="cellIs" dxfId="5917" priority="449" operator="equal">
      <formula>4.5</formula>
    </cfRule>
    <cfRule type="cellIs" dxfId="5916" priority="450" operator="equal">
      <formula>4</formula>
    </cfRule>
    <cfRule type="cellIs" dxfId="5915" priority="451" operator="equal">
      <formula>3.5</formula>
    </cfRule>
    <cfRule type="cellIs" dxfId="5914" priority="452" operator="equal">
      <formula>3</formula>
    </cfRule>
    <cfRule type="cellIs" dxfId="5913" priority="453" operator="equal">
      <formula>2.5</formula>
    </cfRule>
    <cfRule type="cellIs" dxfId="5912" priority="454" operator="equal">
      <formula>2</formula>
    </cfRule>
    <cfRule type="cellIs" dxfId="5911" priority="455" operator="equal">
      <formula>1.5</formula>
    </cfRule>
    <cfRule type="cellIs" dxfId="5910" priority="456" operator="equal">
      <formula>1</formula>
    </cfRule>
  </conditionalFormatting>
  <conditionalFormatting sqref="F92:F93 H92:H93 J92:J93 L92:L93">
    <cfRule type="cellIs" dxfId="5909" priority="431" operator="greaterThan">
      <formula>6.6</formula>
    </cfRule>
    <cfRule type="cellIs" dxfId="5908" priority="432" operator="equal">
      <formula>6.5</formula>
    </cfRule>
    <cfRule type="cellIs" dxfId="5907" priority="433" operator="equal">
      <formula>6</formula>
    </cfRule>
    <cfRule type="cellIs" dxfId="5906" priority="434" operator="equal">
      <formula>5.5</formula>
    </cfRule>
    <cfRule type="cellIs" dxfId="5905" priority="435" operator="equal">
      <formula>5</formula>
    </cfRule>
    <cfRule type="cellIs" dxfId="5904" priority="436" operator="equal">
      <formula>4.5</formula>
    </cfRule>
    <cfRule type="cellIs" dxfId="5903" priority="437" operator="equal">
      <formula>4</formula>
    </cfRule>
    <cfRule type="cellIs" dxfId="5902" priority="438" operator="equal">
      <formula>3.5</formula>
    </cfRule>
    <cfRule type="cellIs" dxfId="5901" priority="439" operator="equal">
      <formula>3</formula>
    </cfRule>
    <cfRule type="cellIs" dxfId="5900" priority="440" operator="equal">
      <formula>2.5</formula>
    </cfRule>
    <cfRule type="cellIs" dxfId="5899" priority="441" operator="equal">
      <formula>2</formula>
    </cfRule>
    <cfRule type="cellIs" dxfId="5898" priority="442" operator="equal">
      <formula>1.5</formula>
    </cfRule>
    <cfRule type="cellIs" dxfId="5897" priority="443" operator="equal">
      <formula>1</formula>
    </cfRule>
  </conditionalFormatting>
  <conditionalFormatting sqref="F95:F96 H95:H96 J95:J96 L95:L96">
    <cfRule type="cellIs" dxfId="5896" priority="418" operator="greaterThan">
      <formula>6.6</formula>
    </cfRule>
    <cfRule type="cellIs" dxfId="5895" priority="419" operator="equal">
      <formula>6.5</formula>
    </cfRule>
    <cfRule type="cellIs" dxfId="5894" priority="420" operator="equal">
      <formula>6</formula>
    </cfRule>
    <cfRule type="cellIs" dxfId="5893" priority="421" operator="equal">
      <formula>5.5</formula>
    </cfRule>
    <cfRule type="cellIs" dxfId="5892" priority="422" operator="equal">
      <formula>5</formula>
    </cfRule>
    <cfRule type="cellIs" dxfId="5891" priority="423" operator="equal">
      <formula>4.5</formula>
    </cfRule>
    <cfRule type="cellIs" dxfId="5890" priority="424" operator="equal">
      <formula>4</formula>
    </cfRule>
    <cfRule type="cellIs" dxfId="5889" priority="425" operator="equal">
      <formula>3.5</formula>
    </cfRule>
    <cfRule type="cellIs" dxfId="5888" priority="426" operator="equal">
      <formula>3</formula>
    </cfRule>
    <cfRule type="cellIs" dxfId="5887" priority="427" operator="equal">
      <formula>2.5</formula>
    </cfRule>
    <cfRule type="cellIs" dxfId="5886" priority="428" operator="equal">
      <formula>2</formula>
    </cfRule>
    <cfRule type="cellIs" dxfId="5885" priority="429" operator="equal">
      <formula>1.5</formula>
    </cfRule>
    <cfRule type="cellIs" dxfId="5884" priority="430" operator="equal">
      <formula>1</formula>
    </cfRule>
  </conditionalFormatting>
  <conditionalFormatting sqref="F98:F99 H98:H99 J98:J99 L98:L99">
    <cfRule type="cellIs" dxfId="5883" priority="405" operator="greaterThan">
      <formula>6.6</formula>
    </cfRule>
    <cfRule type="cellIs" dxfId="5882" priority="406" operator="equal">
      <formula>6.5</formula>
    </cfRule>
    <cfRule type="cellIs" dxfId="5881" priority="407" operator="equal">
      <formula>6</formula>
    </cfRule>
    <cfRule type="cellIs" dxfId="5880" priority="408" operator="equal">
      <formula>5.5</formula>
    </cfRule>
    <cfRule type="cellIs" dxfId="5879" priority="409" operator="equal">
      <formula>5</formula>
    </cfRule>
    <cfRule type="cellIs" dxfId="5878" priority="410" operator="equal">
      <formula>4.5</formula>
    </cfRule>
    <cfRule type="cellIs" dxfId="5877" priority="411" operator="equal">
      <formula>4</formula>
    </cfRule>
    <cfRule type="cellIs" dxfId="5876" priority="412" operator="equal">
      <formula>3.5</formula>
    </cfRule>
    <cfRule type="cellIs" dxfId="5875" priority="413" operator="equal">
      <formula>3</formula>
    </cfRule>
    <cfRule type="cellIs" dxfId="5874" priority="414" operator="equal">
      <formula>2.5</formula>
    </cfRule>
    <cfRule type="cellIs" dxfId="5873" priority="415" operator="equal">
      <formula>2</formula>
    </cfRule>
    <cfRule type="cellIs" dxfId="5872" priority="416" operator="equal">
      <formula>1.5</formula>
    </cfRule>
    <cfRule type="cellIs" dxfId="5871" priority="417" operator="equal">
      <formula>1</formula>
    </cfRule>
  </conditionalFormatting>
  <conditionalFormatting sqref="F107:F108 H107:H108 J107:J108">
    <cfRule type="cellIs" dxfId="5870" priority="379" operator="greaterThan">
      <formula>6.6</formula>
    </cfRule>
    <cfRule type="cellIs" dxfId="5869" priority="380" operator="equal">
      <formula>6.5</formula>
    </cfRule>
    <cfRule type="cellIs" dxfId="5868" priority="381" operator="equal">
      <formula>6</formula>
    </cfRule>
    <cfRule type="cellIs" dxfId="5867" priority="382" operator="equal">
      <formula>5.5</formula>
    </cfRule>
    <cfRule type="cellIs" dxfId="5866" priority="383" operator="equal">
      <formula>5</formula>
    </cfRule>
    <cfRule type="cellIs" dxfId="5865" priority="384" operator="equal">
      <formula>4.5</formula>
    </cfRule>
    <cfRule type="cellIs" dxfId="5864" priority="385" operator="equal">
      <formula>4</formula>
    </cfRule>
    <cfRule type="cellIs" dxfId="5863" priority="386" operator="equal">
      <formula>3.5</formula>
    </cfRule>
    <cfRule type="cellIs" dxfId="5862" priority="387" operator="equal">
      <formula>3</formula>
    </cfRule>
    <cfRule type="cellIs" dxfId="5861" priority="388" operator="equal">
      <formula>2.5</formula>
    </cfRule>
    <cfRule type="cellIs" dxfId="5860" priority="389" operator="equal">
      <formula>2</formula>
    </cfRule>
    <cfRule type="cellIs" dxfId="5859" priority="390" operator="equal">
      <formula>1.5</formula>
    </cfRule>
    <cfRule type="cellIs" dxfId="5858" priority="391" operator="equal">
      <formula>1</formula>
    </cfRule>
  </conditionalFormatting>
  <conditionalFormatting sqref="F110:F111 H110:H111 J110:J111">
    <cfRule type="cellIs" dxfId="5857" priority="366" operator="greaterThan">
      <formula>6.6</formula>
    </cfRule>
    <cfRule type="cellIs" dxfId="5856" priority="367" operator="equal">
      <formula>6.5</formula>
    </cfRule>
    <cfRule type="cellIs" dxfId="5855" priority="368" operator="equal">
      <formula>6</formula>
    </cfRule>
    <cfRule type="cellIs" dxfId="5854" priority="369" operator="equal">
      <formula>5.5</formula>
    </cfRule>
    <cfRule type="cellIs" dxfId="5853" priority="370" operator="equal">
      <formula>5</formula>
    </cfRule>
    <cfRule type="cellIs" dxfId="5852" priority="371" operator="equal">
      <formula>4.5</formula>
    </cfRule>
    <cfRule type="cellIs" dxfId="5851" priority="372" operator="equal">
      <formula>4</formula>
    </cfRule>
    <cfRule type="cellIs" dxfId="5850" priority="373" operator="equal">
      <formula>3.5</formula>
    </cfRule>
    <cfRule type="cellIs" dxfId="5849" priority="374" operator="equal">
      <formula>3</formula>
    </cfRule>
    <cfRule type="cellIs" dxfId="5848" priority="375" operator="equal">
      <formula>2.5</formula>
    </cfRule>
    <cfRule type="cellIs" dxfId="5847" priority="376" operator="equal">
      <formula>2</formula>
    </cfRule>
    <cfRule type="cellIs" dxfId="5846" priority="377" operator="equal">
      <formula>1.5</formula>
    </cfRule>
    <cfRule type="cellIs" dxfId="5845" priority="378" operator="equal">
      <formula>1</formula>
    </cfRule>
  </conditionalFormatting>
  <conditionalFormatting sqref="F113:F114 H113:H114 J113:J114">
    <cfRule type="cellIs" dxfId="5844" priority="353" operator="greaterThan">
      <formula>6.6</formula>
    </cfRule>
    <cfRule type="cellIs" dxfId="5843" priority="354" operator="equal">
      <formula>6.5</formula>
    </cfRule>
    <cfRule type="cellIs" dxfId="5842" priority="355" operator="equal">
      <formula>6</formula>
    </cfRule>
    <cfRule type="cellIs" dxfId="5841" priority="356" operator="equal">
      <formula>5.5</formula>
    </cfRule>
    <cfRule type="cellIs" dxfId="5840" priority="357" operator="equal">
      <formula>5</formula>
    </cfRule>
    <cfRule type="cellIs" dxfId="5839" priority="358" operator="equal">
      <formula>4.5</formula>
    </cfRule>
    <cfRule type="cellIs" dxfId="5838" priority="359" operator="equal">
      <formula>4</formula>
    </cfRule>
    <cfRule type="cellIs" dxfId="5837" priority="360" operator="equal">
      <formula>3.5</formula>
    </cfRule>
    <cfRule type="cellIs" dxfId="5836" priority="361" operator="equal">
      <formula>3</formula>
    </cfRule>
    <cfRule type="cellIs" dxfId="5835" priority="362" operator="equal">
      <formula>2.5</formula>
    </cfRule>
    <cfRule type="cellIs" dxfId="5834" priority="363" operator="equal">
      <formula>2</formula>
    </cfRule>
    <cfRule type="cellIs" dxfId="5833" priority="364" operator="equal">
      <formula>1.5</formula>
    </cfRule>
    <cfRule type="cellIs" dxfId="5832" priority="365" operator="equal">
      <formula>1</formula>
    </cfRule>
  </conditionalFormatting>
  <conditionalFormatting sqref="F116:F117 H116:H117 J116:J117">
    <cfRule type="cellIs" dxfId="5831" priority="340" operator="greaterThan">
      <formula>6.6</formula>
    </cfRule>
    <cfRule type="cellIs" dxfId="5830" priority="341" operator="equal">
      <formula>6.5</formula>
    </cfRule>
    <cfRule type="cellIs" dxfId="5829" priority="342" operator="equal">
      <formula>6</formula>
    </cfRule>
    <cfRule type="cellIs" dxfId="5828" priority="343" operator="equal">
      <formula>5.5</formula>
    </cfRule>
    <cfRule type="cellIs" dxfId="5827" priority="344" operator="equal">
      <formula>5</formula>
    </cfRule>
    <cfRule type="cellIs" dxfId="5826" priority="345" operator="equal">
      <formula>4.5</formula>
    </cfRule>
    <cfRule type="cellIs" dxfId="5825" priority="346" operator="equal">
      <formula>4</formula>
    </cfRule>
    <cfRule type="cellIs" dxfId="5824" priority="347" operator="equal">
      <formula>3.5</formula>
    </cfRule>
    <cfRule type="cellIs" dxfId="5823" priority="348" operator="equal">
      <formula>3</formula>
    </cfRule>
    <cfRule type="cellIs" dxfId="5822" priority="349" operator="equal">
      <formula>2.5</formula>
    </cfRule>
    <cfRule type="cellIs" dxfId="5821" priority="350" operator="equal">
      <formula>2</formula>
    </cfRule>
    <cfRule type="cellIs" dxfId="5820" priority="351" operator="equal">
      <formula>1.5</formula>
    </cfRule>
    <cfRule type="cellIs" dxfId="5819" priority="352" operator="equal">
      <formula>1</formula>
    </cfRule>
  </conditionalFormatting>
  <conditionalFormatting sqref="F119:F120 H119:H120 J119:J120">
    <cfRule type="cellIs" dxfId="5818" priority="327" operator="greaterThan">
      <formula>6.6</formula>
    </cfRule>
    <cfRule type="cellIs" dxfId="5817" priority="328" operator="equal">
      <formula>6.5</formula>
    </cfRule>
    <cfRule type="cellIs" dxfId="5816" priority="329" operator="equal">
      <formula>6</formula>
    </cfRule>
    <cfRule type="cellIs" dxfId="5815" priority="330" operator="equal">
      <formula>5.5</formula>
    </cfRule>
    <cfRule type="cellIs" dxfId="5814" priority="331" operator="equal">
      <formula>5</formula>
    </cfRule>
    <cfRule type="cellIs" dxfId="5813" priority="332" operator="equal">
      <formula>4.5</formula>
    </cfRule>
    <cfRule type="cellIs" dxfId="5812" priority="333" operator="equal">
      <formula>4</formula>
    </cfRule>
    <cfRule type="cellIs" dxfId="5811" priority="334" operator="equal">
      <formula>3.5</formula>
    </cfRule>
    <cfRule type="cellIs" dxfId="5810" priority="335" operator="equal">
      <formula>3</formula>
    </cfRule>
    <cfRule type="cellIs" dxfId="5809" priority="336" operator="equal">
      <formula>2.5</formula>
    </cfRule>
    <cfRule type="cellIs" dxfId="5808" priority="337" operator="equal">
      <formula>2</formula>
    </cfRule>
    <cfRule type="cellIs" dxfId="5807" priority="338" operator="equal">
      <formula>1.5</formula>
    </cfRule>
    <cfRule type="cellIs" dxfId="5806" priority="339" operator="equal">
      <formula>1</formula>
    </cfRule>
  </conditionalFormatting>
  <conditionalFormatting sqref="F122:F123 H122:H123 J122:J123">
    <cfRule type="cellIs" dxfId="5805" priority="314" operator="greaterThan">
      <formula>6.6</formula>
    </cfRule>
    <cfRule type="cellIs" dxfId="5804" priority="315" operator="equal">
      <formula>6.5</formula>
    </cfRule>
    <cfRule type="cellIs" dxfId="5803" priority="316" operator="equal">
      <formula>6</formula>
    </cfRule>
    <cfRule type="cellIs" dxfId="5802" priority="317" operator="equal">
      <formula>5.5</formula>
    </cfRule>
    <cfRule type="cellIs" dxfId="5801" priority="318" operator="equal">
      <formula>5</formula>
    </cfRule>
    <cfRule type="cellIs" dxfId="5800" priority="319" operator="equal">
      <formula>4.5</formula>
    </cfRule>
    <cfRule type="cellIs" dxfId="5799" priority="320" operator="equal">
      <formula>4</formula>
    </cfRule>
    <cfRule type="cellIs" dxfId="5798" priority="321" operator="equal">
      <formula>3.5</formula>
    </cfRule>
    <cfRule type="cellIs" dxfId="5797" priority="322" operator="equal">
      <formula>3</formula>
    </cfRule>
    <cfRule type="cellIs" dxfId="5796" priority="323" operator="equal">
      <formula>2.5</formula>
    </cfRule>
    <cfRule type="cellIs" dxfId="5795" priority="324" operator="equal">
      <formula>2</formula>
    </cfRule>
    <cfRule type="cellIs" dxfId="5794" priority="325" operator="equal">
      <formula>1.5</formula>
    </cfRule>
    <cfRule type="cellIs" dxfId="5793" priority="326" operator="equal">
      <formula>1</formula>
    </cfRule>
  </conditionalFormatting>
  <conditionalFormatting sqref="F125:F126 H125:H126 J125:J126">
    <cfRule type="cellIs" dxfId="5792" priority="301" operator="greaterThan">
      <formula>6.6</formula>
    </cfRule>
    <cfRule type="cellIs" dxfId="5791" priority="302" operator="equal">
      <formula>6.5</formula>
    </cfRule>
    <cfRule type="cellIs" dxfId="5790" priority="303" operator="equal">
      <formula>6</formula>
    </cfRule>
    <cfRule type="cellIs" dxfId="5789" priority="304" operator="equal">
      <formula>5.5</formula>
    </cfRule>
    <cfRule type="cellIs" dxfId="5788" priority="305" operator="equal">
      <formula>5</formula>
    </cfRule>
    <cfRule type="cellIs" dxfId="5787" priority="306" operator="equal">
      <formula>4.5</formula>
    </cfRule>
    <cfRule type="cellIs" dxfId="5786" priority="307" operator="equal">
      <formula>4</formula>
    </cfRule>
    <cfRule type="cellIs" dxfId="5785" priority="308" operator="equal">
      <formula>3.5</formula>
    </cfRule>
    <cfRule type="cellIs" dxfId="5784" priority="309" operator="equal">
      <formula>3</formula>
    </cfRule>
    <cfRule type="cellIs" dxfId="5783" priority="310" operator="equal">
      <formula>2.5</formula>
    </cfRule>
    <cfRule type="cellIs" dxfId="5782" priority="311" operator="equal">
      <formula>2</formula>
    </cfRule>
    <cfRule type="cellIs" dxfId="5781" priority="312" operator="equal">
      <formula>1.5</formula>
    </cfRule>
    <cfRule type="cellIs" dxfId="5780" priority="313" operator="equal">
      <formula>1</formula>
    </cfRule>
  </conditionalFormatting>
  <conditionalFormatting sqref="F128:F129 H128:H129 J128:J129">
    <cfRule type="cellIs" dxfId="5779" priority="288" operator="greaterThan">
      <formula>6.6</formula>
    </cfRule>
    <cfRule type="cellIs" dxfId="5778" priority="289" operator="equal">
      <formula>6.5</formula>
    </cfRule>
    <cfRule type="cellIs" dxfId="5777" priority="290" operator="equal">
      <formula>6</formula>
    </cfRule>
    <cfRule type="cellIs" dxfId="5776" priority="291" operator="equal">
      <formula>5.5</formula>
    </cfRule>
    <cfRule type="cellIs" dxfId="5775" priority="292" operator="equal">
      <formula>5</formula>
    </cfRule>
    <cfRule type="cellIs" dxfId="5774" priority="293" operator="equal">
      <formula>4.5</formula>
    </cfRule>
    <cfRule type="cellIs" dxfId="5773" priority="294" operator="equal">
      <formula>4</formula>
    </cfRule>
    <cfRule type="cellIs" dxfId="5772" priority="295" operator="equal">
      <formula>3.5</formula>
    </cfRule>
    <cfRule type="cellIs" dxfId="5771" priority="296" operator="equal">
      <formula>3</formula>
    </cfRule>
    <cfRule type="cellIs" dxfId="5770" priority="297" operator="equal">
      <formula>2.5</formula>
    </cfRule>
    <cfRule type="cellIs" dxfId="5769" priority="298" operator="equal">
      <formula>2</formula>
    </cfRule>
    <cfRule type="cellIs" dxfId="5768" priority="299" operator="equal">
      <formula>1.5</formula>
    </cfRule>
    <cfRule type="cellIs" dxfId="5767" priority="300" operator="equal">
      <formula>1</formula>
    </cfRule>
  </conditionalFormatting>
  <conditionalFormatting sqref="F137:F138">
    <cfRule type="cellIs" dxfId="5766" priority="262" operator="greaterThan">
      <formula>6.6</formula>
    </cfRule>
    <cfRule type="cellIs" dxfId="5765" priority="263" operator="equal">
      <formula>6.5</formula>
    </cfRule>
    <cfRule type="cellIs" dxfId="5764" priority="264" operator="equal">
      <formula>6</formula>
    </cfRule>
    <cfRule type="cellIs" dxfId="5763" priority="265" operator="equal">
      <formula>5.5</formula>
    </cfRule>
    <cfRule type="cellIs" dxfId="5762" priority="266" operator="equal">
      <formula>5</formula>
    </cfRule>
    <cfRule type="cellIs" dxfId="5761" priority="267" operator="equal">
      <formula>4.5</formula>
    </cfRule>
    <cfRule type="cellIs" dxfId="5760" priority="268" operator="equal">
      <formula>4</formula>
    </cfRule>
    <cfRule type="cellIs" dxfId="5759" priority="269" operator="equal">
      <formula>3.5</formula>
    </cfRule>
    <cfRule type="cellIs" dxfId="5758" priority="270" operator="equal">
      <formula>3</formula>
    </cfRule>
    <cfRule type="cellIs" dxfId="5757" priority="271" operator="equal">
      <formula>2.5</formula>
    </cfRule>
    <cfRule type="cellIs" dxfId="5756" priority="272" operator="equal">
      <formula>2</formula>
    </cfRule>
    <cfRule type="cellIs" dxfId="5755" priority="273" operator="equal">
      <formula>1.5</formula>
    </cfRule>
    <cfRule type="cellIs" dxfId="5754" priority="274" operator="equal">
      <formula>1</formula>
    </cfRule>
  </conditionalFormatting>
  <conditionalFormatting sqref="H137:H138">
    <cfRule type="cellIs" dxfId="5753" priority="249" operator="greaterThan">
      <formula>6.6</formula>
    </cfRule>
    <cfRule type="cellIs" dxfId="5752" priority="250" operator="equal">
      <formula>6.5</formula>
    </cfRule>
    <cfRule type="cellIs" dxfId="5751" priority="251" operator="equal">
      <formula>6</formula>
    </cfRule>
    <cfRule type="cellIs" dxfId="5750" priority="252" operator="equal">
      <formula>5.5</formula>
    </cfRule>
    <cfRule type="cellIs" dxfId="5749" priority="253" operator="equal">
      <formula>5</formula>
    </cfRule>
    <cfRule type="cellIs" dxfId="5748" priority="254" operator="equal">
      <formula>4.5</formula>
    </cfRule>
    <cfRule type="cellIs" dxfId="5747" priority="255" operator="equal">
      <formula>4</formula>
    </cfRule>
    <cfRule type="cellIs" dxfId="5746" priority="256" operator="equal">
      <formula>3.5</formula>
    </cfRule>
    <cfRule type="cellIs" dxfId="5745" priority="257" operator="equal">
      <formula>3</formula>
    </cfRule>
    <cfRule type="cellIs" dxfId="5744" priority="258" operator="equal">
      <formula>2.5</formula>
    </cfRule>
    <cfRule type="cellIs" dxfId="5743" priority="259" operator="equal">
      <formula>2</formula>
    </cfRule>
    <cfRule type="cellIs" dxfId="5742" priority="260" operator="equal">
      <formula>1.5</formula>
    </cfRule>
    <cfRule type="cellIs" dxfId="5741" priority="261" operator="equal">
      <formula>1</formula>
    </cfRule>
  </conditionalFormatting>
  <conditionalFormatting sqref="H140:H141">
    <cfRule type="cellIs" dxfId="5740" priority="236" operator="greaterThan">
      <formula>6.6</formula>
    </cfRule>
    <cfRule type="cellIs" dxfId="5739" priority="237" operator="equal">
      <formula>6.5</formula>
    </cfRule>
    <cfRule type="cellIs" dxfId="5738" priority="238" operator="equal">
      <formula>6</formula>
    </cfRule>
    <cfRule type="cellIs" dxfId="5737" priority="239" operator="equal">
      <formula>5.5</formula>
    </cfRule>
    <cfRule type="cellIs" dxfId="5736" priority="240" operator="equal">
      <formula>5</formula>
    </cfRule>
    <cfRule type="cellIs" dxfId="5735" priority="241" operator="equal">
      <formula>4.5</formula>
    </cfRule>
    <cfRule type="cellIs" dxfId="5734" priority="242" operator="equal">
      <formula>4</formula>
    </cfRule>
    <cfRule type="cellIs" dxfId="5733" priority="243" operator="equal">
      <formula>3.5</formula>
    </cfRule>
    <cfRule type="cellIs" dxfId="5732" priority="244" operator="equal">
      <formula>3</formula>
    </cfRule>
    <cfRule type="cellIs" dxfId="5731" priority="245" operator="equal">
      <formula>2.5</formula>
    </cfRule>
    <cfRule type="cellIs" dxfId="5730" priority="246" operator="equal">
      <formula>2</formula>
    </cfRule>
    <cfRule type="cellIs" dxfId="5729" priority="247" operator="equal">
      <formula>1.5</formula>
    </cfRule>
    <cfRule type="cellIs" dxfId="5728" priority="248" operator="equal">
      <formula>1</formula>
    </cfRule>
  </conditionalFormatting>
  <conditionalFormatting sqref="F140:F141">
    <cfRule type="cellIs" dxfId="5727" priority="223" operator="greaterThan">
      <formula>6.6</formula>
    </cfRule>
    <cfRule type="cellIs" dxfId="5726" priority="224" operator="equal">
      <formula>6.5</formula>
    </cfRule>
    <cfRule type="cellIs" dxfId="5725" priority="225" operator="equal">
      <formula>6</formula>
    </cfRule>
    <cfRule type="cellIs" dxfId="5724" priority="226" operator="equal">
      <formula>5.5</formula>
    </cfRule>
    <cfRule type="cellIs" dxfId="5723" priority="227" operator="equal">
      <formula>5</formula>
    </cfRule>
    <cfRule type="cellIs" dxfId="5722" priority="228" operator="equal">
      <formula>4.5</formula>
    </cfRule>
    <cfRule type="cellIs" dxfId="5721" priority="229" operator="equal">
      <formula>4</formula>
    </cfRule>
    <cfRule type="cellIs" dxfId="5720" priority="230" operator="equal">
      <formula>3.5</formula>
    </cfRule>
    <cfRule type="cellIs" dxfId="5719" priority="231" operator="equal">
      <formula>3</formula>
    </cfRule>
    <cfRule type="cellIs" dxfId="5718" priority="232" operator="equal">
      <formula>2.5</formula>
    </cfRule>
    <cfRule type="cellIs" dxfId="5717" priority="233" operator="equal">
      <formula>2</formula>
    </cfRule>
    <cfRule type="cellIs" dxfId="5716" priority="234" operator="equal">
      <formula>1.5</formula>
    </cfRule>
    <cfRule type="cellIs" dxfId="5715" priority="235" operator="equal">
      <formula>1</formula>
    </cfRule>
  </conditionalFormatting>
  <conditionalFormatting sqref="F143:F144">
    <cfRule type="cellIs" dxfId="5714" priority="210" operator="greaterThan">
      <formula>6.6</formula>
    </cfRule>
    <cfRule type="cellIs" dxfId="5713" priority="211" operator="equal">
      <formula>6.5</formula>
    </cfRule>
    <cfRule type="cellIs" dxfId="5712" priority="212" operator="equal">
      <formula>6</formula>
    </cfRule>
    <cfRule type="cellIs" dxfId="5711" priority="213" operator="equal">
      <formula>5.5</formula>
    </cfRule>
    <cfRule type="cellIs" dxfId="5710" priority="214" operator="equal">
      <formula>5</formula>
    </cfRule>
    <cfRule type="cellIs" dxfId="5709" priority="215" operator="equal">
      <formula>4.5</formula>
    </cfRule>
    <cfRule type="cellIs" dxfId="5708" priority="216" operator="equal">
      <formula>4</formula>
    </cfRule>
    <cfRule type="cellIs" dxfId="5707" priority="217" operator="equal">
      <formula>3.5</formula>
    </cfRule>
    <cfRule type="cellIs" dxfId="5706" priority="218" operator="equal">
      <formula>3</formula>
    </cfRule>
    <cfRule type="cellIs" dxfId="5705" priority="219" operator="equal">
      <formula>2.5</formula>
    </cfRule>
    <cfRule type="cellIs" dxfId="5704" priority="220" operator="equal">
      <formula>2</formula>
    </cfRule>
    <cfRule type="cellIs" dxfId="5703" priority="221" operator="equal">
      <formula>1.5</formula>
    </cfRule>
    <cfRule type="cellIs" dxfId="5702" priority="222" operator="equal">
      <formula>1</formula>
    </cfRule>
  </conditionalFormatting>
  <conditionalFormatting sqref="H143:H144">
    <cfRule type="cellIs" dxfId="5701" priority="197" operator="greaterThan">
      <formula>6.6</formula>
    </cfRule>
    <cfRule type="cellIs" dxfId="5700" priority="198" operator="equal">
      <formula>6.5</formula>
    </cfRule>
    <cfRule type="cellIs" dxfId="5699" priority="199" operator="equal">
      <formula>6</formula>
    </cfRule>
    <cfRule type="cellIs" dxfId="5698" priority="200" operator="equal">
      <formula>5.5</formula>
    </cfRule>
    <cfRule type="cellIs" dxfId="5697" priority="201" operator="equal">
      <formula>5</formula>
    </cfRule>
    <cfRule type="cellIs" dxfId="5696" priority="202" operator="equal">
      <formula>4.5</formula>
    </cfRule>
    <cfRule type="cellIs" dxfId="5695" priority="203" operator="equal">
      <formula>4</formula>
    </cfRule>
    <cfRule type="cellIs" dxfId="5694" priority="204" operator="equal">
      <formula>3.5</formula>
    </cfRule>
    <cfRule type="cellIs" dxfId="5693" priority="205" operator="equal">
      <formula>3</formula>
    </cfRule>
    <cfRule type="cellIs" dxfId="5692" priority="206" operator="equal">
      <formula>2.5</formula>
    </cfRule>
    <cfRule type="cellIs" dxfId="5691" priority="207" operator="equal">
      <formula>2</formula>
    </cfRule>
    <cfRule type="cellIs" dxfId="5690" priority="208" operator="equal">
      <formula>1.5</formula>
    </cfRule>
    <cfRule type="cellIs" dxfId="5689" priority="209" operator="equal">
      <formula>1</formula>
    </cfRule>
  </conditionalFormatting>
  <conditionalFormatting sqref="H149:H150">
    <cfRule type="cellIs" dxfId="5688" priority="184" operator="greaterThan">
      <formula>6.6</formula>
    </cfRule>
    <cfRule type="cellIs" dxfId="5687" priority="185" operator="equal">
      <formula>6.5</formula>
    </cfRule>
    <cfRule type="cellIs" dxfId="5686" priority="186" operator="equal">
      <formula>6</formula>
    </cfRule>
    <cfRule type="cellIs" dxfId="5685" priority="187" operator="equal">
      <formula>5.5</formula>
    </cfRule>
    <cfRule type="cellIs" dxfId="5684" priority="188" operator="equal">
      <formula>5</formula>
    </cfRule>
    <cfRule type="cellIs" dxfId="5683" priority="189" operator="equal">
      <formula>4.5</formula>
    </cfRule>
    <cfRule type="cellIs" dxfId="5682" priority="190" operator="equal">
      <formula>4</formula>
    </cfRule>
    <cfRule type="cellIs" dxfId="5681" priority="191" operator="equal">
      <formula>3.5</formula>
    </cfRule>
    <cfRule type="cellIs" dxfId="5680" priority="192" operator="equal">
      <formula>3</formula>
    </cfRule>
    <cfRule type="cellIs" dxfId="5679" priority="193" operator="equal">
      <formula>2.5</formula>
    </cfRule>
    <cfRule type="cellIs" dxfId="5678" priority="194" operator="equal">
      <formula>2</formula>
    </cfRule>
    <cfRule type="cellIs" dxfId="5677" priority="195" operator="equal">
      <formula>1.5</formula>
    </cfRule>
    <cfRule type="cellIs" dxfId="5676" priority="196" operator="equal">
      <formula>1</formula>
    </cfRule>
  </conditionalFormatting>
  <conditionalFormatting sqref="F149:F150">
    <cfRule type="cellIs" dxfId="5675" priority="171" operator="greaterThan">
      <formula>6.6</formula>
    </cfRule>
    <cfRule type="cellIs" dxfId="5674" priority="172" operator="equal">
      <formula>6.5</formula>
    </cfRule>
    <cfRule type="cellIs" dxfId="5673" priority="173" operator="equal">
      <formula>6</formula>
    </cfRule>
    <cfRule type="cellIs" dxfId="5672" priority="174" operator="equal">
      <formula>5.5</formula>
    </cfRule>
    <cfRule type="cellIs" dxfId="5671" priority="175" operator="equal">
      <formula>5</formula>
    </cfRule>
    <cfRule type="cellIs" dxfId="5670" priority="176" operator="equal">
      <formula>4.5</formula>
    </cfRule>
    <cfRule type="cellIs" dxfId="5669" priority="177" operator="equal">
      <formula>4</formula>
    </cfRule>
    <cfRule type="cellIs" dxfId="5668" priority="178" operator="equal">
      <formula>3.5</formula>
    </cfRule>
    <cfRule type="cellIs" dxfId="5667" priority="179" operator="equal">
      <formula>3</formula>
    </cfRule>
    <cfRule type="cellIs" dxfId="5666" priority="180" operator="equal">
      <formula>2.5</formula>
    </cfRule>
    <cfRule type="cellIs" dxfId="5665" priority="181" operator="equal">
      <formula>2</formula>
    </cfRule>
    <cfRule type="cellIs" dxfId="5664" priority="182" operator="equal">
      <formula>1.5</formula>
    </cfRule>
    <cfRule type="cellIs" dxfId="5663" priority="183" operator="equal">
      <formula>1</formula>
    </cfRule>
  </conditionalFormatting>
  <conditionalFormatting sqref="F152:F153">
    <cfRule type="cellIs" dxfId="5662" priority="158" operator="greaterThan">
      <formula>6.6</formula>
    </cfRule>
    <cfRule type="cellIs" dxfId="5661" priority="159" operator="equal">
      <formula>6.5</formula>
    </cfRule>
    <cfRule type="cellIs" dxfId="5660" priority="160" operator="equal">
      <formula>6</formula>
    </cfRule>
    <cfRule type="cellIs" dxfId="5659" priority="161" operator="equal">
      <formula>5.5</formula>
    </cfRule>
    <cfRule type="cellIs" dxfId="5658" priority="162" operator="equal">
      <formula>5</formula>
    </cfRule>
    <cfRule type="cellIs" dxfId="5657" priority="163" operator="equal">
      <formula>4.5</formula>
    </cfRule>
    <cfRule type="cellIs" dxfId="5656" priority="164" operator="equal">
      <formula>4</formula>
    </cfRule>
    <cfRule type="cellIs" dxfId="5655" priority="165" operator="equal">
      <formula>3.5</formula>
    </cfRule>
    <cfRule type="cellIs" dxfId="5654" priority="166" operator="equal">
      <formula>3</formula>
    </cfRule>
    <cfRule type="cellIs" dxfId="5653" priority="167" operator="equal">
      <formula>2.5</formula>
    </cfRule>
    <cfRule type="cellIs" dxfId="5652" priority="168" operator="equal">
      <formula>2</formula>
    </cfRule>
    <cfRule type="cellIs" dxfId="5651" priority="169" operator="equal">
      <formula>1.5</formula>
    </cfRule>
    <cfRule type="cellIs" dxfId="5650" priority="170" operator="equal">
      <formula>1</formula>
    </cfRule>
  </conditionalFormatting>
  <conditionalFormatting sqref="H152:H153">
    <cfRule type="cellIs" dxfId="5649" priority="145" operator="greaterThan">
      <formula>6.6</formula>
    </cfRule>
    <cfRule type="cellIs" dxfId="5648" priority="146" operator="equal">
      <formula>6.5</formula>
    </cfRule>
    <cfRule type="cellIs" dxfId="5647" priority="147" operator="equal">
      <formula>6</formula>
    </cfRule>
    <cfRule type="cellIs" dxfId="5646" priority="148" operator="equal">
      <formula>5.5</formula>
    </cfRule>
    <cfRule type="cellIs" dxfId="5645" priority="149" operator="equal">
      <formula>5</formula>
    </cfRule>
    <cfRule type="cellIs" dxfId="5644" priority="150" operator="equal">
      <formula>4.5</formula>
    </cfRule>
    <cfRule type="cellIs" dxfId="5643" priority="151" operator="equal">
      <formula>4</formula>
    </cfRule>
    <cfRule type="cellIs" dxfId="5642" priority="152" operator="equal">
      <formula>3.5</formula>
    </cfRule>
    <cfRule type="cellIs" dxfId="5641" priority="153" operator="equal">
      <formula>3</formula>
    </cfRule>
    <cfRule type="cellIs" dxfId="5640" priority="154" operator="equal">
      <formula>2.5</formula>
    </cfRule>
    <cfRule type="cellIs" dxfId="5639" priority="155" operator="equal">
      <formula>2</formula>
    </cfRule>
    <cfRule type="cellIs" dxfId="5638" priority="156" operator="equal">
      <formula>1.5</formula>
    </cfRule>
    <cfRule type="cellIs" dxfId="5637" priority="157" operator="equal">
      <formula>1</formula>
    </cfRule>
  </conditionalFormatting>
  <conditionalFormatting sqref="F59:F60">
    <cfRule type="cellIs" dxfId="5636" priority="106" operator="greaterThan">
      <formula>6.6</formula>
    </cfRule>
    <cfRule type="cellIs" dxfId="5635" priority="107" operator="equal">
      <formula>6.5</formula>
    </cfRule>
    <cfRule type="cellIs" dxfId="5634" priority="108" operator="equal">
      <formula>6</formula>
    </cfRule>
    <cfRule type="cellIs" dxfId="5633" priority="109" operator="equal">
      <formula>5.5</formula>
    </cfRule>
    <cfRule type="cellIs" dxfId="5632" priority="110" operator="equal">
      <formula>5</formula>
    </cfRule>
    <cfRule type="cellIs" dxfId="5631" priority="111" operator="equal">
      <formula>4.5</formula>
    </cfRule>
    <cfRule type="cellIs" dxfId="5630" priority="112" operator="equal">
      <formula>4</formula>
    </cfRule>
    <cfRule type="cellIs" dxfId="5629" priority="113" operator="equal">
      <formula>3.5</formula>
    </cfRule>
    <cfRule type="cellIs" dxfId="5628" priority="114" operator="equal">
      <formula>3</formula>
    </cfRule>
    <cfRule type="cellIs" dxfId="5627" priority="115" operator="equal">
      <formula>2.5</formula>
    </cfRule>
    <cfRule type="cellIs" dxfId="5626" priority="116" operator="equal">
      <formula>2</formula>
    </cfRule>
    <cfRule type="cellIs" dxfId="5625" priority="117" operator="equal">
      <formula>1.5</formula>
    </cfRule>
    <cfRule type="cellIs" dxfId="5624" priority="118" operator="equal">
      <formula>1</formula>
    </cfRule>
  </conditionalFormatting>
  <conditionalFormatting sqref="F11">
    <cfRule type="cellIs" dxfId="5623" priority="93" operator="greaterThan">
      <formula>6.6</formula>
    </cfRule>
    <cfRule type="cellIs" dxfId="5622" priority="94" operator="equal">
      <formula>6.5</formula>
    </cfRule>
    <cfRule type="cellIs" dxfId="5621" priority="95" operator="equal">
      <formula>6</formula>
    </cfRule>
    <cfRule type="cellIs" dxfId="5620" priority="96" operator="equal">
      <formula>5.5</formula>
    </cfRule>
    <cfRule type="cellIs" dxfId="5619" priority="97" operator="equal">
      <formula>5</formula>
    </cfRule>
    <cfRule type="cellIs" dxfId="5618" priority="98" operator="equal">
      <formula>4.5</formula>
    </cfRule>
    <cfRule type="cellIs" dxfId="5617" priority="99" operator="equal">
      <formula>4</formula>
    </cfRule>
    <cfRule type="cellIs" dxfId="5616" priority="100" operator="equal">
      <formula>3.5</formula>
    </cfRule>
    <cfRule type="cellIs" dxfId="5615" priority="101" operator="equal">
      <formula>3</formula>
    </cfRule>
    <cfRule type="cellIs" dxfId="5614" priority="102" operator="equal">
      <formula>2.5</formula>
    </cfRule>
    <cfRule type="cellIs" dxfId="5613" priority="103" operator="equal">
      <formula>2</formula>
    </cfRule>
    <cfRule type="cellIs" dxfId="5612" priority="104" operator="equal">
      <formula>1.5</formula>
    </cfRule>
    <cfRule type="cellIs" dxfId="5611" priority="105" operator="equal">
      <formula>1</formula>
    </cfRule>
  </conditionalFormatting>
  <conditionalFormatting sqref="BR148">
    <cfRule type="expression" dxfId="5610" priority="92">
      <formula>AND(BR148&gt;0,BR147&lt;BR148)</formula>
    </cfRule>
  </conditionalFormatting>
  <conditionalFormatting sqref="H146:H147">
    <cfRule type="cellIs" dxfId="5609" priority="79" operator="greaterThan">
      <formula>6.6</formula>
    </cfRule>
    <cfRule type="cellIs" dxfId="5608" priority="80" operator="equal">
      <formula>6.5</formula>
    </cfRule>
    <cfRule type="cellIs" dxfId="5607" priority="81" operator="equal">
      <formula>6</formula>
    </cfRule>
    <cfRule type="cellIs" dxfId="5606" priority="82" operator="equal">
      <formula>5.5</formula>
    </cfRule>
    <cfRule type="cellIs" dxfId="5605" priority="83" operator="equal">
      <formula>5</formula>
    </cfRule>
    <cfRule type="cellIs" dxfId="5604" priority="84" operator="equal">
      <formula>4.5</formula>
    </cfRule>
    <cfRule type="cellIs" dxfId="5603" priority="85" operator="equal">
      <formula>4</formula>
    </cfRule>
    <cfRule type="cellIs" dxfId="5602" priority="86" operator="equal">
      <formula>3.5</formula>
    </cfRule>
    <cfRule type="cellIs" dxfId="5601" priority="87" operator="equal">
      <formula>3</formula>
    </cfRule>
    <cfRule type="cellIs" dxfId="5600" priority="88" operator="equal">
      <formula>2.5</formula>
    </cfRule>
    <cfRule type="cellIs" dxfId="5599" priority="89" operator="equal">
      <formula>2</formula>
    </cfRule>
    <cfRule type="cellIs" dxfId="5598" priority="90" operator="equal">
      <formula>1.5</formula>
    </cfRule>
    <cfRule type="cellIs" dxfId="5597" priority="91" operator="equal">
      <formula>1</formula>
    </cfRule>
  </conditionalFormatting>
  <conditionalFormatting sqref="F146:F147">
    <cfRule type="cellIs" dxfId="5596" priority="66" operator="greaterThan">
      <formula>6.6</formula>
    </cfRule>
    <cfRule type="cellIs" dxfId="5595" priority="67" operator="equal">
      <formula>6.5</formula>
    </cfRule>
    <cfRule type="cellIs" dxfId="5594" priority="68" operator="equal">
      <formula>6</formula>
    </cfRule>
    <cfRule type="cellIs" dxfId="5593" priority="69" operator="equal">
      <formula>5.5</formula>
    </cfRule>
    <cfRule type="cellIs" dxfId="5592" priority="70" operator="equal">
      <formula>5</formula>
    </cfRule>
    <cfRule type="cellIs" dxfId="5591" priority="71" operator="equal">
      <formula>4.5</formula>
    </cfRule>
    <cfRule type="cellIs" dxfId="5590" priority="72" operator="equal">
      <formula>4</formula>
    </cfRule>
    <cfRule type="cellIs" dxfId="5589" priority="73" operator="equal">
      <formula>3.5</formula>
    </cfRule>
    <cfRule type="cellIs" dxfId="5588" priority="74" operator="equal">
      <formula>3</formula>
    </cfRule>
    <cfRule type="cellIs" dxfId="5587" priority="75" operator="equal">
      <formula>2.5</formula>
    </cfRule>
    <cfRule type="cellIs" dxfId="5586" priority="76" operator="equal">
      <formula>2</formula>
    </cfRule>
    <cfRule type="cellIs" dxfId="5585" priority="77" operator="equal">
      <formula>1.5</formula>
    </cfRule>
    <cfRule type="cellIs" dxfId="5584" priority="78" operator="equal">
      <formula>1</formula>
    </cfRule>
  </conditionalFormatting>
  <conditionalFormatting sqref="H156">
    <cfRule type="cellIs" dxfId="5583" priority="53" operator="greaterThan">
      <formula>6.6</formula>
    </cfRule>
    <cfRule type="cellIs" dxfId="5582" priority="54" operator="equal">
      <formula>6.5</formula>
    </cfRule>
    <cfRule type="cellIs" dxfId="5581" priority="55" operator="equal">
      <formula>6</formula>
    </cfRule>
    <cfRule type="cellIs" dxfId="5580" priority="56" operator="equal">
      <formula>5.5</formula>
    </cfRule>
    <cfRule type="cellIs" dxfId="5579" priority="57" operator="equal">
      <formula>5</formula>
    </cfRule>
    <cfRule type="cellIs" dxfId="5578" priority="58" operator="equal">
      <formula>4.5</formula>
    </cfRule>
    <cfRule type="cellIs" dxfId="5577" priority="59" operator="equal">
      <formula>4</formula>
    </cfRule>
    <cfRule type="cellIs" dxfId="5576" priority="60" operator="equal">
      <formula>3.5</formula>
    </cfRule>
    <cfRule type="cellIs" dxfId="5575" priority="61" operator="equal">
      <formula>3</formula>
    </cfRule>
    <cfRule type="cellIs" dxfId="5574" priority="62" operator="equal">
      <formula>2.5</formula>
    </cfRule>
    <cfRule type="cellIs" dxfId="5573" priority="63" operator="equal">
      <formula>2</formula>
    </cfRule>
    <cfRule type="cellIs" dxfId="5572" priority="64" operator="equal">
      <formula>1.5</formula>
    </cfRule>
    <cfRule type="cellIs" dxfId="5571" priority="65" operator="equal">
      <formula>1</formula>
    </cfRule>
  </conditionalFormatting>
  <conditionalFormatting sqref="F63 H63 J63 L63 N63 P63 N72 L72 J72 H72 F72">
    <cfRule type="cellIs" dxfId="5570" priority="14" operator="greaterThan">
      <formula>6.6</formula>
    </cfRule>
    <cfRule type="cellIs" dxfId="5569" priority="15" operator="equal">
      <formula>6.5</formula>
    </cfRule>
    <cfRule type="cellIs" dxfId="5568" priority="16" operator="equal">
      <formula>6</formula>
    </cfRule>
    <cfRule type="cellIs" dxfId="5567" priority="17" operator="equal">
      <formula>5.5</formula>
    </cfRule>
    <cfRule type="cellIs" dxfId="5566" priority="18" operator="equal">
      <formula>5</formula>
    </cfRule>
    <cfRule type="cellIs" dxfId="5565" priority="19" operator="equal">
      <formula>4.5</formula>
    </cfRule>
    <cfRule type="cellIs" dxfId="5564" priority="20" operator="equal">
      <formula>4</formula>
    </cfRule>
    <cfRule type="cellIs" dxfId="5563" priority="21" operator="equal">
      <formula>3.5</formula>
    </cfRule>
    <cfRule type="cellIs" dxfId="5562" priority="22" operator="equal">
      <formula>3</formula>
    </cfRule>
    <cfRule type="cellIs" dxfId="5561" priority="23" operator="equal">
      <formula>2.5</formula>
    </cfRule>
    <cfRule type="cellIs" dxfId="5560" priority="24" operator="equal">
      <formula>2</formula>
    </cfRule>
    <cfRule type="cellIs" dxfId="5559" priority="25" operator="equal">
      <formula>1.5</formula>
    </cfRule>
    <cfRule type="cellIs" dxfId="5558" priority="26" operator="equal">
      <formula>1</formula>
    </cfRule>
  </conditionalFormatting>
  <conditionalFormatting sqref="L102 J102 H102 F102 J132 H132 F132">
    <cfRule type="cellIs" dxfId="5557" priority="27" operator="greaterThan">
      <formula>6.6</formula>
    </cfRule>
    <cfRule type="cellIs" dxfId="5556" priority="28" operator="equal">
      <formula>6.5</formula>
    </cfRule>
    <cfRule type="cellIs" dxfId="5555" priority="29" operator="equal">
      <formula>6</formula>
    </cfRule>
    <cfRule type="cellIs" dxfId="5554" priority="30" operator="equal">
      <formula>5.5</formula>
    </cfRule>
    <cfRule type="cellIs" dxfId="5553" priority="31" operator="equal">
      <formula>5</formula>
    </cfRule>
    <cfRule type="cellIs" dxfId="5552" priority="32" operator="equal">
      <formula>4.5</formula>
    </cfRule>
    <cfRule type="cellIs" dxfId="5551" priority="33" operator="equal">
      <formula>4</formula>
    </cfRule>
    <cfRule type="cellIs" dxfId="5550" priority="34" operator="equal">
      <formula>3.5</formula>
    </cfRule>
    <cfRule type="cellIs" dxfId="5549" priority="35" operator="equal">
      <formula>3</formula>
    </cfRule>
    <cfRule type="cellIs" dxfId="5548" priority="36" operator="equal">
      <formula>2.5</formula>
    </cfRule>
    <cfRule type="cellIs" dxfId="5547" priority="37" operator="equal">
      <formula>2</formula>
    </cfRule>
    <cfRule type="cellIs" dxfId="5546" priority="38" operator="equal">
      <formula>1.5</formula>
    </cfRule>
    <cfRule type="cellIs" dxfId="5545" priority="39" operator="equal">
      <formula>1</formula>
    </cfRule>
  </conditionalFormatting>
  <conditionalFormatting sqref="F36 H36 J36 L36 N36 P36 P51 N51 L51 J51 H51 F51">
    <cfRule type="cellIs" dxfId="5544" priority="1" operator="greaterThan">
      <formula>6.6</formula>
    </cfRule>
    <cfRule type="cellIs" dxfId="5543" priority="2" operator="equal">
      <formula>6.5</formula>
    </cfRule>
    <cfRule type="cellIs" dxfId="5542" priority="3" operator="equal">
      <formula>6</formula>
    </cfRule>
    <cfRule type="cellIs" dxfId="5541" priority="4" operator="equal">
      <formula>5.5</formula>
    </cfRule>
    <cfRule type="cellIs" dxfId="5540" priority="5" operator="equal">
      <formula>5</formula>
    </cfRule>
    <cfRule type="cellIs" dxfId="5539" priority="6" operator="equal">
      <formula>4.5</formula>
    </cfRule>
    <cfRule type="cellIs" dxfId="5538" priority="7" operator="equal">
      <formula>4</formula>
    </cfRule>
    <cfRule type="cellIs" dxfId="5537" priority="8" operator="equal">
      <formula>3.5</formula>
    </cfRule>
    <cfRule type="cellIs" dxfId="5536" priority="9" operator="equal">
      <formula>3</formula>
    </cfRule>
    <cfRule type="cellIs" dxfId="5535" priority="10" operator="equal">
      <formula>2.5</formula>
    </cfRule>
    <cfRule type="cellIs" dxfId="5534" priority="11" operator="equal">
      <formula>2</formula>
    </cfRule>
    <cfRule type="cellIs" dxfId="5533" priority="12" operator="equal">
      <formula>1.5</formula>
    </cfRule>
    <cfRule type="cellIs" dxfId="5532" priority="13" operator="equal">
      <formula>1</formula>
    </cfRule>
  </conditionalFormatting>
  <dataValidations disablePrompts="1" count="1">
    <dataValidation type="list" allowBlank="1" showInputMessage="1" showErrorMessage="1" sqref="O4" xr:uid="{00000000-0002-0000-0C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6" man="1"/>
    <brk id="103" max="16" man="1"/>
    <brk id="165" max="16" man="1"/>
  </rowBreaks>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1000000}">
          <x14:formula1>
            <xm:f>'Land Coeffs 10deg'!$A$8:$A$14</xm:f>
          </x14:formula1>
          <xm:sqref>BT2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tabColor theme="9" tint="0.59999389629810485"/>
  </sheetPr>
  <dimension ref="A2:AE103"/>
  <sheetViews>
    <sheetView topLeftCell="J40" workbookViewId="0">
      <selection activeCell="AA67" sqref="AA67"/>
    </sheetView>
  </sheetViews>
  <sheetFormatPr defaultColWidth="9.140625" defaultRowHeight="12.75"/>
  <cols>
    <col min="1" max="1" width="19.42578125" style="1070" customWidth="1"/>
    <col min="2" max="13" width="9" style="110" customWidth="1"/>
    <col min="14" max="14" width="9.140625" style="110" customWidth="1"/>
    <col min="15" max="24" width="9.140625" style="110"/>
    <col min="25" max="25" width="9.140625" style="788"/>
    <col min="26" max="26" width="11" style="788" customWidth="1"/>
    <col min="27" max="27" width="16.140625" style="788" customWidth="1"/>
    <col min="28" max="28" width="14.5703125" style="788" customWidth="1"/>
    <col min="29" max="29" width="21.140625" style="788" customWidth="1"/>
    <col min="30" max="30" width="12" style="788" customWidth="1"/>
    <col min="31" max="31" width="22.28515625" style="788" customWidth="1"/>
    <col min="32" max="16384" width="9.140625" style="788"/>
  </cols>
  <sheetData>
    <row r="2" spans="1:31">
      <c r="A2" s="1069" t="str">
        <f>"Design Values for "&amp;'1-Eng Inputs'!$C$6&amp;", "&amp;'1-Eng Inputs'!$C$8</f>
        <v>Design Values for CED greentech Denver , Patagonia Reno</v>
      </c>
      <c r="B2" s="1059"/>
      <c r="C2" s="1059"/>
      <c r="D2" s="1059"/>
      <c r="E2" s="1059"/>
      <c r="F2" s="1059"/>
      <c r="G2" s="1059"/>
      <c r="H2" s="1059"/>
      <c r="I2" s="1059"/>
      <c r="J2" s="1059"/>
      <c r="K2" s="1059"/>
      <c r="L2" s="1059"/>
      <c r="M2" s="1059"/>
      <c r="N2" s="1059"/>
      <c r="O2" s="1059"/>
      <c r="P2" s="1059"/>
      <c r="Q2" s="1059"/>
      <c r="R2" s="1059"/>
      <c r="S2" s="1059"/>
      <c r="T2" s="1059"/>
      <c r="U2" s="1059"/>
      <c r="V2" s="1059"/>
      <c r="W2" s="1059"/>
      <c r="X2" s="1059"/>
      <c r="Z2" s="448"/>
      <c r="AA2" s="449"/>
    </row>
    <row r="3" spans="1:31">
      <c r="Z3" s="215"/>
    </row>
    <row r="4" spans="1:31" ht="18.75" thickBot="1">
      <c r="A4" s="1071" t="s">
        <v>191</v>
      </c>
      <c r="B4" s="124" t="s">
        <v>235</v>
      </c>
      <c r="C4" s="109"/>
      <c r="D4" s="109"/>
      <c r="E4" s="109"/>
      <c r="F4" s="109"/>
      <c r="G4" s="109"/>
      <c r="H4" s="109"/>
      <c r="I4" s="109"/>
      <c r="J4" s="109"/>
      <c r="K4" s="109"/>
      <c r="L4" s="109"/>
      <c r="N4" s="112"/>
      <c r="O4" s="109"/>
      <c r="P4" s="109"/>
      <c r="Q4" s="109"/>
      <c r="R4" s="109"/>
      <c r="S4" s="109"/>
      <c r="T4" s="109"/>
      <c r="U4" s="109"/>
      <c r="V4" s="109"/>
      <c r="W4" s="109"/>
      <c r="X4" s="109"/>
      <c r="Z4" s="215"/>
    </row>
    <row r="5" spans="1:31" ht="23.25" thickBot="1">
      <c r="A5" s="1123"/>
      <c r="B5" s="1122" t="s">
        <v>192</v>
      </c>
      <c r="C5" s="2171" t="s">
        <v>192</v>
      </c>
      <c r="D5" s="2172"/>
      <c r="E5" s="2172"/>
      <c r="F5" s="2172"/>
      <c r="G5" s="2172"/>
      <c r="H5" s="2172"/>
      <c r="I5" s="2172"/>
      <c r="J5" s="2172"/>
      <c r="K5" s="2172"/>
      <c r="L5" s="2172"/>
      <c r="M5" s="2172"/>
      <c r="N5" s="2172"/>
      <c r="O5" s="2172"/>
      <c r="P5" s="2172"/>
      <c r="Q5" s="2172"/>
      <c r="R5" s="2172"/>
      <c r="S5" s="2172"/>
      <c r="T5" s="2172"/>
      <c r="U5" s="2172"/>
      <c r="V5" s="2172"/>
      <c r="W5" s="2173"/>
      <c r="X5" s="1093" t="s">
        <v>193</v>
      </c>
      <c r="Z5" s="2160" t="s">
        <v>403</v>
      </c>
      <c r="AA5" s="2161"/>
    </row>
    <row r="6" spans="1:31" ht="23.25" thickBot="1">
      <c r="A6" s="1124"/>
      <c r="B6" s="1122" t="s">
        <v>239</v>
      </c>
      <c r="C6" s="1094" t="s">
        <v>194</v>
      </c>
      <c r="D6" s="1095" t="s">
        <v>20083</v>
      </c>
      <c r="E6" s="1095" t="s">
        <v>20084</v>
      </c>
      <c r="F6" s="1095" t="s">
        <v>20085</v>
      </c>
      <c r="G6" s="1095" t="s">
        <v>20086</v>
      </c>
      <c r="H6" s="1143" t="s">
        <v>20087</v>
      </c>
      <c r="I6" s="1095" t="s">
        <v>20088</v>
      </c>
      <c r="J6" s="1095" t="s">
        <v>20089</v>
      </c>
      <c r="K6" s="1095" t="s">
        <v>20090</v>
      </c>
      <c r="L6" s="1095" t="s">
        <v>20091</v>
      </c>
      <c r="M6" s="1143" t="s">
        <v>20092</v>
      </c>
      <c r="N6" s="1095" t="s">
        <v>20093</v>
      </c>
      <c r="O6" s="1095" t="s">
        <v>20094</v>
      </c>
      <c r="P6" s="1095" t="s">
        <v>20095</v>
      </c>
      <c r="Q6" s="1095" t="s">
        <v>20096</v>
      </c>
      <c r="R6" s="1143" t="s">
        <v>20097</v>
      </c>
      <c r="S6" s="1095" t="s">
        <v>203</v>
      </c>
      <c r="T6" s="1095" t="s">
        <v>20098</v>
      </c>
      <c r="U6" s="1143" t="s">
        <v>20099</v>
      </c>
      <c r="V6" s="1150" t="s">
        <v>20100</v>
      </c>
      <c r="W6" s="1141" t="s">
        <v>20101</v>
      </c>
      <c r="X6" s="1096" t="s">
        <v>194</v>
      </c>
      <c r="Z6" s="2162"/>
      <c r="AA6" s="2163"/>
    </row>
    <row r="7" spans="1:31" s="1057" customFormat="1" ht="13.5" thickBot="1">
      <c r="A7" s="1124"/>
      <c r="B7" s="1114" t="s">
        <v>20106</v>
      </c>
      <c r="C7" s="1094">
        <v>1</v>
      </c>
      <c r="D7" s="1095">
        <v>1</v>
      </c>
      <c r="E7" s="1095">
        <v>1</v>
      </c>
      <c r="F7" s="1095">
        <v>1</v>
      </c>
      <c r="G7" s="1095">
        <v>1</v>
      </c>
      <c r="H7" s="1143">
        <v>2</v>
      </c>
      <c r="I7" s="1095">
        <v>2</v>
      </c>
      <c r="J7" s="1095">
        <v>2</v>
      </c>
      <c r="K7" s="1095">
        <v>2</v>
      </c>
      <c r="L7" s="1095">
        <v>2</v>
      </c>
      <c r="M7" s="1143">
        <v>3</v>
      </c>
      <c r="N7" s="1095">
        <v>3</v>
      </c>
      <c r="O7" s="1095">
        <v>3</v>
      </c>
      <c r="P7" s="1095">
        <v>3</v>
      </c>
      <c r="Q7" s="1095">
        <v>3</v>
      </c>
      <c r="R7" s="1143">
        <v>4</v>
      </c>
      <c r="S7" s="1095">
        <v>4</v>
      </c>
      <c r="T7" s="1095">
        <v>4</v>
      </c>
      <c r="U7" s="1143">
        <v>5</v>
      </c>
      <c r="V7" s="1150">
        <v>5</v>
      </c>
      <c r="W7" s="1095">
        <v>6</v>
      </c>
      <c r="X7" s="1097"/>
      <c r="Z7" s="2162"/>
      <c r="AA7" s="2163"/>
    </row>
    <row r="8" spans="1:31" ht="17.25" thickBot="1">
      <c r="A8" s="1125" t="s">
        <v>195</v>
      </c>
      <c r="B8" s="1142" t="s">
        <v>20107</v>
      </c>
      <c r="C8" s="1094">
        <v>1</v>
      </c>
      <c r="D8" s="1095">
        <v>2</v>
      </c>
      <c r="E8" s="1095">
        <v>3</v>
      </c>
      <c r="F8" s="1095">
        <v>4</v>
      </c>
      <c r="G8" s="1095">
        <v>5</v>
      </c>
      <c r="H8" s="1143">
        <v>1</v>
      </c>
      <c r="I8" s="1095">
        <v>2</v>
      </c>
      <c r="J8" s="1095">
        <v>3</v>
      </c>
      <c r="K8" s="1095">
        <v>4</v>
      </c>
      <c r="L8" s="1095">
        <v>5</v>
      </c>
      <c r="M8" s="1143">
        <v>1</v>
      </c>
      <c r="N8" s="1095">
        <v>2</v>
      </c>
      <c r="O8" s="1095">
        <v>3</v>
      </c>
      <c r="P8" s="1095">
        <v>4</v>
      </c>
      <c r="Q8" s="1095">
        <v>5</v>
      </c>
      <c r="R8" s="1143">
        <v>1</v>
      </c>
      <c r="S8" s="1095">
        <v>4</v>
      </c>
      <c r="T8" s="1095">
        <v>5</v>
      </c>
      <c r="U8" s="1143">
        <v>1</v>
      </c>
      <c r="V8" s="1150">
        <v>5</v>
      </c>
      <c r="W8" s="1095">
        <v>6</v>
      </c>
      <c r="X8" s="1098"/>
      <c r="Y8" s="112"/>
      <c r="Z8" s="2162"/>
      <c r="AA8" s="2163"/>
      <c r="AC8" s="228" t="s">
        <v>462</v>
      </c>
      <c r="AD8" s="229" t="s">
        <v>463</v>
      </c>
      <c r="AE8" s="230" t="s">
        <v>464</v>
      </c>
    </row>
    <row r="9" spans="1:31">
      <c r="A9" s="1126" t="s">
        <v>196</v>
      </c>
      <c r="B9" s="1115">
        <f ca="1">'Area Reduction'!$C$32*'Land Coeffs 5deg'!C9</f>
        <v>-0.19879079528425758</v>
      </c>
      <c r="C9" s="1079">
        <f>IF('1-Eng Inputs'!$C$13="YES",IF('1-Eng Inputs'!$C$44&lt;5.5,C36,IF('1-Eng Inputs'!$C$44&gt;=11,C63,C88))*$AA$13*$AD9,IF('1-Eng Inputs'!$C$44&lt;5.5,C36,IF('1-Eng Inputs'!$C$44&gt;=11,C63,C88))*$AA$13)*(IF('1-Eng Inputs'!$C$45&lt;36,((36-'1-Eng Inputs'!$C$45)*(0.3/12))+1,1))*$AD$19</f>
        <v>-0.57999999999999996</v>
      </c>
      <c r="D9" s="1080">
        <f>IF('1-Eng Inputs'!$C$13="YES",IF('1-Eng Inputs'!$C$44&lt;5.5,D36,IF('1-Eng Inputs'!$C$44&gt;=11,D63,D88))*$AA$13*$AD9,IF('1-Eng Inputs'!$C$44&lt;5.5,D36,IF('1-Eng Inputs'!$C$44&gt;=11,D63,D88))*$AA$13)*(IF('1-Eng Inputs'!$C$45&lt;36,((36-'1-Eng Inputs'!$C$45)*(0.3/12))+1,1))*$AD$19*$AD$21</f>
        <v>-0.67466666666666664</v>
      </c>
      <c r="E9" s="1080">
        <f>IF('1-Eng Inputs'!$C$13="YES",IF('1-Eng Inputs'!$C$44&lt;5.5,E36,IF('1-Eng Inputs'!$C$44&gt;=11,E63,E88))*$AA$13*$AD9,IF('1-Eng Inputs'!$C$44&lt;5.5,E36,IF('1-Eng Inputs'!$C$44&gt;=11,E63,E88))*$AA$13)*(IF('1-Eng Inputs'!$C$45&lt;36,((36-'1-Eng Inputs'!$C$45)*(0.3/12))+1,1))*$AD$19*$AD$21</f>
        <v>-0.58266666666666667</v>
      </c>
      <c r="F9" s="1080">
        <f>IF('1-Eng Inputs'!$C$13="YES",IF('1-Eng Inputs'!$C$44&lt;5.5,F36,IF('1-Eng Inputs'!$C$44&gt;=11,F63,F88))*$AA$13*$AD9,IF('1-Eng Inputs'!$C$44&lt;5.5,F36,IF('1-Eng Inputs'!$C$44&gt;=11,F63,F88))*$AA$13)*(IF('1-Eng Inputs'!$C$45&lt;36,((36-'1-Eng Inputs'!$C$45)*(0.3/12))+1,1))*$AD$19*$AD$21</f>
        <v>-0.52133333333333332</v>
      </c>
      <c r="G9" s="1080">
        <f>IF('1-Eng Inputs'!$C$13="YES",IF('1-Eng Inputs'!$C$44&lt;5.5,G36,IF('1-Eng Inputs'!$C$44&gt;=11,G63,G88))*$AA$13*$AD9,IF('1-Eng Inputs'!$C$44&lt;5.5,G36,IF('1-Eng Inputs'!$C$44&gt;=11,G63,G88))*$AA$13)*(IF('1-Eng Inputs'!$C$45&lt;36,((36-'1-Eng Inputs'!$C$45)*(0.3/12))+1,1))*$AD$19*$AD$21</f>
        <v>-0.45999999999999996</v>
      </c>
      <c r="H9" s="1144">
        <f>IF('1-Eng Inputs'!$C$13="YES",IF('1-Eng Inputs'!$C$44&lt;5.5,H36,IF('1-Eng Inputs'!$C$44&gt;=11,H63,H88))*$AA$13*$AD9,IF('1-Eng Inputs'!$C$44&lt;5.5,H36,IF('1-Eng Inputs'!$C$44&gt;=11,H63,H88))*$AA$13)*(IF('1-Eng Inputs'!$C$45&lt;36,((36-'1-Eng Inputs'!$C$45)*(0.3/12))+1,1))*$AD$19*$AD$21</f>
        <v>-0.76666666666666661</v>
      </c>
      <c r="I9" s="1080">
        <f>IF('1-Eng Inputs'!$C$13="YES",IF('1-Eng Inputs'!$C$44&lt;5.5,I36,IF('1-Eng Inputs'!$C$44&gt;=11,I63,I88))*$AA$13*$AD9,IF('1-Eng Inputs'!$C$44&lt;5.5,I36,IF('1-Eng Inputs'!$C$44&gt;=11,I63,I88))*$AA$13)*(IF('1-Eng Inputs'!$C$45&lt;36,((36-'1-Eng Inputs'!$C$45)*(0.3/12))+1,1))*$AD$19*$AD$21</f>
        <v>-0.61333333333333329</v>
      </c>
      <c r="J9" s="1080">
        <f>IF('1-Eng Inputs'!$C$13="YES",IF('1-Eng Inputs'!$C$44&lt;5.5,J36,IF('1-Eng Inputs'!$C$44&gt;=11,J63,J88))*$AA$13*$AD9,IF('1-Eng Inputs'!$C$44&lt;5.5,J36,IF('1-Eng Inputs'!$C$44&gt;=11,J63,J88))*$AA$13)*(IF('1-Eng Inputs'!$C$45&lt;36,((36-'1-Eng Inputs'!$C$45)*(0.3/12))+1,1))*$AD$19*$AD$21</f>
        <v>-0.49066666666666664</v>
      </c>
      <c r="K9" s="1080">
        <f>IF('1-Eng Inputs'!$C$13="YES",IF('1-Eng Inputs'!$C$44&lt;5.5,K36,IF('1-Eng Inputs'!$C$44&gt;=11,K63,K88))*$AA$13*$AD9,IF('1-Eng Inputs'!$C$44&lt;5.5,K36,IF('1-Eng Inputs'!$C$44&gt;=11,K63,K88))*$AA$13)*(IF('1-Eng Inputs'!$C$45&lt;36,((36-'1-Eng Inputs'!$C$45)*(0.3/12))+1,1))*$AD$19*$AD$21</f>
        <v>-0.45999999999999996</v>
      </c>
      <c r="L9" s="1080">
        <f>IF('1-Eng Inputs'!$C$13="YES",IF('1-Eng Inputs'!$C$44&lt;5.5,L36,IF('1-Eng Inputs'!$C$44&gt;=11,L63,L88))*$AA$13*$AD9,IF('1-Eng Inputs'!$C$44&lt;5.5,L36,IF('1-Eng Inputs'!$C$44&gt;=11,L63,L88))*$AA$13)*(IF('1-Eng Inputs'!$C$45&lt;36,((36-'1-Eng Inputs'!$C$45)*(0.3/12))+1,1))*$AD$19*$AD$21</f>
        <v>-0.42933333333333334</v>
      </c>
      <c r="M9" s="1144">
        <f>IF('1-Eng Inputs'!$C$13="YES",IF('1-Eng Inputs'!$C$44&lt;5.5,M36,IF('1-Eng Inputs'!$C$44&gt;=11,M63,M88))*$AA$13*$AD9,IF('1-Eng Inputs'!$C$44&lt;5.5,M36,IF('1-Eng Inputs'!$C$44&gt;=11,M63,M88))*$AA$13)*(IF('1-Eng Inputs'!$C$45&lt;36,((36-'1-Eng Inputs'!$C$45)*(0.3/12))+1,1))*$AD$19*$AD$21</f>
        <v>-0.64399999999999991</v>
      </c>
      <c r="N9" s="1080">
        <f>IF('1-Eng Inputs'!$C$13="YES",IF('1-Eng Inputs'!$C$44&lt;5.5,N36,IF('1-Eng Inputs'!$C$44&gt;=11,N63,N88))*$AA$13*$AD9,IF('1-Eng Inputs'!$C$44&lt;5.5,N36,IF('1-Eng Inputs'!$C$44&gt;=11,N63,N88))*$AA$13)*(IF('1-Eng Inputs'!$C$45&lt;36,((36-'1-Eng Inputs'!$C$45)*(0.3/12))+1,1))*$AD$19*$AD$21</f>
        <v>-0.55199999999999994</v>
      </c>
      <c r="O9" s="1080">
        <f>IF('1-Eng Inputs'!$C$13="YES",IF('1-Eng Inputs'!$C$44&lt;5.5,O36,IF('1-Eng Inputs'!$C$44&gt;=11,O63,O88))*$AA$13*$AD9,IF('1-Eng Inputs'!$C$44&lt;5.5,O36,IF('1-Eng Inputs'!$C$44&gt;=11,O63,O88))*$AA$13)*(IF('1-Eng Inputs'!$C$45&lt;36,((36-'1-Eng Inputs'!$C$45)*(0.3/12))+1,1))*$AD$19*$AD$21</f>
        <v>-0.45999999999999996</v>
      </c>
      <c r="P9" s="1080">
        <f>IF('1-Eng Inputs'!$C$13="YES",IF('1-Eng Inputs'!$C$44&lt;5.5,P36,IF('1-Eng Inputs'!$C$44&gt;=11,P63,P88))*$AA$13*$AD9,IF('1-Eng Inputs'!$C$44&lt;5.5,P36,IF('1-Eng Inputs'!$C$44&gt;=11,P63,P88))*$AA$13)*(IF('1-Eng Inputs'!$C$45&lt;36,((36-'1-Eng Inputs'!$C$45)*(0.3/12))+1,1))*$AD$19*$AD$21</f>
        <v>-0.42933333333333334</v>
      </c>
      <c r="Q9" s="1080">
        <f>IF('1-Eng Inputs'!$C$13="YES",IF('1-Eng Inputs'!$C$44&lt;5.5,Q36,IF('1-Eng Inputs'!$C$44&gt;=11,Q63,Q88))*$AA$13*$AD9,IF('1-Eng Inputs'!$C$44&lt;5.5,Q36,IF('1-Eng Inputs'!$C$44&gt;=11,Q63,Q88))*$AA$13)*(IF('1-Eng Inputs'!$C$45&lt;36,((36-'1-Eng Inputs'!$C$45)*(0.3/12))+1,1))*$AD$19*$AD$21</f>
        <v>-0.39866666666666667</v>
      </c>
      <c r="R9" s="1144">
        <f>IF('1-Eng Inputs'!$C$13="YES",IF('1-Eng Inputs'!$C$44&lt;5.5,R36,IF('1-Eng Inputs'!$C$44&gt;=11,R63,R88))*$AA$13*$AD9,IF('1-Eng Inputs'!$C$44&lt;5.5,R36,IF('1-Eng Inputs'!$C$44&gt;=11,R63,R88))*$AA$13)*(IF('1-Eng Inputs'!$C$45&lt;36,((36-'1-Eng Inputs'!$C$45)*(0.3/12))+1,1))*$AD$19*$AD$21</f>
        <v>-0.55199999999999994</v>
      </c>
      <c r="S9" s="1080">
        <f>IF('1-Eng Inputs'!$C$13="YES",IF('1-Eng Inputs'!$C$44&lt;5.5,S36,IF('1-Eng Inputs'!$C$44&gt;=11,S63,S88))*$AA$13*$AD9,IF('1-Eng Inputs'!$C$44&lt;5.5,S36,IF('1-Eng Inputs'!$C$44&gt;=11,S63,S88))*$AA$13)*(IF('1-Eng Inputs'!$C$45&lt;36,((36-'1-Eng Inputs'!$C$45)*(0.3/12))+1,1))*$AD$19*$AD$21</f>
        <v>-0.39866666666666667</v>
      </c>
      <c r="T9" s="1080">
        <f>IF('1-Eng Inputs'!$C$13="YES",IF('1-Eng Inputs'!$C$44&lt;5.5,T36,IF('1-Eng Inputs'!$C$44&gt;=11,T63,T88))*$AA$13*$AD9,IF('1-Eng Inputs'!$C$44&lt;5.5,T36,IF('1-Eng Inputs'!$C$44&gt;=11,T63,T88))*$AA$13)*(IF('1-Eng Inputs'!$C$45&lt;36,((36-'1-Eng Inputs'!$C$45)*(0.3/12))+1,1))*$AD$19*$AD$21</f>
        <v>-0.33733333333333332</v>
      </c>
      <c r="U9" s="1144">
        <f>IF('1-Eng Inputs'!$C$13="YES",IF('1-Eng Inputs'!$C$44&lt;5.5,U36,IF('1-Eng Inputs'!$C$44&gt;=11,U63,U88))*$AA$13*$AD9,IF('1-Eng Inputs'!$C$44&lt;5.5,U36,IF('1-Eng Inputs'!$C$44&gt;=11,U63,U88))*$AA$13)*(IF('1-Eng Inputs'!$C$45&lt;36,((36-'1-Eng Inputs'!$C$45)*(0.3/12))+1,1))*$AD$19*$AD$21</f>
        <v>-0.45999999999999996</v>
      </c>
      <c r="V9" s="1151">
        <f>IF('1-Eng Inputs'!$C$13="YES",IF('1-Eng Inputs'!$C$44&lt;5.5,V36,IF('1-Eng Inputs'!$C$44&gt;=11,V63,V88))*$AA$13*$AD9,IF('1-Eng Inputs'!$C$44&lt;5.5,V36,IF('1-Eng Inputs'!$C$44&gt;=11,V63,V88))*$AA$13)*(IF('1-Eng Inputs'!$C$45&lt;36,((36-'1-Eng Inputs'!$C$45)*(0.3/12))+1,1))*$AD$19*$AD$21</f>
        <v>-0.30666666666666664</v>
      </c>
      <c r="W9" s="1080">
        <f>IF('1-Eng Inputs'!$C$13="YES",IF('1-Eng Inputs'!$C$44&lt;5.5,W36,IF('1-Eng Inputs'!$C$44&gt;=11,W63,W88))*$AA$13*$AD9,IF('1-Eng Inputs'!$C$44&lt;5.5,W36,IF('1-Eng Inputs'!$C$44&gt;=11,W63,W88))*$AA$13)*(IF('1-Eng Inputs'!$C$45&lt;36,((36-'1-Eng Inputs'!$C$45)*(0.3/12))+1,1))*$AD$19*$AD$21</f>
        <v>-0.27599999999999997</v>
      </c>
      <c r="X9" s="1081">
        <f>IF('1-Eng Inputs'!$C$13="YES",IF('1-Eng Inputs'!$C$44&lt;5.5,X36,IF('1-Eng Inputs'!$C$44&gt;=11,X63,X88))*$AA$13*$AD9,IF('1-Eng Inputs'!$C$44&lt;5.5,X36,IF('1-Eng Inputs'!$C$44&gt;=11,X63,X88))*$AA$13)*(IF('1-Eng Inputs'!$C$45&lt;36,((36-'1-Eng Inputs'!$C$45)*(0.3/12))+1,1))*$AD$19</f>
        <v>0.5</v>
      </c>
      <c r="Z9" s="790" t="s">
        <v>399</v>
      </c>
      <c r="AA9" s="791" t="s">
        <v>402</v>
      </c>
      <c r="AC9" s="231" t="s">
        <v>196</v>
      </c>
      <c r="AD9" s="232">
        <v>1.1000000000000001</v>
      </c>
      <c r="AE9" s="233">
        <v>1.1000000000000001</v>
      </c>
    </row>
    <row r="10" spans="1:31">
      <c r="A10" s="1127" t="s">
        <v>197</v>
      </c>
      <c r="B10" s="1116">
        <f ca="1">'Area Reduction'!$C$32*'Land Coeffs 5deg'!C10</f>
        <v>-0.17137137524504964</v>
      </c>
      <c r="C10" s="1082">
        <f>IF('1-Eng Inputs'!$C$13="YES",IF('1-Eng Inputs'!$C$44&lt;5.5,C37,IF('1-Eng Inputs'!$C$44&gt;=11,C64,C89))*$AA$13*$AD10,IF('1-Eng Inputs'!$C$44&lt;5.5,C37,IF('1-Eng Inputs'!$C$44&gt;=11,C64,C89))*$AA$13)*(IF('1-Eng Inputs'!$C$45&lt;36,((36-'1-Eng Inputs'!$C$45)*(0.3/12))+1,1))*$AD$19</f>
        <v>-0.5</v>
      </c>
      <c r="D10" s="77">
        <f>IF('1-Eng Inputs'!$C$13="YES",IF('1-Eng Inputs'!$C$44&lt;5.5,D37,IF('1-Eng Inputs'!$C$44&gt;=11,D64,D89))*$AA$13*$AD10,IF('1-Eng Inputs'!$C$44&lt;5.5,D37,IF('1-Eng Inputs'!$C$44&gt;=11,D64,D89))*$AA$13)*(IF('1-Eng Inputs'!$C$45&lt;36,((36-'1-Eng Inputs'!$C$45)*(0.3/12))+1,1))*$AD$19*$AD$21</f>
        <v>-0.64399999999999991</v>
      </c>
      <c r="E10" s="77">
        <f>IF('1-Eng Inputs'!$C$13="YES",IF('1-Eng Inputs'!$C$44&lt;5.5,E37,IF('1-Eng Inputs'!$C$44&gt;=11,E64,E89))*$AA$13*$AD10,IF('1-Eng Inputs'!$C$44&lt;5.5,E37,IF('1-Eng Inputs'!$C$44&gt;=11,E64,E89))*$AA$13)*(IF('1-Eng Inputs'!$C$45&lt;36,((36-'1-Eng Inputs'!$C$45)*(0.3/12))+1,1))*$AD$19*$AD$21</f>
        <v>-0.55199999999999994</v>
      </c>
      <c r="F10" s="77">
        <f>IF('1-Eng Inputs'!$C$13="YES",IF('1-Eng Inputs'!$C$44&lt;5.5,F37,IF('1-Eng Inputs'!$C$44&gt;=11,F64,F89))*$AA$13*$AD10,IF('1-Eng Inputs'!$C$44&lt;5.5,F37,IF('1-Eng Inputs'!$C$44&gt;=11,F64,F89))*$AA$13)*(IF('1-Eng Inputs'!$C$45&lt;36,((36-'1-Eng Inputs'!$C$45)*(0.3/12))+1,1))*$AD$19*$AD$21</f>
        <v>-0.52133333333333332</v>
      </c>
      <c r="G10" s="77">
        <f>IF('1-Eng Inputs'!$C$13="YES",IF('1-Eng Inputs'!$C$44&lt;5.5,G37,IF('1-Eng Inputs'!$C$44&gt;=11,G64,G89))*$AA$13*$AD10,IF('1-Eng Inputs'!$C$44&lt;5.5,G37,IF('1-Eng Inputs'!$C$44&gt;=11,G64,G89))*$AA$13)*(IF('1-Eng Inputs'!$C$45&lt;36,((36-'1-Eng Inputs'!$C$45)*(0.3/12))+1,1))*$AD$19*$AD$21</f>
        <v>-0.45999999999999996</v>
      </c>
      <c r="H10" s="1145">
        <f>IF('1-Eng Inputs'!$C$13="YES",IF('1-Eng Inputs'!$C$44&lt;5.5,H37,IF('1-Eng Inputs'!$C$44&gt;=11,H64,H89))*$AA$13*$AD10,IF('1-Eng Inputs'!$C$44&lt;5.5,H37,IF('1-Eng Inputs'!$C$44&gt;=11,H64,H89))*$AA$13)*(IF('1-Eng Inputs'!$C$45&lt;36,((36-'1-Eng Inputs'!$C$45)*(0.3/12))+1,1))*$AD$19*$AD$21</f>
        <v>-0.52133333333333332</v>
      </c>
      <c r="I10" s="77">
        <f>IF('1-Eng Inputs'!$C$13="YES",IF('1-Eng Inputs'!$C$44&lt;5.5,I37,IF('1-Eng Inputs'!$C$44&gt;=11,I64,I89))*$AA$13*$AD10,IF('1-Eng Inputs'!$C$44&lt;5.5,I37,IF('1-Eng Inputs'!$C$44&gt;=11,I64,I89))*$AA$13)*(IF('1-Eng Inputs'!$C$45&lt;36,((36-'1-Eng Inputs'!$C$45)*(0.3/12))+1,1))*$AD$19*$AD$21</f>
        <v>-0.45999999999999996</v>
      </c>
      <c r="J10" s="77">
        <f>IF('1-Eng Inputs'!$C$13="YES",IF('1-Eng Inputs'!$C$44&lt;5.5,J37,IF('1-Eng Inputs'!$C$44&gt;=11,J64,J89))*$AA$13*$AD10,IF('1-Eng Inputs'!$C$44&lt;5.5,J37,IF('1-Eng Inputs'!$C$44&gt;=11,J64,J89))*$AA$13)*(IF('1-Eng Inputs'!$C$45&lt;36,((36-'1-Eng Inputs'!$C$45)*(0.3/12))+1,1))*$AD$19*$AD$21</f>
        <v>-0.42933333333333334</v>
      </c>
      <c r="K10" s="77">
        <f>IF('1-Eng Inputs'!$C$13="YES",IF('1-Eng Inputs'!$C$44&lt;5.5,K37,IF('1-Eng Inputs'!$C$44&gt;=11,K64,K89))*$AA$13*$AD10,IF('1-Eng Inputs'!$C$44&lt;5.5,K37,IF('1-Eng Inputs'!$C$44&gt;=11,K64,K89))*$AA$13)*(IF('1-Eng Inputs'!$C$45&lt;36,((36-'1-Eng Inputs'!$C$45)*(0.3/12))+1,1))*$AD$19*$AD$21</f>
        <v>-0.36799999999999994</v>
      </c>
      <c r="L10" s="77">
        <f>IF('1-Eng Inputs'!$C$13="YES",IF('1-Eng Inputs'!$C$44&lt;5.5,L37,IF('1-Eng Inputs'!$C$44&gt;=11,L64,L89))*$AA$13*$AD10,IF('1-Eng Inputs'!$C$44&lt;5.5,L37,IF('1-Eng Inputs'!$C$44&gt;=11,L64,L89))*$AA$13)*(IF('1-Eng Inputs'!$C$45&lt;36,((36-'1-Eng Inputs'!$C$45)*(0.3/12))+1,1))*$AD$19*$AD$21</f>
        <v>-0.33733333333333332</v>
      </c>
      <c r="M10" s="1145">
        <f>IF('1-Eng Inputs'!$C$13="YES",IF('1-Eng Inputs'!$C$44&lt;5.5,M37,IF('1-Eng Inputs'!$C$44&gt;=11,M64,M89))*$AA$13*$AD10,IF('1-Eng Inputs'!$C$44&lt;5.5,M37,IF('1-Eng Inputs'!$C$44&gt;=11,M64,M89))*$AA$13)*(IF('1-Eng Inputs'!$C$45&lt;36,((36-'1-Eng Inputs'!$C$45)*(0.3/12))+1,1))*$AD$19*$AD$21</f>
        <v>-0.45999999999999996</v>
      </c>
      <c r="N10" s="77">
        <f>IF('1-Eng Inputs'!$C$13="YES",IF('1-Eng Inputs'!$C$44&lt;5.5,N37,IF('1-Eng Inputs'!$C$44&gt;=11,N64,N89))*$AA$13*$AD10,IF('1-Eng Inputs'!$C$44&lt;5.5,N37,IF('1-Eng Inputs'!$C$44&gt;=11,N64,N89))*$AA$13)*(IF('1-Eng Inputs'!$C$45&lt;36,((36-'1-Eng Inputs'!$C$45)*(0.3/12))+1,1))*$AD$19*$AD$21</f>
        <v>-0.42933333333333334</v>
      </c>
      <c r="O10" s="77">
        <f>IF('1-Eng Inputs'!$C$13="YES",IF('1-Eng Inputs'!$C$44&lt;5.5,O37,IF('1-Eng Inputs'!$C$44&gt;=11,O64,O89))*$AA$13*$AD10,IF('1-Eng Inputs'!$C$44&lt;5.5,O37,IF('1-Eng Inputs'!$C$44&gt;=11,O64,O89))*$AA$13)*(IF('1-Eng Inputs'!$C$45&lt;36,((36-'1-Eng Inputs'!$C$45)*(0.3/12))+1,1))*$AD$19*$AD$21</f>
        <v>-0.39866666666666667</v>
      </c>
      <c r="P10" s="77">
        <f>IF('1-Eng Inputs'!$C$13="YES",IF('1-Eng Inputs'!$C$44&lt;5.5,P37,IF('1-Eng Inputs'!$C$44&gt;=11,P64,P89))*$AA$13*$AD10,IF('1-Eng Inputs'!$C$44&lt;5.5,P37,IF('1-Eng Inputs'!$C$44&gt;=11,P64,P89))*$AA$13)*(IF('1-Eng Inputs'!$C$45&lt;36,((36-'1-Eng Inputs'!$C$45)*(0.3/12))+1,1))*$AD$19*$AD$21</f>
        <v>-0.33733333333333332</v>
      </c>
      <c r="Q10" s="77">
        <f>IF('1-Eng Inputs'!$C$13="YES",IF('1-Eng Inputs'!$C$44&lt;5.5,Q37,IF('1-Eng Inputs'!$C$44&gt;=11,Q64,Q89))*$AA$13*$AD10,IF('1-Eng Inputs'!$C$44&lt;5.5,Q37,IF('1-Eng Inputs'!$C$44&gt;=11,Q64,Q89))*$AA$13)*(IF('1-Eng Inputs'!$C$45&lt;36,((36-'1-Eng Inputs'!$C$45)*(0.3/12))+1,1))*$AD$19*$AD$21</f>
        <v>-0.33733333333333332</v>
      </c>
      <c r="R10" s="1145">
        <f>IF('1-Eng Inputs'!$C$13="YES",IF('1-Eng Inputs'!$C$44&lt;5.5,R37,IF('1-Eng Inputs'!$C$44&gt;=11,R64,R89))*$AA$13*$AD10,IF('1-Eng Inputs'!$C$44&lt;5.5,R37,IF('1-Eng Inputs'!$C$44&gt;=11,R64,R89))*$AA$13)*(IF('1-Eng Inputs'!$C$45&lt;36,((36-'1-Eng Inputs'!$C$45)*(0.3/12))+1,1))*$AD$19*$AD$21</f>
        <v>-0.45999999999999996</v>
      </c>
      <c r="S10" s="77">
        <f>IF('1-Eng Inputs'!$C$13="YES",IF('1-Eng Inputs'!$C$44&lt;5.5,S37,IF('1-Eng Inputs'!$C$44&gt;=11,S64,S89))*$AA$13*$AD10,IF('1-Eng Inputs'!$C$44&lt;5.5,S37,IF('1-Eng Inputs'!$C$44&gt;=11,S64,S89))*$AA$13)*(IF('1-Eng Inputs'!$C$45&lt;36,((36-'1-Eng Inputs'!$C$45)*(0.3/12))+1,1))*$AD$19*$AD$21</f>
        <v>-0.33733333333333332</v>
      </c>
      <c r="T10" s="77">
        <f>IF('1-Eng Inputs'!$C$13="YES",IF('1-Eng Inputs'!$C$44&lt;5.5,T37,IF('1-Eng Inputs'!$C$44&gt;=11,T64,T89))*$AA$13*$AD10,IF('1-Eng Inputs'!$C$44&lt;5.5,T37,IF('1-Eng Inputs'!$C$44&gt;=11,T64,T89))*$AA$13)*(IF('1-Eng Inputs'!$C$45&lt;36,((36-'1-Eng Inputs'!$C$45)*(0.3/12))+1,1))*$AD$19*$AD$21</f>
        <v>-0.30666666666666664</v>
      </c>
      <c r="U10" s="1145">
        <f>IF('1-Eng Inputs'!$C$13="YES",IF('1-Eng Inputs'!$C$44&lt;5.5,U37,IF('1-Eng Inputs'!$C$44&gt;=11,U64,U89))*$AA$13*$AD10,IF('1-Eng Inputs'!$C$44&lt;5.5,U37,IF('1-Eng Inputs'!$C$44&gt;=11,U64,U89))*$AA$13)*(IF('1-Eng Inputs'!$C$45&lt;36,((36-'1-Eng Inputs'!$C$45)*(0.3/12))+1,1))*$AD$19*$AD$21</f>
        <v>-0.42933333333333334</v>
      </c>
      <c r="V10" s="1152">
        <f>IF('1-Eng Inputs'!$C$13="YES",IF('1-Eng Inputs'!$C$44&lt;5.5,V37,IF('1-Eng Inputs'!$C$44&gt;=11,V64,V89))*$AA$13*$AD10,IF('1-Eng Inputs'!$C$44&lt;5.5,V37,IF('1-Eng Inputs'!$C$44&gt;=11,V64,V89))*$AA$13)*(IF('1-Eng Inputs'!$C$45&lt;36,((36-'1-Eng Inputs'!$C$45)*(0.3/12))+1,1))*$AD$19*$AD$21</f>
        <v>-0.27599999999999997</v>
      </c>
      <c r="W10" s="77">
        <f>IF('1-Eng Inputs'!$C$13="YES",IF('1-Eng Inputs'!$C$44&lt;5.5,W37,IF('1-Eng Inputs'!$C$44&gt;=11,W64,W89))*$AA$13*$AD10,IF('1-Eng Inputs'!$C$44&lt;5.5,W37,IF('1-Eng Inputs'!$C$44&gt;=11,W64,W89))*$AA$13)*(IF('1-Eng Inputs'!$C$45&lt;36,((36-'1-Eng Inputs'!$C$45)*(0.3/12))+1,1))*$AD$19*$AD$21</f>
        <v>-0.24533333333333332</v>
      </c>
      <c r="X10" s="1083">
        <f>IF('1-Eng Inputs'!$C$13="YES",IF('1-Eng Inputs'!$C$44&lt;5.5,X37,IF('1-Eng Inputs'!$C$44&gt;=11,X64,X89))*$AA$13*$AD10,IF('1-Eng Inputs'!$C$44&lt;5.5,X37,IF('1-Eng Inputs'!$C$44&gt;=11,X64,X89))*$AA$13)*(IF('1-Eng Inputs'!$C$45&lt;36,((36-'1-Eng Inputs'!$C$45)*(0.3/12))+1,1))*$AD$19</f>
        <v>0.46</v>
      </c>
      <c r="Z10" s="216">
        <v>0</v>
      </c>
      <c r="AA10" s="217">
        <v>1</v>
      </c>
      <c r="AC10" s="234" t="s">
        <v>197</v>
      </c>
      <c r="AD10" s="235">
        <v>1.5</v>
      </c>
      <c r="AE10" s="236">
        <v>1.1000000000000001</v>
      </c>
    </row>
    <row r="11" spans="1:31">
      <c r="A11" s="1128" t="s">
        <v>198</v>
      </c>
      <c r="B11" s="1117">
        <f ca="1">'Area Reduction'!$C$32*'Land Coeffs 5deg'!C11</f>
        <v>-0.19879079528425758</v>
      </c>
      <c r="C11" s="1084">
        <f>IF('1-Eng Inputs'!$C$13="YES",IF('1-Eng Inputs'!$C$44&lt;5.5,C38,IF('1-Eng Inputs'!$C$44&gt;=11,C65,C90))*$AA$13*$AD11,IF('1-Eng Inputs'!$C$44&lt;5.5,C38,IF('1-Eng Inputs'!$C$44&gt;=11,C65,C90))*$AA$13)*(IF('1-Eng Inputs'!$C$45&lt;36,((36-'1-Eng Inputs'!$C$45)*(0.3/12))+1,1))*$AD$19</f>
        <v>-0.57999999999999996</v>
      </c>
      <c r="D11" s="79">
        <f>IF('1-Eng Inputs'!$C$13="YES",IF('1-Eng Inputs'!$C$44&lt;5.5,D38,IF('1-Eng Inputs'!$C$44&gt;=11,D65,D90))*$AA$13*$AD11,IF('1-Eng Inputs'!$C$44&lt;5.5,D38,IF('1-Eng Inputs'!$C$44&gt;=11,D65,D90))*$AA$13)*(IF('1-Eng Inputs'!$C$45&lt;36,((36-'1-Eng Inputs'!$C$45)*(0.3/12))+1,1))*$AD$19*$AD$21</f>
        <v>-0.61333333333333329</v>
      </c>
      <c r="E11" s="79">
        <f>IF('1-Eng Inputs'!$C$13="YES",IF('1-Eng Inputs'!$C$44&lt;5.5,E38,IF('1-Eng Inputs'!$C$44&gt;=11,E65,E90))*$AA$13*$AD11,IF('1-Eng Inputs'!$C$44&lt;5.5,E38,IF('1-Eng Inputs'!$C$44&gt;=11,E65,E90))*$AA$13)*(IF('1-Eng Inputs'!$C$45&lt;36,((36-'1-Eng Inputs'!$C$45)*(0.3/12))+1,1))*$AD$19*$AD$21</f>
        <v>-0.52133333333333332</v>
      </c>
      <c r="F11" s="79">
        <f>IF('1-Eng Inputs'!$C$13="YES",IF('1-Eng Inputs'!$C$44&lt;5.5,F38,IF('1-Eng Inputs'!$C$44&gt;=11,F65,F90))*$AA$13*$AD11,IF('1-Eng Inputs'!$C$44&lt;5.5,F38,IF('1-Eng Inputs'!$C$44&gt;=11,F65,F90))*$AA$13)*(IF('1-Eng Inputs'!$C$45&lt;36,((36-'1-Eng Inputs'!$C$45)*(0.3/12))+1,1))*$AD$19*$AD$21</f>
        <v>-0.45999999999999996</v>
      </c>
      <c r="G11" s="79">
        <f>IF('1-Eng Inputs'!$C$13="YES",IF('1-Eng Inputs'!$C$44&lt;5.5,G38,IF('1-Eng Inputs'!$C$44&gt;=11,G65,G90))*$AA$13*$AD11,IF('1-Eng Inputs'!$C$44&lt;5.5,G38,IF('1-Eng Inputs'!$C$44&gt;=11,G65,G90))*$AA$13)*(IF('1-Eng Inputs'!$C$45&lt;36,((36-'1-Eng Inputs'!$C$45)*(0.3/12))+1,1))*$AD$19*$AD$21</f>
        <v>-0.42933333333333334</v>
      </c>
      <c r="H11" s="1146">
        <f>IF('1-Eng Inputs'!$C$13="YES",IF('1-Eng Inputs'!$C$44&lt;5.5,H38,IF('1-Eng Inputs'!$C$44&gt;=11,H65,H90))*$AA$13*$AD11,IF('1-Eng Inputs'!$C$44&lt;5.5,H38,IF('1-Eng Inputs'!$C$44&gt;=11,H65,H90))*$AA$13)*(IF('1-Eng Inputs'!$C$45&lt;36,((36-'1-Eng Inputs'!$C$45)*(0.3/12))+1,1))*$AD$19*$AD$21</f>
        <v>-0.73599999999999988</v>
      </c>
      <c r="I11" s="79">
        <f>IF('1-Eng Inputs'!$C$13="YES",IF('1-Eng Inputs'!$C$44&lt;5.5,I38,IF('1-Eng Inputs'!$C$44&gt;=11,I65,I90))*$AA$13*$AD11,IF('1-Eng Inputs'!$C$44&lt;5.5,I38,IF('1-Eng Inputs'!$C$44&gt;=11,I65,I90))*$AA$13)*(IF('1-Eng Inputs'!$C$45&lt;36,((36-'1-Eng Inputs'!$C$45)*(0.3/12))+1,1))*$AD$19*$AD$21</f>
        <v>-0.61333333333333329</v>
      </c>
      <c r="J11" s="79">
        <f>IF('1-Eng Inputs'!$C$13="YES",IF('1-Eng Inputs'!$C$44&lt;5.5,J38,IF('1-Eng Inputs'!$C$44&gt;=11,J65,J90))*$AA$13*$AD11,IF('1-Eng Inputs'!$C$44&lt;5.5,J38,IF('1-Eng Inputs'!$C$44&gt;=11,J65,J90))*$AA$13)*(IF('1-Eng Inputs'!$C$45&lt;36,((36-'1-Eng Inputs'!$C$45)*(0.3/12))+1,1))*$AD$19*$AD$21</f>
        <v>-0.49066666666666664</v>
      </c>
      <c r="K11" s="79">
        <f>IF('1-Eng Inputs'!$C$13="YES",IF('1-Eng Inputs'!$C$44&lt;5.5,K38,IF('1-Eng Inputs'!$C$44&gt;=11,K65,K90))*$AA$13*$AD11,IF('1-Eng Inputs'!$C$44&lt;5.5,K38,IF('1-Eng Inputs'!$C$44&gt;=11,K65,K90))*$AA$13)*(IF('1-Eng Inputs'!$C$45&lt;36,((36-'1-Eng Inputs'!$C$45)*(0.3/12))+1,1))*$AD$19*$AD$21</f>
        <v>-0.42933333333333334</v>
      </c>
      <c r="L11" s="79">
        <f>IF('1-Eng Inputs'!$C$13="YES",IF('1-Eng Inputs'!$C$44&lt;5.5,L38,IF('1-Eng Inputs'!$C$44&gt;=11,L65,L90))*$AA$13*$AD11,IF('1-Eng Inputs'!$C$44&lt;5.5,L38,IF('1-Eng Inputs'!$C$44&gt;=11,L65,L90))*$AA$13)*(IF('1-Eng Inputs'!$C$45&lt;36,((36-'1-Eng Inputs'!$C$45)*(0.3/12))+1,1))*$AD$19*$AD$21</f>
        <v>-0.39866666666666667</v>
      </c>
      <c r="M11" s="1146">
        <f>IF('1-Eng Inputs'!$C$13="YES",IF('1-Eng Inputs'!$C$44&lt;5.5,M38,IF('1-Eng Inputs'!$C$44&gt;=11,M65,M90))*$AA$13*$AD11,IF('1-Eng Inputs'!$C$44&lt;5.5,M38,IF('1-Eng Inputs'!$C$44&gt;=11,M65,M90))*$AA$13)*(IF('1-Eng Inputs'!$C$45&lt;36,((36-'1-Eng Inputs'!$C$45)*(0.3/12))+1,1))*$AD$19*$AD$21</f>
        <v>-0.64399999999999991</v>
      </c>
      <c r="N11" s="79">
        <f>IF('1-Eng Inputs'!$C$13="YES",IF('1-Eng Inputs'!$C$44&lt;5.5,N38,IF('1-Eng Inputs'!$C$44&gt;=11,N65,N90))*$AA$13*$AD11,IF('1-Eng Inputs'!$C$44&lt;5.5,N38,IF('1-Eng Inputs'!$C$44&gt;=11,N65,N90))*$AA$13)*(IF('1-Eng Inputs'!$C$45&lt;36,((36-'1-Eng Inputs'!$C$45)*(0.3/12))+1,1))*$AD$19*$AD$21</f>
        <v>-0.45999999999999996</v>
      </c>
      <c r="O11" s="79">
        <f>IF('1-Eng Inputs'!$C$13="YES",IF('1-Eng Inputs'!$C$44&lt;5.5,O38,IF('1-Eng Inputs'!$C$44&gt;=11,O65,O90))*$AA$13*$AD11,IF('1-Eng Inputs'!$C$44&lt;5.5,O38,IF('1-Eng Inputs'!$C$44&gt;=11,O65,O90))*$AA$13)*(IF('1-Eng Inputs'!$C$45&lt;36,((36-'1-Eng Inputs'!$C$45)*(0.3/12))+1,1))*$AD$19*$AD$21</f>
        <v>-0.39866666666666667</v>
      </c>
      <c r="P11" s="79">
        <f>IF('1-Eng Inputs'!$C$13="YES",IF('1-Eng Inputs'!$C$44&lt;5.5,P38,IF('1-Eng Inputs'!$C$44&gt;=11,P65,P90))*$AA$13*$AD11,IF('1-Eng Inputs'!$C$44&lt;5.5,P38,IF('1-Eng Inputs'!$C$44&gt;=11,P65,P90))*$AA$13)*(IF('1-Eng Inputs'!$C$45&lt;36,((36-'1-Eng Inputs'!$C$45)*(0.3/12))+1,1))*$AD$19*$AD$21</f>
        <v>-0.36799999999999994</v>
      </c>
      <c r="Q11" s="79">
        <f>IF('1-Eng Inputs'!$C$13="YES",IF('1-Eng Inputs'!$C$44&lt;5.5,Q38,IF('1-Eng Inputs'!$C$44&gt;=11,Q65,Q90))*$AA$13*$AD11,IF('1-Eng Inputs'!$C$44&lt;5.5,Q38,IF('1-Eng Inputs'!$C$44&gt;=11,Q65,Q90))*$AA$13)*(IF('1-Eng Inputs'!$C$45&lt;36,((36-'1-Eng Inputs'!$C$45)*(0.3/12))+1,1))*$AD$19*$AD$21</f>
        <v>-0.33733333333333332</v>
      </c>
      <c r="R11" s="1146">
        <f>IF('1-Eng Inputs'!$C$13="YES",IF('1-Eng Inputs'!$C$44&lt;5.5,R38,IF('1-Eng Inputs'!$C$44&gt;=11,R65,R90))*$AA$13*$AD11,IF('1-Eng Inputs'!$C$44&lt;5.5,R38,IF('1-Eng Inputs'!$C$44&gt;=11,R65,R90))*$AA$13)*(IF('1-Eng Inputs'!$C$45&lt;36,((36-'1-Eng Inputs'!$C$45)*(0.3/12))+1,1))*$AD$19*$AD$21</f>
        <v>-0.45999999999999996</v>
      </c>
      <c r="S11" s="79">
        <f>IF('1-Eng Inputs'!$C$13="YES",IF('1-Eng Inputs'!$C$44&lt;5.5,S38,IF('1-Eng Inputs'!$C$44&gt;=11,S65,S90))*$AA$13*$AD11,IF('1-Eng Inputs'!$C$44&lt;5.5,S38,IF('1-Eng Inputs'!$C$44&gt;=11,S65,S90))*$AA$13)*(IF('1-Eng Inputs'!$C$45&lt;36,((36-'1-Eng Inputs'!$C$45)*(0.3/12))+1,1))*$AD$19*$AD$21</f>
        <v>-0.33733333333333332</v>
      </c>
      <c r="T11" s="79">
        <f>IF('1-Eng Inputs'!$C$13="YES",IF('1-Eng Inputs'!$C$44&lt;5.5,T38,IF('1-Eng Inputs'!$C$44&gt;=11,T65,T90))*$AA$13*$AD11,IF('1-Eng Inputs'!$C$44&lt;5.5,T38,IF('1-Eng Inputs'!$C$44&gt;=11,T65,T90))*$AA$13)*(IF('1-Eng Inputs'!$C$45&lt;36,((36-'1-Eng Inputs'!$C$45)*(0.3/12))+1,1))*$AD$19*$AD$21</f>
        <v>-0.30666666666666664</v>
      </c>
      <c r="U11" s="1146">
        <f>IF('1-Eng Inputs'!$C$13="YES",IF('1-Eng Inputs'!$C$44&lt;5.5,U38,IF('1-Eng Inputs'!$C$44&gt;=11,U65,U90))*$AA$13*$AD11,IF('1-Eng Inputs'!$C$44&lt;5.5,U38,IF('1-Eng Inputs'!$C$44&gt;=11,U65,U90))*$AA$13)*(IF('1-Eng Inputs'!$C$45&lt;36,((36-'1-Eng Inputs'!$C$45)*(0.3/12))+1,1))*$AD$19*$AD$21</f>
        <v>-0.39866666666666667</v>
      </c>
      <c r="V11" s="1153">
        <f>IF('1-Eng Inputs'!$C$13="YES",IF('1-Eng Inputs'!$C$44&lt;5.5,V38,IF('1-Eng Inputs'!$C$44&gt;=11,V65,V90))*$AA$13*$AD11,IF('1-Eng Inputs'!$C$44&lt;5.5,V38,IF('1-Eng Inputs'!$C$44&gt;=11,V65,V90))*$AA$13)*(IF('1-Eng Inputs'!$C$45&lt;36,((36-'1-Eng Inputs'!$C$45)*(0.3/12))+1,1))*$AD$19*$AD$21</f>
        <v>-0.27599999999999997</v>
      </c>
      <c r="W11" s="79">
        <f>IF('1-Eng Inputs'!$C$13="YES",IF('1-Eng Inputs'!$C$44&lt;5.5,W38,IF('1-Eng Inputs'!$C$44&gt;=11,W65,W90))*$AA$13*$AD11,IF('1-Eng Inputs'!$C$44&lt;5.5,W38,IF('1-Eng Inputs'!$C$44&gt;=11,W65,W90))*$AA$13)*(IF('1-Eng Inputs'!$C$45&lt;36,((36-'1-Eng Inputs'!$C$45)*(0.3/12))+1,1))*$AD$19*$AD$21</f>
        <v>-0.24533333333333332</v>
      </c>
      <c r="X11" s="1085">
        <f>IF('1-Eng Inputs'!$C$13="YES",IF('1-Eng Inputs'!$C$44&lt;5.5,X38,IF('1-Eng Inputs'!$C$44&gt;=11,X65,X90))*$AA$13*$AD11,IF('1-Eng Inputs'!$C$44&lt;5.5,X38,IF('1-Eng Inputs'!$C$44&gt;=11,X65,X90))*$AA$13)*(IF('1-Eng Inputs'!$C$45&lt;36,((36-'1-Eng Inputs'!$C$45)*(0.3/12))+1,1))*$AD$19</f>
        <v>0.5</v>
      </c>
      <c r="Z11" s="218">
        <v>6</v>
      </c>
      <c r="AA11" s="219">
        <v>1</v>
      </c>
      <c r="AC11" s="237" t="s">
        <v>198</v>
      </c>
      <c r="AD11" s="238">
        <v>1.6</v>
      </c>
      <c r="AE11" s="239">
        <v>1.1000000000000001</v>
      </c>
    </row>
    <row r="12" spans="1:31">
      <c r="A12" s="1129" t="s">
        <v>199</v>
      </c>
      <c r="B12" s="1118">
        <f ca="1">'Area Reduction'!$C$32*'Land Coeffs 5deg'!C12</f>
        <v>-0.15766166522544567</v>
      </c>
      <c r="C12" s="1086">
        <f>IF('1-Eng Inputs'!$C$13="YES",IF('1-Eng Inputs'!$C$44&lt;5.5,C39,IF('1-Eng Inputs'!$C$44&gt;=11,C66,C91))*$AA$13*$AD12,IF('1-Eng Inputs'!$C$44&lt;5.5,C39,IF('1-Eng Inputs'!$C$44&gt;=11,C66,C91))*$AA$13)*(IF('1-Eng Inputs'!$C$45&lt;36,((36-'1-Eng Inputs'!$C$45)*(0.3/12))+1,1))*$AD$19</f>
        <v>-0.46</v>
      </c>
      <c r="D12" s="81">
        <f>IF('1-Eng Inputs'!$C$13="YES",IF('1-Eng Inputs'!$C$44&lt;5.5,D39,IF('1-Eng Inputs'!$C$44&gt;=11,D66,D91))*$AA$13*$AD12,IF('1-Eng Inputs'!$C$44&lt;5.5,D39,IF('1-Eng Inputs'!$C$44&gt;=11,D66,D91))*$AA$13)*(IF('1-Eng Inputs'!$C$45&lt;36,((36-'1-Eng Inputs'!$C$45)*(0.3/12))+1,1))*$AD$19*$AD$21</f>
        <v>-0.61333333333333329</v>
      </c>
      <c r="E12" s="81">
        <f>IF('1-Eng Inputs'!$C$13="YES",IF('1-Eng Inputs'!$C$44&lt;5.5,E39,IF('1-Eng Inputs'!$C$44&gt;=11,E66,E91))*$AA$13*$AD12,IF('1-Eng Inputs'!$C$44&lt;5.5,E39,IF('1-Eng Inputs'!$C$44&gt;=11,E66,E91))*$AA$13)*(IF('1-Eng Inputs'!$C$45&lt;36,((36-'1-Eng Inputs'!$C$45)*(0.3/12))+1,1))*$AD$19*$AD$21</f>
        <v>-0.52133333333333332</v>
      </c>
      <c r="F12" s="81">
        <f>IF('1-Eng Inputs'!$C$13="YES",IF('1-Eng Inputs'!$C$44&lt;5.5,F39,IF('1-Eng Inputs'!$C$44&gt;=11,F66,F91))*$AA$13*$AD12,IF('1-Eng Inputs'!$C$44&lt;5.5,F39,IF('1-Eng Inputs'!$C$44&gt;=11,F66,F91))*$AA$13)*(IF('1-Eng Inputs'!$C$45&lt;36,((36-'1-Eng Inputs'!$C$45)*(0.3/12))+1,1))*$AD$19*$AD$21</f>
        <v>-0.45999999999999996</v>
      </c>
      <c r="G12" s="81">
        <f>IF('1-Eng Inputs'!$C$13="YES",IF('1-Eng Inputs'!$C$44&lt;5.5,G39,IF('1-Eng Inputs'!$C$44&gt;=11,G66,G91))*$AA$13*$AD12,IF('1-Eng Inputs'!$C$44&lt;5.5,G39,IF('1-Eng Inputs'!$C$44&gt;=11,G66,G91))*$AA$13)*(IF('1-Eng Inputs'!$C$45&lt;36,((36-'1-Eng Inputs'!$C$45)*(0.3/12))+1,1))*$AD$19*$AD$21</f>
        <v>-0.42933333333333334</v>
      </c>
      <c r="H12" s="1147">
        <f>IF('1-Eng Inputs'!$C$13="YES",IF('1-Eng Inputs'!$C$44&lt;5.5,H39,IF('1-Eng Inputs'!$C$44&gt;=11,H66,H91))*$AA$13*$AD12,IF('1-Eng Inputs'!$C$44&lt;5.5,H39,IF('1-Eng Inputs'!$C$44&gt;=11,H66,H91))*$AA$13)*(IF('1-Eng Inputs'!$C$45&lt;36,((36-'1-Eng Inputs'!$C$45)*(0.3/12))+1,1))*$AD$19*$AD$21</f>
        <v>-0.52133333333333332</v>
      </c>
      <c r="I12" s="81">
        <f>IF('1-Eng Inputs'!$C$13="YES",IF('1-Eng Inputs'!$C$44&lt;5.5,I39,IF('1-Eng Inputs'!$C$44&gt;=11,I66,I91))*$AA$13*$AD12,IF('1-Eng Inputs'!$C$44&lt;5.5,I39,IF('1-Eng Inputs'!$C$44&gt;=11,I66,I91))*$AA$13)*(IF('1-Eng Inputs'!$C$45&lt;36,((36-'1-Eng Inputs'!$C$45)*(0.3/12))+1,1))*$AD$19*$AD$21</f>
        <v>-0.45999999999999996</v>
      </c>
      <c r="J12" s="81">
        <f>IF('1-Eng Inputs'!$C$13="YES",IF('1-Eng Inputs'!$C$44&lt;5.5,J39,IF('1-Eng Inputs'!$C$44&gt;=11,J66,J91))*$AA$13*$AD12,IF('1-Eng Inputs'!$C$44&lt;5.5,J39,IF('1-Eng Inputs'!$C$44&gt;=11,J66,J91))*$AA$13)*(IF('1-Eng Inputs'!$C$45&lt;36,((36-'1-Eng Inputs'!$C$45)*(0.3/12))+1,1))*$AD$19*$AD$21</f>
        <v>-0.42933333333333334</v>
      </c>
      <c r="K12" s="81">
        <f>IF('1-Eng Inputs'!$C$13="YES",IF('1-Eng Inputs'!$C$44&lt;5.5,K39,IF('1-Eng Inputs'!$C$44&gt;=11,K66,K91))*$AA$13*$AD12,IF('1-Eng Inputs'!$C$44&lt;5.5,K39,IF('1-Eng Inputs'!$C$44&gt;=11,K66,K91))*$AA$13)*(IF('1-Eng Inputs'!$C$45&lt;36,((36-'1-Eng Inputs'!$C$45)*(0.3/12))+1,1))*$AD$19*$AD$21</f>
        <v>-0.36799999999999994</v>
      </c>
      <c r="L12" s="81">
        <f>IF('1-Eng Inputs'!$C$13="YES",IF('1-Eng Inputs'!$C$44&lt;5.5,L39,IF('1-Eng Inputs'!$C$44&gt;=11,L66,L91))*$AA$13*$AD12,IF('1-Eng Inputs'!$C$44&lt;5.5,L39,IF('1-Eng Inputs'!$C$44&gt;=11,L66,L91))*$AA$13)*(IF('1-Eng Inputs'!$C$45&lt;36,((36-'1-Eng Inputs'!$C$45)*(0.3/12))+1,1))*$AD$19*$AD$21</f>
        <v>-0.33733333333333332</v>
      </c>
      <c r="M12" s="1147">
        <f>IF('1-Eng Inputs'!$C$13="YES",IF('1-Eng Inputs'!$C$44&lt;5.5,M39,IF('1-Eng Inputs'!$C$44&gt;=11,M66,M91))*$AA$13*$AD12,IF('1-Eng Inputs'!$C$44&lt;5.5,M39,IF('1-Eng Inputs'!$C$44&gt;=11,M66,M91))*$AA$13)*(IF('1-Eng Inputs'!$C$45&lt;36,((36-'1-Eng Inputs'!$C$45)*(0.3/12))+1,1))*$AD$19*$AD$21</f>
        <v>-0.45999999999999996</v>
      </c>
      <c r="N12" s="81">
        <f>IF('1-Eng Inputs'!$C$13="YES",IF('1-Eng Inputs'!$C$44&lt;5.5,N39,IF('1-Eng Inputs'!$C$44&gt;=11,N66,N91))*$AA$13*$AD12,IF('1-Eng Inputs'!$C$44&lt;5.5,N39,IF('1-Eng Inputs'!$C$44&gt;=11,N66,N91))*$AA$13)*(IF('1-Eng Inputs'!$C$45&lt;36,((36-'1-Eng Inputs'!$C$45)*(0.3/12))+1,1))*$AD$19*$AD$21</f>
        <v>-0.42933333333333334</v>
      </c>
      <c r="O12" s="81">
        <f>IF('1-Eng Inputs'!$C$13="YES",IF('1-Eng Inputs'!$C$44&lt;5.5,O39,IF('1-Eng Inputs'!$C$44&gt;=11,O66,O91))*$AA$13*$AD12,IF('1-Eng Inputs'!$C$44&lt;5.5,O39,IF('1-Eng Inputs'!$C$44&gt;=11,O66,O91))*$AA$13)*(IF('1-Eng Inputs'!$C$45&lt;36,((36-'1-Eng Inputs'!$C$45)*(0.3/12))+1,1))*$AD$19*$AD$21</f>
        <v>-0.39866666666666667</v>
      </c>
      <c r="P12" s="81">
        <f>IF('1-Eng Inputs'!$C$13="YES",IF('1-Eng Inputs'!$C$44&lt;5.5,P39,IF('1-Eng Inputs'!$C$44&gt;=11,P66,P91))*$AA$13*$AD12,IF('1-Eng Inputs'!$C$44&lt;5.5,P39,IF('1-Eng Inputs'!$C$44&gt;=11,P66,P91))*$AA$13)*(IF('1-Eng Inputs'!$C$45&lt;36,((36-'1-Eng Inputs'!$C$45)*(0.3/12))+1,1))*$AD$19*$AD$21</f>
        <v>-0.33733333333333332</v>
      </c>
      <c r="Q12" s="81">
        <f>IF('1-Eng Inputs'!$C$13="YES",IF('1-Eng Inputs'!$C$44&lt;5.5,Q39,IF('1-Eng Inputs'!$C$44&gt;=11,Q66,Q91))*$AA$13*$AD12,IF('1-Eng Inputs'!$C$44&lt;5.5,Q39,IF('1-Eng Inputs'!$C$44&gt;=11,Q66,Q91))*$AA$13)*(IF('1-Eng Inputs'!$C$45&lt;36,((36-'1-Eng Inputs'!$C$45)*(0.3/12))+1,1))*$AD$19*$AD$21</f>
        <v>-0.33733333333333332</v>
      </c>
      <c r="R12" s="1147">
        <f>IF('1-Eng Inputs'!$C$13="YES",IF('1-Eng Inputs'!$C$44&lt;5.5,R39,IF('1-Eng Inputs'!$C$44&gt;=11,R66,R91))*$AA$13*$AD12,IF('1-Eng Inputs'!$C$44&lt;5.5,R39,IF('1-Eng Inputs'!$C$44&gt;=11,R66,R91))*$AA$13)*(IF('1-Eng Inputs'!$C$45&lt;36,((36-'1-Eng Inputs'!$C$45)*(0.3/12))+1,1))*$AD$19*$AD$21</f>
        <v>-0.45999999999999996</v>
      </c>
      <c r="S12" s="81">
        <f>IF('1-Eng Inputs'!$C$13="YES",IF('1-Eng Inputs'!$C$44&lt;5.5,S39,IF('1-Eng Inputs'!$C$44&gt;=11,S66,S91))*$AA$13*$AD12,IF('1-Eng Inputs'!$C$44&lt;5.5,S39,IF('1-Eng Inputs'!$C$44&gt;=11,S66,S91))*$AA$13)*(IF('1-Eng Inputs'!$C$45&lt;36,((36-'1-Eng Inputs'!$C$45)*(0.3/12))+1,1))*$AD$19*$AD$21</f>
        <v>-0.33733333333333332</v>
      </c>
      <c r="T12" s="81">
        <f>IF('1-Eng Inputs'!$C$13="YES",IF('1-Eng Inputs'!$C$44&lt;5.5,T39,IF('1-Eng Inputs'!$C$44&gt;=11,T66,T91))*$AA$13*$AD12,IF('1-Eng Inputs'!$C$44&lt;5.5,T39,IF('1-Eng Inputs'!$C$44&gt;=11,T66,T91))*$AA$13)*(IF('1-Eng Inputs'!$C$45&lt;36,((36-'1-Eng Inputs'!$C$45)*(0.3/12))+1,1))*$AD$19*$AD$21</f>
        <v>-0.30666666666666664</v>
      </c>
      <c r="U12" s="1147">
        <f>IF('1-Eng Inputs'!$C$13="YES",IF('1-Eng Inputs'!$C$44&lt;5.5,U39,IF('1-Eng Inputs'!$C$44&gt;=11,U66,U91))*$AA$13*$AD12,IF('1-Eng Inputs'!$C$44&lt;5.5,U39,IF('1-Eng Inputs'!$C$44&gt;=11,U66,U91))*$AA$13)*(IF('1-Eng Inputs'!$C$45&lt;36,((36-'1-Eng Inputs'!$C$45)*(0.3/12))+1,1))*$AD$19*$AD$21</f>
        <v>-0.42933333333333334</v>
      </c>
      <c r="V12" s="1154">
        <f>IF('1-Eng Inputs'!$C$13="YES",IF('1-Eng Inputs'!$C$44&lt;5.5,V39,IF('1-Eng Inputs'!$C$44&gt;=11,V66,V91))*$AA$13*$AD12,IF('1-Eng Inputs'!$C$44&lt;5.5,V39,IF('1-Eng Inputs'!$C$44&gt;=11,V66,V91))*$AA$13)*(IF('1-Eng Inputs'!$C$45&lt;36,((36-'1-Eng Inputs'!$C$45)*(0.3/12))+1,1))*$AD$19*$AD$21</f>
        <v>-0.27599999999999997</v>
      </c>
      <c r="W12" s="81">
        <f>IF('1-Eng Inputs'!$C$13="YES",IF('1-Eng Inputs'!$C$44&lt;5.5,W39,IF('1-Eng Inputs'!$C$44&gt;=11,W66,W91))*$AA$13*$AD12,IF('1-Eng Inputs'!$C$44&lt;5.5,W39,IF('1-Eng Inputs'!$C$44&gt;=11,W66,W91))*$AA$13)*(IF('1-Eng Inputs'!$C$45&lt;36,((36-'1-Eng Inputs'!$C$45)*(0.3/12))+1,1))*$AD$19*$AD$21</f>
        <v>-0.24533333333333332</v>
      </c>
      <c r="X12" s="1087">
        <f>IF('1-Eng Inputs'!$C$13="YES",IF('1-Eng Inputs'!$C$44&lt;5.5,X39,IF('1-Eng Inputs'!$C$44&gt;=11,X66,X91))*$AA$13*$AD12,IF('1-Eng Inputs'!$C$44&lt;5.5,X39,IF('1-Eng Inputs'!$C$44&gt;=11,X66,X91))*$AA$13)*(IF('1-Eng Inputs'!$C$45&lt;36,((36-'1-Eng Inputs'!$C$45)*(0.3/12))+1,1))*$AD$19</f>
        <v>0.46</v>
      </c>
      <c r="Z12" s="220">
        <v>10</v>
      </c>
      <c r="AA12" s="221">
        <v>1.2</v>
      </c>
      <c r="AC12" s="240" t="s">
        <v>199</v>
      </c>
      <c r="AD12" s="241">
        <v>1.3</v>
      </c>
      <c r="AE12" s="242">
        <v>1.1000000000000001</v>
      </c>
    </row>
    <row r="13" spans="1:31" ht="13.5" thickBot="1">
      <c r="A13" s="1130" t="s">
        <v>200</v>
      </c>
      <c r="B13" s="1119">
        <f ca="1">'Area Reduction'!$C$32*'Land Coeffs 5deg'!C13</f>
        <v>-0.21250050530386155</v>
      </c>
      <c r="C13" s="1088">
        <f>IF('1-Eng Inputs'!$C$13="YES",IF('1-Eng Inputs'!$C$44&lt;5.5,C40,IF('1-Eng Inputs'!$C$44&gt;=11,C67,C92))*$AA$13*$AD13,IF('1-Eng Inputs'!$C$44&lt;5.5,C40,IF('1-Eng Inputs'!$C$44&gt;=11,C67,C92))*$AA$13)*(IF('1-Eng Inputs'!$C$45&lt;36,((36-'1-Eng Inputs'!$C$45)*(0.3/12))+1,1))*$AD$19</f>
        <v>-0.62</v>
      </c>
      <c r="D13" s="83">
        <f>IF('1-Eng Inputs'!$C$13="YES",IF('1-Eng Inputs'!$C$44&lt;5.5,D40,IF('1-Eng Inputs'!$C$44&gt;=11,D67,D92))*$AA$13*$AD13,IF('1-Eng Inputs'!$C$44&lt;5.5,D40,IF('1-Eng Inputs'!$C$44&gt;=11,D67,D92))*$AA$13)*(IF('1-Eng Inputs'!$C$45&lt;36,((36-'1-Eng Inputs'!$C$45)*(0.3/12))+1,1))*$AD$19*$AD$21</f>
        <v>-0.85866666666666669</v>
      </c>
      <c r="E13" s="83">
        <f>IF('1-Eng Inputs'!$C$13="YES",IF('1-Eng Inputs'!$C$44&lt;5.5,E40,IF('1-Eng Inputs'!$C$44&gt;=11,E67,E92))*$AA$13*$AD13,IF('1-Eng Inputs'!$C$44&lt;5.5,E40,IF('1-Eng Inputs'!$C$44&gt;=11,E67,E92))*$AA$13)*(IF('1-Eng Inputs'!$C$45&lt;36,((36-'1-Eng Inputs'!$C$45)*(0.3/12))+1,1))*$AD$19*$AD$21</f>
        <v>-0.70533333333333326</v>
      </c>
      <c r="F13" s="83">
        <f>IF('1-Eng Inputs'!$C$13="YES",IF('1-Eng Inputs'!$C$44&lt;5.5,F40,IF('1-Eng Inputs'!$C$44&gt;=11,F67,F92))*$AA$13*$AD13,IF('1-Eng Inputs'!$C$44&lt;5.5,F40,IF('1-Eng Inputs'!$C$44&gt;=11,F67,F92))*$AA$13)*(IF('1-Eng Inputs'!$C$45&lt;36,((36-'1-Eng Inputs'!$C$45)*(0.3/12))+1,1))*$AD$19*$AD$21</f>
        <v>-0.61333333333333329</v>
      </c>
      <c r="G13" s="83">
        <f>IF('1-Eng Inputs'!$C$13="YES",IF('1-Eng Inputs'!$C$44&lt;5.5,G40,IF('1-Eng Inputs'!$C$44&gt;=11,G67,G92))*$AA$13*$AD13,IF('1-Eng Inputs'!$C$44&lt;5.5,G40,IF('1-Eng Inputs'!$C$44&gt;=11,G67,G92))*$AA$13)*(IF('1-Eng Inputs'!$C$45&lt;36,((36-'1-Eng Inputs'!$C$45)*(0.3/12))+1,1))*$AD$19*$AD$21</f>
        <v>-0.58266666666666667</v>
      </c>
      <c r="H13" s="1148">
        <f>IF('1-Eng Inputs'!$C$13="YES",IF('1-Eng Inputs'!$C$44&lt;5.5,H40,IF('1-Eng Inputs'!$C$44&gt;=11,H67,H92))*$AA$13*$AD13,IF('1-Eng Inputs'!$C$44&lt;5.5,H40,IF('1-Eng Inputs'!$C$44&gt;=11,H67,H92))*$AA$13)*(IF('1-Eng Inputs'!$C$45&lt;36,((36-'1-Eng Inputs'!$C$45)*(0.3/12))+1,1))*$AD$19*$AD$21</f>
        <v>-0.73599999999999988</v>
      </c>
      <c r="I13" s="83">
        <f>IF('1-Eng Inputs'!$C$13="YES",IF('1-Eng Inputs'!$C$44&lt;5.5,I40,IF('1-Eng Inputs'!$C$44&gt;=11,I67,I92))*$AA$13*$AD13,IF('1-Eng Inputs'!$C$44&lt;5.5,I40,IF('1-Eng Inputs'!$C$44&gt;=11,I67,I92))*$AA$13)*(IF('1-Eng Inputs'!$C$45&lt;36,((36-'1-Eng Inputs'!$C$45)*(0.3/12))+1,1))*$AD$19*$AD$21</f>
        <v>-0.61333333333333329</v>
      </c>
      <c r="J13" s="83">
        <f>IF('1-Eng Inputs'!$C$13="YES",IF('1-Eng Inputs'!$C$44&lt;5.5,J40,IF('1-Eng Inputs'!$C$44&gt;=11,J67,J92))*$AA$13*$AD13,IF('1-Eng Inputs'!$C$44&lt;5.5,J40,IF('1-Eng Inputs'!$C$44&gt;=11,J67,J92))*$AA$13)*(IF('1-Eng Inputs'!$C$45&lt;36,((36-'1-Eng Inputs'!$C$45)*(0.3/12))+1,1))*$AD$19*$AD$21</f>
        <v>-0.55199999999999994</v>
      </c>
      <c r="K13" s="83">
        <f>IF('1-Eng Inputs'!$C$13="YES",IF('1-Eng Inputs'!$C$44&lt;5.5,K40,IF('1-Eng Inputs'!$C$44&gt;=11,K67,K92))*$AA$13*$AD13,IF('1-Eng Inputs'!$C$44&lt;5.5,K40,IF('1-Eng Inputs'!$C$44&gt;=11,K67,K92))*$AA$13)*(IF('1-Eng Inputs'!$C$45&lt;36,((36-'1-Eng Inputs'!$C$45)*(0.3/12))+1,1))*$AD$19*$AD$21</f>
        <v>-0.45999999999999996</v>
      </c>
      <c r="L13" s="83">
        <f>IF('1-Eng Inputs'!$C$13="YES",IF('1-Eng Inputs'!$C$44&lt;5.5,L40,IF('1-Eng Inputs'!$C$44&gt;=11,L67,L92))*$AA$13*$AD13,IF('1-Eng Inputs'!$C$44&lt;5.5,L40,IF('1-Eng Inputs'!$C$44&gt;=11,L67,L92))*$AA$13)*(IF('1-Eng Inputs'!$C$45&lt;36,((36-'1-Eng Inputs'!$C$45)*(0.3/12))+1,1))*$AD$19*$AD$21</f>
        <v>-0.42933333333333334</v>
      </c>
      <c r="M13" s="1148">
        <f>IF('1-Eng Inputs'!$C$13="YES",IF('1-Eng Inputs'!$C$44&lt;5.5,M40,IF('1-Eng Inputs'!$C$44&gt;=11,M67,M92))*$AA$13*$AD13,IF('1-Eng Inputs'!$C$44&lt;5.5,M40,IF('1-Eng Inputs'!$C$44&gt;=11,M67,M92))*$AA$13)*(IF('1-Eng Inputs'!$C$45&lt;36,((36-'1-Eng Inputs'!$C$45)*(0.3/12))+1,1))*$AD$19*$AD$21</f>
        <v>-0.64399999999999991</v>
      </c>
      <c r="N13" s="83">
        <f>IF('1-Eng Inputs'!$C$13="YES",IF('1-Eng Inputs'!$C$44&lt;5.5,N40,IF('1-Eng Inputs'!$C$44&gt;=11,N67,N92))*$AA$13*$AD13,IF('1-Eng Inputs'!$C$44&lt;5.5,N40,IF('1-Eng Inputs'!$C$44&gt;=11,N67,N92))*$AA$13)*(IF('1-Eng Inputs'!$C$45&lt;36,((36-'1-Eng Inputs'!$C$45)*(0.3/12))+1,1))*$AD$19*$AD$21</f>
        <v>-0.45999999999999996</v>
      </c>
      <c r="O13" s="83">
        <f>IF('1-Eng Inputs'!$C$13="YES",IF('1-Eng Inputs'!$C$44&lt;5.5,O40,IF('1-Eng Inputs'!$C$44&gt;=11,O67,O92))*$AA$13*$AD13,IF('1-Eng Inputs'!$C$44&lt;5.5,O40,IF('1-Eng Inputs'!$C$44&gt;=11,O67,O92))*$AA$13)*(IF('1-Eng Inputs'!$C$45&lt;36,((36-'1-Eng Inputs'!$C$45)*(0.3/12))+1,1))*$AD$19*$AD$21</f>
        <v>-0.39866666666666667</v>
      </c>
      <c r="P13" s="83">
        <f>IF('1-Eng Inputs'!$C$13="YES",IF('1-Eng Inputs'!$C$44&lt;5.5,P40,IF('1-Eng Inputs'!$C$44&gt;=11,P67,P92))*$AA$13*$AD13,IF('1-Eng Inputs'!$C$44&lt;5.5,P40,IF('1-Eng Inputs'!$C$44&gt;=11,P67,P92))*$AA$13)*(IF('1-Eng Inputs'!$C$45&lt;36,((36-'1-Eng Inputs'!$C$45)*(0.3/12))+1,1))*$AD$19*$AD$21</f>
        <v>-0.36799999999999994</v>
      </c>
      <c r="Q13" s="83">
        <f>IF('1-Eng Inputs'!$C$13="YES",IF('1-Eng Inputs'!$C$44&lt;5.5,Q40,IF('1-Eng Inputs'!$C$44&gt;=11,Q67,Q92))*$AA$13*$AD13,IF('1-Eng Inputs'!$C$44&lt;5.5,Q40,IF('1-Eng Inputs'!$C$44&gt;=11,Q67,Q92))*$AA$13)*(IF('1-Eng Inputs'!$C$45&lt;36,((36-'1-Eng Inputs'!$C$45)*(0.3/12))+1,1))*$AD$19*$AD$21</f>
        <v>-0.33733333333333332</v>
      </c>
      <c r="R13" s="1148">
        <f>IF('1-Eng Inputs'!$C$13="YES",IF('1-Eng Inputs'!$C$44&lt;5.5,R40,IF('1-Eng Inputs'!$C$44&gt;=11,R67,R92))*$AA$13*$AD13,IF('1-Eng Inputs'!$C$44&lt;5.5,R40,IF('1-Eng Inputs'!$C$44&gt;=11,R67,R92))*$AA$13)*(IF('1-Eng Inputs'!$C$45&lt;36,((36-'1-Eng Inputs'!$C$45)*(0.3/12))+1,1))*$AD$19*$AD$21</f>
        <v>-0.45999999999999996</v>
      </c>
      <c r="S13" s="83">
        <f>IF('1-Eng Inputs'!$C$13="YES",IF('1-Eng Inputs'!$C$44&lt;5.5,S40,IF('1-Eng Inputs'!$C$44&gt;=11,S67,S92))*$AA$13*$AD13,IF('1-Eng Inputs'!$C$44&lt;5.5,S40,IF('1-Eng Inputs'!$C$44&gt;=11,S67,S92))*$AA$13)*(IF('1-Eng Inputs'!$C$45&lt;36,((36-'1-Eng Inputs'!$C$45)*(0.3/12))+1,1))*$AD$19*$AD$21</f>
        <v>-0.33733333333333332</v>
      </c>
      <c r="T13" s="83">
        <f>IF('1-Eng Inputs'!$C$13="YES",IF('1-Eng Inputs'!$C$44&lt;5.5,T40,IF('1-Eng Inputs'!$C$44&gt;=11,T67,T92))*$AA$13*$AD13,IF('1-Eng Inputs'!$C$44&lt;5.5,T40,IF('1-Eng Inputs'!$C$44&gt;=11,T67,T92))*$AA$13)*(IF('1-Eng Inputs'!$C$45&lt;36,((36-'1-Eng Inputs'!$C$45)*(0.3/12))+1,1))*$AD$19*$AD$21</f>
        <v>-0.30666666666666664</v>
      </c>
      <c r="U13" s="1148">
        <f>IF('1-Eng Inputs'!$C$13="YES",IF('1-Eng Inputs'!$C$44&lt;5.5,U40,IF('1-Eng Inputs'!$C$44&gt;=11,U67,U92))*$AA$13*$AD13,IF('1-Eng Inputs'!$C$44&lt;5.5,U40,IF('1-Eng Inputs'!$C$44&gt;=11,U67,U92))*$AA$13)*(IF('1-Eng Inputs'!$C$45&lt;36,((36-'1-Eng Inputs'!$C$45)*(0.3/12))+1,1))*$AD$19*$AD$21</f>
        <v>-0.39866666666666667</v>
      </c>
      <c r="V13" s="1155">
        <f>IF('1-Eng Inputs'!$C$13="YES",IF('1-Eng Inputs'!$C$44&lt;5.5,V40,IF('1-Eng Inputs'!$C$44&gt;=11,V67,V92))*$AA$13*$AD13,IF('1-Eng Inputs'!$C$44&lt;5.5,V40,IF('1-Eng Inputs'!$C$44&gt;=11,V67,V92))*$AA$13)*(IF('1-Eng Inputs'!$C$45&lt;36,((36-'1-Eng Inputs'!$C$45)*(0.3/12))+1,1))*$AD$19*$AD$21</f>
        <v>-0.27599999999999997</v>
      </c>
      <c r="W13" s="83">
        <f>IF('1-Eng Inputs'!$C$13="YES",IF('1-Eng Inputs'!$C$44&lt;5.5,W40,IF('1-Eng Inputs'!$C$44&gt;=11,W67,W92))*$AA$13*$AD13,IF('1-Eng Inputs'!$C$44&lt;5.5,W40,IF('1-Eng Inputs'!$C$44&gt;=11,W67,W92))*$AA$13)*(IF('1-Eng Inputs'!$C$45&lt;36,((36-'1-Eng Inputs'!$C$45)*(0.3/12))+1,1))*$AD$19*$AD$21</f>
        <v>-0.24533333333333332</v>
      </c>
      <c r="X13" s="1089">
        <f>IF('1-Eng Inputs'!$C$13="YES",IF('1-Eng Inputs'!$C$44&lt;5.5,X40,IF('1-Eng Inputs'!$C$44&gt;=11,X67,X92))*$AA$13*$AD13,IF('1-Eng Inputs'!$C$44&lt;5.5,X40,IF('1-Eng Inputs'!$C$44&gt;=11,X67,X92))*$AA$13)*(IF('1-Eng Inputs'!$C$45&lt;36,((36-'1-Eng Inputs'!$C$45)*(0.3/12))+1,1))*$AD$19</f>
        <v>0.70000000000000007</v>
      </c>
      <c r="Z13" s="222">
        <f>'1-Eng Inputs'!$C$41</f>
        <v>1</v>
      </c>
      <c r="AA13" s="223">
        <f>IF(Z13&lt;=6,AA10,(AA11+(Z13-Z11)*((AA12-AA11)/(Z12-Z11))))</f>
        <v>1</v>
      </c>
      <c r="AC13" s="243" t="s">
        <v>200</v>
      </c>
      <c r="AD13" s="244">
        <v>1.4</v>
      </c>
      <c r="AE13" s="245">
        <v>1.1000000000000001</v>
      </c>
    </row>
    <row r="14" spans="1:31" ht="13.5" thickBot="1">
      <c r="A14" s="1131" t="s">
        <v>201</v>
      </c>
      <c r="B14" s="1120">
        <f ca="1">'Area Reduction'!$C$32*'Land Coeffs 5deg'!C14</f>
        <v>-0.21935536031366354</v>
      </c>
      <c r="C14" s="1090">
        <f>IF('1-Eng Inputs'!$C$13="YES",IF('1-Eng Inputs'!$C$44&lt;5.5,C41,IF('1-Eng Inputs'!$C$44&gt;=11,C68,C93))*$AA$13*$AD14,IF('1-Eng Inputs'!$C$44&lt;5.5,C41,IF('1-Eng Inputs'!$C$44&gt;=11,C68,C93))*$AA$13)*(IF('1-Eng Inputs'!$C$45&lt;36,((36-'1-Eng Inputs'!$C$45)*(0.3/12))+1,1))*$AD$19</f>
        <v>-0.64</v>
      </c>
      <c r="D14" s="1091">
        <f>IF('1-Eng Inputs'!$C$13="YES",IF('1-Eng Inputs'!$C$44&lt;5.5,D41,IF('1-Eng Inputs'!$C$44&gt;=11,D68,D93))*$AA$13*$AD14,IF('1-Eng Inputs'!$C$44&lt;5.5,D41,IF('1-Eng Inputs'!$C$44&gt;=11,D68,D93))*$AA$13)*(IF('1-Eng Inputs'!$C$45&lt;36,((36-'1-Eng Inputs'!$C$45)*(0.3/12))+1,1))*$AD$19*$AD$21</f>
        <v>-0.79733333333333334</v>
      </c>
      <c r="E14" s="1091">
        <f>IF('1-Eng Inputs'!$C$13="YES",IF('1-Eng Inputs'!$C$44&lt;5.5,E41,IF('1-Eng Inputs'!$C$44&gt;=11,E68,E93))*$AA$13*$AD14,IF('1-Eng Inputs'!$C$44&lt;5.5,E41,IF('1-Eng Inputs'!$C$44&gt;=11,E68,E93))*$AA$13)*(IF('1-Eng Inputs'!$C$45&lt;36,((36-'1-Eng Inputs'!$C$45)*(0.3/12))+1,1))*$AD$19*$AD$21</f>
        <v>-0.67466666666666664</v>
      </c>
      <c r="F14" s="1091">
        <f>IF('1-Eng Inputs'!$C$13="YES",IF('1-Eng Inputs'!$C$44&lt;5.5,F41,IF('1-Eng Inputs'!$C$44&gt;=11,F68,F93))*$AA$13*$AD14,IF('1-Eng Inputs'!$C$44&lt;5.5,F41,IF('1-Eng Inputs'!$C$44&gt;=11,F68,F93))*$AA$13)*(IF('1-Eng Inputs'!$C$45&lt;36,((36-'1-Eng Inputs'!$C$45)*(0.3/12))+1,1))*$AD$19*$AD$21</f>
        <v>-0.58266666666666667</v>
      </c>
      <c r="G14" s="1091">
        <f>IF('1-Eng Inputs'!$C$13="YES",IF('1-Eng Inputs'!$C$44&lt;5.5,G41,IF('1-Eng Inputs'!$C$44&gt;=11,G68,G93))*$AA$13*$AD14,IF('1-Eng Inputs'!$C$44&lt;5.5,G41,IF('1-Eng Inputs'!$C$44&gt;=11,G68,G93))*$AA$13)*(IF('1-Eng Inputs'!$C$45&lt;36,((36-'1-Eng Inputs'!$C$45)*(0.3/12))+1,1))*$AD$19*$AD$21</f>
        <v>-0.55199999999999994</v>
      </c>
      <c r="H14" s="1149">
        <f>IF('1-Eng Inputs'!$C$13="YES",IF('1-Eng Inputs'!$C$44&lt;5.5,H41,IF('1-Eng Inputs'!$C$44&gt;=11,H68,H93))*$AA$13*$AD14,IF('1-Eng Inputs'!$C$44&lt;5.5,H41,IF('1-Eng Inputs'!$C$44&gt;=11,H68,H93))*$AA$13)*(IF('1-Eng Inputs'!$C$45&lt;36,((36-'1-Eng Inputs'!$C$45)*(0.3/12))+1,1))*$AD$19*$AD$21</f>
        <v>-0.58266666666666667</v>
      </c>
      <c r="I14" s="1091">
        <f>IF('1-Eng Inputs'!$C$13="YES",IF('1-Eng Inputs'!$C$44&lt;5.5,I41,IF('1-Eng Inputs'!$C$44&gt;=11,I68,I93))*$AA$13*$AD14,IF('1-Eng Inputs'!$C$44&lt;5.5,I41,IF('1-Eng Inputs'!$C$44&gt;=11,I68,I93))*$AA$13)*(IF('1-Eng Inputs'!$C$45&lt;36,((36-'1-Eng Inputs'!$C$45)*(0.3/12))+1,1))*$AD$19*$AD$21</f>
        <v>-0.55199999999999994</v>
      </c>
      <c r="J14" s="1091">
        <f>IF('1-Eng Inputs'!$C$13="YES",IF('1-Eng Inputs'!$C$44&lt;5.5,J41,IF('1-Eng Inputs'!$C$44&gt;=11,J68,J93))*$AA$13*$AD14,IF('1-Eng Inputs'!$C$44&lt;5.5,J41,IF('1-Eng Inputs'!$C$44&gt;=11,J68,J93))*$AA$13)*(IF('1-Eng Inputs'!$C$45&lt;36,((36-'1-Eng Inputs'!$C$45)*(0.3/12))+1,1))*$AD$19*$AD$21</f>
        <v>-0.52133333333333332</v>
      </c>
      <c r="K14" s="1091">
        <f>IF('1-Eng Inputs'!$C$13="YES",IF('1-Eng Inputs'!$C$44&lt;5.5,K41,IF('1-Eng Inputs'!$C$44&gt;=11,K68,K93))*$AA$13*$AD14,IF('1-Eng Inputs'!$C$44&lt;5.5,K41,IF('1-Eng Inputs'!$C$44&gt;=11,K68,K93))*$AA$13)*(IF('1-Eng Inputs'!$C$45&lt;36,((36-'1-Eng Inputs'!$C$45)*(0.3/12))+1,1))*$AD$19*$AD$21</f>
        <v>-0.42933333333333334</v>
      </c>
      <c r="L14" s="1091">
        <f>IF('1-Eng Inputs'!$C$13="YES",IF('1-Eng Inputs'!$C$44&lt;5.5,L41,IF('1-Eng Inputs'!$C$44&gt;=11,L68,L93))*$AA$13*$AD14,IF('1-Eng Inputs'!$C$44&lt;5.5,L41,IF('1-Eng Inputs'!$C$44&gt;=11,L68,L93))*$AA$13)*(IF('1-Eng Inputs'!$C$45&lt;36,((36-'1-Eng Inputs'!$C$45)*(0.3/12))+1,1))*$AD$19*$AD$21</f>
        <v>-0.39866666666666667</v>
      </c>
      <c r="M14" s="1149">
        <f>IF('1-Eng Inputs'!$C$13="YES",IF('1-Eng Inputs'!$C$44&lt;5.5,M41,IF('1-Eng Inputs'!$C$44&gt;=11,M68,M93))*$AA$13*$AD14,IF('1-Eng Inputs'!$C$44&lt;5.5,M41,IF('1-Eng Inputs'!$C$44&gt;=11,M68,M93))*$AA$13)*(IF('1-Eng Inputs'!$C$45&lt;36,((36-'1-Eng Inputs'!$C$45)*(0.3/12))+1,1))*$AD$19*$AD$21</f>
        <v>-0.55199999999999994</v>
      </c>
      <c r="N14" s="1091">
        <f>IF('1-Eng Inputs'!$C$13="YES",IF('1-Eng Inputs'!$C$44&lt;5.5,N41,IF('1-Eng Inputs'!$C$44&gt;=11,N68,N93))*$AA$13*$AD14,IF('1-Eng Inputs'!$C$44&lt;5.5,N41,IF('1-Eng Inputs'!$C$44&gt;=11,N68,N93))*$AA$13)*(IF('1-Eng Inputs'!$C$45&lt;36,((36-'1-Eng Inputs'!$C$45)*(0.3/12))+1,1))*$AD$19*$AD$21</f>
        <v>-0.42933333333333334</v>
      </c>
      <c r="O14" s="1091">
        <f>IF('1-Eng Inputs'!$C$13="YES",IF('1-Eng Inputs'!$C$44&lt;5.5,O41,IF('1-Eng Inputs'!$C$44&gt;=11,O68,O93))*$AA$13*$AD14,IF('1-Eng Inputs'!$C$44&lt;5.5,O41,IF('1-Eng Inputs'!$C$44&gt;=11,O68,O93))*$AA$13)*(IF('1-Eng Inputs'!$C$45&lt;36,((36-'1-Eng Inputs'!$C$45)*(0.3/12))+1,1))*$AD$19*$AD$21</f>
        <v>-0.39866666666666667</v>
      </c>
      <c r="P14" s="1091">
        <f>IF('1-Eng Inputs'!$C$13="YES",IF('1-Eng Inputs'!$C$44&lt;5.5,P41,IF('1-Eng Inputs'!$C$44&gt;=11,P68,P93))*$AA$13*$AD14,IF('1-Eng Inputs'!$C$44&lt;5.5,P41,IF('1-Eng Inputs'!$C$44&gt;=11,P68,P93))*$AA$13)*(IF('1-Eng Inputs'!$C$45&lt;36,((36-'1-Eng Inputs'!$C$45)*(0.3/12))+1,1))*$AD$19*$AD$21</f>
        <v>-0.33733333333333332</v>
      </c>
      <c r="Q14" s="1091">
        <f>IF('1-Eng Inputs'!$C$13="YES",IF('1-Eng Inputs'!$C$44&lt;5.5,Q41,IF('1-Eng Inputs'!$C$44&gt;=11,Q68,Q93))*$AA$13*$AD14,IF('1-Eng Inputs'!$C$44&lt;5.5,Q41,IF('1-Eng Inputs'!$C$44&gt;=11,Q68,Q93))*$AA$13)*(IF('1-Eng Inputs'!$C$45&lt;36,((36-'1-Eng Inputs'!$C$45)*(0.3/12))+1,1))*$AD$19*$AD$21</f>
        <v>-0.33733333333333332</v>
      </c>
      <c r="R14" s="1149">
        <f>IF('1-Eng Inputs'!$C$13="YES",IF('1-Eng Inputs'!$C$44&lt;5.5,R41,IF('1-Eng Inputs'!$C$44&gt;=11,R68,R93))*$AA$13*$AD14,IF('1-Eng Inputs'!$C$44&lt;5.5,R41,IF('1-Eng Inputs'!$C$44&gt;=11,R68,R93))*$AA$13)*(IF('1-Eng Inputs'!$C$45&lt;36,((36-'1-Eng Inputs'!$C$45)*(0.3/12))+1,1))*$AD$19*$AD$21</f>
        <v>-0.45999999999999996</v>
      </c>
      <c r="S14" s="1091">
        <f>IF('1-Eng Inputs'!$C$13="YES",IF('1-Eng Inputs'!$C$44&lt;5.5,S41,IF('1-Eng Inputs'!$C$44&gt;=11,S68,S93))*$AA$13*$AD14,IF('1-Eng Inputs'!$C$44&lt;5.5,S41,IF('1-Eng Inputs'!$C$44&gt;=11,S68,S93))*$AA$13)*(IF('1-Eng Inputs'!$C$45&lt;36,((36-'1-Eng Inputs'!$C$45)*(0.3/12))+1,1))*$AD$19*$AD$21</f>
        <v>-0.33733333333333332</v>
      </c>
      <c r="T14" s="1091">
        <f>IF('1-Eng Inputs'!$C$13="YES",IF('1-Eng Inputs'!$C$44&lt;5.5,T41,IF('1-Eng Inputs'!$C$44&gt;=11,T68,T93))*$AA$13*$AD14,IF('1-Eng Inputs'!$C$44&lt;5.5,T41,IF('1-Eng Inputs'!$C$44&gt;=11,T68,T93))*$AA$13)*(IF('1-Eng Inputs'!$C$45&lt;36,((36-'1-Eng Inputs'!$C$45)*(0.3/12))+1,1))*$AD$19*$AD$21</f>
        <v>-0.30666666666666664</v>
      </c>
      <c r="U14" s="1149">
        <f>IF('1-Eng Inputs'!$C$13="YES",IF('1-Eng Inputs'!$C$44&lt;5.5,U41,IF('1-Eng Inputs'!$C$44&gt;=11,U68,U93))*$AA$13*$AD14,IF('1-Eng Inputs'!$C$44&lt;5.5,U41,IF('1-Eng Inputs'!$C$44&gt;=11,U68,U93))*$AA$13)*(IF('1-Eng Inputs'!$C$45&lt;36,((36-'1-Eng Inputs'!$C$45)*(0.3/12))+1,1))*$AD$19*$AD$21</f>
        <v>-0.42933333333333334</v>
      </c>
      <c r="V14" s="1156">
        <f>IF('1-Eng Inputs'!$C$13="YES",IF('1-Eng Inputs'!$C$44&lt;5.5,V41,IF('1-Eng Inputs'!$C$44&gt;=11,V68,V93))*$AA$13*$AD14,IF('1-Eng Inputs'!$C$44&lt;5.5,V41,IF('1-Eng Inputs'!$C$44&gt;=11,V68,V93))*$AA$13)*(IF('1-Eng Inputs'!$C$45&lt;36,((36-'1-Eng Inputs'!$C$45)*(0.3/12))+1,1))*$AD$19*$AD$21</f>
        <v>-0.27599999999999997</v>
      </c>
      <c r="W14" s="1091">
        <f>IF('1-Eng Inputs'!$C$13="YES",IF('1-Eng Inputs'!$C$44&lt;5.5,W41,IF('1-Eng Inputs'!$C$44&gt;=11,W68,W93))*$AA$13*$AD14,IF('1-Eng Inputs'!$C$44&lt;5.5,W41,IF('1-Eng Inputs'!$C$44&gt;=11,W68,W93))*$AA$13)*(IF('1-Eng Inputs'!$C$45&lt;36,((36-'1-Eng Inputs'!$C$45)*(0.3/12))+1,1))*$AD$19*$AD$21</f>
        <v>-0.24533333333333332</v>
      </c>
      <c r="X14" s="1092">
        <f>IF('1-Eng Inputs'!$C$13="YES",IF('1-Eng Inputs'!$C$44&lt;5.5,X41,IF('1-Eng Inputs'!$C$44&gt;=11,X68,X93))*$AA$13*$AD14,IF('1-Eng Inputs'!$C$44&lt;5.5,X41,IF('1-Eng Inputs'!$C$44&gt;=11,X68,X93))*$AA$13)*(IF('1-Eng Inputs'!$C$45&lt;36,((36-'1-Eng Inputs'!$C$45)*(0.3/12))+1,1))*$AD$19</f>
        <v>0.68</v>
      </c>
      <c r="AC14" s="246" t="s">
        <v>201</v>
      </c>
      <c r="AD14" s="247">
        <v>1.7</v>
      </c>
      <c r="AE14" s="248">
        <v>1.1000000000000001</v>
      </c>
    </row>
    <row r="15" spans="1:31" ht="13.5" thickBot="1">
      <c r="A15" s="1072" t="s">
        <v>19932</v>
      </c>
      <c r="B15" s="122"/>
      <c r="C15" s="840">
        <f>MIN(C9:C14)</f>
        <v>-0.64</v>
      </c>
      <c r="D15" s="840">
        <f t="shared" ref="D15:N15" si="0">MIN(D9:D14)</f>
        <v>-0.85866666666666669</v>
      </c>
      <c r="E15" s="840">
        <f t="shared" si="0"/>
        <v>-0.70533333333333326</v>
      </c>
      <c r="F15" s="840">
        <f t="shared" si="0"/>
        <v>-0.61333333333333329</v>
      </c>
      <c r="G15" s="840">
        <f t="shared" si="0"/>
        <v>-0.58266666666666667</v>
      </c>
      <c r="H15" s="840">
        <f t="shared" si="0"/>
        <v>-0.76666666666666661</v>
      </c>
      <c r="I15" s="840">
        <f t="shared" si="0"/>
        <v>-0.61333333333333329</v>
      </c>
      <c r="J15" s="840">
        <f t="shared" si="0"/>
        <v>-0.55199999999999994</v>
      </c>
      <c r="K15" s="840">
        <f t="shared" si="0"/>
        <v>-0.45999999999999996</v>
      </c>
      <c r="L15" s="840">
        <f t="shared" si="0"/>
        <v>-0.42933333333333334</v>
      </c>
      <c r="M15" s="840">
        <f t="shared" si="0"/>
        <v>-0.64399999999999991</v>
      </c>
      <c r="N15" s="840">
        <f t="shared" si="0"/>
        <v>-0.55199999999999994</v>
      </c>
      <c r="O15" s="840">
        <f t="shared" ref="O15:X15" si="1">MIN(O9:O14)</f>
        <v>-0.45999999999999996</v>
      </c>
      <c r="P15" s="840">
        <f t="shared" si="1"/>
        <v>-0.42933333333333334</v>
      </c>
      <c r="Q15" s="840">
        <f t="shared" si="1"/>
        <v>-0.39866666666666667</v>
      </c>
      <c r="R15" s="840">
        <f t="shared" si="1"/>
        <v>-0.55199999999999994</v>
      </c>
      <c r="S15" s="840">
        <f t="shared" si="1"/>
        <v>-0.39866666666666667</v>
      </c>
      <c r="T15" s="840">
        <f t="shared" si="1"/>
        <v>-0.33733333333333332</v>
      </c>
      <c r="U15" s="840">
        <f t="shared" si="1"/>
        <v>-0.45999999999999996</v>
      </c>
      <c r="V15" s="840">
        <f t="shared" si="1"/>
        <v>-0.30666666666666664</v>
      </c>
      <c r="W15" s="840">
        <f t="shared" si="1"/>
        <v>-0.27599999999999997</v>
      </c>
      <c r="X15" s="840">
        <f t="shared" si="1"/>
        <v>0.46</v>
      </c>
      <c r="Z15" s="2164" t="s">
        <v>19525</v>
      </c>
      <c r="AA15" s="2165"/>
      <c r="AC15" s="228" t="s">
        <v>19236</v>
      </c>
      <c r="AD15" s="229" t="s">
        <v>463</v>
      </c>
    </row>
    <row r="16" spans="1:31">
      <c r="A16" s="124" t="s">
        <v>235</v>
      </c>
      <c r="B16" s="122"/>
      <c r="C16" s="122"/>
      <c r="D16" s="124"/>
      <c r="E16" s="124"/>
      <c r="F16" s="124"/>
      <c r="G16" s="124"/>
      <c r="H16" s="124"/>
      <c r="I16" s="124"/>
      <c r="J16" s="124"/>
      <c r="K16" s="124"/>
      <c r="L16" s="124"/>
      <c r="O16" s="122"/>
      <c r="P16" s="122"/>
      <c r="Q16" s="122"/>
      <c r="R16" s="122"/>
      <c r="S16" s="122"/>
      <c r="T16" s="122"/>
      <c r="U16" s="122"/>
      <c r="V16" s="122"/>
      <c r="W16" s="122"/>
      <c r="X16" s="122"/>
      <c r="Z16" s="2166"/>
      <c r="AA16" s="2167"/>
      <c r="AC16" s="231" t="s">
        <v>19237</v>
      </c>
      <c r="AD16" s="232">
        <v>1.3</v>
      </c>
    </row>
    <row r="17" spans="1:30" ht="17.25" thickBot="1">
      <c r="A17" s="1072"/>
      <c r="B17" s="122" t="s">
        <v>202</v>
      </c>
      <c r="C17" s="122" t="s">
        <v>202</v>
      </c>
      <c r="D17" s="1135"/>
      <c r="E17" s="111"/>
      <c r="F17" s="111"/>
      <c r="G17" s="111"/>
      <c r="H17" s="111"/>
      <c r="I17" s="111"/>
      <c r="J17" s="111"/>
      <c r="K17" s="111"/>
      <c r="L17" s="111"/>
      <c r="O17" s="788"/>
      <c r="S17" s="788"/>
      <c r="T17" s="788"/>
      <c r="U17" s="788"/>
      <c r="V17" s="1057"/>
      <c r="W17" s="1057"/>
      <c r="X17" s="788"/>
      <c r="Z17" s="2166"/>
      <c r="AA17" s="2167"/>
      <c r="AC17" s="246" t="s">
        <v>19238</v>
      </c>
      <c r="AD17" s="247">
        <v>1.6</v>
      </c>
    </row>
    <row r="18" spans="1:30" ht="17.25" thickBot="1">
      <c r="A18" s="919"/>
      <c r="B18" s="122" t="s">
        <v>240</v>
      </c>
      <c r="C18" s="122" t="s">
        <v>194</v>
      </c>
      <c r="D18" s="1135"/>
      <c r="E18" s="1057"/>
      <c r="F18" s="1057"/>
      <c r="G18" s="1057"/>
      <c r="H18" s="1057"/>
      <c r="I18" s="1057"/>
      <c r="J18" s="1057"/>
      <c r="K18" s="1057"/>
      <c r="L18" s="1057"/>
      <c r="O18" s="788"/>
      <c r="S18" s="788"/>
      <c r="T18" s="788"/>
      <c r="U18" s="788"/>
      <c r="V18" s="1057"/>
      <c r="W18" s="1057"/>
      <c r="X18" s="788"/>
      <c r="Z18" s="2166"/>
      <c r="AA18" s="2167"/>
      <c r="AC18" s="228" t="s">
        <v>19518</v>
      </c>
      <c r="AD18" s="229" t="s">
        <v>463</v>
      </c>
    </row>
    <row r="19" spans="1:30" ht="13.5" thickBot="1">
      <c r="A19" s="1073" t="s">
        <v>196</v>
      </c>
      <c r="B19" s="85">
        <f ca="1">'Area Reduction'!$C$32*C19</f>
        <v>0.5209689807449509</v>
      </c>
      <c r="C19" s="85">
        <f>IF('1-Eng Inputs'!$C$13="YES",IF('1-Eng Inputs'!$C$44&lt;5.5,C46,IF('1-Eng Inputs'!$C$44&gt;=11,C73,C98))*$AA$13*$AE$9,IF('1-Eng Inputs'!$C$44&lt;5.5,C46,IF('1-Eng Inputs'!$C$44&gt;=11,C73,C98))*$AA$13)</f>
        <v>1.52</v>
      </c>
      <c r="D19" s="1134"/>
      <c r="E19" s="1132"/>
      <c r="F19" s="1132"/>
      <c r="G19" s="1132"/>
      <c r="H19" s="1132"/>
      <c r="I19" s="1132"/>
      <c r="J19" s="1132"/>
      <c r="K19" s="1132"/>
      <c r="L19" s="1132"/>
      <c r="O19" s="788"/>
      <c r="S19" s="788"/>
      <c r="T19" s="788"/>
      <c r="U19" s="788"/>
      <c r="V19" s="1057"/>
      <c r="W19" s="1057"/>
      <c r="X19" s="788"/>
      <c r="Z19" s="435" t="s">
        <v>19520</v>
      </c>
      <c r="AA19" s="436" t="s">
        <v>19524</v>
      </c>
      <c r="AC19" s="432" t="str">
        <f>'1-Eng Inputs'!C27&amp;" ft."</f>
        <v>20 ft.</v>
      </c>
      <c r="AD19" s="642">
        <f>IF('1-Eng Inputs'!C27&lt;61,1,AA40)</f>
        <v>1</v>
      </c>
    </row>
    <row r="20" spans="1:30" ht="13.5" thickBot="1">
      <c r="A20" s="1074" t="s">
        <v>197</v>
      </c>
      <c r="B20" s="86">
        <f ca="1">'Area Reduction'!$C$32*C20</f>
        <v>0.50725927072534693</v>
      </c>
      <c r="C20" s="86">
        <f>IF('1-Eng Inputs'!$C$13="YES",IF('1-Eng Inputs'!$C$44&lt;5.5,C47,IF('1-Eng Inputs'!$C$44&gt;=11,C74,C99))*$AA$13*$AE$10,IF('1-Eng Inputs'!$C$44&lt;5.5,C47,IF('1-Eng Inputs'!$C$44&gt;=11,C74,C99))*$AA$13)</f>
        <v>1.48</v>
      </c>
      <c r="D20" s="1134"/>
      <c r="E20" s="1132"/>
      <c r="F20" s="1132"/>
      <c r="G20" s="1132"/>
      <c r="H20" s="1132"/>
      <c r="I20" s="1132"/>
      <c r="J20" s="1132"/>
      <c r="K20" s="1132"/>
      <c r="L20" s="1132"/>
      <c r="O20" s="788"/>
      <c r="S20" s="788"/>
      <c r="T20" s="788"/>
      <c r="U20" s="788"/>
      <c r="V20" s="1057"/>
      <c r="W20" s="1057"/>
      <c r="X20" s="788"/>
      <c r="Z20" s="433">
        <v>0</v>
      </c>
      <c r="AA20" s="434">
        <v>1</v>
      </c>
      <c r="AC20" s="228" t="s">
        <v>20225</v>
      </c>
      <c r="AD20" s="229"/>
    </row>
    <row r="21" spans="1:30" ht="13.5" thickBot="1">
      <c r="A21" s="1075" t="s">
        <v>198</v>
      </c>
      <c r="B21" s="87">
        <f ca="1">'Area Reduction'!$C$32*C21</f>
        <v>0.37016217052930722</v>
      </c>
      <c r="C21" s="87">
        <f>IF('1-Eng Inputs'!$C$13="YES",IF('1-Eng Inputs'!$C$44&lt;5.5,C48,IF('1-Eng Inputs'!$C$44&gt;=11,C75,C100))*$AA$13*$AE$11,IF('1-Eng Inputs'!$C$44&lt;5.5,C48,IF('1-Eng Inputs'!$C$44&gt;=11,C75,C100))*$AA$13)</f>
        <v>1.08</v>
      </c>
      <c r="D21" s="1134"/>
      <c r="E21" s="1132"/>
      <c r="F21" s="1132"/>
      <c r="G21" s="1132"/>
      <c r="H21" s="1132"/>
      <c r="I21" s="1132"/>
      <c r="J21" s="1132"/>
      <c r="K21" s="1132"/>
      <c r="L21" s="1132"/>
      <c r="O21" s="788"/>
      <c r="S21" s="788"/>
      <c r="T21" s="788"/>
      <c r="U21" s="788"/>
      <c r="V21" s="1057"/>
      <c r="W21" s="1057"/>
      <c r="X21" s="788"/>
      <c r="Z21" s="433">
        <v>10</v>
      </c>
      <c r="AA21" s="434">
        <v>1</v>
      </c>
      <c r="AC21" s="432" t="str">
        <f>Z67&amp;" Modules"</f>
        <v>8 Modules</v>
      </c>
      <c r="AD21" s="642">
        <f>AA67</f>
        <v>1.5333333333333332</v>
      </c>
    </row>
    <row r="22" spans="1:30">
      <c r="A22" s="1076" t="s">
        <v>199</v>
      </c>
      <c r="B22" s="88">
        <f ca="1">'Area Reduction'!$C$32*C22</f>
        <v>0.33588789548029729</v>
      </c>
      <c r="C22" s="88">
        <f>IF('1-Eng Inputs'!$C$13="YES",IF('1-Eng Inputs'!$C$44&lt;5.5,C49,IF('1-Eng Inputs'!$C$44&gt;=11,C76,C101))*$AA$13*$AE$12,IF('1-Eng Inputs'!$C$44&lt;5.5,C49,IF('1-Eng Inputs'!$C$44&gt;=11,C76,C101))*$AA$13)</f>
        <v>0.98</v>
      </c>
      <c r="D22" s="1134"/>
      <c r="E22" s="1132"/>
      <c r="F22" s="1132"/>
      <c r="G22" s="1132"/>
      <c r="H22" s="1132"/>
      <c r="I22" s="1132"/>
      <c r="J22" s="1132"/>
      <c r="K22" s="1132"/>
      <c r="L22" s="1132"/>
      <c r="O22" s="788"/>
      <c r="S22" s="788"/>
      <c r="T22" s="788"/>
      <c r="U22" s="788"/>
      <c r="V22" s="1057"/>
      <c r="W22" s="1057"/>
      <c r="X22" s="788"/>
      <c r="Z22" s="433">
        <v>20</v>
      </c>
      <c r="AA22" s="434">
        <v>1</v>
      </c>
    </row>
    <row r="23" spans="1:30">
      <c r="A23" s="1077" t="s">
        <v>200</v>
      </c>
      <c r="B23" s="89">
        <f ca="1">'Area Reduction'!$C$32*C23</f>
        <v>0.37016217052930722</v>
      </c>
      <c r="C23" s="89">
        <f>IF('1-Eng Inputs'!$C$13="YES",IF('1-Eng Inputs'!$C$44&lt;5.5,C50,IF('1-Eng Inputs'!$C$44&gt;=11,C77,C102))*$AA$13*$AE$13,IF('1-Eng Inputs'!$C$44&lt;5.5,C50,IF('1-Eng Inputs'!$C$44&gt;=11,C77,C102))*$AA$13)</f>
        <v>1.08</v>
      </c>
      <c r="D23" s="1134"/>
      <c r="E23" s="1132"/>
      <c r="F23" s="1132"/>
      <c r="G23" s="1132"/>
      <c r="H23" s="1132"/>
      <c r="I23" s="1132"/>
      <c r="J23" s="1132"/>
      <c r="K23" s="1132"/>
      <c r="L23" s="1132"/>
      <c r="O23" s="788"/>
      <c r="S23" s="788"/>
      <c r="T23" s="788"/>
      <c r="U23" s="788"/>
      <c r="V23" s="1057"/>
      <c r="W23" s="1057"/>
      <c r="X23" s="788"/>
      <c r="Z23" s="433">
        <v>30</v>
      </c>
      <c r="AA23" s="641">
        <v>1</v>
      </c>
    </row>
    <row r="24" spans="1:30">
      <c r="A24" s="1078" t="s">
        <v>201</v>
      </c>
      <c r="B24" s="123">
        <f ca="1">'Area Reduction'!$C$32*C24</f>
        <v>0.33588789548029729</v>
      </c>
      <c r="C24" s="123">
        <f>IF('1-Eng Inputs'!$C$13="YES",IF('1-Eng Inputs'!$C$44&lt;5.5,C51,IF('1-Eng Inputs'!$C$44&gt;=11,C78,C103))*$AA$13*$AE$14,IF('1-Eng Inputs'!$C$44&lt;5.5,C51,IF('1-Eng Inputs'!$C$44&gt;=11,C78,C103))*$AA$13)</f>
        <v>0.98</v>
      </c>
      <c r="D24" s="1134"/>
      <c r="E24" s="1132"/>
      <c r="F24" s="1132"/>
      <c r="G24" s="1132"/>
      <c r="H24" s="1132"/>
      <c r="I24" s="1132"/>
      <c r="J24" s="1132"/>
      <c r="K24" s="1132"/>
      <c r="L24" s="1132"/>
      <c r="O24" s="788"/>
      <c r="S24" s="788"/>
      <c r="T24" s="788"/>
      <c r="U24" s="788"/>
      <c r="V24" s="1057"/>
      <c r="W24" s="1057"/>
      <c r="X24" s="788"/>
      <c r="Z24" s="433">
        <v>40</v>
      </c>
      <c r="AA24" s="641">
        <v>1.1200000000000001</v>
      </c>
    </row>
    <row r="25" spans="1:30">
      <c r="A25" s="1070" t="s">
        <v>19932</v>
      </c>
      <c r="C25" s="1173">
        <f>MAX(C19:C24)</f>
        <v>1.52</v>
      </c>
      <c r="D25" s="1133"/>
      <c r="Z25" s="433">
        <v>50</v>
      </c>
      <c r="AA25" s="641">
        <v>1.2</v>
      </c>
    </row>
    <row r="26" spans="1:30">
      <c r="Z26" s="433">
        <v>60</v>
      </c>
      <c r="AA26" s="434">
        <v>1.3</v>
      </c>
    </row>
    <row r="27" spans="1:30">
      <c r="A27" s="1069" t="s">
        <v>19902</v>
      </c>
      <c r="B27" s="1059"/>
      <c r="C27" s="1059"/>
      <c r="D27" s="1059"/>
      <c r="E27" s="1059"/>
      <c r="F27" s="1059"/>
      <c r="G27" s="1059"/>
      <c r="H27" s="1059"/>
      <c r="I27" s="1059"/>
      <c r="J27" s="1059"/>
      <c r="K27" s="1059"/>
      <c r="L27" s="1059"/>
      <c r="O27" s="1059"/>
      <c r="P27" s="1059"/>
      <c r="Q27" s="1059"/>
      <c r="R27" s="1059"/>
      <c r="S27" s="1059"/>
      <c r="T27" s="1059"/>
      <c r="U27" s="1059"/>
      <c r="V27" s="1059"/>
      <c r="W27" s="1059"/>
      <c r="X27" s="1059"/>
      <c r="Z27" s="433">
        <v>70</v>
      </c>
      <c r="AA27" s="434">
        <v>1.37</v>
      </c>
    </row>
    <row r="28" spans="1:30">
      <c r="A28" s="1069" t="s">
        <v>19904</v>
      </c>
      <c r="B28" s="1059"/>
      <c r="C28" s="1059"/>
      <c r="D28" s="1059"/>
      <c r="E28" s="1059"/>
      <c r="F28" s="1059"/>
      <c r="G28" s="1059"/>
      <c r="H28" s="1059"/>
      <c r="I28" s="1059"/>
      <c r="J28" s="1059"/>
      <c r="K28" s="1059"/>
      <c r="L28" s="1059"/>
      <c r="O28" s="1059"/>
      <c r="P28" s="1059"/>
      <c r="Q28" s="1059"/>
      <c r="R28" s="1059"/>
      <c r="S28" s="1059"/>
      <c r="T28" s="1059"/>
      <c r="U28" s="1059"/>
      <c r="V28" s="1059"/>
      <c r="W28" s="1059"/>
      <c r="X28" s="1059"/>
      <c r="Z28" s="433">
        <v>80</v>
      </c>
      <c r="AA28" s="434">
        <v>1.43</v>
      </c>
    </row>
    <row r="29" spans="1:30" ht="14.25">
      <c r="A29" s="1069" t="s">
        <v>368</v>
      </c>
      <c r="B29" s="1059"/>
      <c r="C29" s="1059"/>
      <c r="D29" s="1059"/>
      <c r="E29" s="1059"/>
      <c r="F29" s="1059"/>
      <c r="G29" s="1059"/>
      <c r="H29" s="1059"/>
      <c r="I29" s="1059"/>
      <c r="J29" s="1059"/>
      <c r="K29" s="1059"/>
      <c r="L29" s="1059"/>
      <c r="O29" s="1059"/>
      <c r="P29" s="1059"/>
      <c r="Q29" s="1059"/>
      <c r="R29" s="1059"/>
      <c r="S29" s="1059"/>
      <c r="T29" s="1059"/>
      <c r="U29" s="1059"/>
      <c r="V29" s="1059"/>
      <c r="W29" s="1059"/>
      <c r="X29" s="1059"/>
      <c r="Z29" s="433">
        <v>90</v>
      </c>
      <c r="AA29" s="434">
        <v>1.48</v>
      </c>
    </row>
    <row r="30" spans="1:30">
      <c r="Z30" s="433">
        <v>100</v>
      </c>
      <c r="AA30" s="434">
        <v>1.53</v>
      </c>
    </row>
    <row r="31" spans="1:30" ht="18.75" thickBot="1">
      <c r="A31" s="1071" t="s">
        <v>191</v>
      </c>
      <c r="B31" s="124" t="s">
        <v>235</v>
      </c>
      <c r="C31" s="112"/>
      <c r="D31" s="109"/>
      <c r="E31" s="109"/>
      <c r="F31" s="109"/>
      <c r="G31" s="109"/>
      <c r="H31" s="109"/>
      <c r="I31" s="109"/>
      <c r="J31" s="109"/>
      <c r="K31" s="109"/>
      <c r="L31" s="109"/>
      <c r="O31" s="109"/>
      <c r="P31" s="109"/>
      <c r="Q31" s="109"/>
      <c r="R31" s="109"/>
      <c r="S31" s="109"/>
      <c r="T31" s="109"/>
      <c r="U31" s="109"/>
      <c r="V31" s="109"/>
      <c r="W31" s="109"/>
      <c r="X31" s="109"/>
      <c r="Z31" s="433">
        <v>110</v>
      </c>
      <c r="AA31" s="434">
        <v>1.57</v>
      </c>
    </row>
    <row r="32" spans="1:30" ht="23.25" thickBot="1">
      <c r="A32" s="1123"/>
      <c r="B32" s="1122" t="s">
        <v>192</v>
      </c>
      <c r="C32" s="2171" t="s">
        <v>192</v>
      </c>
      <c r="D32" s="2172"/>
      <c r="E32" s="2172"/>
      <c r="F32" s="2172"/>
      <c r="G32" s="2172"/>
      <c r="H32" s="2172"/>
      <c r="I32" s="2172"/>
      <c r="J32" s="2172"/>
      <c r="K32" s="2172"/>
      <c r="L32" s="2172"/>
      <c r="M32" s="2172"/>
      <c r="N32" s="2172"/>
      <c r="O32" s="2172"/>
      <c r="P32" s="2172"/>
      <c r="Q32" s="2172"/>
      <c r="R32" s="2172"/>
      <c r="S32" s="2172"/>
      <c r="T32" s="2172"/>
      <c r="U32" s="2172"/>
      <c r="V32" s="2172"/>
      <c r="W32" s="2173"/>
      <c r="X32" s="1093" t="s">
        <v>193</v>
      </c>
      <c r="Z32" s="433">
        <v>120</v>
      </c>
      <c r="AA32" s="434">
        <v>1.6</v>
      </c>
    </row>
    <row r="33" spans="1:27" ht="23.25" thickBot="1">
      <c r="A33" s="1124"/>
      <c r="B33" s="1122" t="s">
        <v>239</v>
      </c>
      <c r="C33" s="1094" t="s">
        <v>194</v>
      </c>
      <c r="D33" s="1095" t="s">
        <v>20083</v>
      </c>
      <c r="E33" s="1095" t="s">
        <v>20084</v>
      </c>
      <c r="F33" s="1095" t="s">
        <v>20085</v>
      </c>
      <c r="G33" s="1095" t="s">
        <v>20086</v>
      </c>
      <c r="H33" s="1095" t="s">
        <v>20087</v>
      </c>
      <c r="I33" s="1095" t="s">
        <v>20088</v>
      </c>
      <c r="J33" s="1095" t="s">
        <v>20089</v>
      </c>
      <c r="K33" s="1095" t="s">
        <v>20090</v>
      </c>
      <c r="L33" s="1095" t="s">
        <v>20091</v>
      </c>
      <c r="M33" s="1095" t="s">
        <v>20092</v>
      </c>
      <c r="N33" s="1095" t="s">
        <v>20093</v>
      </c>
      <c r="O33" s="1095" t="s">
        <v>20094</v>
      </c>
      <c r="P33" s="1095" t="s">
        <v>20095</v>
      </c>
      <c r="Q33" s="1095" t="s">
        <v>20096</v>
      </c>
      <c r="R33" s="1095" t="s">
        <v>20097</v>
      </c>
      <c r="S33" s="1095" t="s">
        <v>203</v>
      </c>
      <c r="T33" s="1095" t="s">
        <v>20098</v>
      </c>
      <c r="U33" s="1095" t="s">
        <v>20099</v>
      </c>
      <c r="V33" s="1095" t="s">
        <v>20100</v>
      </c>
      <c r="W33" s="1141" t="s">
        <v>20101</v>
      </c>
      <c r="X33" s="1096" t="s">
        <v>194</v>
      </c>
      <c r="Z33" s="433">
        <v>130</v>
      </c>
      <c r="AA33" s="434">
        <v>1.64</v>
      </c>
    </row>
    <row r="34" spans="1:27" s="1057" customFormat="1" ht="13.5" thickBot="1">
      <c r="A34" s="1124"/>
      <c r="B34" s="1114" t="s">
        <v>20106</v>
      </c>
      <c r="C34" s="1094">
        <v>1</v>
      </c>
      <c r="D34" s="1095">
        <v>1</v>
      </c>
      <c r="E34" s="1095">
        <v>1</v>
      </c>
      <c r="F34" s="1095">
        <v>1</v>
      </c>
      <c r="G34" s="1095">
        <v>1</v>
      </c>
      <c r="H34" s="1095">
        <v>2</v>
      </c>
      <c r="I34" s="1095">
        <v>2</v>
      </c>
      <c r="J34" s="1095">
        <v>2</v>
      </c>
      <c r="K34" s="1095">
        <v>2</v>
      </c>
      <c r="L34" s="1095">
        <v>2</v>
      </c>
      <c r="M34" s="1095">
        <v>3</v>
      </c>
      <c r="N34" s="1095">
        <v>3</v>
      </c>
      <c r="O34" s="1095">
        <v>3</v>
      </c>
      <c r="P34" s="1095">
        <v>3</v>
      </c>
      <c r="Q34" s="1095">
        <v>3</v>
      </c>
      <c r="R34" s="1095">
        <v>4</v>
      </c>
      <c r="S34" s="1095">
        <v>4</v>
      </c>
      <c r="T34" s="1095">
        <v>4</v>
      </c>
      <c r="U34" s="1095">
        <v>5</v>
      </c>
      <c r="V34" s="1095">
        <v>5</v>
      </c>
      <c r="W34" s="1095">
        <v>6</v>
      </c>
      <c r="X34" s="1141"/>
      <c r="Z34" s="433"/>
      <c r="AA34" s="434"/>
    </row>
    <row r="35" spans="1:27" ht="17.25" thickBot="1">
      <c r="A35" s="1125" t="s">
        <v>195</v>
      </c>
      <c r="B35" s="1121" t="s">
        <v>20107</v>
      </c>
      <c r="C35" s="1094">
        <v>1</v>
      </c>
      <c r="D35" s="1095">
        <v>2</v>
      </c>
      <c r="E35" s="1095">
        <v>3</v>
      </c>
      <c r="F35" s="1095">
        <v>4</v>
      </c>
      <c r="G35" s="1095">
        <v>5</v>
      </c>
      <c r="H35" s="1095">
        <v>1</v>
      </c>
      <c r="I35" s="1095">
        <v>2</v>
      </c>
      <c r="J35" s="1095">
        <v>3</v>
      </c>
      <c r="K35" s="1095">
        <v>4</v>
      </c>
      <c r="L35" s="1095">
        <v>5</v>
      </c>
      <c r="M35" s="1095">
        <v>1</v>
      </c>
      <c r="N35" s="1095">
        <v>2</v>
      </c>
      <c r="O35" s="1095">
        <v>3</v>
      </c>
      <c r="P35" s="1095">
        <v>4</v>
      </c>
      <c r="Q35" s="1095">
        <v>5</v>
      </c>
      <c r="R35" s="1095">
        <v>1</v>
      </c>
      <c r="S35" s="1095">
        <v>4</v>
      </c>
      <c r="T35" s="1095">
        <v>5</v>
      </c>
      <c r="U35" s="1095">
        <v>1</v>
      </c>
      <c r="V35" s="1095">
        <v>5</v>
      </c>
      <c r="W35" s="1095">
        <v>6</v>
      </c>
      <c r="X35" s="1141"/>
      <c r="Z35" s="433">
        <v>140</v>
      </c>
      <c r="AA35" s="434">
        <v>1.67</v>
      </c>
    </row>
    <row r="36" spans="1:27">
      <c r="A36" s="1126" t="s">
        <v>196</v>
      </c>
      <c r="B36" s="1115">
        <f ca="1">'Area Reduction'!$C$32*'Land Coeffs 5deg'!C36</f>
        <v>-0.19193594027445562</v>
      </c>
      <c r="C36" s="1079">
        <v>-0.56000000000000005</v>
      </c>
      <c r="D36" s="1080">
        <v>-0.38</v>
      </c>
      <c r="E36" s="1080">
        <v>-0.34</v>
      </c>
      <c r="F36" s="1080">
        <v>-0.3</v>
      </c>
      <c r="G36" s="1080">
        <v>-0.28000000000000003</v>
      </c>
      <c r="H36" s="1080">
        <v>-0.44</v>
      </c>
      <c r="I36" s="1080">
        <v>-0.32</v>
      </c>
      <c r="J36" s="1080">
        <v>-0.26</v>
      </c>
      <c r="K36" s="1080">
        <v>-0.24</v>
      </c>
      <c r="L36" s="1080">
        <v>-0.22</v>
      </c>
      <c r="M36" s="1080">
        <v>-0.34</v>
      </c>
      <c r="N36" s="1080">
        <v>-0.28000000000000003</v>
      </c>
      <c r="O36" s="1080">
        <v>-0.24</v>
      </c>
      <c r="P36" s="1080">
        <v>-0.22</v>
      </c>
      <c r="Q36" s="1080">
        <v>-0.2</v>
      </c>
      <c r="R36" s="1080">
        <v>-0.28000000000000003</v>
      </c>
      <c r="S36" s="1080">
        <v>-0.2</v>
      </c>
      <c r="T36" s="1080">
        <v>-0.18</v>
      </c>
      <c r="U36" s="1080">
        <v>-0.24</v>
      </c>
      <c r="V36" s="1080">
        <v>-0.16</v>
      </c>
      <c r="W36" s="1080">
        <v>-0.14000000000000001</v>
      </c>
      <c r="X36" s="1081">
        <v>0.5</v>
      </c>
      <c r="Z36" s="433">
        <v>150</v>
      </c>
      <c r="AA36" s="434">
        <v>1.7</v>
      </c>
    </row>
    <row r="37" spans="1:27">
      <c r="A37" s="1127" t="s">
        <v>197</v>
      </c>
      <c r="B37" s="1116">
        <f ca="1">'Area Reduction'!$C$32*'Land Coeffs 5deg'!C37</f>
        <v>-0.1439519552058417</v>
      </c>
      <c r="C37" s="1082">
        <v>-0.42</v>
      </c>
      <c r="D37" s="77">
        <v>-0.36</v>
      </c>
      <c r="E37" s="77">
        <v>-0.32</v>
      </c>
      <c r="F37" s="77">
        <v>-0.28000000000000003</v>
      </c>
      <c r="G37" s="77">
        <v>-0.26</v>
      </c>
      <c r="H37" s="77">
        <v>-0.3</v>
      </c>
      <c r="I37" s="77">
        <v>-0.28000000000000003</v>
      </c>
      <c r="J37" s="77">
        <v>-0.26</v>
      </c>
      <c r="K37" s="77">
        <v>-0.22</v>
      </c>
      <c r="L37" s="77">
        <v>-0.2</v>
      </c>
      <c r="M37" s="77">
        <v>-0.28000000000000003</v>
      </c>
      <c r="N37" s="77">
        <v>-0.26</v>
      </c>
      <c r="O37" s="77">
        <v>-0.22</v>
      </c>
      <c r="P37" s="77">
        <v>-0.2</v>
      </c>
      <c r="Q37" s="77">
        <v>-0.2</v>
      </c>
      <c r="R37" s="77">
        <v>-0.26</v>
      </c>
      <c r="S37" s="77">
        <v>-0.2</v>
      </c>
      <c r="T37" s="77">
        <v>-0.18</v>
      </c>
      <c r="U37" s="77">
        <v>-0.24</v>
      </c>
      <c r="V37" s="77">
        <v>-0.16</v>
      </c>
      <c r="W37" s="77">
        <v>-0.14000000000000001</v>
      </c>
      <c r="X37" s="1083">
        <v>0.42</v>
      </c>
      <c r="Z37" s="433">
        <v>160</v>
      </c>
      <c r="AA37" s="434">
        <v>1.73</v>
      </c>
    </row>
    <row r="38" spans="1:27" ht="13.5" thickBot="1">
      <c r="A38" s="1128" t="s">
        <v>198</v>
      </c>
      <c r="B38" s="1117">
        <f ca="1">'Area Reduction'!$C$32*'Land Coeffs 5deg'!C38</f>
        <v>-0.17822623025485163</v>
      </c>
      <c r="C38" s="1084">
        <v>-0.52</v>
      </c>
      <c r="D38" s="79">
        <v>-0.34</v>
      </c>
      <c r="E38" s="79">
        <v>-0.3</v>
      </c>
      <c r="F38" s="79">
        <v>-0.26</v>
      </c>
      <c r="G38" s="79">
        <v>-0.24</v>
      </c>
      <c r="H38" s="79">
        <v>-0.42</v>
      </c>
      <c r="I38" s="79">
        <v>-0.32</v>
      </c>
      <c r="J38" s="79">
        <v>-0.26</v>
      </c>
      <c r="K38" s="79">
        <v>-0.24</v>
      </c>
      <c r="L38" s="79">
        <v>-0.22</v>
      </c>
      <c r="M38" s="79">
        <v>-0.34</v>
      </c>
      <c r="N38" s="79">
        <v>-0.28000000000000003</v>
      </c>
      <c r="O38" s="79">
        <v>-0.24</v>
      </c>
      <c r="P38" s="79">
        <v>-0.22</v>
      </c>
      <c r="Q38" s="79">
        <v>-0.2</v>
      </c>
      <c r="R38" s="79">
        <v>-0.28000000000000003</v>
      </c>
      <c r="S38" s="79">
        <v>-0.2</v>
      </c>
      <c r="T38" s="79">
        <v>-0.18</v>
      </c>
      <c r="U38" s="79">
        <v>-0.24</v>
      </c>
      <c r="V38" s="79">
        <v>-0.16</v>
      </c>
      <c r="W38" s="79">
        <v>-0.14000000000000001</v>
      </c>
      <c r="X38" s="1085">
        <v>0.5</v>
      </c>
      <c r="Z38" s="433">
        <v>200</v>
      </c>
      <c r="AA38" s="434">
        <v>1.83</v>
      </c>
    </row>
    <row r="39" spans="1:27">
      <c r="A39" s="1129" t="s">
        <v>199</v>
      </c>
      <c r="B39" s="1118">
        <f ca="1">'Area Reduction'!$C$32*'Land Coeffs 5deg'!C39</f>
        <v>-0.13024224518623773</v>
      </c>
      <c r="C39" s="1086">
        <v>-0.38</v>
      </c>
      <c r="D39" s="81">
        <v>-0.32</v>
      </c>
      <c r="E39" s="81">
        <v>-0.28000000000000003</v>
      </c>
      <c r="F39" s="81">
        <v>-0.24</v>
      </c>
      <c r="G39" s="81">
        <v>-0.22</v>
      </c>
      <c r="H39" s="81">
        <v>-0.3</v>
      </c>
      <c r="I39" s="81">
        <v>-0.28000000000000003</v>
      </c>
      <c r="J39" s="81">
        <v>-0.26</v>
      </c>
      <c r="K39" s="81">
        <v>-0.22</v>
      </c>
      <c r="L39" s="81">
        <v>-0.2</v>
      </c>
      <c r="M39" s="81">
        <v>-0.28000000000000003</v>
      </c>
      <c r="N39" s="81">
        <v>-0.26</v>
      </c>
      <c r="O39" s="81">
        <v>-0.22</v>
      </c>
      <c r="P39" s="81">
        <v>-0.2</v>
      </c>
      <c r="Q39" s="81">
        <v>-0.2</v>
      </c>
      <c r="R39" s="81">
        <v>-0.26</v>
      </c>
      <c r="S39" s="81">
        <v>-0.2</v>
      </c>
      <c r="T39" s="81">
        <v>-0.18</v>
      </c>
      <c r="U39" s="81">
        <v>-0.24</v>
      </c>
      <c r="V39" s="81">
        <v>-0.16</v>
      </c>
      <c r="W39" s="81">
        <v>-0.14000000000000001</v>
      </c>
      <c r="X39" s="1087">
        <v>0.42</v>
      </c>
      <c r="Z39" s="437">
        <f>ROUNDDOWN(Z40,-1)</f>
        <v>20</v>
      </c>
      <c r="AA39" s="438">
        <f>VLOOKUP(Z39,Z20:AA38,2,TRUE)</f>
        <v>1</v>
      </c>
    </row>
    <row r="40" spans="1:27">
      <c r="A40" s="1130" t="s">
        <v>200</v>
      </c>
      <c r="B40" s="1119">
        <f ca="1">'Area Reduction'!$C$32*'Land Coeffs 5deg'!C40</f>
        <v>-0.17822623025485163</v>
      </c>
      <c r="C40" s="1088">
        <v>-0.52</v>
      </c>
      <c r="D40" s="83">
        <v>-0.38</v>
      </c>
      <c r="E40" s="83">
        <v>-0.34</v>
      </c>
      <c r="F40" s="83">
        <v>-0.3</v>
      </c>
      <c r="G40" s="83">
        <v>-0.28000000000000003</v>
      </c>
      <c r="H40" s="83">
        <v>-0.42</v>
      </c>
      <c r="I40" s="83">
        <v>-0.32</v>
      </c>
      <c r="J40" s="83">
        <v>-0.26</v>
      </c>
      <c r="K40" s="83">
        <v>-0.24</v>
      </c>
      <c r="L40" s="83">
        <v>-0.22</v>
      </c>
      <c r="M40" s="83">
        <v>-0.34</v>
      </c>
      <c r="N40" s="83">
        <v>-0.28000000000000003</v>
      </c>
      <c r="O40" s="83">
        <v>-0.24</v>
      </c>
      <c r="P40" s="83">
        <v>-0.22</v>
      </c>
      <c r="Q40" s="83">
        <v>-0.2</v>
      </c>
      <c r="R40" s="83">
        <v>-0.28000000000000003</v>
      </c>
      <c r="S40" s="83">
        <v>-0.2</v>
      </c>
      <c r="T40" s="83">
        <v>-0.18</v>
      </c>
      <c r="U40" s="83">
        <v>-0.24</v>
      </c>
      <c r="V40" s="83">
        <v>-0.16</v>
      </c>
      <c r="W40" s="83">
        <v>-0.14000000000000001</v>
      </c>
      <c r="X40" s="1089">
        <v>0.70000000000000007</v>
      </c>
      <c r="Z40" s="643">
        <f>IF('1-Eng Inputs'!$C$27&lt;61,'1-Eng Inputs'!$C$27,IF(OR('1-Eng Inputs'!$C$26="",T('1-Eng Inputs'!$C$26)&lt;&gt;""),'1-Eng Inputs'!$C$27,MIN('1-Eng Inputs'!$C$27,(0.5*('1-Eng Inputs'!$C$27*'1-Eng Inputs'!$C$26)^0.5))))</f>
        <v>20</v>
      </c>
      <c r="AA40" s="441">
        <f>(IF('1-Eng Inputs'!$C$27&lt;61,1,(AA41-AA39)*(RIGHT(Z40,1)/10)+AA39))</f>
        <v>1</v>
      </c>
    </row>
    <row r="41" spans="1:27" ht="13.5" thickBot="1">
      <c r="A41" s="1131" t="s">
        <v>201</v>
      </c>
      <c r="B41" s="1120">
        <f ca="1">'Area Reduction'!$C$32*'Land Coeffs 5deg'!C41</f>
        <v>-0.15766166522544567</v>
      </c>
      <c r="C41" s="1090">
        <v>-0.46</v>
      </c>
      <c r="D41" s="1091">
        <v>-0.38</v>
      </c>
      <c r="E41" s="1091">
        <v>-0.32</v>
      </c>
      <c r="F41" s="1091">
        <v>-0.28000000000000003</v>
      </c>
      <c r="G41" s="1091">
        <v>-0.26</v>
      </c>
      <c r="H41" s="1091">
        <v>-0.3</v>
      </c>
      <c r="I41" s="1091">
        <v>-0.28000000000000003</v>
      </c>
      <c r="J41" s="1091">
        <v>-0.26</v>
      </c>
      <c r="K41" s="1091">
        <v>-0.22</v>
      </c>
      <c r="L41" s="1091">
        <v>-0.2</v>
      </c>
      <c r="M41" s="1091">
        <v>-0.28000000000000003</v>
      </c>
      <c r="N41" s="1091">
        <v>-0.26</v>
      </c>
      <c r="O41" s="1091">
        <v>-0.22</v>
      </c>
      <c r="P41" s="1091">
        <v>-0.2</v>
      </c>
      <c r="Q41" s="1091">
        <v>-0.2</v>
      </c>
      <c r="R41" s="1091">
        <v>-0.26</v>
      </c>
      <c r="S41" s="1091">
        <v>-0.2</v>
      </c>
      <c r="T41" s="1091">
        <v>-0.18</v>
      </c>
      <c r="U41" s="1091">
        <v>-0.24</v>
      </c>
      <c r="V41" s="1091">
        <v>-0.16</v>
      </c>
      <c r="W41" s="1091">
        <v>-0.14000000000000001</v>
      </c>
      <c r="X41" s="1092">
        <v>0.62</v>
      </c>
      <c r="Z41" s="439">
        <f>ROUNDUP(Z40,-1)</f>
        <v>20</v>
      </c>
      <c r="AA41" s="440">
        <f>VLOOKUP(Z41,Z20:AA38,2,TRUE)</f>
        <v>1</v>
      </c>
    </row>
    <row r="42" spans="1:27" ht="13.5" thickBot="1">
      <c r="A42" s="1072"/>
      <c r="B42" s="122"/>
      <c r="C42" s="122"/>
      <c r="D42" s="111"/>
      <c r="E42" s="111"/>
      <c r="F42" s="111"/>
      <c r="G42" s="111"/>
      <c r="H42" s="111"/>
      <c r="I42" s="111"/>
      <c r="J42" s="111"/>
      <c r="K42" s="111"/>
      <c r="L42" s="111"/>
      <c r="O42" s="122"/>
      <c r="P42" s="122"/>
      <c r="Q42" s="122"/>
      <c r="R42" s="122"/>
      <c r="S42" s="122"/>
      <c r="T42" s="122"/>
      <c r="U42" s="122"/>
      <c r="V42" s="122"/>
      <c r="W42" s="122"/>
      <c r="X42" s="122"/>
    </row>
    <row r="43" spans="1:27">
      <c r="A43" s="124" t="s">
        <v>235</v>
      </c>
      <c r="B43" s="122"/>
      <c r="C43" s="122"/>
      <c r="D43" s="124"/>
      <c r="E43" s="124"/>
      <c r="F43" s="124"/>
      <c r="G43" s="124"/>
      <c r="H43" s="124"/>
      <c r="I43" s="124"/>
      <c r="J43" s="124"/>
      <c r="K43" s="124"/>
      <c r="L43" s="124"/>
      <c r="O43" s="122"/>
      <c r="P43" s="122"/>
      <c r="Q43" s="122"/>
      <c r="R43" s="122"/>
      <c r="S43" s="122"/>
      <c r="T43" s="122"/>
      <c r="U43" s="122"/>
      <c r="V43" s="122"/>
      <c r="W43" s="122"/>
      <c r="X43" s="122"/>
      <c r="Z43" s="2164" t="s">
        <v>20222</v>
      </c>
      <c r="AA43" s="2165"/>
    </row>
    <row r="44" spans="1:27" ht="16.5">
      <c r="A44" s="1072"/>
      <c r="B44" s="122" t="s">
        <v>202</v>
      </c>
      <c r="C44" s="122" t="s">
        <v>202</v>
      </c>
      <c r="D44" s="111"/>
      <c r="E44" s="111"/>
      <c r="F44" s="111"/>
      <c r="G44" s="111"/>
      <c r="H44" s="111"/>
      <c r="I44" s="111"/>
      <c r="J44" s="111"/>
      <c r="K44" s="111"/>
      <c r="L44" s="111"/>
      <c r="O44" s="122"/>
      <c r="S44" s="788"/>
      <c r="T44" s="788"/>
      <c r="U44" s="788"/>
      <c r="V44" s="1057"/>
      <c r="W44" s="1057"/>
      <c r="X44" s="788"/>
      <c r="Z44" s="2166"/>
      <c r="AA44" s="2167"/>
    </row>
    <row r="45" spans="1:27" ht="16.5">
      <c r="A45" s="919"/>
      <c r="B45" s="122" t="s">
        <v>240</v>
      </c>
      <c r="C45" s="122" t="s">
        <v>194</v>
      </c>
      <c r="D45" s="1057"/>
      <c r="E45" s="1057"/>
      <c r="F45" s="1057"/>
      <c r="G45" s="1057"/>
      <c r="H45" s="1057"/>
      <c r="I45" s="1057"/>
      <c r="J45" s="1057"/>
      <c r="K45" s="1057"/>
      <c r="L45" s="1057"/>
      <c r="O45" s="122"/>
      <c r="S45" s="788"/>
      <c r="T45" s="788"/>
      <c r="U45" s="788"/>
      <c r="V45" s="1057"/>
      <c r="W45" s="1057"/>
      <c r="X45" s="788"/>
      <c r="Z45" s="2166"/>
      <c r="AA45" s="2167"/>
    </row>
    <row r="46" spans="1:27">
      <c r="A46" s="1073" t="s">
        <v>196</v>
      </c>
      <c r="B46" s="85">
        <f ca="1">'Area Reduction'!$C$32*'Land Coeffs 5deg'!C46</f>
        <v>0.49354956070574296</v>
      </c>
      <c r="C46" s="85">
        <v>1.44</v>
      </c>
      <c r="D46" s="1132"/>
      <c r="E46" s="1132"/>
      <c r="F46" s="1132"/>
      <c r="G46" s="1132"/>
      <c r="H46" s="1132"/>
      <c r="I46" s="1132"/>
      <c r="J46" s="1132"/>
      <c r="K46" s="1132"/>
      <c r="L46" s="1132"/>
      <c r="M46" s="1133"/>
      <c r="N46" s="1133"/>
      <c r="O46" s="1134"/>
      <c r="S46" s="788"/>
      <c r="T46" s="788"/>
      <c r="U46" s="788"/>
      <c r="V46" s="1057"/>
      <c r="W46" s="1057"/>
      <c r="X46" s="788"/>
      <c r="Z46" s="2166"/>
      <c r="AA46" s="2167"/>
    </row>
    <row r="47" spans="1:27" ht="13.5" thickBot="1">
      <c r="A47" s="1074" t="s">
        <v>197</v>
      </c>
      <c r="B47" s="86">
        <f ca="1">'Area Reduction'!$C$32*'Land Coeffs 5deg'!C47</f>
        <v>0.40443644557831715</v>
      </c>
      <c r="C47" s="86">
        <v>1.18</v>
      </c>
      <c r="D47" s="1132"/>
      <c r="E47" s="1132"/>
      <c r="F47" s="1132"/>
      <c r="G47" s="1132"/>
      <c r="H47" s="1132"/>
      <c r="I47" s="1132"/>
      <c r="J47" s="1132"/>
      <c r="K47" s="1132"/>
      <c r="L47" s="1132"/>
      <c r="M47" s="1133"/>
      <c r="N47" s="1133"/>
      <c r="O47" s="1134"/>
      <c r="S47" s="788"/>
      <c r="T47" s="788"/>
      <c r="U47" s="788"/>
      <c r="V47" s="1057"/>
      <c r="W47" s="1057"/>
      <c r="X47" s="788"/>
      <c r="Z47" s="1376" t="s">
        <v>20223</v>
      </c>
      <c r="AA47" s="1377" t="s">
        <v>20224</v>
      </c>
    </row>
    <row r="48" spans="1:27">
      <c r="A48" s="1075" t="s">
        <v>198</v>
      </c>
      <c r="B48" s="87">
        <f ca="1">'Area Reduction'!$C$32*'Land Coeffs 5deg'!C48</f>
        <v>0.37016217052930722</v>
      </c>
      <c r="C48" s="87">
        <v>1.08</v>
      </c>
      <c r="D48" s="1132"/>
      <c r="E48" s="1132"/>
      <c r="F48" s="1132"/>
      <c r="G48" s="1132"/>
      <c r="H48" s="1132"/>
      <c r="I48" s="1132"/>
      <c r="J48" s="1132"/>
      <c r="K48" s="1132"/>
      <c r="L48" s="1132"/>
      <c r="M48" s="1133"/>
      <c r="N48" s="1133"/>
      <c r="O48" s="1134"/>
      <c r="S48" s="788"/>
      <c r="T48" s="788"/>
      <c r="U48" s="788"/>
      <c r="V48" s="1057"/>
      <c r="W48" s="1057"/>
      <c r="X48" s="788"/>
      <c r="Z48" s="433">
        <v>1</v>
      </c>
      <c r="AA48" s="434">
        <v>1.8</v>
      </c>
    </row>
    <row r="49" spans="1:27">
      <c r="A49" s="1076" t="s">
        <v>199</v>
      </c>
      <c r="B49" s="88">
        <f ca="1">'Area Reduction'!$C$32*'Land Coeffs 5deg'!C49</f>
        <v>0.26733934538227744</v>
      </c>
      <c r="C49" s="88">
        <v>0.78</v>
      </c>
      <c r="D49" s="1132"/>
      <c r="E49" s="1132"/>
      <c r="F49" s="1132"/>
      <c r="G49" s="1132"/>
      <c r="H49" s="1132"/>
      <c r="I49" s="1132"/>
      <c r="J49" s="1132"/>
      <c r="K49" s="1132"/>
      <c r="L49" s="1132"/>
      <c r="M49" s="1133"/>
      <c r="N49" s="1133"/>
      <c r="O49" s="1134"/>
      <c r="S49" s="788"/>
      <c r="T49" s="788"/>
      <c r="U49" s="788"/>
      <c r="V49" s="1057"/>
      <c r="W49" s="1057"/>
      <c r="X49" s="788"/>
      <c r="Z49" s="433">
        <v>2</v>
      </c>
      <c r="AA49" s="434">
        <v>1.8</v>
      </c>
    </row>
    <row r="50" spans="1:27">
      <c r="A50" s="1077" t="s">
        <v>200</v>
      </c>
      <c r="B50" s="89">
        <f ca="1">'Area Reduction'!$C$32*'Land Coeffs 5deg'!C50</f>
        <v>0.37016217052930722</v>
      </c>
      <c r="C50" s="89">
        <v>1.08</v>
      </c>
      <c r="D50" s="1132"/>
      <c r="E50" s="1132"/>
      <c r="F50" s="1132"/>
      <c r="G50" s="1132"/>
      <c r="H50" s="1132"/>
      <c r="I50" s="1132"/>
      <c r="J50" s="1132"/>
      <c r="K50" s="1132"/>
      <c r="L50" s="1132"/>
      <c r="M50" s="1133"/>
      <c r="N50" s="1133"/>
      <c r="O50" s="1134"/>
      <c r="S50" s="788"/>
      <c r="T50" s="788"/>
      <c r="U50" s="788"/>
      <c r="V50" s="1057"/>
      <c r="W50" s="1057"/>
      <c r="X50" s="788"/>
      <c r="Z50" s="433">
        <v>3</v>
      </c>
      <c r="AA50" s="434">
        <v>1.8</v>
      </c>
    </row>
    <row r="51" spans="1:27">
      <c r="A51" s="1078" t="s">
        <v>201</v>
      </c>
      <c r="B51" s="123">
        <f ca="1">'Area Reduction'!$C$32*'Land Coeffs 5deg'!C51</f>
        <v>0.26733934538227744</v>
      </c>
      <c r="C51" s="123">
        <v>0.78</v>
      </c>
      <c r="D51" s="1132"/>
      <c r="E51" s="1132"/>
      <c r="F51" s="1132"/>
      <c r="G51" s="1132"/>
      <c r="H51" s="1132"/>
      <c r="I51" s="1132"/>
      <c r="J51" s="1132"/>
      <c r="K51" s="1132"/>
      <c r="L51" s="1132"/>
      <c r="M51" s="1133"/>
      <c r="N51" s="1133"/>
      <c r="O51" s="1134"/>
      <c r="S51" s="788"/>
      <c r="T51" s="788"/>
      <c r="U51" s="788"/>
      <c r="V51" s="1057"/>
      <c r="W51" s="1057"/>
      <c r="X51" s="788"/>
      <c r="Z51" s="433">
        <v>4</v>
      </c>
      <c r="AA51" s="434">
        <f t="shared" ref="AA51:AA61" si="2">1+0.8*((Z51-16)/(4-16))</f>
        <v>1.8</v>
      </c>
    </row>
    <row r="52" spans="1:27">
      <c r="Z52" s="433">
        <v>5</v>
      </c>
      <c r="AA52" s="434">
        <f t="shared" si="2"/>
        <v>1.7333333333333334</v>
      </c>
    </row>
    <row r="53" spans="1:27">
      <c r="Z53" s="433">
        <v>6</v>
      </c>
      <c r="AA53" s="434">
        <f t="shared" si="2"/>
        <v>1.6666666666666667</v>
      </c>
    </row>
    <row r="54" spans="1:27">
      <c r="A54" s="1069" t="s">
        <v>19902</v>
      </c>
      <c r="B54" s="1059"/>
      <c r="C54" s="1059"/>
      <c r="D54" s="1059"/>
      <c r="E54" s="1059"/>
      <c r="F54" s="1059"/>
      <c r="G54" s="1059"/>
      <c r="H54" s="1059"/>
      <c r="I54" s="1059"/>
      <c r="J54" s="1059"/>
      <c r="K54" s="1059"/>
      <c r="L54" s="1059"/>
      <c r="O54" s="1059"/>
      <c r="P54" s="1059"/>
      <c r="Q54" s="1059"/>
      <c r="R54" s="1059"/>
      <c r="S54" s="1059"/>
      <c r="T54" s="1059"/>
      <c r="U54" s="1059"/>
      <c r="V54" s="1059"/>
      <c r="W54" s="1059"/>
      <c r="X54" s="1059"/>
      <c r="Z54" s="433">
        <v>7</v>
      </c>
      <c r="AA54" s="434">
        <f t="shared" si="2"/>
        <v>1.6</v>
      </c>
    </row>
    <row r="55" spans="1:27">
      <c r="A55" s="1069" t="s">
        <v>19903</v>
      </c>
      <c r="B55" s="1059"/>
      <c r="C55" s="1059"/>
      <c r="D55" s="1059"/>
      <c r="E55" s="1059"/>
      <c r="F55" s="1059"/>
      <c r="G55" s="1059"/>
      <c r="H55" s="1059"/>
      <c r="I55" s="1059"/>
      <c r="J55" s="1059"/>
      <c r="K55" s="1059"/>
      <c r="L55" s="1059"/>
      <c r="O55" s="1059"/>
      <c r="P55" s="1059"/>
      <c r="Q55" s="1059"/>
      <c r="R55" s="1059"/>
      <c r="S55" s="1059"/>
      <c r="T55" s="1059"/>
      <c r="U55" s="1059"/>
      <c r="V55" s="1059"/>
      <c r="W55" s="1059"/>
      <c r="X55" s="1059"/>
      <c r="Z55" s="433">
        <v>8</v>
      </c>
      <c r="AA55" s="434">
        <f t="shared" si="2"/>
        <v>1.5333333333333332</v>
      </c>
    </row>
    <row r="56" spans="1:27" ht="14.25">
      <c r="A56" s="1069" t="s">
        <v>369</v>
      </c>
      <c r="B56" s="1059"/>
      <c r="C56" s="1059"/>
      <c r="D56" s="1059"/>
      <c r="E56" s="1059"/>
      <c r="F56" s="1059"/>
      <c r="G56" s="1059"/>
      <c r="H56" s="1059"/>
      <c r="I56" s="1059"/>
      <c r="J56" s="1059"/>
      <c r="K56" s="1059"/>
      <c r="L56" s="1059"/>
      <c r="O56" s="1059"/>
      <c r="P56" s="1059"/>
      <c r="Q56" s="1059"/>
      <c r="R56" s="1059"/>
      <c r="S56" s="1059"/>
      <c r="T56" s="1059"/>
      <c r="U56" s="1059"/>
      <c r="V56" s="1059"/>
      <c r="W56" s="1059"/>
      <c r="X56" s="1059"/>
      <c r="Z56" s="433">
        <v>9</v>
      </c>
      <c r="AA56" s="434">
        <f t="shared" si="2"/>
        <v>1.4666666666666668</v>
      </c>
    </row>
    <row r="57" spans="1:27">
      <c r="Z57" s="433">
        <v>10</v>
      </c>
      <c r="AA57" s="434">
        <f t="shared" si="2"/>
        <v>1.4</v>
      </c>
    </row>
    <row r="58" spans="1:27" ht="18.75" thickBot="1">
      <c r="A58" s="1071" t="s">
        <v>191</v>
      </c>
      <c r="B58" s="124" t="s">
        <v>235</v>
      </c>
      <c r="C58" s="112"/>
      <c r="D58" s="109"/>
      <c r="E58" s="109"/>
      <c r="F58" s="109"/>
      <c r="G58" s="109"/>
      <c r="H58" s="109"/>
      <c r="I58" s="109"/>
      <c r="J58" s="109"/>
      <c r="K58" s="109"/>
      <c r="L58" s="109"/>
      <c r="O58" s="109"/>
      <c r="P58" s="109"/>
      <c r="Q58" s="109"/>
      <c r="R58" s="109"/>
      <c r="S58" s="109"/>
      <c r="T58" s="109"/>
      <c r="U58" s="109"/>
      <c r="V58" s="109"/>
      <c r="W58" s="109"/>
      <c r="X58" s="109"/>
      <c r="Z58" s="433">
        <v>11</v>
      </c>
      <c r="AA58" s="434">
        <f t="shared" si="2"/>
        <v>1.3333333333333335</v>
      </c>
    </row>
    <row r="59" spans="1:27" ht="23.25" thickBot="1">
      <c r="A59" s="1105"/>
      <c r="B59" s="1122" t="s">
        <v>192</v>
      </c>
      <c r="C59" s="2171" t="s">
        <v>192</v>
      </c>
      <c r="D59" s="2172"/>
      <c r="E59" s="2172"/>
      <c r="F59" s="2172"/>
      <c r="G59" s="2172"/>
      <c r="H59" s="2172"/>
      <c r="I59" s="2172"/>
      <c r="J59" s="2172"/>
      <c r="K59" s="2172"/>
      <c r="L59" s="2172"/>
      <c r="M59" s="2172"/>
      <c r="N59" s="2172"/>
      <c r="O59" s="2172"/>
      <c r="P59" s="2172"/>
      <c r="Q59" s="2172"/>
      <c r="R59" s="2172"/>
      <c r="S59" s="2172"/>
      <c r="T59" s="2172"/>
      <c r="U59" s="2172"/>
      <c r="V59" s="2172"/>
      <c r="W59" s="2173"/>
      <c r="X59" s="1093" t="s">
        <v>193</v>
      </c>
      <c r="Z59" s="433">
        <v>12</v>
      </c>
      <c r="AA59" s="434">
        <f t="shared" si="2"/>
        <v>1.2666666666666666</v>
      </c>
    </row>
    <row r="60" spans="1:27" ht="23.25" thickBot="1">
      <c r="A60" s="1106"/>
      <c r="B60" s="1122" t="s">
        <v>239</v>
      </c>
      <c r="C60" s="1094" t="s">
        <v>194</v>
      </c>
      <c r="D60" s="1095" t="s">
        <v>20083</v>
      </c>
      <c r="E60" s="1095" t="s">
        <v>20084</v>
      </c>
      <c r="F60" s="1095" t="s">
        <v>20085</v>
      </c>
      <c r="G60" s="1095" t="s">
        <v>20086</v>
      </c>
      <c r="H60" s="1095" t="s">
        <v>20087</v>
      </c>
      <c r="I60" s="1095" t="s">
        <v>20088</v>
      </c>
      <c r="J60" s="1095" t="s">
        <v>20089</v>
      </c>
      <c r="K60" s="1095" t="s">
        <v>20090</v>
      </c>
      <c r="L60" s="1095" t="s">
        <v>20091</v>
      </c>
      <c r="M60" s="1095" t="s">
        <v>20092</v>
      </c>
      <c r="N60" s="1095" t="s">
        <v>20093</v>
      </c>
      <c r="O60" s="1095" t="s">
        <v>20094</v>
      </c>
      <c r="P60" s="1095" t="s">
        <v>20095</v>
      </c>
      <c r="Q60" s="1095" t="s">
        <v>20096</v>
      </c>
      <c r="R60" s="1095" t="s">
        <v>20097</v>
      </c>
      <c r="S60" s="1095" t="s">
        <v>203</v>
      </c>
      <c r="T60" s="1095" t="s">
        <v>20098</v>
      </c>
      <c r="U60" s="1095" t="s">
        <v>20099</v>
      </c>
      <c r="V60" s="1095" t="s">
        <v>20100</v>
      </c>
      <c r="W60" s="1141" t="s">
        <v>20101</v>
      </c>
      <c r="X60" s="1096" t="s">
        <v>194</v>
      </c>
      <c r="Z60" s="433">
        <v>13</v>
      </c>
      <c r="AA60" s="434">
        <f t="shared" si="2"/>
        <v>1.2</v>
      </c>
    </row>
    <row r="61" spans="1:27" s="1057" customFormat="1" ht="13.5" thickBot="1">
      <c r="A61" s="1106"/>
      <c r="B61" s="1114" t="s">
        <v>20106</v>
      </c>
      <c r="C61" s="1094">
        <v>1</v>
      </c>
      <c r="D61" s="1095">
        <v>1</v>
      </c>
      <c r="E61" s="1095">
        <v>1</v>
      </c>
      <c r="F61" s="1095">
        <v>1</v>
      </c>
      <c r="G61" s="1095">
        <v>1</v>
      </c>
      <c r="H61" s="1095">
        <v>2</v>
      </c>
      <c r="I61" s="1095">
        <v>2</v>
      </c>
      <c r="J61" s="1095">
        <v>2</v>
      </c>
      <c r="K61" s="1095">
        <v>2</v>
      </c>
      <c r="L61" s="1095">
        <v>2</v>
      </c>
      <c r="M61" s="1095">
        <v>3</v>
      </c>
      <c r="N61" s="1095">
        <v>3</v>
      </c>
      <c r="O61" s="1095">
        <v>3</v>
      </c>
      <c r="P61" s="1095">
        <v>3</v>
      </c>
      <c r="Q61" s="1095">
        <v>3</v>
      </c>
      <c r="R61" s="1095">
        <v>4</v>
      </c>
      <c r="S61" s="1095">
        <v>4</v>
      </c>
      <c r="T61" s="1095">
        <v>4</v>
      </c>
      <c r="U61" s="1095">
        <v>5</v>
      </c>
      <c r="V61" s="1095">
        <v>5</v>
      </c>
      <c r="W61" s="1095">
        <v>6</v>
      </c>
      <c r="X61" s="1141"/>
      <c r="Z61" s="433">
        <v>14</v>
      </c>
      <c r="AA61" s="434">
        <f t="shared" si="2"/>
        <v>1.1333333333333333</v>
      </c>
    </row>
    <row r="62" spans="1:27" ht="17.25" thickBot="1">
      <c r="A62" s="1107" t="s">
        <v>195</v>
      </c>
      <c r="B62" s="1142" t="s">
        <v>20107</v>
      </c>
      <c r="C62" s="1094">
        <v>1</v>
      </c>
      <c r="D62" s="1095">
        <v>2</v>
      </c>
      <c r="E62" s="1095">
        <v>3</v>
      </c>
      <c r="F62" s="1095">
        <v>4</v>
      </c>
      <c r="G62" s="1095">
        <v>5</v>
      </c>
      <c r="H62" s="1095">
        <v>1</v>
      </c>
      <c r="I62" s="1095">
        <v>2</v>
      </c>
      <c r="J62" s="1095">
        <v>3</v>
      </c>
      <c r="K62" s="1095">
        <v>4</v>
      </c>
      <c r="L62" s="1095">
        <v>5</v>
      </c>
      <c r="M62" s="1095">
        <v>1</v>
      </c>
      <c r="N62" s="1095">
        <v>2</v>
      </c>
      <c r="O62" s="1095">
        <v>3</v>
      </c>
      <c r="P62" s="1095">
        <v>4</v>
      </c>
      <c r="Q62" s="1095">
        <v>5</v>
      </c>
      <c r="R62" s="1095">
        <v>1</v>
      </c>
      <c r="S62" s="1095">
        <v>4</v>
      </c>
      <c r="T62" s="1095">
        <v>5</v>
      </c>
      <c r="U62" s="1095">
        <v>1</v>
      </c>
      <c r="V62" s="1095">
        <v>5</v>
      </c>
      <c r="W62" s="1095">
        <v>6</v>
      </c>
      <c r="X62" s="1141"/>
      <c r="Z62" s="433">
        <v>15</v>
      </c>
      <c r="AA62" s="434">
        <f>1+0.8*((Z62-16)/(4-16))</f>
        <v>1.0666666666666667</v>
      </c>
    </row>
    <row r="63" spans="1:27">
      <c r="A63" s="1108" t="s">
        <v>196</v>
      </c>
      <c r="B63" s="1115">
        <f ca="1">'Area Reduction'!$C$32*'Land Coeffs 5deg'!C63</f>
        <v>-0.19879079528425758</v>
      </c>
      <c r="C63" s="1079">
        <v>-0.57999999999999996</v>
      </c>
      <c r="D63" s="1080">
        <v>-0.44</v>
      </c>
      <c r="E63" s="1080">
        <v>-0.38</v>
      </c>
      <c r="F63" s="1080">
        <v>-0.34</v>
      </c>
      <c r="G63" s="1080">
        <v>-0.3</v>
      </c>
      <c r="H63" s="1080">
        <v>-0.5</v>
      </c>
      <c r="I63" s="1080">
        <v>-0.4</v>
      </c>
      <c r="J63" s="1080">
        <v>-0.32</v>
      </c>
      <c r="K63" s="1080">
        <v>-0.3</v>
      </c>
      <c r="L63" s="1080">
        <v>-0.28000000000000003</v>
      </c>
      <c r="M63" s="1080">
        <v>-0.42</v>
      </c>
      <c r="N63" s="1080">
        <v>-0.36</v>
      </c>
      <c r="O63" s="1080">
        <v>-0.3</v>
      </c>
      <c r="P63" s="1080">
        <v>-0.28000000000000003</v>
      </c>
      <c r="Q63" s="1080">
        <v>-0.26</v>
      </c>
      <c r="R63" s="1080">
        <v>-0.36</v>
      </c>
      <c r="S63" s="1080">
        <v>-0.26</v>
      </c>
      <c r="T63" s="1080">
        <v>-0.22</v>
      </c>
      <c r="U63" s="1080">
        <v>-0.3</v>
      </c>
      <c r="V63" s="1080">
        <v>-0.2</v>
      </c>
      <c r="W63" s="1080">
        <v>-0.18</v>
      </c>
      <c r="X63" s="1081">
        <v>0.5</v>
      </c>
      <c r="Z63" s="433">
        <v>16</v>
      </c>
      <c r="AA63" s="434">
        <v>1</v>
      </c>
    </row>
    <row r="64" spans="1:27">
      <c r="A64" s="1109" t="s">
        <v>197</v>
      </c>
      <c r="B64" s="1116">
        <f ca="1">'Area Reduction'!$C$32*'Land Coeffs 5deg'!C64</f>
        <v>-0.17137137524504964</v>
      </c>
      <c r="C64" s="1082">
        <v>-0.5</v>
      </c>
      <c r="D64" s="77">
        <v>-0.42</v>
      </c>
      <c r="E64" s="77">
        <v>-0.36</v>
      </c>
      <c r="F64" s="77">
        <v>-0.34</v>
      </c>
      <c r="G64" s="77">
        <v>-0.3</v>
      </c>
      <c r="H64" s="77">
        <v>-0.34</v>
      </c>
      <c r="I64" s="77">
        <v>-0.3</v>
      </c>
      <c r="J64" s="77">
        <v>-0.28000000000000003</v>
      </c>
      <c r="K64" s="77">
        <v>-0.24</v>
      </c>
      <c r="L64" s="77">
        <v>-0.22</v>
      </c>
      <c r="M64" s="77">
        <v>-0.3</v>
      </c>
      <c r="N64" s="77">
        <v>-0.28000000000000003</v>
      </c>
      <c r="O64" s="77">
        <v>-0.26</v>
      </c>
      <c r="P64" s="77">
        <v>-0.22</v>
      </c>
      <c r="Q64" s="77">
        <v>-0.22</v>
      </c>
      <c r="R64" s="77">
        <v>-0.3</v>
      </c>
      <c r="S64" s="77">
        <v>-0.22</v>
      </c>
      <c r="T64" s="77">
        <v>-0.2</v>
      </c>
      <c r="U64" s="77">
        <v>-0.28000000000000003</v>
      </c>
      <c r="V64" s="77">
        <v>-0.18</v>
      </c>
      <c r="W64" s="77">
        <v>-0.16</v>
      </c>
      <c r="X64" s="1083">
        <v>0.46</v>
      </c>
      <c r="Z64" s="433">
        <v>17</v>
      </c>
      <c r="AA64" s="434">
        <v>1</v>
      </c>
    </row>
    <row r="65" spans="1:27" ht="13.5" thickBot="1">
      <c r="A65" s="1110" t="s">
        <v>198</v>
      </c>
      <c r="B65" s="1117">
        <f ca="1">'Area Reduction'!$C$32*'Land Coeffs 5deg'!C65</f>
        <v>-0.19879079528425758</v>
      </c>
      <c r="C65" s="1084">
        <v>-0.57999999999999996</v>
      </c>
      <c r="D65" s="79">
        <v>-0.4</v>
      </c>
      <c r="E65" s="79">
        <v>-0.34</v>
      </c>
      <c r="F65" s="79">
        <v>-0.3</v>
      </c>
      <c r="G65" s="79">
        <v>-0.28000000000000003</v>
      </c>
      <c r="H65" s="79">
        <v>-0.48</v>
      </c>
      <c r="I65" s="79">
        <v>-0.4</v>
      </c>
      <c r="J65" s="79">
        <v>-0.32</v>
      </c>
      <c r="K65" s="79">
        <v>-0.28000000000000003</v>
      </c>
      <c r="L65" s="79">
        <v>-0.26</v>
      </c>
      <c r="M65" s="79">
        <v>-0.42</v>
      </c>
      <c r="N65" s="79">
        <v>-0.3</v>
      </c>
      <c r="O65" s="79">
        <v>-0.26</v>
      </c>
      <c r="P65" s="79">
        <v>-0.24</v>
      </c>
      <c r="Q65" s="79">
        <v>-0.22</v>
      </c>
      <c r="R65" s="79">
        <v>-0.3</v>
      </c>
      <c r="S65" s="79">
        <v>-0.22</v>
      </c>
      <c r="T65" s="79">
        <v>-0.2</v>
      </c>
      <c r="U65" s="79">
        <v>-0.26</v>
      </c>
      <c r="V65" s="79">
        <v>-0.18</v>
      </c>
      <c r="W65" s="79">
        <v>-0.16</v>
      </c>
      <c r="X65" s="1085">
        <v>0.5</v>
      </c>
      <c r="Z65" s="433">
        <v>18</v>
      </c>
      <c r="AA65" s="434">
        <v>1</v>
      </c>
    </row>
    <row r="66" spans="1:27">
      <c r="A66" s="1111" t="s">
        <v>199</v>
      </c>
      <c r="B66" s="1118">
        <f ca="1">'Area Reduction'!$C$32*'Land Coeffs 5deg'!C66</f>
        <v>-0.15766166522544567</v>
      </c>
      <c r="C66" s="1086">
        <v>-0.46</v>
      </c>
      <c r="D66" s="81">
        <v>-0.4</v>
      </c>
      <c r="E66" s="81">
        <v>-0.34</v>
      </c>
      <c r="F66" s="81">
        <v>-0.3</v>
      </c>
      <c r="G66" s="81">
        <v>-0.28000000000000003</v>
      </c>
      <c r="H66" s="81">
        <v>-0.34</v>
      </c>
      <c r="I66" s="81">
        <v>-0.3</v>
      </c>
      <c r="J66" s="81">
        <v>-0.28000000000000003</v>
      </c>
      <c r="K66" s="81">
        <v>-0.24</v>
      </c>
      <c r="L66" s="81">
        <v>-0.22</v>
      </c>
      <c r="M66" s="81">
        <v>-0.3</v>
      </c>
      <c r="N66" s="81">
        <v>-0.28000000000000003</v>
      </c>
      <c r="O66" s="81">
        <v>-0.26</v>
      </c>
      <c r="P66" s="81">
        <v>-0.22</v>
      </c>
      <c r="Q66" s="81">
        <v>-0.22</v>
      </c>
      <c r="R66" s="81">
        <v>-0.3</v>
      </c>
      <c r="S66" s="81">
        <v>-0.22</v>
      </c>
      <c r="T66" s="81">
        <v>-0.2</v>
      </c>
      <c r="U66" s="81">
        <v>-0.28000000000000003</v>
      </c>
      <c r="V66" s="81">
        <v>-0.18</v>
      </c>
      <c r="W66" s="81">
        <v>-0.16</v>
      </c>
      <c r="X66" s="1087">
        <v>0.46</v>
      </c>
      <c r="Z66" s="1378"/>
      <c r="AA66" s="438"/>
    </row>
    <row r="67" spans="1:27">
      <c r="A67" s="1112" t="s">
        <v>200</v>
      </c>
      <c r="B67" s="1119">
        <f ca="1">'Area Reduction'!$C$32*'Land Coeffs 5deg'!C67</f>
        <v>-0.21250050530386155</v>
      </c>
      <c r="C67" s="1088">
        <v>-0.62</v>
      </c>
      <c r="D67" s="83">
        <v>-0.56000000000000005</v>
      </c>
      <c r="E67" s="83">
        <v>-0.46</v>
      </c>
      <c r="F67" s="83">
        <v>-0.4</v>
      </c>
      <c r="G67" s="83">
        <v>-0.38</v>
      </c>
      <c r="H67" s="83">
        <v>-0.48</v>
      </c>
      <c r="I67" s="83">
        <v>-0.4</v>
      </c>
      <c r="J67" s="83">
        <v>-0.36</v>
      </c>
      <c r="K67" s="83">
        <v>-0.3</v>
      </c>
      <c r="L67" s="83">
        <v>-0.28000000000000003</v>
      </c>
      <c r="M67" s="83">
        <v>-0.42</v>
      </c>
      <c r="N67" s="83">
        <v>-0.3</v>
      </c>
      <c r="O67" s="83">
        <v>-0.26</v>
      </c>
      <c r="P67" s="83">
        <v>-0.24</v>
      </c>
      <c r="Q67" s="83">
        <v>-0.22</v>
      </c>
      <c r="R67" s="83">
        <v>-0.3</v>
      </c>
      <c r="S67" s="83">
        <v>-0.22</v>
      </c>
      <c r="T67" s="83">
        <v>-0.2</v>
      </c>
      <c r="U67" s="83">
        <v>-0.26</v>
      </c>
      <c r="V67" s="83">
        <v>-0.18</v>
      </c>
      <c r="W67" s="83">
        <v>-0.16</v>
      </c>
      <c r="X67" s="1089">
        <v>0.70000000000000007</v>
      </c>
      <c r="Z67" s="643">
        <f>'Land Matrix 5deg (lift)'!BN3</f>
        <v>8</v>
      </c>
      <c r="AA67" s="441">
        <f>IF(Z67&lt;16,VLOOKUP(Z67,Z48:AA65,2,FALSE),1)</f>
        <v>1.5333333333333332</v>
      </c>
    </row>
    <row r="68" spans="1:27" ht="13.5" thickBot="1">
      <c r="A68" s="1113" t="s">
        <v>201</v>
      </c>
      <c r="B68" s="1120">
        <f ca="1">'Area Reduction'!$C$32*'Land Coeffs 5deg'!C68</f>
        <v>-0.21935536031366354</v>
      </c>
      <c r="C68" s="1090">
        <v>-0.64</v>
      </c>
      <c r="D68" s="1091">
        <v>-0.52</v>
      </c>
      <c r="E68" s="1091">
        <v>-0.44</v>
      </c>
      <c r="F68" s="1091">
        <v>-0.38</v>
      </c>
      <c r="G68" s="1091">
        <v>-0.36</v>
      </c>
      <c r="H68" s="1091">
        <v>-0.38</v>
      </c>
      <c r="I68" s="1091">
        <v>-0.36</v>
      </c>
      <c r="J68" s="1091">
        <v>-0.34</v>
      </c>
      <c r="K68" s="1091">
        <v>-0.28000000000000003</v>
      </c>
      <c r="L68" s="1091">
        <v>-0.26</v>
      </c>
      <c r="M68" s="1091">
        <v>-0.36</v>
      </c>
      <c r="N68" s="1091">
        <v>-0.28000000000000003</v>
      </c>
      <c r="O68" s="1091">
        <v>-0.26</v>
      </c>
      <c r="P68" s="1091">
        <v>-0.22</v>
      </c>
      <c r="Q68" s="1091">
        <v>-0.22</v>
      </c>
      <c r="R68" s="1091">
        <v>-0.3</v>
      </c>
      <c r="S68" s="1091">
        <v>-0.22</v>
      </c>
      <c r="T68" s="1091">
        <v>-0.2</v>
      </c>
      <c r="U68" s="1091">
        <v>-0.28000000000000003</v>
      </c>
      <c r="V68" s="1091">
        <v>-0.18</v>
      </c>
      <c r="W68" s="1091">
        <v>-0.16</v>
      </c>
      <c r="X68" s="1092">
        <v>0.68</v>
      </c>
      <c r="Z68" s="439"/>
      <c r="AA68" s="440"/>
    </row>
    <row r="69" spans="1:27">
      <c r="A69" s="1072"/>
      <c r="B69" s="122"/>
      <c r="C69" s="122"/>
      <c r="D69" s="111"/>
      <c r="E69" s="111"/>
      <c r="F69" s="111"/>
      <c r="G69" s="111"/>
      <c r="H69" s="111"/>
      <c r="I69" s="111"/>
      <c r="J69" s="111"/>
      <c r="K69" s="111"/>
      <c r="L69" s="111"/>
      <c r="O69" s="122"/>
      <c r="P69" s="122"/>
      <c r="Q69" s="122"/>
      <c r="R69" s="122"/>
      <c r="S69" s="122"/>
      <c r="T69" s="122"/>
      <c r="U69" s="122"/>
      <c r="V69" s="122"/>
      <c r="W69" s="122"/>
      <c r="X69" s="122"/>
    </row>
    <row r="70" spans="1:27">
      <c r="A70" s="124" t="s">
        <v>235</v>
      </c>
      <c r="B70" s="122"/>
      <c r="C70" s="122"/>
      <c r="D70" s="124"/>
      <c r="E70" s="124"/>
      <c r="F70" s="124"/>
      <c r="G70" s="124"/>
      <c r="H70" s="124"/>
      <c r="I70" s="124"/>
      <c r="J70" s="124"/>
      <c r="K70" s="124"/>
      <c r="L70" s="124"/>
      <c r="O70" s="122"/>
      <c r="P70" s="122"/>
      <c r="Q70" s="122"/>
      <c r="R70" s="122"/>
      <c r="S70" s="122"/>
      <c r="T70" s="122"/>
      <c r="U70" s="122"/>
      <c r="V70" s="122"/>
      <c r="W70" s="122"/>
      <c r="X70" s="122"/>
    </row>
    <row r="71" spans="1:27" ht="16.5">
      <c r="A71" s="1072"/>
      <c r="B71" s="122" t="s">
        <v>202</v>
      </c>
      <c r="C71" s="122" t="s">
        <v>202</v>
      </c>
      <c r="D71" s="111"/>
      <c r="E71" s="111"/>
      <c r="F71" s="111"/>
      <c r="G71" s="111"/>
      <c r="H71" s="111"/>
      <c r="I71" s="111"/>
      <c r="J71" s="111"/>
      <c r="K71" s="111"/>
      <c r="L71" s="111"/>
      <c r="O71" s="122"/>
      <c r="S71" s="788"/>
      <c r="T71" s="788"/>
      <c r="U71" s="788"/>
      <c r="V71" s="1057"/>
      <c r="W71" s="1057"/>
      <c r="X71" s="788"/>
    </row>
    <row r="72" spans="1:27" ht="16.5">
      <c r="A72" s="919"/>
      <c r="B72" s="122" t="s">
        <v>240</v>
      </c>
      <c r="C72" s="122" t="s">
        <v>194</v>
      </c>
      <c r="D72" s="1057"/>
      <c r="E72" s="1057"/>
      <c r="F72" s="1057"/>
      <c r="G72" s="1057"/>
      <c r="H72" s="1057"/>
      <c r="I72" s="1057"/>
      <c r="J72" s="1057"/>
      <c r="K72" s="1057"/>
      <c r="L72" s="1057"/>
      <c r="O72" s="122"/>
      <c r="S72" s="788"/>
      <c r="T72" s="788"/>
      <c r="U72" s="788"/>
      <c r="V72" s="1057"/>
      <c r="W72" s="1057"/>
      <c r="X72" s="788"/>
    </row>
    <row r="73" spans="1:27">
      <c r="A73" s="1073" t="s">
        <v>196</v>
      </c>
      <c r="B73" s="85">
        <f ca="1">'Area Reduction'!$C$32*'Land Coeffs 5deg'!C73</f>
        <v>0.5209689807449509</v>
      </c>
      <c r="C73" s="85">
        <v>1.52</v>
      </c>
      <c r="D73" s="1132"/>
      <c r="E73" s="1132"/>
      <c r="F73" s="1132"/>
      <c r="G73" s="1132"/>
      <c r="H73" s="1132"/>
      <c r="I73" s="1132"/>
      <c r="J73" s="1132"/>
      <c r="K73" s="1132"/>
      <c r="L73" s="1132"/>
      <c r="M73" s="1133"/>
      <c r="N73" s="1133"/>
      <c r="O73" s="1134"/>
      <c r="S73" s="788"/>
      <c r="T73" s="788"/>
      <c r="U73" s="788"/>
      <c r="V73" s="1057"/>
      <c r="W73" s="1057"/>
      <c r="X73" s="788"/>
    </row>
    <row r="74" spans="1:27">
      <c r="A74" s="1074" t="s">
        <v>197</v>
      </c>
      <c r="B74" s="86">
        <f ca="1">'Area Reduction'!$C$32*'Land Coeffs 5deg'!C74</f>
        <v>0.50725927072534693</v>
      </c>
      <c r="C74" s="86">
        <v>1.48</v>
      </c>
      <c r="D74" s="1132"/>
      <c r="E74" s="1132"/>
      <c r="F74" s="1132"/>
      <c r="G74" s="1132"/>
      <c r="H74" s="1132"/>
      <c r="I74" s="1132"/>
      <c r="J74" s="1132"/>
      <c r="K74" s="1132"/>
      <c r="L74" s="1132"/>
      <c r="M74" s="1133"/>
      <c r="N74" s="1133"/>
      <c r="O74" s="1134"/>
      <c r="S74" s="788"/>
      <c r="T74" s="788"/>
      <c r="U74" s="788"/>
      <c r="V74" s="1057"/>
      <c r="W74" s="1057"/>
      <c r="X74" s="788"/>
    </row>
    <row r="75" spans="1:27">
      <c r="A75" s="1075" t="s">
        <v>198</v>
      </c>
      <c r="B75" s="87">
        <f ca="1">'Area Reduction'!$C$32*'Land Coeffs 5deg'!C75</f>
        <v>0.37016217052930722</v>
      </c>
      <c r="C75" s="87">
        <v>1.08</v>
      </c>
      <c r="D75" s="1132"/>
      <c r="E75" s="1132"/>
      <c r="F75" s="1132"/>
      <c r="G75" s="1132"/>
      <c r="H75" s="1132"/>
      <c r="I75" s="1132"/>
      <c r="J75" s="1132"/>
      <c r="K75" s="1132"/>
      <c r="L75" s="1132"/>
      <c r="M75" s="1133"/>
      <c r="N75" s="1133"/>
      <c r="O75" s="1134"/>
      <c r="S75" s="788"/>
      <c r="T75" s="788"/>
      <c r="U75" s="788"/>
      <c r="V75" s="1057"/>
      <c r="W75" s="1057"/>
      <c r="X75" s="788"/>
    </row>
    <row r="76" spans="1:27">
      <c r="A76" s="1076" t="s">
        <v>199</v>
      </c>
      <c r="B76" s="88">
        <f ca="1">'Area Reduction'!$C$32*'Land Coeffs 5deg'!C76</f>
        <v>0.33588789548029729</v>
      </c>
      <c r="C76" s="88">
        <v>0.98</v>
      </c>
      <c r="D76" s="1132"/>
      <c r="E76" s="1132"/>
      <c r="F76" s="1132"/>
      <c r="G76" s="1132"/>
      <c r="H76" s="1132"/>
      <c r="I76" s="1132"/>
      <c r="J76" s="1132"/>
      <c r="K76" s="1132"/>
      <c r="L76" s="1132"/>
      <c r="M76" s="1133"/>
      <c r="N76" s="1133"/>
      <c r="O76" s="1134"/>
      <c r="S76" s="788"/>
      <c r="T76" s="788"/>
      <c r="U76" s="788"/>
      <c r="V76" s="1057"/>
      <c r="W76" s="1057"/>
      <c r="X76" s="788"/>
    </row>
    <row r="77" spans="1:27">
      <c r="A77" s="1077" t="s">
        <v>200</v>
      </c>
      <c r="B77" s="89">
        <f ca="1">'Area Reduction'!$C$32*'Land Coeffs 5deg'!C77</f>
        <v>0.37016217052930722</v>
      </c>
      <c r="C77" s="89">
        <v>1.08</v>
      </c>
      <c r="D77" s="1132"/>
      <c r="E77" s="1132"/>
      <c r="F77" s="1132"/>
      <c r="G77" s="1132"/>
      <c r="H77" s="1132"/>
      <c r="I77" s="1132"/>
      <c r="J77" s="1132"/>
      <c r="K77" s="1132"/>
      <c r="L77" s="1132"/>
      <c r="M77" s="1133"/>
      <c r="N77" s="1133"/>
      <c r="O77" s="1134"/>
      <c r="S77" s="788"/>
      <c r="T77" s="788"/>
      <c r="U77" s="788"/>
      <c r="V77" s="1057"/>
      <c r="W77" s="1057"/>
      <c r="X77" s="788"/>
    </row>
    <row r="78" spans="1:27">
      <c r="A78" s="1078" t="s">
        <v>201</v>
      </c>
      <c r="B78" s="123">
        <f ca="1">'Area Reduction'!$C$32*'Land Coeffs 5deg'!C78</f>
        <v>0.33588789548029729</v>
      </c>
      <c r="C78" s="123">
        <v>0.98</v>
      </c>
      <c r="D78" s="1132"/>
      <c r="E78" s="1132"/>
      <c r="F78" s="1132"/>
      <c r="G78" s="1132"/>
      <c r="H78" s="1132"/>
      <c r="I78" s="1132"/>
      <c r="J78" s="1132"/>
      <c r="K78" s="1132"/>
      <c r="L78" s="1132"/>
      <c r="M78" s="1133"/>
      <c r="N78" s="1133"/>
      <c r="O78" s="1134"/>
      <c r="S78" s="788"/>
      <c r="T78" s="788"/>
      <c r="U78" s="788"/>
      <c r="V78" s="1057"/>
      <c r="W78" s="1057"/>
      <c r="X78" s="788"/>
    </row>
    <row r="81" spans="1:24" ht="14.25">
      <c r="A81" s="1069" t="s">
        <v>371</v>
      </c>
      <c r="B81" s="1059"/>
      <c r="C81" s="1059"/>
      <c r="D81" s="1059"/>
      <c r="E81" s="1059"/>
      <c r="F81" s="1059"/>
      <c r="G81" s="1059"/>
      <c r="H81" s="1059"/>
      <c r="I81" s="1059"/>
      <c r="J81" s="1059"/>
      <c r="K81" s="1059"/>
      <c r="L81" s="1059"/>
      <c r="O81" s="1059"/>
      <c r="P81" s="1059"/>
      <c r="Q81" s="1059"/>
      <c r="R81" s="1059"/>
      <c r="S81" s="1059"/>
      <c r="T81" s="1059"/>
      <c r="U81" s="1059"/>
      <c r="V81" s="1059"/>
      <c r="W81" s="1059"/>
      <c r="X81" s="1059"/>
    </row>
    <row r="83" spans="1:24" ht="18.75" thickBot="1">
      <c r="A83" s="1071" t="s">
        <v>191</v>
      </c>
      <c r="B83" s="124" t="s">
        <v>235</v>
      </c>
      <c r="C83" s="112"/>
      <c r="D83" s="109"/>
      <c r="E83" s="109"/>
      <c r="F83" s="109"/>
      <c r="G83" s="109"/>
      <c r="H83" s="109"/>
      <c r="I83" s="109"/>
      <c r="J83" s="109"/>
      <c r="K83" s="109"/>
      <c r="L83" s="109"/>
      <c r="O83" s="109"/>
      <c r="P83" s="109"/>
      <c r="Q83" s="109"/>
      <c r="R83" s="109"/>
      <c r="S83" s="109"/>
      <c r="T83" s="109"/>
      <c r="U83" s="109"/>
      <c r="V83" s="109"/>
      <c r="W83" s="109"/>
      <c r="X83" s="109"/>
    </row>
    <row r="84" spans="1:24" ht="23.25" thickBot="1">
      <c r="A84" s="1105"/>
      <c r="B84" s="1122" t="s">
        <v>192</v>
      </c>
      <c r="C84" s="2171" t="s">
        <v>192</v>
      </c>
      <c r="D84" s="2172"/>
      <c r="E84" s="2172"/>
      <c r="F84" s="2172"/>
      <c r="G84" s="2172"/>
      <c r="H84" s="2172"/>
      <c r="I84" s="2172"/>
      <c r="J84" s="2172"/>
      <c r="K84" s="2172"/>
      <c r="L84" s="2172"/>
      <c r="M84" s="2172"/>
      <c r="N84" s="2172"/>
      <c r="O84" s="2172"/>
      <c r="P84" s="2172"/>
      <c r="Q84" s="2172"/>
      <c r="R84" s="2172"/>
      <c r="S84" s="2172"/>
      <c r="T84" s="2172"/>
      <c r="U84" s="2172"/>
      <c r="V84" s="2172"/>
      <c r="W84" s="2173"/>
      <c r="X84" s="1093" t="s">
        <v>192</v>
      </c>
    </row>
    <row r="85" spans="1:24" ht="23.25" thickBot="1">
      <c r="A85" s="1106"/>
      <c r="B85" s="1122" t="s">
        <v>239</v>
      </c>
      <c r="C85" s="1094" t="s">
        <v>194</v>
      </c>
      <c r="D85" s="1095" t="s">
        <v>20083</v>
      </c>
      <c r="E85" s="1095" t="s">
        <v>20084</v>
      </c>
      <c r="F85" s="1095" t="s">
        <v>20085</v>
      </c>
      <c r="G85" s="1095" t="s">
        <v>20086</v>
      </c>
      <c r="H85" s="1095" t="s">
        <v>20087</v>
      </c>
      <c r="I85" s="1095" t="s">
        <v>20088</v>
      </c>
      <c r="J85" s="1095" t="s">
        <v>20089</v>
      </c>
      <c r="K85" s="1095" t="s">
        <v>20090</v>
      </c>
      <c r="L85" s="1095" t="s">
        <v>20091</v>
      </c>
      <c r="M85" s="1095" t="s">
        <v>20092</v>
      </c>
      <c r="N85" s="1095" t="s">
        <v>20093</v>
      </c>
      <c r="O85" s="1095" t="s">
        <v>20094</v>
      </c>
      <c r="P85" s="1095" t="s">
        <v>20095</v>
      </c>
      <c r="Q85" s="1095" t="s">
        <v>20096</v>
      </c>
      <c r="R85" s="1095" t="s">
        <v>20097</v>
      </c>
      <c r="S85" s="1095" t="s">
        <v>203</v>
      </c>
      <c r="T85" s="1095" t="s">
        <v>20098</v>
      </c>
      <c r="U85" s="1095" t="s">
        <v>20099</v>
      </c>
      <c r="V85" s="1095" t="s">
        <v>20100</v>
      </c>
      <c r="W85" s="1141" t="s">
        <v>20101</v>
      </c>
      <c r="X85" s="1096" t="s">
        <v>221</v>
      </c>
    </row>
    <row r="86" spans="1:24" s="1057" customFormat="1" ht="13.5" thickBot="1">
      <c r="A86" s="1106"/>
      <c r="B86" s="1114" t="s">
        <v>20106</v>
      </c>
      <c r="C86" s="1094">
        <v>1</v>
      </c>
      <c r="D86" s="1095">
        <v>1</v>
      </c>
      <c r="E86" s="1095">
        <v>1</v>
      </c>
      <c r="F86" s="1095">
        <v>1</v>
      </c>
      <c r="G86" s="1095">
        <v>1</v>
      </c>
      <c r="H86" s="1095">
        <v>2</v>
      </c>
      <c r="I86" s="1095">
        <v>2</v>
      </c>
      <c r="J86" s="1095">
        <v>2</v>
      </c>
      <c r="K86" s="1095">
        <v>2</v>
      </c>
      <c r="L86" s="1095">
        <v>2</v>
      </c>
      <c r="M86" s="1095">
        <v>3</v>
      </c>
      <c r="N86" s="1095">
        <v>3</v>
      </c>
      <c r="O86" s="1095">
        <v>3</v>
      </c>
      <c r="P86" s="1095">
        <v>3</v>
      </c>
      <c r="Q86" s="1095">
        <v>3</v>
      </c>
      <c r="R86" s="1095">
        <v>4</v>
      </c>
      <c r="S86" s="1095">
        <v>4</v>
      </c>
      <c r="T86" s="1095">
        <v>4</v>
      </c>
      <c r="U86" s="1095">
        <v>5</v>
      </c>
      <c r="V86" s="1095">
        <v>5</v>
      </c>
      <c r="W86" s="1095">
        <v>6</v>
      </c>
      <c r="X86" s="1097"/>
    </row>
    <row r="87" spans="1:24" ht="17.25" thickBot="1">
      <c r="A87" s="1107" t="s">
        <v>195</v>
      </c>
      <c r="B87" s="1121" t="s">
        <v>20107</v>
      </c>
      <c r="C87" s="1094">
        <v>1</v>
      </c>
      <c r="D87" s="1095">
        <v>2</v>
      </c>
      <c r="E87" s="1095">
        <v>3</v>
      </c>
      <c r="F87" s="1095">
        <v>4</v>
      </c>
      <c r="G87" s="1095">
        <v>5</v>
      </c>
      <c r="H87" s="1095">
        <v>1</v>
      </c>
      <c r="I87" s="1095">
        <v>2</v>
      </c>
      <c r="J87" s="1095">
        <v>3</v>
      </c>
      <c r="K87" s="1095">
        <v>4</v>
      </c>
      <c r="L87" s="1095">
        <v>5</v>
      </c>
      <c r="M87" s="1095">
        <v>1</v>
      </c>
      <c r="N87" s="1095">
        <v>2</v>
      </c>
      <c r="O87" s="1095">
        <v>3</v>
      </c>
      <c r="P87" s="1095">
        <v>4</v>
      </c>
      <c r="Q87" s="1095">
        <v>5</v>
      </c>
      <c r="R87" s="1095">
        <v>1</v>
      </c>
      <c r="S87" s="1095">
        <v>4</v>
      </c>
      <c r="T87" s="1095">
        <v>5</v>
      </c>
      <c r="U87" s="1095">
        <v>1</v>
      </c>
      <c r="V87" s="1095">
        <v>5</v>
      </c>
      <c r="W87" s="1095">
        <v>6</v>
      </c>
      <c r="X87" s="1098">
        <v>9</v>
      </c>
    </row>
    <row r="88" spans="1:24">
      <c r="A88" s="1108" t="s">
        <v>196</v>
      </c>
      <c r="B88" s="1115">
        <f ca="1">'Area Reduction'!$C$32*'Land Coeffs 5deg'!C88</f>
        <v>-0.22862957591516025</v>
      </c>
      <c r="C88" s="1079">
        <f>FORECAST('1-Eng Inputs'!$C$44,CHOOSE({1,2},C36,C63),CHOOSE({1,2},4.25,8.5))</f>
        <v>-0.66705882352941148</v>
      </c>
      <c r="D88" s="1080">
        <f>FORECAST('1-Eng Inputs'!$C$44,CHOOSE({1,2},D36,D63),CHOOSE({1,2},4.25,8.5))</f>
        <v>-0.70117647058823529</v>
      </c>
      <c r="E88" s="1080">
        <f>FORECAST('1-Eng Inputs'!$C$44,CHOOSE({1,2},E36,E63),CHOOSE({1,2},4.25,8.5))</f>
        <v>-0.55411764705882338</v>
      </c>
      <c r="F88" s="1080">
        <f>FORECAST('1-Eng Inputs'!$C$44,CHOOSE({1,2},F36,F63),CHOOSE({1,2},4.25,8.5))</f>
        <v>-0.51411764705882368</v>
      </c>
      <c r="G88" s="1080">
        <f>FORECAST('1-Eng Inputs'!$C$44,CHOOSE({1,2},G36,G63),CHOOSE({1,2},4.25,8.5))</f>
        <v>-0.38705882352941168</v>
      </c>
      <c r="H88" s="1080">
        <f>FORECAST('1-Eng Inputs'!$C$44,CHOOSE({1,2},H36,H63),CHOOSE({1,2},4.25,8.5))</f>
        <v>-0.76117647058823534</v>
      </c>
      <c r="I88" s="1080">
        <f>FORECAST('1-Eng Inputs'!$C$44,CHOOSE({1,2},I36,I63),CHOOSE({1,2},4.25,8.5))</f>
        <v>-0.74823529411764711</v>
      </c>
      <c r="J88" s="1080">
        <f>FORECAST('1-Eng Inputs'!$C$44,CHOOSE({1,2},J36,J63),CHOOSE({1,2},4.25,8.5))</f>
        <v>-0.58117647058823529</v>
      </c>
      <c r="K88" s="1080">
        <f>FORECAST('1-Eng Inputs'!$C$44,CHOOSE({1,2},K36,K63),CHOOSE({1,2},4.25,8.5))</f>
        <v>-0.56117647058823528</v>
      </c>
      <c r="L88" s="1080">
        <f>FORECAST('1-Eng Inputs'!$C$44,CHOOSE({1,2},L36,L63),CHOOSE({1,2},4.25,8.5))</f>
        <v>-0.54117647058823537</v>
      </c>
      <c r="M88" s="1080">
        <f>FORECAST('1-Eng Inputs'!$C$44,CHOOSE({1,2},M36,M63),CHOOSE({1,2},4.25,8.5))</f>
        <v>-0.76823529411764691</v>
      </c>
      <c r="N88" s="1080">
        <f>FORECAST('1-Eng Inputs'!$C$44,CHOOSE({1,2},N36,N63),CHOOSE({1,2},4.25,8.5))</f>
        <v>-0.70823529411764685</v>
      </c>
      <c r="O88" s="1080">
        <f>FORECAST('1-Eng Inputs'!$C$44,CHOOSE({1,2},O36,O63),CHOOSE({1,2},4.25,8.5))</f>
        <v>-0.56117647058823528</v>
      </c>
      <c r="P88" s="1080">
        <f>FORECAST('1-Eng Inputs'!$C$44,CHOOSE({1,2},P36,P63),CHOOSE({1,2},4.25,8.5))</f>
        <v>-0.54117647058823537</v>
      </c>
      <c r="Q88" s="1080">
        <f>FORECAST('1-Eng Inputs'!$C$44,CHOOSE({1,2},Q36,Q63),CHOOSE({1,2},4.25,8.5))</f>
        <v>-0.52117647058823535</v>
      </c>
      <c r="R88" s="1080">
        <f>FORECAST('1-Eng Inputs'!$C$44,CHOOSE({1,2},R36,R63),CHOOSE({1,2},4.25,8.5))</f>
        <v>-0.70823529411764685</v>
      </c>
      <c r="S88" s="1080">
        <f>FORECAST('1-Eng Inputs'!$C$44,CHOOSE({1,2},S36,S63),CHOOSE({1,2},4.25,8.5))</f>
        <v>-0.52117647058823535</v>
      </c>
      <c r="T88" s="1080">
        <f>FORECAST('1-Eng Inputs'!$C$44,CHOOSE({1,2},T36,T63),CHOOSE({1,2},4.25,8.5))</f>
        <v>-0.39411764705882357</v>
      </c>
      <c r="U88" s="1080">
        <f>FORECAST('1-Eng Inputs'!$C$44,CHOOSE({1,2},U36,U63),CHOOSE({1,2},4.25,8.5))</f>
        <v>-0.56117647058823528</v>
      </c>
      <c r="V88" s="1080">
        <f>FORECAST('1-Eng Inputs'!$C$44,CHOOSE({1,2},V36,V63),CHOOSE({1,2},4.25,8.5))</f>
        <v>-0.37411764705882355</v>
      </c>
      <c r="W88" s="1080">
        <f>FORECAST('1-Eng Inputs'!$C$44,CHOOSE({1,2},W36,W63),CHOOSE({1,2},4.25,8.5))</f>
        <v>-0.35411764705882343</v>
      </c>
      <c r="X88" s="1099">
        <f>FORECAST('1-Eng Inputs'!$C$44,CHOOSE({1,2},'Land Coeffs 5deg'!X36,'Land Coeffs 5deg'!X63),CHOOSE({1,2},5.5,11))</f>
        <v>0.5</v>
      </c>
    </row>
    <row r="89" spans="1:24">
      <c r="A89" s="1109" t="s">
        <v>197</v>
      </c>
      <c r="B89" s="1116">
        <f ca="1">'Area Reduction'!$C$32*'Land Coeffs 5deg'!C89</f>
        <v>-0.29072649776866072</v>
      </c>
      <c r="C89" s="1082">
        <f>FORECAST('1-Eng Inputs'!$C$44,CHOOSE({1,2},'Land Coeffs 5deg'!C37,'Land Coeffs 5deg'!C64),CHOOSE({1,2},4.25,8.5))</f>
        <v>-0.8482352941176472</v>
      </c>
      <c r="D89" s="77">
        <f>FORECAST('1-Eng Inputs'!$C$44,CHOOSE({1,2},'Land Coeffs 5deg'!D37,'Land Coeffs 5deg'!D64),CHOOSE({1,2},4.25,8.5))</f>
        <v>-0.68117647058823527</v>
      </c>
      <c r="E89" s="77">
        <f>FORECAST('1-Eng Inputs'!$C$44,CHOOSE({1,2},'Land Coeffs 5deg'!E37,'Land Coeffs 5deg'!E64),CHOOSE({1,2},4.25,8.5))</f>
        <v>-0.53411764705882336</v>
      </c>
      <c r="F89" s="77">
        <f>FORECAST('1-Eng Inputs'!$C$44,CHOOSE({1,2},'Land Coeffs 5deg'!F37,'Land Coeffs 5deg'!F64),CHOOSE({1,2},4.25,8.5))</f>
        <v>-0.60117647058823531</v>
      </c>
      <c r="G89" s="77">
        <f>FORECAST('1-Eng Inputs'!$C$44,CHOOSE({1,2},'Land Coeffs 5deg'!G37,'Land Coeffs 5deg'!G64),CHOOSE({1,2},4.25,8.5))</f>
        <v>-0.47411764705882342</v>
      </c>
      <c r="H89" s="77">
        <f>FORECAST('1-Eng Inputs'!$C$44,CHOOSE({1,2},'Land Coeffs 5deg'!H37,'Land Coeffs 5deg'!H64),CHOOSE({1,2},4.25,8.5))</f>
        <v>-0.51411764705882368</v>
      </c>
      <c r="I89" s="77">
        <f>FORECAST('1-Eng Inputs'!$C$44,CHOOSE({1,2},'Land Coeffs 5deg'!I37,'Land Coeffs 5deg'!I64),CHOOSE({1,2},4.25,8.5))</f>
        <v>-0.38705882352941168</v>
      </c>
      <c r="J89" s="77">
        <f>FORECAST('1-Eng Inputs'!$C$44,CHOOSE({1,2},'Land Coeffs 5deg'!J37,'Land Coeffs 5deg'!J64),CHOOSE({1,2},4.25,8.5))</f>
        <v>-0.36705882352941188</v>
      </c>
      <c r="K89" s="77">
        <f>FORECAST('1-Eng Inputs'!$C$44,CHOOSE({1,2},'Land Coeffs 5deg'!K37,'Land Coeffs 5deg'!K64),CHOOSE({1,2},4.25,8.5))</f>
        <v>-0.32705882352941174</v>
      </c>
      <c r="L89" s="77">
        <f>FORECAST('1-Eng Inputs'!$C$44,CHOOSE({1,2},'Land Coeffs 5deg'!L37,'Land Coeffs 5deg'!L64),CHOOSE({1,2},4.25,8.5))</f>
        <v>-0.30705882352941172</v>
      </c>
      <c r="M89" s="77">
        <f>FORECAST('1-Eng Inputs'!$C$44,CHOOSE({1,2},'Land Coeffs 5deg'!M37,'Land Coeffs 5deg'!M64),CHOOSE({1,2},4.25,8.5))</f>
        <v>-0.38705882352941168</v>
      </c>
      <c r="N89" s="77">
        <f>FORECAST('1-Eng Inputs'!$C$44,CHOOSE({1,2},'Land Coeffs 5deg'!N37,'Land Coeffs 5deg'!N64),CHOOSE({1,2},4.25,8.5))</f>
        <v>-0.36705882352941188</v>
      </c>
      <c r="O89" s="77">
        <f>FORECAST('1-Eng Inputs'!$C$44,CHOOSE({1,2},'Land Coeffs 5deg'!O37,'Land Coeffs 5deg'!O64),CHOOSE({1,2},4.25,8.5))</f>
        <v>-0.43411764705882361</v>
      </c>
      <c r="P89" s="77">
        <f>FORECAST('1-Eng Inputs'!$C$44,CHOOSE({1,2},'Land Coeffs 5deg'!P37,'Land Coeffs 5deg'!P64),CHOOSE({1,2},4.25,8.5))</f>
        <v>-0.30705882352941172</v>
      </c>
      <c r="Q89" s="77">
        <f>FORECAST('1-Eng Inputs'!$C$44,CHOOSE({1,2},'Land Coeffs 5deg'!Q37,'Land Coeffs 5deg'!Q64),CHOOSE({1,2},4.25,8.5))</f>
        <v>-0.30705882352941172</v>
      </c>
      <c r="R89" s="77">
        <f>FORECAST('1-Eng Inputs'!$C$44,CHOOSE({1,2},'Land Coeffs 5deg'!R37,'Land Coeffs 5deg'!R64),CHOOSE({1,2},4.25,8.5))</f>
        <v>-0.47411764705882342</v>
      </c>
      <c r="S89" s="77">
        <f>FORECAST('1-Eng Inputs'!$C$44,CHOOSE({1,2},'Land Coeffs 5deg'!S37,'Land Coeffs 5deg'!S64),CHOOSE({1,2},4.25,8.5))</f>
        <v>-0.30705882352941172</v>
      </c>
      <c r="T89" s="77">
        <f>FORECAST('1-Eng Inputs'!$C$44,CHOOSE({1,2},'Land Coeffs 5deg'!T37,'Land Coeffs 5deg'!T64),CHOOSE({1,2},4.25,8.5))</f>
        <v>-0.28705882352941181</v>
      </c>
      <c r="U89" s="77">
        <f>FORECAST('1-Eng Inputs'!$C$44,CHOOSE({1,2},'Land Coeffs 5deg'!U37,'Land Coeffs 5deg'!U64),CHOOSE({1,2},4.25,8.5))</f>
        <v>-0.45411764705882368</v>
      </c>
      <c r="V89" s="77">
        <f>FORECAST('1-Eng Inputs'!$C$44,CHOOSE({1,2},'Land Coeffs 5deg'!V37,'Land Coeffs 5deg'!V64),CHOOSE({1,2},4.25,8.5))</f>
        <v>-0.26705882352941168</v>
      </c>
      <c r="W89" s="77">
        <f>FORECAST('1-Eng Inputs'!$C$44,CHOOSE({1,2},'Land Coeffs 5deg'!W37,'Land Coeffs 5deg'!W64),CHOOSE({1,2},4.25,8.5))</f>
        <v>-0.24705882352941172</v>
      </c>
      <c r="X89" s="1100">
        <f>FORECAST('1-Eng Inputs'!$C$44,CHOOSE({1,2},'Land Coeffs 5deg'!X37,'Land Coeffs 5deg'!X64),CHOOSE({1,2},5.5,11))</f>
        <v>0.57636363636363641</v>
      </c>
    </row>
    <row r="90" spans="1:24">
      <c r="A90" s="1110" t="s">
        <v>198</v>
      </c>
      <c r="B90" s="1117">
        <f ca="1">'Area Reduction'!$C$32*'Land Coeffs 5deg'!C90</f>
        <v>-0.28830713717696582</v>
      </c>
      <c r="C90" s="1084">
        <f>FORECAST('1-Eng Inputs'!$C$44,CHOOSE({1,2},'Land Coeffs 5deg'!C38,'Land Coeffs 5deg'!C65),CHOOSE({1,2},4.25,8.5))</f>
        <v>-0.84117647058823519</v>
      </c>
      <c r="D90" s="79">
        <f>FORECAST('1-Eng Inputs'!$C$44,CHOOSE({1,2},'Land Coeffs 5deg'!D38,'Land Coeffs 5deg'!D65),CHOOSE({1,2},4.25,8.5))</f>
        <v>-0.66117647058823525</v>
      </c>
      <c r="E90" s="79">
        <f>FORECAST('1-Eng Inputs'!$C$44,CHOOSE({1,2},'Land Coeffs 5deg'!E38,'Land Coeffs 5deg'!E65),CHOOSE({1,2},4.25,8.5))</f>
        <v>-0.51411764705882368</v>
      </c>
      <c r="F90" s="79">
        <f>FORECAST('1-Eng Inputs'!$C$44,CHOOSE({1,2},'Land Coeffs 5deg'!F38,'Land Coeffs 5deg'!F65),CHOOSE({1,2},4.25,8.5))</f>
        <v>-0.47411764705882342</v>
      </c>
      <c r="G90" s="79">
        <f>FORECAST('1-Eng Inputs'!$C$44,CHOOSE({1,2},'Land Coeffs 5deg'!G38,'Land Coeffs 5deg'!G65),CHOOSE({1,2},4.25,8.5))</f>
        <v>-0.45411764705882368</v>
      </c>
      <c r="H90" s="79">
        <f>FORECAST('1-Eng Inputs'!$C$44,CHOOSE({1,2},'Land Coeffs 5deg'!H38,'Land Coeffs 5deg'!H65),CHOOSE({1,2},4.25,8.5))</f>
        <v>-0.74117647058823533</v>
      </c>
      <c r="I90" s="79">
        <f>FORECAST('1-Eng Inputs'!$C$44,CHOOSE({1,2},'Land Coeffs 5deg'!I38,'Land Coeffs 5deg'!I65),CHOOSE({1,2},4.25,8.5))</f>
        <v>-0.74823529411764711</v>
      </c>
      <c r="J90" s="79">
        <f>FORECAST('1-Eng Inputs'!$C$44,CHOOSE({1,2},'Land Coeffs 5deg'!J38,'Land Coeffs 5deg'!J65),CHOOSE({1,2},4.25,8.5))</f>
        <v>-0.58117647058823529</v>
      </c>
      <c r="K90" s="79">
        <f>FORECAST('1-Eng Inputs'!$C$44,CHOOSE({1,2},'Land Coeffs 5deg'!K38,'Land Coeffs 5deg'!K65),CHOOSE({1,2},4.25,8.5))</f>
        <v>-0.45411764705882368</v>
      </c>
      <c r="L90" s="79">
        <f>FORECAST('1-Eng Inputs'!$C$44,CHOOSE({1,2},'Land Coeffs 5deg'!L38,'Land Coeffs 5deg'!L65),CHOOSE({1,2},4.25,8.5))</f>
        <v>-0.43411764705882361</v>
      </c>
      <c r="M90" s="79">
        <f>FORECAST('1-Eng Inputs'!$C$44,CHOOSE({1,2},'Land Coeffs 5deg'!M38,'Land Coeffs 5deg'!M65),CHOOSE({1,2},4.25,8.5))</f>
        <v>-0.76823529411764691</v>
      </c>
      <c r="N90" s="79">
        <f>FORECAST('1-Eng Inputs'!$C$44,CHOOSE({1,2},'Land Coeffs 5deg'!N38,'Land Coeffs 5deg'!N65),CHOOSE({1,2},4.25,8.5))</f>
        <v>-0.38705882352941168</v>
      </c>
      <c r="O90" s="79">
        <f>FORECAST('1-Eng Inputs'!$C$44,CHOOSE({1,2},'Land Coeffs 5deg'!O38,'Land Coeffs 5deg'!O65),CHOOSE({1,2},4.25,8.5))</f>
        <v>-0.34705882352941186</v>
      </c>
      <c r="P90" s="79">
        <f>FORECAST('1-Eng Inputs'!$C$44,CHOOSE({1,2},'Land Coeffs 5deg'!P38,'Land Coeffs 5deg'!P65),CHOOSE({1,2},4.25,8.5))</f>
        <v>-0.32705882352941174</v>
      </c>
      <c r="Q90" s="79">
        <f>FORECAST('1-Eng Inputs'!$C$44,CHOOSE({1,2},'Land Coeffs 5deg'!Q38,'Land Coeffs 5deg'!Q65),CHOOSE({1,2},4.25,8.5))</f>
        <v>-0.30705882352941172</v>
      </c>
      <c r="R90" s="79">
        <f>FORECAST('1-Eng Inputs'!$C$44,CHOOSE({1,2},'Land Coeffs 5deg'!R38,'Land Coeffs 5deg'!R65),CHOOSE({1,2},4.25,8.5))</f>
        <v>-0.38705882352941168</v>
      </c>
      <c r="S90" s="79">
        <f>FORECAST('1-Eng Inputs'!$C$44,CHOOSE({1,2},'Land Coeffs 5deg'!S38,'Land Coeffs 5deg'!S65),CHOOSE({1,2},4.25,8.5))</f>
        <v>-0.30705882352941172</v>
      </c>
      <c r="T90" s="79">
        <f>FORECAST('1-Eng Inputs'!$C$44,CHOOSE({1,2},'Land Coeffs 5deg'!T38,'Land Coeffs 5deg'!T65),CHOOSE({1,2},4.25,8.5))</f>
        <v>-0.28705882352941181</v>
      </c>
      <c r="U90" s="79">
        <f>FORECAST('1-Eng Inputs'!$C$44,CHOOSE({1,2},'Land Coeffs 5deg'!U38,'Land Coeffs 5deg'!U65),CHOOSE({1,2},4.25,8.5))</f>
        <v>-0.34705882352941186</v>
      </c>
      <c r="V90" s="79">
        <f>FORECAST('1-Eng Inputs'!$C$44,CHOOSE({1,2},'Land Coeffs 5deg'!V38,'Land Coeffs 5deg'!V65),CHOOSE({1,2},4.25,8.5))</f>
        <v>-0.26705882352941168</v>
      </c>
      <c r="W90" s="79">
        <f>FORECAST('1-Eng Inputs'!$C$44,CHOOSE({1,2},'Land Coeffs 5deg'!W38,'Land Coeffs 5deg'!W65),CHOOSE({1,2},4.25,8.5))</f>
        <v>-0.24705882352941172</v>
      </c>
      <c r="X90" s="1101">
        <f>FORECAST('1-Eng Inputs'!$C$44,CHOOSE({1,2},'Land Coeffs 5deg'!X38,'Land Coeffs 5deg'!X65),CHOOSE({1,2},5.5,11))</f>
        <v>0.5</v>
      </c>
    </row>
    <row r="91" spans="1:24">
      <c r="A91" s="1111" t="s">
        <v>199</v>
      </c>
      <c r="B91" s="1118">
        <f ca="1">'Area Reduction'!$C$32*'Land Coeffs 5deg'!C91</f>
        <v>-0.27701678774905675</v>
      </c>
      <c r="C91" s="1086">
        <f>FORECAST('1-Eng Inputs'!$C$44,CHOOSE({1,2},'Land Coeffs 5deg'!C39,'Land Coeffs 5deg'!C66),CHOOSE({1,2},4.25,8.5))</f>
        <v>-0.80823529411764716</v>
      </c>
      <c r="D91" s="81">
        <f>FORECAST('1-Eng Inputs'!$C$44,CHOOSE({1,2},'Land Coeffs 5deg'!D39,'Land Coeffs 5deg'!D66),CHOOSE({1,2},4.25,8.5))</f>
        <v>-0.74823529411764711</v>
      </c>
      <c r="E91" s="81">
        <f>FORECAST('1-Eng Inputs'!$C$44,CHOOSE({1,2},'Land Coeffs 5deg'!E39,'Land Coeffs 5deg'!E66),CHOOSE({1,2},4.25,8.5))</f>
        <v>-0.60117647058823531</v>
      </c>
      <c r="F91" s="81">
        <f>FORECAST('1-Eng Inputs'!$C$44,CHOOSE({1,2},'Land Coeffs 5deg'!F39,'Land Coeffs 5deg'!F66),CHOOSE({1,2},4.25,8.5))</f>
        <v>-0.56117647058823528</v>
      </c>
      <c r="G91" s="81">
        <f>FORECAST('1-Eng Inputs'!$C$44,CHOOSE({1,2},'Land Coeffs 5deg'!G39,'Land Coeffs 5deg'!G66),CHOOSE({1,2},4.25,8.5))</f>
        <v>-0.54117647058823537</v>
      </c>
      <c r="H91" s="81">
        <f>FORECAST('1-Eng Inputs'!$C$44,CHOOSE({1,2},'Land Coeffs 5deg'!H39,'Land Coeffs 5deg'!H66),CHOOSE({1,2},4.25,8.5))</f>
        <v>-0.51411764705882368</v>
      </c>
      <c r="I91" s="81">
        <f>FORECAST('1-Eng Inputs'!$C$44,CHOOSE({1,2},'Land Coeffs 5deg'!I39,'Land Coeffs 5deg'!I66),CHOOSE({1,2},4.25,8.5))</f>
        <v>-0.38705882352941168</v>
      </c>
      <c r="J91" s="81">
        <f>FORECAST('1-Eng Inputs'!$C$44,CHOOSE({1,2},'Land Coeffs 5deg'!J39,'Land Coeffs 5deg'!J66),CHOOSE({1,2},4.25,8.5))</f>
        <v>-0.36705882352941188</v>
      </c>
      <c r="K91" s="81">
        <f>FORECAST('1-Eng Inputs'!$C$44,CHOOSE({1,2},'Land Coeffs 5deg'!K39,'Land Coeffs 5deg'!K66),CHOOSE({1,2},4.25,8.5))</f>
        <v>-0.32705882352941174</v>
      </c>
      <c r="L91" s="81">
        <f>FORECAST('1-Eng Inputs'!$C$44,CHOOSE({1,2},'Land Coeffs 5deg'!L39,'Land Coeffs 5deg'!L66),CHOOSE({1,2},4.25,8.5))</f>
        <v>-0.30705882352941172</v>
      </c>
      <c r="M91" s="81">
        <f>FORECAST('1-Eng Inputs'!$C$44,CHOOSE({1,2},'Land Coeffs 5deg'!M39,'Land Coeffs 5deg'!M66),CHOOSE({1,2},4.25,8.5))</f>
        <v>-0.38705882352941168</v>
      </c>
      <c r="N91" s="81">
        <f>FORECAST('1-Eng Inputs'!$C$44,CHOOSE({1,2},'Land Coeffs 5deg'!N39,'Land Coeffs 5deg'!N66),CHOOSE({1,2},4.25,8.5))</f>
        <v>-0.36705882352941188</v>
      </c>
      <c r="O91" s="81">
        <f>FORECAST('1-Eng Inputs'!$C$44,CHOOSE({1,2},'Land Coeffs 5deg'!O39,'Land Coeffs 5deg'!O66),CHOOSE({1,2},4.25,8.5))</f>
        <v>-0.43411764705882361</v>
      </c>
      <c r="P91" s="81">
        <f>FORECAST('1-Eng Inputs'!$C$44,CHOOSE({1,2},'Land Coeffs 5deg'!P39,'Land Coeffs 5deg'!P66),CHOOSE({1,2},4.25,8.5))</f>
        <v>-0.30705882352941172</v>
      </c>
      <c r="Q91" s="81">
        <f>FORECAST('1-Eng Inputs'!$C$44,CHOOSE({1,2},'Land Coeffs 5deg'!Q39,'Land Coeffs 5deg'!Q66),CHOOSE({1,2},4.25,8.5))</f>
        <v>-0.30705882352941172</v>
      </c>
      <c r="R91" s="81">
        <f>FORECAST('1-Eng Inputs'!$C$44,CHOOSE({1,2},'Land Coeffs 5deg'!R39,'Land Coeffs 5deg'!R66),CHOOSE({1,2},4.25,8.5))</f>
        <v>-0.47411764705882342</v>
      </c>
      <c r="S91" s="81">
        <f>FORECAST('1-Eng Inputs'!$C$44,CHOOSE({1,2},'Land Coeffs 5deg'!S39,'Land Coeffs 5deg'!S66),CHOOSE({1,2},4.25,8.5))</f>
        <v>-0.30705882352941172</v>
      </c>
      <c r="T91" s="81">
        <f>FORECAST('1-Eng Inputs'!$C$44,CHOOSE({1,2},'Land Coeffs 5deg'!T39,'Land Coeffs 5deg'!T66),CHOOSE({1,2},4.25,8.5))</f>
        <v>-0.28705882352941181</v>
      </c>
      <c r="U91" s="81">
        <f>FORECAST('1-Eng Inputs'!$C$44,CHOOSE({1,2},'Land Coeffs 5deg'!U39,'Land Coeffs 5deg'!U66),CHOOSE({1,2},4.25,8.5))</f>
        <v>-0.45411764705882368</v>
      </c>
      <c r="V91" s="81">
        <f>FORECAST('1-Eng Inputs'!$C$44,CHOOSE({1,2},'Land Coeffs 5deg'!V39,'Land Coeffs 5deg'!V66),CHOOSE({1,2},4.25,8.5))</f>
        <v>-0.26705882352941168</v>
      </c>
      <c r="W91" s="81">
        <f>FORECAST('1-Eng Inputs'!$C$44,CHOOSE({1,2},'Land Coeffs 5deg'!W39,'Land Coeffs 5deg'!W66),CHOOSE({1,2},4.25,8.5))</f>
        <v>-0.24705882352941172</v>
      </c>
      <c r="X91" s="1102">
        <f>FORECAST('1-Eng Inputs'!$C$44,CHOOSE({1,2},'Land Coeffs 5deg'!X39,'Land Coeffs 5deg'!X66),CHOOSE({1,2},5.5,11))</f>
        <v>0.57636363636363641</v>
      </c>
    </row>
    <row r="92" spans="1:24">
      <c r="A92" s="1112" t="s">
        <v>200</v>
      </c>
      <c r="B92" s="1119">
        <f ca="1">'Area Reduction'!$C$32*'Land Coeffs 5deg'!C92</f>
        <v>-0.3616944084583753</v>
      </c>
      <c r="C92" s="1088">
        <f>FORECAST('1-Eng Inputs'!$C$44,CHOOSE({1,2},'Land Coeffs 5deg'!C40,'Land Coeffs 5deg'!C67),CHOOSE({1,2},4.25,8.5))</f>
        <v>-1.0552941176470587</v>
      </c>
      <c r="D92" s="83">
        <f>FORECAST('1-Eng Inputs'!$C$44,CHOOSE({1,2},'Land Coeffs 5deg'!D40,'Land Coeffs 5deg'!D67),CHOOSE({1,2},4.25,8.5))</f>
        <v>-1.3435294117647061</v>
      </c>
      <c r="E92" s="83">
        <f>FORECAST('1-Eng Inputs'!$C$44,CHOOSE({1,2},'Land Coeffs 5deg'!E40,'Land Coeffs 5deg'!E67),CHOOSE({1,2},4.25,8.5))</f>
        <v>-0.98235294117647065</v>
      </c>
      <c r="F92" s="83">
        <f>FORECAST('1-Eng Inputs'!$C$44,CHOOSE({1,2},'Land Coeffs 5deg'!F40,'Land Coeffs 5deg'!F67),CHOOSE({1,2},4.25,8.5))</f>
        <v>-0.83529411764705896</v>
      </c>
      <c r="G92" s="83">
        <f>FORECAST('1-Eng Inputs'!$C$44,CHOOSE({1,2},'Land Coeffs 5deg'!G40,'Land Coeffs 5deg'!G67),CHOOSE({1,2},4.25,8.5))</f>
        <v>-0.81529411764705872</v>
      </c>
      <c r="H92" s="83">
        <f>FORECAST('1-Eng Inputs'!$C$44,CHOOSE({1,2},'Land Coeffs 5deg'!H40,'Land Coeffs 5deg'!H67),CHOOSE({1,2},4.25,8.5))</f>
        <v>-0.74117647058823533</v>
      </c>
      <c r="I92" s="83">
        <f>FORECAST('1-Eng Inputs'!$C$44,CHOOSE({1,2},'Land Coeffs 5deg'!I40,'Land Coeffs 5deg'!I67),CHOOSE({1,2},4.25,8.5))</f>
        <v>-0.74823529411764711</v>
      </c>
      <c r="J92" s="83">
        <f>FORECAST('1-Eng Inputs'!$C$44,CHOOSE({1,2},'Land Coeffs 5deg'!J40,'Land Coeffs 5deg'!J67),CHOOSE({1,2},4.25,8.5))</f>
        <v>-0.79529411764705871</v>
      </c>
      <c r="K92" s="83">
        <f>FORECAST('1-Eng Inputs'!$C$44,CHOOSE({1,2},'Land Coeffs 5deg'!K40,'Land Coeffs 5deg'!K67),CHOOSE({1,2},4.25,8.5))</f>
        <v>-0.56117647058823528</v>
      </c>
      <c r="L92" s="83">
        <f>FORECAST('1-Eng Inputs'!$C$44,CHOOSE({1,2},'Land Coeffs 5deg'!L40,'Land Coeffs 5deg'!L67),CHOOSE({1,2},4.25,8.5))</f>
        <v>-0.54117647058823537</v>
      </c>
      <c r="M92" s="83">
        <f>FORECAST('1-Eng Inputs'!$C$44,CHOOSE({1,2},'Land Coeffs 5deg'!M40,'Land Coeffs 5deg'!M67),CHOOSE({1,2},4.25,8.5))</f>
        <v>-0.76823529411764691</v>
      </c>
      <c r="N92" s="83">
        <f>FORECAST('1-Eng Inputs'!$C$44,CHOOSE({1,2},'Land Coeffs 5deg'!N40,'Land Coeffs 5deg'!N67),CHOOSE({1,2},4.25,8.5))</f>
        <v>-0.38705882352941168</v>
      </c>
      <c r="O92" s="83">
        <f>FORECAST('1-Eng Inputs'!$C$44,CHOOSE({1,2},'Land Coeffs 5deg'!O40,'Land Coeffs 5deg'!O67),CHOOSE({1,2},4.25,8.5))</f>
        <v>-0.34705882352941186</v>
      </c>
      <c r="P92" s="83">
        <f>FORECAST('1-Eng Inputs'!$C$44,CHOOSE({1,2},'Land Coeffs 5deg'!P40,'Land Coeffs 5deg'!P67),CHOOSE({1,2},4.25,8.5))</f>
        <v>-0.32705882352941174</v>
      </c>
      <c r="Q92" s="83">
        <f>FORECAST('1-Eng Inputs'!$C$44,CHOOSE({1,2},'Land Coeffs 5deg'!Q40,'Land Coeffs 5deg'!Q67),CHOOSE({1,2},4.25,8.5))</f>
        <v>-0.30705882352941172</v>
      </c>
      <c r="R92" s="83">
        <f>FORECAST('1-Eng Inputs'!$C$44,CHOOSE({1,2},'Land Coeffs 5deg'!R40,'Land Coeffs 5deg'!R67),CHOOSE({1,2},4.25,8.5))</f>
        <v>-0.38705882352941168</v>
      </c>
      <c r="S92" s="83">
        <f>FORECAST('1-Eng Inputs'!$C$44,CHOOSE({1,2},'Land Coeffs 5deg'!S40,'Land Coeffs 5deg'!S67),CHOOSE({1,2},4.25,8.5))</f>
        <v>-0.30705882352941172</v>
      </c>
      <c r="T92" s="83">
        <f>FORECAST('1-Eng Inputs'!$C$44,CHOOSE({1,2},'Land Coeffs 5deg'!T40,'Land Coeffs 5deg'!T67),CHOOSE({1,2},4.25,8.5))</f>
        <v>-0.28705882352941181</v>
      </c>
      <c r="U92" s="83">
        <f>FORECAST('1-Eng Inputs'!$C$44,CHOOSE({1,2},'Land Coeffs 5deg'!U40,'Land Coeffs 5deg'!U67),CHOOSE({1,2},4.25,8.5))</f>
        <v>-0.34705882352941186</v>
      </c>
      <c r="V92" s="83">
        <f>FORECAST('1-Eng Inputs'!$C$44,CHOOSE({1,2},'Land Coeffs 5deg'!V40,'Land Coeffs 5deg'!V67),CHOOSE({1,2},4.25,8.5))</f>
        <v>-0.26705882352941168</v>
      </c>
      <c r="W92" s="83">
        <f>FORECAST('1-Eng Inputs'!$C$44,CHOOSE({1,2},'Land Coeffs 5deg'!W40,'Land Coeffs 5deg'!W67),CHOOSE({1,2},4.25,8.5))</f>
        <v>-0.24705882352941172</v>
      </c>
      <c r="X92" s="1103">
        <f>FORECAST('1-Eng Inputs'!$C$44,CHOOSE({1,2},'Land Coeffs 5deg'!X40,'Land Coeffs 5deg'!X67),CHOOSE({1,2},5.5,11))</f>
        <v>0.70000000000000007</v>
      </c>
    </row>
    <row r="93" spans="1:24" ht="13.5" thickBot="1">
      <c r="A93" s="1113" t="s">
        <v>201</v>
      </c>
      <c r="B93" s="1120">
        <f ca="1">'Area Reduction'!$C$32*'Land Coeffs 5deg'!C93</f>
        <v>-0.48790438599178843</v>
      </c>
      <c r="C93" s="1090">
        <f>FORECAST('1-Eng Inputs'!$C$44,CHOOSE({1,2},'Land Coeffs 5deg'!C41,'Land Coeffs 5deg'!C68),CHOOSE({1,2},4.25,8.5))</f>
        <v>-1.4235294117647059</v>
      </c>
      <c r="D93" s="1091">
        <f>FORECAST('1-Eng Inputs'!$C$44,CHOOSE({1,2},'Land Coeffs 5deg'!D41,'Land Coeffs 5deg'!D68),CHOOSE({1,2},4.25,8.5))</f>
        <v>-1.1294117647058823</v>
      </c>
      <c r="E93" s="1091">
        <f>FORECAST('1-Eng Inputs'!$C$44,CHOOSE({1,2},'Land Coeffs 5deg'!E41,'Land Coeffs 5deg'!E68),CHOOSE({1,2},4.25,8.5))</f>
        <v>-0.96235294117647063</v>
      </c>
      <c r="F93" s="1091">
        <f>FORECAST('1-Eng Inputs'!$C$44,CHOOSE({1,2},'Land Coeffs 5deg'!F41,'Land Coeffs 5deg'!F68),CHOOSE({1,2},4.25,8.5))</f>
        <v>-0.81529411764705872</v>
      </c>
      <c r="G93" s="1091">
        <f>FORECAST('1-Eng Inputs'!$C$44,CHOOSE({1,2},'Land Coeffs 5deg'!G41,'Land Coeffs 5deg'!G68),CHOOSE({1,2},4.25,8.5))</f>
        <v>-0.79529411764705871</v>
      </c>
      <c r="H93" s="1091">
        <f>FORECAST('1-Eng Inputs'!$C$44,CHOOSE({1,2},'Land Coeffs 5deg'!H41,'Land Coeffs 5deg'!H68),CHOOSE({1,2},4.25,8.5))</f>
        <v>-0.72823529411764709</v>
      </c>
      <c r="I93" s="1091">
        <f>FORECAST('1-Eng Inputs'!$C$44,CHOOSE({1,2},'Land Coeffs 5deg'!I41,'Land Coeffs 5deg'!I68),CHOOSE({1,2},4.25,8.5))</f>
        <v>-0.70823529411764685</v>
      </c>
      <c r="J93" s="1091">
        <f>FORECAST('1-Eng Inputs'!$C$44,CHOOSE({1,2},'Land Coeffs 5deg'!J41,'Land Coeffs 5deg'!J68),CHOOSE({1,2},4.25,8.5))</f>
        <v>-0.68823529411764728</v>
      </c>
      <c r="K93" s="1091">
        <f>FORECAST('1-Eng Inputs'!$C$44,CHOOSE({1,2},'Land Coeffs 5deg'!K41,'Land Coeffs 5deg'!K68),CHOOSE({1,2},4.25,8.5))</f>
        <v>-0.54117647058823537</v>
      </c>
      <c r="L93" s="1091">
        <f>FORECAST('1-Eng Inputs'!$C$44,CHOOSE({1,2},'Land Coeffs 5deg'!L41,'Land Coeffs 5deg'!L68),CHOOSE({1,2},4.25,8.5))</f>
        <v>-0.52117647058823535</v>
      </c>
      <c r="M93" s="1091">
        <f>FORECAST('1-Eng Inputs'!$C$44,CHOOSE({1,2},'Land Coeffs 5deg'!M41,'Land Coeffs 5deg'!M68),CHOOSE({1,2},4.25,8.5))</f>
        <v>-0.70823529411764685</v>
      </c>
      <c r="N93" s="1091">
        <f>FORECAST('1-Eng Inputs'!$C$44,CHOOSE({1,2},'Land Coeffs 5deg'!N41,'Land Coeffs 5deg'!N68),CHOOSE({1,2},4.25,8.5))</f>
        <v>-0.36705882352941188</v>
      </c>
      <c r="O93" s="1091">
        <f>FORECAST('1-Eng Inputs'!$C$44,CHOOSE({1,2},'Land Coeffs 5deg'!O41,'Land Coeffs 5deg'!O68),CHOOSE({1,2},4.25,8.5))</f>
        <v>-0.43411764705882361</v>
      </c>
      <c r="P93" s="1091">
        <f>FORECAST('1-Eng Inputs'!$C$44,CHOOSE({1,2},'Land Coeffs 5deg'!P41,'Land Coeffs 5deg'!P68),CHOOSE({1,2},4.25,8.5))</f>
        <v>-0.30705882352941172</v>
      </c>
      <c r="Q93" s="1091">
        <f>FORECAST('1-Eng Inputs'!$C$44,CHOOSE({1,2},'Land Coeffs 5deg'!Q41,'Land Coeffs 5deg'!Q68),CHOOSE({1,2},4.25,8.5))</f>
        <v>-0.30705882352941172</v>
      </c>
      <c r="R93" s="1091">
        <f>FORECAST('1-Eng Inputs'!$C$44,CHOOSE({1,2},'Land Coeffs 5deg'!R41,'Land Coeffs 5deg'!R68),CHOOSE({1,2},4.25,8.5))</f>
        <v>-0.47411764705882342</v>
      </c>
      <c r="S93" s="1091">
        <f>FORECAST('1-Eng Inputs'!$C$44,CHOOSE({1,2},'Land Coeffs 5deg'!S41,'Land Coeffs 5deg'!S68),CHOOSE({1,2},4.25,8.5))</f>
        <v>-0.30705882352941172</v>
      </c>
      <c r="T93" s="1091">
        <f>FORECAST('1-Eng Inputs'!$C$44,CHOOSE({1,2},'Land Coeffs 5deg'!T41,'Land Coeffs 5deg'!T68),CHOOSE({1,2},4.25,8.5))</f>
        <v>-0.28705882352941181</v>
      </c>
      <c r="U93" s="1091">
        <f>FORECAST('1-Eng Inputs'!$C$44,CHOOSE({1,2},'Land Coeffs 5deg'!U41,'Land Coeffs 5deg'!U68),CHOOSE({1,2},4.25,8.5))</f>
        <v>-0.45411764705882368</v>
      </c>
      <c r="V93" s="1091">
        <f>FORECAST('1-Eng Inputs'!$C$44,CHOOSE({1,2},'Land Coeffs 5deg'!V41,'Land Coeffs 5deg'!V68),CHOOSE({1,2},4.25,8.5))</f>
        <v>-0.26705882352941168</v>
      </c>
      <c r="W93" s="1091">
        <f>FORECAST('1-Eng Inputs'!$C$44,CHOOSE({1,2},'Land Coeffs 5deg'!W41,'Land Coeffs 5deg'!W68),CHOOSE({1,2},4.25,8.5))</f>
        <v>-0.24705882352941172</v>
      </c>
      <c r="X93" s="1104">
        <f>FORECAST('1-Eng Inputs'!$C$44,CHOOSE({1,2},'Land Coeffs 5deg'!X41,'Land Coeffs 5deg'!X68),CHOOSE({1,2},5.5,11))</f>
        <v>0.85454545454545472</v>
      </c>
    </row>
    <row r="94" spans="1:24">
      <c r="A94" s="1072"/>
      <c r="B94" s="122"/>
      <c r="C94" s="122"/>
      <c r="D94" s="111"/>
      <c r="E94" s="111"/>
      <c r="F94" s="111"/>
      <c r="G94" s="111"/>
      <c r="H94" s="111"/>
      <c r="I94" s="111"/>
      <c r="J94" s="111"/>
      <c r="K94" s="111"/>
      <c r="L94" s="111"/>
      <c r="O94" s="122"/>
      <c r="P94" s="122"/>
      <c r="Q94" s="122"/>
      <c r="R94" s="122"/>
      <c r="S94" s="122"/>
      <c r="T94" s="122"/>
      <c r="U94" s="122"/>
      <c r="V94" s="122"/>
      <c r="W94" s="122"/>
      <c r="X94" s="122"/>
    </row>
    <row r="95" spans="1:24">
      <c r="A95" s="124" t="s">
        <v>235</v>
      </c>
      <c r="B95" s="122"/>
      <c r="C95" s="122"/>
      <c r="D95" s="124"/>
      <c r="E95" s="124"/>
      <c r="F95" s="124"/>
      <c r="G95" s="124"/>
      <c r="H95" s="124"/>
      <c r="I95" s="124"/>
      <c r="J95" s="124"/>
      <c r="K95" s="124"/>
      <c r="L95" s="124"/>
      <c r="O95" s="122"/>
      <c r="P95" s="122"/>
      <c r="Q95" s="122"/>
      <c r="R95" s="122"/>
      <c r="S95" s="122"/>
      <c r="T95" s="122"/>
      <c r="U95" s="122"/>
      <c r="V95" s="122"/>
      <c r="W95" s="122"/>
      <c r="X95" s="122"/>
    </row>
    <row r="96" spans="1:24" ht="16.5">
      <c r="A96" s="1072"/>
      <c r="B96" s="122" t="s">
        <v>202</v>
      </c>
      <c r="C96" s="122" t="s">
        <v>202</v>
      </c>
      <c r="D96" s="111"/>
      <c r="E96" s="111"/>
      <c r="F96" s="111"/>
      <c r="G96" s="111"/>
      <c r="H96" s="111"/>
      <c r="I96" s="111"/>
      <c r="J96" s="111"/>
      <c r="K96" s="111"/>
      <c r="L96" s="111"/>
      <c r="O96" s="122"/>
      <c r="S96" s="788"/>
      <c r="T96" s="788"/>
      <c r="U96" s="788"/>
      <c r="V96" s="1057"/>
      <c r="W96" s="1057"/>
      <c r="X96" s="788"/>
    </row>
    <row r="97" spans="1:24" ht="16.5">
      <c r="A97" s="919"/>
      <c r="B97" s="122" t="s">
        <v>240</v>
      </c>
      <c r="C97" s="122" t="s">
        <v>194</v>
      </c>
      <c r="D97" s="1057"/>
      <c r="E97" s="1057"/>
      <c r="F97" s="1057"/>
      <c r="G97" s="1057"/>
      <c r="H97" s="1057"/>
      <c r="I97" s="1057"/>
      <c r="J97" s="1057"/>
      <c r="K97" s="1057"/>
      <c r="L97" s="1057"/>
      <c r="O97" s="122"/>
      <c r="S97" s="788"/>
      <c r="T97" s="788"/>
      <c r="U97" s="788"/>
      <c r="V97" s="1057"/>
      <c r="W97" s="1057"/>
      <c r="X97" s="788"/>
    </row>
    <row r="98" spans="1:24">
      <c r="A98" s="1073" t="s">
        <v>196</v>
      </c>
      <c r="B98" s="85">
        <f ca="1">'Area Reduction'!$C$32*'Land Coeffs 5deg'!C98</f>
        <v>0.64032410326856204</v>
      </c>
      <c r="C98" s="85">
        <f>FORECAST('1-Eng Inputs'!$C$44,CHOOSE({1,2},'Land Coeffs 5deg'!C46,'Land Coeffs 5deg'!C73),CHOOSE({1,2},4.25,8.5))</f>
        <v>1.8682352941176474</v>
      </c>
      <c r="D98" s="1132"/>
      <c r="E98" s="1132"/>
      <c r="F98" s="1132"/>
      <c r="G98" s="1132"/>
      <c r="H98" s="1132"/>
      <c r="I98" s="1132"/>
      <c r="J98" s="1132"/>
      <c r="K98" s="1132"/>
      <c r="L98" s="1132"/>
      <c r="M98" s="1133"/>
      <c r="N98" s="1133"/>
      <c r="O98" s="1134"/>
      <c r="S98" s="788"/>
      <c r="T98" s="788"/>
      <c r="U98" s="788"/>
      <c r="V98" s="1057"/>
      <c r="W98" s="1057"/>
      <c r="X98" s="788"/>
    </row>
    <row r="99" spans="1:24">
      <c r="A99" s="1074" t="s">
        <v>197</v>
      </c>
      <c r="B99" s="86">
        <f ca="1">'Area Reduction'!$C$32*'Land Coeffs 5deg'!C99</f>
        <v>0.95484098018888841</v>
      </c>
      <c r="C99" s="86">
        <f>FORECAST('1-Eng Inputs'!$C$44,CHOOSE({1,2},'Land Coeffs 5deg'!C47,'Land Coeffs 5deg'!C74),CHOOSE({1,2},4.25,8.5))</f>
        <v>2.7858823529411767</v>
      </c>
      <c r="D99" s="1132"/>
      <c r="E99" s="1132"/>
      <c r="F99" s="1132"/>
      <c r="G99" s="1132"/>
      <c r="H99" s="1132"/>
      <c r="I99" s="1132"/>
      <c r="J99" s="1132"/>
      <c r="K99" s="1132"/>
      <c r="L99" s="1132"/>
      <c r="M99" s="1133"/>
      <c r="N99" s="1133"/>
      <c r="O99" s="1134"/>
      <c r="S99" s="788"/>
      <c r="T99" s="788"/>
      <c r="U99" s="788"/>
      <c r="V99" s="1057"/>
      <c r="W99" s="1057"/>
      <c r="X99" s="788"/>
    </row>
    <row r="100" spans="1:24">
      <c r="A100" s="1075" t="s">
        <v>198</v>
      </c>
      <c r="B100" s="87">
        <f ca="1">'Area Reduction'!$C$32*'Land Coeffs 5deg'!C100</f>
        <v>0.37016217052930722</v>
      </c>
      <c r="C100" s="87">
        <f>FORECAST('1-Eng Inputs'!$C$44,CHOOSE({1,2},'Land Coeffs 5deg'!C48,'Land Coeffs 5deg'!C75),CHOOSE({1,2},4.25,8.5))</f>
        <v>1.08</v>
      </c>
      <c r="D100" s="1132"/>
      <c r="E100" s="1132"/>
      <c r="F100" s="1132"/>
      <c r="G100" s="1132"/>
      <c r="H100" s="1132"/>
      <c r="I100" s="1132"/>
      <c r="J100" s="1132"/>
      <c r="K100" s="1132"/>
      <c r="L100" s="1132"/>
      <c r="M100" s="1133"/>
      <c r="N100" s="1133"/>
      <c r="O100" s="1134"/>
      <c r="S100" s="788"/>
      <c r="T100" s="788"/>
      <c r="U100" s="788"/>
      <c r="V100" s="1057"/>
      <c r="W100" s="1057"/>
      <c r="X100" s="788"/>
    </row>
    <row r="101" spans="1:24">
      <c r="A101" s="1076" t="s">
        <v>199</v>
      </c>
      <c r="B101" s="88">
        <f ca="1">'Area Reduction'!$C$32*'Land Coeffs 5deg'!C101</f>
        <v>0.6342757017893248</v>
      </c>
      <c r="C101" s="88">
        <f>FORECAST('1-Eng Inputs'!$C$44,CHOOSE({1,2},'Land Coeffs 5deg'!C49,'Land Coeffs 5deg'!C76),CHOOSE({1,2},4.25,8.5))</f>
        <v>1.8505882352941174</v>
      </c>
      <c r="D101" s="1132"/>
      <c r="E101" s="1132"/>
      <c r="F101" s="1132"/>
      <c r="G101" s="1132"/>
      <c r="H101" s="1132"/>
      <c r="I101" s="1132"/>
      <c r="J101" s="1132"/>
      <c r="K101" s="1132"/>
      <c r="L101" s="1132"/>
      <c r="M101" s="1133"/>
      <c r="N101" s="1133"/>
      <c r="O101" s="1134"/>
      <c r="S101" s="788"/>
      <c r="T101" s="788"/>
      <c r="U101" s="788"/>
      <c r="V101" s="1057"/>
      <c r="W101" s="1057"/>
      <c r="X101" s="788"/>
    </row>
    <row r="102" spans="1:24">
      <c r="A102" s="1077" t="s">
        <v>200</v>
      </c>
      <c r="B102" s="89">
        <f ca="1">'Area Reduction'!$C$32*'Land Coeffs 5deg'!C102</f>
        <v>0.37016217052930722</v>
      </c>
      <c r="C102" s="89">
        <f>FORECAST('1-Eng Inputs'!$C$44,CHOOSE({1,2},'Land Coeffs 5deg'!C50,'Land Coeffs 5deg'!C77),CHOOSE({1,2},4.25,8.5))</f>
        <v>1.08</v>
      </c>
      <c r="D102" s="1132"/>
      <c r="E102" s="1132"/>
      <c r="F102" s="1132"/>
      <c r="G102" s="1132"/>
      <c r="H102" s="1132"/>
      <c r="I102" s="1132"/>
      <c r="J102" s="1132"/>
      <c r="K102" s="1132"/>
      <c r="L102" s="1132"/>
      <c r="M102" s="1133"/>
      <c r="N102" s="1133"/>
      <c r="O102" s="1134"/>
      <c r="S102" s="788"/>
      <c r="T102" s="788"/>
      <c r="U102" s="788"/>
      <c r="V102" s="1057"/>
      <c r="W102" s="1057"/>
      <c r="X102" s="788"/>
    </row>
    <row r="103" spans="1:24">
      <c r="A103" s="1078" t="s">
        <v>201</v>
      </c>
      <c r="B103" s="123">
        <f ca="1">'Area Reduction'!$C$32*'Land Coeffs 5deg'!C103</f>
        <v>0.6342757017893248</v>
      </c>
      <c r="C103" s="123">
        <f>FORECAST('1-Eng Inputs'!$C$44,CHOOSE({1,2},'Land Coeffs 5deg'!C51,'Land Coeffs 5deg'!C78),CHOOSE({1,2},4.25,8.5))</f>
        <v>1.8505882352941174</v>
      </c>
      <c r="D103" s="1132"/>
      <c r="E103" s="1132"/>
      <c r="F103" s="1132"/>
      <c r="G103" s="1132"/>
      <c r="H103" s="1132"/>
      <c r="I103" s="1132"/>
      <c r="J103" s="1132"/>
      <c r="K103" s="1132"/>
      <c r="L103" s="1132"/>
      <c r="M103" s="1133"/>
      <c r="N103" s="1133"/>
      <c r="O103" s="1134"/>
      <c r="S103" s="788"/>
      <c r="T103" s="788"/>
      <c r="U103" s="788"/>
      <c r="V103" s="1057"/>
      <c r="W103" s="1057"/>
      <c r="X103" s="788"/>
    </row>
  </sheetData>
  <mergeCells count="7">
    <mergeCell ref="C84:W84"/>
    <mergeCell ref="C5:W5"/>
    <mergeCell ref="Z5:AA8"/>
    <mergeCell ref="Z15:AA18"/>
    <mergeCell ref="C59:W59"/>
    <mergeCell ref="C32:W32"/>
    <mergeCell ref="Z43:AA46"/>
  </mergeCells>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tabColor theme="9" tint="0.59999389629810485"/>
  </sheetPr>
  <dimension ref="A1:AD33"/>
  <sheetViews>
    <sheetView zoomScaleNormal="100" workbookViewId="0">
      <selection activeCell="C5" sqref="C5"/>
    </sheetView>
  </sheetViews>
  <sheetFormatPr defaultColWidth="8.7109375" defaultRowHeight="12.75" customHeight="1"/>
  <cols>
    <col min="1" max="1" width="65.42578125" style="789" customWidth="1"/>
    <col min="2" max="2" width="12.28515625" style="789" bestFit="1" customWidth="1"/>
    <col min="3" max="23" width="7.85546875" style="1367" customWidth="1"/>
    <col min="24" max="16384" width="8.7109375" style="789"/>
  </cols>
  <sheetData>
    <row r="1" spans="1:30" s="1065" customFormat="1" ht="12.75" customHeight="1">
      <c r="B1" s="1157"/>
      <c r="C1" s="1349"/>
      <c r="D1" s="1349"/>
      <c r="E1" s="1349"/>
      <c r="F1" s="1349"/>
      <c r="G1" s="1349"/>
      <c r="H1" s="1349"/>
      <c r="I1" s="1349"/>
      <c r="J1" s="1349"/>
      <c r="K1" s="1349"/>
      <c r="L1" s="1349"/>
      <c r="M1" s="1349"/>
      <c r="N1" s="1349"/>
      <c r="O1" s="1349"/>
      <c r="P1" s="1349"/>
      <c r="Q1" s="1349"/>
      <c r="R1" s="1349"/>
      <c r="S1" s="1349"/>
      <c r="T1" s="1349"/>
      <c r="U1" s="1349"/>
      <c r="V1" s="1349"/>
      <c r="W1" s="1349"/>
    </row>
    <row r="2" spans="1:30" ht="13.5" customHeight="1">
      <c r="A2" s="29"/>
      <c r="B2" s="1158" t="str">
        <f>'Land Coeffs 5deg'!B7</f>
        <v>rows</v>
      </c>
      <c r="C2" s="1350">
        <f>'Land Coeffs 5deg'!C7</f>
        <v>1</v>
      </c>
      <c r="D2" s="1350">
        <f>'Land Coeffs 5deg'!D7</f>
        <v>1</v>
      </c>
      <c r="E2" s="1350">
        <f>'Land Coeffs 5deg'!E7</f>
        <v>1</v>
      </c>
      <c r="F2" s="1350">
        <f>'Land Coeffs 5deg'!F7</f>
        <v>1</v>
      </c>
      <c r="G2" s="1350">
        <f>'Land Coeffs 5deg'!G7</f>
        <v>1</v>
      </c>
      <c r="H2" s="1351">
        <f>'Land Coeffs 5deg'!H7</f>
        <v>2</v>
      </c>
      <c r="I2" s="1350">
        <f>'Land Coeffs 5deg'!I7</f>
        <v>2</v>
      </c>
      <c r="J2" s="1350">
        <f>'Land Coeffs 5deg'!J7</f>
        <v>2</v>
      </c>
      <c r="K2" s="1350">
        <f>'Land Coeffs 5deg'!K7</f>
        <v>2</v>
      </c>
      <c r="L2" s="1350">
        <f>'Land Coeffs 5deg'!L7</f>
        <v>2</v>
      </c>
      <c r="M2" s="1351">
        <f>'Land Coeffs 5deg'!M7</f>
        <v>3</v>
      </c>
      <c r="N2" s="1350">
        <f>'Land Coeffs 5deg'!N7</f>
        <v>3</v>
      </c>
      <c r="O2" s="1350">
        <f>'Land Coeffs 5deg'!O7</f>
        <v>3</v>
      </c>
      <c r="P2" s="1350">
        <f>'Land Coeffs 5deg'!P7</f>
        <v>3</v>
      </c>
      <c r="Q2" s="1350">
        <f>'Land Coeffs 5deg'!Q7</f>
        <v>3</v>
      </c>
      <c r="R2" s="1351">
        <f>'Land Coeffs 5deg'!R7</f>
        <v>4</v>
      </c>
      <c r="S2" s="1352">
        <f>'Land Coeffs 5deg'!S7</f>
        <v>4</v>
      </c>
      <c r="T2" s="1353">
        <f>'Land Coeffs 5deg'!T7</f>
        <v>4</v>
      </c>
      <c r="U2" s="1350">
        <f>'Land Coeffs 5deg'!U7</f>
        <v>5</v>
      </c>
      <c r="V2" s="1353">
        <f>'Land Coeffs 5deg'!V7</f>
        <v>5</v>
      </c>
      <c r="W2" s="1350">
        <f>'Land Coeffs 5deg'!W7</f>
        <v>6</v>
      </c>
      <c r="X2" s="1172" t="s">
        <v>226</v>
      </c>
      <c r="Y2" s="104" t="s">
        <v>406</v>
      </c>
      <c r="Z2" s="104"/>
      <c r="AA2" s="104"/>
      <c r="AB2" s="104"/>
      <c r="AC2" s="104"/>
      <c r="AD2" s="104"/>
    </row>
    <row r="3" spans="1:30">
      <c r="A3" s="29" t="s">
        <v>204</v>
      </c>
      <c r="B3" s="1158" t="s">
        <v>20107</v>
      </c>
      <c r="C3" s="1350">
        <f>'Land Coeffs 5deg'!C8</f>
        <v>1</v>
      </c>
      <c r="D3" s="1350">
        <f>'Land Coeffs 5deg'!D8</f>
        <v>2</v>
      </c>
      <c r="E3" s="1350">
        <f>'Land Coeffs 5deg'!E8</f>
        <v>3</v>
      </c>
      <c r="F3" s="1350">
        <f>'Land Coeffs 5deg'!F8</f>
        <v>4</v>
      </c>
      <c r="G3" s="1350">
        <f>'Land Coeffs 5deg'!G8</f>
        <v>5</v>
      </c>
      <c r="H3" s="1351">
        <f>'Land Coeffs 5deg'!H8</f>
        <v>1</v>
      </c>
      <c r="I3" s="1350">
        <f>'Land Coeffs 5deg'!I8</f>
        <v>2</v>
      </c>
      <c r="J3" s="1350">
        <f>'Land Coeffs 5deg'!J8</f>
        <v>3</v>
      </c>
      <c r="K3" s="1350">
        <f>'Land Coeffs 5deg'!K8</f>
        <v>4</v>
      </c>
      <c r="L3" s="1350">
        <f>'Land Coeffs 5deg'!L8</f>
        <v>5</v>
      </c>
      <c r="M3" s="1351">
        <f>'Land Coeffs 5deg'!M8</f>
        <v>1</v>
      </c>
      <c r="N3" s="1350">
        <f>'Land Coeffs 5deg'!N8</f>
        <v>2</v>
      </c>
      <c r="O3" s="1350">
        <f>'Land Coeffs 5deg'!O8</f>
        <v>3</v>
      </c>
      <c r="P3" s="1350">
        <f>'Land Coeffs 5deg'!P8</f>
        <v>4</v>
      </c>
      <c r="Q3" s="1350">
        <f>'Land Coeffs 5deg'!Q8</f>
        <v>5</v>
      </c>
      <c r="R3" s="1351">
        <f>'Land Coeffs 5deg'!R8</f>
        <v>1</v>
      </c>
      <c r="S3" s="1352">
        <f>'Land Coeffs 5deg'!S8</f>
        <v>4</v>
      </c>
      <c r="T3" s="1353">
        <f>'Land Coeffs 5deg'!T8</f>
        <v>5</v>
      </c>
      <c r="U3" s="1350">
        <f>'Land Coeffs 5deg'!U8</f>
        <v>1</v>
      </c>
      <c r="V3" s="1353">
        <f>'Land Coeffs 5deg'!V8</f>
        <v>5</v>
      </c>
      <c r="W3" s="1350">
        <f>'Land Coeffs 5deg'!W8</f>
        <v>6</v>
      </c>
    </row>
    <row r="4" spans="1:30">
      <c r="A4" s="23" t="s">
        <v>206</v>
      </c>
      <c r="B4" s="23" t="s">
        <v>87</v>
      </c>
      <c r="C4" s="1354">
        <f>(factors!$B$39)*'Land Coeffs 5deg'!C9</f>
        <v>-22.309727908669615</v>
      </c>
      <c r="D4" s="1354">
        <f>(factors!$B$39)*'Land Coeffs 5deg'!D9</f>
        <v>-25.951085797211093</v>
      </c>
      <c r="E4" s="1354">
        <f>(factors!$B$39)*'Land Coeffs 5deg'!E9</f>
        <v>-22.412301370318673</v>
      </c>
      <c r="F4" s="1354">
        <f>(factors!$B$39)*'Land Coeffs 5deg'!F9</f>
        <v>-20.053111752390389</v>
      </c>
      <c r="G4" s="1354">
        <f>(factors!$B$39)*'Land Coeffs 5deg'!G9</f>
        <v>-17.69392213446211</v>
      </c>
      <c r="H4" s="1355">
        <f>(factors!$B$39)*'Land Coeffs 5deg'!H9</f>
        <v>-29.489870224103516</v>
      </c>
      <c r="I4" s="1354">
        <f>(factors!$B$39)*'Land Coeffs 5deg'!I9</f>
        <v>-23.591896179282813</v>
      </c>
      <c r="J4" s="1354">
        <f>(factors!$B$39)*'Land Coeffs 5deg'!J9</f>
        <v>-18.87351694342625</v>
      </c>
      <c r="K4" s="1354">
        <f>(factors!$B$39)*'Land Coeffs 5deg'!K9</f>
        <v>-17.69392213446211</v>
      </c>
      <c r="L4" s="1354">
        <f>(factors!$B$39)*'Land Coeffs 5deg'!L9</f>
        <v>-16.51432732549797</v>
      </c>
      <c r="M4" s="1355">
        <f>(factors!$B$39)*'Land Coeffs 5deg'!M9</f>
        <v>-24.771490988246949</v>
      </c>
      <c r="N4" s="1354">
        <f>(factors!$B$39)*'Land Coeffs 5deg'!N9</f>
        <v>-21.232706561354529</v>
      </c>
      <c r="O4" s="1354">
        <f>(factors!$B$39)*'Land Coeffs 5deg'!O9</f>
        <v>-17.69392213446211</v>
      </c>
      <c r="P4" s="1354">
        <f>(factors!$B$39)*'Land Coeffs 5deg'!P9</f>
        <v>-16.51432732549797</v>
      </c>
      <c r="Q4" s="1354">
        <f>(factors!$B$39)*'Land Coeffs 5deg'!Q9</f>
        <v>-15.33473251653383</v>
      </c>
      <c r="R4" s="1355">
        <f>(factors!$B$39)*'Land Coeffs 5deg'!R9</f>
        <v>-21.232706561354529</v>
      </c>
      <c r="S4" s="1356">
        <f>(factors!$B$39)*'Land Coeffs 5deg'!S9</f>
        <v>-15.33473251653383</v>
      </c>
      <c r="T4" s="1357">
        <f>(factors!$B$39)*'Land Coeffs 5deg'!T9</f>
        <v>-12.975542898605546</v>
      </c>
      <c r="U4" s="1354">
        <f>(factors!$B$39)*'Land Coeffs 5deg'!U9</f>
        <v>-17.69392213446211</v>
      </c>
      <c r="V4" s="1357">
        <f>(factors!$B$39)*'Land Coeffs 5deg'!V9</f>
        <v>-11.795948089641406</v>
      </c>
      <c r="W4" s="1354">
        <f>(factors!$B$39)*'Land Coeffs 5deg'!W9</f>
        <v>-10.616353280677265</v>
      </c>
      <c r="X4" s="862">
        <f>(factors!$B$39)*'Land Coeffs 5deg'!X9</f>
        <v>19.232524059197946</v>
      </c>
      <c r="Y4" s="68">
        <f>MAX(X4:X29)</f>
        <v>26.925533682877127</v>
      </c>
    </row>
    <row r="5" spans="1:30">
      <c r="A5" s="23" t="s">
        <v>103</v>
      </c>
      <c r="B5" s="23" t="s">
        <v>39</v>
      </c>
      <c r="C5" s="1354">
        <f>C4*factors!$B$14</f>
        <v>-479.82394781208808</v>
      </c>
      <c r="D5" s="1354">
        <f>D4*factors!$B$14</f>
        <v>-558.14004044348633</v>
      </c>
      <c r="E5" s="1354">
        <f>E4*factors!$B$14</f>
        <v>-482.03003492846551</v>
      </c>
      <c r="F5" s="1354">
        <f>F4*factors!$B$14</f>
        <v>-431.29003125178491</v>
      </c>
      <c r="G5" s="1354">
        <f>G4*factors!$B$14</f>
        <v>-380.55002757510437</v>
      </c>
      <c r="H5" s="1355">
        <f>H4*factors!$B$14</f>
        <v>-634.25004595850726</v>
      </c>
      <c r="I5" s="1354">
        <f>I4*factors!$B$14</f>
        <v>-507.40003676680578</v>
      </c>
      <c r="J5" s="1354">
        <f>J4*factors!$B$14</f>
        <v>-405.92002941344464</v>
      </c>
      <c r="K5" s="1354">
        <f>K4*factors!$B$14</f>
        <v>-380.55002757510437</v>
      </c>
      <c r="L5" s="1354">
        <f>L4*factors!$B$14</f>
        <v>-355.18002573676409</v>
      </c>
      <c r="M5" s="1355">
        <f>M4*factors!$B$14</f>
        <v>-532.77003860514594</v>
      </c>
      <c r="N5" s="1354">
        <f>N4*factors!$B$14</f>
        <v>-456.66003309012518</v>
      </c>
      <c r="O5" s="1354">
        <f>O4*factors!$B$14</f>
        <v>-380.55002757510437</v>
      </c>
      <c r="P5" s="1354">
        <f>P4*factors!$B$14</f>
        <v>-355.18002573676409</v>
      </c>
      <c r="Q5" s="1354">
        <f>Q4*factors!$B$14</f>
        <v>-329.81002389842382</v>
      </c>
      <c r="R5" s="1355">
        <f>R4*factors!$B$14</f>
        <v>-456.66003309012518</v>
      </c>
      <c r="S5" s="1356">
        <f>S4*factors!$B$14</f>
        <v>-329.81002389842382</v>
      </c>
      <c r="T5" s="1357">
        <f>T4*factors!$B$14</f>
        <v>-279.07002022174316</v>
      </c>
      <c r="U5" s="1354">
        <f>U4*factors!$B$14</f>
        <v>-380.55002757510437</v>
      </c>
      <c r="V5" s="1357">
        <f>V4*factors!$B$14</f>
        <v>-253.70001838340289</v>
      </c>
      <c r="W5" s="1354">
        <f>W4*factors!$B$14</f>
        <v>-228.33001654506259</v>
      </c>
      <c r="X5" s="1066"/>
    </row>
    <row r="6" spans="1:30">
      <c r="A6" s="23" t="str">
        <f>"DLFUz=Uplift design load using ASD combo #7 = dLF1*0.6 + WLFUz*"&amp;IF('1-Eng Inputs'!$C$35=2010,"0.6","1.0")</f>
        <v>DLFUz=Uplift design load using ASD combo #7 = dLF1*0.6 + WLFUz*0.6</v>
      </c>
      <c r="B6" s="23" t="s">
        <v>39</v>
      </c>
      <c r="C6" s="1354">
        <f>(factors!$B$6*factors!$D$12)+(C5*factors!$B$5)</f>
        <v>-248.37596868725285</v>
      </c>
      <c r="D6" s="1354">
        <f>(factors!$B$6*factors!$D$12)+(D5*factors!$B$5)</f>
        <v>-295.3656242660918</v>
      </c>
      <c r="E6" s="1354">
        <f>(factors!$B$6*factors!$D$12)+(E5*factors!$B$5)</f>
        <v>-249.69962095707933</v>
      </c>
      <c r="F6" s="1354">
        <f>(factors!$B$6*factors!$D$12)+(F5*factors!$B$5)</f>
        <v>-219.25561875107093</v>
      </c>
      <c r="G6" s="1354">
        <f>(factors!$B$6*factors!$D$12)+(G5*factors!$B$5)</f>
        <v>-188.81161654506263</v>
      </c>
      <c r="H6" s="1355">
        <f>(factors!$B$6*factors!$D$12)+(H5*factors!$B$5)</f>
        <v>-341.03162757510438</v>
      </c>
      <c r="I6" s="1354">
        <f>(factors!$B$6*factors!$D$12)+(I5*factors!$B$5)</f>
        <v>-264.92162206008345</v>
      </c>
      <c r="J6" s="1354">
        <f>(factors!$B$6*factors!$D$12)+(J5*factors!$B$5)</f>
        <v>-204.03361764806675</v>
      </c>
      <c r="K6" s="1354">
        <f>(factors!$B$6*factors!$D$12)+(K5*factors!$B$5)</f>
        <v>-188.81161654506263</v>
      </c>
      <c r="L6" s="1354">
        <f>(factors!$B$6*factors!$D$12)+(L5*factors!$B$5)</f>
        <v>-173.58961544205846</v>
      </c>
      <c r="M6" s="1355">
        <f>(factors!$B$6*factors!$D$12)+(M5*factors!$B$5)</f>
        <v>-280.14362316308757</v>
      </c>
      <c r="N6" s="1354">
        <f>(factors!$B$6*factors!$D$12)+(N5*factors!$B$5)</f>
        <v>-234.4776198540751</v>
      </c>
      <c r="O6" s="1354">
        <f>(factors!$B$6*factors!$D$12)+(O5*factors!$B$5)</f>
        <v>-188.81161654506263</v>
      </c>
      <c r="P6" s="1354">
        <f>(factors!$B$6*factors!$D$12)+(P5*factors!$B$5)</f>
        <v>-173.58961544205846</v>
      </c>
      <c r="Q6" s="1354">
        <f>(factors!$B$6*factors!$D$12)+(Q5*factors!$B$5)</f>
        <v>-158.36761433905428</v>
      </c>
      <c r="R6" s="1355">
        <f>(factors!$B$6*factors!$D$12)+(R5*factors!$B$5)</f>
        <v>-234.4776198540751</v>
      </c>
      <c r="S6" s="1356">
        <f>(factors!$B$6*factors!$D$12)+(S5*factors!$B$5)</f>
        <v>-158.36761433905428</v>
      </c>
      <c r="T6" s="1357">
        <f>(factors!$B$6*factors!$D$12)+(T5*factors!$B$5)</f>
        <v>-127.92361213304589</v>
      </c>
      <c r="U6" s="1354">
        <f>(factors!$B$6*factors!$D$12)+(U5*factors!$B$5)</f>
        <v>-188.81161654506263</v>
      </c>
      <c r="V6" s="1357">
        <f>(factors!$B$6*factors!$D$12)+(V5*factors!$B$5)</f>
        <v>-112.70161103004172</v>
      </c>
      <c r="W6" s="1354">
        <f>(factors!$B$6*factors!$D$12)+(W5*factors!$B$5)</f>
        <v>-97.479609927037544</v>
      </c>
      <c r="X6" s="1066"/>
    </row>
    <row r="7" spans="1:30">
      <c r="A7" s="29" t="str">
        <f>"BWuz=ballast weight required to resist wind uplift= -DLFUz/0.6"</f>
        <v>BWuz=ballast weight required to resist wind uplift= -DLFUz/0.6</v>
      </c>
      <c r="B7" s="23" t="s">
        <v>39</v>
      </c>
      <c r="C7" s="1358">
        <f>-C6/factors!$B$6</f>
        <v>413.9599478120881</v>
      </c>
      <c r="D7" s="1358">
        <f>-D6/factors!$B$6</f>
        <v>492.27604044348635</v>
      </c>
      <c r="E7" s="1358">
        <f>-E6/factors!$B$6</f>
        <v>416.16603492846559</v>
      </c>
      <c r="F7" s="1358">
        <f>-F6/factors!$B$6</f>
        <v>365.42603125178488</v>
      </c>
      <c r="G7" s="1358">
        <f>-G6/factors!$B$6</f>
        <v>314.68602757510439</v>
      </c>
      <c r="H7" s="1359">
        <f>-H6/factors!$B$6</f>
        <v>568.38604595850734</v>
      </c>
      <c r="I7" s="1358">
        <f>-I6/factors!$B$6</f>
        <v>441.53603676680575</v>
      </c>
      <c r="J7" s="1360">
        <f>-J6/factors!$B$6</f>
        <v>340.05602941344461</v>
      </c>
      <c r="K7" s="1360">
        <f>-K6/factors!$B$6</f>
        <v>314.68602757510439</v>
      </c>
      <c r="L7" s="1360">
        <f>-L6/factors!$B$6</f>
        <v>289.31602573676412</v>
      </c>
      <c r="M7" s="1359">
        <f>-M6/factors!$B$6</f>
        <v>466.90603860514597</v>
      </c>
      <c r="N7" s="1358">
        <f>-N6/factors!$B$6</f>
        <v>390.79603309012521</v>
      </c>
      <c r="O7" s="1360">
        <f>-O6/factors!$B$6</f>
        <v>314.68602757510439</v>
      </c>
      <c r="P7" s="1360">
        <f>-P6/factors!$B$6</f>
        <v>289.31602573676412</v>
      </c>
      <c r="Q7" s="1360">
        <f>-Q6/factors!$B$6</f>
        <v>263.94602389842385</v>
      </c>
      <c r="R7" s="1359">
        <f>-R6/factors!$B$6</f>
        <v>390.79603309012521</v>
      </c>
      <c r="S7" s="1361">
        <f>-S6/factors!$B$6</f>
        <v>263.94602389842385</v>
      </c>
      <c r="T7" s="1362">
        <f>-T6/factors!$B$6</f>
        <v>213.20602022174316</v>
      </c>
      <c r="U7" s="1358">
        <f>-U6/factors!$B$6</f>
        <v>314.68602757510439</v>
      </c>
      <c r="V7" s="1362">
        <f>-V6/factors!$B$6</f>
        <v>187.83601838340286</v>
      </c>
      <c r="W7" s="1358">
        <f>-W6/factors!$B$6</f>
        <v>162.46601654506259</v>
      </c>
      <c r="X7" s="1067"/>
    </row>
    <row r="8" spans="1:30">
      <c r="A8" s="29" t="s">
        <v>213</v>
      </c>
      <c r="C8" s="1363"/>
      <c r="D8" s="1363"/>
      <c r="E8" s="1363"/>
      <c r="F8" s="1363"/>
      <c r="G8" s="1363"/>
      <c r="H8" s="1364"/>
      <c r="I8" s="1363"/>
      <c r="J8" s="1363"/>
      <c r="K8" s="1363"/>
      <c r="L8" s="1363"/>
      <c r="M8" s="1364"/>
      <c r="N8" s="1363"/>
      <c r="O8" s="1363"/>
      <c r="P8" s="1363"/>
      <c r="Q8" s="1363"/>
      <c r="R8" s="1364"/>
      <c r="S8" s="1365"/>
      <c r="T8" s="1366"/>
      <c r="U8" s="1363"/>
      <c r="V8" s="1366"/>
      <c r="W8" s="1363"/>
      <c r="X8" s="207"/>
    </row>
    <row r="9" spans="1:30">
      <c r="A9" s="23" t="s">
        <v>206</v>
      </c>
      <c r="B9" s="23" t="s">
        <v>87</v>
      </c>
      <c r="C9" s="1354">
        <f>(factors!$B$39)*'Land Coeffs 5deg'!C10</f>
        <v>-19.232524059197946</v>
      </c>
      <c r="D9" s="1354">
        <f>(factors!$B$39)*'Land Coeffs 5deg'!D10</f>
        <v>-24.771490988246949</v>
      </c>
      <c r="E9" s="1354">
        <f>(factors!$B$39)*'Land Coeffs 5deg'!E10</f>
        <v>-21.232706561354529</v>
      </c>
      <c r="F9" s="1354">
        <f>(factors!$B$39)*'Land Coeffs 5deg'!F10</f>
        <v>-20.053111752390389</v>
      </c>
      <c r="G9" s="1354">
        <f>(factors!$B$39)*'Land Coeffs 5deg'!G10</f>
        <v>-17.69392213446211</v>
      </c>
      <c r="H9" s="1355">
        <f>(factors!$B$39)*'Land Coeffs 5deg'!H10</f>
        <v>-20.053111752390389</v>
      </c>
      <c r="I9" s="1354">
        <f>(factors!$B$39)*'Land Coeffs 5deg'!I10</f>
        <v>-17.69392213446211</v>
      </c>
      <c r="J9" s="1354">
        <f>(factors!$B$39)*'Land Coeffs 5deg'!J10</f>
        <v>-16.51432732549797</v>
      </c>
      <c r="K9" s="1354">
        <f>(factors!$B$39)*'Land Coeffs 5deg'!K10</f>
        <v>-14.155137707569686</v>
      </c>
      <c r="L9" s="1354">
        <f>(factors!$B$39)*'Land Coeffs 5deg'!L10</f>
        <v>-12.975542898605546</v>
      </c>
      <c r="M9" s="1355">
        <f>(factors!$B$39)*'Land Coeffs 5deg'!M10</f>
        <v>-17.69392213446211</v>
      </c>
      <c r="N9" s="1354">
        <f>(factors!$B$39)*'Land Coeffs 5deg'!N10</f>
        <v>-16.51432732549797</v>
      </c>
      <c r="O9" s="1354">
        <f>(factors!$B$39)*'Land Coeffs 5deg'!O10</f>
        <v>-15.33473251653383</v>
      </c>
      <c r="P9" s="1354">
        <f>(factors!$B$39)*'Land Coeffs 5deg'!P10</f>
        <v>-12.975542898605546</v>
      </c>
      <c r="Q9" s="1354">
        <f>(factors!$B$39)*'Land Coeffs 5deg'!Q10</f>
        <v>-12.975542898605546</v>
      </c>
      <c r="R9" s="1355">
        <f>(factors!$B$39)*'Land Coeffs 5deg'!R10</f>
        <v>-17.69392213446211</v>
      </c>
      <c r="S9" s="1356">
        <f>(factors!$B$39)*'Land Coeffs 5deg'!S10</f>
        <v>-12.975542898605546</v>
      </c>
      <c r="T9" s="1357">
        <f>(factors!$B$39)*'Land Coeffs 5deg'!T10</f>
        <v>-11.795948089641406</v>
      </c>
      <c r="U9" s="1354">
        <f>(factors!$B$39)*'Land Coeffs 5deg'!U10</f>
        <v>-16.51432732549797</v>
      </c>
      <c r="V9" s="1357">
        <f>(factors!$B$39)*'Land Coeffs 5deg'!V10</f>
        <v>-10.616353280677265</v>
      </c>
      <c r="W9" s="1354">
        <f>(factors!$B$39)*'Land Coeffs 5deg'!W10</f>
        <v>-9.4367584717131248</v>
      </c>
      <c r="X9" s="862">
        <f>(factors!$B$39)*'Land Coeffs 5deg'!X10</f>
        <v>17.69392213446211</v>
      </c>
    </row>
    <row r="10" spans="1:30">
      <c r="A10" s="23" t="s">
        <v>103</v>
      </c>
      <c r="B10" s="23" t="s">
        <v>39</v>
      </c>
      <c r="C10" s="1354">
        <f>C9*factors!$B$14</f>
        <v>-413.64133432076562</v>
      </c>
      <c r="D10" s="1354">
        <f>D9*factors!$B$14</f>
        <v>-532.77003860514594</v>
      </c>
      <c r="E10" s="1354">
        <f>E9*factors!$B$14</f>
        <v>-456.66003309012518</v>
      </c>
      <c r="F10" s="1354">
        <f>F9*factors!$B$14</f>
        <v>-431.29003125178491</v>
      </c>
      <c r="G10" s="1354">
        <f>G9*factors!$B$14</f>
        <v>-380.55002757510437</v>
      </c>
      <c r="H10" s="1355">
        <f>H9*factors!$B$14</f>
        <v>-431.29003125178491</v>
      </c>
      <c r="I10" s="1354">
        <f>I9*factors!$B$14</f>
        <v>-380.55002757510437</v>
      </c>
      <c r="J10" s="1354">
        <f>J9*factors!$B$14</f>
        <v>-355.18002573676409</v>
      </c>
      <c r="K10" s="1354">
        <f>K9*factors!$B$14</f>
        <v>-304.44002206008344</v>
      </c>
      <c r="L10" s="1354">
        <f>L9*factors!$B$14</f>
        <v>-279.07002022174316</v>
      </c>
      <c r="M10" s="1355">
        <f>M9*factors!$B$14</f>
        <v>-380.55002757510437</v>
      </c>
      <c r="N10" s="1354">
        <f>N9*factors!$B$14</f>
        <v>-355.18002573676409</v>
      </c>
      <c r="O10" s="1354">
        <f>O9*factors!$B$14</f>
        <v>-329.81002389842382</v>
      </c>
      <c r="P10" s="1354">
        <f>P9*factors!$B$14</f>
        <v>-279.07002022174316</v>
      </c>
      <c r="Q10" s="1354">
        <f>Q9*factors!$B$14</f>
        <v>-279.07002022174316</v>
      </c>
      <c r="R10" s="1355">
        <f>R9*factors!$B$14</f>
        <v>-380.55002757510437</v>
      </c>
      <c r="S10" s="1356">
        <f>S9*factors!$B$14</f>
        <v>-279.07002022174316</v>
      </c>
      <c r="T10" s="1357">
        <f>T9*factors!$B$14</f>
        <v>-253.70001838340289</v>
      </c>
      <c r="U10" s="1354">
        <f>U9*factors!$B$14</f>
        <v>-355.18002573676409</v>
      </c>
      <c r="V10" s="1357">
        <f>V9*factors!$B$14</f>
        <v>-228.33001654506259</v>
      </c>
      <c r="W10" s="1354">
        <f>W9*factors!$B$14</f>
        <v>-202.96001470672232</v>
      </c>
      <c r="X10" s="1066"/>
    </row>
    <row r="11" spans="1:30">
      <c r="A11" s="23" t="str">
        <f>"DLFUz=Uplift design load using ASD combo #7 = dLF1*0.6 + WLFUz*"&amp;IF('1-Eng Inputs'!$C$35=2010,"0.6","1.0")</f>
        <v>DLFUz=Uplift design load using ASD combo #7 = dLF1*0.6 + WLFUz*0.6</v>
      </c>
      <c r="B11" s="23" t="s">
        <v>39</v>
      </c>
      <c r="C11" s="1354">
        <f>(factors!$B$6*factors!$D$12)+(C10*factors!$B$5)</f>
        <v>-208.66640059245935</v>
      </c>
      <c r="D11" s="1354">
        <f>(factors!$B$6*factors!$D$12)+(D10*factors!$B$5)</f>
        <v>-280.14362316308757</v>
      </c>
      <c r="E11" s="1354">
        <f>(factors!$B$6*factors!$D$12)+(E10*factors!$B$5)</f>
        <v>-234.4776198540751</v>
      </c>
      <c r="F11" s="1354">
        <f>(factors!$B$6*factors!$D$12)+(F10*factors!$B$5)</f>
        <v>-219.25561875107093</v>
      </c>
      <c r="G11" s="1354">
        <f>(factors!$B$6*factors!$D$12)+(G10*factors!$B$5)</f>
        <v>-188.81161654506263</v>
      </c>
      <c r="H11" s="1355">
        <f>(factors!$B$6*factors!$D$12)+(H10*factors!$B$5)</f>
        <v>-219.25561875107093</v>
      </c>
      <c r="I11" s="1354">
        <f>(factors!$B$6*factors!$D$12)+(I10*factors!$B$5)</f>
        <v>-188.81161654506263</v>
      </c>
      <c r="J11" s="1354">
        <f>(factors!$B$6*factors!$D$12)+(J10*factors!$B$5)</f>
        <v>-173.58961544205846</v>
      </c>
      <c r="K11" s="1354">
        <f>(factors!$B$6*factors!$D$12)+(K10*factors!$B$5)</f>
        <v>-143.14561323605005</v>
      </c>
      <c r="L11" s="1354">
        <f>(factors!$B$6*factors!$D$12)+(L10*factors!$B$5)</f>
        <v>-127.92361213304589</v>
      </c>
      <c r="M11" s="1355">
        <f>(factors!$B$6*factors!$D$12)+(M10*factors!$B$5)</f>
        <v>-188.81161654506263</v>
      </c>
      <c r="N11" s="1354">
        <f>(factors!$B$6*factors!$D$12)+(N10*factors!$B$5)</f>
        <v>-173.58961544205846</v>
      </c>
      <c r="O11" s="1354">
        <f>(factors!$B$6*factors!$D$12)+(O10*factors!$B$5)</f>
        <v>-158.36761433905428</v>
      </c>
      <c r="P11" s="1354">
        <f>(factors!$B$6*factors!$D$12)+(P10*factors!$B$5)</f>
        <v>-127.92361213304589</v>
      </c>
      <c r="Q11" s="1354">
        <f>(factors!$B$6*factors!$D$12)+(Q10*factors!$B$5)</f>
        <v>-127.92361213304589</v>
      </c>
      <c r="R11" s="1355">
        <f>(factors!$B$6*factors!$D$12)+(R10*factors!$B$5)</f>
        <v>-188.81161654506263</v>
      </c>
      <c r="S11" s="1356">
        <f>(factors!$B$6*factors!$D$12)+(S10*factors!$B$5)</f>
        <v>-127.92361213304589</v>
      </c>
      <c r="T11" s="1357">
        <f>(factors!$B$6*factors!$D$12)+(T10*factors!$B$5)</f>
        <v>-112.70161103004172</v>
      </c>
      <c r="U11" s="1354">
        <f>(factors!$B$6*factors!$D$12)+(U10*factors!$B$5)</f>
        <v>-173.58961544205846</v>
      </c>
      <c r="V11" s="1357">
        <f>(factors!$B$6*factors!$D$12)+(V10*factors!$B$5)</f>
        <v>-97.479609927037544</v>
      </c>
      <c r="W11" s="1354">
        <f>(factors!$B$6*factors!$D$12)+(W10*factors!$B$5)</f>
        <v>-82.257608824033383</v>
      </c>
      <c r="X11" s="1066"/>
    </row>
    <row r="12" spans="1:30">
      <c r="A12" s="29" t="str">
        <f>"BWuz=ballast weight required to resist wind uplift= -DLFUz/0.6"</f>
        <v>BWuz=ballast weight required to resist wind uplift= -DLFUz/0.6</v>
      </c>
      <c r="B12" s="23" t="s">
        <v>39</v>
      </c>
      <c r="C12" s="1358">
        <f>-C11/factors!$B$6</f>
        <v>347.77733432076559</v>
      </c>
      <c r="D12" s="1358">
        <f>-D11/factors!$B$6</f>
        <v>466.90603860514597</v>
      </c>
      <c r="E12" s="1358">
        <f>-E11/factors!$B$6</f>
        <v>390.79603309012521</v>
      </c>
      <c r="F12" s="1358">
        <f>-F11/factors!$B$6</f>
        <v>365.42603125178488</v>
      </c>
      <c r="G12" s="1358">
        <f>-G11/factors!$B$6</f>
        <v>314.68602757510439</v>
      </c>
      <c r="H12" s="1359">
        <f>-H11/factors!$B$6</f>
        <v>365.42603125178488</v>
      </c>
      <c r="I12" s="1358">
        <f>-I11/factors!$B$6</f>
        <v>314.68602757510439</v>
      </c>
      <c r="J12" s="1358">
        <f>-J11/factors!$B$6</f>
        <v>289.31602573676412</v>
      </c>
      <c r="K12" s="1358">
        <f>-K11/factors!$B$6</f>
        <v>238.57602206008343</v>
      </c>
      <c r="L12" s="1360">
        <f>-L11/factors!$B$6</f>
        <v>213.20602022174316</v>
      </c>
      <c r="M12" s="1359">
        <f>-M11/factors!$B$6</f>
        <v>314.68602757510439</v>
      </c>
      <c r="N12" s="1358">
        <f>-N11/factors!$B$6</f>
        <v>289.31602573676412</v>
      </c>
      <c r="O12" s="1358">
        <f>-O11/factors!$B$6</f>
        <v>263.94602389842385</v>
      </c>
      <c r="P12" s="1358">
        <f>-P11/factors!$B$6</f>
        <v>213.20602022174316</v>
      </c>
      <c r="Q12" s="1360">
        <f>-Q11/factors!$B$6</f>
        <v>213.20602022174316</v>
      </c>
      <c r="R12" s="1359">
        <f>-R11/factors!$B$6</f>
        <v>314.68602757510439</v>
      </c>
      <c r="S12" s="1361">
        <f>-S11/factors!$B$6</f>
        <v>213.20602022174316</v>
      </c>
      <c r="T12" s="1362">
        <f>-T11/factors!$B$6</f>
        <v>187.83601838340286</v>
      </c>
      <c r="U12" s="1358">
        <f>-U11/factors!$B$6</f>
        <v>289.31602573676412</v>
      </c>
      <c r="V12" s="1362">
        <f>-V11/factors!$B$6</f>
        <v>162.46601654506259</v>
      </c>
      <c r="W12" s="1358">
        <f>-W11/factors!$B$6</f>
        <v>137.09601470672231</v>
      </c>
      <c r="X12" s="1067"/>
    </row>
    <row r="13" spans="1:30">
      <c r="A13" s="29" t="s">
        <v>225</v>
      </c>
      <c r="C13" s="1363"/>
      <c r="D13" s="1363"/>
      <c r="E13" s="1363"/>
      <c r="F13" s="1363"/>
      <c r="G13" s="1363"/>
      <c r="H13" s="1364"/>
      <c r="I13" s="1363"/>
      <c r="J13" s="1363"/>
      <c r="K13" s="1363"/>
      <c r="L13" s="1363"/>
      <c r="M13" s="1364"/>
      <c r="N13" s="1363"/>
      <c r="O13" s="1363"/>
      <c r="P13" s="1363"/>
      <c r="Q13" s="1363"/>
      <c r="R13" s="1364"/>
      <c r="S13" s="1365"/>
      <c r="T13" s="1366"/>
      <c r="U13" s="1363"/>
      <c r="V13" s="1366"/>
      <c r="W13" s="1363"/>
      <c r="X13" s="207"/>
    </row>
    <row r="14" spans="1:30">
      <c r="A14" s="23" t="s">
        <v>206</v>
      </c>
      <c r="B14" s="23" t="s">
        <v>87</v>
      </c>
      <c r="C14" s="1354">
        <f>(factors!$B$39)*'Land Coeffs 5deg'!C11</f>
        <v>-22.309727908669615</v>
      </c>
      <c r="D14" s="1354">
        <f>(factors!$B$39)*'Land Coeffs 5deg'!D11</f>
        <v>-23.591896179282813</v>
      </c>
      <c r="E14" s="1354">
        <f>(factors!$B$39)*'Land Coeffs 5deg'!E11</f>
        <v>-20.053111752390389</v>
      </c>
      <c r="F14" s="1354">
        <f>(factors!$B$39)*'Land Coeffs 5deg'!F11</f>
        <v>-17.69392213446211</v>
      </c>
      <c r="G14" s="1354">
        <f>(factors!$B$39)*'Land Coeffs 5deg'!G11</f>
        <v>-16.51432732549797</v>
      </c>
      <c r="H14" s="1355">
        <f>(factors!$B$39)*'Land Coeffs 5deg'!H11</f>
        <v>-28.310275415139373</v>
      </c>
      <c r="I14" s="1354">
        <f>(factors!$B$39)*'Land Coeffs 5deg'!I11</f>
        <v>-23.591896179282813</v>
      </c>
      <c r="J14" s="1354">
        <f>(factors!$B$39)*'Land Coeffs 5deg'!J11</f>
        <v>-18.87351694342625</v>
      </c>
      <c r="K14" s="1354">
        <f>(factors!$B$39)*'Land Coeffs 5deg'!K11</f>
        <v>-16.51432732549797</v>
      </c>
      <c r="L14" s="1354">
        <f>(factors!$B$39)*'Land Coeffs 5deg'!L11</f>
        <v>-15.33473251653383</v>
      </c>
      <c r="M14" s="1355">
        <f>(factors!$B$39)*'Land Coeffs 5deg'!M11</f>
        <v>-24.771490988246949</v>
      </c>
      <c r="N14" s="1354">
        <f>(factors!$B$39)*'Land Coeffs 5deg'!N11</f>
        <v>-17.69392213446211</v>
      </c>
      <c r="O14" s="1354">
        <f>(factors!$B$39)*'Land Coeffs 5deg'!O11</f>
        <v>-15.33473251653383</v>
      </c>
      <c r="P14" s="1354">
        <f>(factors!$B$39)*'Land Coeffs 5deg'!P11</f>
        <v>-14.155137707569686</v>
      </c>
      <c r="Q14" s="1354">
        <f>(factors!$B$39)*'Land Coeffs 5deg'!Q11</f>
        <v>-12.975542898605546</v>
      </c>
      <c r="R14" s="1355">
        <f>(factors!$B$39)*'Land Coeffs 5deg'!R11</f>
        <v>-17.69392213446211</v>
      </c>
      <c r="S14" s="1356">
        <f>(factors!$B$39)*'Land Coeffs 5deg'!S11</f>
        <v>-12.975542898605546</v>
      </c>
      <c r="T14" s="1357">
        <f>(factors!$B$39)*'Land Coeffs 5deg'!T11</f>
        <v>-11.795948089641406</v>
      </c>
      <c r="U14" s="1354">
        <f>(factors!$B$39)*'Land Coeffs 5deg'!U11</f>
        <v>-15.33473251653383</v>
      </c>
      <c r="V14" s="1357">
        <f>(factors!$B$39)*'Land Coeffs 5deg'!V11</f>
        <v>-10.616353280677265</v>
      </c>
      <c r="W14" s="1354">
        <f>(factors!$B$39)*'Land Coeffs 5deg'!W11</f>
        <v>-9.4367584717131248</v>
      </c>
      <c r="X14" s="862">
        <f>(factors!$B$39)*'Land Coeffs 5deg'!X11</f>
        <v>19.232524059197946</v>
      </c>
    </row>
    <row r="15" spans="1:30">
      <c r="A15" s="23" t="s">
        <v>103</v>
      </c>
      <c r="B15" s="23" t="s">
        <v>39</v>
      </c>
      <c r="C15" s="1354">
        <f>C14*factors!$B$14</f>
        <v>-479.82394781208808</v>
      </c>
      <c r="D15" s="1354">
        <f>D14*factors!$B$14</f>
        <v>-507.40003676680578</v>
      </c>
      <c r="E15" s="1354">
        <f>E14*factors!$B$14</f>
        <v>-431.29003125178491</v>
      </c>
      <c r="F15" s="1354">
        <f>F14*factors!$B$14</f>
        <v>-380.55002757510437</v>
      </c>
      <c r="G15" s="1354">
        <f>G14*factors!$B$14</f>
        <v>-355.18002573676409</v>
      </c>
      <c r="H15" s="1355">
        <f>H14*factors!$B$14</f>
        <v>-608.88004412016687</v>
      </c>
      <c r="I15" s="1354">
        <f>I14*factors!$B$14</f>
        <v>-507.40003676680578</v>
      </c>
      <c r="J15" s="1354">
        <f>J14*factors!$B$14</f>
        <v>-405.92002941344464</v>
      </c>
      <c r="K15" s="1354">
        <f>K14*factors!$B$14</f>
        <v>-355.18002573676409</v>
      </c>
      <c r="L15" s="1354">
        <f>L14*factors!$B$14</f>
        <v>-329.81002389842382</v>
      </c>
      <c r="M15" s="1355">
        <f>M14*factors!$B$14</f>
        <v>-532.77003860514594</v>
      </c>
      <c r="N15" s="1354">
        <f>N14*factors!$B$14</f>
        <v>-380.55002757510437</v>
      </c>
      <c r="O15" s="1354">
        <f>O14*factors!$B$14</f>
        <v>-329.81002389842382</v>
      </c>
      <c r="P15" s="1354">
        <f>P14*factors!$B$14</f>
        <v>-304.44002206008344</v>
      </c>
      <c r="Q15" s="1354">
        <f>Q14*factors!$B$14</f>
        <v>-279.07002022174316</v>
      </c>
      <c r="R15" s="1355">
        <f>R14*factors!$B$14</f>
        <v>-380.55002757510437</v>
      </c>
      <c r="S15" s="1356">
        <f>S14*factors!$B$14</f>
        <v>-279.07002022174316</v>
      </c>
      <c r="T15" s="1357">
        <f>T14*factors!$B$14</f>
        <v>-253.70001838340289</v>
      </c>
      <c r="U15" s="1354">
        <f>U14*factors!$B$14</f>
        <v>-329.81002389842382</v>
      </c>
      <c r="V15" s="1357">
        <f>V14*factors!$B$14</f>
        <v>-228.33001654506259</v>
      </c>
      <c r="W15" s="1354">
        <f>W14*factors!$B$14</f>
        <v>-202.96001470672232</v>
      </c>
      <c r="X15" s="1066"/>
    </row>
    <row r="16" spans="1:30">
      <c r="A16" s="23" t="str">
        <f>"DLFUz=Uplift design load using ASD combo #7 = dLF1*0.6 + WLFUz*"&amp;IF('1-Eng Inputs'!$C$35=2010,"0.6","1.0")</f>
        <v>DLFUz=Uplift design load using ASD combo #7 = dLF1*0.6 + WLFUz*0.6</v>
      </c>
      <c r="B16" s="23" t="s">
        <v>39</v>
      </c>
      <c r="C16" s="1354">
        <f>(factors!$B$6*factors!$D$12)+(C15*factors!$B$5)</f>
        <v>-248.37596868725285</v>
      </c>
      <c r="D16" s="1354">
        <f>(factors!$B$6*factors!$D$12)+(D15*factors!$B$5)</f>
        <v>-264.92162206008345</v>
      </c>
      <c r="E16" s="1354">
        <f>(factors!$B$6*factors!$D$12)+(E15*factors!$B$5)</f>
        <v>-219.25561875107093</v>
      </c>
      <c r="F16" s="1354">
        <f>(factors!$B$6*factors!$D$12)+(F15*factors!$B$5)</f>
        <v>-188.81161654506263</v>
      </c>
      <c r="G16" s="1354">
        <f>(factors!$B$6*factors!$D$12)+(G15*factors!$B$5)</f>
        <v>-173.58961544205846</v>
      </c>
      <c r="H16" s="1355">
        <f>(factors!$B$6*factors!$D$12)+(H15*factors!$B$5)</f>
        <v>-325.80962647210015</v>
      </c>
      <c r="I16" s="1354">
        <f>(factors!$B$6*factors!$D$12)+(I15*factors!$B$5)</f>
        <v>-264.92162206008345</v>
      </c>
      <c r="J16" s="1354">
        <f>(factors!$B$6*factors!$D$12)+(J15*factors!$B$5)</f>
        <v>-204.03361764806675</v>
      </c>
      <c r="K16" s="1354">
        <f>(factors!$B$6*factors!$D$12)+(K15*factors!$B$5)</f>
        <v>-173.58961544205846</v>
      </c>
      <c r="L16" s="1354">
        <f>(factors!$B$6*factors!$D$12)+(L15*factors!$B$5)</f>
        <v>-158.36761433905428</v>
      </c>
      <c r="M16" s="1355">
        <f>(factors!$B$6*factors!$D$12)+(M15*factors!$B$5)</f>
        <v>-280.14362316308757</v>
      </c>
      <c r="N16" s="1354">
        <f>(factors!$B$6*factors!$D$12)+(N15*factors!$B$5)</f>
        <v>-188.81161654506263</v>
      </c>
      <c r="O16" s="1354">
        <f>(factors!$B$6*factors!$D$12)+(O15*factors!$B$5)</f>
        <v>-158.36761433905428</v>
      </c>
      <c r="P16" s="1354">
        <f>(factors!$B$6*factors!$D$12)+(P15*factors!$B$5)</f>
        <v>-143.14561323605005</v>
      </c>
      <c r="Q16" s="1354">
        <f>(factors!$B$6*factors!$D$12)+(Q15*factors!$B$5)</f>
        <v>-127.92361213304589</v>
      </c>
      <c r="R16" s="1355">
        <f>(factors!$B$6*factors!$D$12)+(R15*factors!$B$5)</f>
        <v>-188.81161654506263</v>
      </c>
      <c r="S16" s="1356">
        <f>(factors!$B$6*factors!$D$12)+(S15*factors!$B$5)</f>
        <v>-127.92361213304589</v>
      </c>
      <c r="T16" s="1357">
        <f>(factors!$B$6*factors!$D$12)+(T15*factors!$B$5)</f>
        <v>-112.70161103004172</v>
      </c>
      <c r="U16" s="1354">
        <f>(factors!$B$6*factors!$D$12)+(U15*factors!$B$5)</f>
        <v>-158.36761433905428</v>
      </c>
      <c r="V16" s="1357">
        <f>(factors!$B$6*factors!$D$12)+(V15*factors!$B$5)</f>
        <v>-97.479609927037544</v>
      </c>
      <c r="W16" s="1354">
        <f>(factors!$B$6*factors!$D$12)+(W15*factors!$B$5)</f>
        <v>-82.257608824033383</v>
      </c>
      <c r="X16" s="1066"/>
    </row>
    <row r="17" spans="1:24" s="104" customFormat="1">
      <c r="A17" s="29" t="str">
        <f>"BWuz=ballast weight required to resist wind uplift= -DLFUz/0.6"</f>
        <v>BWuz=ballast weight required to resist wind uplift= -DLFUz/0.6</v>
      </c>
      <c r="B17" s="29" t="s">
        <v>39</v>
      </c>
      <c r="C17" s="1358">
        <f>-C16/factors!$B$6</f>
        <v>413.9599478120881</v>
      </c>
      <c r="D17" s="1358">
        <f>-D16/factors!$B$6</f>
        <v>441.53603676680575</v>
      </c>
      <c r="E17" s="1358">
        <f>-E16/factors!$B$6</f>
        <v>365.42603125178488</v>
      </c>
      <c r="F17" s="1358">
        <f>-F16/factors!$B$6</f>
        <v>314.68602757510439</v>
      </c>
      <c r="G17" s="1358">
        <f>-G16/factors!$B$6</f>
        <v>289.31602573676412</v>
      </c>
      <c r="H17" s="1359">
        <f>-H16/factors!$B$6</f>
        <v>543.01604412016695</v>
      </c>
      <c r="I17" s="1358">
        <f>-I16/factors!$B$6</f>
        <v>441.53603676680575</v>
      </c>
      <c r="J17" s="1358">
        <f>-J16/factors!$B$6</f>
        <v>340.05602941344461</v>
      </c>
      <c r="K17" s="1358">
        <f>-K16/factors!$B$6</f>
        <v>289.31602573676412</v>
      </c>
      <c r="L17" s="1358">
        <f>-L16/factors!$B$6</f>
        <v>263.94602389842385</v>
      </c>
      <c r="M17" s="1359">
        <f>-M16/factors!$B$6</f>
        <v>466.90603860514597</v>
      </c>
      <c r="N17" s="1358">
        <f>-N16/factors!$B$6</f>
        <v>314.68602757510439</v>
      </c>
      <c r="O17" s="1360">
        <f>-O16/factors!$B$6</f>
        <v>263.94602389842385</v>
      </c>
      <c r="P17" s="1360">
        <f>-P16/factors!$B$6</f>
        <v>238.57602206008343</v>
      </c>
      <c r="Q17" s="1360">
        <f>-Q16/factors!$B$6</f>
        <v>213.20602022174316</v>
      </c>
      <c r="R17" s="1359">
        <f>-R16/factors!$B$6</f>
        <v>314.68602757510439</v>
      </c>
      <c r="S17" s="1361">
        <f>-S16/factors!$B$6</f>
        <v>213.20602022174316</v>
      </c>
      <c r="T17" s="1362">
        <f>-T16/factors!$B$6</f>
        <v>187.83601838340286</v>
      </c>
      <c r="U17" s="1358">
        <f>-U16/factors!$B$6</f>
        <v>263.94602389842385</v>
      </c>
      <c r="V17" s="1362">
        <f>-V16/factors!$B$6</f>
        <v>162.46601654506259</v>
      </c>
      <c r="W17" s="1358">
        <f>-W16/factors!$B$6</f>
        <v>137.09601470672231</v>
      </c>
      <c r="X17" s="1067"/>
    </row>
    <row r="18" spans="1:24">
      <c r="A18" s="29" t="s">
        <v>199</v>
      </c>
      <c r="C18" s="1363"/>
      <c r="D18" s="1363"/>
      <c r="E18" s="1363"/>
      <c r="F18" s="1363"/>
      <c r="G18" s="1363"/>
      <c r="H18" s="1364"/>
      <c r="I18" s="1363"/>
      <c r="J18" s="1363"/>
      <c r="K18" s="1363"/>
      <c r="L18" s="1363"/>
      <c r="M18" s="1364"/>
      <c r="N18" s="1363"/>
      <c r="O18" s="1363"/>
      <c r="P18" s="1363"/>
      <c r="Q18" s="1363"/>
      <c r="R18" s="1364"/>
      <c r="S18" s="1365"/>
      <c r="T18" s="1366"/>
      <c r="U18" s="1363"/>
      <c r="V18" s="1366"/>
      <c r="W18" s="1363"/>
      <c r="X18" s="207"/>
    </row>
    <row r="19" spans="1:24">
      <c r="A19" s="23" t="s">
        <v>206</v>
      </c>
      <c r="B19" s="23" t="s">
        <v>87</v>
      </c>
      <c r="C19" s="1354">
        <f>(factors!$B$39)*'Land Coeffs 5deg'!C12</f>
        <v>-17.69392213446211</v>
      </c>
      <c r="D19" s="1354">
        <f>(factors!$B$39)*'Land Coeffs 5deg'!D12</f>
        <v>-23.591896179282813</v>
      </c>
      <c r="E19" s="1354">
        <f>(factors!$B$39)*'Land Coeffs 5deg'!E12</f>
        <v>-20.053111752390389</v>
      </c>
      <c r="F19" s="1354">
        <f>(factors!$B$39)*'Land Coeffs 5deg'!F12</f>
        <v>-17.69392213446211</v>
      </c>
      <c r="G19" s="1354">
        <f>(factors!$B$39)*'Land Coeffs 5deg'!G12</f>
        <v>-16.51432732549797</v>
      </c>
      <c r="H19" s="1355">
        <f>(factors!$B$39)*'Land Coeffs 5deg'!H12</f>
        <v>-20.053111752390389</v>
      </c>
      <c r="I19" s="1354">
        <f>(factors!$B$39)*'Land Coeffs 5deg'!I12</f>
        <v>-17.69392213446211</v>
      </c>
      <c r="J19" s="1354">
        <f>(factors!$B$39)*'Land Coeffs 5deg'!J12</f>
        <v>-16.51432732549797</v>
      </c>
      <c r="K19" s="1354">
        <f>(factors!$B$39)*'Land Coeffs 5deg'!K12</f>
        <v>-14.155137707569686</v>
      </c>
      <c r="L19" s="1354">
        <f>(factors!$B$39)*'Land Coeffs 5deg'!L12</f>
        <v>-12.975542898605546</v>
      </c>
      <c r="M19" s="1355">
        <f>(factors!$B$39)*'Land Coeffs 5deg'!M12</f>
        <v>-17.69392213446211</v>
      </c>
      <c r="N19" s="1354">
        <f>(factors!$B$39)*'Land Coeffs 5deg'!N12</f>
        <v>-16.51432732549797</v>
      </c>
      <c r="O19" s="1354">
        <f>(factors!$B$39)*'Land Coeffs 5deg'!O12</f>
        <v>-15.33473251653383</v>
      </c>
      <c r="P19" s="1354">
        <f>(factors!$B$39)*'Land Coeffs 5deg'!P12</f>
        <v>-12.975542898605546</v>
      </c>
      <c r="Q19" s="1354">
        <f>(factors!$B$39)*'Land Coeffs 5deg'!Q12</f>
        <v>-12.975542898605546</v>
      </c>
      <c r="R19" s="1355">
        <f>(factors!$B$39)*'Land Coeffs 5deg'!R12</f>
        <v>-17.69392213446211</v>
      </c>
      <c r="S19" s="1356">
        <f>(factors!$B$39)*'Land Coeffs 5deg'!S12</f>
        <v>-12.975542898605546</v>
      </c>
      <c r="T19" s="1357">
        <f>(factors!$B$39)*'Land Coeffs 5deg'!T12</f>
        <v>-11.795948089641406</v>
      </c>
      <c r="U19" s="1354">
        <f>(factors!$B$39)*'Land Coeffs 5deg'!U12</f>
        <v>-16.51432732549797</v>
      </c>
      <c r="V19" s="1357">
        <f>(factors!$B$39)*'Land Coeffs 5deg'!V12</f>
        <v>-10.616353280677265</v>
      </c>
      <c r="W19" s="1354">
        <f>(factors!$B$39)*'Land Coeffs 5deg'!W12</f>
        <v>-9.4367584717131248</v>
      </c>
      <c r="X19" s="862">
        <f>(factors!$B$39)*'Land Coeffs 5deg'!X12</f>
        <v>17.69392213446211</v>
      </c>
    </row>
    <row r="20" spans="1:24">
      <c r="A20" s="23" t="s">
        <v>103</v>
      </c>
      <c r="B20" s="23" t="s">
        <v>39</v>
      </c>
      <c r="C20" s="1354">
        <f>C19*factors!$B$14</f>
        <v>-380.55002757510437</v>
      </c>
      <c r="D20" s="1354">
        <f>D19*factors!$B$14</f>
        <v>-507.40003676680578</v>
      </c>
      <c r="E20" s="1354">
        <f>E19*factors!$B$14</f>
        <v>-431.29003125178491</v>
      </c>
      <c r="F20" s="1354">
        <f>F19*factors!$B$14</f>
        <v>-380.55002757510437</v>
      </c>
      <c r="G20" s="1354">
        <f>G19*factors!$B$14</f>
        <v>-355.18002573676409</v>
      </c>
      <c r="H20" s="1355">
        <f>H19*factors!$B$14</f>
        <v>-431.29003125178491</v>
      </c>
      <c r="I20" s="1354">
        <f>I19*factors!$B$14</f>
        <v>-380.55002757510437</v>
      </c>
      <c r="J20" s="1354">
        <f>J19*factors!$B$14</f>
        <v>-355.18002573676409</v>
      </c>
      <c r="K20" s="1354">
        <f>K19*factors!$B$14</f>
        <v>-304.44002206008344</v>
      </c>
      <c r="L20" s="1354">
        <f>L19*factors!$B$14</f>
        <v>-279.07002022174316</v>
      </c>
      <c r="M20" s="1355">
        <f>M19*factors!$B$14</f>
        <v>-380.55002757510437</v>
      </c>
      <c r="N20" s="1354">
        <f>N19*factors!$B$14</f>
        <v>-355.18002573676409</v>
      </c>
      <c r="O20" s="1354">
        <f>O19*factors!$B$14</f>
        <v>-329.81002389842382</v>
      </c>
      <c r="P20" s="1354">
        <f>P19*factors!$B$14</f>
        <v>-279.07002022174316</v>
      </c>
      <c r="Q20" s="1354">
        <f>Q19*factors!$B$14</f>
        <v>-279.07002022174316</v>
      </c>
      <c r="R20" s="1355">
        <f>R19*factors!$B$14</f>
        <v>-380.55002757510437</v>
      </c>
      <c r="S20" s="1356">
        <f>S19*factors!$B$14</f>
        <v>-279.07002022174316</v>
      </c>
      <c r="T20" s="1357">
        <f>T19*factors!$B$14</f>
        <v>-253.70001838340289</v>
      </c>
      <c r="U20" s="1354">
        <f>U19*factors!$B$14</f>
        <v>-355.18002573676409</v>
      </c>
      <c r="V20" s="1357">
        <f>V19*factors!$B$14</f>
        <v>-228.33001654506259</v>
      </c>
      <c r="W20" s="1354">
        <f>W19*factors!$B$14</f>
        <v>-202.96001470672232</v>
      </c>
      <c r="X20" s="1066"/>
    </row>
    <row r="21" spans="1:24">
      <c r="A21" s="23" t="str">
        <f>"DLFUz=Uplift design load using ASD combo #7 = dLF1*0.6 + WLFUz*"&amp;IF('1-Eng Inputs'!$C$35=2010,"0.6","1.0")</f>
        <v>DLFUz=Uplift design load using ASD combo #7 = dLF1*0.6 + WLFUz*0.6</v>
      </c>
      <c r="B21" s="23" t="s">
        <v>39</v>
      </c>
      <c r="C21" s="1354">
        <f>(factors!$B$6*factors!$D$12)+(C20*factors!$B$5)</f>
        <v>-188.81161654506263</v>
      </c>
      <c r="D21" s="1354">
        <f>(factors!$B$6*factors!$D$12)+(D20*factors!$B$5)</f>
        <v>-264.92162206008345</v>
      </c>
      <c r="E21" s="1354">
        <f>(factors!$B$6*factors!$D$12)+(E20*factors!$B$5)</f>
        <v>-219.25561875107093</v>
      </c>
      <c r="F21" s="1354">
        <f>(factors!$B$6*factors!$D$12)+(F20*factors!$B$5)</f>
        <v>-188.81161654506263</v>
      </c>
      <c r="G21" s="1354">
        <f>(factors!$B$6*factors!$D$12)+(G20*factors!$B$5)</f>
        <v>-173.58961544205846</v>
      </c>
      <c r="H21" s="1355">
        <f>(factors!$B$6*factors!$D$12)+(H20*factors!$B$5)</f>
        <v>-219.25561875107093</v>
      </c>
      <c r="I21" s="1354">
        <f>(factors!$B$6*factors!$D$12)+(I20*factors!$B$5)</f>
        <v>-188.81161654506263</v>
      </c>
      <c r="J21" s="1354">
        <f>(factors!$B$6*factors!$D$12)+(J20*factors!$B$5)</f>
        <v>-173.58961544205846</v>
      </c>
      <c r="K21" s="1354">
        <f>(factors!$B$6*factors!$D$12)+(K20*factors!$B$5)</f>
        <v>-143.14561323605005</v>
      </c>
      <c r="L21" s="1354">
        <f>(factors!$B$6*factors!$D$12)+(L20*factors!$B$5)</f>
        <v>-127.92361213304589</v>
      </c>
      <c r="M21" s="1355">
        <f>(factors!$B$6*factors!$D$12)+(M20*factors!$B$5)</f>
        <v>-188.81161654506263</v>
      </c>
      <c r="N21" s="1354">
        <f>(factors!$B$6*factors!$D$12)+(N20*factors!$B$5)</f>
        <v>-173.58961544205846</v>
      </c>
      <c r="O21" s="1354">
        <f>(factors!$B$6*factors!$D$12)+(O20*factors!$B$5)</f>
        <v>-158.36761433905428</v>
      </c>
      <c r="P21" s="1354">
        <f>(factors!$B$6*factors!$D$12)+(P20*factors!$B$5)</f>
        <v>-127.92361213304589</v>
      </c>
      <c r="Q21" s="1354">
        <f>(factors!$B$6*factors!$D$12)+(Q20*factors!$B$5)</f>
        <v>-127.92361213304589</v>
      </c>
      <c r="R21" s="1355">
        <f>(factors!$B$6*factors!$D$12)+(R20*factors!$B$5)</f>
        <v>-188.81161654506263</v>
      </c>
      <c r="S21" s="1356">
        <f>(factors!$B$6*factors!$D$12)+(S20*factors!$B$5)</f>
        <v>-127.92361213304589</v>
      </c>
      <c r="T21" s="1357">
        <f>(factors!$B$6*factors!$D$12)+(T20*factors!$B$5)</f>
        <v>-112.70161103004172</v>
      </c>
      <c r="U21" s="1354">
        <f>(factors!$B$6*factors!$D$12)+(U20*factors!$B$5)</f>
        <v>-173.58961544205846</v>
      </c>
      <c r="V21" s="1357">
        <f>(factors!$B$6*factors!$D$12)+(V20*factors!$B$5)</f>
        <v>-97.479609927037544</v>
      </c>
      <c r="W21" s="1354">
        <f>(factors!$B$6*factors!$D$12)+(W20*factors!$B$5)</f>
        <v>-82.257608824033383</v>
      </c>
      <c r="X21" s="1066"/>
    </row>
    <row r="22" spans="1:24">
      <c r="A22" s="29" t="str">
        <f>"BWuz=ballast weight required to resist wind uplift= -DLFUz/0.6"</f>
        <v>BWuz=ballast weight required to resist wind uplift= -DLFUz/0.6</v>
      </c>
      <c r="B22" s="23" t="s">
        <v>39</v>
      </c>
      <c r="C22" s="1358">
        <f>-C21/factors!$B$6</f>
        <v>314.68602757510439</v>
      </c>
      <c r="D22" s="1358">
        <f>-D21/factors!$B$6</f>
        <v>441.53603676680575</v>
      </c>
      <c r="E22" s="1358">
        <f>-E21/factors!$B$6</f>
        <v>365.42603125178488</v>
      </c>
      <c r="F22" s="1358">
        <f>-F21/factors!$B$6</f>
        <v>314.68602757510439</v>
      </c>
      <c r="G22" s="1358">
        <f>-G21/factors!$B$6</f>
        <v>289.31602573676412</v>
      </c>
      <c r="H22" s="1359">
        <f>-H21/factors!$B$6</f>
        <v>365.42603125178488</v>
      </c>
      <c r="I22" s="1358">
        <f>-I21/factors!$B$6</f>
        <v>314.68602757510439</v>
      </c>
      <c r="J22" s="1358">
        <f>-J21/factors!$B$6</f>
        <v>289.31602573676412</v>
      </c>
      <c r="K22" s="1358">
        <f>-K21/factors!$B$6</f>
        <v>238.57602206008343</v>
      </c>
      <c r="L22" s="1358">
        <f>-L21/factors!$B$6</f>
        <v>213.20602022174316</v>
      </c>
      <c r="M22" s="1359">
        <f>-M21/factors!$B$6</f>
        <v>314.68602757510439</v>
      </c>
      <c r="N22" s="1358">
        <f>-N21/factors!$B$6</f>
        <v>289.31602573676412</v>
      </c>
      <c r="O22" s="1358">
        <f>-O21/factors!$B$6</f>
        <v>263.94602389842385</v>
      </c>
      <c r="P22" s="1358">
        <f>-P21/factors!$B$6</f>
        <v>213.20602022174316</v>
      </c>
      <c r="Q22" s="1360">
        <f>-Q21/factors!$B$6</f>
        <v>213.20602022174316</v>
      </c>
      <c r="R22" s="1359">
        <f>-R21/factors!$B$6</f>
        <v>314.68602757510439</v>
      </c>
      <c r="S22" s="1361">
        <f>-S21/factors!$B$6</f>
        <v>213.20602022174316</v>
      </c>
      <c r="T22" s="1362">
        <f>-T21/factors!$B$6</f>
        <v>187.83601838340286</v>
      </c>
      <c r="U22" s="1358">
        <f>-U21/factors!$B$6</f>
        <v>289.31602573676412</v>
      </c>
      <c r="V22" s="1362">
        <f>-V21/factors!$B$6</f>
        <v>162.46601654506259</v>
      </c>
      <c r="W22" s="1358">
        <f>-W21/factors!$B$6</f>
        <v>137.09601470672231</v>
      </c>
      <c r="X22" s="1067"/>
    </row>
    <row r="23" spans="1:24">
      <c r="A23" s="29" t="s">
        <v>205</v>
      </c>
      <c r="C23" s="1363"/>
      <c r="D23" s="1363"/>
      <c r="E23" s="1363"/>
      <c r="F23" s="1363"/>
      <c r="G23" s="1363"/>
      <c r="H23" s="1364"/>
      <c r="I23" s="1363"/>
      <c r="J23" s="1363"/>
      <c r="K23" s="1363"/>
      <c r="L23" s="1363"/>
      <c r="M23" s="1364"/>
      <c r="N23" s="1363"/>
      <c r="O23" s="1363"/>
      <c r="P23" s="1363"/>
      <c r="Q23" s="1363"/>
      <c r="R23" s="1364"/>
      <c r="S23" s="1365"/>
      <c r="T23" s="1366"/>
      <c r="U23" s="1363"/>
      <c r="V23" s="1366"/>
      <c r="W23" s="1363"/>
      <c r="X23" s="207"/>
    </row>
    <row r="24" spans="1:24">
      <c r="A24" s="23" t="s">
        <v>206</v>
      </c>
      <c r="B24" s="23" t="s">
        <v>87</v>
      </c>
      <c r="C24" s="1354">
        <f>(factors!$B$39)*'Land Coeffs 5deg'!C13</f>
        <v>-23.848329833405451</v>
      </c>
      <c r="D24" s="1354">
        <f>(factors!$B$39)*'Land Coeffs 5deg'!D13</f>
        <v>-33.028654650995939</v>
      </c>
      <c r="E24" s="1354">
        <f>(factors!$B$39)*'Land Coeffs 5deg'!E13</f>
        <v>-27.130680606175233</v>
      </c>
      <c r="F24" s="1354">
        <f>(factors!$B$39)*'Land Coeffs 5deg'!F13</f>
        <v>-23.591896179282813</v>
      </c>
      <c r="G24" s="1354">
        <f>(factors!$B$39)*'Land Coeffs 5deg'!G13</f>
        <v>-22.412301370318673</v>
      </c>
      <c r="H24" s="1355">
        <f>(factors!$B$39)*'Land Coeffs 5deg'!H13</f>
        <v>-28.310275415139373</v>
      </c>
      <c r="I24" s="1354">
        <f>(factors!$B$39)*'Land Coeffs 5deg'!I13</f>
        <v>-23.591896179282813</v>
      </c>
      <c r="J24" s="1354">
        <f>(factors!$B$39)*'Land Coeffs 5deg'!J13</f>
        <v>-21.232706561354529</v>
      </c>
      <c r="K24" s="1354">
        <f>(factors!$B$39)*'Land Coeffs 5deg'!K13</f>
        <v>-17.69392213446211</v>
      </c>
      <c r="L24" s="1354">
        <f>(factors!$B$39)*'Land Coeffs 5deg'!L13</f>
        <v>-16.51432732549797</v>
      </c>
      <c r="M24" s="1355">
        <f>(factors!$B$39)*'Land Coeffs 5deg'!M13</f>
        <v>-24.771490988246949</v>
      </c>
      <c r="N24" s="1354">
        <f>(factors!$B$39)*'Land Coeffs 5deg'!N13</f>
        <v>-17.69392213446211</v>
      </c>
      <c r="O24" s="1354">
        <f>(factors!$B$39)*'Land Coeffs 5deg'!O13</f>
        <v>-15.33473251653383</v>
      </c>
      <c r="P24" s="1354">
        <f>(factors!$B$39)*'Land Coeffs 5deg'!P13</f>
        <v>-14.155137707569686</v>
      </c>
      <c r="Q24" s="1354">
        <f>(factors!$B$39)*'Land Coeffs 5deg'!Q13</f>
        <v>-12.975542898605546</v>
      </c>
      <c r="R24" s="1355">
        <f>(factors!$B$39)*'Land Coeffs 5deg'!R13</f>
        <v>-17.69392213446211</v>
      </c>
      <c r="S24" s="1356">
        <f>(factors!$B$39)*'Land Coeffs 5deg'!S13</f>
        <v>-12.975542898605546</v>
      </c>
      <c r="T24" s="1357">
        <f>(factors!$B$39)*'Land Coeffs 5deg'!T13</f>
        <v>-11.795948089641406</v>
      </c>
      <c r="U24" s="1354">
        <f>(factors!$B$39)*'Land Coeffs 5deg'!U13</f>
        <v>-15.33473251653383</v>
      </c>
      <c r="V24" s="1357">
        <f>(factors!$B$39)*'Land Coeffs 5deg'!V13</f>
        <v>-10.616353280677265</v>
      </c>
      <c r="W24" s="1354">
        <f>(factors!$B$39)*'Land Coeffs 5deg'!W13</f>
        <v>-9.4367584717131248</v>
      </c>
      <c r="X24" s="862">
        <f>(factors!$B$39)*'Land Coeffs 5deg'!X13</f>
        <v>26.925533682877127</v>
      </c>
    </row>
    <row r="25" spans="1:24">
      <c r="A25" s="23" t="s">
        <v>103</v>
      </c>
      <c r="B25" s="23" t="s">
        <v>39</v>
      </c>
      <c r="C25" s="1354">
        <f>C24*factors!$B$14</f>
        <v>-512.91525455774934</v>
      </c>
      <c r="D25" s="1354">
        <f>D24*factors!$B$14</f>
        <v>-710.36005147352819</v>
      </c>
      <c r="E25" s="1354">
        <f>E24*factors!$B$14</f>
        <v>-583.5100422818266</v>
      </c>
      <c r="F25" s="1354">
        <f>F24*factors!$B$14</f>
        <v>-507.40003676680578</v>
      </c>
      <c r="G25" s="1354">
        <f>G24*factors!$B$14</f>
        <v>-482.03003492846551</v>
      </c>
      <c r="H25" s="1355">
        <f>H24*factors!$B$14</f>
        <v>-608.88004412016687</v>
      </c>
      <c r="I25" s="1354">
        <f>I24*factors!$B$14</f>
        <v>-507.40003676680578</v>
      </c>
      <c r="J25" s="1354">
        <f>J24*factors!$B$14</f>
        <v>-456.66003309012518</v>
      </c>
      <c r="K25" s="1354">
        <f>K24*factors!$B$14</f>
        <v>-380.55002757510437</v>
      </c>
      <c r="L25" s="1354">
        <f>L24*factors!$B$14</f>
        <v>-355.18002573676409</v>
      </c>
      <c r="M25" s="1355">
        <f>M24*factors!$B$14</f>
        <v>-532.77003860514594</v>
      </c>
      <c r="N25" s="1354">
        <f>N24*factors!$B$14</f>
        <v>-380.55002757510437</v>
      </c>
      <c r="O25" s="1354">
        <f>O24*factors!$B$14</f>
        <v>-329.81002389842382</v>
      </c>
      <c r="P25" s="1354">
        <f>P24*factors!$B$14</f>
        <v>-304.44002206008344</v>
      </c>
      <c r="Q25" s="1354">
        <f>Q24*factors!$B$14</f>
        <v>-279.07002022174316</v>
      </c>
      <c r="R25" s="1355">
        <f>R24*factors!$B$14</f>
        <v>-380.55002757510437</v>
      </c>
      <c r="S25" s="1356">
        <f>S24*factors!$B$14</f>
        <v>-279.07002022174316</v>
      </c>
      <c r="T25" s="1357">
        <f>T24*factors!$B$14</f>
        <v>-253.70001838340289</v>
      </c>
      <c r="U25" s="1354">
        <f>U24*factors!$B$14</f>
        <v>-329.81002389842382</v>
      </c>
      <c r="V25" s="1357">
        <f>V24*factors!$B$14</f>
        <v>-228.33001654506259</v>
      </c>
      <c r="W25" s="1354">
        <f>W24*factors!$B$14</f>
        <v>-202.96001470672232</v>
      </c>
      <c r="X25" s="1066"/>
    </row>
    <row r="26" spans="1:24">
      <c r="A26" s="23" t="str">
        <f>"DLFUz=Uplift design load using ASD combo #7 = dLF1*0.6 + WLFUz*"&amp;IF('1-Eng Inputs'!$C$35=2010,"0.6","1.0")</f>
        <v>DLFUz=Uplift design load using ASD combo #7 = dLF1*0.6 + WLFUz*0.6</v>
      </c>
      <c r="B26" s="23" t="s">
        <v>39</v>
      </c>
      <c r="C26" s="1354">
        <f>(factors!$B$6*factors!$D$12)+(C25*factors!$B$5)</f>
        <v>-268.23075273464963</v>
      </c>
      <c r="D26" s="1354">
        <f>(factors!$B$6*factors!$D$12)+(D25*factors!$B$5)</f>
        <v>-386.6976308841169</v>
      </c>
      <c r="E26" s="1354">
        <f>(factors!$B$6*factors!$D$12)+(E25*factors!$B$5)</f>
        <v>-310.58762536909597</v>
      </c>
      <c r="F26" s="1354">
        <f>(factors!$B$6*factors!$D$12)+(F25*factors!$B$5)</f>
        <v>-264.92162206008345</v>
      </c>
      <c r="G26" s="1354">
        <f>(factors!$B$6*factors!$D$12)+(G25*factors!$B$5)</f>
        <v>-249.69962095707933</v>
      </c>
      <c r="H26" s="1355">
        <f>(factors!$B$6*factors!$D$12)+(H25*factors!$B$5)</f>
        <v>-325.80962647210015</v>
      </c>
      <c r="I26" s="1354">
        <f>(factors!$B$6*factors!$D$12)+(I25*factors!$B$5)</f>
        <v>-264.92162206008345</v>
      </c>
      <c r="J26" s="1354">
        <f>(factors!$B$6*factors!$D$12)+(J25*factors!$B$5)</f>
        <v>-234.4776198540751</v>
      </c>
      <c r="K26" s="1354">
        <f>(factors!$B$6*factors!$D$12)+(K25*factors!$B$5)</f>
        <v>-188.81161654506263</v>
      </c>
      <c r="L26" s="1354">
        <f>(factors!$B$6*factors!$D$12)+(L25*factors!$B$5)</f>
        <v>-173.58961544205846</v>
      </c>
      <c r="M26" s="1355">
        <f>(factors!$B$6*factors!$D$12)+(M25*factors!$B$5)</f>
        <v>-280.14362316308757</v>
      </c>
      <c r="N26" s="1354">
        <f>(factors!$B$6*factors!$D$12)+(N25*factors!$B$5)</f>
        <v>-188.81161654506263</v>
      </c>
      <c r="O26" s="1354">
        <f>(factors!$B$6*factors!$D$12)+(O25*factors!$B$5)</f>
        <v>-158.36761433905428</v>
      </c>
      <c r="P26" s="1354">
        <f>(factors!$B$6*factors!$D$12)+(P25*factors!$B$5)</f>
        <v>-143.14561323605005</v>
      </c>
      <c r="Q26" s="1354">
        <f>(factors!$B$6*factors!$D$12)+(Q25*factors!$B$5)</f>
        <v>-127.92361213304589</v>
      </c>
      <c r="R26" s="1355">
        <f>(factors!$B$6*factors!$D$12)+(R25*factors!$B$5)</f>
        <v>-188.81161654506263</v>
      </c>
      <c r="S26" s="1356">
        <f>(factors!$B$6*factors!$D$12)+(S25*factors!$B$5)</f>
        <v>-127.92361213304589</v>
      </c>
      <c r="T26" s="1357">
        <f>(factors!$B$6*factors!$D$12)+(T25*factors!$B$5)</f>
        <v>-112.70161103004172</v>
      </c>
      <c r="U26" s="1354">
        <f>(factors!$B$6*factors!$D$12)+(U25*factors!$B$5)</f>
        <v>-158.36761433905428</v>
      </c>
      <c r="V26" s="1357">
        <f>(factors!$B$6*factors!$D$12)+(V25*factors!$B$5)</f>
        <v>-97.479609927037544</v>
      </c>
      <c r="W26" s="1354">
        <f>(factors!$B$6*factors!$D$12)+(W25*factors!$B$5)</f>
        <v>-82.257608824033383</v>
      </c>
      <c r="X26" s="1066"/>
    </row>
    <row r="27" spans="1:24">
      <c r="A27" s="29" t="str">
        <f>"BWuz=ballast weight required to resist wind uplift= -DLFUz/0.6"</f>
        <v>BWuz=ballast weight required to resist wind uplift= -DLFUz/0.6</v>
      </c>
      <c r="B27" s="23" t="s">
        <v>39</v>
      </c>
      <c r="C27" s="1358">
        <f>-C26/factors!$B$6</f>
        <v>447.05125455774942</v>
      </c>
      <c r="D27" s="1358">
        <f>-D26/factors!$B$6</f>
        <v>644.49605147352815</v>
      </c>
      <c r="E27" s="1358">
        <f>-E26/factors!$B$6</f>
        <v>517.64604228182668</v>
      </c>
      <c r="F27" s="1358">
        <f>-F26/factors!$B$6</f>
        <v>441.53603676680575</v>
      </c>
      <c r="G27" s="1358">
        <f>-G26/factors!$B$6</f>
        <v>416.16603492846559</v>
      </c>
      <c r="H27" s="1359">
        <f>-H26/factors!$B$6</f>
        <v>543.01604412016695</v>
      </c>
      <c r="I27" s="1358">
        <f>-I26/factors!$B$6</f>
        <v>441.53603676680575</v>
      </c>
      <c r="J27" s="1360">
        <f>-J26/factors!$B$6</f>
        <v>390.79603309012521</v>
      </c>
      <c r="K27" s="1360">
        <f>-K26/factors!$B$6</f>
        <v>314.68602757510439</v>
      </c>
      <c r="L27" s="1360">
        <f>-L26/factors!$B$6</f>
        <v>289.31602573676412</v>
      </c>
      <c r="M27" s="1359">
        <f>-M26/factors!$B$6</f>
        <v>466.90603860514597</v>
      </c>
      <c r="N27" s="1358">
        <f>-N26/factors!$B$6</f>
        <v>314.68602757510439</v>
      </c>
      <c r="O27" s="1360">
        <f>-O26/factors!$B$6</f>
        <v>263.94602389842385</v>
      </c>
      <c r="P27" s="1360">
        <f>-P26/factors!$B$6</f>
        <v>238.57602206008343</v>
      </c>
      <c r="Q27" s="1360">
        <f>-Q26/factors!$B$6</f>
        <v>213.20602022174316</v>
      </c>
      <c r="R27" s="1359">
        <f>-R26/factors!$B$6</f>
        <v>314.68602757510439</v>
      </c>
      <c r="S27" s="1361">
        <f>-S26/factors!$B$6</f>
        <v>213.20602022174316</v>
      </c>
      <c r="T27" s="1362">
        <f>-T26/factors!$B$6</f>
        <v>187.83601838340286</v>
      </c>
      <c r="U27" s="1358">
        <f>-U26/factors!$B$6</f>
        <v>263.94602389842385</v>
      </c>
      <c r="V27" s="1362">
        <f>-V26/factors!$B$6</f>
        <v>162.46601654506259</v>
      </c>
      <c r="W27" s="1358">
        <f>-W26/factors!$B$6</f>
        <v>137.09601470672231</v>
      </c>
      <c r="X27" s="1067"/>
    </row>
    <row r="28" spans="1:24">
      <c r="A28" s="29" t="s">
        <v>214</v>
      </c>
      <c r="C28" s="1363"/>
      <c r="D28" s="1363"/>
      <c r="E28" s="1363"/>
      <c r="F28" s="1363"/>
      <c r="G28" s="1363"/>
      <c r="H28" s="1364"/>
      <c r="I28" s="1363"/>
      <c r="J28" s="1363"/>
      <c r="K28" s="1363"/>
      <c r="L28" s="1363"/>
      <c r="M28" s="1364"/>
      <c r="N28" s="1363"/>
      <c r="O28" s="1363"/>
      <c r="P28" s="1363"/>
      <c r="Q28" s="1363"/>
      <c r="R28" s="1364"/>
      <c r="S28" s="1365"/>
      <c r="T28" s="1366"/>
      <c r="U28" s="1363"/>
      <c r="V28" s="1366"/>
      <c r="W28" s="1363"/>
      <c r="X28" s="207"/>
    </row>
    <row r="29" spans="1:24">
      <c r="A29" s="23" t="s">
        <v>206</v>
      </c>
      <c r="B29" s="23" t="s">
        <v>87</v>
      </c>
      <c r="C29" s="1354">
        <f>(factors!$B$39)*'Land Coeffs 5deg'!C14</f>
        <v>-24.617630795773373</v>
      </c>
      <c r="D29" s="1354">
        <f>(factors!$B$39)*'Land Coeffs 5deg'!D14</f>
        <v>-30.669465033067659</v>
      </c>
      <c r="E29" s="1354">
        <f>(factors!$B$39)*'Land Coeffs 5deg'!E14</f>
        <v>-25.951085797211093</v>
      </c>
      <c r="F29" s="1354">
        <f>(factors!$B$39)*'Land Coeffs 5deg'!F14</f>
        <v>-22.412301370318673</v>
      </c>
      <c r="G29" s="1354">
        <f>(factors!$B$39)*'Land Coeffs 5deg'!G14</f>
        <v>-21.232706561354529</v>
      </c>
      <c r="H29" s="1355">
        <f>(factors!$B$39)*'Land Coeffs 5deg'!H14</f>
        <v>-22.412301370318673</v>
      </c>
      <c r="I29" s="1354">
        <f>(factors!$B$39)*'Land Coeffs 5deg'!I14</f>
        <v>-21.232706561354529</v>
      </c>
      <c r="J29" s="1354">
        <f>(factors!$B$39)*'Land Coeffs 5deg'!J14</f>
        <v>-20.053111752390389</v>
      </c>
      <c r="K29" s="1354">
        <f>(factors!$B$39)*'Land Coeffs 5deg'!K14</f>
        <v>-16.51432732549797</v>
      </c>
      <c r="L29" s="1354">
        <f>(factors!$B$39)*'Land Coeffs 5deg'!L14</f>
        <v>-15.33473251653383</v>
      </c>
      <c r="M29" s="1355">
        <f>(factors!$B$39)*'Land Coeffs 5deg'!M14</f>
        <v>-21.232706561354529</v>
      </c>
      <c r="N29" s="1354">
        <f>(factors!$B$39)*'Land Coeffs 5deg'!N14</f>
        <v>-16.51432732549797</v>
      </c>
      <c r="O29" s="1354">
        <f>(factors!$B$39)*'Land Coeffs 5deg'!O14</f>
        <v>-15.33473251653383</v>
      </c>
      <c r="P29" s="1354">
        <f>(factors!$B$39)*'Land Coeffs 5deg'!P14</f>
        <v>-12.975542898605546</v>
      </c>
      <c r="Q29" s="1354">
        <f>(factors!$B$39)*'Land Coeffs 5deg'!Q14</f>
        <v>-12.975542898605546</v>
      </c>
      <c r="R29" s="1355">
        <f>(factors!$B$39)*'Land Coeffs 5deg'!R14</f>
        <v>-17.69392213446211</v>
      </c>
      <c r="S29" s="1356">
        <f>(factors!$B$39)*'Land Coeffs 5deg'!S14</f>
        <v>-12.975542898605546</v>
      </c>
      <c r="T29" s="1357">
        <f>(factors!$B$39)*'Land Coeffs 5deg'!T14</f>
        <v>-11.795948089641406</v>
      </c>
      <c r="U29" s="1354">
        <f>(factors!$B$39)*'Land Coeffs 5deg'!U14</f>
        <v>-16.51432732549797</v>
      </c>
      <c r="V29" s="1357">
        <f>(factors!$B$39)*'Land Coeffs 5deg'!V14</f>
        <v>-10.616353280677265</v>
      </c>
      <c r="W29" s="1354">
        <f>(factors!$B$39)*'Land Coeffs 5deg'!W14</f>
        <v>-9.4367584717131248</v>
      </c>
      <c r="X29" s="862">
        <f>(factors!$B$39)*'Land Coeffs 5deg'!X14</f>
        <v>26.156232720509209</v>
      </c>
    </row>
    <row r="30" spans="1:24">
      <c r="A30" s="23" t="s">
        <v>103</v>
      </c>
      <c r="B30" s="23" t="s">
        <v>39</v>
      </c>
      <c r="C30" s="1354">
        <f>C29*factors!$B$14</f>
        <v>-529.46090793057999</v>
      </c>
      <c r="D30" s="1354">
        <f>D29*factors!$B$14</f>
        <v>-659.62004779684764</v>
      </c>
      <c r="E30" s="1354">
        <f>E29*factors!$B$14</f>
        <v>-558.14004044348633</v>
      </c>
      <c r="F30" s="1354">
        <f>F29*factors!$B$14</f>
        <v>-482.03003492846551</v>
      </c>
      <c r="G30" s="1354">
        <f>G29*factors!$B$14</f>
        <v>-456.66003309012518</v>
      </c>
      <c r="H30" s="1355">
        <f>H29*factors!$B$14</f>
        <v>-482.03003492846551</v>
      </c>
      <c r="I30" s="1354">
        <f>I29*factors!$B$14</f>
        <v>-456.66003309012518</v>
      </c>
      <c r="J30" s="1354">
        <f>J29*factors!$B$14</f>
        <v>-431.29003125178491</v>
      </c>
      <c r="K30" s="1354">
        <f>K29*factors!$B$14</f>
        <v>-355.18002573676409</v>
      </c>
      <c r="L30" s="1354">
        <f>L29*factors!$B$14</f>
        <v>-329.81002389842382</v>
      </c>
      <c r="M30" s="1355">
        <f>M29*factors!$B$14</f>
        <v>-456.66003309012518</v>
      </c>
      <c r="N30" s="1354">
        <f>N29*factors!$B$14</f>
        <v>-355.18002573676409</v>
      </c>
      <c r="O30" s="1354">
        <f>O29*factors!$B$14</f>
        <v>-329.81002389842382</v>
      </c>
      <c r="P30" s="1354">
        <f>P29*factors!$B$14</f>
        <v>-279.07002022174316</v>
      </c>
      <c r="Q30" s="1354">
        <f>Q29*factors!$B$14</f>
        <v>-279.07002022174316</v>
      </c>
      <c r="R30" s="1355">
        <f>R29*factors!$B$14</f>
        <v>-380.55002757510437</v>
      </c>
      <c r="S30" s="1356">
        <f>S29*factors!$B$14</f>
        <v>-279.07002022174316</v>
      </c>
      <c r="T30" s="1357">
        <f>T29*factors!$B$14</f>
        <v>-253.70001838340289</v>
      </c>
      <c r="U30" s="1354">
        <f>U29*factors!$B$14</f>
        <v>-355.18002573676409</v>
      </c>
      <c r="V30" s="1357">
        <f>V29*factors!$B$14</f>
        <v>-228.33001654506259</v>
      </c>
      <c r="W30" s="1354">
        <f>W29*factors!$B$14</f>
        <v>-202.96001470672232</v>
      </c>
      <c r="X30" s="1066"/>
    </row>
    <row r="31" spans="1:24">
      <c r="A31" s="23" t="str">
        <f>"DLFUz=Uplift design load using ASD combo #7 = dLF1*0.6 + WLFUz*"&amp;IF('1-Eng Inputs'!$C$35=2010,"0.6","1.0")</f>
        <v>DLFUz=Uplift design load using ASD combo #7 = dLF1*0.6 + WLFUz*0.6</v>
      </c>
      <c r="B31" s="23" t="s">
        <v>39</v>
      </c>
      <c r="C31" s="1354">
        <f>(factors!$B$6*factors!$D$12)+(C30*factors!$B$5)</f>
        <v>-278.15814475834799</v>
      </c>
      <c r="D31" s="1354">
        <f>(factors!$B$6*factors!$D$12)+(D30*factors!$B$5)</f>
        <v>-356.25362867810861</v>
      </c>
      <c r="E31" s="1354">
        <f>(factors!$B$6*factors!$D$12)+(E30*factors!$B$5)</f>
        <v>-295.3656242660918</v>
      </c>
      <c r="F31" s="1354">
        <f>(factors!$B$6*factors!$D$12)+(F30*factors!$B$5)</f>
        <v>-249.69962095707933</v>
      </c>
      <c r="G31" s="1354">
        <f>(factors!$B$6*factors!$D$12)+(G30*factors!$B$5)</f>
        <v>-234.4776198540751</v>
      </c>
      <c r="H31" s="1355">
        <f>(factors!$B$6*factors!$D$12)+(H30*factors!$B$5)</f>
        <v>-249.69962095707933</v>
      </c>
      <c r="I31" s="1354">
        <f>(factors!$B$6*factors!$D$12)+(I30*factors!$B$5)</f>
        <v>-234.4776198540751</v>
      </c>
      <c r="J31" s="1354">
        <f>(factors!$B$6*factors!$D$12)+(J30*factors!$B$5)</f>
        <v>-219.25561875107093</v>
      </c>
      <c r="K31" s="1354">
        <f>(factors!$B$6*factors!$D$12)+(K30*factors!$B$5)</f>
        <v>-173.58961544205846</v>
      </c>
      <c r="L31" s="1354">
        <f>(factors!$B$6*factors!$D$12)+(L30*factors!$B$5)</f>
        <v>-158.36761433905428</v>
      </c>
      <c r="M31" s="1355">
        <f>(factors!$B$6*factors!$D$12)+(M30*factors!$B$5)</f>
        <v>-234.4776198540751</v>
      </c>
      <c r="N31" s="1354">
        <f>(factors!$B$6*factors!$D$12)+(N30*factors!$B$5)</f>
        <v>-173.58961544205846</v>
      </c>
      <c r="O31" s="1354">
        <f>(factors!$B$6*factors!$D$12)+(O30*factors!$B$5)</f>
        <v>-158.36761433905428</v>
      </c>
      <c r="P31" s="1354">
        <f>(factors!$B$6*factors!$D$12)+(P30*factors!$B$5)</f>
        <v>-127.92361213304589</v>
      </c>
      <c r="Q31" s="1354">
        <f>(factors!$B$6*factors!$D$12)+(Q30*factors!$B$5)</f>
        <v>-127.92361213304589</v>
      </c>
      <c r="R31" s="1355">
        <f>(factors!$B$6*factors!$D$12)+(R30*factors!$B$5)</f>
        <v>-188.81161654506263</v>
      </c>
      <c r="S31" s="1356">
        <f>(factors!$B$6*factors!$D$12)+(S30*factors!$B$5)</f>
        <v>-127.92361213304589</v>
      </c>
      <c r="T31" s="1357">
        <f>(factors!$B$6*factors!$D$12)+(T30*factors!$B$5)</f>
        <v>-112.70161103004172</v>
      </c>
      <c r="U31" s="1354">
        <f>(factors!$B$6*factors!$D$12)+(U30*factors!$B$5)</f>
        <v>-173.58961544205846</v>
      </c>
      <c r="V31" s="1357">
        <f>(factors!$B$6*factors!$D$12)+(V30*factors!$B$5)</f>
        <v>-97.479609927037544</v>
      </c>
      <c r="W31" s="1354">
        <f>(factors!$B$6*factors!$D$12)+(W30*factors!$B$5)</f>
        <v>-82.257608824033383</v>
      </c>
      <c r="X31" s="1066"/>
    </row>
    <row r="32" spans="1:24">
      <c r="A32" s="29" t="str">
        <f>"BWuz=ballast weight required to resist wind uplift= -DLFUz/0.6"</f>
        <v>BWuz=ballast weight required to resist wind uplift= -DLFUz/0.6</v>
      </c>
      <c r="B32" s="23" t="s">
        <v>39</v>
      </c>
      <c r="C32" s="1358">
        <f>-C31/factors!$B$6</f>
        <v>463.59690793058002</v>
      </c>
      <c r="D32" s="1358">
        <f>-D31/factors!$B$6</f>
        <v>593.75604779684772</v>
      </c>
      <c r="E32" s="1358">
        <f>-E31/factors!$B$6</f>
        <v>492.27604044348635</v>
      </c>
      <c r="F32" s="1358">
        <f>-F31/factors!$B$6</f>
        <v>416.16603492846559</v>
      </c>
      <c r="G32" s="1358">
        <f>-G31/factors!$B$6</f>
        <v>390.79603309012521</v>
      </c>
      <c r="H32" s="1359">
        <f>-H31/factors!$B$6</f>
        <v>416.16603492846559</v>
      </c>
      <c r="I32" s="1358">
        <f>-I31/factors!$B$6</f>
        <v>390.79603309012521</v>
      </c>
      <c r="J32" s="1358">
        <f>-J31/factors!$B$6</f>
        <v>365.42603125178488</v>
      </c>
      <c r="K32" s="1358">
        <f>-K31/factors!$B$6</f>
        <v>289.31602573676412</v>
      </c>
      <c r="L32" s="1360">
        <f>-L31/factors!$B$6</f>
        <v>263.94602389842385</v>
      </c>
      <c r="M32" s="1359">
        <f>-M31/factors!$B$6</f>
        <v>390.79603309012521</v>
      </c>
      <c r="N32" s="1358">
        <f>-N31/factors!$B$6</f>
        <v>289.31602573676412</v>
      </c>
      <c r="O32" s="1358">
        <f>-O31/factors!$B$6</f>
        <v>263.94602389842385</v>
      </c>
      <c r="P32" s="1358">
        <f>-P31/factors!$B$6</f>
        <v>213.20602022174316</v>
      </c>
      <c r="Q32" s="1360">
        <f>-Q31/factors!$B$6</f>
        <v>213.20602022174316</v>
      </c>
      <c r="R32" s="1359">
        <f>-R31/factors!$B$6</f>
        <v>314.68602757510439</v>
      </c>
      <c r="S32" s="1361">
        <f>-S31/factors!$B$6</f>
        <v>213.20602022174316</v>
      </c>
      <c r="T32" s="1362">
        <f>-T31/factors!$B$6</f>
        <v>187.83601838340286</v>
      </c>
      <c r="U32" s="1358">
        <f>-U31/factors!$B$6</f>
        <v>289.31602573676412</v>
      </c>
      <c r="V32" s="1362">
        <f>-V31/factors!$B$6</f>
        <v>162.46601654506259</v>
      </c>
      <c r="W32" s="1358">
        <f>-W31/factors!$B$6</f>
        <v>137.09601470672231</v>
      </c>
      <c r="X32" s="1067"/>
    </row>
    <row r="33" spans="1:7">
      <c r="A33" s="23"/>
      <c r="B33" s="23"/>
      <c r="D33" s="1368"/>
      <c r="E33" s="1368"/>
      <c r="F33" s="1368"/>
      <c r="G33" s="1368"/>
    </row>
  </sheetData>
  <pageMargins left="0.75" right="0.75" top="1" bottom="1" header="0.5" footer="0.5"/>
  <pageSetup paperSize="9"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tabColor theme="9" tint="0.59999389629810485"/>
    <pageSetUpPr autoPageBreaks="0"/>
  </sheetPr>
  <dimension ref="A1:K27"/>
  <sheetViews>
    <sheetView zoomScale="130" zoomScaleNormal="130" workbookViewId="0">
      <selection activeCell="F15" sqref="F15"/>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792" customWidth="1"/>
    <col min="8" max="16384" width="8.7109375" style="792"/>
  </cols>
  <sheetData>
    <row r="1" spans="1:10">
      <c r="B1" s="740" t="s">
        <v>19866</v>
      </c>
      <c r="C1" s="740"/>
      <c r="D1" s="740"/>
    </row>
    <row r="2" spans="1:10">
      <c r="G2" s="816"/>
    </row>
    <row r="3" spans="1:10" ht="13.5" thickBot="1">
      <c r="G3" s="816"/>
    </row>
    <row r="4" spans="1:10">
      <c r="B4" s="809" t="s">
        <v>19925</v>
      </c>
      <c r="C4" s="810"/>
      <c r="D4" s="811">
        <f>'Land Matrix 5deg (lift)'!BN3</f>
        <v>8</v>
      </c>
      <c r="E4" s="812"/>
    </row>
    <row r="5" spans="1:10">
      <c r="B5" s="813" t="s">
        <v>19924</v>
      </c>
      <c r="C5" s="803"/>
      <c r="D5" s="814">
        <f>factors!B2</f>
        <v>32</v>
      </c>
      <c r="E5" s="815" t="s">
        <v>39</v>
      </c>
      <c r="G5" s="817"/>
      <c r="H5" s="817"/>
    </row>
    <row r="6" spans="1:10">
      <c r="B6" s="813" t="s">
        <v>19908</v>
      </c>
      <c r="C6" s="803"/>
      <c r="D6" s="804">
        <f>factors!B5</f>
        <v>0.6</v>
      </c>
      <c r="E6" s="694"/>
      <c r="G6" s="818"/>
      <c r="H6" s="818"/>
    </row>
    <row r="7" spans="1:10">
      <c r="B7" s="813" t="s">
        <v>19909</v>
      </c>
      <c r="C7" s="803"/>
      <c r="D7" s="804">
        <f>factors!B6</f>
        <v>0.6</v>
      </c>
      <c r="E7" s="694"/>
      <c r="G7" s="818"/>
      <c r="H7" s="818"/>
    </row>
    <row r="8" spans="1:10">
      <c r="B8" s="813" t="s">
        <v>19910</v>
      </c>
      <c r="C8" s="803"/>
      <c r="D8" s="804">
        <f>factors!B39</f>
        <v>38.465048118395892</v>
      </c>
      <c r="E8" s="694"/>
      <c r="G8" s="799"/>
      <c r="H8" s="799"/>
    </row>
    <row r="9" spans="1:10">
      <c r="B9" s="813" t="s">
        <v>19911</v>
      </c>
      <c r="C9" s="803"/>
      <c r="D9" s="804">
        <f>factors!D12</f>
        <v>65.864000000000004</v>
      </c>
      <c r="E9" s="815" t="s">
        <v>39</v>
      </c>
      <c r="G9" s="801"/>
      <c r="H9" s="801"/>
    </row>
    <row r="10" spans="1:10">
      <c r="B10" s="813" t="s">
        <v>19912</v>
      </c>
      <c r="C10" s="803"/>
      <c r="D10" s="804">
        <f>MIN('Friction Data'!F34:G34)</f>
        <v>0.57999999999999996</v>
      </c>
      <c r="E10" s="694"/>
      <c r="G10" s="819"/>
      <c r="H10" s="819"/>
    </row>
    <row r="11" spans="1:10">
      <c r="B11" s="813" t="s">
        <v>19913</v>
      </c>
      <c r="C11" s="803"/>
      <c r="D11" s="804">
        <f>factors!B14</f>
        <v>21.507386812441908</v>
      </c>
      <c r="E11" s="815" t="s">
        <v>19922</v>
      </c>
      <c r="G11" s="799"/>
      <c r="H11" s="799"/>
    </row>
    <row r="12" spans="1:10">
      <c r="B12" s="813" t="s">
        <v>19914</v>
      </c>
      <c r="C12" s="803"/>
      <c r="D12" s="804">
        <f>factors!B16</f>
        <v>1.8652364422736121</v>
      </c>
      <c r="E12" s="815" t="s">
        <v>19922</v>
      </c>
      <c r="G12" s="799"/>
      <c r="H12" s="799"/>
    </row>
    <row r="13" spans="1:10" s="794" customFormat="1">
      <c r="A13" s="795"/>
      <c r="B13" s="813" t="s">
        <v>19929</v>
      </c>
      <c r="C13" s="803"/>
      <c r="D13" s="804" t="str">
        <f>'Land Matrix 5deg (lift)'!BL2</f>
        <v>Worst Case</v>
      </c>
      <c r="E13" s="815"/>
      <c r="F13" s="795"/>
      <c r="G13" s="799"/>
      <c r="H13" s="799"/>
    </row>
    <row r="14" spans="1:10">
      <c r="B14" s="813" t="s">
        <v>19930</v>
      </c>
      <c r="C14" s="803"/>
      <c r="D14" s="804">
        <f>VLOOKUP(D13,'Land Coeffs 5deg'!A19:C25,3,FALSE)</f>
        <v>1.52</v>
      </c>
      <c r="E14" s="815"/>
      <c r="G14" s="799"/>
      <c r="H14" s="799"/>
    </row>
    <row r="15" spans="1:10">
      <c r="B15" s="813" t="s">
        <v>19931</v>
      </c>
      <c r="C15" s="803"/>
      <c r="D15" s="804">
        <f>VLOOKUP(D13,'Land Coeffs 5deg'!A9:C15,3,FALSE)</f>
        <v>-0.64</v>
      </c>
      <c r="E15" s="694"/>
      <c r="F15" s="792"/>
      <c r="G15" s="799"/>
      <c r="H15" s="799"/>
    </row>
    <row r="16" spans="1:10">
      <c r="B16" s="813" t="s">
        <v>19921</v>
      </c>
      <c r="C16" s="803"/>
      <c r="D16" s="804">
        <f ca="1">'Area Reduction'!C34</f>
        <v>0.40869455924657944</v>
      </c>
      <c r="E16" s="694"/>
      <c r="F16" s="792"/>
      <c r="G16" s="797"/>
      <c r="H16" s="797"/>
      <c r="J16" s="797"/>
    </row>
    <row r="17" spans="1:11">
      <c r="B17" s="813" t="s">
        <v>19915</v>
      </c>
      <c r="C17" s="803"/>
      <c r="D17" s="804">
        <f ca="1">D14*D16</f>
        <v>0.6212157300548008</v>
      </c>
      <c r="E17" s="694"/>
      <c r="F17" s="792"/>
      <c r="G17" s="798"/>
      <c r="H17" s="798"/>
      <c r="J17" s="798"/>
      <c r="K17" s="798"/>
    </row>
    <row r="18" spans="1:11" s="1041" customFormat="1" ht="13.5" thickBot="1">
      <c r="A18" s="1042"/>
      <c r="B18" s="813" t="s">
        <v>19916</v>
      </c>
      <c r="C18" s="803"/>
      <c r="D18" s="804">
        <f ca="1">ABS(D15*D16)</f>
        <v>0.26156451791781082</v>
      </c>
      <c r="E18" s="694"/>
      <c r="G18" s="798"/>
      <c r="H18" s="798"/>
      <c r="J18" s="798"/>
      <c r="K18" s="798"/>
    </row>
    <row r="19" spans="1:11" s="1057" customFormat="1">
      <c r="A19" s="1058"/>
      <c r="B19" s="1055" t="s">
        <v>20102</v>
      </c>
      <c r="C19" s="1050"/>
      <c r="D19" s="1136">
        <f ca="1">(D6*D8*D18*D11)*D4</f>
        <v>1038.6614035439143</v>
      </c>
      <c r="E19" s="1137" t="s">
        <v>20104</v>
      </c>
      <c r="G19" s="798"/>
      <c r="H19" s="798"/>
      <c r="J19" s="798"/>
      <c r="K19" s="798"/>
    </row>
    <row r="20" spans="1:11">
      <c r="B20" s="1045" t="s">
        <v>20103</v>
      </c>
      <c r="C20" s="1047"/>
      <c r="D20" s="1048">
        <f ca="1">(D6*D8*(D17*D12)*D4)</f>
        <v>213.93599116313845</v>
      </c>
      <c r="E20" s="815" t="s">
        <v>20104</v>
      </c>
      <c r="F20" s="792"/>
      <c r="G20" s="46"/>
    </row>
    <row r="21" spans="1:11" s="1057" customFormat="1" ht="13.5" thickBot="1">
      <c r="A21" s="1058"/>
      <c r="B21" s="1138" t="s">
        <v>20105</v>
      </c>
      <c r="C21" s="1139"/>
      <c r="D21" s="1140">
        <f ca="1">SQRT(D20^2+D19^2)</f>
        <v>1060.4650487058818</v>
      </c>
      <c r="E21" s="808" t="s">
        <v>20104</v>
      </c>
      <c r="G21" s="46"/>
    </row>
    <row r="22" spans="1:11" s="659" customFormat="1" ht="12" customHeight="1">
      <c r="A22" s="104"/>
      <c r="B22" s="1045" t="s">
        <v>20069</v>
      </c>
      <c r="C22" s="1047"/>
      <c r="D22" s="1048">
        <f ca="1">(1/D7)*(D6*D8*((D17*D12*(1/D10)+D18*D11))-D7*D9)*D4</f>
        <v>1818.9489345362322</v>
      </c>
      <c r="E22" s="1049" t="s">
        <v>39</v>
      </c>
      <c r="F22" s="103"/>
      <c r="G22" s="820"/>
    </row>
    <row r="23" spans="1:11" ht="13.5" thickBot="1">
      <c r="B23" s="805" t="s">
        <v>19923</v>
      </c>
      <c r="C23" s="806"/>
      <c r="D23" s="807">
        <f ca="1">ROUNDUP(D22/D5,0)</f>
        <v>57</v>
      </c>
      <c r="E23" s="808" t="s">
        <v>295</v>
      </c>
    </row>
    <row r="24" spans="1:11">
      <c r="B24" s="23"/>
      <c r="C24" s="23"/>
      <c r="D24" s="23"/>
      <c r="E24" s="23"/>
      <c r="F24" s="23"/>
    </row>
    <row r="27" spans="1:11">
      <c r="G27" s="821"/>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tabColor theme="9"/>
    <pageSetUpPr autoPageBreaks="0"/>
  </sheetPr>
  <dimension ref="A1:FD237"/>
  <sheetViews>
    <sheetView zoomScaleNormal="100" zoomScaleSheetLayoutView="55" workbookViewId="0">
      <selection activeCell="BN4" sqref="BN4"/>
    </sheetView>
  </sheetViews>
  <sheetFormatPr defaultColWidth="9.140625" defaultRowHeight="12.75"/>
  <cols>
    <col min="1" max="4" width="2.7109375" style="928" customWidth="1"/>
    <col min="5" max="5" width="2.7109375" style="935" customWidth="1"/>
    <col min="6" max="6" width="8.7109375" style="928" customWidth="1"/>
    <col min="7" max="7" width="4.7109375" style="928" customWidth="1"/>
    <col min="8" max="8" width="8.7109375" style="928" customWidth="1"/>
    <col min="9" max="9" width="4.7109375" style="928" customWidth="1"/>
    <col min="10" max="10" width="8.7109375" style="928" customWidth="1"/>
    <col min="11" max="11" width="4.7109375" style="928" customWidth="1"/>
    <col min="12" max="12" width="8.7109375" style="928" customWidth="1"/>
    <col min="13" max="13" width="4.7109375" style="928" customWidth="1"/>
    <col min="14" max="14" width="8.7109375" style="928" customWidth="1"/>
    <col min="15" max="15" width="3.140625" style="928" customWidth="1"/>
    <col min="16" max="16" width="7.7109375" style="928" bestFit="1" customWidth="1"/>
    <col min="17" max="17" width="2.28515625" style="934" customWidth="1"/>
    <col min="18" max="19" width="2.7109375" style="928" hidden="1" customWidth="1"/>
    <col min="20" max="20" width="2" style="930" hidden="1" customWidth="1"/>
    <col min="21" max="21" width="8.7109375" style="928" hidden="1" customWidth="1"/>
    <col min="22" max="22" width="4.7109375" style="928" hidden="1" customWidth="1"/>
    <col min="23" max="23" width="8.7109375" style="928" hidden="1" customWidth="1"/>
    <col min="24" max="24" width="4.7109375" style="928" hidden="1" customWidth="1"/>
    <col min="25" max="25" width="8.7109375" style="928" hidden="1" customWidth="1"/>
    <col min="26" max="26" width="4.7109375" style="928" hidden="1" customWidth="1"/>
    <col min="27" max="27" width="8.7109375" style="928" hidden="1" customWidth="1"/>
    <col min="28" max="28" width="4.7109375" style="928" hidden="1" customWidth="1"/>
    <col min="29" max="29" width="8.7109375" style="928" hidden="1" customWidth="1"/>
    <col min="30" max="30" width="5" style="928" hidden="1" customWidth="1"/>
    <col min="31" max="31" width="2.7109375" style="928" hidden="1" customWidth="1"/>
    <col min="32" max="32" width="1.7109375" style="928" hidden="1" customWidth="1"/>
    <col min="33" max="33" width="5.7109375" style="928" hidden="1" customWidth="1"/>
    <col min="34" max="34" width="2" style="930" hidden="1" customWidth="1"/>
    <col min="35" max="35" width="8.7109375" style="928" hidden="1" customWidth="1"/>
    <col min="36" max="36" width="4.7109375" style="928" hidden="1" customWidth="1"/>
    <col min="37" max="37" width="8.7109375" style="928" hidden="1" customWidth="1"/>
    <col min="38" max="38" width="4.7109375" style="928" hidden="1" customWidth="1"/>
    <col min="39" max="39" width="8.7109375" style="928" hidden="1" customWidth="1"/>
    <col min="40" max="40" width="4.7109375" style="928" hidden="1" customWidth="1"/>
    <col min="41" max="41" width="8.7109375" style="928" hidden="1" customWidth="1"/>
    <col min="42" max="42" width="4.7109375" style="928" hidden="1" customWidth="1"/>
    <col min="43" max="43" width="8.7109375" style="928" hidden="1" customWidth="1"/>
    <col min="44" max="44" width="7.7109375" style="928" hidden="1" customWidth="1"/>
    <col min="45" max="45" width="2.7109375" style="928" hidden="1" customWidth="1"/>
    <col min="46" max="46" width="1.7109375" style="928" hidden="1" customWidth="1"/>
    <col min="47" max="47" width="2.7109375" style="933" hidden="1" customWidth="1"/>
    <col min="48" max="48" width="8.7109375" style="932" hidden="1" customWidth="1"/>
    <col min="49" max="49" width="4.7109375" style="932" hidden="1" customWidth="1"/>
    <col min="50" max="50" width="8.7109375" style="932" hidden="1" customWidth="1"/>
    <col min="51" max="51" width="4.7109375" style="932" hidden="1" customWidth="1"/>
    <col min="52" max="52" width="8.7109375" style="932" hidden="1" customWidth="1"/>
    <col min="53" max="53" width="4.7109375" style="932" hidden="1" customWidth="1"/>
    <col min="54" max="54" width="8.7109375" style="932" hidden="1" customWidth="1"/>
    <col min="55" max="55" width="4.7109375" style="932" hidden="1" customWidth="1"/>
    <col min="56" max="56" width="8.7109375" style="932" hidden="1" customWidth="1"/>
    <col min="57" max="57" width="7.7109375" style="932" hidden="1" customWidth="1"/>
    <col min="58" max="58" width="2.140625" style="931" hidden="1" customWidth="1"/>
    <col min="59" max="59" width="8.42578125" style="928" customWidth="1"/>
    <col min="60" max="60" width="2.42578125" style="928" customWidth="1"/>
    <col min="61" max="61" width="2" style="930" customWidth="1"/>
    <col min="62" max="62" width="8.7109375" style="928" customWidth="1"/>
    <col min="63" max="63" width="4.7109375" style="928" customWidth="1"/>
    <col min="64" max="64" width="8.7109375" style="928" customWidth="1"/>
    <col min="65" max="65" width="4.7109375" style="928" customWidth="1"/>
    <col min="66" max="66" width="8.7109375" style="928" customWidth="1"/>
    <col min="67" max="67" width="4.7109375" style="928" customWidth="1"/>
    <col min="68" max="68" width="8.7109375" style="928" customWidth="1"/>
    <col min="69" max="69" width="4.7109375" style="928" customWidth="1"/>
    <col min="70" max="70" width="8.7109375" style="928" customWidth="1"/>
    <col min="71" max="71" width="2.140625" style="928" customWidth="1"/>
    <col min="72" max="75" width="4.85546875" style="928" customWidth="1"/>
    <col min="76" max="76" width="4.85546875" style="929" customWidth="1"/>
    <col min="77" max="77" width="4.85546875" style="928" customWidth="1"/>
    <col min="78" max="78" width="4.140625" style="928" customWidth="1"/>
    <col min="79" max="83" width="4.42578125" style="928" customWidth="1"/>
    <col min="84" max="86" width="9.140625" style="928" customWidth="1"/>
    <col min="87" max="91" width="9.140625" style="929" customWidth="1"/>
    <col min="92" max="159" width="9.140625" style="929"/>
    <col min="160" max="16384" width="9.140625" style="928"/>
  </cols>
  <sheetData>
    <row r="1" spans="1:159" ht="13.5" thickBot="1">
      <c r="A1" s="959" t="s">
        <v>19926</v>
      </c>
      <c r="J1" s="1034" t="s">
        <v>19868</v>
      </c>
      <c r="K1" s="1038"/>
      <c r="L1" s="1036"/>
      <c r="M1" s="1037"/>
      <c r="N1" s="1036"/>
      <c r="O1" s="1036"/>
      <c r="P1" s="1035"/>
      <c r="AU1" s="965"/>
      <c r="BJ1" s="1034" t="s">
        <v>19814</v>
      </c>
      <c r="BK1" s="1033"/>
      <c r="BL1" s="1033"/>
      <c r="BM1" s="1032"/>
      <c r="BN1" s="1031"/>
      <c r="BP1" s="1030" t="s">
        <v>19813</v>
      </c>
      <c r="BQ1" s="1004"/>
      <c r="BR1" s="1029"/>
      <c r="BS1" s="1004"/>
      <c r="BT1" s="1029"/>
      <c r="BU1" s="1004"/>
      <c r="BV1" s="1004"/>
      <c r="BW1" s="1004"/>
      <c r="BX1" s="1004"/>
      <c r="BY1" s="1003"/>
      <c r="CA1" s="706" t="s">
        <v>20440</v>
      </c>
      <c r="CB1" s="667"/>
      <c r="CC1" s="667"/>
      <c r="CD1" s="667"/>
      <c r="CE1" s="667"/>
      <c r="CF1" s="667"/>
      <c r="CG1" s="667"/>
      <c r="CH1" s="668"/>
    </row>
    <row r="2" spans="1:159" ht="15">
      <c r="A2" s="1028" t="str">
        <f>'1-Eng Inputs'!$C$38&amp;" lb. Blocks per Ecofoot"&amp;IF($N$4="YES"," ( ''.5'' denotes one "&amp;'1-Eng Inputs'!$C$39&amp;" lb. block)",)</f>
        <v>32 lb. Blocks per Ecofoot</v>
      </c>
      <c r="E2" s="936"/>
      <c r="J2" s="1027" t="s">
        <v>19893</v>
      </c>
      <c r="K2" s="1026"/>
      <c r="L2" s="1026"/>
      <c r="M2" s="1026"/>
      <c r="N2" s="1025"/>
      <c r="O2" s="1025"/>
      <c r="P2" s="1024">
        <f>'Uplift Attachment Calcs'!D12</f>
        <v>16.375</v>
      </c>
      <c r="S2" s="936"/>
      <c r="AG2" s="936"/>
      <c r="BJ2" s="1023" t="s">
        <v>19927</v>
      </c>
      <c r="BL2" s="2168" t="s">
        <v>19932</v>
      </c>
      <c r="BM2" s="2169"/>
      <c r="BN2" s="2170"/>
      <c r="BP2" s="1463" t="s">
        <v>19765</v>
      </c>
      <c r="BQ2" s="1464"/>
      <c r="BR2" s="1464"/>
      <c r="BS2" s="1464"/>
      <c r="BT2" s="1022">
        <v>1</v>
      </c>
      <c r="BU2" s="1021">
        <v>2</v>
      </c>
      <c r="BV2" s="1020">
        <v>3</v>
      </c>
      <c r="BW2" s="1020">
        <v>4</v>
      </c>
      <c r="BX2" s="1020">
        <v>5</v>
      </c>
      <c r="BY2" s="1019">
        <v>6</v>
      </c>
      <c r="CA2" s="1480" t="s">
        <v>20442</v>
      </c>
      <c r="CB2" s="350"/>
      <c r="CC2" s="350"/>
      <c r="CD2" s="350"/>
      <c r="CE2" s="350"/>
      <c r="CF2" s="350"/>
      <c r="CG2" s="350"/>
      <c r="CH2" s="1932" t="e">
        <f>'Thermal Sliding Calcs'!$C$42</f>
        <v>#VALUE!</v>
      </c>
    </row>
    <row r="3" spans="1:159" ht="15.75" thickBot="1">
      <c r="A3" s="1017">
        <v>1</v>
      </c>
      <c r="B3" s="1018">
        <v>1.5</v>
      </c>
      <c r="C3" s="1017">
        <v>2</v>
      </c>
      <c r="D3" s="1018">
        <v>2.5</v>
      </c>
      <c r="E3" s="1017">
        <v>3</v>
      </c>
      <c r="F3" s="1018">
        <v>3.5</v>
      </c>
      <c r="G3" s="1017">
        <v>4</v>
      </c>
      <c r="H3" s="1016" t="s">
        <v>19907</v>
      </c>
      <c r="J3" s="1015" t="s">
        <v>19869</v>
      </c>
      <c r="K3" s="1013"/>
      <c r="L3" s="1013"/>
      <c r="M3" s="1014"/>
      <c r="N3" s="1013"/>
      <c r="O3" s="1013"/>
      <c r="P3" s="1012">
        <f>'Seismic Calcs (Attached)'!B25</f>
        <v>6.3738670708707472</v>
      </c>
      <c r="S3" s="954"/>
      <c r="AG3" s="954"/>
      <c r="BJ3" s="1002" t="s">
        <v>19933</v>
      </c>
      <c r="BK3" s="1001"/>
      <c r="BL3" s="985"/>
      <c r="BN3" s="839">
        <v>8</v>
      </c>
      <c r="BP3" s="1463" t="s">
        <v>19764</v>
      </c>
      <c r="BQ3" s="1464"/>
      <c r="BR3" s="1464"/>
      <c r="BS3" s="1464"/>
      <c r="BT3" s="1011">
        <f>'Seismic Calcs (Unattached)'!$D$36</f>
        <v>3</v>
      </c>
      <c r="BU3" s="1010">
        <f>'Seismic Calcs (Unattached)'!$D$37</f>
        <v>6</v>
      </c>
      <c r="BV3" s="1010">
        <f>'Seismic Calcs (Unattached)'!$D$38</f>
        <v>9</v>
      </c>
      <c r="BW3" s="1010">
        <f>'Seismic Calcs (Unattached)'!$D$39</f>
        <v>12</v>
      </c>
      <c r="BX3" s="1010">
        <f>'Seismic Calcs (Unattached)'!$D$40</f>
        <v>15</v>
      </c>
      <c r="BY3" s="1009">
        <f>'Seismic Calcs (Unattached)'!$D$41</f>
        <v>18</v>
      </c>
      <c r="CA3" s="1482" t="s">
        <v>20441</v>
      </c>
      <c r="CB3" s="762"/>
      <c r="CC3" s="762"/>
      <c r="CD3" s="762"/>
      <c r="CE3" s="762"/>
      <c r="CF3" s="762"/>
      <c r="CG3" s="762"/>
      <c r="CH3" s="1933" t="e">
        <f>'Thermal Sliding Calcs'!$C$43</f>
        <v>#VALUE!</v>
      </c>
    </row>
    <row r="4" spans="1:159" ht="15.75" thickBot="1">
      <c r="A4" s="1008"/>
      <c r="B4" s="1007"/>
      <c r="C4" s="1008"/>
      <c r="D4" s="1007"/>
      <c r="E4" s="1008"/>
      <c r="F4" s="1007"/>
      <c r="G4" s="981"/>
      <c r="J4" s="1006" t="s">
        <v>19440</v>
      </c>
      <c r="K4" s="1004"/>
      <c r="L4" s="1004"/>
      <c r="M4" s="1005"/>
      <c r="N4" s="827" t="s">
        <v>144</v>
      </c>
      <c r="O4" s="1004"/>
      <c r="P4" s="1003"/>
      <c r="BH4" s="954"/>
      <c r="BJ4" s="653" t="s">
        <v>20439</v>
      </c>
      <c r="BK4" s="994"/>
      <c r="BL4" s="1013"/>
      <c r="BM4" s="993"/>
      <c r="BN4" s="1052" t="s">
        <v>19952</v>
      </c>
      <c r="BP4" s="1463" t="s">
        <v>19766</v>
      </c>
      <c r="BQ4" s="1464"/>
      <c r="BR4" s="1464"/>
      <c r="BS4" s="1464"/>
      <c r="BT4" s="999">
        <v>1</v>
      </c>
      <c r="BU4" s="998">
        <v>2</v>
      </c>
      <c r="BV4" s="997">
        <v>3</v>
      </c>
      <c r="BW4" s="997">
        <v>4</v>
      </c>
      <c r="BX4" s="997">
        <v>5</v>
      </c>
      <c r="BY4" s="996">
        <v>6</v>
      </c>
    </row>
    <row r="5" spans="1:159" ht="13.5" thickBot="1">
      <c r="A5" s="988" t="s">
        <v>19485</v>
      </c>
      <c r="B5" s="983"/>
      <c r="C5" s="954"/>
      <c r="D5" s="983"/>
      <c r="E5" s="954"/>
      <c r="F5" s="983"/>
      <c r="G5" s="981"/>
      <c r="K5" s="935"/>
      <c r="S5" s="959"/>
      <c r="AG5" s="959"/>
      <c r="BH5" s="954"/>
      <c r="BJ5" s="1002" t="str">
        <f>"Min "&amp;'1-Eng Inputs'!C38&amp;" lb block qty:"</f>
        <v>Min 32 lb block qty:</v>
      </c>
      <c r="BK5" s="1001"/>
      <c r="BL5" s="1001"/>
      <c r="BN5" s="1000">
        <f ca="1">'Land Calcs 5deg (sliding)'!D23</f>
        <v>57</v>
      </c>
      <c r="BP5" s="1465" t="s">
        <v>19764</v>
      </c>
      <c r="BQ5" s="1466"/>
      <c r="BR5" s="1466"/>
      <c r="BS5" s="1466"/>
      <c r="BT5" s="991">
        <f>'Seismic Calcs (Unattached)'!$D$44</f>
        <v>12</v>
      </c>
      <c r="BU5" s="990">
        <f>'Seismic Calcs (Unattached)'!$D$45</f>
        <v>24</v>
      </c>
      <c r="BV5" s="990">
        <f>'Seismic Calcs (Unattached)'!$D$46</f>
        <v>36</v>
      </c>
      <c r="BW5" s="990">
        <f>'Seismic Calcs (Unattached)'!$D$47</f>
        <v>48</v>
      </c>
      <c r="BX5" s="990">
        <f>'Seismic Calcs (Unattached)'!$D$48</f>
        <v>60</v>
      </c>
      <c r="BY5" s="989">
        <f>'Seismic Calcs (Unattached)'!$D$49</f>
        <v>72</v>
      </c>
    </row>
    <row r="6" spans="1:159" ht="13.5" thickBot="1">
      <c r="A6" s="988"/>
      <c r="B6" s="983"/>
      <c r="C6" s="954"/>
      <c r="D6" s="983"/>
      <c r="E6" s="954"/>
      <c r="F6" s="983"/>
      <c r="G6" s="981"/>
      <c r="K6" s="935"/>
      <c r="S6" s="959"/>
      <c r="AG6" s="959"/>
      <c r="BH6" s="954"/>
      <c r="BJ6" s="995" t="s">
        <v>19719</v>
      </c>
      <c r="BK6" s="994"/>
      <c r="BL6" s="994"/>
      <c r="BM6" s="993"/>
      <c r="BN6" s="992">
        <f ca="1">'Land Calcs 5deg (sliding)'!D22</f>
        <v>1818.9489345362322</v>
      </c>
      <c r="BQ6" s="1434"/>
      <c r="BR6" s="1434"/>
      <c r="BS6" s="1434"/>
      <c r="BX6" s="1464"/>
      <c r="BZ6" s="1464"/>
      <c r="CA6" s="962"/>
      <c r="CB6" s="962"/>
      <c r="CC6" s="962"/>
      <c r="CD6" s="962"/>
      <c r="CE6" s="962"/>
      <c r="CF6" s="962"/>
    </row>
    <row r="7" spans="1:159">
      <c r="A7" s="987"/>
      <c r="B7" s="983"/>
      <c r="C7" s="954"/>
      <c r="D7" s="983"/>
      <c r="E7" s="954"/>
      <c r="F7" s="983"/>
      <c r="G7" s="981"/>
      <c r="K7" s="935"/>
      <c r="S7" s="959"/>
      <c r="AG7" s="959"/>
      <c r="BJ7" s="985"/>
      <c r="BK7" s="985"/>
      <c r="BL7" s="985"/>
      <c r="BM7" s="986"/>
      <c r="BN7" s="985"/>
      <c r="BO7" s="985"/>
      <c r="BP7" s="985"/>
      <c r="BQ7" s="985"/>
      <c r="BR7" s="984"/>
      <c r="BS7" s="984"/>
      <c r="BT7" s="984"/>
      <c r="BU7" s="984"/>
      <c r="BV7" s="984"/>
      <c r="BX7" s="1464"/>
      <c r="BZ7" s="1464"/>
      <c r="CA7" s="962"/>
      <c r="CB7" s="962"/>
      <c r="CC7" s="962"/>
      <c r="CD7" s="962"/>
      <c r="CE7" s="962"/>
      <c r="CF7" s="962"/>
    </row>
    <row r="8" spans="1:159">
      <c r="A8" s="959" t="s">
        <v>19431</v>
      </c>
      <c r="B8" s="983"/>
      <c r="C8" s="954"/>
      <c r="D8" s="983"/>
      <c r="E8" s="954"/>
      <c r="F8" s="983"/>
      <c r="G8" s="981"/>
      <c r="K8" s="935"/>
      <c r="S8" s="959" t="s">
        <v>19533</v>
      </c>
      <c r="AG8" s="982" t="s">
        <v>19536</v>
      </c>
      <c r="AU8" s="965" t="s">
        <v>19376</v>
      </c>
      <c r="BH8" s="959" t="s">
        <v>19439</v>
      </c>
    </row>
    <row r="9" spans="1:159">
      <c r="D9" s="981"/>
      <c r="E9" s="928"/>
      <c r="F9" s="928" t="s">
        <v>233</v>
      </c>
      <c r="O9" s="960" t="s">
        <v>215</v>
      </c>
      <c r="R9" s="954"/>
      <c r="S9" s="930"/>
      <c r="T9" s="928"/>
      <c r="AF9" s="954"/>
      <c r="AG9" s="930"/>
      <c r="AH9" s="928"/>
      <c r="AI9" s="928" t="s">
        <v>233</v>
      </c>
      <c r="AT9" s="933"/>
      <c r="AU9" s="932"/>
      <c r="BE9" s="933"/>
      <c r="BF9" s="963"/>
      <c r="BG9" s="954"/>
      <c r="BH9" s="930"/>
      <c r="BI9" s="928"/>
      <c r="BJ9" s="928" t="s">
        <v>233</v>
      </c>
      <c r="BS9" s="960" t="s">
        <v>215</v>
      </c>
      <c r="BW9" s="929"/>
      <c r="BX9" s="928"/>
      <c r="CH9" s="929"/>
      <c r="FC9" s="928"/>
    </row>
    <row r="10" spans="1:159">
      <c r="D10" s="935"/>
      <c r="E10" s="930"/>
      <c r="F10" s="936">
        <v>1</v>
      </c>
      <c r="G10" s="936"/>
      <c r="H10" s="936">
        <v>2</v>
      </c>
      <c r="I10" s="936"/>
      <c r="J10" s="936">
        <v>3</v>
      </c>
      <c r="K10" s="936"/>
      <c r="L10" s="936">
        <v>4</v>
      </c>
      <c r="M10" s="936"/>
      <c r="N10" s="936">
        <v>5</v>
      </c>
      <c r="O10" s="930"/>
      <c r="P10" s="930"/>
      <c r="Q10" s="969"/>
      <c r="R10" s="954"/>
      <c r="S10" s="930"/>
      <c r="U10" s="936"/>
      <c r="V10" s="936"/>
      <c r="W10" s="936"/>
      <c r="X10" s="936"/>
      <c r="Y10" s="936"/>
      <c r="Z10" s="936"/>
      <c r="AA10" s="936"/>
      <c r="AB10" s="936"/>
      <c r="AC10" s="936"/>
      <c r="AD10" s="930"/>
      <c r="AE10" s="930"/>
      <c r="AF10" s="954"/>
      <c r="AG10" s="930"/>
      <c r="AI10" s="936">
        <v>1</v>
      </c>
      <c r="AJ10" s="936"/>
      <c r="AK10" s="936">
        <v>2</v>
      </c>
      <c r="AL10" s="936"/>
      <c r="AM10" s="936">
        <v>3</v>
      </c>
      <c r="AN10" s="936"/>
      <c r="AO10" s="936">
        <v>4</v>
      </c>
      <c r="AP10" s="936"/>
      <c r="AQ10" s="936">
        <v>5</v>
      </c>
      <c r="AR10" s="930"/>
      <c r="AS10" s="930"/>
      <c r="AT10" s="933"/>
      <c r="AU10" s="932"/>
      <c r="BE10" s="933"/>
      <c r="BF10" s="963"/>
      <c r="BG10" s="954"/>
      <c r="BH10" s="930"/>
      <c r="BJ10" s="936">
        <v>1</v>
      </c>
      <c r="BK10" s="936"/>
      <c r="BL10" s="936">
        <v>2</v>
      </c>
      <c r="BM10" s="936"/>
      <c r="BN10" s="936">
        <v>3</v>
      </c>
      <c r="BO10" s="936"/>
      <c r="BP10" s="936">
        <v>4</v>
      </c>
      <c r="BQ10" s="936"/>
      <c r="BR10" s="936">
        <v>5</v>
      </c>
      <c r="BS10" s="930"/>
      <c r="BT10" s="930"/>
      <c r="BU10" s="930"/>
      <c r="BW10" s="929"/>
      <c r="BX10" s="928"/>
      <c r="CH10" s="929"/>
      <c r="FC10" s="928"/>
    </row>
    <row r="11" spans="1:159">
      <c r="F11" s="1431">
        <f>IF($N$4="NO",ROUNDUP(BJ11-0.00499,0),LEFT(BJ11,1)+(IF(BJ11-LEFT(BJ11,1)&lt;0.00499,0,IF(BJ11-LEFT(BJ11,1)-0.00499&lt;('1-Eng Inputs'!$C$39/'1-Eng Inputs'!$C$38),0.5,1))))</f>
        <v>10</v>
      </c>
      <c r="G11" s="930"/>
      <c r="H11" s="1431">
        <f>IF($N$4="NO",ROUNDUP(BL11-0.00499,0),LEFT(BL11,1)+(IF(BL11-LEFT(BL11,1)&lt;0.00499,0,IF(BL11-LEFT(BL11,1)-0.00499&lt;('1-Eng Inputs'!$C$39/'1-Eng Inputs'!$C$38),0.5,1))))</f>
        <v>9</v>
      </c>
      <c r="I11" s="930"/>
      <c r="J11" s="1431">
        <f>IF($N$4="NO",ROUNDUP(BN11-0.00499,0),LEFT(BN11,1)+(IF(BN11-LEFT(BN11,1)&lt;0.00499,0,IF(BN11-LEFT(BN11,1)-0.00499&lt;('1-Eng Inputs'!$C$39/'1-Eng Inputs'!$C$38),0.5,1))))</f>
        <v>9</v>
      </c>
      <c r="K11" s="930"/>
      <c r="L11" s="1431">
        <f>IF($N$4="NO",ROUNDUP(BP11-0.00499,0),LEFT(BP11,1)+(IF(BP11-LEFT(BP11,1)&lt;0.00499,0,IF(BP11-LEFT(BP11,1)-0.00499&lt;('1-Eng Inputs'!$C$39/'1-Eng Inputs'!$C$38),0.5,1))))</f>
        <v>6</v>
      </c>
      <c r="M11" s="930"/>
      <c r="N11" s="1431">
        <f>IF($N$4="NO",ROUNDUP(BR11-0.00499,0),LEFT(BR11,1)+(IF(BR11-LEFT(BR11,1)&lt;0.00499,0,IF(BR11-LEFT(BR11,1)-0.00499&lt;('1-Eng Inputs'!$C$39/'1-Eng Inputs'!$C$38),0.5,1))))</f>
        <v>6</v>
      </c>
      <c r="O11" s="1174"/>
      <c r="P11" s="930"/>
      <c r="Q11" s="969"/>
      <c r="U11" s="1454">
        <f>IF(LEFT(F11,3)-LEFT(F11,1)=0.5,'1-Eng Inputs'!$C$39,0)+LEFT(F11,1)*'1-Eng Inputs'!$C$38</f>
        <v>32</v>
      </c>
      <c r="W11" s="1454">
        <f>IF(LEFT(H11,3)-LEFT(H11,1)=0.5,'1-Eng Inputs'!$C$39,0)+LEFT(H11,1)*'1-Eng Inputs'!$C$38</f>
        <v>288</v>
      </c>
      <c r="Y11" s="1454">
        <f>IF(LEFT(J11,3)-LEFT(J11,1)=0.5,'1-Eng Inputs'!$C$39,0)+LEFT(J11,1)*'1-Eng Inputs'!$C$38</f>
        <v>288</v>
      </c>
      <c r="AA11" s="1453">
        <f>IF(LEFT(L11,3)-LEFT(L11,1)=0.5,'1-Eng Inputs'!$C$39,0)+LEFT(L11,1)*'1-Eng Inputs'!$C$38</f>
        <v>192</v>
      </c>
      <c r="AC11" s="1453">
        <f>IF(LEFT(N11,3)-LEFT(N11,1)=0.5,'1-Eng Inputs'!$C$39,0)+LEFT(N11,1)*'1-Eng Inputs'!$C$38</f>
        <v>192</v>
      </c>
      <c r="AI11" s="1449">
        <f>AI12*factors!$D$3</f>
        <v>9.564075827253129</v>
      </c>
      <c r="AK11" s="1449">
        <f>AK12*factors!$D$3</f>
        <v>8.850544525549811</v>
      </c>
      <c r="AM11" s="1449">
        <f>AM12*factors!$D$3</f>
        <v>8.1370132238464912</v>
      </c>
      <c r="AO11" s="1451">
        <f>AO12*factors!$D$3</f>
        <v>5.9964193187365264</v>
      </c>
      <c r="AQ11" s="1451">
        <f>AQ12*factors!$D$3</f>
        <v>5.9964193187365264</v>
      </c>
      <c r="AU11" s="944"/>
      <c r="AV11" s="1439">
        <v>0.5</v>
      </c>
      <c r="AX11" s="1439">
        <v>0.5</v>
      </c>
      <c r="AZ11" s="1439">
        <v>0.5</v>
      </c>
      <c r="BB11" s="1439">
        <v>0.5</v>
      </c>
      <c r="BD11" s="1439">
        <v>0.5</v>
      </c>
      <c r="BJ11" s="1449">
        <f>AI11</f>
        <v>9.564075827253129</v>
      </c>
      <c r="BL11" s="1449">
        <f>AK11</f>
        <v>8.850544525549811</v>
      </c>
      <c r="BN11" s="1449">
        <f>AM11</f>
        <v>8.1370132238464912</v>
      </c>
      <c r="BP11" s="1451">
        <f>AO11</f>
        <v>5.9964193187365264</v>
      </c>
      <c r="BR11" s="1451">
        <f>AQ11</f>
        <v>5.9964193187365264</v>
      </c>
      <c r="BT11" s="1433"/>
      <c r="BU11" s="1433"/>
      <c r="BZ11" s="939"/>
      <c r="CG11" s="939"/>
    </row>
    <row r="12" spans="1:159" ht="12.75" hidden="1" customHeight="1">
      <c r="A12" s="1464"/>
      <c r="F12" s="1432"/>
      <c r="G12" s="930"/>
      <c r="H12" s="1432"/>
      <c r="I12" s="930"/>
      <c r="J12" s="1432"/>
      <c r="K12" s="930"/>
      <c r="L12" s="1432"/>
      <c r="M12" s="930"/>
      <c r="N12" s="1432"/>
      <c r="O12" s="930"/>
      <c r="P12" s="930"/>
      <c r="Q12" s="969"/>
      <c r="U12" s="1454">
        <f>U11/factors!$D$3</f>
        <v>17.777777777777779</v>
      </c>
      <c r="V12" s="1434"/>
      <c r="W12" s="1454">
        <f>W11/factors!$D$3</f>
        <v>160</v>
      </c>
      <c r="X12" s="1434"/>
      <c r="Y12" s="1454">
        <f>Y11/factors!$D$3</f>
        <v>160</v>
      </c>
      <c r="Z12" s="1434"/>
      <c r="AA12" s="1453">
        <f>AA11/factors!$D$3</f>
        <v>106.66666666666666</v>
      </c>
      <c r="AB12" s="1434"/>
      <c r="AC12" s="1453">
        <f>AC11/factors!$D$3</f>
        <v>106.66666666666666</v>
      </c>
      <c r="AD12" s="1434"/>
      <c r="AI12" s="1450">
        <f>(AI13*AV11)/'1-Eng Inputs'!$C$38</f>
        <v>5.313375459585072</v>
      </c>
      <c r="AJ12" s="1434"/>
      <c r="AK12" s="1450">
        <f>(AK13*AX11)/'1-Eng Inputs'!$C$38</f>
        <v>4.9169691808610061</v>
      </c>
      <c r="AL12" s="1434"/>
      <c r="AM12" s="1450">
        <f>(AM13*AZ11)/'1-Eng Inputs'!$C$38</f>
        <v>4.5205629021369393</v>
      </c>
      <c r="AN12" s="1434"/>
      <c r="AO12" s="1452">
        <f>(AO13*BB11)/'1-Eng Inputs'!$C$38</f>
        <v>3.3313440659647369</v>
      </c>
      <c r="AP12" s="1434"/>
      <c r="AQ12" s="1452">
        <f>(AQ13*BD11)/'1-Eng Inputs'!$C$38</f>
        <v>3.3313440659647369</v>
      </c>
      <c r="AR12" s="1434"/>
      <c r="AU12" s="944"/>
      <c r="AV12" s="1440"/>
      <c r="AX12" s="1440"/>
      <c r="AZ12" s="1440"/>
      <c r="BB12" s="1440"/>
      <c r="BD12" s="1440"/>
      <c r="BJ12" s="1450">
        <f>BJ11/factors!$B$3</f>
        <v>6.8314827337522352</v>
      </c>
      <c r="BK12" s="1434"/>
      <c r="BL12" s="1450">
        <f>BL11/factors!$B$3</f>
        <v>6.3218175182498655</v>
      </c>
      <c r="BM12" s="1434"/>
      <c r="BN12" s="1450">
        <f>BN11/factors!$B$3</f>
        <v>5.8121523027474939</v>
      </c>
      <c r="BO12" s="1434"/>
      <c r="BP12" s="1452">
        <f>BP11/factors!$B$3</f>
        <v>4.2831566562403767</v>
      </c>
      <c r="BQ12" s="1434"/>
      <c r="BR12" s="1452">
        <f>BR11/factors!$B$3</f>
        <v>4.2831566562403767</v>
      </c>
      <c r="BS12" s="1434"/>
      <c r="BT12" s="1433"/>
      <c r="BU12" s="1433"/>
    </row>
    <row r="13" spans="1:159" ht="24.75" customHeight="1">
      <c r="C13" s="960" t="s">
        <v>234</v>
      </c>
      <c r="D13" s="936">
        <v>1</v>
      </c>
      <c r="E13" s="947"/>
      <c r="F13" s="950" t="s">
        <v>19424</v>
      </c>
      <c r="G13" s="930"/>
      <c r="H13" s="950" t="s">
        <v>19424</v>
      </c>
      <c r="I13" s="930"/>
      <c r="J13" s="950" t="s">
        <v>19424</v>
      </c>
      <c r="K13" s="930"/>
      <c r="L13" s="950" t="s">
        <v>19425</v>
      </c>
      <c r="M13" s="930"/>
      <c r="N13" s="950" t="s">
        <v>19425</v>
      </c>
      <c r="O13" s="930"/>
      <c r="P13" s="930"/>
      <c r="Q13" s="969"/>
      <c r="R13" s="960"/>
      <c r="S13" s="930"/>
      <c r="T13" s="928"/>
      <c r="U13" s="966">
        <f>(U12*(AI13*AV11/(AI12*'1-Eng Inputs'!$C$38))+U14*(AI13*AV14/(AI14*'1-Eng Inputs'!$C$38)))</f>
        <v>34.397747161263624</v>
      </c>
      <c r="W13" s="966">
        <f>(W12*(AK13*AX11/(AK12*'1-Eng Inputs'!$C$38))+W14*(AK13*AX14/(AK14*'1-Eng Inputs'!$C$38)))</f>
        <v>176.67205074417828</v>
      </c>
      <c r="Y13" s="966">
        <f>(Y12*(AM13*AZ11/(AM12*'1-Eng Inputs'!$C$38))+Y14*(AM13*AZ14/(AM14*'1-Eng Inputs'!$C$38)))</f>
        <v>310.60316439041844</v>
      </c>
      <c r="AA13" s="966">
        <f>(AA12*(AO13*BB11/(AO12*'1-Eng Inputs'!$C$38))+AA14*(AO13*BB14/(AO14*'1-Eng Inputs'!$C$38)))</f>
        <v>218.66666666666666</v>
      </c>
      <c r="AC13" s="966">
        <f>(AC12*(AQ13*BD11/(AQ12*'1-Eng Inputs'!$C$38))+AC14*(AQ13*BD14/(AQ14*'1-Eng Inputs'!$C$38)))</f>
        <v>218.66666666666666</v>
      </c>
      <c r="AF13" s="960" t="s">
        <v>234</v>
      </c>
      <c r="AG13" s="930">
        <v>1</v>
      </c>
      <c r="AH13" s="947"/>
      <c r="AI13" s="949">
        <f>'Land Calcs 5deg (lift)'!J7</f>
        <v>340.05602941344461</v>
      </c>
      <c r="AJ13" s="1159"/>
      <c r="AK13" s="949">
        <f>'Land Calcs 5deg (lift)'!K7</f>
        <v>314.68602757510439</v>
      </c>
      <c r="AL13" s="1159"/>
      <c r="AM13" s="949">
        <f>'Land Calcs 5deg (lift)'!L7</f>
        <v>289.31602573676412</v>
      </c>
      <c r="AN13" s="947"/>
      <c r="AO13" s="949">
        <f>'Land Calcs 5deg (lift)'!L12</f>
        <v>213.20602022174316</v>
      </c>
      <c r="AP13" s="947"/>
      <c r="AQ13" s="946">
        <f>AO13</f>
        <v>213.20602022174316</v>
      </c>
      <c r="AR13" s="930"/>
      <c r="AT13" s="944"/>
      <c r="AU13" s="932"/>
      <c r="AV13" s="948"/>
      <c r="AX13" s="948"/>
      <c r="AZ13" s="948"/>
      <c r="BB13" s="948"/>
      <c r="BD13" s="948"/>
      <c r="BG13" s="960" t="s">
        <v>234</v>
      </c>
      <c r="BH13" s="930">
        <v>1</v>
      </c>
      <c r="BI13" s="947"/>
      <c r="BJ13" s="946">
        <f>AI13</f>
        <v>340.05602941344461</v>
      </c>
      <c r="BK13" s="930"/>
      <c r="BL13" s="946">
        <f>AK13</f>
        <v>314.68602757510439</v>
      </c>
      <c r="BM13" s="930"/>
      <c r="BN13" s="946">
        <f>AM13</f>
        <v>289.31602573676412</v>
      </c>
      <c r="BO13" s="930"/>
      <c r="BP13" s="946">
        <f t="shared" ref="BP13:BR13" si="0">AO13</f>
        <v>213.20602022174316</v>
      </c>
      <c r="BQ13" s="930"/>
      <c r="BR13" s="946">
        <f t="shared" si="0"/>
        <v>213.20602022174316</v>
      </c>
      <c r="BS13" s="930"/>
      <c r="BU13" s="1433"/>
      <c r="BW13" s="929"/>
      <c r="BX13" s="928"/>
      <c r="BZ13" s="935"/>
      <c r="CH13" s="929"/>
      <c r="FC13" s="928"/>
    </row>
    <row r="14" spans="1:159">
      <c r="E14" s="936"/>
      <c r="F14" s="1431">
        <f>IF($N$4="NO",ROUNDUP(BJ14-0.00499,0),LEFT(BJ14,1)+(IF(BJ14-LEFT(BJ14,1)&lt;0.00499,0,IF(BJ14-LEFT(BJ14,1)-0.00499&lt;('1-Eng Inputs'!$C$39/'1-Eng Inputs'!$C$38),0.5,1))))</f>
        <v>11</v>
      </c>
      <c r="G14" s="930"/>
      <c r="H14" s="1431">
        <f>IF($N$4="NO",ROUNDUP(BL14-0.00499,0),LEFT(BL14,1)+(IF(BL14-LEFT(BL14,1)&lt;0.00499,0,IF(BL14-LEFT(BL14,1)-0.00499&lt;('1-Eng Inputs'!$C$39/'1-Eng Inputs'!$C$38),0.5,1))))</f>
        <v>10</v>
      </c>
      <c r="I14" s="930"/>
      <c r="J14" s="1431">
        <f>IF($N$4="NO",ROUNDUP(BN14-0.00499,0),LEFT(BN14,1)+(IF(BN14-LEFT(BN14,1)&lt;0.00499,0,IF(BN14-LEFT(BN14,1)-0.00499&lt;('1-Eng Inputs'!$C$39/'1-Eng Inputs'!$C$38),0.5,1))))</f>
        <v>9</v>
      </c>
      <c r="K14" s="930"/>
      <c r="L14" s="1431">
        <f>IF($N$4="NO",ROUNDUP(BP14-0.00499,0),LEFT(BP14,1)+(IF(BP14-LEFT(BP14,1)&lt;0.00499,0,IF(BP14-LEFT(BP14,1)-0.00499&lt;('1-Eng Inputs'!$C$39/'1-Eng Inputs'!$C$38),0.5,1))))</f>
        <v>7</v>
      </c>
      <c r="M14" s="930"/>
      <c r="N14" s="1431">
        <f>IF($N$4="NO",ROUNDUP(BR14-0.00499,0),LEFT(BR14,1)+(IF(BR14-LEFT(BR14,1)&lt;0.00499,0,IF(BR14-LEFT(BR14,1)-0.00499&lt;('1-Eng Inputs'!$C$39/'1-Eng Inputs'!$C$38),0.5,1))))</f>
        <v>7</v>
      </c>
      <c r="O14" s="930"/>
      <c r="P14" s="930"/>
      <c r="Q14" s="969"/>
      <c r="U14" s="1454">
        <f>IF(LEFT(F14,3)-LEFT(F14,1)=0.5,'1-Eng Inputs'!$C$39,0)+LEFT(F14,1)*'1-Eng Inputs'!$C$38</f>
        <v>32</v>
      </c>
      <c r="W14" s="1454">
        <f>IF(LEFT(H14,3)-LEFT(H14,1)=0.5,'1-Eng Inputs'!$C$39,0)+LEFT(H14,1)*'1-Eng Inputs'!$C$38</f>
        <v>32</v>
      </c>
      <c r="Y14" s="1454">
        <f>IF(LEFT(J14,3)-LEFT(J14,1)=0.5,'1-Eng Inputs'!$C$39,0)+LEFT(J14,1)*'1-Eng Inputs'!$C$38</f>
        <v>288</v>
      </c>
      <c r="AA14" s="1453">
        <f>IF(LEFT(L14,3)-LEFT(L14,1)=0.5,'1-Eng Inputs'!$C$39,0)+LEFT(L14,1)*'1-Eng Inputs'!$C$38</f>
        <v>224</v>
      </c>
      <c r="AC14" s="1453">
        <f>IF(LEFT(N14,3)-LEFT(N14,1)=0.5,'1-Eng Inputs'!$C$39,0)+LEFT(N14,1)*'1-Eng Inputs'!$C$38</f>
        <v>224</v>
      </c>
      <c r="AI14" s="1449">
        <f>(AI13*AV14+AI16*AV15)/'1-Eng Inputs'!$C$38</f>
        <v>10.230344640446077</v>
      </c>
      <c r="AJ14" s="964"/>
      <c r="AK14" s="1449">
        <f>(AK13*AX14+AK16*AX15)/'1-Eng Inputs'!$C$38</f>
        <v>9.4375320829979454</v>
      </c>
      <c r="AL14" s="964"/>
      <c r="AM14" s="1449">
        <f>(AM13*AZ14+AM16*AZ15)/'1-Eng Inputs'!$C$38</f>
        <v>8.6447195255498119</v>
      </c>
      <c r="AN14" s="964"/>
      <c r="AO14" s="1451">
        <f>(AO13*BB14+AO16*BB15)/'1-Eng Inputs'!$C$38</f>
        <v>6.6626881319294737</v>
      </c>
      <c r="AP14" s="964"/>
      <c r="AQ14" s="1451">
        <f>(AQ13*BD14+AQ16*BD15)/'1-Eng Inputs'!$C$38</f>
        <v>6.6626881319294737</v>
      </c>
      <c r="AR14" s="964"/>
      <c r="AU14" s="944"/>
      <c r="AV14" s="952">
        <v>0.5</v>
      </c>
      <c r="AX14" s="952">
        <v>0.5</v>
      </c>
      <c r="AZ14" s="952">
        <v>0.5</v>
      </c>
      <c r="BB14" s="952">
        <v>0.5</v>
      </c>
      <c r="BD14" s="952">
        <v>0.5</v>
      </c>
      <c r="BJ14" s="1449">
        <f>AI14</f>
        <v>10.230344640446077</v>
      </c>
      <c r="BK14" s="964"/>
      <c r="BL14" s="1449">
        <f>AK14</f>
        <v>9.4375320829979454</v>
      </c>
      <c r="BM14" s="964"/>
      <c r="BN14" s="1449">
        <f>AM14</f>
        <v>8.6447195255498119</v>
      </c>
      <c r="BO14" s="964"/>
      <c r="BP14" s="1451">
        <f>AO14</f>
        <v>6.6626881319294737</v>
      </c>
      <c r="BQ14" s="964"/>
      <c r="BR14" s="1451">
        <f>AQ14</f>
        <v>6.6626881319294737</v>
      </c>
      <c r="BS14" s="964"/>
      <c r="BT14" s="1433"/>
      <c r="BU14" s="1433"/>
    </row>
    <row r="15" spans="1:159" ht="12.75" hidden="1" customHeight="1">
      <c r="E15" s="936"/>
      <c r="F15" s="1432"/>
      <c r="G15" s="930"/>
      <c r="H15" s="1432"/>
      <c r="I15" s="930"/>
      <c r="J15" s="1432"/>
      <c r="K15" s="930"/>
      <c r="L15" s="1432"/>
      <c r="M15" s="930"/>
      <c r="N15" s="1432"/>
      <c r="O15" s="930"/>
      <c r="P15" s="930"/>
      <c r="Q15" s="969"/>
      <c r="U15" s="1454"/>
      <c r="V15" s="1434"/>
      <c r="W15" s="1454"/>
      <c r="X15" s="1434"/>
      <c r="Y15" s="1454"/>
      <c r="Z15" s="1434"/>
      <c r="AA15" s="1453"/>
      <c r="AB15" s="1434"/>
      <c r="AC15" s="1453"/>
      <c r="AD15" s="1434"/>
      <c r="AI15" s="1450"/>
      <c r="AJ15" s="1434"/>
      <c r="AK15" s="1450"/>
      <c r="AL15" s="1434"/>
      <c r="AM15" s="1450"/>
      <c r="AN15" s="1434"/>
      <c r="AO15" s="1452"/>
      <c r="AP15" s="1434"/>
      <c r="AQ15" s="1452"/>
      <c r="AR15" s="1434"/>
      <c r="AU15" s="944"/>
      <c r="AV15" s="951">
        <v>0.5</v>
      </c>
      <c r="AX15" s="951">
        <v>0.5</v>
      </c>
      <c r="AZ15" s="951">
        <v>0.5</v>
      </c>
      <c r="BB15" s="951">
        <v>0.5</v>
      </c>
      <c r="BD15" s="951">
        <v>0.5</v>
      </c>
      <c r="BJ15" s="1450"/>
      <c r="BK15" s="1434"/>
      <c r="BL15" s="1450"/>
      <c r="BM15" s="1434"/>
      <c r="BN15" s="1450"/>
      <c r="BO15" s="1434"/>
      <c r="BP15" s="1452"/>
      <c r="BQ15" s="1434"/>
      <c r="BR15" s="1452"/>
      <c r="BS15" s="1434"/>
      <c r="BT15" s="1433"/>
      <c r="BU15" s="1433"/>
      <c r="CA15" s="935"/>
    </row>
    <row r="16" spans="1:159" ht="24.75" customHeight="1">
      <c r="C16" s="953"/>
      <c r="D16" s="936">
        <v>2</v>
      </c>
      <c r="E16" s="947"/>
      <c r="F16" s="950" t="s">
        <v>19424</v>
      </c>
      <c r="G16" s="930"/>
      <c r="H16" s="950" t="s">
        <v>19424</v>
      </c>
      <c r="I16" s="930"/>
      <c r="J16" s="950" t="s">
        <v>19424</v>
      </c>
      <c r="K16" s="930"/>
      <c r="L16" s="950" t="s">
        <v>19425</v>
      </c>
      <c r="M16" s="930"/>
      <c r="N16" s="950" t="s">
        <v>19425</v>
      </c>
      <c r="O16" s="930"/>
      <c r="P16" s="930"/>
      <c r="Q16" s="969"/>
      <c r="R16" s="953"/>
      <c r="S16" s="930"/>
      <c r="U16" s="966">
        <f>(U14*(AI16*AV15/(AI14*'1-Eng Inputs'!$C$38))+U17*(AI16*AV17/(AI17*'1-Eng Inputs'!$C$38)))</f>
        <v>31.380030616514158</v>
      </c>
      <c r="V16" s="930"/>
      <c r="W16" s="966">
        <f>(W14*(AK16*AX15/(AK14*'1-Eng Inputs'!$C$38))+W17*(AK16*AX17/(AK17*'1-Eng Inputs'!$C$38)))</f>
        <v>31.327949255821729</v>
      </c>
      <c r="X16" s="930"/>
      <c r="Y16" s="966">
        <f>(Y14*(AM16*AZ15/(AM14*'1-Eng Inputs'!$C$38))+Y17*(AM16*AZ17/(AM17*'1-Eng Inputs'!$C$38)))</f>
        <v>281.39683560958156</v>
      </c>
      <c r="Z16" s="930"/>
      <c r="AA16" s="966">
        <f>(AA14*(AO16*BB15/(AO14*'1-Eng Inputs'!$C$38))+AA17*(AO16*BB17/(AO17*'1-Eng Inputs'!$C$38)))</f>
        <v>224</v>
      </c>
      <c r="AB16" s="930"/>
      <c r="AC16" s="966">
        <f>(AC14*(AQ16*BD15/(AQ14*'1-Eng Inputs'!$C$38))+AC17*(AQ16*BD17/(AQ17*'1-Eng Inputs'!$C$38)))</f>
        <v>224</v>
      </c>
      <c r="AD16" s="930"/>
      <c r="AF16" s="953"/>
      <c r="AG16" s="930">
        <v>2</v>
      </c>
      <c r="AH16" s="947"/>
      <c r="AI16" s="949">
        <f>'Land Calcs 5deg (lift)'!O7</f>
        <v>314.68602757510439</v>
      </c>
      <c r="AJ16" s="1159"/>
      <c r="AK16" s="949">
        <f>'Land Calcs 5deg (lift)'!P7</f>
        <v>289.31602573676412</v>
      </c>
      <c r="AL16" s="1159"/>
      <c r="AM16" s="949">
        <f>'Land Calcs 5deg (lift)'!Q7</f>
        <v>263.94602389842385</v>
      </c>
      <c r="AN16" s="947"/>
      <c r="AO16" s="949">
        <f>'Land Calcs 5deg (lift)'!Q12</f>
        <v>213.20602022174316</v>
      </c>
      <c r="AP16" s="947"/>
      <c r="AQ16" s="946">
        <f>AO16</f>
        <v>213.20602022174316</v>
      </c>
      <c r="AR16" s="930"/>
      <c r="AT16" s="944"/>
      <c r="AU16" s="932"/>
      <c r="AV16" s="948"/>
      <c r="AX16" s="948"/>
      <c r="AZ16" s="948"/>
      <c r="BB16" s="948"/>
      <c r="BD16" s="948"/>
      <c r="BG16" s="953"/>
      <c r="BH16" s="930">
        <v>2</v>
      </c>
      <c r="BI16" s="947"/>
      <c r="BJ16" s="946">
        <f>AI16</f>
        <v>314.68602757510439</v>
      </c>
      <c r="BK16" s="930"/>
      <c r="BL16" s="946">
        <f>AK16</f>
        <v>289.31602573676412</v>
      </c>
      <c r="BM16" s="930"/>
      <c r="BN16" s="946">
        <f>AM16</f>
        <v>263.94602389842385</v>
      </c>
      <c r="BO16" s="930"/>
      <c r="BP16" s="946">
        <f t="shared" ref="BP16:BR16" si="1">AO16</f>
        <v>213.20602022174316</v>
      </c>
      <c r="BQ16" s="930"/>
      <c r="BR16" s="946">
        <f t="shared" si="1"/>
        <v>213.20602022174316</v>
      </c>
      <c r="BS16" s="930"/>
      <c r="BU16" s="1433"/>
      <c r="BW16" s="929"/>
      <c r="BX16" s="928"/>
      <c r="BZ16" s="935"/>
      <c r="CA16" s="935"/>
      <c r="CH16" s="929"/>
      <c r="FC16" s="928"/>
    </row>
    <row r="17" spans="3:160">
      <c r="E17" s="936"/>
      <c r="F17" s="1431">
        <f>IF($N$4="NO",ROUNDUP(BJ17-0.00499,0),LEFT(BJ17,1)+(IF(BJ17-LEFT(BJ17,1)&lt;0.00499,0,IF(BJ17-LEFT(BJ17,1)-0.00499&lt;('1-Eng Inputs'!$C$39/'1-Eng Inputs'!$C$38),0.5,1))))</f>
        <v>10</v>
      </c>
      <c r="G17" s="930"/>
      <c r="H17" s="1431">
        <f>IF($N$4="NO",ROUNDUP(BL17-0.00499,0),LEFT(BL17,1)+(IF(BL17-LEFT(BL17,1)&lt;0.00499,0,IF(BL17-LEFT(BL17,1)-0.00499&lt;('1-Eng Inputs'!$C$39/'1-Eng Inputs'!$C$38),0.5,1))))</f>
        <v>10</v>
      </c>
      <c r="I17" s="930"/>
      <c r="J17" s="1431">
        <f>IF($N$4="NO",ROUNDUP(BN17-0.00499,0),LEFT(BN17,1)+(IF(BN17-LEFT(BN17,1)&lt;0.00499,0,IF(BN17-LEFT(BN17,1)-0.00499&lt;('1-Eng Inputs'!$C$39/'1-Eng Inputs'!$C$38),0.5,1))))</f>
        <v>9</v>
      </c>
      <c r="K17" s="930"/>
      <c r="L17" s="1431">
        <f>IF($N$4="NO",ROUNDUP(BP17-0.00499,0),LEFT(BP17,1)+(IF(BP17-LEFT(BP17,1)&lt;0.00499,0,IF(BP17-LEFT(BP17,1)-0.00499&lt;('1-Eng Inputs'!$C$39/'1-Eng Inputs'!$C$38),0.5,1))))</f>
        <v>7</v>
      </c>
      <c r="M17" s="930"/>
      <c r="N17" s="1431">
        <f>IF($N$4="NO",ROUNDUP(BR17-0.00499,0),LEFT(BR17,1)+(IF(BR17-LEFT(BR17,1)&lt;0.00499,0,IF(BR17-LEFT(BR17,1)-0.00499&lt;('1-Eng Inputs'!$C$39/'1-Eng Inputs'!$C$38),0.5,1))))</f>
        <v>7</v>
      </c>
      <c r="O17" s="930"/>
      <c r="P17" s="930"/>
      <c r="Q17" s="969"/>
      <c r="U17" s="1454">
        <f>IF(LEFT(F17,3)-LEFT(F17,1)=0.5,'1-Eng Inputs'!$C$39,0)+LEFT(F17,1)*'1-Eng Inputs'!$C$38</f>
        <v>32</v>
      </c>
      <c r="W17" s="1454">
        <f>IF(LEFT(H17,3)-LEFT(H17,1)=0.5,'1-Eng Inputs'!$C$39,0)+LEFT(H17,1)*'1-Eng Inputs'!$C$38</f>
        <v>32</v>
      </c>
      <c r="Y17" s="1454">
        <f>IF(LEFT(J17,3)-LEFT(J17,1)=0.5,'1-Eng Inputs'!$C$39,0)+LEFT(J17,1)*'1-Eng Inputs'!$C$38</f>
        <v>288</v>
      </c>
      <c r="AA17" s="1453">
        <f>IF(LEFT(L17,3)-LEFT(L17,1)=0.5,'1-Eng Inputs'!$C$39,0)+LEFT(L17,1)*'1-Eng Inputs'!$C$38</f>
        <v>224</v>
      </c>
      <c r="AC17" s="1453">
        <f>IF(LEFT(N17,3)-LEFT(N17,1)=0.5,'1-Eng Inputs'!$C$39,0)+LEFT(N17,1)*'1-Eng Inputs'!$C$38</f>
        <v>224</v>
      </c>
      <c r="AI17" s="1449">
        <f>(AI16*AV17+AI19*AV18)/'1-Eng Inputs'!$C$38</f>
        <v>9.8339383617220122</v>
      </c>
      <c r="AJ17" s="964"/>
      <c r="AK17" s="1449">
        <f>(AK16*AX17+AK19*AX18)/'1-Eng Inputs'!$C$38</f>
        <v>9.0411258042738787</v>
      </c>
      <c r="AL17" s="964"/>
      <c r="AM17" s="1449">
        <f>(AM16*AZ17+AM19*AZ18)/'1-Eng Inputs'!$C$38</f>
        <v>8.2483132468257452</v>
      </c>
      <c r="AN17" s="964"/>
      <c r="AO17" s="1451">
        <f>(AO16*BB17+AO19*BB18)/'1-Eng Inputs'!$C$38</f>
        <v>6.6626881319294737</v>
      </c>
      <c r="AP17" s="964"/>
      <c r="AQ17" s="1451">
        <f>(AQ16*BD17+AQ19*BD18)/'1-Eng Inputs'!$C$38</f>
        <v>6.6626881319294737</v>
      </c>
      <c r="AU17" s="944"/>
      <c r="AV17" s="952">
        <v>0.5</v>
      </c>
      <c r="AX17" s="952">
        <v>0.5</v>
      </c>
      <c r="AZ17" s="952">
        <v>0.5</v>
      </c>
      <c r="BB17" s="952">
        <v>0.5</v>
      </c>
      <c r="BD17" s="952">
        <v>0.5</v>
      </c>
      <c r="BJ17" s="1449">
        <f>AI17</f>
        <v>9.8339383617220122</v>
      </c>
      <c r="BL17" s="1449">
        <f>AK17</f>
        <v>9.0411258042738787</v>
      </c>
      <c r="BN17" s="1449">
        <f>AM17</f>
        <v>8.2483132468257452</v>
      </c>
      <c r="BP17" s="1451">
        <f>AO17</f>
        <v>6.6626881319294737</v>
      </c>
      <c r="BR17" s="1451">
        <f>AQ17</f>
        <v>6.6626881319294737</v>
      </c>
      <c r="BT17" s="1433"/>
      <c r="BU17" s="1433"/>
      <c r="CA17" s="935"/>
    </row>
    <row r="18" spans="3:160" ht="12.75" hidden="1" customHeight="1">
      <c r="E18" s="936"/>
      <c r="F18" s="1432"/>
      <c r="G18" s="930"/>
      <c r="H18" s="1432"/>
      <c r="I18" s="930"/>
      <c r="J18" s="1432"/>
      <c r="K18" s="930"/>
      <c r="L18" s="1432"/>
      <c r="M18" s="930"/>
      <c r="N18" s="1432"/>
      <c r="O18" s="930"/>
      <c r="P18" s="930"/>
      <c r="Q18" s="969"/>
      <c r="U18" s="1454"/>
      <c r="V18" s="1434"/>
      <c r="W18" s="1454"/>
      <c r="X18" s="1434"/>
      <c r="Y18" s="1454"/>
      <c r="Z18" s="1434"/>
      <c r="AA18" s="1453"/>
      <c r="AB18" s="1434"/>
      <c r="AC18" s="1453"/>
      <c r="AD18" s="1434"/>
      <c r="AI18" s="1450"/>
      <c r="AJ18" s="1434"/>
      <c r="AK18" s="1450"/>
      <c r="AL18" s="1434"/>
      <c r="AM18" s="1450"/>
      <c r="AN18" s="1434"/>
      <c r="AO18" s="1452"/>
      <c r="AP18" s="1434"/>
      <c r="AQ18" s="1452"/>
      <c r="AR18" s="1434"/>
      <c r="AU18" s="944"/>
      <c r="AV18" s="951">
        <v>0.5</v>
      </c>
      <c r="AX18" s="951">
        <v>0.5</v>
      </c>
      <c r="AZ18" s="951">
        <v>0.5</v>
      </c>
      <c r="BB18" s="951">
        <v>0.5</v>
      </c>
      <c r="BD18" s="951">
        <v>0.5</v>
      </c>
      <c r="BJ18" s="1450"/>
      <c r="BK18" s="1434"/>
      <c r="BL18" s="1450"/>
      <c r="BM18" s="1434"/>
      <c r="BN18" s="1450"/>
      <c r="BO18" s="1434"/>
      <c r="BP18" s="1452"/>
      <c r="BQ18" s="1434"/>
      <c r="BR18" s="1452"/>
      <c r="BS18" s="1434"/>
      <c r="BT18" s="1433"/>
      <c r="BU18" s="1433"/>
      <c r="CA18" s="935"/>
    </row>
    <row r="19" spans="3:160" ht="24.75" customHeight="1">
      <c r="C19" s="953"/>
      <c r="D19" s="936">
        <v>3</v>
      </c>
      <c r="E19" s="947"/>
      <c r="F19" s="950" t="s">
        <v>19424</v>
      </c>
      <c r="G19" s="930"/>
      <c r="H19" s="950" t="s">
        <v>19424</v>
      </c>
      <c r="I19" s="930"/>
      <c r="J19" s="950" t="s">
        <v>19424</v>
      </c>
      <c r="K19" s="930"/>
      <c r="L19" s="950" t="s">
        <v>19425</v>
      </c>
      <c r="M19" s="930"/>
      <c r="N19" s="950" t="s">
        <v>19425</v>
      </c>
      <c r="O19" s="930"/>
      <c r="P19" s="930"/>
      <c r="Q19" s="969"/>
      <c r="R19" s="953"/>
      <c r="S19" s="930"/>
      <c r="U19" s="966">
        <f>(U17*(AI19*AV18/(AI17*'1-Eng Inputs'!$C$38))+U20*(AI19*AV20/(AI20*'1-Eng Inputs'!$C$38)))</f>
        <v>33.40303333830105</v>
      </c>
      <c r="V19" s="930"/>
      <c r="W19" s="966">
        <f>(W17*(AK19*AX18/(AK17*'1-Eng Inputs'!$C$38))+W20*(AK19*AX20/(AK20*'1-Eng Inputs'!$C$38)))</f>
        <v>173.84101268419533</v>
      </c>
      <c r="X19" s="930"/>
      <c r="Y19" s="966">
        <f>(Y17*(AM19*AZ18/(AM17*'1-Eng Inputs'!$C$38))+Y20*(AM19*AZ20/(AM20*'1-Eng Inputs'!$C$38)))</f>
        <v>285.611427532687</v>
      </c>
      <c r="Z19" s="930"/>
      <c r="AA19" s="966">
        <f>(AA17*(AO19*BB18/(AO17*'1-Eng Inputs'!$C$38))+AA20*(AO19*BB20/(AO20*'1-Eng Inputs'!$C$38)))</f>
        <v>224</v>
      </c>
      <c r="AB19" s="930"/>
      <c r="AC19" s="966">
        <f>(AC17*(AQ19*BD18/(AQ17*'1-Eng Inputs'!$C$38))+AC20*(AQ19*BD20/(AQ20*'1-Eng Inputs'!$C$38)))</f>
        <v>224</v>
      </c>
      <c r="AD19" s="930"/>
      <c r="AF19" s="953"/>
      <c r="AG19" s="930">
        <v>3</v>
      </c>
      <c r="AH19" s="947"/>
      <c r="AI19" s="946">
        <f>AI16</f>
        <v>314.68602757510439</v>
      </c>
      <c r="AJ19" s="947"/>
      <c r="AK19" s="946">
        <f>AK16</f>
        <v>289.31602573676412</v>
      </c>
      <c r="AL19" s="947"/>
      <c r="AM19" s="946">
        <f>AM16</f>
        <v>263.94602389842385</v>
      </c>
      <c r="AN19" s="947"/>
      <c r="AO19" s="946">
        <f>AO16</f>
        <v>213.20602022174316</v>
      </c>
      <c r="AP19" s="947"/>
      <c r="AQ19" s="946">
        <f>AO16</f>
        <v>213.20602022174316</v>
      </c>
      <c r="AR19" s="930"/>
      <c r="AT19" s="944"/>
      <c r="AU19" s="932"/>
      <c r="AV19" s="948"/>
      <c r="AX19" s="948"/>
      <c r="AZ19" s="948"/>
      <c r="BB19" s="948"/>
      <c r="BD19" s="948"/>
      <c r="BG19" s="953"/>
      <c r="BH19" s="930">
        <v>3</v>
      </c>
      <c r="BI19" s="947"/>
      <c r="BJ19" s="946">
        <f>AI19</f>
        <v>314.68602757510439</v>
      </c>
      <c r="BK19" s="930"/>
      <c r="BL19" s="946">
        <f>AK19</f>
        <v>289.31602573676412</v>
      </c>
      <c r="BM19" s="930"/>
      <c r="BN19" s="946">
        <f>AM19</f>
        <v>263.94602389842385</v>
      </c>
      <c r="BO19" s="930"/>
      <c r="BP19" s="946">
        <f t="shared" ref="BP19:BR19" si="2">AO19</f>
        <v>213.20602022174316</v>
      </c>
      <c r="BQ19" s="930"/>
      <c r="BR19" s="946">
        <f t="shared" si="2"/>
        <v>213.20602022174316</v>
      </c>
      <c r="BS19" s="930"/>
      <c r="BU19" s="1433"/>
      <c r="BW19" s="929"/>
      <c r="BX19" s="928"/>
      <c r="BZ19" s="1434"/>
      <c r="CA19" s="1434"/>
      <c r="CH19" s="929"/>
      <c r="FC19" s="928"/>
    </row>
    <row r="20" spans="3:160">
      <c r="D20" s="953"/>
      <c r="E20" s="936"/>
      <c r="F20" s="1431">
        <f>IF($N$4="NO",ROUNDUP(BJ20-0.00499,0),LEFT(BJ20,1)+(IF(BJ20-LEFT(BJ20,1)&lt;0.00499,0,IF(BJ20-LEFT(BJ20,1)-0.00499&lt;('1-Eng Inputs'!$C$39/'1-Eng Inputs'!$C$38),0.5,1))))</f>
        <v>10</v>
      </c>
      <c r="G20" s="930"/>
      <c r="H20" s="1431">
        <f>IF($N$4="NO",ROUNDUP(BL20-0.00499,0),LEFT(BL20,1)+(IF(BL20-LEFT(BL20,1)&lt;0.00499,0,IF(BL20-LEFT(BL20,1)-0.00499&lt;('1-Eng Inputs'!$C$39/'1-Eng Inputs'!$C$38),0.5,1))))</f>
        <v>9</v>
      </c>
      <c r="I20" s="930"/>
      <c r="J20" s="1431">
        <f>IF($N$4="NO",ROUNDUP(BN20-0.00499,0),LEFT(BN20,1)+(IF(BN20-LEFT(BN20,1)&lt;0.00499,0,IF(BN20-LEFT(BN20,1)-0.00499&lt;('1-Eng Inputs'!$C$39/'1-Eng Inputs'!$C$38),0.5,1))))</f>
        <v>8</v>
      </c>
      <c r="K20" s="930"/>
      <c r="L20" s="1431">
        <f>IF($N$4="NO",ROUNDUP(BP20-0.00499,0),LEFT(BP20,1)+(IF(BP20-LEFT(BP20,1)&lt;0.00499,0,IF(BP20-LEFT(BP20,1)-0.00499&lt;('1-Eng Inputs'!$C$39/'1-Eng Inputs'!$C$38),0.5,1))))</f>
        <v>7</v>
      </c>
      <c r="M20" s="930"/>
      <c r="N20" s="1431">
        <f>IF($N$4="NO",ROUNDUP(BR20-0.00499,0),LEFT(BR20,1)+(IF(BR20-LEFT(BR20,1)&lt;0.00499,0,IF(BR20-LEFT(BR20,1)-0.00499&lt;('1-Eng Inputs'!$C$39/'1-Eng Inputs'!$C$38),0.5,1))))</f>
        <v>7</v>
      </c>
      <c r="O20" s="930"/>
      <c r="P20" s="930"/>
      <c r="Q20" s="969"/>
      <c r="S20" s="953"/>
      <c r="U20" s="1454">
        <f>IF(LEFT(F20,3)-LEFT(F20,1)=0.5,'1-Eng Inputs'!$C$39,0)+LEFT(F20,1)*'1-Eng Inputs'!$C$38</f>
        <v>32</v>
      </c>
      <c r="W20" s="1454">
        <f>IF(LEFT(H20,3)-LEFT(H20,1)=0.5,'1-Eng Inputs'!$C$39,0)+LEFT(H20,1)*'1-Eng Inputs'!$C$38</f>
        <v>288</v>
      </c>
      <c r="Y20" s="1454">
        <f>IF(LEFT(J20,3)-LEFT(J20,1)=0.5,'1-Eng Inputs'!$C$39,0)+LEFT(J20,1)*'1-Eng Inputs'!$C$38</f>
        <v>256</v>
      </c>
      <c r="AA20" s="1453">
        <f>IF(LEFT(L20,3)-LEFT(L20,1)=0.5,'1-Eng Inputs'!$C$39,0)+LEFT(L20,1)*'1-Eng Inputs'!$C$38</f>
        <v>224</v>
      </c>
      <c r="AC20" s="1453">
        <f>IF(LEFT(N20,3)-LEFT(N20,1)=0.5,'1-Eng Inputs'!$C$39,0)+LEFT(N20,1)*'1-Eng Inputs'!$C$38</f>
        <v>224</v>
      </c>
      <c r="AG20" s="953"/>
      <c r="AI20" s="1449">
        <f>(AI19*AV20+AI22*AV21)/'1-Eng Inputs'!$C$38</f>
        <v>9.0411258042738787</v>
      </c>
      <c r="AJ20" s="964"/>
      <c r="AK20" s="1449">
        <f>(AK19*AX20+AK22*AX21)/'1-Eng Inputs'!$C$38</f>
        <v>8.2483132468257434</v>
      </c>
      <c r="AL20" s="964"/>
      <c r="AM20" s="1449">
        <f>(AM19*AZ20+AM22*AZ21)/'1-Eng Inputs'!$C$38</f>
        <v>7.4555006893776099</v>
      </c>
      <c r="AN20" s="964"/>
      <c r="AO20" s="1451">
        <f>(AO19*BB20+AO22*BB21)/'1-Eng Inputs'!$C$38</f>
        <v>6.6626881319294737</v>
      </c>
      <c r="AP20" s="964"/>
      <c r="AQ20" s="1451">
        <f>(AQ19*BD20+AQ22*BD21)/'1-Eng Inputs'!$C$38</f>
        <v>6.6626881319294737</v>
      </c>
      <c r="AU20" s="944"/>
      <c r="AV20" s="952">
        <v>0.5</v>
      </c>
      <c r="AX20" s="952">
        <v>0.5</v>
      </c>
      <c r="AZ20" s="952">
        <v>0.5</v>
      </c>
      <c r="BB20" s="952">
        <v>0.5</v>
      </c>
      <c r="BD20" s="952">
        <v>0.5</v>
      </c>
      <c r="BH20" s="953"/>
      <c r="BJ20" s="1449">
        <f>AI20</f>
        <v>9.0411258042738787</v>
      </c>
      <c r="BL20" s="1449">
        <f>AK20</f>
        <v>8.2483132468257434</v>
      </c>
      <c r="BN20" s="1449">
        <f>AM20</f>
        <v>7.4555006893776099</v>
      </c>
      <c r="BP20" s="1451">
        <f>AO20</f>
        <v>6.6626881319294737</v>
      </c>
      <c r="BR20" s="1451">
        <f>AQ20</f>
        <v>6.6626881319294737</v>
      </c>
      <c r="BT20" s="1433"/>
      <c r="BU20" s="1433"/>
      <c r="CA20" s="1434"/>
      <c r="CB20" s="1434"/>
      <c r="CC20" s="1434"/>
      <c r="CD20" s="1434"/>
      <c r="CE20" s="1434"/>
    </row>
    <row r="21" spans="3:160" ht="12.75" hidden="1" customHeight="1">
      <c r="D21" s="953"/>
      <c r="E21" s="936"/>
      <c r="F21" s="1432"/>
      <c r="G21" s="930"/>
      <c r="H21" s="1432"/>
      <c r="I21" s="930"/>
      <c r="J21" s="1432"/>
      <c r="K21" s="930"/>
      <c r="L21" s="1432"/>
      <c r="M21" s="930"/>
      <c r="N21" s="1432"/>
      <c r="O21" s="930"/>
      <c r="P21" s="930"/>
      <c r="Q21" s="969"/>
      <c r="S21" s="953"/>
      <c r="U21" s="1454"/>
      <c r="V21" s="1434"/>
      <c r="W21" s="1454"/>
      <c r="X21" s="1434"/>
      <c r="Y21" s="1454"/>
      <c r="Z21" s="1434"/>
      <c r="AA21" s="1453"/>
      <c r="AB21" s="1434"/>
      <c r="AC21" s="1453"/>
      <c r="AD21" s="1434"/>
      <c r="AG21" s="953"/>
      <c r="AI21" s="1450"/>
      <c r="AJ21" s="1434"/>
      <c r="AK21" s="1450"/>
      <c r="AL21" s="1434"/>
      <c r="AM21" s="1450"/>
      <c r="AN21" s="1434"/>
      <c r="AO21" s="1452"/>
      <c r="AP21" s="1434"/>
      <c r="AQ21" s="1452"/>
      <c r="AR21" s="1434"/>
      <c r="AU21" s="944"/>
      <c r="AV21" s="951">
        <v>0.5</v>
      </c>
      <c r="AX21" s="951">
        <v>0.5</v>
      </c>
      <c r="AZ21" s="951">
        <v>0.5</v>
      </c>
      <c r="BB21" s="951">
        <v>0.5</v>
      </c>
      <c r="BD21" s="951">
        <v>0.5</v>
      </c>
      <c r="BH21" s="953"/>
      <c r="BJ21" s="1450"/>
      <c r="BK21" s="1434"/>
      <c r="BL21" s="1450"/>
      <c r="BM21" s="1434"/>
      <c r="BN21" s="1450"/>
      <c r="BO21" s="1434"/>
      <c r="BP21" s="1452"/>
      <c r="BQ21" s="1434"/>
      <c r="BR21" s="1452"/>
      <c r="BS21" s="1434"/>
      <c r="BT21" s="1433"/>
      <c r="BU21" s="1433"/>
      <c r="BZ21" s="941"/>
      <c r="CA21" s="942"/>
      <c r="CB21" s="1434"/>
      <c r="CC21" s="942"/>
      <c r="CD21" s="1434"/>
      <c r="CE21" s="942"/>
      <c r="CF21" s="941"/>
      <c r="CG21" s="941"/>
    </row>
    <row r="22" spans="3:160" ht="24.75" customHeight="1">
      <c r="C22" s="953"/>
      <c r="D22" s="936">
        <v>4</v>
      </c>
      <c r="E22" s="947"/>
      <c r="F22" s="950" t="s">
        <v>19426</v>
      </c>
      <c r="G22" s="930"/>
      <c r="H22" s="950" t="s">
        <v>19426</v>
      </c>
      <c r="I22" s="930"/>
      <c r="J22" s="950" t="s">
        <v>19426</v>
      </c>
      <c r="K22" s="930"/>
      <c r="L22" s="950" t="s">
        <v>199</v>
      </c>
      <c r="M22" s="930"/>
      <c r="N22" s="950" t="s">
        <v>199</v>
      </c>
      <c r="O22" s="930"/>
      <c r="P22" s="930"/>
      <c r="Q22" s="969"/>
      <c r="R22" s="953"/>
      <c r="S22" s="930"/>
      <c r="U22" s="966">
        <f>(U20*(AI22*AV21/(AI20*'1-Eng Inputs'!$C$38))+U23*(AI22*AV23/(AI23*'1-Eng Inputs'!$C$38)))</f>
        <v>158.59696666169896</v>
      </c>
      <c r="V22" s="930"/>
      <c r="W22" s="966">
        <f>(W20*(AK22*AX21/(AK20*'1-Eng Inputs'!$C$38))+W23*(AK22*AX23/(AK23*'1-Eng Inputs'!$C$38)))</f>
        <v>258.15898731580467</v>
      </c>
      <c r="X22" s="930"/>
      <c r="Y22" s="966">
        <f>(Y20*(AM22*AZ21/(AM20*'1-Eng Inputs'!$C$38))+Y23*(AM22*AZ23/(AM23*'1-Eng Inputs'!$C$38)))</f>
        <v>226.388572467313</v>
      </c>
      <c r="Z22" s="930"/>
      <c r="AA22" s="966">
        <f>(AA20*(AO22*BB21/(AO20*'1-Eng Inputs'!$C$38))+AA23*(AO22*BB23/(AO23*'1-Eng Inputs'!$C$38)))</f>
        <v>224</v>
      </c>
      <c r="AB22" s="930"/>
      <c r="AC22" s="966">
        <f>(AC20*(AQ22*BD21/(AQ20*'1-Eng Inputs'!$C$38))+AC23*(AQ22*BD23/(AQ23*'1-Eng Inputs'!$C$38)))</f>
        <v>224</v>
      </c>
      <c r="AD22" s="930"/>
      <c r="AF22" s="953"/>
      <c r="AG22" s="930">
        <v>4</v>
      </c>
      <c r="AH22" s="947"/>
      <c r="AI22" s="949">
        <f>'Land Calcs 5deg (lift)'!O17</f>
        <v>263.94602389842385</v>
      </c>
      <c r="AJ22" s="947"/>
      <c r="AK22" s="949">
        <f>'Land Calcs 5deg (lift)'!P17</f>
        <v>238.57602206008343</v>
      </c>
      <c r="AL22" s="947"/>
      <c r="AM22" s="949">
        <f>'Land Calcs 5deg (lift)'!Q17</f>
        <v>213.20602022174316</v>
      </c>
      <c r="AN22" s="947"/>
      <c r="AO22" s="949">
        <f>'Land Calcs 5deg (lift)'!Q22</f>
        <v>213.20602022174316</v>
      </c>
      <c r="AP22" s="947"/>
      <c r="AQ22" s="946">
        <f>AO22</f>
        <v>213.20602022174316</v>
      </c>
      <c r="AR22" s="930"/>
      <c r="AT22" s="944"/>
      <c r="AU22" s="932"/>
      <c r="AV22" s="948"/>
      <c r="AX22" s="948"/>
      <c r="AZ22" s="948"/>
      <c r="BB22" s="948"/>
      <c r="BD22" s="948"/>
      <c r="BG22" s="953"/>
      <c r="BH22" s="930">
        <v>4</v>
      </c>
      <c r="BI22" s="947"/>
      <c r="BJ22" s="946">
        <f>AI22</f>
        <v>263.94602389842385</v>
      </c>
      <c r="BK22" s="930"/>
      <c r="BL22" s="946">
        <f>AK22</f>
        <v>238.57602206008343</v>
      </c>
      <c r="BM22" s="930"/>
      <c r="BN22" s="946">
        <f>AM22</f>
        <v>213.20602022174316</v>
      </c>
      <c r="BO22" s="930"/>
      <c r="BP22" s="946">
        <f t="shared" ref="BP22:BR22" si="3">AO22</f>
        <v>213.20602022174316</v>
      </c>
      <c r="BQ22" s="930"/>
      <c r="BR22" s="946">
        <f t="shared" si="3"/>
        <v>213.20602022174316</v>
      </c>
      <c r="BS22" s="930"/>
      <c r="BU22" s="1433"/>
      <c r="BW22" s="929"/>
      <c r="BX22" s="928"/>
      <c r="BY22" s="939"/>
      <c r="BZ22" s="1434"/>
      <c r="CA22" s="1434"/>
      <c r="CB22" s="940"/>
      <c r="CC22" s="1434"/>
      <c r="CD22" s="1434"/>
      <c r="CE22" s="939"/>
      <c r="CF22" s="939"/>
      <c r="CH22" s="929"/>
      <c r="FC22" s="928"/>
    </row>
    <row r="23" spans="3:160">
      <c r="D23" s="953"/>
      <c r="E23" s="936"/>
      <c r="F23" s="1431">
        <f>IF($N$4="NO",ROUNDUP(BJ23-0.00499,0),LEFT(BJ23,1)+(IF(BJ23-LEFT(BJ23,1)&lt;0.00499,0,IF(BJ23-LEFT(BJ23,1)-0.00499&lt;('1-Eng Inputs'!$C$39/'1-Eng Inputs'!$C$38),0.5,1))))</f>
        <v>9</v>
      </c>
      <c r="G23" s="930"/>
      <c r="H23" s="1431">
        <f>IF($N$4="NO",ROUNDUP(BL23-0.00499,0),LEFT(BL23,1)+(IF(BL23-LEFT(BL23,1)&lt;0.00499,0,IF(BL23-LEFT(BL23,1)-0.00499&lt;('1-Eng Inputs'!$C$39/'1-Eng Inputs'!$C$38),0.5,1))))</f>
        <v>8</v>
      </c>
      <c r="I23" s="930"/>
      <c r="J23" s="1431">
        <f>IF($N$4="NO",ROUNDUP(BN23-0.00499,0),LEFT(BN23,1)+(IF(BN23-LEFT(BN23,1)&lt;0.00499,0,IF(BN23-LEFT(BN23,1)-0.00499&lt;('1-Eng Inputs'!$C$39/'1-Eng Inputs'!$C$38),0.5,1))))</f>
        <v>7</v>
      </c>
      <c r="K23" s="930"/>
      <c r="L23" s="1431">
        <f>IF($N$4="NO",ROUNDUP(BP23-0.00499,0),LEFT(BP23,1)+(IF(BP23-LEFT(BP23,1)&lt;0.00499,0,IF(BP23-LEFT(BP23,1)-0.00499&lt;('1-Eng Inputs'!$C$39/'1-Eng Inputs'!$C$38),0.5,1))))</f>
        <v>7</v>
      </c>
      <c r="M23" s="930"/>
      <c r="N23" s="1431">
        <f>IF($N$4="NO",ROUNDUP(BR23-0.00499,0),LEFT(BR23,1)+(IF(BR23-LEFT(BR23,1)&lt;0.00499,0,IF(BR23-LEFT(BR23,1)-0.00499&lt;('1-Eng Inputs'!$C$39/'1-Eng Inputs'!$C$38),0.5,1))))</f>
        <v>7</v>
      </c>
      <c r="O23" s="930"/>
      <c r="P23" s="930"/>
      <c r="Q23" s="969"/>
      <c r="S23" s="953"/>
      <c r="U23" s="1461">
        <f>IF(LEFT(F23,3)-LEFT(F23,1)=0.5,'1-Eng Inputs'!$C$39,0)+LEFT(F23,1)*'1-Eng Inputs'!$C$38</f>
        <v>288</v>
      </c>
      <c r="W23" s="1461">
        <f>IF(LEFT(H23,3)-LEFT(H23,1)=0.5,'1-Eng Inputs'!$C$39,0)+LEFT(H23,1)*'1-Eng Inputs'!$C$38</f>
        <v>256</v>
      </c>
      <c r="Y23" s="1461">
        <f>IF(LEFT(J23,3)-LEFT(J23,1)=0.5,'1-Eng Inputs'!$C$39,0)+LEFT(J23,1)*'1-Eng Inputs'!$C$38</f>
        <v>224</v>
      </c>
      <c r="AA23" s="1462">
        <f>IF(LEFT(L23,3)-LEFT(L23,1)=0.5,'1-Eng Inputs'!$C$39,0)+LEFT(L23,1)*'1-Eng Inputs'!$C$38</f>
        <v>224</v>
      </c>
      <c r="AC23" s="1462">
        <f>IF(LEFT(N23,3)-LEFT(N23,1)=0.5,'1-Eng Inputs'!$C$39,0)+LEFT(N23,1)*'1-Eng Inputs'!$C$38</f>
        <v>224</v>
      </c>
      <c r="AG23" s="953"/>
      <c r="AI23" s="1447">
        <f>(AI22*AV23+AI25*AV24)/'1-Eng Inputs'!$C$38</f>
        <v>8.2483132468257452</v>
      </c>
      <c r="AK23" s="1447">
        <f>(AK22*AX23+AK25*AX24)/'1-Eng Inputs'!$C$38</f>
        <v>7.4555006893776072</v>
      </c>
      <c r="AM23" s="1447">
        <f>(AM22*AZ23+AM25*AZ24)/'1-Eng Inputs'!$C$38</f>
        <v>6.6626881319294737</v>
      </c>
      <c r="AO23" s="1459">
        <f>(AO22*BB23+AO25*BB24)/'1-Eng Inputs'!$C$38</f>
        <v>6.6626881319294737</v>
      </c>
      <c r="AQ23" s="1459">
        <f>(AQ22*BD23+AQ25*BD24)/'1-Eng Inputs'!$C$38</f>
        <v>6.6626881319294737</v>
      </c>
      <c r="AU23" s="944"/>
      <c r="AV23" s="952">
        <v>0.5</v>
      </c>
      <c r="AX23" s="952">
        <v>0.5</v>
      </c>
      <c r="AZ23" s="952">
        <v>0.5</v>
      </c>
      <c r="BB23" s="952">
        <v>0.5</v>
      </c>
      <c r="BD23" s="952">
        <v>0.5</v>
      </c>
      <c r="BH23" s="953"/>
      <c r="BJ23" s="1447">
        <f>AI23</f>
        <v>8.2483132468257452</v>
      </c>
      <c r="BL23" s="1447">
        <f>AK23</f>
        <v>7.4555006893776072</v>
      </c>
      <c r="BN23" s="1447">
        <f>AM23</f>
        <v>6.6626881319294737</v>
      </c>
      <c r="BP23" s="1459">
        <f>AO23</f>
        <v>6.6626881319294737</v>
      </c>
      <c r="BR23" s="1459">
        <f>AQ23</f>
        <v>6.6626881319294737</v>
      </c>
      <c r="BT23" s="1433"/>
      <c r="BU23" s="1433"/>
      <c r="CA23" s="1434"/>
      <c r="CB23" s="1434"/>
      <c r="CC23" s="1434"/>
      <c r="CD23" s="1434"/>
      <c r="CE23" s="1434"/>
    </row>
    <row r="24" spans="3:160" ht="12.75" hidden="1" customHeight="1">
      <c r="D24" s="953"/>
      <c r="E24" s="936"/>
      <c r="F24" s="1432"/>
      <c r="G24" s="930"/>
      <c r="H24" s="1432"/>
      <c r="I24" s="930"/>
      <c r="J24" s="1432"/>
      <c r="K24" s="930"/>
      <c r="L24" s="1432"/>
      <c r="M24" s="930"/>
      <c r="N24" s="1432"/>
      <c r="O24" s="930"/>
      <c r="P24" s="930"/>
      <c r="Q24" s="969"/>
      <c r="S24" s="953"/>
      <c r="U24" s="1461"/>
      <c r="V24" s="1434"/>
      <c r="W24" s="1461"/>
      <c r="X24" s="1434"/>
      <c r="Y24" s="1461"/>
      <c r="Z24" s="1434"/>
      <c r="AA24" s="1462"/>
      <c r="AB24" s="1434"/>
      <c r="AC24" s="1462"/>
      <c r="AD24" s="1434"/>
      <c r="AG24" s="953"/>
      <c r="AI24" s="1448"/>
      <c r="AJ24" s="1434"/>
      <c r="AK24" s="1448"/>
      <c r="AL24" s="1434"/>
      <c r="AM24" s="1448"/>
      <c r="AN24" s="1434"/>
      <c r="AO24" s="1460"/>
      <c r="AP24" s="1434"/>
      <c r="AQ24" s="1460"/>
      <c r="AR24" s="1434"/>
      <c r="AU24" s="944"/>
      <c r="AV24" s="951">
        <v>0.5</v>
      </c>
      <c r="AX24" s="951">
        <v>0.5</v>
      </c>
      <c r="AZ24" s="951">
        <v>0.5</v>
      </c>
      <c r="BB24" s="951">
        <v>0.5</v>
      </c>
      <c r="BD24" s="951">
        <v>0.5</v>
      </c>
      <c r="BH24" s="953"/>
      <c r="BJ24" s="1448"/>
      <c r="BK24" s="1434"/>
      <c r="BL24" s="1448"/>
      <c r="BM24" s="1434"/>
      <c r="BN24" s="1448"/>
      <c r="BO24" s="1434"/>
      <c r="BP24" s="1460"/>
      <c r="BQ24" s="1434"/>
      <c r="BR24" s="1460"/>
      <c r="BS24" s="1434"/>
      <c r="BT24" s="1433"/>
      <c r="BU24" s="1433"/>
      <c r="CA24" s="1434"/>
      <c r="CB24" s="1434"/>
      <c r="CC24" s="1434"/>
      <c r="CD24" s="1434"/>
      <c r="CE24" s="1434"/>
    </row>
    <row r="25" spans="3:160" ht="24.75" customHeight="1">
      <c r="C25" s="953"/>
      <c r="D25" s="936">
        <v>5</v>
      </c>
      <c r="E25" s="947"/>
      <c r="F25" s="950" t="s">
        <v>19426</v>
      </c>
      <c r="G25" s="930"/>
      <c r="H25" s="950" t="s">
        <v>19426</v>
      </c>
      <c r="I25" s="930"/>
      <c r="J25" s="950" t="s">
        <v>19426</v>
      </c>
      <c r="K25" s="930"/>
      <c r="L25" s="950" t="s">
        <v>199</v>
      </c>
      <c r="M25" s="930"/>
      <c r="N25" s="950" t="s">
        <v>199</v>
      </c>
      <c r="O25" s="930"/>
      <c r="P25" s="930"/>
      <c r="Q25" s="969"/>
      <c r="R25" s="953"/>
      <c r="S25" s="930"/>
      <c r="U25" s="966">
        <f>(U23*(AI25*AV24/(AI23*'1-Eng Inputs'!$C$38))+U26*(AI25*AV26/(AI26*'1-Eng Inputs'!$C$38)))</f>
        <v>288</v>
      </c>
      <c r="V25" s="930"/>
      <c r="W25" s="966">
        <f>(W23*(AK25*AX24/(AK23*'1-Eng Inputs'!$C$38))+W26*(AK25*AX26/(AK26*'1-Eng Inputs'!$C$38)))</f>
        <v>256</v>
      </c>
      <c r="X25" s="930"/>
      <c r="Y25" s="966">
        <f>(Y23*(AM25*AZ24/(AM23*'1-Eng Inputs'!$C$38))+Y26*(AM25*AZ26/(AM26*'1-Eng Inputs'!$C$38)))</f>
        <v>224</v>
      </c>
      <c r="Z25" s="930"/>
      <c r="AA25" s="966">
        <f>(AA23*(AO25*BB24/(AO23*'1-Eng Inputs'!$C$38))+AA26*(AO25*BB26/(AO26*'1-Eng Inputs'!$C$38)))</f>
        <v>224</v>
      </c>
      <c r="AB25" s="930"/>
      <c r="AC25" s="966">
        <f>(AC23*(AQ25*BD24/(AQ23*'1-Eng Inputs'!$C$38))+AC26*(AQ25*BD26/(AQ26*'1-Eng Inputs'!$C$38)))</f>
        <v>224</v>
      </c>
      <c r="AD25" s="930"/>
      <c r="AF25" s="953"/>
      <c r="AG25" s="930">
        <v>5</v>
      </c>
      <c r="AH25" s="947"/>
      <c r="AI25" s="946">
        <f>AI22</f>
        <v>263.94602389842385</v>
      </c>
      <c r="AJ25" s="947"/>
      <c r="AK25" s="946">
        <f>AK22</f>
        <v>238.57602206008343</v>
      </c>
      <c r="AL25" s="947"/>
      <c r="AM25" s="946">
        <f>AM22</f>
        <v>213.20602022174316</v>
      </c>
      <c r="AN25" s="947"/>
      <c r="AO25" s="946">
        <f>AO22</f>
        <v>213.20602022174316</v>
      </c>
      <c r="AP25" s="947"/>
      <c r="AQ25" s="946">
        <f>AO22</f>
        <v>213.20602022174316</v>
      </c>
      <c r="AR25" s="930"/>
      <c r="AT25" s="944"/>
      <c r="AU25" s="932"/>
      <c r="AV25" s="948"/>
      <c r="AX25" s="948"/>
      <c r="AZ25" s="948"/>
      <c r="BB25" s="948"/>
      <c r="BD25" s="948"/>
      <c r="BG25" s="953"/>
      <c r="BH25" s="930">
        <v>5</v>
      </c>
      <c r="BI25" s="947"/>
      <c r="BJ25" s="946">
        <f>AI25</f>
        <v>263.94602389842385</v>
      </c>
      <c r="BK25" s="930"/>
      <c r="BL25" s="946">
        <f>AK25</f>
        <v>238.57602206008343</v>
      </c>
      <c r="BM25" s="930"/>
      <c r="BN25" s="946">
        <f>AM25</f>
        <v>213.20602022174316</v>
      </c>
      <c r="BO25" s="930"/>
      <c r="BP25" s="946">
        <f t="shared" ref="BP25:BR25" si="4">AO25</f>
        <v>213.20602022174316</v>
      </c>
      <c r="BQ25" s="930"/>
      <c r="BR25" s="946">
        <f t="shared" si="4"/>
        <v>213.20602022174316</v>
      </c>
      <c r="BS25" s="930"/>
      <c r="BU25" s="1433"/>
      <c r="BW25" s="929"/>
      <c r="BX25" s="928"/>
      <c r="BZ25" s="1434"/>
      <c r="CA25" s="1434"/>
      <c r="CB25" s="1434"/>
      <c r="CC25" s="1434"/>
      <c r="CD25" s="1434"/>
      <c r="CH25" s="929"/>
      <c r="FC25" s="928"/>
    </row>
    <row r="26" spans="3:160">
      <c r="D26" s="953"/>
      <c r="E26" s="936"/>
      <c r="F26" s="1431">
        <f>IF($N$4="NO",ROUNDUP(BJ26-0.00499,0),LEFT(BJ26,1)+(IF(BJ26-LEFT(BJ26,1)&lt;0.00499,0,IF(BJ26-LEFT(BJ26,1)-0.00499&lt;('1-Eng Inputs'!$C$39/'1-Eng Inputs'!$C$38),0.5,1))))</f>
        <v>9</v>
      </c>
      <c r="G26" s="930"/>
      <c r="H26" s="1431">
        <f>IF($N$4="NO",ROUNDUP(BL26-0.00499,0),LEFT(BL26,1)+(IF(BL26-LEFT(BL26,1)&lt;0.00499,0,IF(BL26-LEFT(BL26,1)-0.00499&lt;('1-Eng Inputs'!$C$39/'1-Eng Inputs'!$C$38),0.5,1))))</f>
        <v>8</v>
      </c>
      <c r="I26" s="930"/>
      <c r="J26" s="1431">
        <f>IF($N$4="NO",ROUNDUP(BN26-0.00499,0),LEFT(BN26,1)+(IF(BN26-LEFT(BN26,1)&lt;0.00499,0,IF(BN26-LEFT(BN26,1)-0.00499&lt;('1-Eng Inputs'!$C$39/'1-Eng Inputs'!$C$38),0.5,1))))</f>
        <v>7</v>
      </c>
      <c r="K26" s="930"/>
      <c r="L26" s="1431">
        <f>IF($N$4="NO",ROUNDUP(BP26-0.00499,0),LEFT(BP26,1)+(IF(BP26-LEFT(BP26,1)&lt;0.00499,0,IF(BP26-LEFT(BP26,1)-0.00499&lt;('1-Eng Inputs'!$C$39/'1-Eng Inputs'!$C$38),0.5,1))))</f>
        <v>7</v>
      </c>
      <c r="M26" s="930"/>
      <c r="N26" s="1431">
        <f>IF($N$4="NO",ROUNDUP(BR26-0.00499,0),LEFT(BR26,1)+(IF(BR26-LEFT(BR26,1)&lt;0.00499,0,IF(BR26-LEFT(BR26,1)-0.00499&lt;('1-Eng Inputs'!$C$39/'1-Eng Inputs'!$C$38),0.5,1))))</f>
        <v>7</v>
      </c>
      <c r="O26" s="930"/>
      <c r="P26" s="930"/>
      <c r="Q26" s="969"/>
      <c r="S26" s="953"/>
      <c r="U26" s="1457">
        <f>IF(LEFT(F26,3)-LEFT(F26,1)=0.5,'1-Eng Inputs'!$C$39,0)+LEFT(F26,1)*'1-Eng Inputs'!$C$38</f>
        <v>288</v>
      </c>
      <c r="W26" s="1457">
        <f>IF(LEFT(H26,3)-LEFT(H26,1)=0.5,'1-Eng Inputs'!$C$39,0)+LEFT(H26,1)*'1-Eng Inputs'!$C$38</f>
        <v>256</v>
      </c>
      <c r="Y26" s="1457">
        <f>IF(LEFT(J26,3)-LEFT(J26,1)=0.5,'1-Eng Inputs'!$C$39,0)+LEFT(J26,1)*'1-Eng Inputs'!$C$38</f>
        <v>224</v>
      </c>
      <c r="AA26" s="1458">
        <f>IF(LEFT(L26,3)-LEFT(L26,1)=0.5,'1-Eng Inputs'!$C$39,0)+LEFT(L26,1)*'1-Eng Inputs'!$C$38</f>
        <v>224</v>
      </c>
      <c r="AC26" s="1458">
        <f>IF(LEFT(N26,3)-LEFT(N26,1)=0.5,'1-Eng Inputs'!$C$39,0)+LEFT(N26,1)*'1-Eng Inputs'!$C$38</f>
        <v>224</v>
      </c>
      <c r="AG26" s="953"/>
      <c r="AI26" s="1441">
        <f>(AI25*AV26+AI28*AV27)/'1-Eng Inputs'!$C$38</f>
        <v>8.2483132468257452</v>
      </c>
      <c r="AK26" s="1441">
        <f>(AK25*AX26+AK28*AX27)/'1-Eng Inputs'!$C$38</f>
        <v>7.4555006893776072</v>
      </c>
      <c r="AM26" s="1441">
        <f>(AM25*AZ26+AM28*AZ27)/'1-Eng Inputs'!$C$38</f>
        <v>6.6626881319294737</v>
      </c>
      <c r="AO26" s="1455">
        <f>(AO25*BB26+AO28*BB27)/'1-Eng Inputs'!$C$38</f>
        <v>6.6626881319294737</v>
      </c>
      <c r="AQ26" s="1455">
        <f>(AQ25*BD26+AQ28*BD27)/'1-Eng Inputs'!$C$38</f>
        <v>6.6626881319294737</v>
      </c>
      <c r="AU26" s="944"/>
      <c r="AV26" s="952">
        <v>0.5</v>
      </c>
      <c r="AX26" s="952">
        <v>0.5</v>
      </c>
      <c r="AZ26" s="952">
        <v>0.5</v>
      </c>
      <c r="BB26" s="952">
        <v>0.5</v>
      </c>
      <c r="BD26" s="952">
        <v>0.5</v>
      </c>
      <c r="BH26" s="953"/>
      <c r="BJ26" s="1441">
        <f>AI26</f>
        <v>8.2483132468257452</v>
      </c>
      <c r="BL26" s="1441">
        <f>AK26</f>
        <v>7.4555006893776072</v>
      </c>
      <c r="BN26" s="1441">
        <f>AM26</f>
        <v>6.6626881319294737</v>
      </c>
      <c r="BP26" s="1455">
        <f>AO26</f>
        <v>6.6626881319294737</v>
      </c>
      <c r="BR26" s="1455">
        <f>AQ26</f>
        <v>6.6626881319294737</v>
      </c>
      <c r="BT26" s="1433"/>
      <c r="BU26" s="1433"/>
      <c r="CA26" s="1434"/>
      <c r="CB26" s="938"/>
      <c r="CC26" s="1434"/>
      <c r="CD26" s="938"/>
      <c r="CE26" s="1434"/>
    </row>
    <row r="27" spans="3:160" ht="12.75" hidden="1" customHeight="1">
      <c r="D27" s="953"/>
      <c r="E27" s="936"/>
      <c r="F27" s="1432"/>
      <c r="G27" s="930"/>
      <c r="H27" s="1432"/>
      <c r="I27" s="930"/>
      <c r="J27" s="1432"/>
      <c r="K27" s="930"/>
      <c r="L27" s="1432"/>
      <c r="M27" s="930"/>
      <c r="N27" s="1432"/>
      <c r="O27" s="930"/>
      <c r="P27" s="930"/>
      <c r="Q27" s="969"/>
      <c r="S27" s="953"/>
      <c r="U27" s="1457"/>
      <c r="V27" s="1434"/>
      <c r="W27" s="1457"/>
      <c r="X27" s="1434"/>
      <c r="Y27" s="1457"/>
      <c r="Z27" s="1434"/>
      <c r="AA27" s="1458"/>
      <c r="AB27" s="1434"/>
      <c r="AC27" s="1458"/>
      <c r="AD27" s="1434"/>
      <c r="AG27" s="953"/>
      <c r="AI27" s="1442"/>
      <c r="AJ27" s="1434"/>
      <c r="AK27" s="1442"/>
      <c r="AL27" s="1434"/>
      <c r="AM27" s="1442"/>
      <c r="AN27" s="1434"/>
      <c r="AO27" s="1456"/>
      <c r="AP27" s="1434"/>
      <c r="AQ27" s="1456"/>
      <c r="AR27" s="1434"/>
      <c r="AU27" s="944"/>
      <c r="AV27" s="951">
        <v>0.5</v>
      </c>
      <c r="AX27" s="951">
        <v>0.5</v>
      </c>
      <c r="AZ27" s="951">
        <v>0.5</v>
      </c>
      <c r="BB27" s="951">
        <v>0.5</v>
      </c>
      <c r="BD27" s="951">
        <v>0.5</v>
      </c>
      <c r="BH27" s="953"/>
      <c r="BJ27" s="1442"/>
      <c r="BK27" s="1434"/>
      <c r="BL27" s="1442"/>
      <c r="BM27" s="1434"/>
      <c r="BN27" s="1442"/>
      <c r="BO27" s="1434"/>
      <c r="BP27" s="1456"/>
      <c r="BQ27" s="1434"/>
      <c r="BR27" s="1456"/>
      <c r="BS27" s="1434"/>
      <c r="BT27" s="1433"/>
      <c r="BU27" s="1433"/>
      <c r="CA27" s="935"/>
      <c r="CB27" s="937"/>
      <c r="CC27" s="1434"/>
      <c r="CD27" s="937"/>
      <c r="CE27" s="935"/>
    </row>
    <row r="28" spans="3:160" ht="24.75" customHeight="1">
      <c r="C28" s="953"/>
      <c r="D28" s="936">
        <v>6</v>
      </c>
      <c r="E28" s="947"/>
      <c r="F28" s="950" t="s">
        <v>19427</v>
      </c>
      <c r="G28" s="930"/>
      <c r="H28" s="950" t="s">
        <v>19427</v>
      </c>
      <c r="I28" s="930"/>
      <c r="J28" s="950" t="s">
        <v>19427</v>
      </c>
      <c r="K28" s="930"/>
      <c r="L28" s="950" t="s">
        <v>19428</v>
      </c>
      <c r="M28" s="930"/>
      <c r="N28" s="950" t="s">
        <v>19428</v>
      </c>
      <c r="O28" s="930"/>
      <c r="P28" s="930"/>
      <c r="Q28" s="969"/>
      <c r="R28" s="953"/>
      <c r="S28" s="930"/>
      <c r="U28" s="966">
        <f>(U26*(AI28*AV27/(AI26*'1-Eng Inputs'!$C$38))+U29*(AI28*AV29/(AI29*'1-Eng Inputs'!$C$38)))</f>
        <v>288</v>
      </c>
      <c r="V28" s="930"/>
      <c r="W28" s="966">
        <f>(W26*(AK28*AX27/(AK26*'1-Eng Inputs'!$C$38))+W29*(AK28*AX29/(AK29*'1-Eng Inputs'!$C$38)))</f>
        <v>256</v>
      </c>
      <c r="X28" s="930"/>
      <c r="Y28" s="966">
        <f>(Y26*(AM28*AZ27/(AM26*'1-Eng Inputs'!$C$38))+Y29*(AM28*AZ29/(AM29*'1-Eng Inputs'!$C$38)))</f>
        <v>232.81210864666946</v>
      </c>
      <c r="Z28" s="930"/>
      <c r="AA28" s="966">
        <f>(AA26*(AO28*BB27/(AO26*'1-Eng Inputs'!$C$38))+AA29*(AO28*BB29/(AO29*'1-Eng Inputs'!$C$38)))</f>
        <v>224</v>
      </c>
      <c r="AB28" s="930"/>
      <c r="AC28" s="966">
        <f>(AC26*(AQ28*BD27/(AQ26*'1-Eng Inputs'!$C$38))+AC29*(AQ28*BD29/(AQ29*'1-Eng Inputs'!$C$38)))</f>
        <v>224</v>
      </c>
      <c r="AD28" s="930"/>
      <c r="AF28" s="953"/>
      <c r="AG28" s="930">
        <v>6</v>
      </c>
      <c r="AH28" s="947"/>
      <c r="AI28" s="949">
        <f>'Land Calcs 5deg (lift)'!O27</f>
        <v>263.94602389842385</v>
      </c>
      <c r="AJ28" s="947"/>
      <c r="AK28" s="949">
        <f>'Land Calcs 5deg (lift)'!P27</f>
        <v>238.57602206008343</v>
      </c>
      <c r="AL28" s="947"/>
      <c r="AM28" s="949">
        <f>'Land Calcs 5deg (lift)'!Q27</f>
        <v>213.20602022174316</v>
      </c>
      <c r="AN28" s="947"/>
      <c r="AO28" s="949">
        <f>'Land Calcs 5deg (lift)'!Q32</f>
        <v>213.20602022174316</v>
      </c>
      <c r="AP28" s="947"/>
      <c r="AQ28" s="946">
        <f>AO28</f>
        <v>213.20602022174316</v>
      </c>
      <c r="AR28" s="930"/>
      <c r="AT28" s="944"/>
      <c r="AU28" s="932"/>
      <c r="AV28" s="948"/>
      <c r="AX28" s="948"/>
      <c r="AZ28" s="948"/>
      <c r="BB28" s="948"/>
      <c r="BD28" s="948"/>
      <c r="BG28" s="953"/>
      <c r="BH28" s="930">
        <v>6</v>
      </c>
      <c r="BI28" s="947"/>
      <c r="BJ28" s="946">
        <f>AI28</f>
        <v>263.94602389842385</v>
      </c>
      <c r="BK28" s="930"/>
      <c r="BL28" s="946">
        <f>AK28</f>
        <v>238.57602206008343</v>
      </c>
      <c r="BM28" s="930"/>
      <c r="BN28" s="946">
        <f>AM28</f>
        <v>213.20602022174316</v>
      </c>
      <c r="BO28" s="930"/>
      <c r="BP28" s="946">
        <f t="shared" ref="BP28:BR28" si="5">AO28</f>
        <v>213.20602022174316</v>
      </c>
      <c r="BQ28" s="930"/>
      <c r="BR28" s="946">
        <f t="shared" si="5"/>
        <v>213.20602022174316</v>
      </c>
      <c r="BS28" s="930"/>
      <c r="BU28" s="1433"/>
      <c r="BW28" s="929"/>
      <c r="BX28" s="928"/>
      <c r="BZ28" s="1435"/>
      <c r="CA28" s="1435"/>
      <c r="CB28" s="1435"/>
      <c r="CC28" s="1435"/>
      <c r="CD28" s="1435"/>
      <c r="CE28" s="1435"/>
      <c r="CH28" s="929"/>
      <c r="FC28" s="928"/>
    </row>
    <row r="29" spans="3:160">
      <c r="D29" s="953"/>
      <c r="E29" s="936"/>
      <c r="F29" s="1431">
        <f>IF($N$4="NO",ROUNDUP(BJ29-0.00499,0),LEFT(BJ29,1)+(IF(BJ29-LEFT(BJ29,1)&lt;0.00499,0,IF(BJ29-LEFT(BJ29,1)-0.00499&lt;('1-Eng Inputs'!$C$39/'1-Eng Inputs'!$C$38),0.5,1))))</f>
        <v>9</v>
      </c>
      <c r="G29" s="930"/>
      <c r="H29" s="1431">
        <f>IF($N$4="NO",ROUNDUP(BL29-0.00499,0),LEFT(BL29,1)+(IF(BL29-LEFT(BL29,1)&lt;0.00499,0,IF(BL29-LEFT(BL29,1)-0.00499&lt;('1-Eng Inputs'!$C$39/'1-Eng Inputs'!$C$38),0.5,1))))</f>
        <v>8</v>
      </c>
      <c r="I29" s="930"/>
      <c r="J29" s="1431">
        <f>IF($N$4="NO",ROUNDUP(BN29-0.00499,0),LEFT(BN29,1)+(IF(BN29-LEFT(BN29,1)&lt;0.00499,0,IF(BN29-LEFT(BN29,1)-0.00499&lt;('1-Eng Inputs'!$C$39/'1-Eng Inputs'!$C$38),0.5,1))))</f>
        <v>8</v>
      </c>
      <c r="K29" s="930"/>
      <c r="L29" s="1431">
        <f>IF($N$4="NO",ROUNDUP(BP29-0.00499,0),LEFT(BP29,1)+(IF(BP29-LEFT(BP29,1)&lt;0.00499,0,IF(BP29-LEFT(BP29,1)-0.00499&lt;('1-Eng Inputs'!$C$39/'1-Eng Inputs'!$C$38),0.5,1))))</f>
        <v>7</v>
      </c>
      <c r="M29" s="930"/>
      <c r="N29" s="1431">
        <f>IF($N$4="NO",ROUNDUP(BR29-0.00499,0),LEFT(BR29,1)+(IF(BR29-LEFT(BR29,1)&lt;0.00499,0,IF(BR29-LEFT(BR29,1)-0.00499&lt;('1-Eng Inputs'!$C$39/'1-Eng Inputs'!$C$38),0.5,1))))</f>
        <v>7</v>
      </c>
      <c r="O29" s="930"/>
      <c r="P29" s="930"/>
      <c r="Q29" s="969"/>
      <c r="S29" s="953"/>
      <c r="U29" s="1457">
        <f>IF(LEFT(F29,3)-LEFT(F29,1)=0.5,'1-Eng Inputs'!$C$39,0)+LEFT(F29,1)*'1-Eng Inputs'!$C$38</f>
        <v>288</v>
      </c>
      <c r="W29" s="1457">
        <f>IF(LEFT(H29,3)-LEFT(H29,1)=0.5,'1-Eng Inputs'!$C$39,0)+LEFT(H29,1)*'1-Eng Inputs'!$C$38</f>
        <v>256</v>
      </c>
      <c r="Y29" s="1457">
        <f>IF(LEFT(J29,3)-LEFT(J29,1)=0.5,'1-Eng Inputs'!$C$39,0)+LEFT(J29,1)*'1-Eng Inputs'!$C$38</f>
        <v>256</v>
      </c>
      <c r="AA29" s="1458">
        <f>IF(LEFT(L29,3)-LEFT(L29,1)=0.5,'1-Eng Inputs'!$C$39,0)+LEFT(L29,1)*'1-Eng Inputs'!$C$38</f>
        <v>224</v>
      </c>
      <c r="AC29" s="1458">
        <f>IF(LEFT(N29,3)-LEFT(N29,1)=0.5,'1-Eng Inputs'!$C$39,0)+LEFT(N29,1)*'1-Eng Inputs'!$C$38</f>
        <v>224</v>
      </c>
      <c r="AG29" s="953"/>
      <c r="AI29" s="1441">
        <f>(AI28*AV29+AI31*AV30)/'1-Eng Inputs'!$C$38</f>
        <v>8.2483132468257452</v>
      </c>
      <c r="AK29" s="1441">
        <f>(AK28*AX29+AK31*AX30)/'1-Eng Inputs'!$C$38</f>
        <v>7.4555006893776072</v>
      </c>
      <c r="AM29" s="1441">
        <f>(AM28*AZ29+AM31*AZ30)/'1-Eng Inputs'!$C$38</f>
        <v>7.0590944106535405</v>
      </c>
      <c r="AO29" s="1455">
        <f>(AO28*BB29+AO31*BB30)/'1-Eng Inputs'!$C$38</f>
        <v>6.6626881319294737</v>
      </c>
      <c r="AQ29" s="1455">
        <f>(AQ28*BD29+AQ31*BD30)/'1-Eng Inputs'!$C$38</f>
        <v>6.6626881319294737</v>
      </c>
      <c r="AU29" s="944"/>
      <c r="AV29" s="952">
        <v>0.5</v>
      </c>
      <c r="AX29" s="952">
        <v>0.5</v>
      </c>
      <c r="AZ29" s="952">
        <v>0.5</v>
      </c>
      <c r="BB29" s="952">
        <v>0.5</v>
      </c>
      <c r="BD29" s="952">
        <v>0.5</v>
      </c>
      <c r="BH29" s="953"/>
      <c r="BJ29" s="1441">
        <f>AI29</f>
        <v>8.2483132468257452</v>
      </c>
      <c r="BL29" s="1441">
        <f>AK29</f>
        <v>7.4555006893776072</v>
      </c>
      <c r="BN29" s="1441">
        <f>AM29</f>
        <v>7.0590944106535405</v>
      </c>
      <c r="BP29" s="1455">
        <f>AO29</f>
        <v>6.6626881319294737</v>
      </c>
      <c r="BR29" s="1455">
        <f>AQ29</f>
        <v>6.6626881319294737</v>
      </c>
      <c r="BT29" s="1433"/>
      <c r="BU29" s="1433"/>
      <c r="CA29" s="1430"/>
      <c r="CB29" s="1430"/>
      <c r="CC29" s="1430"/>
      <c r="CD29" s="1430"/>
      <c r="CE29" s="1430"/>
    </row>
    <row r="30" spans="3:160" ht="12.75" hidden="1" customHeight="1">
      <c r="D30" s="953"/>
      <c r="E30" s="936"/>
      <c r="F30" s="1432"/>
      <c r="G30" s="930"/>
      <c r="H30" s="1432"/>
      <c r="I30" s="930"/>
      <c r="J30" s="1432"/>
      <c r="K30" s="930"/>
      <c r="L30" s="1432"/>
      <c r="M30" s="930"/>
      <c r="N30" s="1432"/>
      <c r="O30" s="930"/>
      <c r="P30" s="930"/>
      <c r="Q30" s="969"/>
      <c r="S30" s="953"/>
      <c r="U30" s="1457"/>
      <c r="V30" s="1434"/>
      <c r="W30" s="1457"/>
      <c r="X30" s="1434"/>
      <c r="Y30" s="1457"/>
      <c r="Z30" s="1434"/>
      <c r="AA30" s="1458"/>
      <c r="AB30" s="1434"/>
      <c r="AC30" s="1458"/>
      <c r="AD30" s="1434"/>
      <c r="AG30" s="953"/>
      <c r="AI30" s="1442"/>
      <c r="AJ30" s="1434"/>
      <c r="AK30" s="1442"/>
      <c r="AL30" s="1434"/>
      <c r="AM30" s="1442"/>
      <c r="AN30" s="1434"/>
      <c r="AO30" s="1456"/>
      <c r="AP30" s="1434"/>
      <c r="AQ30" s="1456"/>
      <c r="AR30" s="1434"/>
      <c r="AU30" s="944"/>
      <c r="AV30" s="951">
        <v>0.5</v>
      </c>
      <c r="AX30" s="951">
        <v>0.5</v>
      </c>
      <c r="AZ30" s="951">
        <v>0.5</v>
      </c>
      <c r="BB30" s="951">
        <v>0.5</v>
      </c>
      <c r="BD30" s="951">
        <v>0.5</v>
      </c>
      <c r="BH30" s="953"/>
      <c r="BJ30" s="1442"/>
      <c r="BK30" s="1434"/>
      <c r="BL30" s="1442"/>
      <c r="BM30" s="1434"/>
      <c r="BN30" s="1442"/>
      <c r="BO30" s="1434"/>
      <c r="BP30" s="1456"/>
      <c r="BQ30" s="1434"/>
      <c r="BR30" s="1456"/>
      <c r="BS30" s="1434"/>
      <c r="BT30" s="1433"/>
      <c r="BU30" s="1433"/>
      <c r="CA30" s="935"/>
      <c r="CB30" s="937"/>
      <c r="CC30" s="935"/>
      <c r="CD30" s="937"/>
      <c r="CE30" s="935"/>
    </row>
    <row r="31" spans="3:160" ht="24.75" customHeight="1">
      <c r="C31" s="953"/>
      <c r="D31" s="936">
        <v>7</v>
      </c>
      <c r="E31" s="947"/>
      <c r="F31" s="950" t="s">
        <v>19427</v>
      </c>
      <c r="G31" s="930"/>
      <c r="H31" s="950" t="s">
        <v>19427</v>
      </c>
      <c r="I31" s="930"/>
      <c r="J31" s="950" t="s">
        <v>19427</v>
      </c>
      <c r="K31" s="930"/>
      <c r="L31" s="950" t="s">
        <v>19428</v>
      </c>
      <c r="M31" s="930"/>
      <c r="N31" s="950" t="s">
        <v>19428</v>
      </c>
      <c r="O31" s="930"/>
      <c r="P31" s="930"/>
      <c r="Q31" s="969"/>
      <c r="R31" s="953"/>
      <c r="S31" s="930"/>
      <c r="U31" s="966">
        <f>(U29*(AI31*AV30/(AI29*'1-Eng Inputs'!$C$38))+U32*(AI31*AV32/(AI32*'1-Eng Inputs'!$C$38)))</f>
        <v>156.90015308257077</v>
      </c>
      <c r="V31" s="930"/>
      <c r="W31" s="966">
        <f>(W29*(AK31*AX30/(AK29*'1-Eng Inputs'!$C$38))+W32*(AK31*AX32/(AK32*'1-Eng Inputs'!$C$38)))</f>
        <v>252.19050682874459</v>
      </c>
      <c r="X31" s="930"/>
      <c r="Y31" s="966">
        <f>(Y29*(AM31*AZ30/(AM29*'1-Eng Inputs'!$C$38))+Y32*(AM31*AZ32/(AM32*'1-Eng Inputs'!$C$38)))</f>
        <v>256.72576643478374</v>
      </c>
      <c r="Z31" s="930"/>
      <c r="AA31" s="966">
        <f>(AA29*(AO31*BB30/(AO29*'1-Eng Inputs'!$C$38))+AA32*(AO31*BB32/(AO32*'1-Eng Inputs'!$C$38)))</f>
        <v>226.388572467313</v>
      </c>
      <c r="AB31" s="930"/>
      <c r="AC31" s="966">
        <f>(AC29*(AQ31*BD30/(AQ29*'1-Eng Inputs'!$C$38))+AC32*(AQ31*BD32/(AQ32*'1-Eng Inputs'!$C$38)))</f>
        <v>226.388572467313</v>
      </c>
      <c r="AD31" s="930"/>
      <c r="AF31" s="953"/>
      <c r="AG31" s="930">
        <v>7</v>
      </c>
      <c r="AH31" s="947"/>
      <c r="AI31" s="946">
        <f>AI28</f>
        <v>263.94602389842385</v>
      </c>
      <c r="AJ31" s="947"/>
      <c r="AK31" s="946">
        <f>AK28</f>
        <v>238.57602206008343</v>
      </c>
      <c r="AL31" s="947"/>
      <c r="AM31" s="946">
        <f>AK28</f>
        <v>238.57602206008343</v>
      </c>
      <c r="AN31" s="947"/>
      <c r="AO31" s="946">
        <f>AO28</f>
        <v>213.20602022174316</v>
      </c>
      <c r="AP31" s="947"/>
      <c r="AQ31" s="946">
        <f>AO28</f>
        <v>213.20602022174316</v>
      </c>
      <c r="AR31" s="930"/>
      <c r="AT31" s="944"/>
      <c r="AU31" s="932"/>
      <c r="AV31" s="948"/>
      <c r="AX31" s="948"/>
      <c r="AZ31" s="948"/>
      <c r="BB31" s="948"/>
      <c r="BD31" s="948"/>
      <c r="BG31" s="953"/>
      <c r="BH31" s="930">
        <v>7</v>
      </c>
      <c r="BI31" s="947"/>
      <c r="BJ31" s="946">
        <f>AI31</f>
        <v>263.94602389842385</v>
      </c>
      <c r="BK31" s="930"/>
      <c r="BL31" s="946">
        <f>AK31</f>
        <v>238.57602206008343</v>
      </c>
      <c r="BM31" s="930"/>
      <c r="BN31" s="946">
        <f>AM31</f>
        <v>238.57602206008343</v>
      </c>
      <c r="BO31" s="930"/>
      <c r="BP31" s="946">
        <f t="shared" ref="BP31:BR31" si="6">AO31</f>
        <v>213.20602022174316</v>
      </c>
      <c r="BQ31" s="930"/>
      <c r="BR31" s="946">
        <f t="shared" si="6"/>
        <v>213.20602022174316</v>
      </c>
      <c r="BS31" s="930"/>
      <c r="BU31" s="1433"/>
      <c r="BW31" s="929"/>
      <c r="BX31" s="928"/>
      <c r="BY31" s="980"/>
      <c r="BZ31" s="935"/>
      <c r="CA31" s="935"/>
      <c r="CB31" s="935"/>
      <c r="CC31" s="935"/>
      <c r="CD31" s="935"/>
      <c r="CE31" s="941"/>
      <c r="CF31" s="941"/>
      <c r="CH31" s="929"/>
      <c r="FC31" s="928"/>
    </row>
    <row r="32" spans="3:160" ht="12.75" customHeight="1">
      <c r="D32" s="953"/>
      <c r="E32" s="936"/>
      <c r="F32" s="1431">
        <f>IF($N$4="NO",ROUNDUP(BJ32-0.00499,0),LEFT(BJ32,1)+(IF(BJ32-LEFT(BJ32,1)&lt;0.00499,0,IF(BJ32-LEFT(BJ32,1)-0.00499&lt;('1-Eng Inputs'!$C$39/'1-Eng Inputs'!$C$38),0.5,1))))</f>
        <v>11</v>
      </c>
      <c r="G32" s="930"/>
      <c r="H32" s="1431">
        <f>IF($N$4="NO",ROUNDUP(BL32-0.00499,0),LEFT(BL32,1)+(IF(BL32-LEFT(BL32,1)&lt;0.00499,0,IF(BL32-LEFT(BL32,1)-0.00499&lt;('1-Eng Inputs'!$C$39/'1-Eng Inputs'!$C$38),0.5,1))))</f>
        <v>9</v>
      </c>
      <c r="I32" s="930"/>
      <c r="J32" s="1431">
        <f>IF($N$4="NO",ROUNDUP(BN32-0.00499,0),LEFT(BN32,1)+(IF(BN32-LEFT(BN32,1)&lt;0.00499,0,IF(BN32-LEFT(BN32,1)-0.00499&lt;('1-Eng Inputs'!$C$39/'1-Eng Inputs'!$C$38),0.5,1))))</f>
        <v>8</v>
      </c>
      <c r="K32" s="930"/>
      <c r="L32" s="1431">
        <f>IF($N$4="NO",ROUNDUP(BP32-0.00499,0),LEFT(BP32,1)+(IF(BP32-LEFT(BP32,1)&lt;0.00499,0,IF(BP32-LEFT(BP32,1)-0.00499&lt;('1-Eng Inputs'!$C$39/'1-Eng Inputs'!$C$38),0.5,1))))</f>
        <v>8</v>
      </c>
      <c r="M32" s="930"/>
      <c r="N32" s="1431">
        <f>IF($N$4="NO",ROUNDUP(BR32-0.00499,0),LEFT(BR32,1)+(IF(BR32-LEFT(BR32,1)&lt;0.00499,0,IF(BR32-LEFT(BR32,1)-0.00499&lt;('1-Eng Inputs'!$C$39/'1-Eng Inputs'!$C$38),0.5,1))))</f>
        <v>8</v>
      </c>
      <c r="O32" s="930"/>
      <c r="P32" s="930"/>
      <c r="Q32" s="969"/>
      <c r="S32" s="953"/>
      <c r="U32" s="1457">
        <f>IF(LEFT(F32,3)-LEFT(F32,1)=0.5,'1-Eng Inputs'!$C$39,0)+LEFT(F32,1)*'1-Eng Inputs'!$C$38</f>
        <v>32</v>
      </c>
      <c r="W32" s="1457">
        <f>IF(LEFT(H32,3)-LEFT(H32,1)=0.5,'1-Eng Inputs'!$C$39,0)+LEFT(H32,1)*'1-Eng Inputs'!$C$38</f>
        <v>288</v>
      </c>
      <c r="Y32" s="1457">
        <f>IF(LEFT(J32,3)-LEFT(J32,1)=0.5,'1-Eng Inputs'!$C$39,0)+LEFT(J32,1)*'1-Eng Inputs'!$C$38</f>
        <v>256</v>
      </c>
      <c r="AA32" s="1458">
        <f>IF(LEFT(L32,3)-LEFT(L32,1)=0.5,'1-Eng Inputs'!$C$39,0)+LEFT(L32,1)*'1-Eng Inputs'!$C$38</f>
        <v>256</v>
      </c>
      <c r="AC32" s="1458">
        <f>IF(LEFT(N32,3)-LEFT(N32,1)=0.5,'1-Eng Inputs'!$C$39,0)+LEFT(N32,1)*'1-Eng Inputs'!$C$38</f>
        <v>256</v>
      </c>
      <c r="AG32" s="953"/>
      <c r="AI32" s="1441">
        <f>(AI31*AV32+AI34*AV33)/'1-Eng Inputs'!$C$38</f>
        <v>10.230344640446079</v>
      </c>
      <c r="AJ32" s="954"/>
      <c r="AK32" s="1441">
        <f>(AK31*AX32+AK34*AX33)/'1-Eng Inputs'!$C$38</f>
        <v>8.6447195255498102</v>
      </c>
      <c r="AL32" s="954"/>
      <c r="AM32" s="1441">
        <f>(AM31*AZ32+AM34*AZ33)/'1-Eng Inputs'!$C$38</f>
        <v>7.8519069681016767</v>
      </c>
      <c r="AN32" s="954"/>
      <c r="AO32" s="1455">
        <f>(AO31*BB32+AO34*BB33)/'1-Eng Inputs'!$C$38</f>
        <v>7.4555006893776099</v>
      </c>
      <c r="AP32" s="954"/>
      <c r="AQ32" s="1455">
        <f>(AQ31*BD32+AQ34*BD33)/'1-Eng Inputs'!$C$38</f>
        <v>7.4555006893776099</v>
      </c>
      <c r="AR32" s="954"/>
      <c r="AU32" s="944"/>
      <c r="AV32" s="952">
        <v>0.5</v>
      </c>
      <c r="AX32" s="952">
        <v>0.5</v>
      </c>
      <c r="AZ32" s="952">
        <v>0.5</v>
      </c>
      <c r="BB32" s="952">
        <v>0.5</v>
      </c>
      <c r="BD32" s="952">
        <v>0.5</v>
      </c>
      <c r="BH32" s="953"/>
      <c r="BJ32" s="1441">
        <f>AI32</f>
        <v>10.230344640446079</v>
      </c>
      <c r="BK32" s="954"/>
      <c r="BL32" s="1441">
        <f>AK32</f>
        <v>8.6447195255498102</v>
      </c>
      <c r="BM32" s="954"/>
      <c r="BN32" s="1441">
        <f>AM32</f>
        <v>7.8519069681016767</v>
      </c>
      <c r="BO32" s="954"/>
      <c r="BP32" s="1455">
        <f>AO32</f>
        <v>7.4555006893776099</v>
      </c>
      <c r="BQ32" s="954"/>
      <c r="BR32" s="1455">
        <f>AQ32</f>
        <v>7.4555006893776099</v>
      </c>
      <c r="BS32" s="954"/>
      <c r="BT32" s="1433"/>
      <c r="BU32" s="1433"/>
      <c r="BV32" s="1433"/>
      <c r="BZ32" s="980"/>
      <c r="CA32" s="935"/>
      <c r="CB32" s="935"/>
      <c r="CC32" s="935"/>
      <c r="CD32" s="935"/>
      <c r="CE32" s="935"/>
      <c r="CF32" s="941"/>
      <c r="CG32" s="941"/>
      <c r="FD32" s="1434"/>
    </row>
    <row r="33" spans="1:159" ht="12.75" hidden="1" customHeight="1">
      <c r="D33" s="953"/>
      <c r="E33" s="936"/>
      <c r="F33" s="1432"/>
      <c r="G33" s="930"/>
      <c r="H33" s="1432"/>
      <c r="I33" s="930"/>
      <c r="J33" s="1432"/>
      <c r="K33" s="930"/>
      <c r="L33" s="1432"/>
      <c r="M33" s="930"/>
      <c r="N33" s="1432"/>
      <c r="O33" s="930"/>
      <c r="P33" s="930"/>
      <c r="Q33" s="969"/>
      <c r="S33" s="953"/>
      <c r="U33" s="1457"/>
      <c r="V33" s="1434"/>
      <c r="W33" s="1457"/>
      <c r="X33" s="1434"/>
      <c r="Y33" s="1457"/>
      <c r="Z33" s="1434"/>
      <c r="AA33" s="1458"/>
      <c r="AB33" s="1434"/>
      <c r="AC33" s="1458"/>
      <c r="AD33" s="1434"/>
      <c r="AG33" s="953"/>
      <c r="AI33" s="1442"/>
      <c r="AJ33" s="1434"/>
      <c r="AK33" s="1442"/>
      <c r="AL33" s="1434"/>
      <c r="AM33" s="1442"/>
      <c r="AN33" s="1434"/>
      <c r="AO33" s="1456"/>
      <c r="AP33" s="1434"/>
      <c r="AQ33" s="1456"/>
      <c r="AR33" s="1434"/>
      <c r="AU33" s="944"/>
      <c r="AV33" s="951">
        <v>0.5</v>
      </c>
      <c r="AX33" s="951">
        <v>0.5</v>
      </c>
      <c r="AZ33" s="951">
        <v>0.5</v>
      </c>
      <c r="BB33" s="951">
        <v>0.5</v>
      </c>
      <c r="BD33" s="951">
        <v>0.5</v>
      </c>
      <c r="BH33" s="953"/>
      <c r="BJ33" s="1442"/>
      <c r="BK33" s="1434"/>
      <c r="BL33" s="1442"/>
      <c r="BM33" s="1434"/>
      <c r="BN33" s="1442"/>
      <c r="BO33" s="1434"/>
      <c r="BP33" s="1456"/>
      <c r="BQ33" s="1434"/>
      <c r="BR33" s="1456"/>
      <c r="BS33" s="1434"/>
      <c r="BT33" s="1433"/>
      <c r="BU33" s="1433"/>
    </row>
    <row r="34" spans="1:159" ht="24.75" customHeight="1">
      <c r="C34" s="953"/>
      <c r="D34" s="936">
        <v>8</v>
      </c>
      <c r="E34" s="947"/>
      <c r="F34" s="950" t="s">
        <v>19427</v>
      </c>
      <c r="G34" s="930"/>
      <c r="H34" s="950" t="s">
        <v>19427</v>
      </c>
      <c r="I34" s="930"/>
      <c r="J34" s="950" t="s">
        <v>19427</v>
      </c>
      <c r="K34" s="930"/>
      <c r="L34" s="950" t="s">
        <v>19428</v>
      </c>
      <c r="M34" s="930"/>
      <c r="N34" s="950" t="s">
        <v>19428</v>
      </c>
      <c r="O34" s="930"/>
      <c r="P34" s="930"/>
      <c r="Q34" s="969"/>
      <c r="R34" s="953"/>
      <c r="S34" s="930"/>
      <c r="U34" s="966">
        <f>U32*(AI34*AV33/(AI32*'1-Eng Inputs'!$C$38))+U35*(AI34*AV35/(AI35*'1-Eng Inputs'!$C$38))</f>
        <v>39.099846917429218</v>
      </c>
      <c r="V34" s="930"/>
      <c r="W34" s="966">
        <f>W32*(AK34*AX33/(AK32*'1-Eng Inputs'!$C$38))+W35*(AK34*AX35/(AK35*'1-Eng Inputs'!$C$38))</f>
        <v>323.80949317125538</v>
      </c>
      <c r="X34" s="930"/>
      <c r="Y34" s="966">
        <f>Y32*(AM34*AZ33/(AM32*'1-Eng Inputs'!$C$38))+Y35*(AM34*AZ35/(AM35*'1-Eng Inputs'!$C$38))</f>
        <v>274.46212491854675</v>
      </c>
      <c r="Z34" s="930"/>
      <c r="AA34" s="966">
        <f>AA32*(AO34*BB33/(AO32*'1-Eng Inputs'!$C$38))+AA35*(AO34*BB35/(AO35*'1-Eng Inputs'!$C$38))</f>
        <v>281.611427532687</v>
      </c>
      <c r="AB34" s="930"/>
      <c r="AC34" s="966">
        <f>AC32*(AQ34*BD33/(AQ32*'1-Eng Inputs'!$C$38))+AC35*(AQ34*BD35/(AQ35*'1-Eng Inputs'!$C$38))</f>
        <v>281.611427532687</v>
      </c>
      <c r="AD34" s="930"/>
      <c r="AF34" s="953"/>
      <c r="AG34" s="930">
        <v>8</v>
      </c>
      <c r="AH34" s="947"/>
      <c r="AI34" s="949">
        <f>'Land Calcs 5deg (lift)'!J27</f>
        <v>390.79603309012521</v>
      </c>
      <c r="AJ34" s="1159"/>
      <c r="AK34" s="949">
        <f>'Land Calcs 5deg (lift)'!K27</f>
        <v>314.68602757510439</v>
      </c>
      <c r="AL34" s="1159"/>
      <c r="AM34" s="949">
        <f>'Land Calcs 5deg (lift)'!L32</f>
        <v>263.94602389842385</v>
      </c>
      <c r="AN34" s="947"/>
      <c r="AO34" s="949">
        <f>'Land Calcs 5deg (lift)'!L32</f>
        <v>263.94602389842385</v>
      </c>
      <c r="AP34" s="947"/>
      <c r="AQ34" s="946">
        <f>AO34</f>
        <v>263.94602389842385</v>
      </c>
      <c r="AR34" s="930"/>
      <c r="AT34" s="944"/>
      <c r="AU34" s="932"/>
      <c r="AV34" s="948"/>
      <c r="AX34" s="948"/>
      <c r="AZ34" s="948"/>
      <c r="BB34" s="948"/>
      <c r="BD34" s="948"/>
      <c r="BG34" s="953"/>
      <c r="BH34" s="930">
        <v>8</v>
      </c>
      <c r="BI34" s="947"/>
      <c r="BJ34" s="946">
        <f>AI34</f>
        <v>390.79603309012521</v>
      </c>
      <c r="BK34" s="930"/>
      <c r="BL34" s="946">
        <f>AK34</f>
        <v>314.68602757510439</v>
      </c>
      <c r="BM34" s="930"/>
      <c r="BN34" s="946">
        <f>AM34</f>
        <v>263.94602389842385</v>
      </c>
      <c r="BO34" s="930"/>
      <c r="BP34" s="946">
        <f t="shared" ref="BP34:BR34" si="7">AO34</f>
        <v>263.94602389842385</v>
      </c>
      <c r="BQ34" s="930"/>
      <c r="BR34" s="946">
        <f t="shared" si="7"/>
        <v>263.94602389842385</v>
      </c>
      <c r="BS34" s="930"/>
      <c r="BU34" s="1433"/>
      <c r="BW34" s="929"/>
      <c r="BX34" s="928"/>
      <c r="CH34" s="929"/>
      <c r="FC34" s="928"/>
    </row>
    <row r="35" spans="1:159" ht="12.75" hidden="1" customHeight="1">
      <c r="E35" s="936"/>
      <c r="G35" s="930"/>
      <c r="I35" s="930"/>
      <c r="K35" s="930"/>
      <c r="M35" s="930"/>
      <c r="O35" s="930"/>
      <c r="P35" s="930"/>
      <c r="Q35" s="969"/>
      <c r="U35" s="1457">
        <f>U36/factors!$D$4</f>
        <v>20</v>
      </c>
      <c r="V35" s="964"/>
      <c r="W35" s="1457">
        <f>W36/factors!$D$4</f>
        <v>160</v>
      </c>
      <c r="X35" s="964"/>
      <c r="Y35" s="1457">
        <f>Y36/factors!$D$4</f>
        <v>140</v>
      </c>
      <c r="Z35" s="964"/>
      <c r="AA35" s="1458">
        <f>AA36/factors!$D$4</f>
        <v>140</v>
      </c>
      <c r="AB35" s="964"/>
      <c r="AC35" s="1458">
        <f>AC36/factors!$D$4</f>
        <v>140</v>
      </c>
      <c r="AI35" s="1441">
        <f>(AI34*AV35)/'1-Eng Inputs'!$C$38</f>
        <v>6.1061880170332063</v>
      </c>
      <c r="AJ35" s="1434"/>
      <c r="AK35" s="1441">
        <f>(AK34*AX35)/'1-Eng Inputs'!$C$38</f>
        <v>4.9169691808610061</v>
      </c>
      <c r="AL35" s="1434"/>
      <c r="AM35" s="1441">
        <f>(AM34*AZ35)/'1-Eng Inputs'!$C$38</f>
        <v>4.1241566234128726</v>
      </c>
      <c r="AN35" s="1434"/>
      <c r="AO35" s="1455">
        <f>(AO34*BB35)/'1-Eng Inputs'!$C$38</f>
        <v>4.1241566234128726</v>
      </c>
      <c r="AP35" s="1434"/>
      <c r="AQ35" s="1455">
        <f>(AQ34*BD35)/'1-Eng Inputs'!$C$38</f>
        <v>4.1241566234128726</v>
      </c>
      <c r="AR35" s="1434"/>
      <c r="AU35" s="944"/>
      <c r="AV35" s="1439">
        <v>0.5</v>
      </c>
      <c r="AX35" s="1439">
        <v>0.5</v>
      </c>
      <c r="AZ35" s="1439">
        <v>0.5</v>
      </c>
      <c r="BB35" s="1439">
        <v>0.5</v>
      </c>
      <c r="BD35" s="1439">
        <v>0.5</v>
      </c>
      <c r="BJ35" s="1441">
        <f>BJ36/factors!$B$4</f>
        <v>6.1061880170332072</v>
      </c>
      <c r="BK35" s="1434"/>
      <c r="BL35" s="1441">
        <f>BL36/factors!$B$4</f>
        <v>4.9169691808610061</v>
      </c>
      <c r="BM35" s="1434"/>
      <c r="BN35" s="1441">
        <f>BN36/factors!$B$4</f>
        <v>4.1241566234128726</v>
      </c>
      <c r="BO35" s="1434"/>
      <c r="BP35" s="1455">
        <f>BP36/factors!$B$4</f>
        <v>4.1241566234128726</v>
      </c>
      <c r="BQ35" s="1434"/>
      <c r="BR35" s="1455">
        <f>BR36/factors!$B$4</f>
        <v>4.1241566234128726</v>
      </c>
      <c r="BS35" s="1434"/>
      <c r="BT35" s="1433"/>
      <c r="BU35" s="1433"/>
    </row>
    <row r="36" spans="1:159">
      <c r="E36" s="936"/>
      <c r="F36" s="1515">
        <f>IF($N$4="NO",ROUNDUP(BJ36-0.00499,0),LEFT(BJ36,1)+(IF(BJ36-LEFT(BJ36,1)&lt;0.00499,0,IF(BJ36-LEFT(BJ36,1)-0.00499&lt;('1-Eng Inputs'!$C$39/'1-Eng Inputs'!$C$38),0.5,1))))</f>
        <v>10</v>
      </c>
      <c r="G36" s="930"/>
      <c r="H36" s="1515">
        <f>IF($N$4="NO",ROUNDUP(BL36-0.00499,0),LEFT(BL36,1)+(IF(BL36-LEFT(BL36,1)&lt;0.00499,0,IF(BL36-LEFT(BL36,1)-0.00499&lt;('1-Eng Inputs'!$C$39/'1-Eng Inputs'!$C$38),0.5,1))))</f>
        <v>8</v>
      </c>
      <c r="I36" s="930"/>
      <c r="J36" s="1515">
        <f>IF($N$4="NO",ROUNDUP(BN36-0.00499,0),LEFT(BN36,1)+(IF(BN36-LEFT(BN36,1)&lt;0.00499,0,IF(BN36-LEFT(BN36,1)-0.00499&lt;('1-Eng Inputs'!$C$39/'1-Eng Inputs'!$C$38),0.5,1))))</f>
        <v>7</v>
      </c>
      <c r="K36" s="930"/>
      <c r="L36" s="1515">
        <f>IF($N$4="NO",ROUNDUP(BP36-0.00499,0),LEFT(BP36,1)+(IF(BP36-LEFT(BP36,1)&lt;0.00499,0,IF(BP36-LEFT(BP36,1)-0.00499&lt;('1-Eng Inputs'!$C$39/'1-Eng Inputs'!$C$38),0.5,1))))</f>
        <v>7</v>
      </c>
      <c r="M36" s="930"/>
      <c r="N36" s="1515">
        <f>IF($N$4="NO",ROUNDUP(BR36-0.00499,0),LEFT(BR36,1)+(IF(BR36-LEFT(BR36,1)&lt;0.00499,0,IF(BR36-LEFT(BR36,1)-0.00499&lt;('1-Eng Inputs'!$C$39/'1-Eng Inputs'!$C$38),0.5,1))))</f>
        <v>7</v>
      </c>
      <c r="O36" s="930"/>
      <c r="P36" s="930"/>
      <c r="Q36" s="969"/>
      <c r="U36" s="1442">
        <f>IF(LEFT(F36,3)-LEFT(F36,1)=0.5,'1-Eng Inputs'!$C$39,0)+LEFT(F36,1)*'1-Eng Inputs'!$C$38</f>
        <v>32</v>
      </c>
      <c r="W36" s="1442">
        <f>IF(LEFT(H36,3)-LEFT(H36,1)=0.5,'1-Eng Inputs'!$C$39,0)+LEFT(H36,1)*'1-Eng Inputs'!$C$38</f>
        <v>256</v>
      </c>
      <c r="Y36" s="1442">
        <f>IF(LEFT(J36,3)-LEFT(J36,1)=0.5,'1-Eng Inputs'!$C$39,0)+LEFT(J36,1)*'1-Eng Inputs'!$C$38</f>
        <v>224</v>
      </c>
      <c r="AA36" s="1456">
        <f>IF(LEFT(L36,3)-LEFT(L36,1)=0.5,'1-Eng Inputs'!$C$39,0)+LEFT(L36,1)*'1-Eng Inputs'!$C$38</f>
        <v>224</v>
      </c>
      <c r="AC36" s="1456">
        <f>IF(LEFT(N36,3)-LEFT(N36,1)=0.5,'1-Eng Inputs'!$C$39,0)+LEFT(N36,1)*'1-Eng Inputs'!$C$38</f>
        <v>224</v>
      </c>
      <c r="AD36" s="964"/>
      <c r="AI36" s="1442">
        <f>AI35*factors!$D$4</f>
        <v>9.7699008272531316</v>
      </c>
      <c r="AJ36" s="964"/>
      <c r="AK36" s="1442">
        <f>AK35*factors!$D$4</f>
        <v>7.8671506893776098</v>
      </c>
      <c r="AL36" s="964"/>
      <c r="AM36" s="1442">
        <f>AM35*factors!$D$4</f>
        <v>6.5986505974605967</v>
      </c>
      <c r="AN36" s="964"/>
      <c r="AO36" s="1456">
        <f>AO35*factors!$D$4</f>
        <v>6.5986505974605967</v>
      </c>
      <c r="AP36" s="964"/>
      <c r="AQ36" s="1456">
        <f>AQ35*factors!$D$4</f>
        <v>6.5986505974605967</v>
      </c>
      <c r="AR36" s="964"/>
      <c r="AU36" s="944"/>
      <c r="AV36" s="1440"/>
      <c r="AX36" s="1440"/>
      <c r="AZ36" s="1440"/>
      <c r="BB36" s="1440"/>
      <c r="BD36" s="1440"/>
      <c r="BJ36" s="1442">
        <f>AI36</f>
        <v>9.7699008272531316</v>
      </c>
      <c r="BK36" s="964"/>
      <c r="BL36" s="1442">
        <f>AK36</f>
        <v>7.8671506893776098</v>
      </c>
      <c r="BM36" s="964"/>
      <c r="BN36" s="1442">
        <f>AM36</f>
        <v>6.5986505974605967</v>
      </c>
      <c r="BO36" s="964"/>
      <c r="BP36" s="1442">
        <f>AO36</f>
        <v>6.5986505974605967</v>
      </c>
      <c r="BQ36" s="964"/>
      <c r="BR36" s="1456">
        <f>AQ36</f>
        <v>6.5986505974605967</v>
      </c>
      <c r="BS36" s="964"/>
      <c r="BT36" s="1433"/>
      <c r="BU36" s="1433"/>
    </row>
    <row r="37" spans="1:159">
      <c r="E37" s="936"/>
      <c r="F37" s="1438"/>
      <c r="G37" s="930"/>
      <c r="H37" s="1438"/>
      <c r="I37" s="930"/>
      <c r="J37" s="1438"/>
      <c r="K37" s="930"/>
      <c r="L37" s="1438"/>
      <c r="M37" s="930"/>
      <c r="N37" s="1438"/>
      <c r="O37" s="930"/>
      <c r="P37" s="930"/>
      <c r="Q37" s="969"/>
      <c r="U37" s="1433"/>
      <c r="V37" s="964"/>
      <c r="W37" s="1433"/>
      <c r="X37" s="964"/>
      <c r="Y37" s="1433"/>
      <c r="Z37" s="964"/>
      <c r="AA37" s="1433"/>
      <c r="AB37" s="964"/>
      <c r="AC37" s="1433"/>
      <c r="AD37" s="964"/>
      <c r="AI37" s="1433"/>
      <c r="AJ37" s="964"/>
      <c r="AK37" s="1433"/>
      <c r="AL37" s="964"/>
      <c r="AM37" s="1433"/>
      <c r="AN37" s="964"/>
      <c r="AO37" s="1433"/>
      <c r="AP37" s="964"/>
      <c r="AQ37" s="1433"/>
      <c r="AR37" s="964"/>
      <c r="AU37" s="944"/>
      <c r="AV37" s="944"/>
      <c r="AX37" s="944"/>
      <c r="AZ37" s="944"/>
      <c r="BB37" s="944"/>
      <c r="BD37" s="944"/>
      <c r="BJ37" s="1433"/>
      <c r="BK37" s="964"/>
      <c r="BL37" s="1433"/>
      <c r="BM37" s="964"/>
      <c r="BN37" s="1433"/>
      <c r="BO37" s="964"/>
      <c r="BP37" s="1433"/>
      <c r="BQ37" s="964"/>
      <c r="BR37" s="1433"/>
      <c r="BS37" s="964"/>
      <c r="BT37" s="1433"/>
      <c r="BU37" s="1433"/>
    </row>
    <row r="38" spans="1:159">
      <c r="A38" s="959" t="s">
        <v>19432</v>
      </c>
      <c r="E38" s="936"/>
      <c r="S38" s="959"/>
      <c r="AG38" s="959" t="s">
        <v>19447</v>
      </c>
      <c r="AU38" s="965"/>
      <c r="BH38" s="959" t="s">
        <v>19441</v>
      </c>
      <c r="BW38" s="930"/>
    </row>
    <row r="39" spans="1:159" ht="12.75" customHeight="1">
      <c r="B39" s="1433"/>
      <c r="C39" s="954"/>
      <c r="D39" s="936"/>
      <c r="E39" s="928"/>
      <c r="F39" s="928" t="s">
        <v>233</v>
      </c>
      <c r="O39" s="960" t="s">
        <v>215</v>
      </c>
      <c r="R39" s="954"/>
      <c r="S39" s="930"/>
      <c r="T39" s="928"/>
      <c r="AF39" s="954"/>
      <c r="AG39" s="930"/>
      <c r="AH39" s="928"/>
      <c r="AI39" s="928" t="s">
        <v>233</v>
      </c>
      <c r="AT39" s="965" t="s">
        <v>19376</v>
      </c>
      <c r="AU39" s="932"/>
      <c r="BE39" s="944"/>
      <c r="BF39" s="943"/>
      <c r="BG39" s="954"/>
      <c r="BH39" s="930"/>
      <c r="BI39" s="928"/>
      <c r="BJ39" s="928" t="s">
        <v>233</v>
      </c>
      <c r="BS39" s="960"/>
      <c r="BV39" s="930"/>
      <c r="BW39" s="929"/>
      <c r="BX39" s="928"/>
      <c r="CH39" s="929"/>
      <c r="FC39" s="928"/>
    </row>
    <row r="40" spans="1:159">
      <c r="D40" s="936"/>
      <c r="E40" s="930"/>
      <c r="F40" s="936">
        <v>1</v>
      </c>
      <c r="G40" s="936"/>
      <c r="H40" s="936">
        <v>2</v>
      </c>
      <c r="I40" s="936"/>
      <c r="J40" s="936">
        <v>3</v>
      </c>
      <c r="K40" s="936"/>
      <c r="L40" s="936">
        <v>4</v>
      </c>
      <c r="M40" s="936"/>
      <c r="N40" s="936">
        <v>5</v>
      </c>
      <c r="O40" s="1174"/>
      <c r="P40" s="930"/>
      <c r="Q40" s="969"/>
      <c r="S40" s="930"/>
      <c r="U40" s="936"/>
      <c r="V40" s="936"/>
      <c r="W40" s="936"/>
      <c r="X40" s="936"/>
      <c r="Y40" s="936"/>
      <c r="Z40" s="936"/>
      <c r="AA40" s="936"/>
      <c r="AB40" s="936"/>
      <c r="AC40" s="936"/>
      <c r="AD40" s="930"/>
      <c r="AE40" s="930"/>
      <c r="AG40" s="930"/>
      <c r="AI40" s="936">
        <v>1</v>
      </c>
      <c r="AJ40" s="936"/>
      <c r="AK40" s="936">
        <v>2</v>
      </c>
      <c r="AL40" s="936"/>
      <c r="AM40" s="936">
        <v>3</v>
      </c>
      <c r="AN40" s="936"/>
      <c r="AO40" s="936">
        <v>4</v>
      </c>
      <c r="AP40" s="936"/>
      <c r="AQ40" s="936">
        <v>5</v>
      </c>
      <c r="AR40" s="930"/>
      <c r="AS40" s="930"/>
      <c r="AT40" s="944"/>
      <c r="AU40" s="932"/>
      <c r="BE40" s="944"/>
      <c r="BF40" s="943"/>
      <c r="BH40" s="930"/>
      <c r="BJ40" s="936">
        <v>1</v>
      </c>
      <c r="BK40" s="936"/>
      <c r="BL40" s="936">
        <v>2</v>
      </c>
      <c r="BM40" s="936"/>
      <c r="BN40" s="936">
        <v>3</v>
      </c>
      <c r="BO40" s="936"/>
      <c r="BP40" s="936">
        <v>4</v>
      </c>
      <c r="BQ40" s="936"/>
      <c r="BR40" s="936">
        <v>5</v>
      </c>
      <c r="BS40" s="930"/>
      <c r="BT40" s="930"/>
      <c r="BU40" s="930"/>
      <c r="BV40" s="930"/>
      <c r="BW40" s="929"/>
      <c r="BX40" s="928"/>
      <c r="CH40" s="929"/>
      <c r="FC40" s="928"/>
    </row>
    <row r="41" spans="1:159">
      <c r="E41" s="936"/>
      <c r="F41" s="1431">
        <f>IF($N$4="NO",ROUNDUP(BJ41-0.00499,0),LEFT(BJ41,1)+(IF(BJ41-LEFT(BJ41,1)&lt;0.00499,0,IF(BJ41-LEFT(BJ41,1)-0.00499&lt;('1-Eng Inputs'!$C$39/'1-Eng Inputs'!$C$38),0.5,1))))</f>
        <v>11</v>
      </c>
      <c r="G41" s="930"/>
      <c r="H41" s="1431">
        <f>IF($N$4="NO",ROUNDUP(BL41-0.00499,0),LEFT(BL41,1)+(IF(BL41-LEFT(BL41,1)&lt;0.00499,0,IF(BL41-LEFT(BL41,1)-0.00499&lt;('1-Eng Inputs'!$C$39/'1-Eng Inputs'!$C$38),0.5,1))))</f>
        <v>9</v>
      </c>
      <c r="I41" s="930"/>
      <c r="J41" s="1431">
        <f>IF($N$4="NO",ROUNDUP(BN41-0.00499,0),LEFT(BN41,1)+(IF(BN41-LEFT(BN41,1)&lt;0.00499,0,IF(BN41-LEFT(BN41,1)-0.00499&lt;('1-Eng Inputs'!$C$39/'1-Eng Inputs'!$C$38),0.5,1))))</f>
        <v>9</v>
      </c>
      <c r="K41" s="930"/>
      <c r="L41" s="1431">
        <f>IF($N$4="NO",ROUNDUP(BP41-0.00499,0),LEFT(BP41,1)+(IF(BP41-LEFT(BP41,1)&lt;0.00499,0,IF(BP41-LEFT(BP41,1)-0.00499&lt;('1-Eng Inputs'!$C$39/'1-Eng Inputs'!$C$38),0.5,1))))</f>
        <v>8</v>
      </c>
      <c r="M41" s="930"/>
      <c r="N41" s="1431">
        <f>IF($N$4="NO",ROUNDUP(BR41-0.00499,0),LEFT(BR41,1)+(IF(BR41-LEFT(BR41,1)&lt;0.00499,0,IF(BR41-LEFT(BR41,1)-0.00499&lt;('1-Eng Inputs'!$C$39/'1-Eng Inputs'!$C$38),0.5,1))))</f>
        <v>8</v>
      </c>
      <c r="O41" s="930"/>
      <c r="P41" s="930"/>
      <c r="Q41" s="969"/>
      <c r="U41" s="1449">
        <f>IF(LEFT(F41,3)-LEFT(F41,1)=0.5,'1-Eng Inputs'!$C$39,0)+LEFT(F41,1)*'1-Eng Inputs'!$C$38</f>
        <v>32</v>
      </c>
      <c r="W41" s="1454">
        <f>IF(LEFT(H41,3)-LEFT(H41,1)=0.5,'1-Eng Inputs'!$C$39,0)+LEFT(H41,1)*'1-Eng Inputs'!$C$38</f>
        <v>288</v>
      </c>
      <c r="Y41" s="1454">
        <f>IF(LEFT(J41,3)-LEFT(J41,1)=0.5,'1-Eng Inputs'!$C$39,0)+LEFT(J41,1)*'1-Eng Inputs'!$C$38</f>
        <v>288</v>
      </c>
      <c r="AA41" s="1453">
        <f>IF(LEFT(L41,3)-LEFT(L41,1)=0.5,'1-Eng Inputs'!$C$39,0)+LEFT(L41,1)*'1-Eng Inputs'!$C$38</f>
        <v>256</v>
      </c>
      <c r="AC41" s="1453">
        <f>IF(LEFT(N41,3)-LEFT(N41,1)=0.5,'1-Eng Inputs'!$C$39,0)+LEFT(N41,1)*'1-Eng Inputs'!$C$38</f>
        <v>256</v>
      </c>
      <c r="AI41" s="1449">
        <f>AI42*factors!$D$3</f>
        <v>10.991138430659772</v>
      </c>
      <c r="AK41" s="1449">
        <f>AK42*factors!$D$3</f>
        <v>8.850544525549811</v>
      </c>
      <c r="AM41" s="1454">
        <f>AM42*factors!$D$3</f>
        <v>8.1370132238464912</v>
      </c>
      <c r="AO41" s="1451">
        <f>AO42*factors!$D$3</f>
        <v>7.4234819221431705</v>
      </c>
      <c r="AQ41" s="1451">
        <f>AQ42*factors!$D$3</f>
        <v>7.4234819221431705</v>
      </c>
      <c r="AU41" s="944"/>
      <c r="AV41" s="1439">
        <v>0.5</v>
      </c>
      <c r="AX41" s="1439">
        <v>0.5</v>
      </c>
      <c r="AZ41" s="1439">
        <v>0.5</v>
      </c>
      <c r="BB41" s="1439">
        <v>0.5</v>
      </c>
      <c r="BD41" s="1439">
        <v>0.5</v>
      </c>
      <c r="BJ41" s="1449">
        <f>AI41</f>
        <v>10.991138430659772</v>
      </c>
      <c r="BL41" s="1449">
        <f>AK41</f>
        <v>8.850544525549811</v>
      </c>
      <c r="BN41" s="1449">
        <f>AM41</f>
        <v>8.1370132238464912</v>
      </c>
      <c r="BP41" s="1451">
        <f>AO41</f>
        <v>7.4234819221431705</v>
      </c>
      <c r="BR41" s="1451">
        <f>AQ41</f>
        <v>7.4234819221431705</v>
      </c>
      <c r="BT41" s="1433"/>
      <c r="BU41" s="1433"/>
      <c r="BW41" s="930"/>
    </row>
    <row r="42" spans="1:159" ht="12.75" hidden="1" customHeight="1">
      <c r="E42" s="936"/>
      <c r="F42" s="1432"/>
      <c r="G42" s="930"/>
      <c r="H42" s="1432"/>
      <c r="I42" s="930"/>
      <c r="J42" s="1432"/>
      <c r="K42" s="930"/>
      <c r="L42" s="1432"/>
      <c r="M42" s="930"/>
      <c r="N42" s="1432"/>
      <c r="O42" s="930"/>
      <c r="P42" s="930"/>
      <c r="Q42" s="969"/>
      <c r="U42" s="1450">
        <f>U41/factors!$D$3</f>
        <v>17.777777777777779</v>
      </c>
      <c r="V42" s="1434"/>
      <c r="W42" s="1454">
        <f>W41/factors!$D$3</f>
        <v>160</v>
      </c>
      <c r="X42" s="1434"/>
      <c r="Y42" s="1454">
        <f>Y41/factors!$D$3</f>
        <v>160</v>
      </c>
      <c r="Z42" s="1434"/>
      <c r="AA42" s="1453">
        <f>AA41/factors!$D$3</f>
        <v>142.22222222222223</v>
      </c>
      <c r="AB42" s="1434"/>
      <c r="AC42" s="1453">
        <f>AC41/factors!$D$3</f>
        <v>142.22222222222223</v>
      </c>
      <c r="AD42" s="1434"/>
      <c r="AI42" s="1450">
        <f>(AI43*AV41)/'1-Eng Inputs'!$C$38</f>
        <v>6.1061880170332063</v>
      </c>
      <c r="AJ42" s="1434"/>
      <c r="AK42" s="1450">
        <f>(AK43*AX41)/'1-Eng Inputs'!$C$38</f>
        <v>4.9169691808610061</v>
      </c>
      <c r="AL42" s="1434"/>
      <c r="AM42" s="1454">
        <f>(AM43*AZ41)/'1-Eng Inputs'!$C$38</f>
        <v>4.5205629021369393</v>
      </c>
      <c r="AN42" s="1434"/>
      <c r="AO42" s="1452">
        <f>(AO43*BB41)/'1-Eng Inputs'!$C$38</f>
        <v>4.1241566234128726</v>
      </c>
      <c r="AP42" s="1434"/>
      <c r="AQ42" s="1452">
        <f>(AQ43*BD41)/'1-Eng Inputs'!$C$38</f>
        <v>4.1241566234128726</v>
      </c>
      <c r="AR42" s="1434"/>
      <c r="AU42" s="944"/>
      <c r="AV42" s="1440"/>
      <c r="AX42" s="1440"/>
      <c r="AZ42" s="1440"/>
      <c r="BB42" s="1440"/>
      <c r="BD42" s="1440"/>
      <c r="BJ42" s="1450">
        <f>BJ41/factors!$B$3</f>
        <v>7.850813164756981</v>
      </c>
      <c r="BK42" s="1434"/>
      <c r="BL42" s="1450">
        <f>BL41/factors!$B$3</f>
        <v>6.3218175182498655</v>
      </c>
      <c r="BM42" s="1434"/>
      <c r="BN42" s="1450">
        <f>BN41/factors!$B$3</f>
        <v>5.8121523027474939</v>
      </c>
      <c r="BO42" s="1434"/>
      <c r="BP42" s="1452">
        <f>BP41/factors!$B$3</f>
        <v>5.3024870872451224</v>
      </c>
      <c r="BQ42" s="1434"/>
      <c r="BR42" s="1452">
        <f>BR41/factors!$B$3</f>
        <v>5.3024870872451224</v>
      </c>
      <c r="BS42" s="1434"/>
      <c r="BT42" s="1433"/>
      <c r="BU42" s="1433"/>
      <c r="BW42" s="930"/>
    </row>
    <row r="43" spans="1:159" ht="24.75" customHeight="1">
      <c r="C43" s="960" t="s">
        <v>234</v>
      </c>
      <c r="D43" s="936">
        <v>1</v>
      </c>
      <c r="E43" s="947"/>
      <c r="F43" s="950" t="s">
        <v>19438</v>
      </c>
      <c r="G43" s="930"/>
      <c r="H43" s="950" t="s">
        <v>19438</v>
      </c>
      <c r="I43" s="930"/>
      <c r="J43" s="950" t="s">
        <v>19438</v>
      </c>
      <c r="K43" s="930"/>
      <c r="L43" s="950" t="s">
        <v>19416</v>
      </c>
      <c r="M43" s="930"/>
      <c r="N43" s="950" t="s">
        <v>19416</v>
      </c>
      <c r="O43" s="930"/>
      <c r="P43" s="930"/>
      <c r="Q43" s="969"/>
      <c r="R43" s="960"/>
      <c r="S43" s="930"/>
      <c r="U43" s="946">
        <f>(U42*(AI43*AV41/(AI42*'1-Eng Inputs'!$C$38))+U44*(AI43*AV44/(AI44*'1-Eng Inputs'!$C$38)))</f>
        <v>35.503916762930785</v>
      </c>
      <c r="V43" s="930"/>
      <c r="W43" s="946">
        <f>(W42*(AK43*AX41/(AK42*'1-Eng Inputs'!$C$38))+W44*(AK43*AX44/(AK44*'1-Eng Inputs'!$C$38)))</f>
        <v>176.67205074417828</v>
      </c>
      <c r="X43" s="930"/>
      <c r="Y43" s="946">
        <f>(Y42*(AM43*AZ41/(AM42*'1-Eng Inputs'!$C$38))+Y44*(AM43*AZ44/(AM44*'1-Eng Inputs'!$C$38)))</f>
        <v>310.60316439041844</v>
      </c>
      <c r="Z43" s="930"/>
      <c r="AA43" s="946">
        <f>(AA42*(AO43*BB41/(AO42*'1-Eng Inputs'!$C$38))+AA44*(AO43*BB44/(AO44*'1-Eng Inputs'!$C$38)))</f>
        <v>283.83364975490923</v>
      </c>
      <c r="AB43" s="930"/>
      <c r="AC43" s="946">
        <f>(AC42*(AQ43*BD41/(AQ42*'1-Eng Inputs'!$C$38))+AC44*(AQ43*BD44/(AQ44*'1-Eng Inputs'!$C$38)))</f>
        <v>283.83364975490923</v>
      </c>
      <c r="AD43" s="930"/>
      <c r="AF43" s="960" t="s">
        <v>234</v>
      </c>
      <c r="AG43" s="930">
        <v>1</v>
      </c>
      <c r="AH43" s="947"/>
      <c r="AI43" s="949">
        <f>MAX('Land Calcs 5deg (lift)'!J7,'Land Calcs 5deg (lift)'!J27)</f>
        <v>390.79603309012521</v>
      </c>
      <c r="AJ43" s="947"/>
      <c r="AK43" s="949">
        <f>MAX('Land Calcs 5deg (lift)'!K7,'Land Calcs 5deg (lift)'!K27)</f>
        <v>314.68602757510439</v>
      </c>
      <c r="AL43" s="947"/>
      <c r="AM43" s="949">
        <f>MAX('Land Calcs 5deg (lift)'!L7,'Land Calcs 5deg (lift)'!L27)</f>
        <v>289.31602573676412</v>
      </c>
      <c r="AN43" s="947"/>
      <c r="AO43" s="949">
        <f>MAX('Land Calcs 5deg (lift)'!L12,'Land Calcs 5deg (lift)'!L32)</f>
        <v>263.94602389842385</v>
      </c>
      <c r="AP43" s="947"/>
      <c r="AQ43" s="946">
        <f>$AO$43</f>
        <v>263.94602389842385</v>
      </c>
      <c r="AR43" s="930"/>
      <c r="AT43" s="944"/>
      <c r="AU43" s="932"/>
      <c r="AV43" s="948"/>
      <c r="AX43" s="948"/>
      <c r="AZ43" s="948"/>
      <c r="BB43" s="948"/>
      <c r="BD43" s="948"/>
      <c r="BG43" s="960" t="s">
        <v>234</v>
      </c>
      <c r="BH43" s="930">
        <v>1</v>
      </c>
      <c r="BI43" s="947"/>
      <c r="BJ43" s="946">
        <f>AI43</f>
        <v>390.79603309012521</v>
      </c>
      <c r="BK43" s="930"/>
      <c r="BL43" s="946">
        <f>AK43</f>
        <v>314.68602757510439</v>
      </c>
      <c r="BM43" s="930"/>
      <c r="BN43" s="946">
        <f>AM43</f>
        <v>289.31602573676412</v>
      </c>
      <c r="BO43" s="930"/>
      <c r="BP43" s="946">
        <f>AO43</f>
        <v>263.94602389842385</v>
      </c>
      <c r="BQ43" s="930"/>
      <c r="BR43" s="946">
        <f>AQ43</f>
        <v>263.94602389842385</v>
      </c>
      <c r="BS43" s="930"/>
      <c r="BU43" s="1433"/>
      <c r="BV43" s="930"/>
      <c r="BW43" s="929"/>
      <c r="BX43" s="928"/>
      <c r="CH43" s="929"/>
      <c r="FC43" s="928"/>
    </row>
    <row r="44" spans="1:159">
      <c r="E44" s="936"/>
      <c r="F44" s="1431">
        <f>IF($N$4="NO",ROUNDUP(BJ44-0.00499,0),LEFT(BJ44,1)+(IF(BJ44-LEFT(BJ44,1)&lt;0.00499,0,IF(BJ44-LEFT(BJ44,1)-0.00499&lt;('1-Eng Inputs'!$C$39/'1-Eng Inputs'!$C$38),0.5,1))))</f>
        <v>12</v>
      </c>
      <c r="G44" s="930"/>
      <c r="H44" s="1431">
        <f>IF($N$4="NO",ROUNDUP(BL44-0.00499,0),LEFT(BL44,1)+(IF(BL44-LEFT(BL44,1)&lt;0.00499,0,IF(BL44-LEFT(BL44,1)-0.00499&lt;('1-Eng Inputs'!$C$39/'1-Eng Inputs'!$C$38),0.5,1))))</f>
        <v>10</v>
      </c>
      <c r="I44" s="930"/>
      <c r="J44" s="1431">
        <f>IF($N$4="NO",ROUNDUP(BN44-0.00499,0),LEFT(BN44,1)+(IF(BN44-LEFT(BN44,1)&lt;0.00499,0,IF(BN44-LEFT(BN44,1)-0.00499&lt;('1-Eng Inputs'!$C$39/'1-Eng Inputs'!$C$38),0.5,1))))</f>
        <v>9</v>
      </c>
      <c r="K44" s="930"/>
      <c r="L44" s="1431">
        <f>IF($N$4="NO",ROUNDUP(BP44-0.00499,0),LEFT(BP44,1)+(IF(BP44-LEFT(BP44,1)&lt;0.00499,0,IF(BP44-LEFT(BP44,1)-0.00499&lt;('1-Eng Inputs'!$C$39/'1-Eng Inputs'!$C$38),0.5,1))))</f>
        <v>8</v>
      </c>
      <c r="M44" s="930"/>
      <c r="N44" s="1431">
        <f>IF($N$4="NO",ROUNDUP(BR44-0.00499,0),LEFT(BR44,1)+(IF(BR44-LEFT(BR44,1)&lt;0.00499,0,IF(BR44-LEFT(BR44,1)-0.00499&lt;('1-Eng Inputs'!$C$39/'1-Eng Inputs'!$C$38),0.5,1))))</f>
        <v>8</v>
      </c>
      <c r="O44" s="930"/>
      <c r="P44" s="930"/>
      <c r="Q44" s="969"/>
      <c r="U44" s="1449">
        <f>IF(LEFT(F44,3)-LEFT(F44,1)=0.5,'1-Eng Inputs'!$C$39,0)+LEFT(F44,1)*'1-Eng Inputs'!$C$38</f>
        <v>32</v>
      </c>
      <c r="V44" s="964"/>
      <c r="W44" s="1454">
        <f>IF(LEFT(H44,3)-LEFT(H44,1)=0.5,'1-Eng Inputs'!$C$39,0)+LEFT(H44,1)*'1-Eng Inputs'!$C$38</f>
        <v>32</v>
      </c>
      <c r="X44" s="964"/>
      <c r="Y44" s="1454">
        <f>IF(LEFT(J44,3)-LEFT(J44,1)=0.5,'1-Eng Inputs'!$C$39,0)+LEFT(J44,1)*'1-Eng Inputs'!$C$38</f>
        <v>288</v>
      </c>
      <c r="Z44" s="964"/>
      <c r="AA44" s="1453">
        <f>IF(LEFT(L44,3)-LEFT(L44,1)=0.5,'1-Eng Inputs'!$C$39,0)+LEFT(L44,1)*'1-Eng Inputs'!$C$38</f>
        <v>256</v>
      </c>
      <c r="AB44" s="964"/>
      <c r="AC44" s="1453">
        <f>IF(LEFT(N44,3)-LEFT(N44,1)=0.5,'1-Eng Inputs'!$C$39,0)+LEFT(N44,1)*'1-Eng Inputs'!$C$38</f>
        <v>256</v>
      </c>
      <c r="AD44" s="964"/>
      <c r="AI44" s="1449">
        <f>(AI43*AV44+AI46*AV45)/'1-Eng Inputs'!$C$38</f>
        <v>11.023157197894212</v>
      </c>
      <c r="AJ44" s="964"/>
      <c r="AK44" s="1449">
        <f>(AK43*AX44+AK46*AX45)/'1-Eng Inputs'!$C$38</f>
        <v>9.4375320829979454</v>
      </c>
      <c r="AL44" s="964"/>
      <c r="AM44" s="1454">
        <f>(AM43*AZ44+AM46*AZ45)/'1-Eng Inputs'!$C$38</f>
        <v>8.6447195255498119</v>
      </c>
      <c r="AN44" s="964"/>
      <c r="AO44" s="1451">
        <f>(AO43*BB44+AO46*BB45)/'1-Eng Inputs'!$C$38</f>
        <v>7.4555006893776099</v>
      </c>
      <c r="AP44" s="964"/>
      <c r="AQ44" s="1451">
        <f>(AQ43*BD44+AQ46*BD45)/'1-Eng Inputs'!$C$38</f>
        <v>7.4555006893776099</v>
      </c>
      <c r="AR44" s="964"/>
      <c r="AU44" s="944"/>
      <c r="AV44" s="952">
        <v>0.5</v>
      </c>
      <c r="AX44" s="952">
        <v>0.5</v>
      </c>
      <c r="AZ44" s="952">
        <v>0.5</v>
      </c>
      <c r="BB44" s="952">
        <v>0.5</v>
      </c>
      <c r="BD44" s="952">
        <v>0.5</v>
      </c>
      <c r="BJ44" s="1449">
        <f>AI44</f>
        <v>11.023157197894212</v>
      </c>
      <c r="BK44" s="964"/>
      <c r="BL44" s="1449">
        <f>AK44</f>
        <v>9.4375320829979454</v>
      </c>
      <c r="BM44" s="964"/>
      <c r="BN44" s="1449">
        <f>AM44</f>
        <v>8.6447195255498119</v>
      </c>
      <c r="BO44" s="964"/>
      <c r="BP44" s="1451">
        <f>AO44</f>
        <v>7.4555006893776099</v>
      </c>
      <c r="BQ44" s="964"/>
      <c r="BR44" s="1451">
        <f>AQ44</f>
        <v>7.4555006893776099</v>
      </c>
      <c r="BS44" s="964"/>
      <c r="BT44" s="1433"/>
      <c r="BU44" s="1433"/>
      <c r="BW44" s="930"/>
    </row>
    <row r="45" spans="1:159" ht="12.75" hidden="1" customHeight="1">
      <c r="E45" s="936"/>
      <c r="F45" s="1432"/>
      <c r="G45" s="930"/>
      <c r="H45" s="1432"/>
      <c r="I45" s="930"/>
      <c r="J45" s="1432"/>
      <c r="K45" s="930"/>
      <c r="L45" s="1432"/>
      <c r="M45" s="930"/>
      <c r="N45" s="1432"/>
      <c r="O45" s="930"/>
      <c r="P45" s="930"/>
      <c r="Q45" s="969"/>
      <c r="U45" s="1450"/>
      <c r="V45" s="1434"/>
      <c r="W45" s="1454"/>
      <c r="X45" s="1434"/>
      <c r="Y45" s="1454"/>
      <c r="Z45" s="1434"/>
      <c r="AA45" s="1453"/>
      <c r="AB45" s="1434"/>
      <c r="AC45" s="1453"/>
      <c r="AD45" s="1434"/>
      <c r="AI45" s="1450"/>
      <c r="AJ45" s="1434"/>
      <c r="AK45" s="1450"/>
      <c r="AL45" s="1434"/>
      <c r="AM45" s="1454"/>
      <c r="AN45" s="1434"/>
      <c r="AO45" s="1452"/>
      <c r="AP45" s="1434"/>
      <c r="AQ45" s="1452"/>
      <c r="AR45" s="1434"/>
      <c r="AU45" s="944"/>
      <c r="AV45" s="951">
        <v>0.5</v>
      </c>
      <c r="AX45" s="951">
        <v>0.5</v>
      </c>
      <c r="AZ45" s="951">
        <v>0.5</v>
      </c>
      <c r="BB45" s="951">
        <v>0.5</v>
      </c>
      <c r="BD45" s="951">
        <v>0.5</v>
      </c>
      <c r="BJ45" s="1450"/>
      <c r="BK45" s="1434"/>
      <c r="BL45" s="1450"/>
      <c r="BM45" s="1434"/>
      <c r="BN45" s="1450"/>
      <c r="BO45" s="1434"/>
      <c r="BP45" s="1452"/>
      <c r="BQ45" s="1434"/>
      <c r="BR45" s="1452"/>
      <c r="BS45" s="1434"/>
      <c r="BT45" s="1433"/>
      <c r="BU45" s="1433"/>
      <c r="BW45" s="930"/>
    </row>
    <row r="46" spans="1:159" ht="24.75" customHeight="1">
      <c r="C46" s="953"/>
      <c r="D46" s="936">
        <v>2</v>
      </c>
      <c r="E46" s="947"/>
      <c r="F46" s="950" t="s">
        <v>19438</v>
      </c>
      <c r="G46" s="930"/>
      <c r="H46" s="950" t="s">
        <v>19438</v>
      </c>
      <c r="I46" s="930"/>
      <c r="J46" s="950" t="s">
        <v>19438</v>
      </c>
      <c r="K46" s="930"/>
      <c r="L46" s="950" t="s">
        <v>19416</v>
      </c>
      <c r="M46" s="930"/>
      <c r="N46" s="950" t="s">
        <v>19416</v>
      </c>
      <c r="O46" s="930"/>
      <c r="P46" s="930"/>
      <c r="Q46" s="969"/>
      <c r="R46" s="953"/>
      <c r="S46" s="930"/>
      <c r="U46" s="946">
        <f>(U44*(AI46*AV45/(AI44*'1-Eng Inputs'!$C$38))+U47*(AI46*AV47/(AI47*'1-Eng Inputs'!$C$38)))</f>
        <v>28.547722029693983</v>
      </c>
      <c r="V46" s="930"/>
      <c r="W46" s="946">
        <f>(W44*(AK46*AX45/(AK44*'1-Eng Inputs'!$C$38))+W47*(AK46*AX47/(AK47*'1-Eng Inputs'!$C$38)))</f>
        <v>30.655898511643461</v>
      </c>
      <c r="X46" s="930"/>
      <c r="Y46" s="946">
        <f>(Y44*(AM46*AZ45/(AM44*'1-Eng Inputs'!$C$38))+Y47*(AM46*AZ47/(AM47*'1-Eng Inputs'!$C$38)))</f>
        <v>274.79367121916306</v>
      </c>
      <c r="Z46" s="930"/>
      <c r="AA46" s="946">
        <f>(AA44*(AO46*BB45/(AO44*'1-Eng Inputs'!$C$38))+AA47*(AO46*BB47/(AO47*'1-Eng Inputs'!$C$38)))</f>
        <v>228.77714493462597</v>
      </c>
      <c r="AB46" s="930"/>
      <c r="AC46" s="946">
        <f>(AC44*(AQ46*BD45/(AQ44*'1-Eng Inputs'!$C$38))+AC47*(AQ46*BD47/(AQ47*'1-Eng Inputs'!$C$38)))</f>
        <v>228.77714493462597</v>
      </c>
      <c r="AD46" s="930"/>
      <c r="AF46" s="953"/>
      <c r="AG46" s="930">
        <v>2</v>
      </c>
      <c r="AH46" s="947"/>
      <c r="AI46" s="946">
        <f>MAX('Land Calcs 5deg (lift)'!O7,'Land Calcs 5deg (lift)'!O27)</f>
        <v>314.68602757510439</v>
      </c>
      <c r="AJ46" s="947"/>
      <c r="AK46" s="946">
        <f>MAX('Land Calcs 5deg (lift)'!P7,'Land Calcs 5deg (lift)'!P27)</f>
        <v>289.31602573676412</v>
      </c>
      <c r="AL46" s="947"/>
      <c r="AM46" s="946">
        <f>MAX('Land Calcs 5deg (lift)'!Q7,'Land Calcs 5deg (lift)'!Q27)</f>
        <v>263.94602389842385</v>
      </c>
      <c r="AN46" s="947"/>
      <c r="AO46" s="946">
        <f>MAX('Land Calcs 5deg (lift)'!Q12,'Land Calcs 5deg (lift)'!Q32)</f>
        <v>213.20602022174316</v>
      </c>
      <c r="AP46" s="947"/>
      <c r="AQ46" s="946">
        <f>AO46</f>
        <v>213.20602022174316</v>
      </c>
      <c r="AR46" s="930"/>
      <c r="AT46" s="944"/>
      <c r="AU46" s="932"/>
      <c r="AV46" s="948"/>
      <c r="AX46" s="948"/>
      <c r="AZ46" s="948"/>
      <c r="BB46" s="948"/>
      <c r="BD46" s="948"/>
      <c r="BG46" s="953"/>
      <c r="BH46" s="930">
        <v>2</v>
      </c>
      <c r="BI46" s="947"/>
      <c r="BJ46" s="946">
        <f>AI46</f>
        <v>314.68602757510439</v>
      </c>
      <c r="BK46" s="930"/>
      <c r="BL46" s="946">
        <f>AK46</f>
        <v>289.31602573676412</v>
      </c>
      <c r="BM46" s="930"/>
      <c r="BN46" s="946">
        <f>AM46</f>
        <v>263.94602389842385</v>
      </c>
      <c r="BO46" s="930"/>
      <c r="BP46" s="946">
        <f>AO46</f>
        <v>213.20602022174316</v>
      </c>
      <c r="BQ46" s="930"/>
      <c r="BR46" s="946">
        <f>AQ46</f>
        <v>213.20602022174316</v>
      </c>
      <c r="BS46" s="930"/>
      <c r="BU46" s="1433"/>
      <c r="BV46" s="930"/>
      <c r="BW46" s="929"/>
      <c r="BX46" s="928"/>
      <c r="CH46" s="929"/>
      <c r="FC46" s="928"/>
    </row>
    <row r="47" spans="1:159" ht="12" customHeight="1">
      <c r="D47" s="953"/>
      <c r="E47" s="936"/>
      <c r="F47" s="1431">
        <f>IF($N$4="NO",ROUNDUP(BJ47-0.00499,0),LEFT(BJ47,1)+(IF(BJ47-LEFT(BJ47,1)&lt;0.00499,0,IF(BJ47-LEFT(BJ47,1)-0.00499&lt;('1-Eng Inputs'!$C$39/'1-Eng Inputs'!$C$38),0.5,1))))</f>
        <v>12</v>
      </c>
      <c r="G47" s="930"/>
      <c r="H47" s="1431">
        <f>IF($N$4="NO",ROUNDUP(BL47-0.00499,0),LEFT(BL47,1)+(IF(BL47-LEFT(BL47,1)&lt;0.00499,0,IF(BL47-LEFT(BL47,1)-0.00499&lt;('1-Eng Inputs'!$C$39/'1-Eng Inputs'!$C$38),0.5,1))))</f>
        <v>10</v>
      </c>
      <c r="I47" s="930"/>
      <c r="J47" s="1431">
        <f>IF($N$4="NO",ROUNDUP(BN47-0.00499,0),LEFT(BN47,1)+(IF(BN47-LEFT(BN47,1)&lt;0.00499,0,IF(BN47-LEFT(BN47,1)-0.00499&lt;('1-Eng Inputs'!$C$39/'1-Eng Inputs'!$C$38),0.5,1))))</f>
        <v>9</v>
      </c>
      <c r="K47" s="930"/>
      <c r="L47" s="1431">
        <f>IF($N$4="NO",ROUNDUP(BP47-0.00499,0),LEFT(BP47,1)+(IF(BP47-LEFT(BP47,1)&lt;0.00499,0,IF(BP47-LEFT(BP47,1)-0.00499&lt;('1-Eng Inputs'!$C$39/'1-Eng Inputs'!$C$38),0.5,1))))</f>
        <v>8</v>
      </c>
      <c r="M47" s="930"/>
      <c r="N47" s="1431">
        <f>IF($N$4="NO",ROUNDUP(BR47-0.00499,0),LEFT(BR47,1)+(IF(BR47-LEFT(BR47,1)&lt;0.00499,0,IF(BR47-LEFT(BR47,1)-0.00499&lt;('1-Eng Inputs'!$C$39/'1-Eng Inputs'!$C$38),0.5,1))))</f>
        <v>8</v>
      </c>
      <c r="O47" s="930"/>
      <c r="P47" s="930"/>
      <c r="Q47" s="969"/>
      <c r="S47" s="953"/>
      <c r="U47" s="1449">
        <f>IF(LEFT(F47,3)-LEFT(F47,1)=0.5,'1-Eng Inputs'!$C$39,0)+LEFT(F47,1)*'1-Eng Inputs'!$C$38</f>
        <v>32</v>
      </c>
      <c r="W47" s="1454">
        <f>IF(LEFT(H47,3)-LEFT(H47,1)=0.5,'1-Eng Inputs'!$C$39,0)+LEFT(H47,1)*'1-Eng Inputs'!$C$38</f>
        <v>32</v>
      </c>
      <c r="Y47" s="1454">
        <f>IF(LEFT(J47,3)-LEFT(J47,1)=0.5,'1-Eng Inputs'!$C$39,0)+LEFT(J47,1)*'1-Eng Inputs'!$C$38</f>
        <v>288</v>
      </c>
      <c r="AA47" s="1453">
        <f>IF(LEFT(L47,3)-LEFT(L47,1)=0.5,'1-Eng Inputs'!$C$39,0)+LEFT(L47,1)*'1-Eng Inputs'!$C$38</f>
        <v>256</v>
      </c>
      <c r="AC47" s="1453">
        <f>IF(LEFT(N47,3)-LEFT(N47,1)=0.5,'1-Eng Inputs'!$C$39,0)+LEFT(N47,1)*'1-Eng Inputs'!$C$38</f>
        <v>256</v>
      </c>
      <c r="AG47" s="953"/>
      <c r="AI47" s="1449">
        <f>(AI46*AV47+AI49*AV48)/'1-Eng Inputs'!$C$38</f>
        <v>11.023157197894212</v>
      </c>
      <c r="AJ47" s="954"/>
      <c r="AK47" s="1449">
        <f>(AK46*AX47+AK49*AX48)/'1-Eng Inputs'!$C$38</f>
        <v>9.4375320829979454</v>
      </c>
      <c r="AL47" s="954"/>
      <c r="AM47" s="1454">
        <f>(AM46*AZ47+AM49*AZ48)/'1-Eng Inputs'!$C$38</f>
        <v>8.6447195255498119</v>
      </c>
      <c r="AN47" s="954"/>
      <c r="AO47" s="1451">
        <f>(AO46*BB47+AO49*BB48)/'1-Eng Inputs'!$C$38</f>
        <v>7.4555006893776099</v>
      </c>
      <c r="AP47" s="954"/>
      <c r="AQ47" s="1451">
        <f>(AQ46*BD47+AQ49*BD48)/'1-Eng Inputs'!$C$38</f>
        <v>7.4555006893776099</v>
      </c>
      <c r="AR47" s="954"/>
      <c r="AU47" s="944"/>
      <c r="AV47" s="952">
        <v>0.5</v>
      </c>
      <c r="AX47" s="952">
        <v>0.5</v>
      </c>
      <c r="AZ47" s="952">
        <v>0.5</v>
      </c>
      <c r="BB47" s="952">
        <v>0.5</v>
      </c>
      <c r="BD47" s="952">
        <v>0.5</v>
      </c>
      <c r="BH47" s="953"/>
      <c r="BJ47" s="1449">
        <f>AI47</f>
        <v>11.023157197894212</v>
      </c>
      <c r="BK47" s="954"/>
      <c r="BL47" s="1449">
        <f>AK47</f>
        <v>9.4375320829979454</v>
      </c>
      <c r="BM47" s="954"/>
      <c r="BN47" s="1449">
        <f>AM47</f>
        <v>8.6447195255498119</v>
      </c>
      <c r="BO47" s="954"/>
      <c r="BP47" s="1451">
        <f>AO47</f>
        <v>7.4555006893776099</v>
      </c>
      <c r="BQ47" s="954"/>
      <c r="BR47" s="1451">
        <f>AQ47</f>
        <v>7.4555006893776099</v>
      </c>
      <c r="BS47" s="954"/>
      <c r="BT47" s="1433"/>
      <c r="BU47" s="1433"/>
      <c r="BV47" s="1433"/>
      <c r="BW47" s="930"/>
    </row>
    <row r="48" spans="1:159" ht="12.75" hidden="1" customHeight="1">
      <c r="D48" s="953"/>
      <c r="E48" s="936"/>
      <c r="F48" s="1432"/>
      <c r="G48" s="930"/>
      <c r="H48" s="1432"/>
      <c r="I48" s="930"/>
      <c r="J48" s="1432"/>
      <c r="K48" s="930"/>
      <c r="L48" s="1432"/>
      <c r="M48" s="930"/>
      <c r="N48" s="1432"/>
      <c r="O48" s="930"/>
      <c r="P48" s="930"/>
      <c r="Q48" s="969"/>
      <c r="S48" s="953"/>
      <c r="U48" s="1450"/>
      <c r="V48" s="1434"/>
      <c r="W48" s="1454"/>
      <c r="X48" s="1434"/>
      <c r="Y48" s="1454"/>
      <c r="Z48" s="1434"/>
      <c r="AA48" s="1453"/>
      <c r="AB48" s="1434"/>
      <c r="AC48" s="1453"/>
      <c r="AD48" s="1434"/>
      <c r="AG48" s="953"/>
      <c r="AI48" s="1450"/>
      <c r="AJ48" s="1434"/>
      <c r="AK48" s="1450"/>
      <c r="AL48" s="1434"/>
      <c r="AM48" s="1454"/>
      <c r="AN48" s="1434"/>
      <c r="AO48" s="1452"/>
      <c r="AP48" s="1434"/>
      <c r="AQ48" s="1452"/>
      <c r="AR48" s="1434"/>
      <c r="AU48" s="944"/>
      <c r="AV48" s="951">
        <v>0.5</v>
      </c>
      <c r="AX48" s="951">
        <v>0.5</v>
      </c>
      <c r="AZ48" s="951">
        <v>0.5</v>
      </c>
      <c r="BB48" s="951">
        <v>0.5</v>
      </c>
      <c r="BD48" s="951">
        <v>0.5</v>
      </c>
      <c r="BH48" s="953"/>
      <c r="BJ48" s="1450"/>
      <c r="BK48" s="1434"/>
      <c r="BL48" s="1450"/>
      <c r="BM48" s="1434"/>
      <c r="BN48" s="1450"/>
      <c r="BO48" s="1434"/>
      <c r="BP48" s="1452"/>
      <c r="BQ48" s="1434"/>
      <c r="BR48" s="1452"/>
      <c r="BS48" s="1434"/>
      <c r="BT48" s="1433"/>
      <c r="BU48" s="1433"/>
      <c r="BW48" s="930"/>
    </row>
    <row r="49" spans="1:159" ht="24.75" customHeight="1">
      <c r="C49" s="953"/>
      <c r="D49" s="936">
        <v>3</v>
      </c>
      <c r="E49" s="947"/>
      <c r="F49" s="950" t="s">
        <v>19438</v>
      </c>
      <c r="G49" s="930"/>
      <c r="H49" s="950" t="s">
        <v>19438</v>
      </c>
      <c r="I49" s="930"/>
      <c r="J49" s="950" t="s">
        <v>19438</v>
      </c>
      <c r="K49" s="930"/>
      <c r="L49" s="950" t="s">
        <v>19416</v>
      </c>
      <c r="M49" s="930"/>
      <c r="N49" s="950" t="s">
        <v>19416</v>
      </c>
      <c r="O49" s="930"/>
      <c r="P49" s="930"/>
      <c r="Q49" s="969"/>
      <c r="R49" s="953"/>
      <c r="S49" s="930"/>
      <c r="U49" s="946">
        <f>U47*(AI49*AV48/(AI47*'1-Eng Inputs'!$C$38))+U50*(AI49*AV50/(AI50*'1-Eng Inputs'!$C$38))</f>
        <v>37.726138985153014</v>
      </c>
      <c r="V49" s="930"/>
      <c r="W49" s="946">
        <f>W47*(AK49*AX48/(AK47*'1-Eng Inputs'!$C$38))+W50*(AK49*AX50/(AK50*'1-Eng Inputs'!$C$38))</f>
        <v>176.67205074417828</v>
      </c>
      <c r="X49" s="930"/>
      <c r="Y49" s="946">
        <f>Y47*(AM49*AZ48/(AM47*'1-Eng Inputs'!$C$38))+Y50*(AM49*AZ50/(AM50*'1-Eng Inputs'!$C$38))</f>
        <v>310.60316439041844</v>
      </c>
      <c r="Z49" s="930"/>
      <c r="AA49" s="946">
        <f>AA47*(AO49*BB48/(AO47*'1-Eng Inputs'!$C$38))+AA50*(AO49*BB50/(AO50*'1-Eng Inputs'!$C$38))</f>
        <v>281.611427532687</v>
      </c>
      <c r="AB49" s="930"/>
      <c r="AC49" s="946">
        <f>AC47*(AQ49*BD48/(AQ47*'1-Eng Inputs'!$C$38))+AC50*(AQ49*BD50/(AQ50*'1-Eng Inputs'!$C$38))</f>
        <v>281.611427532687</v>
      </c>
      <c r="AD49" s="930"/>
      <c r="AF49" s="953"/>
      <c r="AG49" s="930">
        <v>3</v>
      </c>
      <c r="AH49" s="947"/>
      <c r="AI49" s="946">
        <f>AI43</f>
        <v>390.79603309012521</v>
      </c>
      <c r="AJ49" s="947"/>
      <c r="AK49" s="946">
        <f>$AK$43</f>
        <v>314.68602757510439</v>
      </c>
      <c r="AL49" s="947"/>
      <c r="AM49" s="946">
        <f>AM43</f>
        <v>289.31602573676412</v>
      </c>
      <c r="AN49" s="947"/>
      <c r="AO49" s="946">
        <f>$AO$43</f>
        <v>263.94602389842385</v>
      </c>
      <c r="AP49" s="947"/>
      <c r="AQ49" s="946">
        <f>$AO$43</f>
        <v>263.94602389842385</v>
      </c>
      <c r="AR49" s="930"/>
      <c r="AT49" s="944"/>
      <c r="AU49" s="932"/>
      <c r="AV49" s="948"/>
      <c r="AX49" s="948"/>
      <c r="AZ49" s="948"/>
      <c r="BB49" s="948"/>
      <c r="BD49" s="948"/>
      <c r="BG49" s="953"/>
      <c r="BH49" s="930">
        <v>3</v>
      </c>
      <c r="BI49" s="947"/>
      <c r="BJ49" s="946">
        <f>AI49</f>
        <v>390.79603309012521</v>
      </c>
      <c r="BK49" s="930"/>
      <c r="BL49" s="946">
        <f>AK49</f>
        <v>314.68602757510439</v>
      </c>
      <c r="BM49" s="930"/>
      <c r="BN49" s="946">
        <f>AM49</f>
        <v>289.31602573676412</v>
      </c>
      <c r="BO49" s="930"/>
      <c r="BP49" s="946">
        <f>AO49</f>
        <v>263.94602389842385</v>
      </c>
      <c r="BQ49" s="930"/>
      <c r="BR49" s="946">
        <f>AQ49</f>
        <v>263.94602389842385</v>
      </c>
      <c r="BS49" s="930"/>
      <c r="BU49" s="1433"/>
      <c r="BV49" s="930"/>
      <c r="BW49" s="929"/>
      <c r="BX49" s="928"/>
      <c r="CH49" s="929"/>
      <c r="FC49" s="928"/>
    </row>
    <row r="50" spans="1:159" ht="12.75" hidden="1" customHeight="1">
      <c r="E50" s="936"/>
      <c r="O50" s="930"/>
      <c r="P50" s="930"/>
      <c r="Q50" s="969"/>
      <c r="U50" s="1449">
        <f>U51/factors!$D$4</f>
        <v>20</v>
      </c>
      <c r="W50" s="1454">
        <f>W51/factors!$D$4</f>
        <v>160</v>
      </c>
      <c r="Y50" s="1454">
        <f>Y51/factors!$D$4</f>
        <v>160</v>
      </c>
      <c r="AA50" s="1453">
        <f>AA51/factors!$D$4</f>
        <v>140</v>
      </c>
      <c r="AC50" s="1453">
        <f>AC51/factors!$D$4</f>
        <v>140</v>
      </c>
      <c r="AI50" s="979">
        <f>(AI49*AV50)/'1-Eng Inputs'!$C$38</f>
        <v>6.1061880170332063</v>
      </c>
      <c r="AK50" s="979">
        <f>(AK49*AX50)/'1-Eng Inputs'!$C$38</f>
        <v>4.9169691808610061</v>
      </c>
      <c r="AM50" s="1449">
        <f>(AM49*AZ50)/'1-Eng Inputs'!$C$38</f>
        <v>4.5205629021369393</v>
      </c>
      <c r="AO50" s="1451">
        <f>(AO49*BB50)/'1-Eng Inputs'!$C$38</f>
        <v>4.1241566234128726</v>
      </c>
      <c r="AQ50" s="1451">
        <f>(AQ49*BD50)/'1-Eng Inputs'!$C$38</f>
        <v>4.1241566234128726</v>
      </c>
      <c r="AU50" s="944"/>
      <c r="AV50" s="1439">
        <v>0.5</v>
      </c>
      <c r="AX50" s="1439">
        <v>0.5</v>
      </c>
      <c r="AZ50" s="1439">
        <v>0.5</v>
      </c>
      <c r="BB50" s="1439">
        <v>0.5</v>
      </c>
      <c r="BD50" s="1439">
        <v>0.5</v>
      </c>
      <c r="BJ50" s="979">
        <f>BJ51/factors!$B$4</f>
        <v>6.1061880170332072</v>
      </c>
      <c r="BL50" s="979">
        <f>BL51/factors!$B$4</f>
        <v>4.9169691808610061</v>
      </c>
      <c r="BN50" s="979">
        <f>BN51/factors!$B$4</f>
        <v>4.5205629021369393</v>
      </c>
      <c r="BP50" s="1451">
        <f>BP51/factors!$B$4</f>
        <v>4.1241566234128726</v>
      </c>
      <c r="BR50" s="1451">
        <f>BR51/factors!$B$4</f>
        <v>4.1241566234128726</v>
      </c>
      <c r="BT50" s="1433"/>
      <c r="BU50" s="1433"/>
      <c r="BW50" s="930"/>
    </row>
    <row r="51" spans="1:159">
      <c r="E51" s="936"/>
      <c r="F51" s="1515">
        <f>IF($N$4="NO",ROUNDUP(BJ51-0.00499,0),LEFT(BJ51,1)+(IF(BJ51-LEFT(BJ51,1)&lt;0.00499,0,IF(BJ51-LEFT(BJ51,1)-0.00499&lt;('1-Eng Inputs'!$C$39/'1-Eng Inputs'!$C$38),0.5,1))))</f>
        <v>10</v>
      </c>
      <c r="G51" s="930"/>
      <c r="H51" s="1515">
        <f>IF($N$4="NO",ROUNDUP(BL51-0.00499,0),LEFT(BL51,1)+(IF(BL51-LEFT(BL51,1)&lt;0.00499,0,IF(BL51-LEFT(BL51,1)-0.00499&lt;('1-Eng Inputs'!$C$39/'1-Eng Inputs'!$C$38),0.5,1))))</f>
        <v>8</v>
      </c>
      <c r="I51" s="930"/>
      <c r="J51" s="1515">
        <f>IF($N$4="NO",ROUNDUP(BN51-0.00499,0),LEFT(BN51,1)+(IF(BN51-LEFT(BN51,1)&lt;0.00499,0,IF(BN51-LEFT(BN51,1)-0.00499&lt;('1-Eng Inputs'!$C$39/'1-Eng Inputs'!$C$38),0.5,1))))</f>
        <v>8</v>
      </c>
      <c r="K51" s="930"/>
      <c r="L51" s="1515">
        <f>IF($N$4="NO",ROUNDUP(BP51-0.00499,0),LEFT(BP51,1)+(IF(BP51-LEFT(BP51,1)&lt;0.00499,0,IF(BP51-LEFT(BP51,1)-0.00499&lt;('1-Eng Inputs'!$C$39/'1-Eng Inputs'!$C$38),0.5,1))))</f>
        <v>7</v>
      </c>
      <c r="M51" s="930"/>
      <c r="N51" s="1515">
        <f>IF($N$4="NO",ROUNDUP(BR51-0.00499,0),LEFT(BR51,1)+(IF(BR51-LEFT(BR51,1)&lt;0.00499,0,IF(BR51-LEFT(BR51,1)-0.00499&lt;('1-Eng Inputs'!$C$39/'1-Eng Inputs'!$C$38),0.5,1))))</f>
        <v>7</v>
      </c>
      <c r="O51" s="930"/>
      <c r="P51" s="930"/>
      <c r="Q51" s="969"/>
      <c r="U51" s="1450">
        <f>IF(LEFT(F51,3)-LEFT(F51,1)=0.5,'1-Eng Inputs'!$C$39,0)+LEFT(F51,1)*'1-Eng Inputs'!$C$38</f>
        <v>32</v>
      </c>
      <c r="V51" s="1434"/>
      <c r="W51" s="1454">
        <f>IF(LEFT(H51,3)-LEFT(H51,1)=0.5,'1-Eng Inputs'!$C$39,0)+LEFT(H51,1)*'1-Eng Inputs'!$C$38</f>
        <v>256</v>
      </c>
      <c r="X51" s="1434"/>
      <c r="Y51" s="1454">
        <f>IF(LEFT(J51,3)-LEFT(J51,1)=0.5,'1-Eng Inputs'!$C$39,0)+LEFT(J51,1)*'1-Eng Inputs'!$C$38</f>
        <v>256</v>
      </c>
      <c r="Z51" s="1434"/>
      <c r="AA51" s="1453">
        <f>IF(LEFT(L51,3)-LEFT(L51,1)=0.5,'1-Eng Inputs'!$C$39,0)+LEFT(L51,1)*'1-Eng Inputs'!$C$38</f>
        <v>224</v>
      </c>
      <c r="AB51" s="1434"/>
      <c r="AC51" s="1453">
        <f>IF(LEFT(N51,3)-LEFT(N51,1)=0.5,'1-Eng Inputs'!$C$39,0)+LEFT(N51,1)*'1-Eng Inputs'!$C$38</f>
        <v>224</v>
      </c>
      <c r="AD51" s="1434"/>
      <c r="AI51" s="1175">
        <f>AI50*factors!$D$4</f>
        <v>9.7699008272531316</v>
      </c>
      <c r="AJ51" s="964"/>
      <c r="AK51" s="1175">
        <f>AK50*factors!$D$4</f>
        <v>7.8671506893776098</v>
      </c>
      <c r="AL51" s="964"/>
      <c r="AM51" s="1175">
        <f>AM50*factors!$D$4</f>
        <v>7.2329006434191037</v>
      </c>
      <c r="AN51" s="964"/>
      <c r="AO51" s="1453">
        <f>AO50*factors!$D$4</f>
        <v>6.5986505974605967</v>
      </c>
      <c r="AP51" s="964"/>
      <c r="AQ51" s="1453">
        <f>AQ50*factors!$D$4</f>
        <v>6.5986505974605967</v>
      </c>
      <c r="AR51" s="964"/>
      <c r="AU51" s="944"/>
      <c r="AV51" s="1440"/>
      <c r="AX51" s="1440"/>
      <c r="AZ51" s="1440"/>
      <c r="BB51" s="1440"/>
      <c r="BD51" s="1440"/>
      <c r="BJ51" s="977">
        <f>AI51</f>
        <v>9.7699008272531316</v>
      </c>
      <c r="BK51" s="964"/>
      <c r="BL51" s="977">
        <f>AK51</f>
        <v>7.8671506893776098</v>
      </c>
      <c r="BM51" s="964"/>
      <c r="BN51" s="977">
        <f>AM51</f>
        <v>7.2329006434191037</v>
      </c>
      <c r="BO51" s="964"/>
      <c r="BP51" s="1452">
        <f>AO51</f>
        <v>6.5986505974605967</v>
      </c>
      <c r="BQ51" s="964"/>
      <c r="BR51" s="1452">
        <f>AQ51</f>
        <v>6.5986505974605967</v>
      </c>
      <c r="BS51" s="964"/>
      <c r="BT51" s="1433"/>
      <c r="BU51" s="1433"/>
      <c r="BW51" s="930"/>
    </row>
    <row r="52" spans="1:159">
      <c r="E52" s="936"/>
      <c r="F52" s="1438"/>
      <c r="G52" s="930"/>
      <c r="H52" s="1438"/>
      <c r="I52" s="930"/>
      <c r="J52" s="1438"/>
      <c r="K52" s="930"/>
      <c r="L52" s="1438"/>
      <c r="M52" s="930"/>
      <c r="N52" s="1438"/>
      <c r="O52" s="930"/>
      <c r="P52" s="930"/>
      <c r="Q52" s="969"/>
      <c r="U52" s="1433"/>
      <c r="V52" s="964"/>
      <c r="W52" s="1433"/>
      <c r="X52" s="964"/>
      <c r="Y52" s="1433"/>
      <c r="Z52" s="964"/>
      <c r="AA52" s="1433"/>
      <c r="AB52" s="964"/>
      <c r="AC52" s="1433"/>
      <c r="AD52" s="964"/>
      <c r="AF52" s="1464"/>
      <c r="AI52" s="1436"/>
      <c r="AJ52" s="957"/>
      <c r="AK52" s="1176"/>
      <c r="AL52" s="1060"/>
      <c r="AM52" s="1176"/>
      <c r="AN52" s="1060"/>
      <c r="AO52" s="1176"/>
      <c r="AP52" s="1060"/>
      <c r="AQ52" s="1176"/>
      <c r="AR52" s="964"/>
      <c r="AU52" s="944"/>
      <c r="AV52" s="944"/>
      <c r="AX52" s="944"/>
      <c r="AZ52" s="944"/>
      <c r="BB52" s="944"/>
      <c r="BD52" s="944"/>
      <c r="BJ52" s="1433"/>
      <c r="BK52" s="964"/>
      <c r="BL52" s="1433"/>
      <c r="BM52" s="964"/>
      <c r="BN52" s="1433"/>
      <c r="BO52" s="964"/>
      <c r="BP52" s="1433"/>
      <c r="BQ52" s="964"/>
      <c r="BR52" s="1433"/>
      <c r="BS52" s="964"/>
      <c r="BT52" s="1433"/>
      <c r="BU52" s="1433"/>
      <c r="BW52" s="930"/>
    </row>
    <row r="53" spans="1:159">
      <c r="A53" s="959" t="s">
        <v>19433</v>
      </c>
      <c r="E53" s="936"/>
      <c r="S53" s="959"/>
      <c r="AG53" s="959" t="s">
        <v>19448</v>
      </c>
      <c r="AU53" s="944"/>
      <c r="BH53" s="959" t="s">
        <v>19442</v>
      </c>
      <c r="BW53" s="930"/>
    </row>
    <row r="54" spans="1:159">
      <c r="D54" s="936"/>
      <c r="E54" s="928"/>
      <c r="F54" s="928" t="s">
        <v>233</v>
      </c>
      <c r="O54" s="960" t="s">
        <v>215</v>
      </c>
      <c r="S54" s="930"/>
      <c r="T54" s="928"/>
      <c r="AG54" s="930"/>
      <c r="AH54" s="928"/>
      <c r="AI54" s="928" t="s">
        <v>233</v>
      </c>
      <c r="AT54" s="965" t="s">
        <v>19376</v>
      </c>
      <c r="AU54" s="932"/>
      <c r="BE54" s="944"/>
      <c r="BF54" s="943"/>
      <c r="BH54" s="930"/>
      <c r="BI54" s="928"/>
      <c r="BJ54" s="928" t="s">
        <v>233</v>
      </c>
      <c r="BS54" s="960"/>
      <c r="BV54" s="930"/>
      <c r="BW54" s="929"/>
      <c r="BX54" s="928"/>
      <c r="CH54" s="929"/>
      <c r="FC54" s="928"/>
    </row>
    <row r="55" spans="1:159">
      <c r="D55" s="936"/>
      <c r="E55" s="930"/>
      <c r="F55" s="936">
        <v>1</v>
      </c>
      <c r="G55" s="936"/>
      <c r="H55" s="936">
        <v>2</v>
      </c>
      <c r="I55" s="936"/>
      <c r="J55" s="936">
        <v>3</v>
      </c>
      <c r="K55" s="936"/>
      <c r="L55" s="936">
        <v>4</v>
      </c>
      <c r="M55" s="936"/>
      <c r="N55" s="936">
        <v>5</v>
      </c>
      <c r="O55" s="1174"/>
      <c r="P55" s="930"/>
      <c r="Q55" s="969"/>
      <c r="S55" s="930"/>
      <c r="U55" s="930"/>
      <c r="V55" s="930"/>
      <c r="W55" s="930"/>
      <c r="X55" s="930"/>
      <c r="Y55" s="930"/>
      <c r="Z55" s="930"/>
      <c r="AA55" s="930"/>
      <c r="AB55" s="930"/>
      <c r="AC55" s="930"/>
      <c r="AD55" s="930"/>
      <c r="AE55" s="930"/>
      <c r="AG55" s="930"/>
      <c r="AI55" s="930">
        <v>1</v>
      </c>
      <c r="AJ55" s="930"/>
      <c r="AK55" s="930">
        <v>2</v>
      </c>
      <c r="AL55" s="930"/>
      <c r="AM55" s="930">
        <v>3</v>
      </c>
      <c r="AN55" s="930"/>
      <c r="AO55" s="930">
        <v>4</v>
      </c>
      <c r="AP55" s="930"/>
      <c r="AQ55" s="930">
        <v>5</v>
      </c>
      <c r="AR55" s="930"/>
      <c r="AS55" s="930"/>
      <c r="AT55" s="944"/>
      <c r="AU55" s="932"/>
      <c r="BE55" s="944"/>
      <c r="BF55" s="943"/>
      <c r="BH55" s="930"/>
      <c r="BJ55" s="930">
        <v>1</v>
      </c>
      <c r="BK55" s="930"/>
      <c r="BL55" s="930">
        <v>2</v>
      </c>
      <c r="BM55" s="930"/>
      <c r="BN55" s="930">
        <v>3</v>
      </c>
      <c r="BO55" s="930"/>
      <c r="BP55" s="930">
        <v>4</v>
      </c>
      <c r="BQ55" s="930"/>
      <c r="BR55" s="930">
        <v>5</v>
      </c>
      <c r="BS55" s="930"/>
      <c r="BT55" s="930"/>
      <c r="BU55" s="930"/>
      <c r="BV55" s="930"/>
      <c r="BW55" s="929"/>
      <c r="BX55" s="928"/>
      <c r="CH55" s="929"/>
      <c r="FC55" s="928"/>
    </row>
    <row r="56" spans="1:159">
      <c r="E56" s="936"/>
      <c r="F56" s="1431">
        <f>IF($N$4="NO",ROUNDUP(BJ56-0.00499,0),LEFT(BJ56,1)+(IF(BJ56-LEFT(BJ56,1)&lt;0.00499,0,IF(BJ56-LEFT(BJ56,1)-0.00499&lt;('1-Eng Inputs'!$C$39/'1-Eng Inputs'!$C$38),0.5,1))))</f>
        <v>13</v>
      </c>
      <c r="G56" s="930"/>
      <c r="H56" s="1431">
        <f>IF($N$4="NO",ROUNDUP(BL56-0.00499,0),LEFT(BL56,1)+(IF(BL56-LEFT(BL56,1)&lt;0.00499,0,IF(BL56-LEFT(BL56,1)-0.00499&lt;('1-Eng Inputs'!$C$39/'1-Eng Inputs'!$C$38),0.5,1))))</f>
        <v>11</v>
      </c>
      <c r="I56" s="930"/>
      <c r="J56" s="1431">
        <f>IF($N$4="NO",ROUNDUP(BN56-0.00499,0),LEFT(BN56,1)+(IF(BN56-LEFT(BN56,1)&lt;0.00499,0,IF(BN56-LEFT(BN56,1)-0.00499&lt;('1-Eng Inputs'!$C$39/'1-Eng Inputs'!$C$38),0.5,1))))</f>
        <v>9</v>
      </c>
      <c r="K56" s="930"/>
      <c r="L56" s="1431">
        <f>IF($N$4="NO",ROUNDUP(BP56-0.00499,0),LEFT(BP56,1)+(IF(BP56-LEFT(BP56,1)&lt;0.00499,0,IF(BP56-LEFT(BP56,1)-0.00499&lt;('1-Eng Inputs'!$C$39/'1-Eng Inputs'!$C$38),0.5,1))))</f>
        <v>8</v>
      </c>
      <c r="M56" s="930"/>
      <c r="N56" s="1431">
        <f>IF($N$4="NO",ROUNDUP(BR56-0.00499,0),LEFT(BR56,1)+(IF(BR56-LEFT(BR56,1)&lt;0.00499,0,IF(BR56-LEFT(BR56,1)-0.00499&lt;('1-Eng Inputs'!$C$39/'1-Eng Inputs'!$C$38),0.5,1))))</f>
        <v>8</v>
      </c>
      <c r="O56" s="930"/>
      <c r="P56" s="930"/>
      <c r="Q56" s="969"/>
      <c r="U56" s="1449">
        <f>IF(LEFT(F56,3)-LEFT(F56,1)=0.5,'1-Eng Inputs'!$C$39,0)+LEFT(F56,1)*'1-Eng Inputs'!$C$38</f>
        <v>32</v>
      </c>
      <c r="W56" s="1454">
        <f>IF(LEFT(H56,3)-LEFT(H56,1)=0.5,'1-Eng Inputs'!$C$39,0)+LEFT(H56,1)*'1-Eng Inputs'!$C$38</f>
        <v>32</v>
      </c>
      <c r="Y56" s="1454">
        <f>IF(LEFT(J56,3)-LEFT(J56,1)=0.5,'1-Eng Inputs'!$C$39,0)+LEFT(J56,1)*'1-Eng Inputs'!$C$38</f>
        <v>288</v>
      </c>
      <c r="AA56" s="1453">
        <f>IF(LEFT(L56,3)-LEFT(L56,1)=0.5,'1-Eng Inputs'!$C$39,0)+LEFT(L56,1)*'1-Eng Inputs'!$C$38</f>
        <v>256</v>
      </c>
      <c r="AC56" s="1453">
        <f>IF(LEFT(N56,3)-LEFT(N56,1)=0.5,'1-Eng Inputs'!$C$39,0)+LEFT(N56,1)*'1-Eng Inputs'!$C$38</f>
        <v>256</v>
      </c>
      <c r="AI56" s="1449">
        <f>AI57*factors!$D$3</f>
        <v>12.418201034066412</v>
      </c>
      <c r="AK56" s="1449">
        <f>AK57*factors!$D$3</f>
        <v>10.991138430659772</v>
      </c>
      <c r="AM56" s="1449">
        <f>AM57*factors!$D$3</f>
        <v>8.1370132238464912</v>
      </c>
      <c r="AO56" s="1451">
        <f>AO57*factors!$D$3</f>
        <v>7.4234819221431705</v>
      </c>
      <c r="AQ56" s="1451">
        <f>AQ57*factors!$D$3</f>
        <v>7.4234819221431705</v>
      </c>
      <c r="AU56" s="944"/>
      <c r="AV56" s="1439">
        <v>0.5</v>
      </c>
      <c r="AX56" s="1439">
        <v>0.5</v>
      </c>
      <c r="AZ56" s="1439">
        <v>0.5</v>
      </c>
      <c r="BB56" s="1439">
        <v>0.5</v>
      </c>
      <c r="BD56" s="1439">
        <v>0.5</v>
      </c>
      <c r="BJ56" s="1449">
        <f>AI56</f>
        <v>12.418201034066412</v>
      </c>
      <c r="BL56" s="1449">
        <f>AK56</f>
        <v>10.991138430659772</v>
      </c>
      <c r="BN56" s="1449">
        <f>AM56</f>
        <v>8.1370132238464912</v>
      </c>
      <c r="BP56" s="1451">
        <f>AO56</f>
        <v>7.4234819221431705</v>
      </c>
      <c r="BR56" s="1451">
        <f>AQ56</f>
        <v>7.4234819221431705</v>
      </c>
      <c r="BT56" s="1433"/>
      <c r="BU56" s="1433"/>
      <c r="BW56" s="930"/>
    </row>
    <row r="57" spans="1:159" ht="12.75" hidden="1" customHeight="1">
      <c r="E57" s="936"/>
      <c r="F57" s="1432"/>
      <c r="G57" s="930"/>
      <c r="H57" s="1432"/>
      <c r="I57" s="930"/>
      <c r="J57" s="1432"/>
      <c r="K57" s="930"/>
      <c r="L57" s="1432"/>
      <c r="M57" s="930"/>
      <c r="N57" s="1432"/>
      <c r="O57" s="930"/>
      <c r="P57" s="930"/>
      <c r="Q57" s="969"/>
      <c r="U57" s="1450">
        <f>U56/factors!$D$3</f>
        <v>17.777777777777779</v>
      </c>
      <c r="V57" s="1434"/>
      <c r="W57" s="1454">
        <f>W56/factors!$D$3</f>
        <v>17.777777777777779</v>
      </c>
      <c r="X57" s="1434"/>
      <c r="Y57" s="1454">
        <f>Y56/factors!$D$3</f>
        <v>160</v>
      </c>
      <c r="Z57" s="1434"/>
      <c r="AA57" s="1453">
        <f>AA56/factors!$D$3</f>
        <v>142.22222222222223</v>
      </c>
      <c r="AB57" s="1434"/>
      <c r="AC57" s="1453">
        <f>AC56/factors!$D$3</f>
        <v>142.22222222222223</v>
      </c>
      <c r="AD57" s="1434"/>
      <c r="AI57" s="1450">
        <f>(AI58*AV56)/'1-Eng Inputs'!$C$38</f>
        <v>6.8990005744813399</v>
      </c>
      <c r="AK57" s="1450">
        <f>(AK58*AX56)/'1-Eng Inputs'!$C$38</f>
        <v>6.1061880170332063</v>
      </c>
      <c r="AM57" s="1450">
        <f>(AM58*AZ56)/'1-Eng Inputs'!$C$38</f>
        <v>4.5205629021369393</v>
      </c>
      <c r="AO57" s="1452">
        <f>(AO58*BB56)/'1-Eng Inputs'!$C$38</f>
        <v>4.1241566234128726</v>
      </c>
      <c r="AQ57" s="1452">
        <f>(AQ58*BD56)/'1-Eng Inputs'!$C$38</f>
        <v>4.1241566234128726</v>
      </c>
      <c r="AR57" s="1434"/>
      <c r="AU57" s="944"/>
      <c r="AV57" s="1440"/>
      <c r="AX57" s="1440"/>
      <c r="AZ57" s="1440"/>
      <c r="BB57" s="1440"/>
      <c r="BD57" s="1440"/>
      <c r="BJ57" s="1450">
        <f>BJ56/factors!$B$3</f>
        <v>8.8701435957617232</v>
      </c>
      <c r="BK57" s="1434"/>
      <c r="BL57" s="1450">
        <f>BL56/factors!$B$3</f>
        <v>7.850813164756981</v>
      </c>
      <c r="BM57" s="1434"/>
      <c r="BN57" s="1450">
        <f>BN56/factors!$B$3</f>
        <v>5.8121523027474939</v>
      </c>
      <c r="BO57" s="1434"/>
      <c r="BP57" s="1452">
        <f>BP56/factors!$B$3</f>
        <v>5.3024870872451224</v>
      </c>
      <c r="BQ57" s="1434"/>
      <c r="BR57" s="1452">
        <f>BR56/factors!$B$3</f>
        <v>5.3024870872451224</v>
      </c>
      <c r="BS57" s="1434"/>
      <c r="BT57" s="1433"/>
      <c r="BU57" s="1433"/>
      <c r="BW57" s="930"/>
    </row>
    <row r="58" spans="1:159" ht="24.75" customHeight="1">
      <c r="C58" s="960" t="s">
        <v>234</v>
      </c>
      <c r="D58" s="936">
        <v>1</v>
      </c>
      <c r="E58" s="947"/>
      <c r="F58" s="950" t="s">
        <v>19438</v>
      </c>
      <c r="G58" s="930"/>
      <c r="H58" s="950" t="s">
        <v>19438</v>
      </c>
      <c r="I58" s="930"/>
      <c r="J58" s="950" t="s">
        <v>19438</v>
      </c>
      <c r="K58" s="930"/>
      <c r="L58" s="950" t="s">
        <v>19416</v>
      </c>
      <c r="M58" s="930"/>
      <c r="N58" s="950" t="s">
        <v>19416</v>
      </c>
      <c r="O58" s="930"/>
      <c r="P58" s="930"/>
      <c r="Q58" s="969"/>
      <c r="R58" s="960"/>
      <c r="S58" s="930"/>
      <c r="U58" s="946">
        <f>(U57*(AI58*AV56/(AI57*'1-Eng Inputs'!$C$38))+U59*(AI58*AV59/(AI59*'1-Eng Inputs'!$C$38)))</f>
        <v>33.777777777777779</v>
      </c>
      <c r="V58" s="930"/>
      <c r="W58" s="946">
        <f>(W57*(AK58*AX56/(AK57*'1-Eng Inputs'!$C$38))+W59*(AK58*AX59/(AK59*'1-Eng Inputs'!$C$38)))</f>
        <v>33.777777777777779</v>
      </c>
      <c r="X58" s="930"/>
      <c r="Y58" s="946">
        <f>(Y57*(AM58*AZ56/(AM57*'1-Eng Inputs'!$C$38))+Y59*(AM58*AZ59/(AM59*'1-Eng Inputs'!$C$38)))</f>
        <v>176</v>
      </c>
      <c r="Z58" s="930"/>
      <c r="AA58" s="946">
        <f>(AA57*(AO58*BB56/(AO57*'1-Eng Inputs'!$C$38))+AA59*(AO58*BB59/(AO59*'1-Eng Inputs'!$C$38)))</f>
        <v>286.22222222222223</v>
      </c>
      <c r="AB58" s="930"/>
      <c r="AC58" s="946">
        <f>(AC57*(AQ58*BD56/(AQ57*'1-Eng Inputs'!$C$38))+AC59*(AQ58*BD59/(AQ59*'1-Eng Inputs'!$C$38)))</f>
        <v>286.22222222222223</v>
      </c>
      <c r="AD58" s="930"/>
      <c r="AF58" s="960" t="s">
        <v>234</v>
      </c>
      <c r="AG58" s="930">
        <v>1</v>
      </c>
      <c r="AH58" s="947"/>
      <c r="AI58" s="949">
        <f>MAX('Land Calcs 5deg (lift)'!I7,'Land Calcs 5deg (lift)'!I27)</f>
        <v>441.53603676680575</v>
      </c>
      <c r="AJ58" s="947"/>
      <c r="AK58" s="949">
        <f>MAX('Land Calcs 5deg (lift)'!J7,'Land Calcs 5deg (lift)'!J27)</f>
        <v>390.79603309012521</v>
      </c>
      <c r="AL58" s="947"/>
      <c r="AM58" s="949">
        <f>MAX('Land Calcs 5deg (lift)'!L7,'Land Calcs 5deg (lift)'!L27)</f>
        <v>289.31602573676412</v>
      </c>
      <c r="AN58" s="947"/>
      <c r="AO58" s="949">
        <f>MAX('Land Calcs 5deg (lift)'!L12,'Land Calcs 5deg (lift)'!L32)</f>
        <v>263.94602389842385</v>
      </c>
      <c r="AP58" s="947"/>
      <c r="AQ58" s="946">
        <f>$AO$58</f>
        <v>263.94602389842385</v>
      </c>
      <c r="AR58" s="930"/>
      <c r="AT58" s="944"/>
      <c r="AU58" s="932"/>
      <c r="AV58" s="948"/>
      <c r="AX58" s="948"/>
      <c r="AZ58" s="948"/>
      <c r="BB58" s="948"/>
      <c r="BD58" s="948"/>
      <c r="BG58" s="960" t="s">
        <v>234</v>
      </c>
      <c r="BH58" s="930">
        <v>1</v>
      </c>
      <c r="BI58" s="947"/>
      <c r="BJ58" s="946">
        <f>AI58</f>
        <v>441.53603676680575</v>
      </c>
      <c r="BK58" s="930"/>
      <c r="BL58" s="946">
        <f>AK58</f>
        <v>390.79603309012521</v>
      </c>
      <c r="BM58" s="930"/>
      <c r="BN58" s="946">
        <f>AM58</f>
        <v>289.31602573676412</v>
      </c>
      <c r="BO58" s="930"/>
      <c r="BP58" s="946">
        <f>AO58</f>
        <v>263.94602389842385</v>
      </c>
      <c r="BQ58" s="930"/>
      <c r="BR58" s="946">
        <f>AQ58</f>
        <v>263.94602389842385</v>
      </c>
      <c r="BS58" s="930"/>
      <c r="BU58" s="1433"/>
      <c r="BV58" s="930"/>
      <c r="BW58" s="929"/>
      <c r="BX58" s="928"/>
      <c r="CH58" s="929"/>
      <c r="FC58" s="928"/>
    </row>
    <row r="59" spans="1:159" ht="13.5" customHeight="1">
      <c r="D59" s="960"/>
      <c r="E59" s="936"/>
      <c r="F59" s="1431">
        <f>IF($N$4="NO",ROUNDUP(BJ59-0.00499,0),LEFT(BJ59,1)+(IF(BJ59-LEFT(BJ59,1)&lt;0.00499,0,IF(BJ59-LEFT(BJ59,1)-0.00499&lt;('1-Eng Inputs'!$C$39/'1-Eng Inputs'!$C$38),0.5,1))))</f>
        <v>14</v>
      </c>
      <c r="G59" s="930"/>
      <c r="H59" s="1431">
        <f>IF($N$4="NO",ROUNDUP(BL59-0.00499,0),LEFT(BL59,1)+(IF(BL59-LEFT(BL59,1)&lt;0.00499,0,IF(BL59-LEFT(BL59,1)-0.00499&lt;('1-Eng Inputs'!$C$39/'1-Eng Inputs'!$C$38),0.5,1))))</f>
        <v>13</v>
      </c>
      <c r="I59" s="930"/>
      <c r="J59" s="1431">
        <f>IF($N$4="NO",ROUNDUP(BN59-0.00499,0),LEFT(BN59,1)+(IF(BN59-LEFT(BN59,1)&lt;0.00499,0,IF(BN59-LEFT(BN59,1)-0.00499&lt;('1-Eng Inputs'!$C$39/'1-Eng Inputs'!$C$38),0.5,1))))</f>
        <v>10</v>
      </c>
      <c r="K59" s="930"/>
      <c r="L59" s="1431">
        <f>IF($N$4="NO",ROUNDUP(BP59-0.00499,0),LEFT(BP59,1)+(IF(BP59-LEFT(BP59,1)&lt;0.00499,0,IF(BP59-LEFT(BP59,1)-0.00499&lt;('1-Eng Inputs'!$C$39/'1-Eng Inputs'!$C$38),0.5,1))))</f>
        <v>9</v>
      </c>
      <c r="M59" s="930"/>
      <c r="N59" s="1431">
        <f>IF($N$4="NO",ROUNDUP(BR59-0.00499,0),LEFT(BR59,1)+(IF(BR59-LEFT(BR59,1)&lt;0.00499,0,IF(BR59-LEFT(BR59,1)-0.00499&lt;('1-Eng Inputs'!$C$39/'1-Eng Inputs'!$C$38),0.5,1))))</f>
        <v>9</v>
      </c>
      <c r="O59" s="930"/>
      <c r="P59" s="930"/>
      <c r="Q59" s="969"/>
      <c r="S59" s="960"/>
      <c r="U59" s="1449">
        <f>IF(LEFT(F59,3)-LEFT(F59,1)=0.5,'1-Eng Inputs'!$C$39,0)+LEFT(F59,1)*'1-Eng Inputs'!$C$38</f>
        <v>32</v>
      </c>
      <c r="V59" s="964"/>
      <c r="W59" s="1454">
        <f>IF(LEFT(H59,3)-LEFT(H59,1)=0.5,'1-Eng Inputs'!$C$39,0)+LEFT(H59,1)*'1-Eng Inputs'!$C$38</f>
        <v>32</v>
      </c>
      <c r="X59" s="964"/>
      <c r="Y59" s="1454">
        <f>IF(LEFT(J59,3)-LEFT(J59,1)=0.5,'1-Eng Inputs'!$C$39,0)+LEFT(J59,1)*'1-Eng Inputs'!$C$38</f>
        <v>32</v>
      </c>
      <c r="Z59" s="964"/>
      <c r="AA59" s="1453">
        <f>IF(LEFT(L59,3)-LEFT(L59,1)=0.5,'1-Eng Inputs'!$C$39,0)+LEFT(L59,1)*'1-Eng Inputs'!$C$38</f>
        <v>288</v>
      </c>
      <c r="AB59" s="964"/>
      <c r="AC59" s="1453">
        <f>IF(LEFT(N59,3)-LEFT(N59,1)=0.5,'1-Eng Inputs'!$C$39,0)+LEFT(N59,1)*'1-Eng Inputs'!$C$38</f>
        <v>288</v>
      </c>
      <c r="AD59" s="964"/>
      <c r="AG59" s="960"/>
      <c r="AI59" s="1449">
        <f>(AI58*AV59+AI61*AV60)/'1-Eng Inputs'!$C$38</f>
        <v>13.79800114896268</v>
      </c>
      <c r="AJ59" s="954"/>
      <c r="AK59" s="1449">
        <f>(AK58*AX59+AK61*AX60)/'1-Eng Inputs'!$C$38</f>
        <v>12.212376034066413</v>
      </c>
      <c r="AL59" s="954"/>
      <c r="AM59" s="1449">
        <f>(AM58*AZ59+AM61*AZ60)/'1-Eng Inputs'!$C$38</f>
        <v>9.0411258042738787</v>
      </c>
      <c r="AN59" s="954"/>
      <c r="AO59" s="1451">
        <f>(AO58*BB59+AO61*BB60)/'1-Eng Inputs'!$C$38</f>
        <v>8.2483132468257452</v>
      </c>
      <c r="AP59" s="954"/>
      <c r="AQ59" s="1451">
        <f>(AQ58*BD59+AQ61*BD60)/'1-Eng Inputs'!$C$38</f>
        <v>8.2483132468257452</v>
      </c>
      <c r="AR59" s="954"/>
      <c r="AU59" s="944"/>
      <c r="AV59" s="952">
        <v>0.5</v>
      </c>
      <c r="AX59" s="952">
        <v>0.5</v>
      </c>
      <c r="AZ59" s="952">
        <v>0.5</v>
      </c>
      <c r="BB59" s="952">
        <v>0.5</v>
      </c>
      <c r="BD59" s="952">
        <v>0.5</v>
      </c>
      <c r="BH59" s="960"/>
      <c r="BJ59" s="1449">
        <f>AI59</f>
        <v>13.79800114896268</v>
      </c>
      <c r="BK59" s="954"/>
      <c r="BL59" s="1449">
        <f>AK59</f>
        <v>12.212376034066413</v>
      </c>
      <c r="BM59" s="954"/>
      <c r="BN59" s="1449">
        <f>AM59</f>
        <v>9.0411258042738787</v>
      </c>
      <c r="BO59" s="954"/>
      <c r="BP59" s="1451">
        <f>AO59</f>
        <v>8.2483132468257452</v>
      </c>
      <c r="BQ59" s="954"/>
      <c r="BR59" s="1451">
        <f>AQ59</f>
        <v>8.2483132468257452</v>
      </c>
      <c r="BS59" s="954"/>
      <c r="BT59" s="1433"/>
      <c r="BU59" s="1433"/>
      <c r="BV59" s="1433"/>
      <c r="BW59" s="930"/>
    </row>
    <row r="60" spans="1:159" ht="12.75" hidden="1" customHeight="1">
      <c r="D60" s="953"/>
      <c r="E60" s="936"/>
      <c r="F60" s="1432"/>
      <c r="G60" s="930"/>
      <c r="H60" s="1432"/>
      <c r="I60" s="930"/>
      <c r="J60" s="1432"/>
      <c r="K60" s="930"/>
      <c r="L60" s="1432"/>
      <c r="M60" s="930"/>
      <c r="N60" s="1432"/>
      <c r="O60" s="930"/>
      <c r="P60" s="930"/>
      <c r="Q60" s="969"/>
      <c r="S60" s="953"/>
      <c r="U60" s="1450"/>
      <c r="V60" s="1434"/>
      <c r="W60" s="1454"/>
      <c r="X60" s="1434"/>
      <c r="Y60" s="1454"/>
      <c r="Z60" s="1434"/>
      <c r="AA60" s="1453"/>
      <c r="AB60" s="1434"/>
      <c r="AC60" s="1453"/>
      <c r="AD60" s="1434"/>
      <c r="AG60" s="953"/>
      <c r="AI60" s="1450"/>
      <c r="AJ60" s="1434"/>
      <c r="AK60" s="1450"/>
      <c r="AL60" s="1434"/>
      <c r="AM60" s="1450"/>
      <c r="AN60" s="1434"/>
      <c r="AO60" s="1452"/>
      <c r="AP60" s="1434"/>
      <c r="AQ60" s="1452"/>
      <c r="AR60" s="1434"/>
      <c r="AU60" s="944"/>
      <c r="AV60" s="951">
        <v>0.5</v>
      </c>
      <c r="AX60" s="951">
        <v>0.5</v>
      </c>
      <c r="AZ60" s="951">
        <v>0.5</v>
      </c>
      <c r="BB60" s="951">
        <v>0.5</v>
      </c>
      <c r="BD60" s="951">
        <v>0.5</v>
      </c>
      <c r="BH60" s="953"/>
      <c r="BJ60" s="1450"/>
      <c r="BK60" s="1434"/>
      <c r="BL60" s="1450"/>
      <c r="BM60" s="1434"/>
      <c r="BN60" s="1450"/>
      <c r="BO60" s="1434"/>
      <c r="BP60" s="1452"/>
      <c r="BQ60" s="1434"/>
      <c r="BR60" s="1452"/>
      <c r="BS60" s="1434"/>
      <c r="BT60" s="1433"/>
      <c r="BU60" s="1433"/>
      <c r="BW60" s="930"/>
    </row>
    <row r="61" spans="1:159" ht="18">
      <c r="C61" s="953"/>
      <c r="D61" s="936">
        <v>2</v>
      </c>
      <c r="E61" s="947"/>
      <c r="F61" s="950" t="s">
        <v>19438</v>
      </c>
      <c r="G61" s="930"/>
      <c r="H61" s="950" t="s">
        <v>19438</v>
      </c>
      <c r="I61" s="930"/>
      <c r="J61" s="950" t="s">
        <v>19438</v>
      </c>
      <c r="K61" s="930"/>
      <c r="L61" s="950" t="s">
        <v>19416</v>
      </c>
      <c r="M61" s="930"/>
      <c r="N61" s="950" t="s">
        <v>19416</v>
      </c>
      <c r="O61" s="930"/>
      <c r="P61" s="930"/>
      <c r="Q61" s="969"/>
      <c r="R61" s="953"/>
      <c r="S61" s="930"/>
      <c r="U61" s="946">
        <f>U59*(AI61*AV60/(AI59*'1-Eng Inputs'!$C$38))+U62*(AI61*AV62/(AI62*'1-Eng Inputs'!$C$38))</f>
        <v>36</v>
      </c>
      <c r="V61" s="930"/>
      <c r="W61" s="946">
        <f>W59*(AK61*AX60/(AK59*'1-Eng Inputs'!$C$38))+W62*(AK61*AX62/(AK62*'1-Eng Inputs'!$C$38))</f>
        <v>36</v>
      </c>
      <c r="X61" s="930"/>
      <c r="Y61" s="946">
        <f>Y59*(AM61*AZ60/(AM59*'1-Eng Inputs'!$C$38))+Y62*(AM61*AZ62/(AM62*'1-Eng Inputs'!$C$38))</f>
        <v>176</v>
      </c>
      <c r="Z61" s="930"/>
      <c r="AA61" s="946">
        <f>AA59*(AO61*BB60/(AO59*'1-Eng Inputs'!$C$38))+AA62*(AO61*BB62/(AO62*'1-Eng Inputs'!$C$38))</f>
        <v>284</v>
      </c>
      <c r="AB61" s="930"/>
      <c r="AC61" s="946">
        <f>AC59*(AQ61*BD60/(AQ59*'1-Eng Inputs'!$C$38))+AC62*(AQ61*BD62/(AQ62*'1-Eng Inputs'!$C$38))</f>
        <v>284</v>
      </c>
      <c r="AD61" s="930"/>
      <c r="AF61" s="953"/>
      <c r="AG61" s="930">
        <v>2</v>
      </c>
      <c r="AH61" s="947"/>
      <c r="AI61" s="946">
        <f>AI58</f>
        <v>441.53603676680575</v>
      </c>
      <c r="AJ61" s="947"/>
      <c r="AK61" s="946">
        <f>AK58</f>
        <v>390.79603309012521</v>
      </c>
      <c r="AL61" s="947"/>
      <c r="AM61" s="946">
        <f>AM58</f>
        <v>289.31602573676412</v>
      </c>
      <c r="AN61" s="947"/>
      <c r="AO61" s="946">
        <f>$AO$58</f>
        <v>263.94602389842385</v>
      </c>
      <c r="AP61" s="947"/>
      <c r="AQ61" s="946">
        <f>$AO$58</f>
        <v>263.94602389842385</v>
      </c>
      <c r="AR61" s="930"/>
      <c r="AT61" s="944"/>
      <c r="AU61" s="932"/>
      <c r="AV61" s="948"/>
      <c r="AX61" s="948"/>
      <c r="AZ61" s="948"/>
      <c r="BB61" s="948"/>
      <c r="BD61" s="948"/>
      <c r="BG61" s="953"/>
      <c r="BH61" s="930">
        <v>2</v>
      </c>
      <c r="BI61" s="947"/>
      <c r="BJ61" s="946">
        <f>AI61</f>
        <v>441.53603676680575</v>
      </c>
      <c r="BK61" s="930"/>
      <c r="BL61" s="946">
        <f>AK61</f>
        <v>390.79603309012521</v>
      </c>
      <c r="BM61" s="930"/>
      <c r="BN61" s="946">
        <f>AM61</f>
        <v>289.31602573676412</v>
      </c>
      <c r="BO61" s="930"/>
      <c r="BP61" s="946">
        <f>AO61</f>
        <v>263.94602389842385</v>
      </c>
      <c r="BQ61" s="930"/>
      <c r="BR61" s="946">
        <f>AQ61</f>
        <v>263.94602389842385</v>
      </c>
      <c r="BS61" s="930"/>
      <c r="BU61" s="1433"/>
      <c r="BV61" s="930"/>
      <c r="BW61" s="929"/>
      <c r="BX61" s="928"/>
      <c r="CH61" s="929"/>
      <c r="FC61" s="928"/>
    </row>
    <row r="62" spans="1:159" ht="12.75" hidden="1" customHeight="1">
      <c r="E62" s="936"/>
      <c r="O62" s="930"/>
      <c r="P62" s="930"/>
      <c r="Q62" s="969"/>
      <c r="U62" s="1449">
        <f>U63/factors!$D$4</f>
        <v>20</v>
      </c>
      <c r="W62" s="1454">
        <f>W63/factors!$D$4</f>
        <v>20</v>
      </c>
      <c r="Y62" s="1454">
        <f>Y63/factors!$D$4</f>
        <v>160</v>
      </c>
      <c r="AA62" s="1453">
        <f>AA63/factors!$D$4</f>
        <v>140</v>
      </c>
      <c r="AC62" s="1453">
        <f>AC63/factors!$D$4</f>
        <v>140</v>
      </c>
      <c r="AI62" s="978">
        <f>(AI61*AV62)/'1-Eng Inputs'!$C$38</f>
        <v>6.8990005744813399</v>
      </c>
      <c r="AK62" s="978">
        <f>(AK61*AX62)/'1-Eng Inputs'!$C$38</f>
        <v>6.1061880170332063</v>
      </c>
      <c r="AM62" s="978">
        <f>(AM61*AZ62)/'1-Eng Inputs'!$C$38</f>
        <v>4.5205629021369393</v>
      </c>
      <c r="AO62" s="978">
        <f>(AO61*BB62)/'1-Eng Inputs'!$C$38</f>
        <v>4.1241566234128726</v>
      </c>
      <c r="AQ62" s="978">
        <f>(AQ61*BD62)/'1-Eng Inputs'!$C$38</f>
        <v>4.1241566234128726</v>
      </c>
      <c r="AU62" s="944"/>
      <c r="AV62" s="1439">
        <v>0.5</v>
      </c>
      <c r="AX62" s="1439">
        <v>0.5</v>
      </c>
      <c r="AZ62" s="1439">
        <v>0.5</v>
      </c>
      <c r="BB62" s="1439">
        <v>0.5</v>
      </c>
      <c r="BD62" s="1439">
        <v>0.5</v>
      </c>
      <c r="BJ62" s="978">
        <f>BJ63/factors!$B$4</f>
        <v>6.8990005744813399</v>
      </c>
      <c r="BL62" s="978">
        <f>BL63/factors!$B$4</f>
        <v>6.1061880170332072</v>
      </c>
      <c r="BN62" s="978">
        <f>BN63/factors!$B$4</f>
        <v>4.5205629021369393</v>
      </c>
      <c r="BP62" s="978">
        <f>BP63/factors!$B$4</f>
        <v>4.1241566234128726</v>
      </c>
      <c r="BR62" s="978">
        <f>BR63/factors!$B$4</f>
        <v>4.1241566234128726</v>
      </c>
      <c r="BT62" s="1433"/>
      <c r="BU62" s="1433"/>
      <c r="BW62" s="930"/>
    </row>
    <row r="63" spans="1:159">
      <c r="E63" s="936"/>
      <c r="F63" s="1515">
        <f>IF($N$4="NO",ROUNDUP(BJ63-0.00499,0),LEFT(BJ63,1)+(IF(BJ63-LEFT(BJ63,1)&lt;0.00499,0,IF(BJ63-LEFT(BJ63,1)-0.00499&lt;('1-Eng Inputs'!$C$39/'1-Eng Inputs'!$C$38),0.5,1))))</f>
        <v>12</v>
      </c>
      <c r="G63" s="930"/>
      <c r="H63" s="1515">
        <f>IF($N$4="NO",ROUNDUP(BL63-0.00499,0),LEFT(BL63,1)+(IF(BL63-LEFT(BL63,1)&lt;0.00499,0,IF(BL63-LEFT(BL63,1)-0.00499&lt;('1-Eng Inputs'!$C$39/'1-Eng Inputs'!$C$38),0.5,1))))</f>
        <v>10</v>
      </c>
      <c r="I63" s="930"/>
      <c r="J63" s="1515">
        <f>IF($N$4="NO",ROUNDUP(BN63-0.00499,0),LEFT(BN63,1)+(IF(BN63-LEFT(BN63,1)&lt;0.00499,0,IF(BN63-LEFT(BN63,1)-0.00499&lt;('1-Eng Inputs'!$C$39/'1-Eng Inputs'!$C$38),0.5,1))))</f>
        <v>8</v>
      </c>
      <c r="K63" s="930"/>
      <c r="L63" s="1515">
        <f>IF($N$4="NO",ROUNDUP(BP63-0.00499,0),LEFT(BP63,1)+(IF(BP63-LEFT(BP63,1)&lt;0.00499,0,IF(BP63-LEFT(BP63,1)-0.00499&lt;('1-Eng Inputs'!$C$39/'1-Eng Inputs'!$C$38),0.5,1))))</f>
        <v>7</v>
      </c>
      <c r="M63" s="930"/>
      <c r="N63" s="1515">
        <f>IF($N$4="NO",ROUNDUP(BR63-0.00499,0),LEFT(BR63,1)+(IF(BR63-LEFT(BR63,1)&lt;0.00499,0,IF(BR63-LEFT(BR63,1)-0.00499&lt;('1-Eng Inputs'!$C$39/'1-Eng Inputs'!$C$38),0.5,1))))</f>
        <v>7</v>
      </c>
      <c r="O63" s="930"/>
      <c r="P63" s="930"/>
      <c r="Q63" s="969"/>
      <c r="U63" s="1450">
        <f>IF(LEFT(F63,3)-LEFT(F63,1)=0.5,'1-Eng Inputs'!$C$39,0)+LEFT(F63,1)*'1-Eng Inputs'!$C$38</f>
        <v>32</v>
      </c>
      <c r="V63" s="1434"/>
      <c r="W63" s="1454">
        <f>IF(LEFT(H63,3)-LEFT(H63,1)=0.5,'1-Eng Inputs'!$C$39,0)+LEFT(H63,1)*'1-Eng Inputs'!$C$38</f>
        <v>32</v>
      </c>
      <c r="X63" s="1434"/>
      <c r="Y63" s="1454">
        <f>IF(LEFT(J63,3)-LEFT(J63,1)=0.5,'1-Eng Inputs'!$C$39,0)+LEFT(J63,1)*'1-Eng Inputs'!$C$38</f>
        <v>256</v>
      </c>
      <c r="Z63" s="1434"/>
      <c r="AA63" s="1453">
        <f>IF(LEFT(L63,3)-LEFT(L63,1)=0.5,'1-Eng Inputs'!$C$39,0)+LEFT(L63,1)*'1-Eng Inputs'!$C$38</f>
        <v>224</v>
      </c>
      <c r="AB63" s="1434"/>
      <c r="AC63" s="1453">
        <f>IF(LEFT(N63,3)-LEFT(N63,1)=0.5,'1-Eng Inputs'!$C$39,0)+LEFT(N63,1)*'1-Eng Inputs'!$C$38</f>
        <v>224</v>
      </c>
      <c r="AD63" s="1434"/>
      <c r="AI63" s="977">
        <f>AI62*factors!$D$4</f>
        <v>11.038400919170144</v>
      </c>
      <c r="AJ63" s="964"/>
      <c r="AK63" s="977">
        <f>AK62*factors!$D$4</f>
        <v>9.7699008272531316</v>
      </c>
      <c r="AL63" s="964"/>
      <c r="AM63" s="977">
        <f>AM62*factors!$D$4</f>
        <v>7.2329006434191037</v>
      </c>
      <c r="AN63" s="964"/>
      <c r="AO63" s="1452">
        <f>AO62*factors!$D$4</f>
        <v>6.5986505974605967</v>
      </c>
      <c r="AP63" s="964"/>
      <c r="AQ63" s="1452">
        <f>AQ62*factors!$D$4</f>
        <v>6.5986505974605967</v>
      </c>
      <c r="AR63" s="964"/>
      <c r="AU63" s="944"/>
      <c r="AV63" s="1440"/>
      <c r="AX63" s="1440"/>
      <c r="AZ63" s="1440"/>
      <c r="BB63" s="1440"/>
      <c r="BD63" s="1440"/>
      <c r="BJ63" s="977">
        <f>AI63</f>
        <v>11.038400919170144</v>
      </c>
      <c r="BK63" s="964"/>
      <c r="BL63" s="977">
        <f>AK63</f>
        <v>9.7699008272531316</v>
      </c>
      <c r="BM63" s="964"/>
      <c r="BN63" s="977">
        <f>AM63</f>
        <v>7.2329006434191037</v>
      </c>
      <c r="BO63" s="964"/>
      <c r="BP63" s="1452">
        <f>AO63</f>
        <v>6.5986505974605967</v>
      </c>
      <c r="BQ63" s="964"/>
      <c r="BR63" s="1452">
        <f>AQ63</f>
        <v>6.5986505974605967</v>
      </c>
      <c r="BS63" s="964"/>
      <c r="BT63" s="1433"/>
      <c r="BU63" s="1433"/>
      <c r="BW63" s="930"/>
    </row>
    <row r="64" spans="1:159">
      <c r="E64" s="936"/>
      <c r="F64" s="1438"/>
      <c r="G64" s="930"/>
      <c r="H64" s="1438"/>
      <c r="I64" s="930"/>
      <c r="J64" s="1438"/>
      <c r="K64" s="930"/>
      <c r="L64" s="1438"/>
      <c r="M64" s="930"/>
      <c r="N64" s="1438"/>
      <c r="O64" s="930"/>
      <c r="P64" s="930"/>
      <c r="Q64" s="969"/>
      <c r="U64" s="1433"/>
      <c r="V64" s="964"/>
      <c r="W64" s="1433"/>
      <c r="X64" s="964"/>
      <c r="Y64" s="1433"/>
      <c r="Z64" s="964"/>
      <c r="AA64" s="1433"/>
      <c r="AB64" s="964"/>
      <c r="AC64" s="1433"/>
      <c r="AD64" s="964"/>
      <c r="AF64" s="1464" t="s">
        <v>20061</v>
      </c>
      <c r="AI64" s="1180" t="s">
        <v>20059</v>
      </c>
      <c r="AJ64" s="957"/>
      <c r="AK64" s="1180" t="s">
        <v>20134</v>
      </c>
      <c r="AL64" s="957"/>
      <c r="AM64" s="1180" t="s">
        <v>20130</v>
      </c>
      <c r="AN64" s="957"/>
      <c r="AO64" s="1181" t="s">
        <v>20130</v>
      </c>
      <c r="AP64" s="957"/>
      <c r="AQ64" s="1181" t="s">
        <v>20130</v>
      </c>
      <c r="AR64" s="964"/>
      <c r="AU64" s="944"/>
      <c r="AV64" s="944"/>
      <c r="AX64" s="944"/>
      <c r="AZ64" s="944"/>
      <c r="BB64" s="944"/>
      <c r="BD64" s="944"/>
      <c r="BJ64" s="1433"/>
      <c r="BK64" s="964"/>
      <c r="BL64" s="1433"/>
      <c r="BM64" s="964"/>
      <c r="BN64" s="1433"/>
      <c r="BO64" s="964"/>
      <c r="BP64" s="1433"/>
      <c r="BQ64" s="964"/>
      <c r="BR64" s="1433"/>
      <c r="BS64" s="964"/>
      <c r="BT64" s="1433"/>
      <c r="BU64" s="1433"/>
      <c r="BW64" s="930"/>
    </row>
    <row r="65" spans="1:159">
      <c r="A65" s="959" t="s">
        <v>19434</v>
      </c>
      <c r="E65" s="936"/>
      <c r="S65" s="959"/>
      <c r="AG65" s="959" t="s">
        <v>19449</v>
      </c>
      <c r="BH65" s="959" t="s">
        <v>19443</v>
      </c>
      <c r="BW65" s="930"/>
    </row>
    <row r="66" spans="1:159">
      <c r="C66" s="954"/>
      <c r="D66" s="936"/>
      <c r="E66" s="928"/>
      <c r="F66" s="928" t="s">
        <v>233</v>
      </c>
      <c r="O66" s="960" t="s">
        <v>215</v>
      </c>
      <c r="R66" s="954"/>
      <c r="S66" s="930"/>
      <c r="T66" s="928"/>
      <c r="AB66" s="960"/>
      <c r="AF66" s="954"/>
      <c r="AG66" s="930"/>
      <c r="AH66" s="928"/>
      <c r="AP66" s="960" t="s">
        <v>215</v>
      </c>
      <c r="AT66" s="965" t="s">
        <v>19376</v>
      </c>
      <c r="AU66" s="932"/>
      <c r="BE66" s="933"/>
      <c r="BF66" s="963"/>
      <c r="BG66" s="1433"/>
      <c r="BH66" s="930"/>
      <c r="BI66" s="928"/>
      <c r="BJ66" s="928" t="s">
        <v>233</v>
      </c>
      <c r="BQ66" s="960"/>
      <c r="BW66" s="929"/>
      <c r="BX66" s="928"/>
      <c r="CH66" s="929"/>
      <c r="FC66" s="928"/>
    </row>
    <row r="67" spans="1:159">
      <c r="C67" s="954"/>
      <c r="D67" s="936"/>
      <c r="E67" s="928"/>
      <c r="F67" s="936">
        <v>1</v>
      </c>
      <c r="G67" s="936"/>
      <c r="H67" s="936">
        <v>2</v>
      </c>
      <c r="I67" s="936"/>
      <c r="J67" s="936">
        <v>3</v>
      </c>
      <c r="K67" s="936"/>
      <c r="L67" s="936">
        <v>4</v>
      </c>
      <c r="M67" s="935"/>
      <c r="N67" s="936">
        <v>5</v>
      </c>
      <c r="O67" s="1174"/>
      <c r="R67" s="954"/>
      <c r="S67" s="930"/>
      <c r="T67" s="928"/>
      <c r="U67" s="936"/>
      <c r="V67" s="936"/>
      <c r="W67" s="936"/>
      <c r="X67" s="936"/>
      <c r="Y67" s="936"/>
      <c r="Z67" s="936"/>
      <c r="AA67" s="936"/>
      <c r="AC67" s="930"/>
      <c r="AD67" s="1160"/>
      <c r="AF67" s="954"/>
      <c r="AG67" s="930"/>
      <c r="AH67" s="928"/>
      <c r="AI67" s="936">
        <v>1</v>
      </c>
      <c r="AJ67" s="936"/>
      <c r="AK67" s="936">
        <v>2</v>
      </c>
      <c r="AL67" s="936"/>
      <c r="AM67" s="936">
        <v>3</v>
      </c>
      <c r="AN67" s="936"/>
      <c r="AO67" s="936">
        <v>4</v>
      </c>
      <c r="AQ67" s="936">
        <v>5</v>
      </c>
      <c r="AT67" s="933"/>
      <c r="AU67" s="932"/>
      <c r="BE67" s="933"/>
      <c r="BF67" s="963"/>
      <c r="BG67" s="1433"/>
      <c r="BH67" s="930"/>
      <c r="BI67" s="928"/>
      <c r="BJ67" s="936">
        <v>1</v>
      </c>
      <c r="BK67" s="936"/>
      <c r="BL67" s="936">
        <v>2</v>
      </c>
      <c r="BM67" s="936"/>
      <c r="BN67" s="936">
        <v>3</v>
      </c>
      <c r="BO67" s="936"/>
      <c r="BP67" s="936">
        <v>4</v>
      </c>
      <c r="BR67" s="930"/>
      <c r="BW67" s="929"/>
      <c r="BX67" s="928"/>
      <c r="CH67" s="929"/>
      <c r="FC67" s="928"/>
    </row>
    <row r="68" spans="1:159">
      <c r="E68" s="936"/>
      <c r="F68" s="1431">
        <f>IF($N$4="NO",ROUNDUP(BJ68-0.00499,0),LEFT(BJ68,1)+(IF(BJ68-LEFT(BJ68,1)&lt;0.00499,0,IF(BJ68-LEFT(BJ68,1)-0.00499&lt;('1-Eng Inputs'!$C$39/'1-Eng Inputs'!$C$38),0.5,1))))</f>
        <v>19</v>
      </c>
      <c r="G68" s="930"/>
      <c r="H68" s="1431">
        <f>IF($N$4="NO",ROUNDUP(BL68-0.00499,0),LEFT(BL68,1)+(IF(BL68-LEFT(BL68,1)&lt;0.00499,0,IF(BL68-LEFT(BL68,1)-0.00499&lt;('1-Eng Inputs'!$C$39/'1-Eng Inputs'!$C$38),0.5,1))))</f>
        <v>13</v>
      </c>
      <c r="I68" s="930"/>
      <c r="J68" s="1431">
        <f>IF($N$4="NO",ROUNDUP(BN68-0.00499,0),LEFT(BN68,1)+(IF(BN68-LEFT(BN68,1)&lt;0.00499,0,IF(BN68-LEFT(BN68,1)-0.00499&lt;('1-Eng Inputs'!$C$39/'1-Eng Inputs'!$C$38),0.5,1))))</f>
        <v>12</v>
      </c>
      <c r="K68" s="930"/>
      <c r="L68" s="1431">
        <f>IF($N$4="NO",ROUNDUP(BP68-0.00499,0),LEFT(BP68,1)+(IF(BP68-LEFT(BP68,1)&lt;0.00499,0,IF(BP68-LEFT(BP68,1)-0.00499&lt;('1-Eng Inputs'!$C$39/'1-Eng Inputs'!$C$38),0.5,1))))</f>
        <v>12</v>
      </c>
      <c r="M68" s="973"/>
      <c r="N68" s="1431">
        <f>IF($N$4="NO",ROUNDUP(BR68-0.00499,0),LEFT(BR68,1)+(IF(BR68-LEFT(BR68,1)&lt;0.00499,0,IF(BR68-LEFT(BR68,1)-0.00499&lt;('1-Eng Inputs'!$C$39/'1-Eng Inputs'!$C$38),0.5,1))))</f>
        <v>12</v>
      </c>
      <c r="U68" s="1449">
        <f>IF(LEFT(F68,3)-LEFT(F68,1)=0.5,'1-Eng Inputs'!$C$39,0)+LEFT(F68,1)*'1-Eng Inputs'!$C$38</f>
        <v>32</v>
      </c>
      <c r="W68" s="1454">
        <f>IF(LEFT(H68,3)-LEFT(H68,1)=0.5,'1-Eng Inputs'!$C$39,0)+LEFT(H68,1)*'1-Eng Inputs'!$C$38</f>
        <v>32</v>
      </c>
      <c r="Y68" s="1454">
        <f>IF(LEFT(J68,3)-LEFT(J68,1)=0.5,'1-Eng Inputs'!$C$39,0)+LEFT(J68,1)*'1-Eng Inputs'!$C$38</f>
        <v>32</v>
      </c>
      <c r="AA68" s="1453">
        <f>IF(LEFT(L68,3)-LEFT(L68,1)=0.5,'1-Eng Inputs'!$C$39,0)+LEFT(L68,1)*'1-Eng Inputs'!$C$38</f>
        <v>32</v>
      </c>
      <c r="AB68" s="976"/>
      <c r="AC68" s="1453">
        <f>IF(LEFT(N68,3)-LEFT(N68,1)=0.5,'1-Eng Inputs'!$C$39,0)+LEFT(N68,1)*'1-Eng Inputs'!$C$38</f>
        <v>32</v>
      </c>
      <c r="AI68" s="1444">
        <f>AI69*factors!$D$3</f>
        <v>18.126451447692979</v>
      </c>
      <c r="AK68" s="1444">
        <f>AK69*factors!$D$3</f>
        <v>12.418201034066412</v>
      </c>
      <c r="AM68" s="1444">
        <f>AM69*factors!$D$3</f>
        <v>11.704669732363095</v>
      </c>
      <c r="AO68" s="1444">
        <f>AO69*factors!$D$3</f>
        <v>11.704669732363095</v>
      </c>
      <c r="AP68" s="970"/>
      <c r="AQ68" s="1444">
        <f>AQ69*factors!$D$3</f>
        <v>11.704669732363095</v>
      </c>
      <c r="AV68" s="1439">
        <v>0.5</v>
      </c>
      <c r="AX68" s="1429">
        <v>0.5</v>
      </c>
      <c r="AZ68" s="1429">
        <v>0.5</v>
      </c>
      <c r="BB68" s="1429">
        <v>0.5</v>
      </c>
      <c r="BD68" s="1429">
        <v>0.5</v>
      </c>
      <c r="BJ68" s="1444">
        <f>AI68</f>
        <v>18.126451447692979</v>
      </c>
      <c r="BL68" s="1444">
        <f>AK68</f>
        <v>12.418201034066412</v>
      </c>
      <c r="BN68" s="1444">
        <f>AM68</f>
        <v>11.704669732363095</v>
      </c>
      <c r="BP68" s="1444">
        <f>AO68</f>
        <v>11.704669732363095</v>
      </c>
      <c r="BR68" s="1444">
        <f>AQ68</f>
        <v>11.704669732363095</v>
      </c>
    </row>
    <row r="69" spans="1:159" ht="15" hidden="1" customHeight="1">
      <c r="E69" s="936"/>
      <c r="F69" s="1432"/>
      <c r="G69" s="930"/>
      <c r="H69" s="1432"/>
      <c r="I69" s="930"/>
      <c r="J69" s="1432"/>
      <c r="K69" s="930"/>
      <c r="L69" s="1432"/>
      <c r="M69" s="973"/>
      <c r="N69" s="1432"/>
      <c r="U69" s="1450">
        <f>U68/factors!$D$3</f>
        <v>17.777777777777779</v>
      </c>
      <c r="V69" s="1434"/>
      <c r="W69" s="1454">
        <f>W68/factors!$D$3</f>
        <v>17.777777777777779</v>
      </c>
      <c r="X69" s="1434"/>
      <c r="Y69" s="1454">
        <f>Y68/factors!$D$3</f>
        <v>17.777777777777779</v>
      </c>
      <c r="Z69" s="1434"/>
      <c r="AA69" s="1453">
        <f>AA68/factors!$D$3</f>
        <v>17.777777777777779</v>
      </c>
      <c r="AB69" s="972"/>
      <c r="AC69" s="1453">
        <f>AC68/factors!$D$3</f>
        <v>17.777777777777779</v>
      </c>
      <c r="AD69" s="1434"/>
      <c r="AI69" s="1445">
        <f>(AI70*AV68)/'1-Eng Inputs'!$C$38</f>
        <v>10.070250804273877</v>
      </c>
      <c r="AK69" s="1445">
        <f>(AK70*AX68)/'1-Eng Inputs'!$C$38</f>
        <v>6.8990005744813399</v>
      </c>
      <c r="AM69" s="1445">
        <f>(AM70*AZ68)/'1-Eng Inputs'!$C$38</f>
        <v>6.5025942957572749</v>
      </c>
      <c r="AO69" s="1445">
        <f>(AO70*BB68)/'1-Eng Inputs'!$C$38</f>
        <v>6.5025942957572749</v>
      </c>
      <c r="AP69" s="970"/>
      <c r="AQ69" s="1445">
        <f>(AQ70*BD68)/'1-Eng Inputs'!$C$38</f>
        <v>6.5025942957572749</v>
      </c>
      <c r="AV69" s="1440"/>
      <c r="AX69" s="1429"/>
      <c r="AZ69" s="1429"/>
      <c r="BB69" s="1429"/>
      <c r="BD69" s="1429"/>
      <c r="BJ69" s="1445">
        <f>BJ68/factors!$D$3</f>
        <v>10.070250804273877</v>
      </c>
      <c r="BK69" s="1434"/>
      <c r="BL69" s="1445">
        <f>BL68/factors!$D$3</f>
        <v>6.8990005744813399</v>
      </c>
      <c r="BM69" s="1434"/>
      <c r="BN69" s="1445">
        <f>BN68/factors!$D$3</f>
        <v>6.5025942957572749</v>
      </c>
      <c r="BO69" s="1434"/>
      <c r="BP69" s="1445">
        <f>BP68/factors!$D$3</f>
        <v>6.5025942957572749</v>
      </c>
      <c r="BQ69" s="1434"/>
      <c r="BR69" s="1445">
        <f>BR68/factors!$D$3</f>
        <v>6.5025942957572749</v>
      </c>
      <c r="BV69" s="961"/>
    </row>
    <row r="70" spans="1:159" ht="24.75" customHeight="1">
      <c r="C70" s="953"/>
      <c r="D70" s="936">
        <v>1</v>
      </c>
      <c r="E70" s="947"/>
      <c r="F70" s="950" t="s">
        <v>19429</v>
      </c>
      <c r="G70" s="930"/>
      <c r="H70" s="950" t="s">
        <v>19429</v>
      </c>
      <c r="I70" s="930"/>
      <c r="J70" s="950" t="s">
        <v>19429</v>
      </c>
      <c r="K70" s="930"/>
      <c r="L70" s="950" t="s">
        <v>19429</v>
      </c>
      <c r="M70" s="973"/>
      <c r="N70" s="950" t="s">
        <v>19429</v>
      </c>
      <c r="R70" s="953"/>
      <c r="S70" s="930"/>
      <c r="U70" s="946">
        <f>U69*(AI70*AV68/(AI69*'1-Eng Inputs'!$C$38))+U71*(AI70*AV71/(AI71*'1-Eng Inputs'!$C$38))</f>
        <v>37.777777777777779</v>
      </c>
      <c r="V70" s="930"/>
      <c r="W70" s="946">
        <f>W69*(AK70*AX68/(AK69*'1-Eng Inputs'!$C$38))+W71*(AK70*AX71/(AK71*'1-Eng Inputs'!$C$38))</f>
        <v>37.777777777777779</v>
      </c>
      <c r="X70" s="930"/>
      <c r="Y70" s="946">
        <f>Y69*(AM70*AZ68/(AM69*'1-Eng Inputs'!$C$38))+Y71*(AM70*AZ71/(AM71*'1-Eng Inputs'!$C$38))</f>
        <v>37.777777777777779</v>
      </c>
      <c r="Z70" s="930"/>
      <c r="AA70" s="946">
        <f>AA69*(AO70*BB68/(AO69*'1-Eng Inputs'!$C$38))+AA71*(AO70*BB71/(AO71*'1-Eng Inputs'!$C$38))</f>
        <v>37.777777777777779</v>
      </c>
      <c r="AB70" s="975"/>
      <c r="AC70" s="946">
        <f>AC69*(AQ70*BD68/(AQ69*'1-Eng Inputs'!$C$38))+AC71*(AQ70*BD71/(AQ71*'1-Eng Inputs'!$C$38))</f>
        <v>37.777777777777779</v>
      </c>
      <c r="AD70" s="930"/>
      <c r="AF70" s="953"/>
      <c r="AG70" s="930">
        <v>1</v>
      </c>
      <c r="AH70" s="947"/>
      <c r="AI70" s="949">
        <f>MAX('Land Calcs 5deg (lift)'!D7,'Land Calcs 5deg (lift)'!D27)</f>
        <v>644.49605147352815</v>
      </c>
      <c r="AJ70" s="947"/>
      <c r="AK70" s="949">
        <f>MAX('Land Calcs 5deg (lift)'!F7,'Land Calcs 5deg (lift)'!F27)</f>
        <v>441.53603676680575</v>
      </c>
      <c r="AL70" s="1159"/>
      <c r="AM70" s="949">
        <f>MAX('Land Calcs 5deg (lift)'!G7,'Land Calcs 5deg (lift)'!G27)</f>
        <v>416.16603492846559</v>
      </c>
      <c r="AN70" s="1159"/>
      <c r="AO70" s="949">
        <f>$AM$70</f>
        <v>416.16603492846559</v>
      </c>
      <c r="AP70" s="973"/>
      <c r="AQ70" s="946">
        <f>$AM$70</f>
        <v>416.16603492846559</v>
      </c>
      <c r="AT70" s="933"/>
      <c r="AU70" s="932"/>
      <c r="AV70" s="948"/>
      <c r="AX70" s="948"/>
      <c r="AZ70" s="948"/>
      <c r="BB70" s="948"/>
      <c r="BD70" s="948"/>
      <c r="BG70" s="960" t="s">
        <v>234</v>
      </c>
      <c r="BH70" s="930">
        <v>1</v>
      </c>
      <c r="BI70" s="947"/>
      <c r="BJ70" s="946">
        <f>AI70</f>
        <v>644.49605147352815</v>
      </c>
      <c r="BK70" s="930"/>
      <c r="BL70" s="946">
        <f>AK70</f>
        <v>441.53603676680575</v>
      </c>
      <c r="BM70" s="930"/>
      <c r="BN70" s="946">
        <f>AM70</f>
        <v>416.16603492846559</v>
      </c>
      <c r="BO70" s="930"/>
      <c r="BP70" s="946">
        <f>AO70</f>
        <v>416.16603492846559</v>
      </c>
      <c r="BQ70" s="930"/>
      <c r="BR70" s="946">
        <f>AQ70</f>
        <v>416.16603492846559</v>
      </c>
      <c r="BW70" s="929"/>
      <c r="BX70" s="928"/>
      <c r="CH70" s="929"/>
      <c r="FC70" s="928"/>
    </row>
    <row r="71" spans="1:159" ht="12.75" hidden="1" customHeight="1">
      <c r="E71" s="936"/>
      <c r="U71" s="1449">
        <f>U72/factors!$D$4</f>
        <v>20</v>
      </c>
      <c r="V71" s="964"/>
      <c r="W71" s="1454">
        <f>W72/factors!$D$4</f>
        <v>20</v>
      </c>
      <c r="X71" s="964"/>
      <c r="Y71" s="1454">
        <f>Y72/factors!$D$4</f>
        <v>20</v>
      </c>
      <c r="Z71" s="964"/>
      <c r="AA71" s="1453">
        <f>AA72/factors!$D$4</f>
        <v>20</v>
      </c>
      <c r="AB71" s="974"/>
      <c r="AC71" s="1453">
        <f>AC72/factors!$D$4</f>
        <v>20</v>
      </c>
      <c r="AD71" s="964"/>
      <c r="AI71" s="1427">
        <f>(AI70*AV71)/'1-Eng Inputs'!$C$38</f>
        <v>10.070250804273877</v>
      </c>
      <c r="AK71" s="1427">
        <f>(AK70*AX71)/'1-Eng Inputs'!$C$38</f>
        <v>6.8990005744813399</v>
      </c>
      <c r="AM71" s="1427">
        <f>(AM70*AZ71)/'1-Eng Inputs'!$C$38</f>
        <v>6.5025942957572749</v>
      </c>
      <c r="AO71" s="1427">
        <f>(AO70*BB71)/'1-Eng Inputs'!$C$38</f>
        <v>6.5025942957572749</v>
      </c>
      <c r="AP71" s="970"/>
      <c r="AQ71" s="1427">
        <f>(AQ70*BD71)/'1-Eng Inputs'!$C$38</f>
        <v>6.5025942957572749</v>
      </c>
      <c r="AV71" s="1439">
        <v>0.5</v>
      </c>
      <c r="AX71" s="1429">
        <v>0.5</v>
      </c>
      <c r="AZ71" s="1429">
        <v>0.5</v>
      </c>
      <c r="BB71" s="1429">
        <v>0.5</v>
      </c>
      <c r="BD71" s="1429">
        <v>0.5</v>
      </c>
      <c r="BJ71" s="1427">
        <f>BJ72/factors!$D$4</f>
        <v>10.070250804273876</v>
      </c>
      <c r="BL71" s="1427">
        <f>BL72/factors!$D$4</f>
        <v>6.8990005744813399</v>
      </c>
      <c r="BN71" s="1427">
        <f>BN72/factors!$D$4</f>
        <v>6.5025942957572758</v>
      </c>
      <c r="BP71" s="1427">
        <f>BP72/factors!$D$4</f>
        <v>6.5025942957572758</v>
      </c>
      <c r="BR71" s="1427">
        <f>BR72/factors!$D$4</f>
        <v>6.5025942957572758</v>
      </c>
    </row>
    <row r="72" spans="1:159">
      <c r="E72" s="936"/>
      <c r="F72" s="1515">
        <f>IF($N$4="NO",ROUNDUP(BJ72-0.00499,0),LEFT(BJ72,1)+(IF(BJ72-LEFT(BJ72,1)&lt;0.00499,0,IF(BJ72-LEFT(BJ72,1)-0.00499&lt;('1-Eng Inputs'!$C$39/'1-Eng Inputs'!$C$38),0.5,1))))</f>
        <v>17</v>
      </c>
      <c r="G72" s="930"/>
      <c r="H72" s="1515">
        <f>IF($N$4="NO",ROUNDUP(BL72-0.00499,0),LEFT(BL72,1)+(IF(BL72-LEFT(BL72,1)&lt;0.00499,0,IF(BL72-LEFT(BL72,1)-0.00499&lt;('1-Eng Inputs'!$C$39/'1-Eng Inputs'!$C$38),0.5,1))))</f>
        <v>12</v>
      </c>
      <c r="I72" s="930"/>
      <c r="J72" s="1515">
        <f>IF($N$4="NO",ROUNDUP(BN72-0.00499,0),LEFT(BN72,1)+(IF(BN72-LEFT(BN72,1)&lt;0.00499,0,IF(BN72-LEFT(BN72,1)-0.00499&lt;('1-Eng Inputs'!$C$39/'1-Eng Inputs'!$C$38),0.5,1))))</f>
        <v>11</v>
      </c>
      <c r="K72" s="930"/>
      <c r="L72" s="1515">
        <f>IF($N$4="NO",ROUNDUP(BP72-0.00499,0),LEFT(BP72,1)+(IF(BP72-LEFT(BP72,1)&lt;0.00499,0,IF(BP72-LEFT(BP72,1)-0.00499&lt;('1-Eng Inputs'!$C$39/'1-Eng Inputs'!$C$38),0.5,1))))</f>
        <v>11</v>
      </c>
      <c r="M72" s="973"/>
      <c r="N72" s="1515">
        <f>IF($N$4="NO",ROUNDUP(BR72-0.00499,0),LEFT(BR72,1)+(IF(BR72-LEFT(BR72,1)&lt;0.00499,0,IF(BR72-LEFT(BR72,1)-0.00499&lt;('1-Eng Inputs'!$C$39/'1-Eng Inputs'!$C$38),0.5,1))))</f>
        <v>11</v>
      </c>
      <c r="U72" s="1450">
        <f>IF(LEFT(F72,3)-LEFT(F72,1)=0.5,'1-Eng Inputs'!$C$39,0)+LEFT(F72,1)*'1-Eng Inputs'!$C$38</f>
        <v>32</v>
      </c>
      <c r="V72" s="1434"/>
      <c r="W72" s="1454">
        <f>IF(LEFT(H72,3)-LEFT(H72,1)=0.5,'1-Eng Inputs'!$C$39,0)+LEFT(H72,1)*'1-Eng Inputs'!$C$38</f>
        <v>32</v>
      </c>
      <c r="X72" s="1434"/>
      <c r="Y72" s="1454">
        <f>IF(LEFT(J72,3)-LEFT(J72,1)=0.5,'1-Eng Inputs'!$C$39,0)+LEFT(J72,1)*'1-Eng Inputs'!$C$38</f>
        <v>32</v>
      </c>
      <c r="Z72" s="1434"/>
      <c r="AA72" s="1453">
        <f>IF(LEFT(L72,3)-LEFT(L72,1)=0.5,'1-Eng Inputs'!$C$39,0)+LEFT(L72,1)*'1-Eng Inputs'!$C$38</f>
        <v>32</v>
      </c>
      <c r="AB72" s="972"/>
      <c r="AC72" s="1453">
        <f>IF(LEFT(N72,3)-LEFT(N72,1)=0.5,'1-Eng Inputs'!$C$39,0)+LEFT(N72,1)*'1-Eng Inputs'!$C$38</f>
        <v>32</v>
      </c>
      <c r="AD72" s="1434"/>
      <c r="AI72" s="971">
        <f>AI71*factors!$D$4</f>
        <v>16.112401286838203</v>
      </c>
      <c r="AK72" s="971">
        <f>AK71*factors!$D$4</f>
        <v>11.038400919170144</v>
      </c>
      <c r="AM72" s="971">
        <f>AM71*factors!$D$4</f>
        <v>10.404150873211641</v>
      </c>
      <c r="AO72" s="971">
        <f>AO71*factors!$D$4</f>
        <v>10.404150873211641</v>
      </c>
      <c r="AP72" s="970"/>
      <c r="AQ72" s="971">
        <f>AQ71*factors!$D$4</f>
        <v>10.404150873211641</v>
      </c>
      <c r="AV72" s="1440"/>
      <c r="AX72" s="1429"/>
      <c r="AZ72" s="1429"/>
      <c r="BB72" s="1429"/>
      <c r="BD72" s="1429"/>
      <c r="BJ72" s="1428">
        <f>AI72</f>
        <v>16.112401286838203</v>
      </c>
      <c r="BL72" s="1428">
        <f>AK72</f>
        <v>11.038400919170144</v>
      </c>
      <c r="BN72" s="1428">
        <f>AM72</f>
        <v>10.404150873211641</v>
      </c>
      <c r="BP72" s="1428">
        <f>AO72</f>
        <v>10.404150873211641</v>
      </c>
      <c r="BR72" s="1428">
        <f>AQ72</f>
        <v>10.404150873211641</v>
      </c>
    </row>
    <row r="73" spans="1:159">
      <c r="E73" s="936"/>
      <c r="F73" s="1438"/>
      <c r="G73" s="930"/>
      <c r="H73" s="1438"/>
      <c r="I73" s="930"/>
      <c r="J73" s="1438"/>
      <c r="K73" s="930"/>
      <c r="L73" s="1438"/>
      <c r="M73" s="930"/>
      <c r="N73" s="1438"/>
      <c r="U73" s="1433"/>
      <c r="W73" s="1433"/>
      <c r="Y73" s="1433"/>
      <c r="AA73" s="1433"/>
      <c r="AC73" s="1433"/>
      <c r="AF73" s="1464" t="s">
        <v>20061</v>
      </c>
      <c r="AG73" s="1464"/>
      <c r="AI73" s="1179" t="s">
        <v>20131</v>
      </c>
      <c r="AJ73" s="1464"/>
      <c r="AK73" s="1179" t="s">
        <v>20132</v>
      </c>
      <c r="AL73" s="1464"/>
      <c r="AM73" s="1179" t="s">
        <v>20133</v>
      </c>
      <c r="AN73" s="1464"/>
      <c r="AO73" s="1179" t="s">
        <v>20133</v>
      </c>
      <c r="AP73" s="1464"/>
      <c r="AQ73" s="1179" t="s">
        <v>20133</v>
      </c>
      <c r="AV73" s="944"/>
      <c r="AX73" s="944"/>
      <c r="AZ73" s="944"/>
      <c r="BB73" s="944"/>
      <c r="BJ73" s="1433"/>
      <c r="BL73" s="1433"/>
      <c r="BN73" s="1433"/>
      <c r="BP73" s="1433"/>
      <c r="BR73" s="1433"/>
    </row>
    <row r="74" spans="1:159">
      <c r="A74" s="959" t="s">
        <v>19435</v>
      </c>
      <c r="E74" s="936"/>
      <c r="S74" s="959"/>
      <c r="AG74" s="959" t="s">
        <v>19450</v>
      </c>
      <c r="BH74" s="959" t="s">
        <v>19444</v>
      </c>
    </row>
    <row r="75" spans="1:159" ht="12.75" customHeight="1">
      <c r="B75" s="1433"/>
      <c r="C75" s="954"/>
      <c r="D75" s="936"/>
      <c r="E75" s="928"/>
      <c r="F75" s="928" t="s">
        <v>233</v>
      </c>
      <c r="R75" s="954"/>
      <c r="S75" s="930"/>
      <c r="T75" s="928"/>
      <c r="AF75" s="954"/>
      <c r="AG75" s="930"/>
      <c r="AH75" s="928"/>
      <c r="AI75" s="928" t="s">
        <v>233</v>
      </c>
      <c r="AN75" s="1464"/>
      <c r="AT75" s="965" t="s">
        <v>19376</v>
      </c>
      <c r="AU75" s="932"/>
      <c r="BE75" s="933"/>
      <c r="BF75" s="963"/>
      <c r="BG75" s="954"/>
      <c r="BH75" s="930"/>
      <c r="BI75" s="928"/>
      <c r="BJ75" s="928" t="s">
        <v>233</v>
      </c>
      <c r="BW75" s="929"/>
      <c r="BX75" s="928"/>
      <c r="CH75" s="929"/>
      <c r="FC75" s="928"/>
    </row>
    <row r="76" spans="1:159" ht="12.75" customHeight="1">
      <c r="B76" s="1433"/>
      <c r="C76" s="954"/>
      <c r="D76" s="936"/>
      <c r="E76" s="930"/>
      <c r="F76" s="936">
        <v>1</v>
      </c>
      <c r="G76" s="936"/>
      <c r="H76" s="936">
        <v>2</v>
      </c>
      <c r="I76" s="936"/>
      <c r="J76" s="936">
        <v>3</v>
      </c>
      <c r="K76" s="930"/>
      <c r="L76" s="930"/>
      <c r="M76" s="930"/>
      <c r="N76" s="930"/>
      <c r="O76" s="930"/>
      <c r="P76" s="930"/>
      <c r="Q76" s="969"/>
      <c r="R76" s="954"/>
      <c r="S76" s="930"/>
      <c r="U76" s="936"/>
      <c r="V76" s="936"/>
      <c r="W76" s="936"/>
      <c r="X76" s="936"/>
      <c r="Y76" s="936"/>
      <c r="Z76" s="930"/>
      <c r="AA76" s="930"/>
      <c r="AB76" s="930"/>
      <c r="AC76" s="930"/>
      <c r="AD76" s="930"/>
      <c r="AE76" s="930"/>
      <c r="AF76" s="954"/>
      <c r="AG76" s="930"/>
      <c r="AI76" s="936">
        <v>1</v>
      </c>
      <c r="AJ76" s="936"/>
      <c r="AK76" s="936">
        <v>2</v>
      </c>
      <c r="AL76" s="936"/>
      <c r="AM76" s="936">
        <v>3</v>
      </c>
      <c r="AN76" s="956"/>
      <c r="AO76" s="930"/>
      <c r="AP76" s="930"/>
      <c r="AQ76" s="930"/>
      <c r="AR76" s="930"/>
      <c r="AS76" s="930"/>
      <c r="AT76" s="933"/>
      <c r="AU76" s="932"/>
      <c r="BE76" s="933"/>
      <c r="BF76" s="963"/>
      <c r="BG76" s="954"/>
      <c r="BH76" s="930"/>
      <c r="BJ76" s="936">
        <v>1</v>
      </c>
      <c r="BK76" s="936"/>
      <c r="BL76" s="936">
        <v>2</v>
      </c>
      <c r="BM76" s="936"/>
      <c r="BN76" s="936">
        <v>3</v>
      </c>
      <c r="BO76" s="930"/>
      <c r="BP76" s="930"/>
      <c r="BQ76" s="930"/>
      <c r="BR76" s="930"/>
      <c r="BS76" s="930"/>
      <c r="BT76" s="930"/>
      <c r="BU76" s="930"/>
      <c r="BW76" s="929"/>
      <c r="BX76" s="928"/>
      <c r="CH76" s="929"/>
      <c r="FC76" s="928"/>
    </row>
    <row r="77" spans="1:159">
      <c r="E77" s="936"/>
      <c r="F77" s="1431">
        <f>IF($N$4="NO",ROUNDUP(BJ77-0.00499,0),LEFT(BJ77,1)+(IF(BJ77-LEFT(BJ77,1)&lt;0.00499,0,IF(BJ77-LEFT(BJ77,1)-0.00499&lt;('1-Eng Inputs'!$C$39/'1-Eng Inputs'!$C$38),0.5,1))))</f>
        <v>13</v>
      </c>
      <c r="G77" s="930"/>
      <c r="H77" s="1431">
        <f>IF($N$4="NO",ROUNDUP(BL77-0.00499,0),LEFT(BL77,1)+(IF(BL77-LEFT(BL77,1)&lt;0.00499,0,IF(BL77-LEFT(BL77,1)-0.00499&lt;('1-Eng Inputs'!$C$39/'1-Eng Inputs'!$C$38),0.5,1))))</f>
        <v>10</v>
      </c>
      <c r="I77" s="930"/>
      <c r="J77" s="1431">
        <f>IF($N$4="NO",ROUNDUP(BN77-0.00499,0),LEFT(BN77,1)+(IF(BN77-LEFT(BN77,1)&lt;0.00499,0,IF(BN77-LEFT(BN77,1)-0.00499&lt;('1-Eng Inputs'!$C$39/'1-Eng Inputs'!$C$38),0.5,1))))</f>
        <v>13</v>
      </c>
      <c r="K77" s="930"/>
      <c r="L77" s="1438"/>
      <c r="U77" s="1449">
        <f>IF(LEFT(F77,3)-LEFT(F77,1)=0.5,'1-Eng Inputs'!$C$39,0)+LEFT(F77,1)*'1-Eng Inputs'!$C$38</f>
        <v>32</v>
      </c>
      <c r="W77" s="1449">
        <f>IF(LEFT(H77,3)-LEFT(H77,1)=0.5,'1-Eng Inputs'!$C$39,0)+LEFT(H77,1)*'1-Eng Inputs'!$C$38</f>
        <v>32</v>
      </c>
      <c r="Y77" s="1449">
        <f>IF(LEFT(J77,3)-LEFT(J77,1)=0.5,'1-Eng Inputs'!$C$39,0)+LEFT(J77,1)*'1-Eng Inputs'!$C$38</f>
        <v>32</v>
      </c>
      <c r="AA77" s="1433"/>
      <c r="AI77" s="1449">
        <f>AI78*factors!$D$3</f>
        <v>12.418201034066412</v>
      </c>
      <c r="AK77" s="1449">
        <f>AK78*factors!$D$3</f>
        <v>9.564075827253129</v>
      </c>
      <c r="AM77" s="1449">
        <f>AM78*factors!$D$3</f>
        <v>12.418201034066412</v>
      </c>
      <c r="AO77" s="1433"/>
      <c r="AV77" s="1439">
        <v>0.5</v>
      </c>
      <c r="AX77" s="1439">
        <v>0.5</v>
      </c>
      <c r="AZ77" s="1439">
        <v>0.5</v>
      </c>
      <c r="BJ77" s="1449">
        <f>AI77</f>
        <v>12.418201034066412</v>
      </c>
      <c r="BL77" s="1449">
        <f>AK77</f>
        <v>9.564075827253129</v>
      </c>
      <c r="BN77" s="1449">
        <f>AM77</f>
        <v>12.418201034066412</v>
      </c>
      <c r="BP77" s="1433"/>
    </row>
    <row r="78" spans="1:159" ht="12.75" hidden="1" customHeight="1">
      <c r="E78" s="936"/>
      <c r="F78" s="1432"/>
      <c r="G78" s="930"/>
      <c r="H78" s="1432"/>
      <c r="I78" s="930"/>
      <c r="J78" s="1432"/>
      <c r="K78" s="930"/>
      <c r="L78" s="1438"/>
      <c r="M78" s="930"/>
      <c r="N78" s="930"/>
      <c r="O78" s="930"/>
      <c r="P78" s="930"/>
      <c r="Q78" s="969"/>
      <c r="U78" s="1450">
        <f>U77/factors!$D$3</f>
        <v>17.777777777777779</v>
      </c>
      <c r="V78" s="1434"/>
      <c r="W78" s="1450">
        <f>W77/factors!$D$3</f>
        <v>17.777777777777779</v>
      </c>
      <c r="X78" s="1434"/>
      <c r="Y78" s="1450">
        <f>Y77/factors!$D$3</f>
        <v>17.777777777777779</v>
      </c>
      <c r="Z78" s="1434"/>
      <c r="AA78" s="1433"/>
      <c r="AB78" s="930"/>
      <c r="AC78" s="930"/>
      <c r="AD78" s="930"/>
      <c r="AI78" s="1450">
        <f>(AI79*AV77)/'1-Eng Inputs'!$C$38</f>
        <v>6.8990005744813399</v>
      </c>
      <c r="AJ78" s="1434"/>
      <c r="AK78" s="1450">
        <f>(AK79*AX77)/'1-Eng Inputs'!$C$38</f>
        <v>5.313375459585072</v>
      </c>
      <c r="AL78" s="1434"/>
      <c r="AM78" s="1450">
        <f>(AM79*AZ77)/'1-Eng Inputs'!$C$38</f>
        <v>6.8990005744813399</v>
      </c>
      <c r="AN78" s="1434"/>
      <c r="AO78" s="1433"/>
      <c r="AP78" s="930"/>
      <c r="AQ78" s="930"/>
      <c r="AR78" s="930"/>
      <c r="AV78" s="1440"/>
      <c r="AX78" s="1440"/>
      <c r="AZ78" s="1440"/>
      <c r="BJ78" s="1450">
        <f>BJ77/factors!$B$3</f>
        <v>8.8701435957617232</v>
      </c>
      <c r="BK78" s="1434"/>
      <c r="BL78" s="1450">
        <f>BL77/factors!$B$3</f>
        <v>6.8314827337522352</v>
      </c>
      <c r="BM78" s="1434"/>
      <c r="BN78" s="1450">
        <f>BN77/factors!$B$3</f>
        <v>8.8701435957617232</v>
      </c>
      <c r="BO78" s="1434"/>
      <c r="BP78" s="1433"/>
      <c r="BQ78" s="930"/>
      <c r="BR78" s="930"/>
      <c r="BS78" s="930"/>
      <c r="BT78" s="930"/>
      <c r="BU78" s="930"/>
      <c r="BV78" s="930"/>
    </row>
    <row r="79" spans="1:159" ht="24.75" customHeight="1">
      <c r="C79" s="960" t="s">
        <v>234</v>
      </c>
      <c r="D79" s="936">
        <v>1</v>
      </c>
      <c r="E79" s="947"/>
      <c r="F79" s="950" t="s">
        <v>19424</v>
      </c>
      <c r="G79" s="930"/>
      <c r="H79" s="950" t="s">
        <v>19424</v>
      </c>
      <c r="I79" s="930"/>
      <c r="J79" s="950" t="s">
        <v>19424</v>
      </c>
      <c r="K79" s="930"/>
      <c r="R79" s="960"/>
      <c r="S79" s="930"/>
      <c r="U79" s="966">
        <f>(U78*(AI79*AV77/(AI78*'1-Eng Inputs'!$C$38))+U80*(AI79*AV80/(AI80*'1-Eng Inputs'!$C$38)))</f>
        <v>34.753157783220118</v>
      </c>
      <c r="V79" s="930"/>
      <c r="W79" s="966">
        <f>(W78*(AK79*AX77/(AK78*'1-Eng Inputs'!$C$38))+W80*(AK79*AX80/(AK80*'1-Eng Inputs'!$C$38)))</f>
        <v>34.397747161263624</v>
      </c>
      <c r="X79" s="930"/>
      <c r="Y79" s="966">
        <f>(Y78*(AM79*AZ77/(AM78*'1-Eng Inputs'!$C$38))+Y80*(AM79*AZ80/(AM80*'1-Eng Inputs'!$C$38)))</f>
        <v>34.753157783220118</v>
      </c>
      <c r="Z79" s="930"/>
      <c r="AF79" s="960" t="s">
        <v>234</v>
      </c>
      <c r="AG79" s="930">
        <v>1</v>
      </c>
      <c r="AH79" s="947"/>
      <c r="AI79" s="949">
        <f>'Land Calcs 5deg (lift)'!I7</f>
        <v>441.53603676680575</v>
      </c>
      <c r="AJ79" s="947"/>
      <c r="AK79" s="949">
        <f>'Land Calcs 5deg (lift)'!J7</f>
        <v>340.05602941344461</v>
      </c>
      <c r="AL79" s="947"/>
      <c r="AM79" s="946">
        <f>AI79</f>
        <v>441.53603676680575</v>
      </c>
      <c r="AN79" s="949"/>
      <c r="AT79" s="933"/>
      <c r="AU79" s="932"/>
      <c r="AV79" s="948"/>
      <c r="AX79" s="948"/>
      <c r="AZ79" s="948"/>
      <c r="BG79" s="960" t="s">
        <v>234</v>
      </c>
      <c r="BH79" s="930">
        <v>1</v>
      </c>
      <c r="BI79" s="947"/>
      <c r="BJ79" s="946">
        <f>AI79</f>
        <v>441.53603676680575</v>
      </c>
      <c r="BK79" s="930"/>
      <c r="BL79" s="946">
        <f>AK79</f>
        <v>340.05602941344461</v>
      </c>
      <c r="BM79" s="930"/>
      <c r="BN79" s="946">
        <f>AM79</f>
        <v>441.53603676680575</v>
      </c>
      <c r="BO79" s="930"/>
      <c r="BW79" s="929"/>
      <c r="BX79" s="928"/>
      <c r="CH79" s="929"/>
      <c r="FC79" s="928"/>
    </row>
    <row r="80" spans="1:159">
      <c r="E80" s="936"/>
      <c r="F80" s="1431">
        <f>IF($N$4="NO",ROUNDUP(BJ80-0.00499,0),LEFT(BJ80,1)+(IF(BJ80-LEFT(BJ80,1)&lt;0.00499,0,IF(BJ80-LEFT(BJ80,1)-0.00499&lt;('1-Eng Inputs'!$C$39/'1-Eng Inputs'!$C$38),0.5,1))))</f>
        <v>14</v>
      </c>
      <c r="G80" s="930"/>
      <c r="H80" s="1431">
        <f>IF($N$4="NO",ROUNDUP(BL80-0.00499,0),LEFT(BL80,1)+(IF(BL80-LEFT(BL80,1)&lt;0.00499,0,IF(BL80-LEFT(BL80,1)-0.00499&lt;('1-Eng Inputs'!$C$39/'1-Eng Inputs'!$C$38),0.5,1))))</f>
        <v>11</v>
      </c>
      <c r="I80" s="930"/>
      <c r="J80" s="1431">
        <f>IF($N$4="NO",ROUNDUP(BN80-0.00499,0),LEFT(BN80,1)+(IF(BN80-LEFT(BN80,1)&lt;0.00499,0,IF(BN80-LEFT(BN80,1)-0.00499&lt;('1-Eng Inputs'!$C$39/'1-Eng Inputs'!$C$38),0.5,1))))</f>
        <v>14</v>
      </c>
      <c r="K80" s="930"/>
      <c r="L80" s="1438"/>
      <c r="U80" s="1449">
        <f>IF(LEFT(F80,3)-LEFT(F80,1)=0.5,'1-Eng Inputs'!$C$39,0)+LEFT(F80,1)*'1-Eng Inputs'!$C$38</f>
        <v>32</v>
      </c>
      <c r="V80" s="964"/>
      <c r="W80" s="1449">
        <f>IF(LEFT(H80,3)-LEFT(H80,1)=0.5,'1-Eng Inputs'!$C$39,0)+LEFT(H80,1)*'1-Eng Inputs'!$C$38</f>
        <v>32</v>
      </c>
      <c r="X80" s="964"/>
      <c r="Y80" s="1449">
        <f>IF(LEFT(J80,3)-LEFT(J80,1)=0.5,'1-Eng Inputs'!$C$39,0)+LEFT(J80,1)*'1-Eng Inputs'!$C$38</f>
        <v>32</v>
      </c>
      <c r="Z80" s="964"/>
      <c r="AA80" s="1433"/>
      <c r="AI80" s="1449">
        <f>(AI79*AV80+AI82*AV81)/'1-Eng Inputs'!$C$38</f>
        <v>13.005188591514546</v>
      </c>
      <c r="AJ80" s="964"/>
      <c r="AK80" s="1449">
        <f>(AK79*AX80+AK82*AX81)/'1-Eng Inputs'!$C$38</f>
        <v>10.230344640446077</v>
      </c>
      <c r="AL80" s="964"/>
      <c r="AM80" s="1449">
        <f>(AM79*AZ80+AM82*AZ81)/'1-Eng Inputs'!$C$38</f>
        <v>13.005188591514546</v>
      </c>
      <c r="AN80" s="957"/>
      <c r="AO80" s="1433"/>
      <c r="AV80" s="952">
        <v>0.5</v>
      </c>
      <c r="AX80" s="952">
        <v>0.5</v>
      </c>
      <c r="AZ80" s="952">
        <v>0.5</v>
      </c>
      <c r="BJ80" s="1449">
        <f>AI80</f>
        <v>13.005188591514546</v>
      </c>
      <c r="BK80" s="964"/>
      <c r="BL80" s="1449">
        <f>AK80</f>
        <v>10.230344640446077</v>
      </c>
      <c r="BM80" s="964"/>
      <c r="BN80" s="1449">
        <f>AM80</f>
        <v>13.005188591514546</v>
      </c>
      <c r="BO80" s="964"/>
      <c r="BP80" s="1433"/>
    </row>
    <row r="81" spans="3:159" ht="12.75" hidden="1" customHeight="1">
      <c r="E81" s="936"/>
      <c r="F81" s="1432"/>
      <c r="G81" s="930"/>
      <c r="H81" s="1432"/>
      <c r="I81" s="930"/>
      <c r="J81" s="1432"/>
      <c r="K81" s="930"/>
      <c r="L81" s="1438"/>
      <c r="M81" s="1433"/>
      <c r="N81" s="1433"/>
      <c r="O81" s="1433"/>
      <c r="P81" s="1433"/>
      <c r="Q81" s="945"/>
      <c r="U81" s="1450"/>
      <c r="V81" s="1434"/>
      <c r="W81" s="1450"/>
      <c r="X81" s="1434"/>
      <c r="Y81" s="1450"/>
      <c r="Z81" s="1434"/>
      <c r="AA81" s="1433"/>
      <c r="AB81" s="1433"/>
      <c r="AC81" s="1433"/>
      <c r="AD81" s="1433"/>
      <c r="AI81" s="1450"/>
      <c r="AJ81" s="1434"/>
      <c r="AK81" s="1450"/>
      <c r="AL81" s="1434"/>
      <c r="AM81" s="1450"/>
      <c r="AN81" s="940"/>
      <c r="AO81" s="1433"/>
      <c r="AP81" s="1433"/>
      <c r="AQ81" s="1433"/>
      <c r="AR81" s="1433"/>
      <c r="AU81" s="944"/>
      <c r="AV81" s="951">
        <v>0.5</v>
      </c>
      <c r="AX81" s="951">
        <v>0.5</v>
      </c>
      <c r="AZ81" s="951">
        <v>0.5</v>
      </c>
      <c r="BB81" s="944"/>
      <c r="BC81" s="944"/>
      <c r="BD81" s="944"/>
      <c r="BE81" s="944"/>
      <c r="BF81" s="943"/>
      <c r="BJ81" s="1450"/>
      <c r="BK81" s="1434"/>
      <c r="BL81" s="1450"/>
      <c r="BM81" s="1434"/>
      <c r="BN81" s="1450"/>
      <c r="BO81" s="1434"/>
      <c r="BP81" s="1433"/>
      <c r="BQ81" s="1433"/>
      <c r="BR81" s="1433"/>
      <c r="BS81" s="1433"/>
      <c r="BT81" s="1433"/>
      <c r="BU81" s="1433"/>
      <c r="BV81" s="1433"/>
    </row>
    <row r="82" spans="3:159" ht="24.75" customHeight="1">
      <c r="C82" s="953"/>
      <c r="D82" s="936">
        <v>2</v>
      </c>
      <c r="E82" s="947"/>
      <c r="F82" s="950" t="s">
        <v>19424</v>
      </c>
      <c r="G82" s="930"/>
      <c r="H82" s="950" t="s">
        <v>19424</v>
      </c>
      <c r="I82" s="930"/>
      <c r="J82" s="950" t="s">
        <v>19424</v>
      </c>
      <c r="K82" s="930"/>
      <c r="R82" s="953"/>
      <c r="S82" s="930"/>
      <c r="U82" s="966">
        <f>(U80*(AI82*AV81/(AI80*'1-Eng Inputs'!$C$38))+U83*(AI82*AV83/(AI83*'1-Eng Inputs'!$C$38)))</f>
        <v>31.024619994557661</v>
      </c>
      <c r="V82" s="930"/>
      <c r="W82" s="966">
        <f>(W80*(AK82*AX81/(AK80*'1-Eng Inputs'!$C$38))+W83*(AK82*AX83/(AK83*'1-Eng Inputs'!$C$38)))</f>
        <v>31.380030616514158</v>
      </c>
      <c r="X82" s="930"/>
      <c r="Y82" s="966">
        <f>(Y80*(AM82*AZ81/(AM80*'1-Eng Inputs'!$C$38))+Y83*(AM82*AZ83/(AM83*'1-Eng Inputs'!$C$38)))</f>
        <v>31.024619994557661</v>
      </c>
      <c r="Z82" s="930"/>
      <c r="AF82" s="953"/>
      <c r="AG82" s="930">
        <v>2</v>
      </c>
      <c r="AH82" s="947"/>
      <c r="AI82" s="949">
        <f>'Land Calcs 5deg (lift)'!N7</f>
        <v>390.79603309012521</v>
      </c>
      <c r="AJ82" s="947"/>
      <c r="AK82" s="949">
        <f>'Land Calcs 5deg (lift)'!O7</f>
        <v>314.68602757510439</v>
      </c>
      <c r="AL82" s="947"/>
      <c r="AM82" s="946">
        <f>$AI$82</f>
        <v>390.79603309012521</v>
      </c>
      <c r="AN82" s="1061"/>
      <c r="AT82" s="933"/>
      <c r="AU82" s="932"/>
      <c r="AV82" s="948"/>
      <c r="AX82" s="948"/>
      <c r="AZ82" s="948"/>
      <c r="BG82" s="953"/>
      <c r="BH82" s="930">
        <v>2</v>
      </c>
      <c r="BI82" s="947"/>
      <c r="BJ82" s="946">
        <f>AI82</f>
        <v>390.79603309012521</v>
      </c>
      <c r="BK82" s="930"/>
      <c r="BL82" s="946">
        <f>AK82</f>
        <v>314.68602757510439</v>
      </c>
      <c r="BM82" s="930"/>
      <c r="BN82" s="946">
        <f>AM82</f>
        <v>390.79603309012521</v>
      </c>
      <c r="BO82" s="930"/>
      <c r="BW82" s="929"/>
      <c r="BX82" s="928"/>
      <c r="CH82" s="929"/>
      <c r="FC82" s="928"/>
    </row>
    <row r="83" spans="3:159">
      <c r="E83" s="936"/>
      <c r="F83" s="1431">
        <f>IF($N$4="NO",ROUNDUP(BJ83-0.00499,0),LEFT(BJ83,1)+(IF(BJ83-LEFT(BJ83,1)&lt;0.00499,0,IF(BJ83-LEFT(BJ83,1)-0.00499&lt;('1-Eng Inputs'!$C$39/'1-Eng Inputs'!$C$38),0.5,1))))</f>
        <v>13</v>
      </c>
      <c r="G83" s="930"/>
      <c r="H83" s="1431">
        <f>IF($N$4="NO",ROUNDUP(BL83-0.00499,0),LEFT(BL83,1)+(IF(BL83-LEFT(BL83,1)&lt;0.00499,0,IF(BL83-LEFT(BL83,1)-0.00499&lt;('1-Eng Inputs'!$C$39/'1-Eng Inputs'!$C$38),0.5,1))))</f>
        <v>10</v>
      </c>
      <c r="I83" s="930"/>
      <c r="J83" s="1431">
        <f>IF($N$4="NO",ROUNDUP(BN83-0.00499,0),LEFT(BN83,1)+(IF(BN83-LEFT(BN83,1)&lt;0.00499,0,IF(BN83-LEFT(BN83,1)-0.00499&lt;('1-Eng Inputs'!$C$39/'1-Eng Inputs'!$C$38),0.5,1))))</f>
        <v>13</v>
      </c>
      <c r="K83" s="930"/>
      <c r="L83" s="1438"/>
      <c r="U83" s="1449">
        <f>IF(LEFT(F83,3)-LEFT(F83,1)=0.5,'1-Eng Inputs'!$C$39,0)+LEFT(F83,1)*'1-Eng Inputs'!$C$38</f>
        <v>32</v>
      </c>
      <c r="W83" s="1449">
        <f>IF(LEFT(H83,3)-LEFT(H83,1)=0.5,'1-Eng Inputs'!$C$39,0)+LEFT(H83,1)*'1-Eng Inputs'!$C$38</f>
        <v>32</v>
      </c>
      <c r="Y83" s="1449">
        <f>IF(LEFT(J83,3)-LEFT(J83,1)=0.5,'1-Eng Inputs'!$C$39,0)+LEFT(J83,1)*'1-Eng Inputs'!$C$38</f>
        <v>32</v>
      </c>
      <c r="AA83" s="1433"/>
      <c r="AI83" s="1449">
        <f>(AI82*AV83+AI85*AV84)/'1-Eng Inputs'!$C$38</f>
        <v>12.212376034066413</v>
      </c>
      <c r="AJ83" s="964"/>
      <c r="AK83" s="1449">
        <f>(AK82*AX83+AK85*AX84)/'1-Eng Inputs'!$C$38</f>
        <v>9.8339383617220122</v>
      </c>
      <c r="AL83" s="964"/>
      <c r="AM83" s="1449">
        <f>(AM82*AZ83+AM85*AZ84)/'1-Eng Inputs'!$C$38</f>
        <v>12.212376034066413</v>
      </c>
      <c r="AN83" s="957"/>
      <c r="AO83" s="1433"/>
      <c r="AV83" s="952">
        <v>0.5</v>
      </c>
      <c r="AX83" s="952">
        <v>0.5</v>
      </c>
      <c r="AZ83" s="952">
        <v>0.5</v>
      </c>
      <c r="BJ83" s="1449">
        <f>AI83</f>
        <v>12.212376034066413</v>
      </c>
      <c r="BK83" s="964"/>
      <c r="BL83" s="1449">
        <f>AK83</f>
        <v>9.8339383617220122</v>
      </c>
      <c r="BM83" s="964"/>
      <c r="BN83" s="1449">
        <f>AM83</f>
        <v>12.212376034066413</v>
      </c>
      <c r="BO83" s="964"/>
      <c r="BP83" s="1433"/>
    </row>
    <row r="84" spans="3:159" ht="12.75" hidden="1" customHeight="1">
      <c r="E84" s="936"/>
      <c r="F84" s="1432"/>
      <c r="G84" s="930"/>
      <c r="H84" s="1432"/>
      <c r="I84" s="930"/>
      <c r="J84" s="1432"/>
      <c r="K84" s="930"/>
      <c r="L84" s="1438"/>
      <c r="M84" s="1433"/>
      <c r="N84" s="1433"/>
      <c r="O84" s="1433"/>
      <c r="P84" s="1433"/>
      <c r="Q84" s="945"/>
      <c r="U84" s="1450"/>
      <c r="V84" s="1434"/>
      <c r="W84" s="1450"/>
      <c r="X84" s="1434"/>
      <c r="Y84" s="1450"/>
      <c r="Z84" s="1434"/>
      <c r="AA84" s="1433"/>
      <c r="AB84" s="1433"/>
      <c r="AC84" s="1433"/>
      <c r="AD84" s="1433"/>
      <c r="AI84" s="1450"/>
      <c r="AJ84" s="1434"/>
      <c r="AK84" s="1450"/>
      <c r="AL84" s="1434"/>
      <c r="AM84" s="1450"/>
      <c r="AN84" s="940"/>
      <c r="AO84" s="1433"/>
      <c r="AP84" s="1433"/>
      <c r="AQ84" s="1433"/>
      <c r="AR84" s="1433"/>
      <c r="AU84" s="944"/>
      <c r="AV84" s="951">
        <v>0.5</v>
      </c>
      <c r="AX84" s="951">
        <v>0.5</v>
      </c>
      <c r="AZ84" s="951">
        <v>0.5</v>
      </c>
      <c r="BB84" s="944"/>
      <c r="BC84" s="944"/>
      <c r="BD84" s="944"/>
      <c r="BE84" s="944"/>
      <c r="BF84" s="943"/>
      <c r="BJ84" s="1450"/>
      <c r="BK84" s="1434"/>
      <c r="BL84" s="1450"/>
      <c r="BM84" s="1434"/>
      <c r="BN84" s="1450"/>
      <c r="BO84" s="1434"/>
      <c r="BP84" s="1433"/>
      <c r="BQ84" s="1433"/>
      <c r="BR84" s="1433"/>
      <c r="BS84" s="1433"/>
      <c r="BT84" s="1433"/>
      <c r="BU84" s="1433"/>
      <c r="BV84" s="1433"/>
    </row>
    <row r="85" spans="3:159" ht="24.75" customHeight="1">
      <c r="C85" s="953"/>
      <c r="D85" s="936">
        <v>3</v>
      </c>
      <c r="E85" s="947"/>
      <c r="F85" s="950" t="s">
        <v>19424</v>
      </c>
      <c r="G85" s="930"/>
      <c r="H85" s="950" t="s">
        <v>19424</v>
      </c>
      <c r="I85" s="930"/>
      <c r="J85" s="950" t="s">
        <v>19424</v>
      </c>
      <c r="K85" s="930"/>
      <c r="R85" s="953"/>
      <c r="S85" s="930"/>
      <c r="U85" s="966">
        <f>(U83*(AI85*AV84/(AI83*'1-Eng Inputs'!$C$38))+U86*(AI85*AV86/(AI86*'1-Eng Inputs'!$C$38)))</f>
        <v>33.726138985153014</v>
      </c>
      <c r="V85" s="930"/>
      <c r="W85" s="966">
        <f>(W83*(AK85*AX84/(AK83*'1-Eng Inputs'!$C$38))+W86*(AK85*AX86/(AK86*'1-Eng Inputs'!$C$38)))</f>
        <v>33.40303333830105</v>
      </c>
      <c r="X85" s="930"/>
      <c r="Y85" s="966">
        <f>(Y83*(AM85*AZ84/(AM83*'1-Eng Inputs'!$C$38))+Y86*(AM85*AZ86/(AM86*'1-Eng Inputs'!$C$38)))</f>
        <v>33.726138985153014</v>
      </c>
      <c r="Z85" s="930"/>
      <c r="AF85" s="953"/>
      <c r="AG85" s="930">
        <v>3</v>
      </c>
      <c r="AH85" s="947"/>
      <c r="AI85" s="1177">
        <f>$AI$82</f>
        <v>390.79603309012521</v>
      </c>
      <c r="AJ85" s="947"/>
      <c r="AK85" s="946">
        <f>AK82</f>
        <v>314.68602757510439</v>
      </c>
      <c r="AL85" s="947"/>
      <c r="AM85" s="946">
        <f>$AI$85</f>
        <v>390.79603309012521</v>
      </c>
      <c r="AN85" s="1061"/>
      <c r="AT85" s="933"/>
      <c r="AU85" s="932"/>
      <c r="AV85" s="948"/>
      <c r="AX85" s="948"/>
      <c r="AZ85" s="948"/>
      <c r="BG85" s="953"/>
      <c r="BH85" s="930">
        <v>3</v>
      </c>
      <c r="BI85" s="947"/>
      <c r="BJ85" s="946">
        <f>AI85</f>
        <v>390.79603309012521</v>
      </c>
      <c r="BK85" s="930"/>
      <c r="BL85" s="946">
        <f>AK85</f>
        <v>314.68602757510439</v>
      </c>
      <c r="BM85" s="930"/>
      <c r="BN85" s="946">
        <f>AM85</f>
        <v>390.79603309012521</v>
      </c>
      <c r="BO85" s="930"/>
      <c r="BW85" s="929"/>
      <c r="BX85" s="928"/>
      <c r="CH85" s="929"/>
      <c r="FC85" s="928"/>
    </row>
    <row r="86" spans="3:159">
      <c r="D86" s="953"/>
      <c r="E86" s="936"/>
      <c r="F86" s="1431">
        <f>IF($N$4="NO",ROUNDUP(BJ86-0.00499,0),LEFT(BJ86,1)+(IF(BJ86-LEFT(BJ86,1)&lt;0.00499,0,IF(BJ86-LEFT(BJ86,1)-0.00499&lt;('1-Eng Inputs'!$C$39/'1-Eng Inputs'!$C$38),0.5,1))))</f>
        <v>12</v>
      </c>
      <c r="G86" s="930"/>
      <c r="H86" s="1431">
        <f>IF($N$4="NO",ROUNDUP(BL86-0.00499,0),LEFT(BL86,1)+(IF(BL86-LEFT(BL86,1)&lt;0.00499,0,IF(BL86-LEFT(BL86,1)-0.00499&lt;('1-Eng Inputs'!$C$39/'1-Eng Inputs'!$C$38),0.5,1))))</f>
        <v>10</v>
      </c>
      <c r="I86" s="930"/>
      <c r="J86" s="1431">
        <f>IF($N$4="NO",ROUNDUP(BN86-0.00499,0),LEFT(BN86,1)+(IF(BN86-LEFT(BN86,1)&lt;0.00499,0,IF(BN86-LEFT(BN86,1)-0.00499&lt;('1-Eng Inputs'!$C$39/'1-Eng Inputs'!$C$38),0.5,1))))</f>
        <v>12</v>
      </c>
      <c r="K86" s="930"/>
      <c r="L86" s="1438"/>
      <c r="S86" s="953"/>
      <c r="U86" s="1449">
        <f>IF(LEFT(F86,3)-LEFT(F86,1)=0.5,'1-Eng Inputs'!$C$39,0)+LEFT(F86,1)*'1-Eng Inputs'!$C$38</f>
        <v>32</v>
      </c>
      <c r="W86" s="1449">
        <f>IF(LEFT(H86,3)-LEFT(H86,1)=0.5,'1-Eng Inputs'!$C$39,0)+LEFT(H86,1)*'1-Eng Inputs'!$C$38</f>
        <v>32</v>
      </c>
      <c r="Y86" s="1449">
        <f>IF(LEFT(J86,3)-LEFT(J86,1)=0.5,'1-Eng Inputs'!$C$39,0)+LEFT(J86,1)*'1-Eng Inputs'!$C$38</f>
        <v>32</v>
      </c>
      <c r="AA86" s="1433"/>
      <c r="AG86" s="953"/>
      <c r="AI86" s="1449">
        <f>(AI85*AV86+AI88*AV87)/'1-Eng Inputs'!$C$38</f>
        <v>11.023157197894212</v>
      </c>
      <c r="AJ86" s="964"/>
      <c r="AK86" s="1449">
        <f>(AK85*AX86+AK88*AX87)/'1-Eng Inputs'!$C$38</f>
        <v>9.0411258042738787</v>
      </c>
      <c r="AL86" s="964"/>
      <c r="AM86" s="1449">
        <f>(AM85*AZ86+AM88*AZ87)/'1-Eng Inputs'!$C$38</f>
        <v>11.023157197894212</v>
      </c>
      <c r="AN86" s="957"/>
      <c r="AO86" s="1433"/>
      <c r="AV86" s="952">
        <v>0.5</v>
      </c>
      <c r="AX86" s="952">
        <v>0.5</v>
      </c>
      <c r="AZ86" s="952">
        <v>0.5</v>
      </c>
      <c r="BH86" s="953"/>
      <c r="BJ86" s="1449">
        <f>AI86</f>
        <v>11.023157197894212</v>
      </c>
      <c r="BK86" s="964"/>
      <c r="BL86" s="1449">
        <f>AK86</f>
        <v>9.0411258042738787</v>
      </c>
      <c r="BM86" s="964"/>
      <c r="BN86" s="1449">
        <f>AM86</f>
        <v>11.023157197894212</v>
      </c>
      <c r="BO86" s="964"/>
      <c r="BP86" s="1433"/>
    </row>
    <row r="87" spans="3:159" ht="12.75" hidden="1" customHeight="1">
      <c r="D87" s="953"/>
      <c r="E87" s="936"/>
      <c r="F87" s="1432"/>
      <c r="G87" s="930"/>
      <c r="H87" s="1432"/>
      <c r="I87" s="930"/>
      <c r="J87" s="1432"/>
      <c r="K87" s="930"/>
      <c r="L87" s="1438"/>
      <c r="M87" s="1433"/>
      <c r="N87" s="1433"/>
      <c r="O87" s="1433"/>
      <c r="P87" s="1433"/>
      <c r="Q87" s="945"/>
      <c r="S87" s="953"/>
      <c r="U87" s="1450"/>
      <c r="V87" s="1434"/>
      <c r="W87" s="1450"/>
      <c r="X87" s="1434"/>
      <c r="Y87" s="1450"/>
      <c r="Z87" s="1434"/>
      <c r="AA87" s="1433"/>
      <c r="AB87" s="1433"/>
      <c r="AC87" s="1433"/>
      <c r="AD87" s="1433"/>
      <c r="AG87" s="953"/>
      <c r="AI87" s="1450"/>
      <c r="AJ87" s="1434"/>
      <c r="AK87" s="1450"/>
      <c r="AL87" s="1434"/>
      <c r="AM87" s="1450"/>
      <c r="AN87" s="940"/>
      <c r="AO87" s="1433"/>
      <c r="AP87" s="1433"/>
      <c r="AQ87" s="1433"/>
      <c r="AR87" s="1433"/>
      <c r="AU87" s="944"/>
      <c r="AV87" s="951">
        <v>0.5</v>
      </c>
      <c r="AX87" s="951">
        <v>0.5</v>
      </c>
      <c r="AZ87" s="951">
        <v>0.5</v>
      </c>
      <c r="BB87" s="944"/>
      <c r="BC87" s="944"/>
      <c r="BD87" s="944"/>
      <c r="BE87" s="944"/>
      <c r="BF87" s="943"/>
      <c r="BH87" s="953"/>
      <c r="BJ87" s="1450"/>
      <c r="BK87" s="1434"/>
      <c r="BL87" s="1450"/>
      <c r="BM87" s="1434"/>
      <c r="BN87" s="1450"/>
      <c r="BO87" s="1434"/>
      <c r="BP87" s="1433"/>
      <c r="BQ87" s="1433"/>
      <c r="BR87" s="1433"/>
      <c r="BS87" s="1433"/>
      <c r="BT87" s="1433"/>
      <c r="BU87" s="1433"/>
      <c r="BV87" s="1433"/>
    </row>
    <row r="88" spans="3:159" ht="24.75" customHeight="1">
      <c r="C88" s="953"/>
      <c r="D88" s="936">
        <v>4</v>
      </c>
      <c r="E88" s="947"/>
      <c r="F88" s="950" t="s">
        <v>19426</v>
      </c>
      <c r="G88" s="930"/>
      <c r="H88" s="950" t="s">
        <v>19426</v>
      </c>
      <c r="I88" s="930"/>
      <c r="J88" s="950" t="s">
        <v>19426</v>
      </c>
      <c r="K88" s="930"/>
      <c r="R88" s="953"/>
      <c r="S88" s="930"/>
      <c r="U88" s="966">
        <f>(U86*(AI88*AV87/(AI86*'1-Eng Inputs'!$C$38))+U89*(AI88*AV89/(AI89*'1-Eng Inputs'!$C$38)))</f>
        <v>30.273861014846993</v>
      </c>
      <c r="V88" s="930"/>
      <c r="W88" s="966">
        <f>(W86*(AK88*AX87/(AK86*'1-Eng Inputs'!$C$38))+W89*(AK88*AX89/(AK89*'1-Eng Inputs'!$C$38)))</f>
        <v>158.59696666169896</v>
      </c>
      <c r="X88" s="930"/>
      <c r="Y88" s="966">
        <f>(Y86*(AM88*AZ87/(AM86*'1-Eng Inputs'!$C$38))+Y89*(AM88*AZ89/(AM89*'1-Eng Inputs'!$C$38)))</f>
        <v>30.273861014846993</v>
      </c>
      <c r="Z88" s="930"/>
      <c r="AF88" s="953"/>
      <c r="AG88" s="930">
        <v>4</v>
      </c>
      <c r="AH88" s="947"/>
      <c r="AI88" s="1178">
        <f>'Land Calcs 5deg (lift)'!N17</f>
        <v>314.68602757510439</v>
      </c>
      <c r="AJ88" s="947"/>
      <c r="AK88" s="949">
        <f>'Land Calcs 5deg (lift)'!O17</f>
        <v>263.94602389842385</v>
      </c>
      <c r="AL88" s="947"/>
      <c r="AM88" s="946">
        <f>$AI$88</f>
        <v>314.68602757510439</v>
      </c>
      <c r="AN88" s="1061"/>
      <c r="AT88" s="933"/>
      <c r="AU88" s="932"/>
      <c r="AV88" s="948"/>
      <c r="AX88" s="948"/>
      <c r="AZ88" s="948"/>
      <c r="BG88" s="953"/>
      <c r="BH88" s="930">
        <v>4</v>
      </c>
      <c r="BI88" s="947"/>
      <c r="BJ88" s="946">
        <f>AI88</f>
        <v>314.68602757510439</v>
      </c>
      <c r="BK88" s="930"/>
      <c r="BL88" s="946">
        <f>AK88</f>
        <v>263.94602389842385</v>
      </c>
      <c r="BM88" s="930"/>
      <c r="BN88" s="946">
        <f>AM88</f>
        <v>314.68602757510439</v>
      </c>
      <c r="BO88" s="930"/>
      <c r="BW88" s="929"/>
      <c r="BX88" s="928"/>
      <c r="CH88" s="929"/>
      <c r="FC88" s="928"/>
    </row>
    <row r="89" spans="3:159">
      <c r="D89" s="953"/>
      <c r="E89" s="936"/>
      <c r="F89" s="1431">
        <f>IF($N$4="NO",ROUNDUP(BJ89-0.00499,0),LEFT(BJ89,1)+(IF(BJ89-LEFT(BJ89,1)&lt;0.00499,0,IF(BJ89-LEFT(BJ89,1)-0.00499&lt;('1-Eng Inputs'!$C$39/'1-Eng Inputs'!$C$38),0.5,1))))</f>
        <v>10</v>
      </c>
      <c r="G89" s="930"/>
      <c r="H89" s="1431">
        <f>IF($N$4="NO",ROUNDUP(BL89-0.00499,0),LEFT(BL89,1)+(IF(BL89-LEFT(BL89,1)&lt;0.00499,0,IF(BL89-LEFT(BL89,1)-0.00499&lt;('1-Eng Inputs'!$C$39/'1-Eng Inputs'!$C$38),0.5,1))))</f>
        <v>9</v>
      </c>
      <c r="I89" s="930"/>
      <c r="J89" s="1431">
        <f>IF($N$4="NO",ROUNDUP(BN89-0.00499,0),LEFT(BN89,1)+(IF(BN89-LEFT(BN89,1)&lt;0.00499,0,IF(BN89-LEFT(BN89,1)-0.00499&lt;('1-Eng Inputs'!$C$39/'1-Eng Inputs'!$C$38),0.5,1))))</f>
        <v>10</v>
      </c>
      <c r="K89" s="930"/>
      <c r="L89" s="1438"/>
      <c r="S89" s="953"/>
      <c r="U89" s="1447">
        <f>IF(LEFT(F89,3)-LEFT(F89,1)=0.5,'1-Eng Inputs'!$C$39,0)+LEFT(F89,1)*'1-Eng Inputs'!$C$38</f>
        <v>32</v>
      </c>
      <c r="W89" s="1447">
        <f>IF(LEFT(H89,3)-LEFT(H89,1)=0.5,'1-Eng Inputs'!$C$39,0)+LEFT(H89,1)*'1-Eng Inputs'!$C$38</f>
        <v>288</v>
      </c>
      <c r="Y89" s="1447">
        <f>IF(LEFT(J89,3)-LEFT(J89,1)=0.5,'1-Eng Inputs'!$C$39,0)+LEFT(J89,1)*'1-Eng Inputs'!$C$38</f>
        <v>32</v>
      </c>
      <c r="AA89" s="1433"/>
      <c r="AG89" s="953"/>
      <c r="AI89" s="1447">
        <f>(AI88*AV89+AI91*AV90)/'1-Eng Inputs'!$C$38</f>
        <v>9.8339383617220122</v>
      </c>
      <c r="AJ89" s="964"/>
      <c r="AK89" s="1447">
        <f>(AK88*AX89+AK91*AX90)/'1-Eng Inputs'!$C$38</f>
        <v>8.2483132468257452</v>
      </c>
      <c r="AL89" s="964"/>
      <c r="AM89" s="1447">
        <f>(AM88*AZ89+AM91*AZ90)/'1-Eng Inputs'!$C$38</f>
        <v>9.8339383617220122</v>
      </c>
      <c r="AN89" s="1060"/>
      <c r="AO89" s="1433"/>
      <c r="AV89" s="952">
        <v>0.5</v>
      </c>
      <c r="AX89" s="952">
        <v>0.5</v>
      </c>
      <c r="AZ89" s="952">
        <v>0.5</v>
      </c>
      <c r="BH89" s="953"/>
      <c r="BJ89" s="1447">
        <f>AI89</f>
        <v>9.8339383617220122</v>
      </c>
      <c r="BK89" s="964"/>
      <c r="BL89" s="1447">
        <f>AK89</f>
        <v>8.2483132468257452</v>
      </c>
      <c r="BM89" s="964"/>
      <c r="BN89" s="1447">
        <f>AM89</f>
        <v>9.8339383617220122</v>
      </c>
      <c r="BO89" s="964"/>
      <c r="BP89" s="1433"/>
    </row>
    <row r="90" spans="3:159" ht="12.75" hidden="1" customHeight="1">
      <c r="D90" s="953"/>
      <c r="E90" s="936"/>
      <c r="F90" s="1432"/>
      <c r="G90" s="930"/>
      <c r="H90" s="1432"/>
      <c r="I90" s="930"/>
      <c r="J90" s="1432"/>
      <c r="K90" s="930"/>
      <c r="L90" s="1438"/>
      <c r="M90" s="1433"/>
      <c r="N90" s="1433"/>
      <c r="O90" s="1433"/>
      <c r="P90" s="1433"/>
      <c r="Q90" s="945"/>
      <c r="S90" s="953"/>
      <c r="U90" s="1448"/>
      <c r="V90" s="1434"/>
      <c r="W90" s="1448"/>
      <c r="X90" s="1434"/>
      <c r="Y90" s="1448"/>
      <c r="Z90" s="1434"/>
      <c r="AA90" s="1433"/>
      <c r="AB90" s="1433"/>
      <c r="AC90" s="1433"/>
      <c r="AD90" s="1433"/>
      <c r="AG90" s="953"/>
      <c r="AI90" s="1448"/>
      <c r="AJ90" s="1434"/>
      <c r="AK90" s="1448"/>
      <c r="AL90" s="1434"/>
      <c r="AM90" s="1448"/>
      <c r="AN90" s="1062"/>
      <c r="AO90" s="1433"/>
      <c r="AP90" s="1433"/>
      <c r="AQ90" s="1433"/>
      <c r="AR90" s="1433"/>
      <c r="AU90" s="944"/>
      <c r="AV90" s="951">
        <v>0.5</v>
      </c>
      <c r="AX90" s="951">
        <v>0.5</v>
      </c>
      <c r="AZ90" s="951">
        <v>0.5</v>
      </c>
      <c r="BB90" s="944"/>
      <c r="BC90" s="944"/>
      <c r="BD90" s="944"/>
      <c r="BE90" s="944"/>
      <c r="BF90" s="943"/>
      <c r="BH90" s="953"/>
      <c r="BJ90" s="1448"/>
      <c r="BK90" s="1434"/>
      <c r="BL90" s="1448"/>
      <c r="BM90" s="1434"/>
      <c r="BN90" s="1448"/>
      <c r="BO90" s="1434"/>
      <c r="BP90" s="1433"/>
      <c r="BQ90" s="1433"/>
      <c r="BR90" s="1433"/>
      <c r="BS90" s="1433"/>
      <c r="BT90" s="1433"/>
      <c r="BU90" s="1433"/>
      <c r="BV90" s="1433"/>
    </row>
    <row r="91" spans="3:159" ht="24.75" customHeight="1">
      <c r="C91" s="953"/>
      <c r="D91" s="936">
        <v>5</v>
      </c>
      <c r="E91" s="947"/>
      <c r="F91" s="950" t="s">
        <v>19426</v>
      </c>
      <c r="G91" s="930"/>
      <c r="H91" s="950" t="s">
        <v>19426</v>
      </c>
      <c r="I91" s="930"/>
      <c r="J91" s="950" t="s">
        <v>19426</v>
      </c>
      <c r="K91" s="930"/>
      <c r="R91" s="953"/>
      <c r="S91" s="930"/>
      <c r="U91" s="966">
        <f>(U89*(AI91*AV90/(AI89*'1-Eng Inputs'!$C$38))+U92*(AI91*AV92/(AI92*'1-Eng Inputs'!$C$38)))</f>
        <v>32</v>
      </c>
      <c r="V91" s="930"/>
      <c r="W91" s="966">
        <f>(W89*(AK91*AX90/(AK89*'1-Eng Inputs'!$C$38))+W92*(AK91*AX92/(AK92*'1-Eng Inputs'!$C$38)))</f>
        <v>288</v>
      </c>
      <c r="X91" s="930"/>
      <c r="Y91" s="966">
        <f>(Y89*(AM91*AZ90/(AM89*'1-Eng Inputs'!$C$38))+Y92*(AM91*AZ92/(AM92*'1-Eng Inputs'!$C$38)))</f>
        <v>32</v>
      </c>
      <c r="Z91" s="930"/>
      <c r="AF91" s="953"/>
      <c r="AG91" s="930">
        <v>5</v>
      </c>
      <c r="AH91" s="947"/>
      <c r="AI91" s="946">
        <f>$AI$88</f>
        <v>314.68602757510439</v>
      </c>
      <c r="AJ91" s="947"/>
      <c r="AK91" s="946">
        <f>AK88</f>
        <v>263.94602389842385</v>
      </c>
      <c r="AL91" s="947"/>
      <c r="AM91" s="946">
        <f>$AI$88</f>
        <v>314.68602757510439</v>
      </c>
      <c r="AN91" s="1061"/>
      <c r="AT91" s="933"/>
      <c r="AU91" s="932"/>
      <c r="AV91" s="948"/>
      <c r="AX91" s="948"/>
      <c r="AZ91" s="948"/>
      <c r="BG91" s="953"/>
      <c r="BH91" s="930">
        <v>5</v>
      </c>
      <c r="BI91" s="947"/>
      <c r="BJ91" s="946">
        <f>AI91</f>
        <v>314.68602757510439</v>
      </c>
      <c r="BK91" s="930"/>
      <c r="BL91" s="946">
        <f>AK91</f>
        <v>263.94602389842385</v>
      </c>
      <c r="BM91" s="930"/>
      <c r="BN91" s="946">
        <f>AM91</f>
        <v>314.68602757510439</v>
      </c>
      <c r="BO91" s="930"/>
      <c r="BW91" s="929"/>
      <c r="BX91" s="928"/>
      <c r="CH91" s="929"/>
      <c r="FC91" s="928"/>
    </row>
    <row r="92" spans="3:159">
      <c r="D92" s="953"/>
      <c r="E92" s="936"/>
      <c r="F92" s="1431">
        <f>IF($N$4="NO",ROUNDUP(BJ92-0.00499,0),LEFT(BJ92,1)+(IF(BJ92-LEFT(BJ92,1)&lt;0.00499,0,IF(BJ92-LEFT(BJ92,1)-0.00499&lt;('1-Eng Inputs'!$C$39/'1-Eng Inputs'!$C$38),0.5,1))))</f>
        <v>10</v>
      </c>
      <c r="G92" s="930"/>
      <c r="H92" s="1431">
        <f>IF($N$4="NO",ROUNDUP(BL92-0.00499,0),LEFT(BL92,1)+(IF(BL92-LEFT(BL92,1)&lt;0.00499,0,IF(BL92-LEFT(BL92,1)-0.00499&lt;('1-Eng Inputs'!$C$39/'1-Eng Inputs'!$C$38),0.5,1))))</f>
        <v>9</v>
      </c>
      <c r="I92" s="930"/>
      <c r="J92" s="1431">
        <f>IF($N$4="NO",ROUNDUP(BN92-0.00499,0),LEFT(BN92,1)+(IF(BN92-LEFT(BN92,1)&lt;0.00499,0,IF(BN92-LEFT(BN92,1)-0.00499&lt;('1-Eng Inputs'!$C$39/'1-Eng Inputs'!$C$38),0.5,1))))</f>
        <v>10</v>
      </c>
      <c r="K92" s="930"/>
      <c r="L92" s="1438"/>
      <c r="S92" s="953"/>
      <c r="U92" s="1441">
        <f>IF(LEFT(F92,3)-LEFT(F92,1)=0.5,'1-Eng Inputs'!$C$39,0)+LEFT(F92,1)*'1-Eng Inputs'!$C$38</f>
        <v>32</v>
      </c>
      <c r="W92" s="1441">
        <f>IF(LEFT(H92,3)-LEFT(H92,1)=0.5,'1-Eng Inputs'!$C$39,0)+LEFT(H92,1)*'1-Eng Inputs'!$C$38</f>
        <v>288</v>
      </c>
      <c r="Y92" s="1441">
        <f>IF(LEFT(J92,3)-LEFT(J92,1)=0.5,'1-Eng Inputs'!$C$39,0)+LEFT(J92,1)*'1-Eng Inputs'!$C$38</f>
        <v>32</v>
      </c>
      <c r="AA92" s="1433"/>
      <c r="AG92" s="953"/>
      <c r="AI92" s="1441">
        <f>(AI91*AV92+AI94*AV93)/'1-Eng Inputs'!$C$38</f>
        <v>9.8339383617220122</v>
      </c>
      <c r="AJ92" s="964"/>
      <c r="AK92" s="1441">
        <f>(AK91*AX92+AK94*AX93)/'1-Eng Inputs'!$C$38</f>
        <v>8.2483132468257452</v>
      </c>
      <c r="AL92" s="964"/>
      <c r="AM92" s="1441">
        <f>(AM91*AZ92+AM94*AZ93)/'1-Eng Inputs'!$C$38</f>
        <v>9.8339383617220122</v>
      </c>
      <c r="AN92" s="959"/>
      <c r="AO92" s="1433"/>
      <c r="AV92" s="952">
        <v>0.5</v>
      </c>
      <c r="AX92" s="952">
        <v>0.5</v>
      </c>
      <c r="AZ92" s="952">
        <v>0.5</v>
      </c>
      <c r="BH92" s="953"/>
      <c r="BJ92" s="1441">
        <f>AI92</f>
        <v>9.8339383617220122</v>
      </c>
      <c r="BK92" s="964"/>
      <c r="BL92" s="1441">
        <f>AK92</f>
        <v>8.2483132468257452</v>
      </c>
      <c r="BM92" s="964"/>
      <c r="BN92" s="1441">
        <f>AM92</f>
        <v>9.8339383617220122</v>
      </c>
      <c r="BO92" s="964"/>
      <c r="BP92" s="1433"/>
    </row>
    <row r="93" spans="3:159" ht="12.75" hidden="1" customHeight="1">
      <c r="D93" s="953"/>
      <c r="E93" s="936"/>
      <c r="F93" s="1432"/>
      <c r="G93" s="930"/>
      <c r="H93" s="1432"/>
      <c r="I93" s="930"/>
      <c r="J93" s="1432"/>
      <c r="K93" s="930"/>
      <c r="L93" s="1438"/>
      <c r="M93" s="1433"/>
      <c r="N93" s="1433"/>
      <c r="O93" s="1433"/>
      <c r="P93" s="1433"/>
      <c r="Q93" s="945"/>
      <c r="S93" s="953"/>
      <c r="U93" s="1442"/>
      <c r="V93" s="1434"/>
      <c r="W93" s="1442"/>
      <c r="X93" s="1434"/>
      <c r="Y93" s="1442"/>
      <c r="Z93" s="1434"/>
      <c r="AA93" s="1433"/>
      <c r="AB93" s="1433"/>
      <c r="AC93" s="1433"/>
      <c r="AD93" s="1433"/>
      <c r="AG93" s="953"/>
      <c r="AI93" s="1442"/>
      <c r="AJ93" s="1434"/>
      <c r="AK93" s="1442"/>
      <c r="AL93" s="1434"/>
      <c r="AM93" s="1442"/>
      <c r="AN93" s="940"/>
      <c r="AO93" s="1433"/>
      <c r="AP93" s="1433"/>
      <c r="AQ93" s="1433"/>
      <c r="AR93" s="1433"/>
      <c r="AU93" s="944"/>
      <c r="AV93" s="951">
        <v>0.5</v>
      </c>
      <c r="AX93" s="951">
        <v>0.5</v>
      </c>
      <c r="AZ93" s="951">
        <v>0.5</v>
      </c>
      <c r="BB93" s="944"/>
      <c r="BC93" s="944"/>
      <c r="BD93" s="944"/>
      <c r="BE93" s="944"/>
      <c r="BF93" s="943"/>
      <c r="BH93" s="953"/>
      <c r="BJ93" s="1442"/>
      <c r="BK93" s="1434"/>
      <c r="BL93" s="1442"/>
      <c r="BM93" s="1434"/>
      <c r="BN93" s="1442"/>
      <c r="BO93" s="1434"/>
      <c r="BP93" s="1433"/>
      <c r="BQ93" s="1433"/>
      <c r="BR93" s="1433"/>
      <c r="BS93" s="1433"/>
      <c r="BT93" s="1433"/>
      <c r="BU93" s="1433"/>
      <c r="BV93" s="1433"/>
    </row>
    <row r="94" spans="3:159" ht="24.75" customHeight="1">
      <c r="C94" s="953"/>
      <c r="D94" s="936">
        <v>6</v>
      </c>
      <c r="E94" s="947"/>
      <c r="F94" s="950" t="s">
        <v>19427</v>
      </c>
      <c r="G94" s="930"/>
      <c r="H94" s="950" t="s">
        <v>19427</v>
      </c>
      <c r="I94" s="930"/>
      <c r="J94" s="950" t="s">
        <v>19427</v>
      </c>
      <c r="K94" s="930"/>
      <c r="R94" s="953"/>
      <c r="S94" s="930"/>
      <c r="U94" s="966">
        <f>(U92*(AI94*AV93/(AI92*'1-Eng Inputs'!$C$38))+U95*(AI94*AV95/(AI95*'1-Eng Inputs'!$C$38)))</f>
        <v>32</v>
      </c>
      <c r="V94" s="930"/>
      <c r="W94" s="966">
        <f>(W92*(AK94*AX93/(AK92*'1-Eng Inputs'!$C$38))+W95*(AK94*AX95/(AK95*'1-Eng Inputs'!$C$38)))</f>
        <v>288</v>
      </c>
      <c r="X94" s="930"/>
      <c r="Y94" s="966">
        <f>(Y92*(AM94*AZ93/(AM92*'1-Eng Inputs'!$C$38))+Y95*(AM94*AZ95/(AM95*'1-Eng Inputs'!$C$38)))</f>
        <v>32</v>
      </c>
      <c r="Z94" s="930"/>
      <c r="AF94" s="953"/>
      <c r="AG94" s="930">
        <v>6</v>
      </c>
      <c r="AH94" s="947"/>
      <c r="AI94" s="1178">
        <f>'Land Calcs 5deg (lift)'!N27</f>
        <v>314.68602757510439</v>
      </c>
      <c r="AJ94" s="947"/>
      <c r="AK94" s="949">
        <f>'Land Calcs 5deg (lift)'!O27</f>
        <v>263.94602389842385</v>
      </c>
      <c r="AL94" s="947"/>
      <c r="AM94" s="946">
        <f>$AI$94</f>
        <v>314.68602757510439</v>
      </c>
      <c r="AN94" s="1061"/>
      <c r="AT94" s="933"/>
      <c r="AU94" s="932"/>
      <c r="AV94" s="948"/>
      <c r="AX94" s="948"/>
      <c r="AZ94" s="948"/>
      <c r="BG94" s="953"/>
      <c r="BH94" s="930">
        <v>6</v>
      </c>
      <c r="BI94" s="947"/>
      <c r="BJ94" s="946">
        <f>AI94</f>
        <v>314.68602757510439</v>
      </c>
      <c r="BK94" s="930"/>
      <c r="BL94" s="946">
        <f>AK94</f>
        <v>263.94602389842385</v>
      </c>
      <c r="BM94" s="930"/>
      <c r="BN94" s="946">
        <f>AM94</f>
        <v>314.68602757510439</v>
      </c>
      <c r="BO94" s="930"/>
      <c r="BW94" s="929"/>
      <c r="BX94" s="928"/>
      <c r="CH94" s="929"/>
      <c r="FC94" s="928"/>
    </row>
    <row r="95" spans="3:159">
      <c r="D95" s="953"/>
      <c r="E95" s="936"/>
      <c r="F95" s="1431">
        <f>IF($N$4="NO",ROUNDUP(BJ95-0.00499,0),LEFT(BJ95,1)+(IF(BJ95-LEFT(BJ95,1)&lt;0.00499,0,IF(BJ95-LEFT(BJ95,1)-0.00499&lt;('1-Eng Inputs'!$C$39/'1-Eng Inputs'!$C$38),0.5,1))))</f>
        <v>10</v>
      </c>
      <c r="G95" s="930"/>
      <c r="H95" s="1431">
        <f>IF($N$4="NO",ROUNDUP(BL95-0.00499,0),LEFT(BL95,1)+(IF(BL95-LEFT(BL95,1)&lt;0.00499,0,IF(BL95-LEFT(BL95,1)-0.00499&lt;('1-Eng Inputs'!$C$39/'1-Eng Inputs'!$C$38),0.5,1))))</f>
        <v>9</v>
      </c>
      <c r="I95" s="930"/>
      <c r="J95" s="1431">
        <f>IF($N$4="NO",ROUNDUP(BN95-0.00499,0),LEFT(BN95,1)+(IF(BN95-LEFT(BN95,1)&lt;0.00499,0,IF(BN95-LEFT(BN95,1)-0.00499&lt;('1-Eng Inputs'!$C$39/'1-Eng Inputs'!$C$38),0.5,1))))</f>
        <v>10</v>
      </c>
      <c r="K95" s="930"/>
      <c r="L95" s="1438"/>
      <c r="S95" s="953"/>
      <c r="U95" s="1441">
        <f>IF(LEFT(F95,3)-LEFT(F95,1)=0.5,'1-Eng Inputs'!$C$39,0)+LEFT(F95,1)*'1-Eng Inputs'!$C$38</f>
        <v>32</v>
      </c>
      <c r="W95" s="1441">
        <f>IF(LEFT(H95,3)-LEFT(H95,1)=0.5,'1-Eng Inputs'!$C$39,0)+LEFT(H95,1)*'1-Eng Inputs'!$C$38</f>
        <v>288</v>
      </c>
      <c r="Y95" s="1441">
        <f>IF(LEFT(J95,3)-LEFT(J95,1)=0.5,'1-Eng Inputs'!$C$39,0)+LEFT(J95,1)*'1-Eng Inputs'!$C$38</f>
        <v>32</v>
      </c>
      <c r="AA95" s="1433"/>
      <c r="AG95" s="953"/>
      <c r="AI95" s="1441">
        <f>(AI94*AV95+AI97*AV96)/'1-Eng Inputs'!$C$38</f>
        <v>9.8339383617220122</v>
      </c>
      <c r="AJ95" s="964"/>
      <c r="AK95" s="1441">
        <f>(AK94*AX95+AK97*AX96)/'1-Eng Inputs'!$C$38</f>
        <v>8.2483132468257452</v>
      </c>
      <c r="AL95" s="964"/>
      <c r="AM95" s="1441">
        <f>(AM94*AZ95+AM97*AZ96)/'1-Eng Inputs'!$C$38</f>
        <v>9.8339383617220122</v>
      </c>
      <c r="AN95" s="957"/>
      <c r="AO95" s="1433"/>
      <c r="AV95" s="952">
        <v>0.5</v>
      </c>
      <c r="AX95" s="952">
        <v>0.5</v>
      </c>
      <c r="AZ95" s="952">
        <v>0.5</v>
      </c>
      <c r="BH95" s="953"/>
      <c r="BJ95" s="1441">
        <f>AI95</f>
        <v>9.8339383617220122</v>
      </c>
      <c r="BK95" s="964"/>
      <c r="BL95" s="1441">
        <f>AK95</f>
        <v>8.2483132468257452</v>
      </c>
      <c r="BM95" s="964"/>
      <c r="BN95" s="1441">
        <f>AM95</f>
        <v>9.8339383617220122</v>
      </c>
      <c r="BO95" s="964"/>
      <c r="BP95" s="1433"/>
    </row>
    <row r="96" spans="3:159" ht="12.75" hidden="1" customHeight="1">
      <c r="D96" s="953"/>
      <c r="E96" s="936"/>
      <c r="F96" s="1432"/>
      <c r="G96" s="930"/>
      <c r="H96" s="1432"/>
      <c r="I96" s="930"/>
      <c r="J96" s="1432"/>
      <c r="K96" s="930"/>
      <c r="L96" s="1438"/>
      <c r="M96" s="1433"/>
      <c r="N96" s="1433"/>
      <c r="O96" s="1433"/>
      <c r="P96" s="1433"/>
      <c r="Q96" s="945"/>
      <c r="S96" s="953"/>
      <c r="U96" s="1442"/>
      <c r="V96" s="1434"/>
      <c r="W96" s="1442"/>
      <c r="X96" s="1434"/>
      <c r="Y96" s="1442"/>
      <c r="Z96" s="1434"/>
      <c r="AA96" s="1433"/>
      <c r="AB96" s="1433"/>
      <c r="AC96" s="1433"/>
      <c r="AD96" s="1433"/>
      <c r="AG96" s="953"/>
      <c r="AI96" s="1442"/>
      <c r="AJ96" s="1434"/>
      <c r="AK96" s="1442"/>
      <c r="AL96" s="1434"/>
      <c r="AM96" s="1442"/>
      <c r="AN96" s="940"/>
      <c r="AO96" s="1433"/>
      <c r="AP96" s="1433"/>
      <c r="AQ96" s="1433"/>
      <c r="AR96" s="1433"/>
      <c r="AU96" s="944"/>
      <c r="AV96" s="951">
        <v>0.5</v>
      </c>
      <c r="AX96" s="951">
        <v>0.5</v>
      </c>
      <c r="AZ96" s="951">
        <v>0.5</v>
      </c>
      <c r="BB96" s="944"/>
      <c r="BC96" s="944"/>
      <c r="BD96" s="944"/>
      <c r="BE96" s="944"/>
      <c r="BF96" s="943"/>
      <c r="BH96" s="953"/>
      <c r="BJ96" s="1442"/>
      <c r="BK96" s="1434"/>
      <c r="BL96" s="1442"/>
      <c r="BM96" s="1434"/>
      <c r="BN96" s="1442"/>
      <c r="BO96" s="1434"/>
      <c r="BP96" s="1433"/>
      <c r="BQ96" s="1433"/>
      <c r="BR96" s="1433"/>
      <c r="BS96" s="1433"/>
      <c r="BT96" s="1433"/>
      <c r="BU96" s="1433"/>
      <c r="BV96" s="1433"/>
    </row>
    <row r="97" spans="1:159" ht="24.75" customHeight="1">
      <c r="C97" s="953"/>
      <c r="D97" s="936">
        <v>7</v>
      </c>
      <c r="E97" s="947"/>
      <c r="F97" s="950" t="s">
        <v>19427</v>
      </c>
      <c r="G97" s="930"/>
      <c r="H97" s="950" t="s">
        <v>19427</v>
      </c>
      <c r="I97" s="930"/>
      <c r="J97" s="950" t="s">
        <v>19427</v>
      </c>
      <c r="K97" s="930"/>
      <c r="R97" s="953"/>
      <c r="S97" s="930"/>
      <c r="U97" s="966">
        <f>(U95*(AI97*AV96/(AI95*'1-Eng Inputs'!$C$38))+U98*(AI97*AV98/(AI98*'1-Eng Inputs'!$C$38)))</f>
        <v>29.316132069178053</v>
      </c>
      <c r="V97" s="930"/>
      <c r="W97" s="966">
        <f>(W95*(AK97*AX96/(AK95*'1-Eng Inputs'!$C$38))+W98*(AK97*AX98/(AK98*'1-Eng Inputs'!$C$38)))</f>
        <v>156.90015308257077</v>
      </c>
      <c r="X97" s="930"/>
      <c r="Y97" s="966">
        <f>(Y95*(AM97*AZ96/(AM95*'1-Eng Inputs'!$C$38))+Y98*(AM97*AZ98/(AM98*'1-Eng Inputs'!$C$38)))</f>
        <v>29.316132069178053</v>
      </c>
      <c r="Z97" s="930"/>
      <c r="AF97" s="953"/>
      <c r="AG97" s="930">
        <v>7</v>
      </c>
      <c r="AH97" s="1159"/>
      <c r="AI97" s="946">
        <f>AI94</f>
        <v>314.68602757510439</v>
      </c>
      <c r="AJ97" s="947"/>
      <c r="AK97" s="946">
        <f>AK94</f>
        <v>263.94602389842385</v>
      </c>
      <c r="AL97" s="947"/>
      <c r="AM97" s="946">
        <f>$AI$97</f>
        <v>314.68602757510439</v>
      </c>
      <c r="AN97" s="1061"/>
      <c r="AT97" s="933"/>
      <c r="AU97" s="932"/>
      <c r="AV97" s="948"/>
      <c r="AX97" s="948"/>
      <c r="AZ97" s="948"/>
      <c r="BG97" s="953"/>
      <c r="BH97" s="930">
        <v>7</v>
      </c>
      <c r="BI97" s="947"/>
      <c r="BJ97" s="946">
        <f>AI97</f>
        <v>314.68602757510439</v>
      </c>
      <c r="BK97" s="930"/>
      <c r="BL97" s="946">
        <f>AK97</f>
        <v>263.94602389842385</v>
      </c>
      <c r="BM97" s="930"/>
      <c r="BN97" s="946">
        <f>AM97</f>
        <v>314.68602757510439</v>
      </c>
      <c r="BO97" s="930"/>
      <c r="BW97" s="929"/>
      <c r="BX97" s="928"/>
      <c r="CH97" s="929"/>
      <c r="FC97" s="928"/>
    </row>
    <row r="98" spans="1:159" ht="12" customHeight="1">
      <c r="D98" s="953"/>
      <c r="E98" s="936"/>
      <c r="F98" s="1431">
        <f>IF($N$4="NO",ROUNDUP(BJ98-0.00499,0),LEFT(BJ98,1)+(IF(BJ98-LEFT(BJ98,1)&lt;0.00499,0,IF(BJ98-LEFT(BJ98,1)-0.00499&lt;('1-Eng Inputs'!$C$39/'1-Eng Inputs'!$C$38),0.5,1))))</f>
        <v>12</v>
      </c>
      <c r="G98" s="930"/>
      <c r="H98" s="1431">
        <f>IF($N$4="NO",ROUNDUP(BL98-0.00499,0),LEFT(BL98,1)+(IF(BL98-LEFT(BL98,1)&lt;0.00499,0,IF(BL98-LEFT(BL98,1)-0.00499&lt;('1-Eng Inputs'!$C$39/'1-Eng Inputs'!$C$38),0.5,1))))</f>
        <v>11</v>
      </c>
      <c r="I98" s="930"/>
      <c r="J98" s="1431">
        <f>IF($N$4="NO",ROUNDUP(BN98-0.00499,0),LEFT(BN98,1)+(IF(BN98-LEFT(BN98,1)&lt;0.00499,0,IF(BN98-LEFT(BN98,1)-0.00499&lt;('1-Eng Inputs'!$C$39/'1-Eng Inputs'!$C$38),0.5,1))))</f>
        <v>12</v>
      </c>
      <c r="K98" s="930"/>
      <c r="L98" s="1438"/>
      <c r="S98" s="953"/>
      <c r="U98" s="1441">
        <f>IF(LEFT(F98,3)-LEFT(F98,1)=0.5,'1-Eng Inputs'!$C$39,0)+LEFT(F98,1)*'1-Eng Inputs'!$C$38</f>
        <v>32</v>
      </c>
      <c r="V98" s="954"/>
      <c r="W98" s="1441">
        <f>IF(LEFT(H98,3)-LEFT(H98,1)=0.5,'1-Eng Inputs'!$C$39,0)+LEFT(H98,1)*'1-Eng Inputs'!$C$38</f>
        <v>32</v>
      </c>
      <c r="X98" s="954"/>
      <c r="Y98" s="1441">
        <f>IF(LEFT(J98,3)-LEFT(J98,1)=0.5,'1-Eng Inputs'!$C$39,0)+LEFT(J98,1)*'1-Eng Inputs'!$C$38</f>
        <v>32</v>
      </c>
      <c r="Z98" s="954"/>
      <c r="AA98" s="1433"/>
      <c r="AG98" s="953"/>
      <c r="AI98" s="1441">
        <f>(AI97*AV98+AI100*AV99)/'1-Eng Inputs'!$C$38</f>
        <v>11.815969755342346</v>
      </c>
      <c r="AJ98" s="954"/>
      <c r="AK98" s="1441">
        <f>(AK97*AX98+AK100*AX99)/'1-Eng Inputs'!$C$38</f>
        <v>10.230344640446079</v>
      </c>
      <c r="AL98" s="954"/>
      <c r="AM98" s="1441">
        <f>(AM97*AZ98+AM100*AZ99)/'1-Eng Inputs'!$C$38</f>
        <v>11.815969755342346</v>
      </c>
      <c r="AN98" s="955"/>
      <c r="AO98" s="1433"/>
      <c r="AV98" s="952">
        <v>0.5</v>
      </c>
      <c r="AX98" s="952">
        <v>0.5</v>
      </c>
      <c r="AZ98" s="952">
        <v>0.5</v>
      </c>
      <c r="BH98" s="953"/>
      <c r="BJ98" s="1441">
        <f>AI98</f>
        <v>11.815969755342346</v>
      </c>
      <c r="BK98" s="954"/>
      <c r="BL98" s="1441">
        <f>AK98</f>
        <v>10.230344640446079</v>
      </c>
      <c r="BM98" s="954"/>
      <c r="BN98" s="1441">
        <f>AM98</f>
        <v>11.815969755342346</v>
      </c>
      <c r="BO98" s="954"/>
      <c r="BP98" s="1433"/>
    </row>
    <row r="99" spans="1:159" ht="12.75" hidden="1" customHeight="1">
      <c r="D99" s="953"/>
      <c r="E99" s="936"/>
      <c r="F99" s="1432"/>
      <c r="G99" s="930"/>
      <c r="H99" s="1432"/>
      <c r="I99" s="930"/>
      <c r="J99" s="1432"/>
      <c r="K99" s="930"/>
      <c r="L99" s="1438"/>
      <c r="S99" s="953"/>
      <c r="U99" s="1442"/>
      <c r="V99" s="1434"/>
      <c r="W99" s="1442"/>
      <c r="X99" s="1434"/>
      <c r="Y99" s="1442"/>
      <c r="Z99" s="1434"/>
      <c r="AA99" s="1433"/>
      <c r="AG99" s="953"/>
      <c r="AI99" s="1442"/>
      <c r="AJ99" s="1434"/>
      <c r="AK99" s="1442"/>
      <c r="AL99" s="1434"/>
      <c r="AM99" s="1442"/>
      <c r="AN99" s="940"/>
      <c r="AO99" s="1433"/>
      <c r="AV99" s="951">
        <v>0.5</v>
      </c>
      <c r="AX99" s="951">
        <v>0.5</v>
      </c>
      <c r="AZ99" s="951">
        <v>0.5</v>
      </c>
      <c r="BH99" s="953"/>
      <c r="BJ99" s="1442"/>
      <c r="BK99" s="1434"/>
      <c r="BL99" s="1442"/>
      <c r="BM99" s="1434"/>
      <c r="BN99" s="1442"/>
      <c r="BO99" s="1434"/>
      <c r="BP99" s="1433"/>
    </row>
    <row r="100" spans="1:159" ht="24.75" customHeight="1">
      <c r="C100" s="953"/>
      <c r="D100" s="936">
        <v>8</v>
      </c>
      <c r="E100" s="947"/>
      <c r="F100" s="950" t="s">
        <v>19427</v>
      </c>
      <c r="G100" s="930"/>
      <c r="H100" s="950" t="s">
        <v>19427</v>
      </c>
      <c r="I100" s="930"/>
      <c r="J100" s="950" t="s">
        <v>19427</v>
      </c>
      <c r="K100" s="930"/>
      <c r="L100" s="1433"/>
      <c r="M100" s="1433"/>
      <c r="N100" s="1433"/>
      <c r="O100" s="1433"/>
      <c r="P100" s="1433"/>
      <c r="Q100" s="945"/>
      <c r="R100" s="953"/>
      <c r="S100" s="930"/>
      <c r="U100" s="966">
        <f>U98*(AI100*AV99/(AI98*'1-Eng Inputs'!$C$38))+U101*(AI100*AV101/(AI101*'1-Eng Inputs'!$C$38))</f>
        <v>38.683867930821947</v>
      </c>
      <c r="V100" s="930"/>
      <c r="W100" s="966">
        <f>W98*(AK100*AX99/(AK98*'1-Eng Inputs'!$C$38))+W101*(AK100*AX101/(AK101*'1-Eng Inputs'!$C$38))</f>
        <v>39.099846917429218</v>
      </c>
      <c r="X100" s="930"/>
      <c r="Y100" s="966">
        <f>Y98*(AM100*AZ99/(AM98*'1-Eng Inputs'!$C$38))+Y101*(AM100*AZ101/(AM101*'1-Eng Inputs'!$C$38))</f>
        <v>38.683867930821947</v>
      </c>
      <c r="Z100" s="930"/>
      <c r="AA100" s="1433"/>
      <c r="AB100" s="1433"/>
      <c r="AC100" s="1433"/>
      <c r="AD100" s="1433"/>
      <c r="AF100" s="953"/>
      <c r="AG100" s="930">
        <v>8</v>
      </c>
      <c r="AH100" s="947"/>
      <c r="AI100" s="949">
        <f>'Land Calcs 5deg (lift)'!I27</f>
        <v>441.53603676680575</v>
      </c>
      <c r="AJ100" s="947"/>
      <c r="AK100" s="949">
        <f>'Land Calcs 5deg (lift)'!J27</f>
        <v>390.79603309012521</v>
      </c>
      <c r="AL100" s="947"/>
      <c r="AM100" s="946">
        <f>AI100</f>
        <v>441.53603676680575</v>
      </c>
      <c r="AN100" s="949"/>
      <c r="AO100" s="1433"/>
      <c r="AP100" s="1433"/>
      <c r="AQ100" s="1433"/>
      <c r="AR100" s="1433"/>
      <c r="AT100" s="944"/>
      <c r="AU100" s="932"/>
      <c r="AV100" s="948"/>
      <c r="AX100" s="948"/>
      <c r="AZ100" s="948"/>
      <c r="BB100" s="944"/>
      <c r="BC100" s="944"/>
      <c r="BD100" s="944"/>
      <c r="BE100" s="944"/>
      <c r="BF100" s="943"/>
      <c r="BG100" s="953"/>
      <c r="BH100" s="930">
        <v>8</v>
      </c>
      <c r="BI100" s="947"/>
      <c r="BJ100" s="946">
        <f>AI100</f>
        <v>441.53603676680575</v>
      </c>
      <c r="BK100" s="930"/>
      <c r="BL100" s="946">
        <f>AK100</f>
        <v>390.79603309012521</v>
      </c>
      <c r="BM100" s="930"/>
      <c r="BN100" s="946">
        <f>AM100</f>
        <v>441.53603676680575</v>
      </c>
      <c r="BO100" s="930"/>
      <c r="BP100" s="1433"/>
      <c r="BQ100" s="1433"/>
      <c r="BR100" s="1433"/>
      <c r="BS100" s="1433"/>
      <c r="BT100" s="1433"/>
      <c r="BU100" s="1433"/>
      <c r="BW100" s="929"/>
      <c r="BX100" s="928"/>
      <c r="CH100" s="929"/>
      <c r="FC100" s="928"/>
    </row>
    <row r="101" spans="1:159" ht="12.75" hidden="1" customHeight="1">
      <c r="E101" s="936"/>
      <c r="K101" s="930"/>
      <c r="L101" s="1438"/>
      <c r="U101" s="1441">
        <f>U102/factors!$D$4</f>
        <v>20</v>
      </c>
      <c r="V101" s="1434"/>
      <c r="W101" s="1441">
        <f>W102/factors!$D$4</f>
        <v>20</v>
      </c>
      <c r="X101" s="1434"/>
      <c r="Y101" s="1441">
        <f>Y102/factors!$D$4</f>
        <v>20</v>
      </c>
      <c r="Z101" s="1434"/>
      <c r="AA101" s="1433"/>
      <c r="AI101" s="1441">
        <f>(AI100*AV101)/'1-Eng Inputs'!$C$38</f>
        <v>6.8990005744813399</v>
      </c>
      <c r="AK101" s="1441">
        <f>(AK100*AX101)/'1-Eng Inputs'!$C$38</f>
        <v>6.1061880170332063</v>
      </c>
      <c r="AM101" s="1441">
        <f>(AM100*AZ101)/'1-Eng Inputs'!$C$38</f>
        <v>6.8990005744813399</v>
      </c>
      <c r="AN101" s="959"/>
      <c r="AO101" s="1433"/>
      <c r="AV101" s="1439">
        <v>0.5</v>
      </c>
      <c r="AX101" s="1439">
        <v>0.5</v>
      </c>
      <c r="AZ101" s="1439">
        <v>0.5</v>
      </c>
      <c r="BJ101" s="1441">
        <f>BJ102/factors!$B$4</f>
        <v>6.8990005744813399</v>
      </c>
      <c r="BL101" s="1441">
        <f>BL102/factors!$B$4</f>
        <v>6.1061880170332072</v>
      </c>
      <c r="BN101" s="1441">
        <f>BN102/factors!$B$4</f>
        <v>6.8990005744813399</v>
      </c>
      <c r="BP101" s="1433"/>
    </row>
    <row r="102" spans="1:159">
      <c r="E102" s="936"/>
      <c r="F102" s="1515">
        <f>IF($N$4="NO",ROUNDUP(BJ102-0.00499,0),LEFT(BJ102,1)+(IF(BJ102-LEFT(BJ102,1)&lt;0.00499,0,IF(BJ102-LEFT(BJ102,1)-0.00499&lt;('1-Eng Inputs'!$C$39/'1-Eng Inputs'!$C$38),0.5,1))))</f>
        <v>12</v>
      </c>
      <c r="G102" s="930"/>
      <c r="H102" s="1515">
        <f>IF($N$4="NO",ROUNDUP(BL102-0.00499,0),LEFT(BL102,1)+(IF(BL102-LEFT(BL102,1)&lt;0.00499,0,IF(BL102-LEFT(BL102,1)-0.00499&lt;('1-Eng Inputs'!$C$39/'1-Eng Inputs'!$C$38),0.5,1))))</f>
        <v>10</v>
      </c>
      <c r="I102" s="930"/>
      <c r="J102" s="1515">
        <f>IF($N$4="NO",ROUNDUP(BN102-0.00499,0),LEFT(BN102,1)+(IF(BN102-LEFT(BN102,1)&lt;0.00499,0,IF(BN102-LEFT(BN102,1)-0.00499&lt;('1-Eng Inputs'!$C$39/'1-Eng Inputs'!$C$38),0.5,1))))</f>
        <v>12</v>
      </c>
      <c r="K102" s="930"/>
      <c r="L102" s="1438"/>
      <c r="M102" s="1433"/>
      <c r="N102" s="1433"/>
      <c r="O102" s="1433"/>
      <c r="P102" s="1433"/>
      <c r="Q102" s="945"/>
      <c r="U102" s="1442">
        <f>IF(LEFT(F102,3)-LEFT(F102,1)=0.5,'1-Eng Inputs'!$C$39,0)+LEFT(F102,1)*'1-Eng Inputs'!$C$38</f>
        <v>32</v>
      </c>
      <c r="V102" s="964"/>
      <c r="W102" s="1442">
        <f>IF(LEFT(H102,3)-LEFT(H102,1)=0.5,'1-Eng Inputs'!$C$39,0)+LEFT(H102,1)*'1-Eng Inputs'!$C$38</f>
        <v>32</v>
      </c>
      <c r="X102" s="964"/>
      <c r="Y102" s="1442">
        <f>IF(LEFT(J102,3)-LEFT(J102,1)=0.5,'1-Eng Inputs'!$C$39,0)+LEFT(J102,1)*'1-Eng Inputs'!$C$38</f>
        <v>32</v>
      </c>
      <c r="Z102" s="964"/>
      <c r="AA102" s="1433"/>
      <c r="AB102" s="1433"/>
      <c r="AC102" s="1433"/>
      <c r="AD102" s="1433"/>
      <c r="AI102" s="1442">
        <f>AI101*factors!$D$4</f>
        <v>11.038400919170144</v>
      </c>
      <c r="AJ102" s="964"/>
      <c r="AK102" s="1442">
        <f>AK101*factors!$D$4</f>
        <v>9.7699008272531316</v>
      </c>
      <c r="AL102" s="964"/>
      <c r="AM102" s="1442">
        <f>AM101*factors!$D$4</f>
        <v>11.038400919170144</v>
      </c>
      <c r="AN102" s="957"/>
      <c r="AO102" s="1433"/>
      <c r="AP102" s="1433"/>
      <c r="AQ102" s="1433"/>
      <c r="AR102" s="1433"/>
      <c r="AU102" s="944"/>
      <c r="AV102" s="1440"/>
      <c r="AX102" s="1440"/>
      <c r="AZ102" s="1440"/>
      <c r="BB102" s="944"/>
      <c r="BC102" s="944"/>
      <c r="BD102" s="944"/>
      <c r="BE102" s="944"/>
      <c r="BF102" s="943"/>
      <c r="BJ102" s="1442">
        <f>AI102</f>
        <v>11.038400919170144</v>
      </c>
      <c r="BK102" s="1434"/>
      <c r="BL102" s="1442">
        <f>AK102</f>
        <v>9.7699008272531316</v>
      </c>
      <c r="BM102" s="964"/>
      <c r="BN102" s="1442">
        <f>AM102</f>
        <v>11.038400919170144</v>
      </c>
      <c r="BO102" s="964"/>
      <c r="BP102" s="1433"/>
      <c r="BQ102" s="1433"/>
      <c r="BR102" s="1433"/>
      <c r="BS102" s="1433"/>
      <c r="BT102" s="1433"/>
      <c r="BU102" s="1433"/>
      <c r="BV102" s="1433"/>
    </row>
    <row r="103" spans="1:159">
      <c r="E103" s="936"/>
      <c r="F103" s="1438"/>
      <c r="G103" s="930"/>
      <c r="H103" s="1438"/>
      <c r="I103" s="930"/>
      <c r="J103" s="1438"/>
      <c r="K103" s="930"/>
      <c r="L103" s="1438"/>
      <c r="M103" s="1433"/>
      <c r="N103" s="1433"/>
      <c r="O103" s="1433"/>
      <c r="P103" s="1433"/>
      <c r="Q103" s="945"/>
      <c r="U103" s="1433"/>
      <c r="V103" s="964"/>
      <c r="W103" s="1433"/>
      <c r="X103" s="964"/>
      <c r="Y103" s="1433"/>
      <c r="Z103" s="964"/>
      <c r="AA103" s="1433"/>
      <c r="AB103" s="1433"/>
      <c r="AC103" s="1433"/>
      <c r="AD103" s="1433"/>
      <c r="AI103" s="1433"/>
      <c r="AJ103" s="964"/>
      <c r="AK103" s="1433"/>
      <c r="AL103" s="964"/>
      <c r="AM103" s="1433"/>
      <c r="AN103" s="964"/>
      <c r="AO103" s="1433"/>
      <c r="AP103" s="1433"/>
      <c r="AQ103" s="1433"/>
      <c r="AR103" s="1433"/>
      <c r="AU103" s="944"/>
      <c r="AV103" s="944"/>
      <c r="AX103" s="944"/>
      <c r="AZ103" s="944"/>
      <c r="BB103" s="944"/>
      <c r="BC103" s="944"/>
      <c r="BD103" s="944"/>
      <c r="BE103" s="944"/>
      <c r="BF103" s="943"/>
      <c r="BJ103" s="1433"/>
      <c r="BK103" s="964"/>
      <c r="BL103" s="1433"/>
      <c r="BM103" s="964"/>
      <c r="BN103" s="1433"/>
      <c r="BO103" s="964"/>
      <c r="BP103" s="1433"/>
      <c r="BQ103" s="1433"/>
      <c r="BR103" s="1433"/>
      <c r="BS103" s="1433"/>
      <c r="BT103" s="1433"/>
      <c r="BU103" s="1433"/>
      <c r="BV103" s="1433"/>
    </row>
    <row r="104" spans="1:159">
      <c r="A104" s="959" t="s">
        <v>19436</v>
      </c>
      <c r="E104" s="936"/>
      <c r="S104" s="959"/>
      <c r="AG104" s="959" t="s">
        <v>19451</v>
      </c>
      <c r="BH104" s="959" t="s">
        <v>19445</v>
      </c>
    </row>
    <row r="105" spans="1:159" ht="12.75" customHeight="1">
      <c r="B105" s="1433"/>
      <c r="C105" s="954"/>
      <c r="D105" s="936"/>
      <c r="E105" s="928"/>
      <c r="F105" s="928" t="s">
        <v>233</v>
      </c>
      <c r="R105" s="954"/>
      <c r="S105" s="930"/>
      <c r="T105" s="928"/>
      <c r="AF105" s="954"/>
      <c r="AG105" s="930"/>
      <c r="AH105" s="928"/>
      <c r="AI105" s="928" t="s">
        <v>233</v>
      </c>
      <c r="AL105" s="1464" t="s">
        <v>20056</v>
      </c>
      <c r="AT105" s="965" t="s">
        <v>19376</v>
      </c>
      <c r="AU105" s="932"/>
      <c r="BE105" s="933"/>
      <c r="BF105" s="963"/>
      <c r="BG105" s="954"/>
      <c r="BH105" s="930"/>
      <c r="BI105" s="928"/>
      <c r="BJ105" s="928" t="s">
        <v>233</v>
      </c>
      <c r="BW105" s="929"/>
      <c r="BX105" s="928"/>
      <c r="CH105" s="929"/>
      <c r="FC105" s="928"/>
    </row>
    <row r="106" spans="1:159" ht="12.75" customHeight="1">
      <c r="B106" s="1433"/>
      <c r="C106" s="954"/>
      <c r="D106" s="936"/>
      <c r="E106" s="930"/>
      <c r="F106" s="936">
        <v>1</v>
      </c>
      <c r="G106" s="936"/>
      <c r="H106" s="936">
        <v>2</v>
      </c>
      <c r="I106" s="930"/>
      <c r="J106" s="930"/>
      <c r="K106" s="930"/>
      <c r="L106" s="930"/>
      <c r="M106" s="930"/>
      <c r="N106" s="930"/>
      <c r="O106" s="930"/>
      <c r="P106" s="930"/>
      <c r="Q106" s="969"/>
      <c r="R106" s="954"/>
      <c r="S106" s="930"/>
      <c r="U106" s="936"/>
      <c r="V106" s="936"/>
      <c r="W106" s="936"/>
      <c r="X106" s="936"/>
      <c r="Y106" s="930"/>
      <c r="Z106" s="930"/>
      <c r="AA106" s="930"/>
      <c r="AB106" s="930"/>
      <c r="AC106" s="930"/>
      <c r="AD106" s="930"/>
      <c r="AE106" s="930"/>
      <c r="AF106" s="954"/>
      <c r="AG106" s="930"/>
      <c r="AI106" s="936">
        <v>1</v>
      </c>
      <c r="AJ106" s="936"/>
      <c r="AK106" s="936">
        <v>2</v>
      </c>
      <c r="AL106" s="956" t="s">
        <v>20057</v>
      </c>
      <c r="AM106" s="930"/>
      <c r="AN106" s="930"/>
      <c r="AO106" s="930"/>
      <c r="AP106" s="930"/>
      <c r="AQ106" s="930"/>
      <c r="AR106" s="930"/>
      <c r="AS106" s="930"/>
      <c r="AT106" s="933"/>
      <c r="AU106" s="932"/>
      <c r="BE106" s="933"/>
      <c r="BF106" s="963"/>
      <c r="BG106" s="954"/>
      <c r="BH106" s="930"/>
      <c r="BJ106" s="936">
        <v>1</v>
      </c>
      <c r="BK106" s="936"/>
      <c r="BL106" s="936">
        <v>2</v>
      </c>
      <c r="BM106" s="936"/>
      <c r="BN106" s="930"/>
      <c r="BO106" s="930"/>
      <c r="BP106" s="930"/>
      <c r="BQ106" s="930"/>
      <c r="BR106" s="930"/>
      <c r="BS106" s="930"/>
      <c r="BT106" s="930"/>
      <c r="BU106" s="930"/>
      <c r="BW106" s="929"/>
      <c r="BX106" s="928"/>
      <c r="CH106" s="929"/>
      <c r="FC106" s="928"/>
    </row>
    <row r="107" spans="1:159">
      <c r="E107" s="936"/>
      <c r="F107" s="1431">
        <f>IF($N$4="NO",ROUNDUP(BJ107-0.00499,0),LEFT(BJ107,1)+(IF(BJ107-LEFT(BJ107,1)&lt;0.00499,0,IF(BJ107-LEFT(BJ107,1)-0.00499&lt;('1-Eng Inputs'!$C$39/'1-Eng Inputs'!$C$38),0.5,1))))</f>
        <v>13</v>
      </c>
      <c r="G107" s="930"/>
      <c r="H107" s="1431">
        <f>IF($N$4="NO",ROUNDUP(BL107-0.00499,0),LEFT(BL107,1)+(IF(BL107-LEFT(BL107,1)&lt;0.00499,0,IF(BL107-LEFT(BL107,1)-0.00499&lt;('1-Eng Inputs'!$C$39/'1-Eng Inputs'!$C$38),0.5,1))))</f>
        <v>13</v>
      </c>
      <c r="I107" s="930"/>
      <c r="J107" s="1438"/>
      <c r="U107" s="1449">
        <f>IF(LEFT(F107,3)-LEFT(F107,1)=0.5,'1-Eng Inputs'!$C$39,0)+LEFT(F107,1)*'1-Eng Inputs'!$C$38</f>
        <v>32</v>
      </c>
      <c r="W107" s="1449">
        <f>IF(LEFT(H107,3)-LEFT(H107,1)=0.5,'1-Eng Inputs'!$C$39,0)+LEFT(H107,1)*'1-Eng Inputs'!$C$38</f>
        <v>32</v>
      </c>
      <c r="Y107" s="1433"/>
      <c r="AI107" s="1449">
        <f>AI108*factors!$D$3</f>
        <v>12.418201034066412</v>
      </c>
      <c r="AK107" s="1449">
        <f>AK108*factors!$D$3</f>
        <v>12.418201034066412</v>
      </c>
      <c r="AM107" s="1433"/>
      <c r="AV107" s="1439">
        <v>0.5</v>
      </c>
      <c r="AX107" s="1439">
        <v>0.5</v>
      </c>
      <c r="BJ107" s="1449">
        <f>AI107</f>
        <v>12.418201034066412</v>
      </c>
      <c r="BL107" s="1449">
        <f>AK107</f>
        <v>12.418201034066412</v>
      </c>
      <c r="BN107" s="1433"/>
    </row>
    <row r="108" spans="1:159" ht="12.75" hidden="1" customHeight="1">
      <c r="E108" s="936"/>
      <c r="F108" s="1432"/>
      <c r="G108" s="930"/>
      <c r="H108" s="1432"/>
      <c r="I108" s="930"/>
      <c r="J108" s="1438"/>
      <c r="K108" s="930"/>
      <c r="L108" s="930"/>
      <c r="M108" s="930"/>
      <c r="N108" s="930"/>
      <c r="O108" s="930"/>
      <c r="P108" s="930"/>
      <c r="Q108" s="969"/>
      <c r="U108" s="1450">
        <f>U107/factors!$D$3</f>
        <v>17.777777777777779</v>
      </c>
      <c r="V108" s="1434"/>
      <c r="W108" s="1450">
        <f>W107/factors!$D$3</f>
        <v>17.777777777777779</v>
      </c>
      <c r="X108" s="1434"/>
      <c r="Y108" s="1433"/>
      <c r="Z108" s="930"/>
      <c r="AA108" s="930"/>
      <c r="AB108" s="930"/>
      <c r="AC108" s="930"/>
      <c r="AD108" s="930"/>
      <c r="AI108" s="1450">
        <f>(AI109*AV107)/'1-Eng Inputs'!$C$38</f>
        <v>6.8990005744813399</v>
      </c>
      <c r="AK108" s="1450">
        <f>(AK109*AX107)/'1-Eng Inputs'!$C$38</f>
        <v>6.8990005744813399</v>
      </c>
      <c r="AM108" s="1433"/>
      <c r="AN108" s="930"/>
      <c r="AO108" s="930"/>
      <c r="AP108" s="930"/>
      <c r="AQ108" s="930"/>
      <c r="AR108" s="930"/>
      <c r="AV108" s="1440"/>
      <c r="AX108" s="1440"/>
      <c r="BJ108" s="1450"/>
      <c r="BK108" s="1434"/>
      <c r="BL108" s="1450"/>
      <c r="BM108" s="1434"/>
      <c r="BN108" s="1433"/>
      <c r="BO108" s="930"/>
      <c r="BP108" s="930"/>
      <c r="BQ108" s="930"/>
      <c r="BR108" s="930"/>
      <c r="BS108" s="930"/>
      <c r="BT108" s="930"/>
      <c r="BU108" s="930"/>
      <c r="BV108" s="930"/>
    </row>
    <row r="109" spans="1:159" ht="24.75" customHeight="1">
      <c r="C109" s="960" t="s">
        <v>234</v>
      </c>
      <c r="D109" s="936">
        <v>1</v>
      </c>
      <c r="E109" s="947"/>
      <c r="F109" s="950" t="s">
        <v>19424</v>
      </c>
      <c r="G109" s="930"/>
      <c r="H109" s="950" t="s">
        <v>19424</v>
      </c>
      <c r="I109" s="930"/>
      <c r="R109" s="960"/>
      <c r="S109" s="930"/>
      <c r="U109" s="966">
        <f>(U108*(AI109*AV107/(AI108*'1-Eng Inputs'!$C$38))+U110*(AI109*AV110/(AI110*'1-Eng Inputs'!$C$38)))</f>
        <v>34.753157783220118</v>
      </c>
      <c r="V109" s="930"/>
      <c r="W109" s="966">
        <f>(W108*(AK109*AX107/(AK108*'1-Eng Inputs'!$C$38))+W110*(AK109*AX110/(AK110*'1-Eng Inputs'!$C$38)))</f>
        <v>34.753157783220118</v>
      </c>
      <c r="X109" s="930"/>
      <c r="AF109" s="960" t="s">
        <v>234</v>
      </c>
      <c r="AG109" s="930">
        <v>1</v>
      </c>
      <c r="AH109" s="947"/>
      <c r="AI109" s="949">
        <f>MAX('Land Calcs 5deg (lift)'!I7,'Land Calcs 5deg (lift)'!I27)</f>
        <v>441.53603676680575</v>
      </c>
      <c r="AJ109" s="947"/>
      <c r="AK109" s="946">
        <f>$AI$109</f>
        <v>441.53603676680575</v>
      </c>
      <c r="AL109" s="949" t="s">
        <v>20059</v>
      </c>
      <c r="AM109" s="968"/>
      <c r="AT109" s="933"/>
      <c r="AU109" s="932"/>
      <c r="AV109" s="948"/>
      <c r="AX109" s="948"/>
      <c r="BG109" s="960" t="s">
        <v>234</v>
      </c>
      <c r="BH109" s="930">
        <v>1</v>
      </c>
      <c r="BI109" s="947"/>
      <c r="BJ109" s="946">
        <f>AI109</f>
        <v>441.53603676680575</v>
      </c>
      <c r="BK109" s="930"/>
      <c r="BL109" s="946">
        <f>AK109</f>
        <v>441.53603676680575</v>
      </c>
      <c r="BM109" s="930"/>
      <c r="BW109" s="929"/>
      <c r="BX109" s="928"/>
      <c r="CH109" s="929"/>
      <c r="FC109" s="928"/>
    </row>
    <row r="110" spans="1:159">
      <c r="E110" s="936"/>
      <c r="F110" s="1431">
        <f>IF($N$4="NO",ROUNDUP(BJ110-0.00499,0),LEFT(BJ110,1)+(IF(BJ110-LEFT(BJ110,1)&lt;0.00499,0,IF(BJ110-LEFT(BJ110,1)-0.00499&lt;('1-Eng Inputs'!$C$39/'1-Eng Inputs'!$C$38),0.5,1))))</f>
        <v>14</v>
      </c>
      <c r="G110" s="930"/>
      <c r="H110" s="1431">
        <f>IF($N$4="NO",ROUNDUP(BL110-0.00499,0),LEFT(BL110,1)+(IF(BL110-LEFT(BL110,1)&lt;0.00499,0,IF(BL110-LEFT(BL110,1)-0.00499&lt;('1-Eng Inputs'!$C$39/'1-Eng Inputs'!$C$38),0.5,1))))</f>
        <v>14</v>
      </c>
      <c r="I110" s="930"/>
      <c r="J110" s="1438"/>
      <c r="U110" s="1449">
        <f>IF(LEFT(F110,3)-LEFT(F110,1)=0.5,'1-Eng Inputs'!$C$39,0)+LEFT(F110,1)*'1-Eng Inputs'!$C$38</f>
        <v>32</v>
      </c>
      <c r="V110" s="964"/>
      <c r="W110" s="1449">
        <f>IF(LEFT(H110,3)-LEFT(H110,1)=0.5,'1-Eng Inputs'!$C$39,0)+LEFT(H110,1)*'1-Eng Inputs'!$C$38</f>
        <v>32</v>
      </c>
      <c r="X110" s="964"/>
      <c r="Y110" s="1433"/>
      <c r="AI110" s="1449">
        <f>(AI109*AV110+AI112*AV111)/'1-Eng Inputs'!$C$38</f>
        <v>13.005188591514546</v>
      </c>
      <c r="AJ110" s="964"/>
      <c r="AK110" s="1449">
        <f>(AK109*AX110+AK112*AX111)/'1-Eng Inputs'!$C$38</f>
        <v>13.005188591514546</v>
      </c>
      <c r="AL110" s="957"/>
      <c r="AM110" s="1443"/>
      <c r="AV110" s="952">
        <v>0.5</v>
      </c>
      <c r="AX110" s="952">
        <v>0.5</v>
      </c>
      <c r="BJ110" s="1449">
        <f>AI110</f>
        <v>13.005188591514546</v>
      </c>
      <c r="BK110" s="964"/>
      <c r="BL110" s="1449">
        <f>AK110</f>
        <v>13.005188591514546</v>
      </c>
      <c r="BM110" s="1434"/>
      <c r="BN110" s="1433"/>
    </row>
    <row r="111" spans="1:159" ht="12.75" hidden="1" customHeight="1">
      <c r="E111" s="936"/>
      <c r="F111" s="1432"/>
      <c r="G111" s="930"/>
      <c r="H111" s="1432"/>
      <c r="I111" s="930"/>
      <c r="J111" s="1438"/>
      <c r="K111" s="1433"/>
      <c r="L111" s="1433"/>
      <c r="M111" s="1433"/>
      <c r="N111" s="1433"/>
      <c r="O111" s="1433"/>
      <c r="P111" s="1433"/>
      <c r="Q111" s="945"/>
      <c r="U111" s="1450"/>
      <c r="V111" s="1434"/>
      <c r="W111" s="1450"/>
      <c r="X111" s="1434"/>
      <c r="Y111" s="1433"/>
      <c r="Z111" s="1433"/>
      <c r="AA111" s="1433"/>
      <c r="AB111" s="1433"/>
      <c r="AC111" s="1433"/>
      <c r="AD111" s="1433"/>
      <c r="AI111" s="1450"/>
      <c r="AJ111" s="1434"/>
      <c r="AK111" s="1450"/>
      <c r="AL111" s="940"/>
      <c r="AM111" s="1443"/>
      <c r="AN111" s="1433"/>
      <c r="AO111" s="1433"/>
      <c r="AP111" s="1433"/>
      <c r="AQ111" s="1433"/>
      <c r="AR111" s="1433"/>
      <c r="AU111" s="944"/>
      <c r="AV111" s="951">
        <v>0.5</v>
      </c>
      <c r="AX111" s="951">
        <v>0.5</v>
      </c>
      <c r="AZ111" s="944"/>
      <c r="BA111" s="944"/>
      <c r="BB111" s="944"/>
      <c r="BC111" s="944"/>
      <c r="BD111" s="944"/>
      <c r="BE111" s="944"/>
      <c r="BF111" s="943"/>
      <c r="BJ111" s="1450"/>
      <c r="BK111" s="1434"/>
      <c r="BL111" s="1450"/>
      <c r="BM111" s="1434"/>
      <c r="BN111" s="1433"/>
      <c r="BO111" s="1433"/>
      <c r="BP111" s="1433"/>
      <c r="BQ111" s="1433"/>
      <c r="BR111" s="1433"/>
      <c r="BS111" s="1433"/>
      <c r="BT111" s="1433"/>
      <c r="BU111" s="1433"/>
      <c r="BV111" s="1433"/>
    </row>
    <row r="112" spans="1:159" ht="24.75" customHeight="1">
      <c r="C112" s="953"/>
      <c r="D112" s="936">
        <v>2</v>
      </c>
      <c r="E112" s="947"/>
      <c r="F112" s="950" t="s">
        <v>19424</v>
      </c>
      <c r="G112" s="930"/>
      <c r="H112" s="950" t="s">
        <v>19424</v>
      </c>
      <c r="I112" s="930"/>
      <c r="R112" s="953"/>
      <c r="S112" s="930"/>
      <c r="U112" s="966">
        <f>(U110*(AI112*AV111/(AI110*'1-Eng Inputs'!$C$38))+U113*(AI112*AV113/(AI113*'1-Eng Inputs'!$C$38)))</f>
        <v>31.024619994557661</v>
      </c>
      <c r="V112" s="930"/>
      <c r="W112" s="966">
        <f>(W110*(AK112*AX111/(AK110*'1-Eng Inputs'!$C$38))+W113*(AK112*AX113/(AK113*'1-Eng Inputs'!$C$38)))</f>
        <v>31.024619994557661</v>
      </c>
      <c r="X112" s="930"/>
      <c r="AF112" s="953"/>
      <c r="AG112" s="930">
        <v>2</v>
      </c>
      <c r="AH112" s="947"/>
      <c r="AI112" s="949">
        <f>MAX('Land Calcs 5deg (lift)'!N7,'Land Calcs 5deg (lift)'!N27)</f>
        <v>390.79603309012521</v>
      </c>
      <c r="AJ112" s="947"/>
      <c r="AK112" s="946">
        <f>$AI$112</f>
        <v>390.79603309012521</v>
      </c>
      <c r="AL112" s="1178" t="s">
        <v>20136</v>
      </c>
      <c r="AM112" s="968"/>
      <c r="AT112" s="933"/>
      <c r="AU112" s="932"/>
      <c r="AV112" s="948"/>
      <c r="AX112" s="948"/>
      <c r="BG112" s="953"/>
      <c r="BH112" s="930">
        <v>2</v>
      </c>
      <c r="BI112" s="947"/>
      <c r="BJ112" s="946">
        <f>AI112</f>
        <v>390.79603309012521</v>
      </c>
      <c r="BK112" s="930"/>
      <c r="BL112" s="946">
        <f>AK112</f>
        <v>390.79603309012521</v>
      </c>
      <c r="BM112" s="930"/>
      <c r="BW112" s="929"/>
      <c r="BX112" s="928"/>
      <c r="CH112" s="929"/>
      <c r="FC112" s="928"/>
    </row>
    <row r="113" spans="3:159">
      <c r="E113" s="936"/>
      <c r="F113" s="1431">
        <f>IF($N$4="NO",ROUNDUP(BJ113-0.00499,0),LEFT(BJ113,1)+(IF(BJ113-LEFT(BJ113,1)&lt;0.00499,0,IF(BJ113-LEFT(BJ113,1)-0.00499&lt;('1-Eng Inputs'!$C$39/'1-Eng Inputs'!$C$38),0.5,1))))</f>
        <v>13</v>
      </c>
      <c r="G113" s="930"/>
      <c r="H113" s="1431">
        <f>IF($N$4="NO",ROUNDUP(BL113-0.00499,0),LEFT(BL113,1)+(IF(BL113-LEFT(BL113,1)&lt;0.00499,0,IF(BL113-LEFT(BL113,1)-0.00499&lt;('1-Eng Inputs'!$C$39/'1-Eng Inputs'!$C$38),0.5,1))))</f>
        <v>13</v>
      </c>
      <c r="I113" s="930"/>
      <c r="J113" s="1438"/>
      <c r="U113" s="1449">
        <f>IF(LEFT(F113,3)-LEFT(F113,1)=0.5,'1-Eng Inputs'!$C$39,0)+LEFT(F113,1)*'1-Eng Inputs'!$C$38</f>
        <v>32</v>
      </c>
      <c r="W113" s="1449">
        <f>IF(LEFT(H113,3)-LEFT(H113,1)=0.5,'1-Eng Inputs'!$C$39,0)+LEFT(H113,1)*'1-Eng Inputs'!$C$38</f>
        <v>32</v>
      </c>
      <c r="Y113" s="1433"/>
      <c r="AI113" s="1449">
        <f>(AI112*AV113+AI115*AV114)/'1-Eng Inputs'!$C$38</f>
        <v>12.212376034066413</v>
      </c>
      <c r="AJ113" s="964"/>
      <c r="AK113" s="1449">
        <f>(AK112*AX113+AK115*AX114)/'1-Eng Inputs'!$C$38</f>
        <v>12.212376034066413</v>
      </c>
      <c r="AL113" s="957"/>
      <c r="AM113" s="1443"/>
      <c r="AV113" s="952">
        <v>0.5</v>
      </c>
      <c r="AX113" s="952">
        <v>0.5</v>
      </c>
      <c r="BJ113" s="1449">
        <f>AI113</f>
        <v>12.212376034066413</v>
      </c>
      <c r="BK113" s="964"/>
      <c r="BL113" s="1449">
        <f>AK113</f>
        <v>12.212376034066413</v>
      </c>
      <c r="BM113" s="964"/>
      <c r="BN113" s="1433"/>
    </row>
    <row r="114" spans="3:159" ht="12.75" hidden="1" customHeight="1">
      <c r="E114" s="936"/>
      <c r="F114" s="1432"/>
      <c r="G114" s="930"/>
      <c r="H114" s="1432"/>
      <c r="I114" s="930"/>
      <c r="J114" s="1438"/>
      <c r="K114" s="1433"/>
      <c r="L114" s="1433"/>
      <c r="M114" s="1433"/>
      <c r="N114" s="1433"/>
      <c r="O114" s="1433"/>
      <c r="P114" s="1433"/>
      <c r="Q114" s="945"/>
      <c r="U114" s="1450"/>
      <c r="V114" s="1434"/>
      <c r="W114" s="1450"/>
      <c r="X114" s="1434"/>
      <c r="Y114" s="1433"/>
      <c r="Z114" s="1433"/>
      <c r="AA114" s="1433"/>
      <c r="AB114" s="1433"/>
      <c r="AC114" s="1433"/>
      <c r="AD114" s="1433"/>
      <c r="AI114" s="1450"/>
      <c r="AJ114" s="1434"/>
      <c r="AK114" s="1450"/>
      <c r="AL114" s="940"/>
      <c r="AM114" s="1443"/>
      <c r="AN114" s="1433"/>
      <c r="AO114" s="1433"/>
      <c r="AP114" s="1433"/>
      <c r="AQ114" s="1433"/>
      <c r="AR114" s="1433"/>
      <c r="AU114" s="944"/>
      <c r="AV114" s="951">
        <v>0.5</v>
      </c>
      <c r="AX114" s="951">
        <v>0.5</v>
      </c>
      <c r="AZ114" s="944"/>
      <c r="BA114" s="944"/>
      <c r="BB114" s="944"/>
      <c r="BC114" s="944"/>
      <c r="BD114" s="944"/>
      <c r="BE114" s="944"/>
      <c r="BF114" s="943"/>
      <c r="BJ114" s="1450"/>
      <c r="BK114" s="1434"/>
      <c r="BL114" s="1450"/>
      <c r="BM114" s="1434"/>
      <c r="BN114" s="1433"/>
      <c r="BO114" s="1433"/>
      <c r="BP114" s="1433"/>
      <c r="BQ114" s="1433"/>
      <c r="BR114" s="1433"/>
      <c r="BS114" s="1433"/>
      <c r="BT114" s="1433"/>
      <c r="BU114" s="1433"/>
      <c r="BV114" s="1433"/>
    </row>
    <row r="115" spans="3:159" ht="24.75" customHeight="1">
      <c r="C115" s="953"/>
      <c r="D115" s="936">
        <v>3</v>
      </c>
      <c r="E115" s="947"/>
      <c r="F115" s="950" t="s">
        <v>19424</v>
      </c>
      <c r="G115" s="930"/>
      <c r="H115" s="950" t="s">
        <v>19424</v>
      </c>
      <c r="I115" s="930"/>
      <c r="R115" s="953"/>
      <c r="S115" s="930"/>
      <c r="U115" s="966">
        <f>(U113*(AI115*AV114/(AI113*'1-Eng Inputs'!$C$38))+U116*(AI115*AV116/(AI116*'1-Eng Inputs'!$C$38)))</f>
        <v>33.726138985153014</v>
      </c>
      <c r="V115" s="930"/>
      <c r="W115" s="966">
        <f>(W113*(AK115*AX114/(AK113*'1-Eng Inputs'!$C$38))+W116*(AK115*AX116/(AK116*'1-Eng Inputs'!$C$38)))</f>
        <v>33.726138985153014</v>
      </c>
      <c r="X115" s="930"/>
      <c r="AF115" s="953"/>
      <c r="AG115" s="930">
        <v>3</v>
      </c>
      <c r="AH115" s="947"/>
      <c r="AI115" s="1177">
        <f>$AI$112</f>
        <v>390.79603309012521</v>
      </c>
      <c r="AJ115" s="947"/>
      <c r="AK115" s="946">
        <f>$AI$112</f>
        <v>390.79603309012521</v>
      </c>
      <c r="AL115" s="1178" t="s">
        <v>20136</v>
      </c>
      <c r="AM115" s="968"/>
      <c r="AT115" s="933"/>
      <c r="AU115" s="932"/>
      <c r="AV115" s="948"/>
      <c r="AX115" s="948"/>
      <c r="BG115" s="953"/>
      <c r="BH115" s="930">
        <v>3</v>
      </c>
      <c r="BI115" s="947"/>
      <c r="BJ115" s="946">
        <f>AI115</f>
        <v>390.79603309012521</v>
      </c>
      <c r="BK115" s="930"/>
      <c r="BL115" s="946">
        <f>AK115</f>
        <v>390.79603309012521</v>
      </c>
      <c r="BM115" s="930"/>
      <c r="BW115" s="929"/>
      <c r="BX115" s="928"/>
      <c r="CH115" s="929"/>
      <c r="FC115" s="928"/>
    </row>
    <row r="116" spans="3:159">
      <c r="D116" s="953"/>
      <c r="E116" s="936"/>
      <c r="F116" s="1431">
        <f>IF($N$4="NO",ROUNDUP(BJ116-0.00499,0),LEFT(BJ116,1)+(IF(BJ116-LEFT(BJ116,1)&lt;0.00499,0,IF(BJ116-LEFT(BJ116,1)-0.00499&lt;('1-Eng Inputs'!$C$39/'1-Eng Inputs'!$C$38),0.5,1))))</f>
        <v>12</v>
      </c>
      <c r="G116" s="930"/>
      <c r="H116" s="1431">
        <f>IF($N$4="NO",ROUNDUP(BL116-0.00499,0),LEFT(BL116,1)+(IF(BL116-LEFT(BL116,1)&lt;0.00499,0,IF(BL116-LEFT(BL116,1)-0.00499&lt;('1-Eng Inputs'!$C$39/'1-Eng Inputs'!$C$38),0.5,1))))</f>
        <v>12</v>
      </c>
      <c r="I116" s="930"/>
      <c r="J116" s="1438"/>
      <c r="S116" s="953"/>
      <c r="U116" s="1449">
        <f>IF(LEFT(F116,3)-LEFT(F116,1)=0.5,'1-Eng Inputs'!$C$39,0)+LEFT(F116,1)*'1-Eng Inputs'!$C$38</f>
        <v>32</v>
      </c>
      <c r="W116" s="1449">
        <f>IF(LEFT(H116,3)-LEFT(H116,1)=0.5,'1-Eng Inputs'!$C$39,0)+LEFT(H116,1)*'1-Eng Inputs'!$C$38</f>
        <v>32</v>
      </c>
      <c r="Y116" s="1433"/>
      <c r="AG116" s="953"/>
      <c r="AI116" s="1449">
        <f>(AI115*AV116+AI118*AV117)/'1-Eng Inputs'!$C$38</f>
        <v>11.023157197894212</v>
      </c>
      <c r="AJ116" s="964"/>
      <c r="AK116" s="1449">
        <f>(AK115*AX116+AK118*AX117)/'1-Eng Inputs'!$C$38</f>
        <v>11.023157197894212</v>
      </c>
      <c r="AL116" s="957"/>
      <c r="AM116" s="1443"/>
      <c r="AV116" s="952">
        <v>0.5</v>
      </c>
      <c r="AX116" s="952">
        <v>0.5</v>
      </c>
      <c r="BH116" s="953"/>
      <c r="BJ116" s="1449">
        <f>AI116</f>
        <v>11.023157197894212</v>
      </c>
      <c r="BK116" s="1434"/>
      <c r="BL116" s="1449">
        <f>AK116</f>
        <v>11.023157197894212</v>
      </c>
      <c r="BM116" s="964"/>
      <c r="BN116" s="1433"/>
    </row>
    <row r="117" spans="3:159" ht="12.75" hidden="1" customHeight="1">
      <c r="D117" s="953"/>
      <c r="E117" s="936"/>
      <c r="F117" s="1432"/>
      <c r="G117" s="930"/>
      <c r="H117" s="1432"/>
      <c r="I117" s="930"/>
      <c r="J117" s="1438"/>
      <c r="K117" s="1433"/>
      <c r="L117" s="1433"/>
      <c r="M117" s="1433"/>
      <c r="N117" s="1433"/>
      <c r="O117" s="1433"/>
      <c r="P117" s="1433"/>
      <c r="Q117" s="945"/>
      <c r="S117" s="953"/>
      <c r="U117" s="1450"/>
      <c r="V117" s="1434"/>
      <c r="W117" s="1450"/>
      <c r="X117" s="1434"/>
      <c r="Y117" s="1433"/>
      <c r="Z117" s="1433"/>
      <c r="AA117" s="1433"/>
      <c r="AB117" s="1433"/>
      <c r="AC117" s="1433"/>
      <c r="AD117" s="1433"/>
      <c r="AG117" s="953"/>
      <c r="AI117" s="1450"/>
      <c r="AJ117" s="1434"/>
      <c r="AK117" s="1450"/>
      <c r="AL117" s="940"/>
      <c r="AM117" s="1443"/>
      <c r="AN117" s="1433"/>
      <c r="AO117" s="1433"/>
      <c r="AP117" s="1433"/>
      <c r="AQ117" s="1433"/>
      <c r="AR117" s="1433"/>
      <c r="AU117" s="944"/>
      <c r="AV117" s="951">
        <v>0.5</v>
      </c>
      <c r="AX117" s="951">
        <v>0.5</v>
      </c>
      <c r="AZ117" s="944"/>
      <c r="BA117" s="944"/>
      <c r="BB117" s="944"/>
      <c r="BC117" s="944"/>
      <c r="BD117" s="944"/>
      <c r="BE117" s="944"/>
      <c r="BF117" s="943"/>
      <c r="BH117" s="953"/>
      <c r="BJ117" s="1450"/>
      <c r="BK117" s="1434"/>
      <c r="BL117" s="1450"/>
      <c r="BM117" s="1434"/>
      <c r="BN117" s="1433"/>
      <c r="BO117" s="1433"/>
      <c r="BP117" s="1433"/>
      <c r="BQ117" s="1433"/>
      <c r="BR117" s="1433"/>
      <c r="BS117" s="1433"/>
      <c r="BT117" s="1433"/>
      <c r="BU117" s="1433"/>
      <c r="BV117" s="1433"/>
    </row>
    <row r="118" spans="3:159" ht="24.75" customHeight="1">
      <c r="C118" s="953"/>
      <c r="D118" s="936">
        <v>4</v>
      </c>
      <c r="E118" s="947"/>
      <c r="F118" s="950" t="s">
        <v>19426</v>
      </c>
      <c r="G118" s="930"/>
      <c r="H118" s="950" t="s">
        <v>19426</v>
      </c>
      <c r="I118" s="930"/>
      <c r="R118" s="953"/>
      <c r="S118" s="930"/>
      <c r="U118" s="966">
        <f>(U116*(AI118*AV117/(AI116*'1-Eng Inputs'!$C$38))+U119*(AI118*AV119/(AI119*'1-Eng Inputs'!$C$38)))</f>
        <v>30.273861014846993</v>
      </c>
      <c r="V118" s="930"/>
      <c r="W118" s="966">
        <f>(W116*(AK118*AX117/(AK116*'1-Eng Inputs'!$C$38))+W119*(AK118*AX119/(AK119*'1-Eng Inputs'!$C$38)))</f>
        <v>30.273861014846993</v>
      </c>
      <c r="X118" s="930"/>
      <c r="AF118" s="953"/>
      <c r="AG118" s="930">
        <v>4</v>
      </c>
      <c r="AH118" s="947"/>
      <c r="AI118" s="1178">
        <f>'Land Calcs 5deg (lift)'!N17</f>
        <v>314.68602757510439</v>
      </c>
      <c r="AJ118" s="947"/>
      <c r="AK118" s="946">
        <f>AI118</f>
        <v>314.68602757510439</v>
      </c>
      <c r="AL118" s="1178" t="s">
        <v>20135</v>
      </c>
      <c r="AM118" s="968"/>
      <c r="AT118" s="933"/>
      <c r="AU118" s="932"/>
      <c r="AV118" s="948"/>
      <c r="AX118" s="948"/>
      <c r="BG118" s="953"/>
      <c r="BH118" s="930">
        <v>4</v>
      </c>
      <c r="BI118" s="947"/>
      <c r="BJ118" s="946">
        <f>AI118</f>
        <v>314.68602757510439</v>
      </c>
      <c r="BK118" s="930"/>
      <c r="BL118" s="946">
        <f>AK118</f>
        <v>314.68602757510439</v>
      </c>
      <c r="BM118" s="930"/>
      <c r="BW118" s="929"/>
      <c r="BX118" s="928"/>
      <c r="CH118" s="929"/>
      <c r="FC118" s="928"/>
    </row>
    <row r="119" spans="3:159">
      <c r="D119" s="953"/>
      <c r="E119" s="936"/>
      <c r="F119" s="1431">
        <f>IF($N$4="NO",ROUNDUP(BJ119-0.00499,0),LEFT(BJ119,1)+(IF(BJ119-LEFT(BJ119,1)&lt;0.00499,0,IF(BJ119-LEFT(BJ119,1)-0.00499&lt;('1-Eng Inputs'!$C$39/'1-Eng Inputs'!$C$38),0.5,1))))</f>
        <v>10</v>
      </c>
      <c r="G119" s="930"/>
      <c r="H119" s="1431">
        <f>IF($N$4="NO",ROUNDUP(BL119-0.00499,0),LEFT(BL119,1)+(IF(BL119-LEFT(BL119,1)&lt;0.00499,0,IF(BL119-LEFT(BL119,1)-0.00499&lt;('1-Eng Inputs'!$C$39/'1-Eng Inputs'!$C$38),0.5,1))))</f>
        <v>10</v>
      </c>
      <c r="I119" s="930"/>
      <c r="J119" s="1438"/>
      <c r="S119" s="953"/>
      <c r="U119" s="1447">
        <f>IF(LEFT(F119,3)-LEFT(F119,1)=0.5,'1-Eng Inputs'!$C$39,0)+LEFT(F119,1)*'1-Eng Inputs'!$C$38</f>
        <v>32</v>
      </c>
      <c r="W119" s="1447">
        <f>IF(LEFT(H119,3)-LEFT(H119,1)=0.5,'1-Eng Inputs'!$C$39,0)+LEFT(H119,1)*'1-Eng Inputs'!$C$38</f>
        <v>32</v>
      </c>
      <c r="Y119" s="1433"/>
      <c r="AD119" s="930"/>
      <c r="AG119" s="953"/>
      <c r="AI119" s="1447">
        <f>(AI118*AV119+AI121*AV120)/'1-Eng Inputs'!$C$38</f>
        <v>9.8339383617220122</v>
      </c>
      <c r="AJ119" s="964"/>
      <c r="AK119" s="1447">
        <f>(AK118*AX119+AK121*AX120)/'1-Eng Inputs'!$C$38</f>
        <v>9.8339383617220122</v>
      </c>
      <c r="AL119" s="957"/>
      <c r="AM119" s="1443"/>
      <c r="AR119" s="930"/>
      <c r="AV119" s="952">
        <v>0.5</v>
      </c>
      <c r="AX119" s="952">
        <v>0.5</v>
      </c>
      <c r="BH119" s="953"/>
      <c r="BJ119" s="1447">
        <f>AI119</f>
        <v>9.8339383617220122</v>
      </c>
      <c r="BK119" s="964"/>
      <c r="BL119" s="1447">
        <f>AK119</f>
        <v>9.8339383617220122</v>
      </c>
      <c r="BM119" s="964"/>
      <c r="BN119" s="1433"/>
      <c r="BS119" s="930"/>
      <c r="BT119" s="930"/>
      <c r="BU119" s="930"/>
    </row>
    <row r="120" spans="3:159" ht="12.75" hidden="1" customHeight="1">
      <c r="D120" s="953"/>
      <c r="E120" s="936"/>
      <c r="F120" s="1432"/>
      <c r="G120" s="930"/>
      <c r="H120" s="1432"/>
      <c r="I120" s="930"/>
      <c r="J120" s="1438"/>
      <c r="K120" s="1433"/>
      <c r="L120" s="1433"/>
      <c r="M120" s="1433"/>
      <c r="N120" s="1433"/>
      <c r="O120" s="1433"/>
      <c r="P120" s="1433"/>
      <c r="Q120" s="945"/>
      <c r="S120" s="953"/>
      <c r="U120" s="1448"/>
      <c r="V120" s="1434"/>
      <c r="W120" s="1448"/>
      <c r="X120" s="1434"/>
      <c r="Y120" s="1433"/>
      <c r="Z120" s="1433"/>
      <c r="AA120" s="1433"/>
      <c r="AB120" s="1433"/>
      <c r="AC120" s="1433"/>
      <c r="AG120" s="953"/>
      <c r="AI120" s="1448"/>
      <c r="AJ120" s="1434"/>
      <c r="AK120" s="1448"/>
      <c r="AL120" s="940"/>
      <c r="AM120" s="1443"/>
      <c r="AN120" s="1433"/>
      <c r="AO120" s="1433"/>
      <c r="AP120" s="1433"/>
      <c r="AQ120" s="1433"/>
      <c r="AU120" s="944"/>
      <c r="AV120" s="951">
        <v>0.5</v>
      </c>
      <c r="AX120" s="951">
        <v>0.5</v>
      </c>
      <c r="AZ120" s="944"/>
      <c r="BA120" s="944"/>
      <c r="BB120" s="944"/>
      <c r="BC120" s="944"/>
      <c r="BD120" s="944"/>
      <c r="BE120" s="944"/>
      <c r="BF120" s="943"/>
      <c r="BH120" s="953"/>
      <c r="BJ120" s="1448"/>
      <c r="BK120" s="1434"/>
      <c r="BL120" s="1448"/>
      <c r="BM120" s="1434"/>
      <c r="BN120" s="1433"/>
      <c r="BO120" s="1433"/>
      <c r="BP120" s="1433"/>
      <c r="BQ120" s="1433"/>
      <c r="BR120" s="1433"/>
      <c r="BV120" s="1433"/>
    </row>
    <row r="121" spans="3:159" ht="24.75" customHeight="1">
      <c r="C121" s="953"/>
      <c r="D121" s="936">
        <v>5</v>
      </c>
      <c r="E121" s="947"/>
      <c r="F121" s="950" t="s">
        <v>19426</v>
      </c>
      <c r="G121" s="930"/>
      <c r="H121" s="950" t="s">
        <v>19426</v>
      </c>
      <c r="I121" s="930"/>
      <c r="R121" s="953"/>
      <c r="S121" s="930"/>
      <c r="U121" s="966">
        <f>(U119*(AI121*AV120/(AI119*'1-Eng Inputs'!$C$38))+U122*(AI121*AV122/(AI122*'1-Eng Inputs'!$C$38)))</f>
        <v>30.273861014846993</v>
      </c>
      <c r="V121" s="930"/>
      <c r="W121" s="966">
        <f>(W119*(AK121*AX120/(AK119*'1-Eng Inputs'!$C$38))+W122*(AK121*AX122/(AK122*'1-Eng Inputs'!$C$38)))</f>
        <v>30.273861014846993</v>
      </c>
      <c r="X121" s="930"/>
      <c r="AF121" s="953"/>
      <c r="AG121" s="930">
        <v>5</v>
      </c>
      <c r="AH121" s="947"/>
      <c r="AI121" s="946">
        <f>AI118</f>
        <v>314.68602757510439</v>
      </c>
      <c r="AJ121" s="947"/>
      <c r="AK121" s="946">
        <f>AI118</f>
        <v>314.68602757510439</v>
      </c>
      <c r="AL121" s="1178" t="s">
        <v>20135</v>
      </c>
      <c r="AM121" s="968"/>
      <c r="AT121" s="933"/>
      <c r="AU121" s="932"/>
      <c r="AV121" s="948"/>
      <c r="AX121" s="948"/>
      <c r="BG121" s="953"/>
      <c r="BH121" s="930">
        <v>5</v>
      </c>
      <c r="BI121" s="947"/>
      <c r="BJ121" s="946">
        <f>AI121</f>
        <v>314.68602757510439</v>
      </c>
      <c r="BK121" s="930"/>
      <c r="BL121" s="946">
        <f>AK121</f>
        <v>314.68602757510439</v>
      </c>
      <c r="BM121" s="930"/>
      <c r="BW121" s="929"/>
      <c r="BX121" s="928"/>
      <c r="CH121" s="929"/>
      <c r="FC121" s="928"/>
    </row>
    <row r="122" spans="3:159">
      <c r="D122" s="953"/>
      <c r="E122" s="936"/>
      <c r="F122" s="1431">
        <f>IF($N$4="NO",ROUNDUP(BJ122-0.00499,0),LEFT(BJ122,1)+(IF(BJ122-LEFT(BJ122,1)&lt;0.00499,0,IF(BJ122-LEFT(BJ122,1)-0.00499&lt;('1-Eng Inputs'!$C$39/'1-Eng Inputs'!$C$38),0.5,1))))</f>
        <v>12</v>
      </c>
      <c r="G122" s="930"/>
      <c r="H122" s="1431">
        <f>IF($N$4="NO",ROUNDUP(BL122-0.00499,0),LEFT(BL122,1)+(IF(BL122-LEFT(BL122,1)&lt;0.00499,0,IF(BL122-LEFT(BL122,1)-0.00499&lt;('1-Eng Inputs'!$C$39/'1-Eng Inputs'!$C$38),0.5,1))))</f>
        <v>12</v>
      </c>
      <c r="I122" s="930"/>
      <c r="J122" s="1438"/>
      <c r="S122" s="953"/>
      <c r="U122" s="1441">
        <f>IF(LEFT(F122,3)-LEFT(F122,1)=0.5,'1-Eng Inputs'!$C$39,0)+LEFT(F122,1)*'1-Eng Inputs'!$C$38</f>
        <v>32</v>
      </c>
      <c r="W122" s="1441">
        <f>IF(LEFT(H122,3)-LEFT(H122,1)=0.5,'1-Eng Inputs'!$C$39,0)+LEFT(H122,1)*'1-Eng Inputs'!$C$38</f>
        <v>32</v>
      </c>
      <c r="Y122" s="1433"/>
      <c r="AD122" s="1433"/>
      <c r="AG122" s="953"/>
      <c r="AI122" s="1441">
        <f>(AI121*AV122+AI124*AV123)/'1-Eng Inputs'!$C$38</f>
        <v>11.023157197894212</v>
      </c>
      <c r="AJ122" s="964"/>
      <c r="AK122" s="1441">
        <f>(AK121*AX122+AK124*AX123)/'1-Eng Inputs'!$C$38</f>
        <v>11.023157197894212</v>
      </c>
      <c r="AL122" s="959"/>
      <c r="AM122" s="1443"/>
      <c r="AR122" s="1433"/>
      <c r="AV122" s="952">
        <v>0.5</v>
      </c>
      <c r="AX122" s="952">
        <v>0.5</v>
      </c>
      <c r="BH122" s="953"/>
      <c r="BJ122" s="1441">
        <f>AI122</f>
        <v>11.023157197894212</v>
      </c>
      <c r="BK122" s="964"/>
      <c r="BL122" s="1441">
        <f>AK122</f>
        <v>11.023157197894212</v>
      </c>
      <c r="BM122" s="964"/>
      <c r="BN122" s="1433"/>
      <c r="BS122" s="1433"/>
      <c r="BT122" s="1433"/>
      <c r="BU122" s="1433"/>
    </row>
    <row r="123" spans="3:159" ht="12.75" hidden="1" customHeight="1">
      <c r="D123" s="953"/>
      <c r="E123" s="936"/>
      <c r="F123" s="1432"/>
      <c r="G123" s="930"/>
      <c r="H123" s="1432"/>
      <c r="I123" s="930"/>
      <c r="J123" s="1438"/>
      <c r="K123" s="1433"/>
      <c r="L123" s="1433"/>
      <c r="M123" s="1433"/>
      <c r="N123" s="1433"/>
      <c r="O123" s="1433"/>
      <c r="P123" s="1433"/>
      <c r="Q123" s="945"/>
      <c r="S123" s="953"/>
      <c r="U123" s="1442"/>
      <c r="V123" s="1434"/>
      <c r="W123" s="1442"/>
      <c r="X123" s="1434"/>
      <c r="Y123" s="1433"/>
      <c r="Z123" s="1433"/>
      <c r="AA123" s="1433"/>
      <c r="AB123" s="1433"/>
      <c r="AC123" s="1433"/>
      <c r="AG123" s="953"/>
      <c r="AI123" s="1442"/>
      <c r="AJ123" s="1434"/>
      <c r="AK123" s="1442"/>
      <c r="AL123" s="940"/>
      <c r="AM123" s="1443"/>
      <c r="AN123" s="1433"/>
      <c r="AO123" s="1433"/>
      <c r="AP123" s="1433"/>
      <c r="AQ123" s="1433"/>
      <c r="AU123" s="944"/>
      <c r="AV123" s="951">
        <v>0.5</v>
      </c>
      <c r="AX123" s="951">
        <v>0.5</v>
      </c>
      <c r="AZ123" s="944"/>
      <c r="BA123" s="944"/>
      <c r="BB123" s="944"/>
      <c r="BC123" s="944"/>
      <c r="BD123" s="944"/>
      <c r="BE123" s="944"/>
      <c r="BF123" s="943"/>
      <c r="BH123" s="953"/>
      <c r="BJ123" s="1442"/>
      <c r="BK123" s="1434"/>
      <c r="BL123" s="1442"/>
      <c r="BM123" s="1434"/>
      <c r="BN123" s="1433"/>
      <c r="BO123" s="1433"/>
      <c r="BP123" s="1433"/>
      <c r="BQ123" s="1433"/>
      <c r="BR123" s="1433"/>
      <c r="BV123" s="1433"/>
    </row>
    <row r="124" spans="3:159" ht="24.75" customHeight="1">
      <c r="C124" s="953"/>
      <c r="D124" s="936">
        <v>6</v>
      </c>
      <c r="E124" s="947"/>
      <c r="F124" s="950" t="s">
        <v>19427</v>
      </c>
      <c r="G124" s="930"/>
      <c r="H124" s="950" t="s">
        <v>19427</v>
      </c>
      <c r="I124" s="930"/>
      <c r="R124" s="953"/>
      <c r="S124" s="930"/>
      <c r="U124" s="966">
        <f>(U122*(AI124*AV123/(AI122*'1-Eng Inputs'!$C$38))+U125*(AI124*AV125/(AI125*'1-Eng Inputs'!$C$38)))</f>
        <v>33.726138985153014</v>
      </c>
      <c r="V124" s="930"/>
      <c r="W124" s="966">
        <f>(W122*(AK124*AX123/(AK122*'1-Eng Inputs'!$C$38))+W125*(AK124*AX125/(AK125*'1-Eng Inputs'!$C$38)))</f>
        <v>33.726138985153014</v>
      </c>
      <c r="X124" s="930"/>
      <c r="AF124" s="953"/>
      <c r="AG124" s="930">
        <v>6</v>
      </c>
      <c r="AH124" s="947"/>
      <c r="AI124" s="1177">
        <f>$AI$112</f>
        <v>390.79603309012521</v>
      </c>
      <c r="AJ124" s="947"/>
      <c r="AK124" s="946">
        <f>$AI$112</f>
        <v>390.79603309012521</v>
      </c>
      <c r="AL124" s="1178" t="s">
        <v>20136</v>
      </c>
      <c r="AM124" s="968"/>
      <c r="AT124" s="933"/>
      <c r="AU124" s="932"/>
      <c r="AV124" s="948"/>
      <c r="AX124" s="948"/>
      <c r="BG124" s="953"/>
      <c r="BH124" s="930">
        <v>6</v>
      </c>
      <c r="BI124" s="947"/>
      <c r="BJ124" s="946">
        <f>AI124</f>
        <v>390.79603309012521</v>
      </c>
      <c r="BK124" s="930"/>
      <c r="BL124" s="946">
        <f>AK124</f>
        <v>390.79603309012521</v>
      </c>
      <c r="BM124" s="930"/>
      <c r="BW124" s="929"/>
      <c r="BX124" s="928"/>
      <c r="CH124" s="929"/>
      <c r="FC124" s="928"/>
    </row>
    <row r="125" spans="3:159">
      <c r="D125" s="953"/>
      <c r="E125" s="936"/>
      <c r="F125" s="1431">
        <f>IF($N$4="NO",ROUNDUP(BJ125-0.00499,0),LEFT(BJ125,1)+(IF(BJ125-LEFT(BJ125,1)&lt;0.00499,0,IF(BJ125-LEFT(BJ125,1)-0.00499&lt;('1-Eng Inputs'!$C$39/'1-Eng Inputs'!$C$38),0.5,1))))</f>
        <v>13</v>
      </c>
      <c r="G125" s="930"/>
      <c r="H125" s="1431">
        <f>IF($N$4="NO",ROUNDUP(BL125-0.00499,0),LEFT(BL125,1)+(IF(BL125-LEFT(BL125,1)&lt;0.00499,0,IF(BL125-LEFT(BL125,1)-0.00499&lt;('1-Eng Inputs'!$C$39/'1-Eng Inputs'!$C$38),0.5,1))))</f>
        <v>13</v>
      </c>
      <c r="I125" s="930"/>
      <c r="J125" s="1438"/>
      <c r="S125" s="953"/>
      <c r="U125" s="1441">
        <f>IF(LEFT(F125,3)-LEFT(F125,1)=0.5,'1-Eng Inputs'!$C$39,0)+LEFT(F125,1)*'1-Eng Inputs'!$C$38</f>
        <v>32</v>
      </c>
      <c r="W125" s="1441">
        <f>IF(LEFT(H125,3)-LEFT(H125,1)=0.5,'1-Eng Inputs'!$C$39,0)+LEFT(H125,1)*'1-Eng Inputs'!$C$38</f>
        <v>32</v>
      </c>
      <c r="Y125" s="1433"/>
      <c r="AD125" s="1433"/>
      <c r="AG125" s="953"/>
      <c r="AI125" s="1441">
        <f>(AI124*AV125+AI127*AV126)/'1-Eng Inputs'!$C$38</f>
        <v>12.212376034066413</v>
      </c>
      <c r="AK125" s="1441">
        <f>(AK124*AX125+AK127*AX126)/'1-Eng Inputs'!$C$38</f>
        <v>12.212376034066413</v>
      </c>
      <c r="AL125" s="957"/>
      <c r="AM125" s="1443"/>
      <c r="AR125" s="1433"/>
      <c r="AV125" s="952">
        <v>0.5</v>
      </c>
      <c r="AX125" s="952">
        <v>0.5</v>
      </c>
      <c r="BH125" s="953"/>
      <c r="BJ125" s="1441">
        <f>AI125</f>
        <v>12.212376034066413</v>
      </c>
      <c r="BL125" s="1441">
        <f>AK125</f>
        <v>12.212376034066413</v>
      </c>
      <c r="BN125" s="1433"/>
      <c r="BS125" s="1433"/>
      <c r="BT125" s="1433"/>
      <c r="BU125" s="1433"/>
    </row>
    <row r="126" spans="3:159" ht="12.75" hidden="1" customHeight="1">
      <c r="D126" s="953"/>
      <c r="E126" s="936"/>
      <c r="F126" s="1432"/>
      <c r="G126" s="930"/>
      <c r="H126" s="1432"/>
      <c r="I126" s="930"/>
      <c r="J126" s="1438"/>
      <c r="K126" s="1433"/>
      <c r="L126" s="1433"/>
      <c r="M126" s="1433"/>
      <c r="N126" s="1433"/>
      <c r="O126" s="1433"/>
      <c r="P126" s="1433"/>
      <c r="Q126" s="945"/>
      <c r="S126" s="953"/>
      <c r="U126" s="1442"/>
      <c r="V126" s="1434"/>
      <c r="W126" s="1442"/>
      <c r="X126" s="1434"/>
      <c r="Y126" s="1433"/>
      <c r="Z126" s="1433"/>
      <c r="AA126" s="1433"/>
      <c r="AB126" s="1433"/>
      <c r="AC126" s="1433"/>
      <c r="AG126" s="953"/>
      <c r="AI126" s="1442"/>
      <c r="AK126" s="1442"/>
      <c r="AL126" s="940"/>
      <c r="AM126" s="1443"/>
      <c r="AN126" s="1433"/>
      <c r="AO126" s="1433"/>
      <c r="AP126" s="1433"/>
      <c r="AQ126" s="1433"/>
      <c r="AU126" s="944"/>
      <c r="AV126" s="951">
        <v>0.5</v>
      </c>
      <c r="AX126" s="951">
        <v>0.5</v>
      </c>
      <c r="AZ126" s="944"/>
      <c r="BA126" s="944"/>
      <c r="BB126" s="944"/>
      <c r="BC126" s="944"/>
      <c r="BD126" s="944"/>
      <c r="BE126" s="944"/>
      <c r="BF126" s="943"/>
      <c r="BH126" s="953"/>
      <c r="BJ126" s="1442"/>
      <c r="BK126" s="1434"/>
      <c r="BL126" s="1442"/>
      <c r="BM126" s="1434"/>
      <c r="BN126" s="1433"/>
      <c r="BO126" s="1433"/>
      <c r="BP126" s="1433"/>
      <c r="BQ126" s="1433"/>
      <c r="BR126" s="1433"/>
      <c r="BV126" s="1433"/>
    </row>
    <row r="127" spans="3:159" ht="24.75" customHeight="1">
      <c r="C127" s="953"/>
      <c r="D127" s="936">
        <v>7</v>
      </c>
      <c r="E127" s="947"/>
      <c r="F127" s="950" t="s">
        <v>19427</v>
      </c>
      <c r="G127" s="930"/>
      <c r="H127" s="950" t="s">
        <v>19427</v>
      </c>
      <c r="I127" s="930"/>
      <c r="R127" s="953"/>
      <c r="S127" s="930"/>
      <c r="U127" s="966">
        <f>(U125*(AI127*AV126/(AI125*'1-Eng Inputs'!$C$38))+U128*(AI127*AV128/(AI128*'1-Eng Inputs'!$C$38)))</f>
        <v>31.024619994557661</v>
      </c>
      <c r="V127" s="930"/>
      <c r="W127" s="966">
        <f>(W125*(AK127*AX126/(AK125*'1-Eng Inputs'!$C$38))+W128*(AK127*AX128/(AK128*'1-Eng Inputs'!$C$38)))</f>
        <v>31.024619994557661</v>
      </c>
      <c r="X127" s="930"/>
      <c r="AF127" s="953"/>
      <c r="AG127" s="930">
        <v>7</v>
      </c>
      <c r="AH127" s="947"/>
      <c r="AI127" s="946">
        <f>$AI$112</f>
        <v>390.79603309012521</v>
      </c>
      <c r="AJ127" s="947"/>
      <c r="AK127" s="946">
        <f>$AI$112</f>
        <v>390.79603309012521</v>
      </c>
      <c r="AL127" s="1178" t="s">
        <v>20136</v>
      </c>
      <c r="AM127" s="968"/>
      <c r="AT127" s="933"/>
      <c r="AU127" s="932"/>
      <c r="AV127" s="948"/>
      <c r="AX127" s="948"/>
      <c r="BG127" s="953"/>
      <c r="BH127" s="930">
        <v>7</v>
      </c>
      <c r="BI127" s="947"/>
      <c r="BJ127" s="946">
        <f>AI127</f>
        <v>390.79603309012521</v>
      </c>
      <c r="BK127" s="930"/>
      <c r="BL127" s="946">
        <f>AK127</f>
        <v>390.79603309012521</v>
      </c>
      <c r="BM127" s="930"/>
      <c r="BW127" s="929"/>
      <c r="BX127" s="928"/>
      <c r="CH127" s="929"/>
      <c r="FC127" s="928"/>
    </row>
    <row r="128" spans="3:159" ht="12" customHeight="1">
      <c r="D128" s="953"/>
      <c r="E128" s="936"/>
      <c r="F128" s="1431">
        <f>IF($N$4="NO",ROUNDUP(BJ128-0.00499,0),LEFT(BJ128,1)+(IF(BJ128-LEFT(BJ128,1)&lt;0.00499,0,IF(BJ128-LEFT(BJ128,1)-0.00499&lt;('1-Eng Inputs'!$C$39/'1-Eng Inputs'!$C$38),0.5,1))))</f>
        <v>14</v>
      </c>
      <c r="G128" s="930"/>
      <c r="H128" s="1431">
        <f>IF($N$4="NO",ROUNDUP(BL128-0.00499,0),LEFT(BL128,1)+(IF(BL128-LEFT(BL128,1)&lt;0.00499,0,IF(BL128-LEFT(BL128,1)-0.00499&lt;('1-Eng Inputs'!$C$39/'1-Eng Inputs'!$C$38),0.5,1))))</f>
        <v>14</v>
      </c>
      <c r="I128" s="930"/>
      <c r="J128" s="1438"/>
      <c r="S128" s="953"/>
      <c r="U128" s="1441">
        <f>IF(LEFT(F128,3)-LEFT(F128,1)=0.5,'1-Eng Inputs'!$C$39,0)+LEFT(F128,1)*'1-Eng Inputs'!$C$38</f>
        <v>32</v>
      </c>
      <c r="V128" s="967"/>
      <c r="W128" s="1441">
        <f>IF(LEFT(H128,3)-LEFT(H128,1)=0.5,'1-Eng Inputs'!$C$39,0)+LEFT(H128,1)*'1-Eng Inputs'!$C$38</f>
        <v>32</v>
      </c>
      <c r="X128" s="967"/>
      <c r="Y128" s="1433"/>
      <c r="AG128" s="953"/>
      <c r="AI128" s="1441">
        <f>(AI127*AV128+AI130*AV129)/'1-Eng Inputs'!$C$38</f>
        <v>13.005188591514546</v>
      </c>
      <c r="AJ128" s="954"/>
      <c r="AK128" s="1441">
        <f>(AK127*AX128+AK130*AX129)/'1-Eng Inputs'!$C$38</f>
        <v>13.005188591514546</v>
      </c>
      <c r="AL128" s="955"/>
      <c r="AM128" s="1443"/>
      <c r="AV128" s="952">
        <v>0.5</v>
      </c>
      <c r="AX128" s="952">
        <v>0.5</v>
      </c>
      <c r="BH128" s="953"/>
      <c r="BJ128" s="1441">
        <f>AI128</f>
        <v>13.005188591514546</v>
      </c>
      <c r="BK128" s="954"/>
      <c r="BL128" s="1441">
        <f>AK128</f>
        <v>13.005188591514546</v>
      </c>
      <c r="BM128" s="954"/>
      <c r="BN128" s="1433"/>
    </row>
    <row r="129" spans="1:159" ht="12.75" hidden="1" customHeight="1">
      <c r="D129" s="953"/>
      <c r="E129" s="936"/>
      <c r="F129" s="1432"/>
      <c r="G129" s="930"/>
      <c r="H129" s="1432"/>
      <c r="I129" s="930"/>
      <c r="J129" s="1438"/>
      <c r="S129" s="953"/>
      <c r="U129" s="1442"/>
      <c r="V129" s="1434"/>
      <c r="W129" s="1442"/>
      <c r="X129" s="1434"/>
      <c r="Y129" s="1433"/>
      <c r="AD129" s="1433"/>
      <c r="AG129" s="953"/>
      <c r="AI129" s="1442"/>
      <c r="AJ129" s="1434"/>
      <c r="AK129" s="1442"/>
      <c r="AL129" s="940"/>
      <c r="AM129" s="1443"/>
      <c r="AR129" s="1433"/>
      <c r="AV129" s="951">
        <v>0.5</v>
      </c>
      <c r="AX129" s="951">
        <v>0.5</v>
      </c>
      <c r="BH129" s="953"/>
      <c r="BJ129" s="1442"/>
      <c r="BK129" s="1434"/>
      <c r="BL129" s="1442"/>
      <c r="BM129" s="1434"/>
      <c r="BN129" s="1433"/>
      <c r="BS129" s="1433"/>
      <c r="BT129" s="1433"/>
      <c r="BU129" s="1433"/>
    </row>
    <row r="130" spans="1:159" ht="24.75" customHeight="1">
      <c r="C130" s="953"/>
      <c r="D130" s="936">
        <v>8</v>
      </c>
      <c r="E130" s="947"/>
      <c r="F130" s="950" t="s">
        <v>19427</v>
      </c>
      <c r="G130" s="930"/>
      <c r="H130" s="950" t="s">
        <v>19427</v>
      </c>
      <c r="I130" s="930"/>
      <c r="J130" s="1433"/>
      <c r="K130" s="1433"/>
      <c r="L130" s="1433"/>
      <c r="M130" s="1433"/>
      <c r="N130" s="1433"/>
      <c r="O130" s="1433"/>
      <c r="P130" s="1433"/>
      <c r="Q130" s="945"/>
      <c r="R130" s="953"/>
      <c r="S130" s="930"/>
      <c r="U130" s="966">
        <f>U128*(AI130*AV129/(AI128*'1-Eng Inputs'!$C$38))+U131*(AI130*AV131/(AI131*'1-Eng Inputs'!$C$38))</f>
        <v>36.975380005442346</v>
      </c>
      <c r="V130" s="930"/>
      <c r="W130" s="966">
        <f>W128*(AK130*AX129/(AK128*'1-Eng Inputs'!$C$38))+W131*(AK130*AX131/(AK131*'1-Eng Inputs'!$C$38))</f>
        <v>36.975380005442346</v>
      </c>
      <c r="X130" s="930"/>
      <c r="Y130" s="1433"/>
      <c r="Z130" s="1433"/>
      <c r="AA130" s="1433"/>
      <c r="AB130" s="1433"/>
      <c r="AF130" s="953"/>
      <c r="AG130" s="930">
        <v>8</v>
      </c>
      <c r="AH130" s="947"/>
      <c r="AI130" s="946">
        <f>$AI$109</f>
        <v>441.53603676680575</v>
      </c>
      <c r="AJ130" s="947"/>
      <c r="AK130" s="946">
        <f>$AI$109</f>
        <v>441.53603676680575</v>
      </c>
      <c r="AL130" s="949" t="s">
        <v>20059</v>
      </c>
      <c r="AM130" s="1443"/>
      <c r="AN130" s="1433"/>
      <c r="AO130" s="1433"/>
      <c r="AP130" s="1433"/>
      <c r="AT130" s="944"/>
      <c r="AU130" s="932"/>
      <c r="AV130" s="948"/>
      <c r="AX130" s="948"/>
      <c r="AZ130" s="944"/>
      <c r="BA130" s="944"/>
      <c r="BB130" s="944"/>
      <c r="BC130" s="944"/>
      <c r="BD130" s="944"/>
      <c r="BE130" s="944"/>
      <c r="BF130" s="943"/>
      <c r="BG130" s="953"/>
      <c r="BH130" s="930">
        <v>8</v>
      </c>
      <c r="BI130" s="947"/>
      <c r="BJ130" s="946">
        <f>AI130</f>
        <v>441.53603676680575</v>
      </c>
      <c r="BK130" s="930"/>
      <c r="BL130" s="946">
        <f>AK130</f>
        <v>441.53603676680575</v>
      </c>
      <c r="BM130" s="930"/>
      <c r="BN130" s="1433"/>
      <c r="BO130" s="1433"/>
      <c r="BP130" s="1433"/>
      <c r="BQ130" s="1433"/>
      <c r="BU130" s="1433"/>
      <c r="BW130" s="929"/>
      <c r="BX130" s="928"/>
      <c r="CH130" s="929"/>
      <c r="FC130" s="928"/>
    </row>
    <row r="131" spans="1:159" ht="12.75" hidden="1" customHeight="1">
      <c r="E131" s="936"/>
      <c r="I131" s="930"/>
      <c r="J131" s="1438"/>
      <c r="U131" s="1441">
        <f>U132/factors!$D$4</f>
        <v>20</v>
      </c>
      <c r="V131" s="1434"/>
      <c r="W131" s="1441">
        <f>W132/factors!$D$4</f>
        <v>20</v>
      </c>
      <c r="X131" s="1434"/>
      <c r="Y131" s="1433"/>
      <c r="AI131" s="1441">
        <f>(AI130*AV131)/'1-Eng Inputs'!$C$38</f>
        <v>6.8990005744813399</v>
      </c>
      <c r="AK131" s="1441">
        <f>(AK130*AX131)/'1-Eng Inputs'!$C$38</f>
        <v>6.8990005744813399</v>
      </c>
      <c r="AM131" s="1433"/>
      <c r="AV131" s="1439">
        <v>0.5</v>
      </c>
      <c r="AX131" s="1439">
        <v>0.5</v>
      </c>
      <c r="BJ131" s="1441">
        <f>BJ132/factors!$B$4</f>
        <v>6.8990005744813399</v>
      </c>
      <c r="BL131" s="1441">
        <f>BL132/factors!$B$4</f>
        <v>6.8990005744813399</v>
      </c>
      <c r="BN131" s="1433"/>
    </row>
    <row r="132" spans="1:159">
      <c r="E132" s="936"/>
      <c r="F132" s="1515">
        <f>IF($N$4="NO",ROUNDUP(BJ132-0.00499,0),LEFT(BJ132,1)+(IF(BJ132-LEFT(BJ132,1)&lt;0.00499,0,IF(BJ132-LEFT(BJ132,1)-0.00499&lt;('1-Eng Inputs'!$C$39/'1-Eng Inputs'!$C$38),0.5,1))))</f>
        <v>12</v>
      </c>
      <c r="G132" s="930"/>
      <c r="H132" s="1515">
        <f>IF($N$4="NO",ROUNDUP(BL132-0.00499,0),LEFT(BL132,1)+(IF(BL132-LEFT(BL132,1)&lt;0.00499,0,IF(BL132-LEFT(BL132,1)-0.00499&lt;('1-Eng Inputs'!$C$39/'1-Eng Inputs'!$C$38),0.5,1))))</f>
        <v>12</v>
      </c>
      <c r="I132" s="930"/>
      <c r="J132" s="1438"/>
      <c r="K132" s="1433"/>
      <c r="L132" s="1433"/>
      <c r="M132" s="1433"/>
      <c r="N132" s="1433"/>
      <c r="O132" s="1433"/>
      <c r="P132" s="1433"/>
      <c r="Q132" s="945"/>
      <c r="U132" s="1442">
        <f>IF(LEFT(F132,3)-LEFT(F132,1)=0.5,'1-Eng Inputs'!$C$39,0)+LEFT(F132,1)*'1-Eng Inputs'!$C$38</f>
        <v>32</v>
      </c>
      <c r="V132" s="964"/>
      <c r="W132" s="1442">
        <f>IF(LEFT(H132,3)-LEFT(H132,1)=0.5,'1-Eng Inputs'!$C$39,0)+LEFT(H132,1)*'1-Eng Inputs'!$C$38</f>
        <v>32</v>
      </c>
      <c r="X132" s="964"/>
      <c r="Y132" s="1433"/>
      <c r="Z132" s="1433"/>
      <c r="AA132" s="1433"/>
      <c r="AB132" s="1433"/>
      <c r="AC132" s="1433"/>
      <c r="AD132" s="1433"/>
      <c r="AI132" s="1442">
        <f>AI131*factors!$D$4</f>
        <v>11.038400919170144</v>
      </c>
      <c r="AJ132" s="964"/>
      <c r="AK132" s="1442">
        <f>AK131*factors!$D$4</f>
        <v>11.038400919170144</v>
      </c>
      <c r="AL132" s="964"/>
      <c r="AM132" s="1433"/>
      <c r="AN132" s="1433"/>
      <c r="AO132" s="1433"/>
      <c r="AP132" s="1433"/>
      <c r="AQ132" s="1433"/>
      <c r="AR132" s="1433"/>
      <c r="AU132" s="944"/>
      <c r="AV132" s="1440"/>
      <c r="AX132" s="1440"/>
      <c r="AZ132" s="944"/>
      <c r="BA132" s="944"/>
      <c r="BB132" s="944"/>
      <c r="BC132" s="944"/>
      <c r="BD132" s="944"/>
      <c r="BE132" s="944"/>
      <c r="BF132" s="943"/>
      <c r="BJ132" s="1442">
        <f>AI132</f>
        <v>11.038400919170144</v>
      </c>
      <c r="BK132" s="964"/>
      <c r="BL132" s="1442">
        <f>AK132</f>
        <v>11.038400919170144</v>
      </c>
      <c r="BM132" s="964"/>
      <c r="BN132" s="1433"/>
      <c r="BO132" s="1433"/>
      <c r="BP132" s="1433"/>
      <c r="BQ132" s="1433"/>
      <c r="BR132" s="1433"/>
      <c r="BS132" s="1433"/>
      <c r="BT132" s="1433"/>
      <c r="BU132" s="1433"/>
      <c r="BV132" s="1433"/>
    </row>
    <row r="133" spans="1:159">
      <c r="E133" s="936"/>
      <c r="F133" s="1438"/>
      <c r="G133" s="930"/>
      <c r="H133" s="1438"/>
      <c r="I133" s="930"/>
      <c r="J133" s="1438"/>
      <c r="K133" s="1433"/>
      <c r="L133" s="1433"/>
      <c r="M133" s="1433"/>
      <c r="N133" s="1433"/>
      <c r="O133" s="1433"/>
      <c r="P133" s="1433"/>
      <c r="Q133" s="945"/>
      <c r="U133" s="1433"/>
      <c r="V133" s="964"/>
      <c r="W133" s="1433"/>
      <c r="X133" s="964"/>
      <c r="Y133" s="1433"/>
      <c r="Z133" s="1433"/>
      <c r="AA133" s="1433"/>
      <c r="AB133" s="1433"/>
      <c r="AC133" s="1433"/>
      <c r="AD133" s="1433"/>
      <c r="AI133" s="1433"/>
      <c r="AJ133" s="964"/>
      <c r="AK133" s="1433"/>
      <c r="AL133" s="964"/>
      <c r="AM133" s="1433"/>
      <c r="AN133" s="1433"/>
      <c r="AO133" s="1433"/>
      <c r="AP133" s="1433"/>
      <c r="AQ133" s="1433"/>
      <c r="AR133" s="1433"/>
      <c r="AU133" s="944"/>
      <c r="AV133" s="944"/>
      <c r="AX133" s="944"/>
      <c r="AZ133" s="944"/>
      <c r="BA133" s="944"/>
      <c r="BB133" s="944"/>
      <c r="BC133" s="944"/>
      <c r="BD133" s="944"/>
      <c r="BE133" s="944"/>
      <c r="BF133" s="943"/>
      <c r="BJ133" s="1433"/>
      <c r="BK133" s="964"/>
      <c r="BL133" s="1433"/>
      <c r="BM133" s="964"/>
      <c r="BN133" s="1433"/>
      <c r="BO133" s="1433"/>
      <c r="BP133" s="1433"/>
      <c r="BQ133" s="1433"/>
      <c r="BR133" s="1433"/>
      <c r="BS133" s="1433"/>
      <c r="BT133" s="1433"/>
      <c r="BU133" s="1433"/>
      <c r="BV133" s="1433"/>
    </row>
    <row r="134" spans="1:159">
      <c r="A134" s="959" t="s">
        <v>19437</v>
      </c>
      <c r="E134" s="936"/>
      <c r="S134" s="959"/>
      <c r="AG134" s="959" t="s">
        <v>19452</v>
      </c>
      <c r="BH134" s="959" t="s">
        <v>19446</v>
      </c>
    </row>
    <row r="135" spans="1:159">
      <c r="B135" s="1433"/>
      <c r="C135" s="954"/>
      <c r="D135" s="936"/>
      <c r="E135" s="964"/>
      <c r="F135" s="928" t="s">
        <v>233</v>
      </c>
      <c r="G135" s="964"/>
      <c r="H135" s="964"/>
      <c r="I135" s="964"/>
      <c r="J135" s="964"/>
      <c r="K135" s="964"/>
      <c r="L135" s="964"/>
      <c r="R135" s="954"/>
      <c r="S135" s="930"/>
      <c r="T135" s="928"/>
      <c r="AC135" s="1433"/>
      <c r="AF135" s="954"/>
      <c r="AG135" s="930"/>
      <c r="AH135" s="928"/>
      <c r="AI135" s="928" t="s">
        <v>233</v>
      </c>
      <c r="AJ135" s="1464" t="s">
        <v>20056</v>
      </c>
      <c r="AQ135" s="1433"/>
      <c r="AT135" s="965" t="s">
        <v>19376</v>
      </c>
      <c r="AU135" s="932"/>
      <c r="BE135" s="933"/>
      <c r="BF135" s="963"/>
      <c r="BG135" s="960"/>
      <c r="BH135" s="930"/>
      <c r="BI135" s="928"/>
      <c r="BJ135" s="928" t="s">
        <v>233</v>
      </c>
      <c r="BR135" s="1433"/>
      <c r="BS135" s="1433"/>
      <c r="BT135" s="1433"/>
      <c r="BW135" s="929"/>
      <c r="BX135" s="928"/>
      <c r="CH135" s="929"/>
      <c r="FC135" s="928"/>
    </row>
    <row r="136" spans="1:159">
      <c r="B136" s="1433"/>
      <c r="C136" s="954"/>
      <c r="D136" s="936"/>
      <c r="E136" s="964"/>
      <c r="F136" s="962">
        <v>1</v>
      </c>
      <c r="G136" s="964" t="s">
        <v>6094</v>
      </c>
      <c r="H136" s="964"/>
      <c r="I136" s="964"/>
      <c r="J136" s="964"/>
      <c r="K136" s="964"/>
      <c r="L136" s="964"/>
      <c r="R136" s="954"/>
      <c r="S136" s="930"/>
      <c r="T136" s="928"/>
      <c r="U136" s="962"/>
      <c r="AF136" s="954"/>
      <c r="AG136" s="930"/>
      <c r="AH136" s="928"/>
      <c r="AI136" s="962">
        <v>1</v>
      </c>
      <c r="AJ136" s="956" t="s">
        <v>20057</v>
      </c>
      <c r="AT136" s="933"/>
      <c r="AU136" s="932"/>
      <c r="BE136" s="933"/>
      <c r="BF136" s="963"/>
      <c r="BG136" s="954"/>
      <c r="BH136" s="930"/>
      <c r="BI136" s="928"/>
      <c r="BJ136" s="962">
        <v>1</v>
      </c>
      <c r="BW136" s="929"/>
      <c r="BX136" s="928"/>
      <c r="CH136" s="929"/>
      <c r="FC136" s="928"/>
    </row>
    <row r="137" spans="1:159" ht="12.75" customHeight="1">
      <c r="E137" s="936"/>
      <c r="F137" s="1431">
        <f>IF($N$4="NO",ROUNDUP(BJ137-0.00499,0),LEFT(BJ137,1)+(IF(BJ137-LEFT(BJ137,1)&lt;0.00499,0,IF(BJ137-LEFT(BJ137,1)-0.00499&lt;('1-Eng Inputs'!$C$39/'1-Eng Inputs'!$C$38),0.5,1))))</f>
        <v>16</v>
      </c>
      <c r="G137" s="958"/>
      <c r="H137" s="1436" t="s">
        <v>20080</v>
      </c>
      <c r="I137" s="1436"/>
      <c r="J137" s="954"/>
      <c r="K137" s="954"/>
      <c r="L137" s="954"/>
      <c r="M137" s="954"/>
      <c r="N137" s="1433"/>
      <c r="O137" s="1433"/>
      <c r="P137" s="1433"/>
      <c r="Q137" s="945"/>
      <c r="U137" s="1444">
        <f>IF(LEFT(F137,3)-LEFT(F137,1)=0.5,'1-Eng Inputs'!$C$39,0)+LEFT(F137,1)*'1-Eng Inputs'!$C$38</f>
        <v>32</v>
      </c>
      <c r="W137" s="1433"/>
      <c r="X137" s="1433"/>
      <c r="Y137" s="1433"/>
      <c r="Z137" s="1433"/>
      <c r="AA137" s="1433"/>
      <c r="AB137" s="1433"/>
      <c r="AC137" s="1433"/>
      <c r="AI137" s="1444">
        <f>AI138*factors!$D$3</f>
        <v>15.98585754258302</v>
      </c>
      <c r="AK137" s="1433"/>
      <c r="AL137" s="1433"/>
      <c r="AM137" s="1433"/>
      <c r="AN137" s="1433"/>
      <c r="AO137" s="1433"/>
      <c r="AP137" s="1433"/>
      <c r="AQ137" s="1433"/>
      <c r="AU137" s="944"/>
      <c r="AV137" s="1439">
        <v>0.5</v>
      </c>
      <c r="AX137" s="944"/>
      <c r="AY137" s="944"/>
      <c r="AZ137" s="944"/>
      <c r="BA137" s="944"/>
      <c r="BB137" s="944"/>
      <c r="BC137" s="944"/>
      <c r="BD137" s="944"/>
      <c r="BE137" s="944"/>
      <c r="BF137" s="943"/>
      <c r="BJ137" s="1444">
        <f>AI137</f>
        <v>15.98585754258302</v>
      </c>
      <c r="BL137" s="1433"/>
      <c r="BM137" s="1433"/>
      <c r="BN137" s="1433"/>
      <c r="BO137" s="1433"/>
      <c r="BP137" s="1433"/>
      <c r="BQ137" s="1433"/>
      <c r="BR137" s="1433"/>
      <c r="BV137" s="1433"/>
    </row>
    <row r="138" spans="1:159" ht="12.75" hidden="1" customHeight="1">
      <c r="E138" s="936"/>
      <c r="F138" s="1432"/>
      <c r="G138" s="930"/>
      <c r="H138" s="1433"/>
      <c r="I138" s="1433"/>
      <c r="J138" s="954"/>
      <c r="K138" s="954"/>
      <c r="L138" s="954"/>
      <c r="M138" s="954"/>
      <c r="N138" s="1433"/>
      <c r="O138" s="1433"/>
      <c r="P138" s="1433"/>
      <c r="Q138" s="945"/>
      <c r="U138" s="1445">
        <f>U137/factors!$D$3</f>
        <v>17.777777777777779</v>
      </c>
      <c r="V138" s="1434"/>
      <c r="W138" s="1433"/>
      <c r="X138" s="1433"/>
      <c r="Y138" s="1433"/>
      <c r="Z138" s="961"/>
      <c r="AA138" s="1433"/>
      <c r="AB138" s="1433"/>
      <c r="AC138" s="1433"/>
      <c r="AD138" s="1433"/>
      <c r="AI138" s="1445">
        <f>(AI139*AV137)/'1-Eng Inputs'!$C$38</f>
        <v>8.8810319681016772</v>
      </c>
      <c r="AJ138" s="1434"/>
      <c r="AK138" s="1436"/>
      <c r="AL138" s="1436"/>
      <c r="AM138" s="1433"/>
      <c r="AN138" s="961"/>
      <c r="AO138" s="1433"/>
      <c r="AP138" s="1433"/>
      <c r="AQ138" s="1433"/>
      <c r="AR138" s="1433"/>
      <c r="AU138" s="944"/>
      <c r="AV138" s="1440"/>
      <c r="AX138" s="944"/>
      <c r="AY138" s="944"/>
      <c r="AZ138" s="944"/>
      <c r="BA138" s="944"/>
      <c r="BB138" s="944"/>
      <c r="BC138" s="944"/>
      <c r="BD138" s="944"/>
      <c r="BE138" s="944"/>
      <c r="BF138" s="943"/>
      <c r="BJ138" s="1445">
        <f>BJ137/factors!$B$3</f>
        <v>11.418469673273586</v>
      </c>
      <c r="BK138" s="1434"/>
      <c r="BL138" s="1433"/>
      <c r="BM138" s="1433"/>
      <c r="BN138" s="1433"/>
      <c r="BO138" s="961"/>
      <c r="BP138" s="1433"/>
      <c r="BQ138" s="1433"/>
      <c r="BR138" s="1433"/>
      <c r="BS138" s="1433"/>
      <c r="BT138" s="1433"/>
      <c r="BU138" s="1433"/>
      <c r="BV138" s="1433"/>
    </row>
    <row r="139" spans="1:159" ht="24.75" customHeight="1">
      <c r="C139" s="960" t="s">
        <v>234</v>
      </c>
      <c r="D139" s="930">
        <v>1</v>
      </c>
      <c r="E139" s="947"/>
      <c r="F139" s="950" t="s">
        <v>19430</v>
      </c>
      <c r="G139" s="930"/>
      <c r="H139" s="1433"/>
      <c r="I139" s="1433"/>
      <c r="J139" s="954"/>
      <c r="K139" s="954"/>
      <c r="L139" s="954"/>
      <c r="M139" s="1433"/>
      <c r="N139" s="1433"/>
      <c r="O139" s="1433"/>
      <c r="P139" s="1433"/>
      <c r="Q139" s="945"/>
      <c r="R139" s="960"/>
      <c r="S139" s="930"/>
      <c r="U139" s="946">
        <f>(U138*(AI139*AV137/(AI138*'1-Eng Inputs'!$C$38))+U140*(AI139*AV140/(AI140*'1-Eng Inputs'!$C$38)))</f>
        <v>35.346108243994095</v>
      </c>
      <c r="V139" s="930"/>
      <c r="W139" s="1433"/>
      <c r="X139" s="1433"/>
      <c r="Y139" s="1433"/>
      <c r="Z139" s="1433"/>
      <c r="AA139" s="1433"/>
      <c r="AB139" s="1433"/>
      <c r="AF139" s="960"/>
      <c r="AG139" s="930">
        <v>1</v>
      </c>
      <c r="AH139" s="947"/>
      <c r="AI139" s="949">
        <f>MAX('Land Calcs 5deg (lift)'!H7,'Land Calcs 5deg (lift)'!H27)</f>
        <v>568.38604595850734</v>
      </c>
      <c r="AJ139" s="949" t="s">
        <v>20058</v>
      </c>
      <c r="AK139" s="1433"/>
      <c r="AL139" s="1433"/>
      <c r="AM139" s="1433"/>
      <c r="AN139" s="1433"/>
      <c r="AO139" s="1433"/>
      <c r="AP139" s="1433"/>
      <c r="AT139" s="944"/>
      <c r="AU139" s="932"/>
      <c r="AV139" s="948"/>
      <c r="AX139" s="944"/>
      <c r="AY139" s="944"/>
      <c r="AZ139" s="944"/>
      <c r="BA139" s="944"/>
      <c r="BB139" s="944"/>
      <c r="BC139" s="944"/>
      <c r="BD139" s="944"/>
      <c r="BE139" s="944"/>
      <c r="BF139" s="943"/>
      <c r="BG139" s="960" t="s">
        <v>234</v>
      </c>
      <c r="BH139" s="930">
        <v>1</v>
      </c>
      <c r="BI139" s="947"/>
      <c r="BJ139" s="946">
        <f>AI139</f>
        <v>568.38604595850734</v>
      </c>
      <c r="BK139" s="930"/>
      <c r="BL139" s="1433"/>
      <c r="BM139" s="1433"/>
      <c r="BN139" s="1433"/>
      <c r="BO139" s="1433"/>
      <c r="BP139" s="1433"/>
      <c r="BQ139" s="1433"/>
      <c r="BU139" s="1433"/>
      <c r="BW139" s="929"/>
      <c r="BX139" s="928"/>
      <c r="CH139" s="929"/>
      <c r="FC139" s="928"/>
    </row>
    <row r="140" spans="1:159">
      <c r="E140" s="930"/>
      <c r="F140" s="1431">
        <f>IF($N$4="NO",ROUNDUP(BJ140-0.00499,0),LEFT(BJ140,1)+(IF(BJ140-LEFT(BJ140,1)&lt;0.00499,0,IF(BJ140-LEFT(BJ140,1)-0.00499&lt;('1-Eng Inputs'!$C$39/'1-Eng Inputs'!$C$38),0.5,1))))</f>
        <v>17</v>
      </c>
      <c r="G140" s="930"/>
      <c r="H140" s="1433"/>
      <c r="I140" s="1433"/>
      <c r="J140" s="954"/>
      <c r="K140" s="954"/>
      <c r="L140" s="954"/>
      <c r="M140" s="954"/>
      <c r="N140" s="1433"/>
      <c r="O140" s="1433"/>
      <c r="P140" s="1433"/>
      <c r="Q140" s="945"/>
      <c r="U140" s="1444">
        <f>IF(LEFT(F140,3)-LEFT(F140,1)=0.5,'1-Eng Inputs'!$C$39,0)+LEFT(F140,1)*'1-Eng Inputs'!$C$38</f>
        <v>32</v>
      </c>
      <c r="W140" s="1433"/>
      <c r="X140" s="1433"/>
      <c r="Y140" s="1433"/>
      <c r="Z140" s="1433"/>
      <c r="AA140" s="1433"/>
      <c r="AB140" s="1433"/>
      <c r="AC140" s="1433"/>
      <c r="AI140" s="1444">
        <f>(AI139*AV140+AI142*AV141)/'1-Eng Inputs'!$C$38</f>
        <v>16.176438821307084</v>
      </c>
      <c r="AJ140" s="959"/>
      <c r="AK140" s="1433"/>
      <c r="AL140" s="1433"/>
      <c r="AM140" s="1433"/>
      <c r="AN140" s="1433"/>
      <c r="AO140" s="1433"/>
      <c r="AP140" s="1433"/>
      <c r="AQ140" s="1433"/>
      <c r="AU140" s="944"/>
      <c r="AV140" s="952">
        <v>0.5</v>
      </c>
      <c r="AX140" s="944"/>
      <c r="AY140" s="944"/>
      <c r="AZ140" s="944"/>
      <c r="BA140" s="944"/>
      <c r="BB140" s="944"/>
      <c r="BC140" s="944"/>
      <c r="BD140" s="944"/>
      <c r="BE140" s="944"/>
      <c r="BF140" s="943"/>
      <c r="BJ140" s="1444">
        <f>AI140</f>
        <v>16.176438821307084</v>
      </c>
      <c r="BL140" s="1433"/>
      <c r="BM140" s="1433"/>
      <c r="BN140" s="1433"/>
      <c r="BO140" s="1433"/>
      <c r="BP140" s="1433"/>
      <c r="BQ140" s="1433"/>
      <c r="BR140" s="1433"/>
      <c r="BV140" s="1433"/>
    </row>
    <row r="141" spans="1:159" ht="12.75" hidden="1" customHeight="1">
      <c r="E141" s="930"/>
      <c r="F141" s="1432"/>
      <c r="G141" s="930"/>
      <c r="H141" s="1433"/>
      <c r="I141" s="1433"/>
      <c r="J141" s="954"/>
      <c r="K141" s="954"/>
      <c r="L141" s="954"/>
      <c r="M141" s="954"/>
      <c r="N141" s="1433"/>
      <c r="O141" s="1433"/>
      <c r="P141" s="1433"/>
      <c r="Q141" s="945"/>
      <c r="U141" s="1445"/>
      <c r="V141" s="1434"/>
      <c r="W141" s="1433"/>
      <c r="X141" s="1433"/>
      <c r="Y141" s="1433"/>
      <c r="Z141" s="1433"/>
      <c r="AA141" s="1433"/>
      <c r="AB141" s="1433"/>
      <c r="AC141" s="1433"/>
      <c r="AD141" s="1433"/>
      <c r="AI141" s="1445"/>
      <c r="AJ141" s="940"/>
      <c r="AK141" s="1433"/>
      <c r="AL141" s="1433"/>
      <c r="AM141" s="1433"/>
      <c r="AN141" s="1433"/>
      <c r="AO141" s="1433"/>
      <c r="AP141" s="1433"/>
      <c r="AQ141" s="1433"/>
      <c r="AR141" s="1433"/>
      <c r="AU141" s="944"/>
      <c r="AV141" s="951">
        <v>0.5</v>
      </c>
      <c r="AX141" s="944"/>
      <c r="AY141" s="944"/>
      <c r="AZ141" s="944"/>
      <c r="BA141" s="944"/>
      <c r="BB141" s="944"/>
      <c r="BC141" s="944"/>
      <c r="BD141" s="944"/>
      <c r="BE141" s="944"/>
      <c r="BF141" s="943"/>
      <c r="BJ141" s="1445"/>
      <c r="BK141" s="1434"/>
      <c r="BL141" s="1433"/>
      <c r="BM141" s="1433"/>
      <c r="BN141" s="1433"/>
      <c r="BO141" s="1433"/>
      <c r="BP141" s="1433"/>
      <c r="BQ141" s="1433"/>
      <c r="BR141" s="1433"/>
      <c r="BS141" s="1433"/>
      <c r="BT141" s="1433"/>
      <c r="BU141" s="1433"/>
      <c r="BV141" s="1433"/>
    </row>
    <row r="142" spans="1:159" ht="24.75" customHeight="1">
      <c r="C142" s="953"/>
      <c r="D142" s="930">
        <v>2</v>
      </c>
      <c r="E142" s="947"/>
      <c r="F142" s="950" t="s">
        <v>19430</v>
      </c>
      <c r="G142" s="930"/>
      <c r="H142" s="1433"/>
      <c r="I142" s="1433"/>
      <c r="J142" s="954"/>
      <c r="K142" s="954"/>
      <c r="L142" s="954"/>
      <c r="M142" s="1433"/>
      <c r="N142" s="1433"/>
      <c r="O142" s="1433"/>
      <c r="P142" s="1433"/>
      <c r="Q142" s="945"/>
      <c r="R142" s="953"/>
      <c r="S142" s="930"/>
      <c r="U142" s="946">
        <f>(U140*(AI142*AV141/(AI140*'1-Eng Inputs'!$C$38))+U146*(AI142*AV146/(AI146*'1-Eng Inputs'!$C$38)))</f>
        <v>30.431669533783676</v>
      </c>
      <c r="V142" s="930"/>
      <c r="W142" s="1433"/>
      <c r="X142" s="1433"/>
      <c r="Y142" s="1433"/>
      <c r="Z142" s="1433"/>
      <c r="AA142" s="1433"/>
      <c r="AB142" s="1433"/>
      <c r="AF142" s="953"/>
      <c r="AG142" s="930">
        <v>2</v>
      </c>
      <c r="AH142" s="947"/>
      <c r="AI142" s="949">
        <f>MAX('Land Calcs 5deg (lift)'!M7,'Land Calcs 5deg (lift)'!M27)</f>
        <v>466.90603860514597</v>
      </c>
      <c r="AJ142" s="1178" t="s">
        <v>20108</v>
      </c>
      <c r="AK142" s="1433"/>
      <c r="AL142" s="1433"/>
      <c r="AM142" s="1433"/>
      <c r="AN142" s="1433"/>
      <c r="AO142" s="1433"/>
      <c r="AP142" s="1433"/>
      <c r="AT142" s="944"/>
      <c r="AU142" s="932"/>
      <c r="AV142" s="948"/>
      <c r="AX142" s="944"/>
      <c r="AY142" s="944"/>
      <c r="AZ142" s="944"/>
      <c r="BA142" s="944"/>
      <c r="BB142" s="944"/>
      <c r="BC142" s="944"/>
      <c r="BD142" s="944"/>
      <c r="BE142" s="944"/>
      <c r="BF142" s="943"/>
      <c r="BG142" s="953"/>
      <c r="BH142" s="930">
        <v>2</v>
      </c>
      <c r="BI142" s="947"/>
      <c r="BJ142" s="946">
        <f>AI142</f>
        <v>466.90603860514597</v>
      </c>
      <c r="BK142" s="930"/>
      <c r="BL142" s="1433"/>
      <c r="BM142" s="1433"/>
      <c r="BN142" s="1433"/>
      <c r="BO142" s="1433"/>
      <c r="BP142" s="1433"/>
      <c r="BQ142" s="1433"/>
      <c r="BU142" s="1433"/>
      <c r="BW142" s="929"/>
      <c r="BX142" s="928"/>
      <c r="CH142" s="929"/>
      <c r="FC142" s="928"/>
    </row>
    <row r="143" spans="1:159" ht="15" customHeight="1">
      <c r="C143" s="953"/>
      <c r="D143" s="930"/>
      <c r="E143" s="930"/>
      <c r="F143" s="1431">
        <f>IF($N$4="NO",ROUNDUP(BJ143-0.00499,0),LEFT(BJ143,1)+(IF(BJ143-LEFT(BJ143,1)&lt;0.00499,0,IF(BJ143-LEFT(BJ143,1)-0.00499&lt;('1-Eng Inputs'!$C$39/'1-Eng Inputs'!$C$38),0.5,1))))</f>
        <v>15</v>
      </c>
      <c r="G143" s="930"/>
      <c r="H143" s="1433"/>
      <c r="I143" s="1433"/>
      <c r="J143" s="954"/>
      <c r="K143" s="954"/>
      <c r="L143" s="954"/>
      <c r="M143" s="1433"/>
      <c r="N143" s="1433"/>
      <c r="O143" s="1433"/>
      <c r="P143" s="1433"/>
      <c r="Q143" s="945"/>
      <c r="R143" s="953"/>
      <c r="S143" s="930"/>
      <c r="U143" s="1427">
        <f>IF(LEFT(F143,3)-LEFT(F143,1)=0.5,'1-Eng Inputs'!$C$39,0)+LEFT(F143,1)*'1-Eng Inputs'!$C$38</f>
        <v>32</v>
      </c>
      <c r="V143" s="930"/>
      <c r="W143" s="1433"/>
      <c r="X143" s="1433"/>
      <c r="Y143" s="1433"/>
      <c r="Z143" s="1433"/>
      <c r="AA143" s="1433"/>
      <c r="AB143" s="1433"/>
      <c r="AF143" s="953"/>
      <c r="AG143" s="930"/>
      <c r="AI143" s="1427">
        <f>(AI142*AV143+AI145*AV144)/'1-Eng Inputs'!$C$38</f>
        <v>14.590813706410811</v>
      </c>
      <c r="AJ143" s="1182"/>
      <c r="AK143" s="1433"/>
      <c r="AL143" s="1433"/>
      <c r="AM143" s="1433"/>
      <c r="AN143" s="1433"/>
      <c r="AO143" s="1433"/>
      <c r="AP143" s="1433"/>
      <c r="AT143" s="944"/>
      <c r="AU143" s="932"/>
      <c r="AV143" s="952">
        <v>0.5</v>
      </c>
      <c r="AX143" s="944"/>
      <c r="AY143" s="944"/>
      <c r="AZ143" s="944"/>
      <c r="BA143" s="944"/>
      <c r="BB143" s="944"/>
      <c r="BC143" s="944"/>
      <c r="BD143" s="944"/>
      <c r="BE143" s="944"/>
      <c r="BF143" s="943"/>
      <c r="BG143" s="953"/>
      <c r="BH143" s="930"/>
      <c r="BJ143" s="1427">
        <f>AI143</f>
        <v>14.590813706410811</v>
      </c>
      <c r="BK143" s="930"/>
      <c r="BL143" s="1433"/>
      <c r="BM143" s="1433"/>
      <c r="BN143" s="1433"/>
      <c r="BO143" s="1433"/>
      <c r="BP143" s="1433"/>
      <c r="BQ143" s="1433"/>
      <c r="BU143" s="1433"/>
      <c r="BW143" s="929"/>
      <c r="BX143" s="928"/>
      <c r="CH143" s="929"/>
      <c r="FC143" s="928"/>
    </row>
    <row r="144" spans="1:159" ht="15" hidden="1" customHeight="1">
      <c r="C144" s="953"/>
      <c r="D144" s="930"/>
      <c r="E144" s="930"/>
      <c r="F144" s="1432"/>
      <c r="G144" s="930"/>
      <c r="H144" s="1433"/>
      <c r="I144" s="1433"/>
      <c r="J144" s="954"/>
      <c r="K144" s="954"/>
      <c r="L144" s="954"/>
      <c r="M144" s="1433"/>
      <c r="N144" s="1433"/>
      <c r="O144" s="1433"/>
      <c r="P144" s="1433"/>
      <c r="Q144" s="945"/>
      <c r="R144" s="953"/>
      <c r="S144" s="930"/>
      <c r="U144" s="1428"/>
      <c r="V144" s="930"/>
      <c r="W144" s="1433"/>
      <c r="X144" s="1433"/>
      <c r="Y144" s="1433"/>
      <c r="Z144" s="1433"/>
      <c r="AA144" s="1433"/>
      <c r="AB144" s="1433"/>
      <c r="AF144" s="953"/>
      <c r="AG144" s="930"/>
      <c r="AI144" s="1428"/>
      <c r="AJ144" s="1182"/>
      <c r="AK144" s="1433"/>
      <c r="AL144" s="1433"/>
      <c r="AM144" s="1433"/>
      <c r="AN144" s="1433"/>
      <c r="AO144" s="1433"/>
      <c r="AP144" s="1433"/>
      <c r="AT144" s="944"/>
      <c r="AU144" s="932"/>
      <c r="AV144" s="951">
        <v>0.5</v>
      </c>
      <c r="AX144" s="944"/>
      <c r="AY144" s="944"/>
      <c r="AZ144" s="944"/>
      <c r="BA144" s="944"/>
      <c r="BB144" s="944"/>
      <c r="BC144" s="944"/>
      <c r="BD144" s="944"/>
      <c r="BE144" s="944"/>
      <c r="BF144" s="943"/>
      <c r="BG144" s="953"/>
      <c r="BH144" s="930"/>
      <c r="BJ144" s="1428"/>
      <c r="BK144" s="930"/>
      <c r="BL144" s="1433"/>
      <c r="BM144" s="1433"/>
      <c r="BN144" s="1433"/>
      <c r="BO144" s="1433"/>
      <c r="BP144" s="1433"/>
      <c r="BQ144" s="1433"/>
      <c r="BU144" s="1433"/>
      <c r="BW144" s="929"/>
      <c r="BX144" s="928"/>
      <c r="CH144" s="929"/>
      <c r="FC144" s="928"/>
    </row>
    <row r="145" spans="3:159" ht="24.75" customHeight="1">
      <c r="C145" s="953"/>
      <c r="D145" s="930">
        <v>3</v>
      </c>
      <c r="E145" s="947"/>
      <c r="F145" s="950" t="s">
        <v>19430</v>
      </c>
      <c r="G145" s="930"/>
      <c r="H145" s="1433"/>
      <c r="I145" s="1433"/>
      <c r="J145" s="954"/>
      <c r="K145" s="954"/>
      <c r="L145" s="954"/>
      <c r="M145" s="1433"/>
      <c r="N145" s="1433"/>
      <c r="O145" s="1433"/>
      <c r="P145" s="1433"/>
      <c r="Q145" s="945"/>
      <c r="R145" s="953"/>
      <c r="S145" s="930"/>
      <c r="U145" s="946">
        <f>(U143*(AI145*AV144/(AI143*'1-Eng Inputs'!$C$38))+U146*(AI145*AV146/(AI146*'1-Eng Inputs'!$C$38)))</f>
        <v>32</v>
      </c>
      <c r="V145" s="930"/>
      <c r="W145" s="1433"/>
      <c r="X145" s="1433"/>
      <c r="Y145" s="1433"/>
      <c r="Z145" s="1433"/>
      <c r="AA145" s="1433"/>
      <c r="AB145" s="1433"/>
      <c r="AF145" s="953"/>
      <c r="AG145" s="930">
        <v>3</v>
      </c>
      <c r="AH145" s="947"/>
      <c r="AI145" s="946">
        <f>AI142</f>
        <v>466.90603860514597</v>
      </c>
      <c r="AJ145" s="1178" t="s">
        <v>20108</v>
      </c>
      <c r="AK145" s="1433"/>
      <c r="AL145" s="1433"/>
      <c r="AM145" s="1433"/>
      <c r="AN145" s="1433"/>
      <c r="AO145" s="1433"/>
      <c r="AP145" s="1433"/>
      <c r="AT145" s="944"/>
      <c r="AU145" s="932"/>
      <c r="AV145" s="1063"/>
      <c r="AX145" s="944"/>
      <c r="AY145" s="944"/>
      <c r="AZ145" s="944"/>
      <c r="BA145" s="944"/>
      <c r="BB145" s="944"/>
      <c r="BC145" s="944"/>
      <c r="BD145" s="944"/>
      <c r="BE145" s="944"/>
      <c r="BF145" s="943"/>
      <c r="BG145" s="953"/>
      <c r="BH145" s="930">
        <v>3</v>
      </c>
      <c r="BI145" s="947"/>
      <c r="BJ145" s="946">
        <f>AI145</f>
        <v>466.90603860514597</v>
      </c>
      <c r="BK145" s="930"/>
      <c r="BL145" s="1433"/>
      <c r="BM145" s="1433"/>
      <c r="BN145" s="1433"/>
      <c r="BO145" s="1433"/>
      <c r="BP145" s="1433"/>
      <c r="BQ145" s="1433"/>
      <c r="BU145" s="1433"/>
      <c r="BW145" s="929"/>
      <c r="BX145" s="928"/>
      <c r="CH145" s="929"/>
      <c r="FC145" s="928"/>
    </row>
    <row r="146" spans="3:159">
      <c r="E146" s="930"/>
      <c r="F146" s="1431">
        <f>IF($N$4="NO",ROUNDUP(BJ146-0.00499,0),LEFT(BJ146,1)+(IF(BJ146-LEFT(BJ146,1)&lt;0.00499,0,IF(BJ146-LEFT(BJ146,1)-0.00499&lt;('1-Eng Inputs'!$C$39/'1-Eng Inputs'!$C$38),0.5,1))))</f>
        <v>15</v>
      </c>
      <c r="G146" s="958"/>
      <c r="H146" s="1433"/>
      <c r="I146" s="1433"/>
      <c r="J146" s="954"/>
      <c r="K146" s="954"/>
      <c r="L146" s="954"/>
      <c r="M146" s="954"/>
      <c r="N146" s="1433"/>
      <c r="O146" s="1433"/>
      <c r="P146" s="1433"/>
      <c r="Q146" s="945"/>
      <c r="U146" s="1427">
        <f>IF(LEFT(F146,3)-LEFT(F146,1)=0.5,'1-Eng Inputs'!$C$39,0)+LEFT(F146,1)*'1-Eng Inputs'!$C$38</f>
        <v>32</v>
      </c>
      <c r="W146" s="1433"/>
      <c r="X146" s="1433"/>
      <c r="Y146" s="1433"/>
      <c r="Z146" s="1433"/>
      <c r="AA146" s="1433"/>
      <c r="AB146" s="1433"/>
      <c r="AC146" s="1433"/>
      <c r="AD146" s="1433"/>
      <c r="AI146" s="1427">
        <f>(AI142*AV146+AI148*AV147)/'1-Eng Inputs'!$C$38</f>
        <v>14.590813706410811</v>
      </c>
      <c r="AJ146" s="957"/>
      <c r="AK146" s="1433"/>
      <c r="AL146" s="1433"/>
      <c r="AM146" s="1433"/>
      <c r="AN146" s="1433"/>
      <c r="AO146" s="1433"/>
      <c r="AP146" s="1433"/>
      <c r="AQ146" s="1433"/>
      <c r="AR146" s="1433"/>
      <c r="AU146" s="944"/>
      <c r="AV146" s="952">
        <v>0.5</v>
      </c>
      <c r="AX146" s="944"/>
      <c r="AY146" s="944"/>
      <c r="AZ146" s="944"/>
      <c r="BA146" s="944"/>
      <c r="BB146" s="944"/>
      <c r="BC146" s="944"/>
      <c r="BD146" s="944"/>
      <c r="BE146" s="944"/>
      <c r="BF146" s="943"/>
      <c r="BJ146" s="1427">
        <f>AI146</f>
        <v>14.590813706410811</v>
      </c>
      <c r="BL146" s="1433"/>
      <c r="BM146" s="1433"/>
      <c r="BN146" s="1433"/>
      <c r="BO146" s="1433"/>
      <c r="BP146" s="1433"/>
      <c r="BQ146" s="1433"/>
      <c r="BR146" s="1433"/>
      <c r="BS146" s="1433"/>
      <c r="BT146" s="1433"/>
      <c r="BU146" s="1433"/>
      <c r="BV146" s="1433"/>
    </row>
    <row r="147" spans="3:159" ht="12.75" hidden="1" customHeight="1">
      <c r="E147" s="930"/>
      <c r="F147" s="1432"/>
      <c r="G147" s="956"/>
      <c r="H147" s="1436"/>
      <c r="I147" s="1436"/>
      <c r="J147" s="954"/>
      <c r="K147" s="954"/>
      <c r="L147" s="954"/>
      <c r="M147" s="954"/>
      <c r="N147" s="1433"/>
      <c r="O147" s="1433"/>
      <c r="P147" s="1433"/>
      <c r="Q147" s="945"/>
      <c r="U147" s="1428"/>
      <c r="V147" s="1434"/>
      <c r="W147" s="1433"/>
      <c r="X147" s="1433"/>
      <c r="Y147" s="1433"/>
      <c r="Z147" s="1433"/>
      <c r="AA147" s="1433"/>
      <c r="AB147" s="1433"/>
      <c r="AC147" s="1433"/>
      <c r="AD147" s="1433"/>
      <c r="AI147" s="1428"/>
      <c r="AJ147" s="940"/>
      <c r="AK147" s="1433"/>
      <c r="AL147" s="1433"/>
      <c r="AM147" s="1433"/>
      <c r="AN147" s="1433"/>
      <c r="AO147" s="1433"/>
      <c r="AP147" s="1433"/>
      <c r="AQ147" s="1433"/>
      <c r="AR147" s="1433"/>
      <c r="AU147" s="944"/>
      <c r="AV147" s="951">
        <v>0.5</v>
      </c>
      <c r="AX147" s="944"/>
      <c r="AY147" s="944"/>
      <c r="AZ147" s="944"/>
      <c r="BA147" s="944"/>
      <c r="BB147" s="944"/>
      <c r="BC147" s="944"/>
      <c r="BD147" s="944"/>
      <c r="BE147" s="944"/>
      <c r="BF147" s="943"/>
      <c r="BJ147" s="1428"/>
      <c r="BK147" s="1434"/>
      <c r="BL147" s="1433"/>
      <c r="BM147" s="1433"/>
      <c r="BN147" s="1433"/>
      <c r="BO147" s="1433"/>
      <c r="BP147" s="1433"/>
      <c r="BQ147" s="1433"/>
      <c r="BR147" s="1433"/>
      <c r="BS147" s="1433"/>
      <c r="BT147" s="1433"/>
      <c r="BU147" s="1433"/>
      <c r="BV147" s="1433"/>
    </row>
    <row r="148" spans="3:159" ht="24.75" customHeight="1">
      <c r="C148" s="953"/>
      <c r="D148" s="930">
        <v>4</v>
      </c>
      <c r="E148" s="947"/>
      <c r="F148" s="950" t="s">
        <v>19430</v>
      </c>
      <c r="G148" s="930"/>
      <c r="H148" s="1433"/>
      <c r="I148" s="1433"/>
      <c r="J148" s="954"/>
      <c r="K148" s="954"/>
      <c r="L148" s="954"/>
      <c r="M148" s="1433"/>
      <c r="N148" s="1433"/>
      <c r="O148" s="1433"/>
      <c r="P148" s="1433"/>
      <c r="Q148" s="945"/>
      <c r="R148" s="953"/>
      <c r="S148" s="930"/>
      <c r="U148" s="946">
        <f>(U146*(AI148*AV147/(AI146*'1-Eng Inputs'!$C$38))+U149*(AI148*AV149/(AI149*'1-Eng Inputs'!$C$38)))</f>
        <v>32</v>
      </c>
      <c r="V148" s="930"/>
      <c r="W148" s="1433"/>
      <c r="X148" s="1433"/>
      <c r="Y148" s="1433"/>
      <c r="Z148" s="1433"/>
      <c r="AA148" s="1433"/>
      <c r="AB148" s="1433"/>
      <c r="AC148" s="1433"/>
      <c r="AD148" s="1433"/>
      <c r="AF148" s="953"/>
      <c r="AG148" s="930">
        <v>4</v>
      </c>
      <c r="AH148" s="947"/>
      <c r="AI148" s="946">
        <f>'Land Calcs 5deg (lift)'!M27</f>
        <v>466.90603860514597</v>
      </c>
      <c r="AJ148" s="1178" t="s">
        <v>20108</v>
      </c>
      <c r="AK148" s="1446"/>
      <c r="AL148" s="1436"/>
      <c r="AM148" s="1433"/>
      <c r="AN148" s="1433"/>
      <c r="AO148" s="1433"/>
      <c r="AP148" s="1433"/>
      <c r="AQ148" s="1433"/>
      <c r="AR148" s="1433"/>
      <c r="AT148" s="944"/>
      <c r="AU148" s="932"/>
      <c r="AV148" s="948"/>
      <c r="AX148" s="944"/>
      <c r="AY148" s="944"/>
      <c r="AZ148" s="944"/>
      <c r="BA148" s="944"/>
      <c r="BB148" s="944"/>
      <c r="BC148" s="944"/>
      <c r="BD148" s="944"/>
      <c r="BE148" s="944"/>
      <c r="BF148" s="943"/>
      <c r="BG148" s="953"/>
      <c r="BH148" s="930">
        <v>4</v>
      </c>
      <c r="BI148" s="947"/>
      <c r="BJ148" s="946">
        <f>AI148</f>
        <v>466.90603860514597</v>
      </c>
      <c r="BK148" s="930"/>
      <c r="BL148" s="1433"/>
      <c r="BM148" s="1433"/>
      <c r="BN148" s="1433"/>
      <c r="BO148" s="1433"/>
      <c r="BP148" s="1433"/>
      <c r="BQ148" s="1433"/>
      <c r="BR148" s="1433"/>
      <c r="BS148" s="1433"/>
      <c r="BT148" s="1433"/>
      <c r="BU148" s="1433"/>
      <c r="BW148" s="929"/>
      <c r="BX148" s="928"/>
      <c r="CH148" s="929"/>
      <c r="FC148" s="928"/>
    </row>
    <row r="149" spans="3:159">
      <c r="E149" s="930"/>
      <c r="F149" s="1431">
        <f>IF($N$4="NO",ROUNDUP(BJ149-0.00499,0),LEFT(BJ149,1)+(IF(BJ149-LEFT(BJ149,1)&lt;0.00499,0,IF(BJ149-LEFT(BJ149,1)-0.00499&lt;('1-Eng Inputs'!$C$39/'1-Eng Inputs'!$C$38),0.5,1))))</f>
        <v>15</v>
      </c>
      <c r="G149" s="930"/>
      <c r="H149" s="1433"/>
      <c r="I149" s="1433"/>
      <c r="J149" s="954"/>
      <c r="K149" s="954"/>
      <c r="L149" s="954"/>
      <c r="M149" s="954"/>
      <c r="N149" s="1433"/>
      <c r="O149" s="1433"/>
      <c r="P149" s="1433"/>
      <c r="Q149" s="945"/>
      <c r="U149" s="1427">
        <f>IF(LEFT(F149,3)-LEFT(F149,1)=0.5,'1-Eng Inputs'!$C$39,0)+LEFT(F149,1)*'1-Eng Inputs'!$C$38</f>
        <v>32</v>
      </c>
      <c r="W149" s="1433"/>
      <c r="X149" s="1433"/>
      <c r="Y149" s="1433"/>
      <c r="Z149" s="1433"/>
      <c r="AA149" s="1433"/>
      <c r="AB149" s="1433"/>
      <c r="AC149" s="1433"/>
      <c r="AD149" s="1433"/>
      <c r="AI149" s="1427">
        <f>(AI148*AV149+AI151*AV150)/'1-Eng Inputs'!$C$38</f>
        <v>14.590813706410811</v>
      </c>
      <c r="AJ149" s="1182"/>
      <c r="AK149" s="1433"/>
      <c r="AL149" s="1433"/>
      <c r="AM149" s="1433"/>
      <c r="AN149" s="1433"/>
      <c r="AO149" s="1433"/>
      <c r="AP149" s="1433"/>
      <c r="AQ149" s="1433"/>
      <c r="AR149" s="1433"/>
      <c r="AU149" s="944"/>
      <c r="AV149" s="952">
        <v>0.5</v>
      </c>
      <c r="AX149" s="944"/>
      <c r="AY149" s="944"/>
      <c r="AZ149" s="944"/>
      <c r="BA149" s="944"/>
      <c r="BB149" s="944"/>
      <c r="BC149" s="944"/>
      <c r="BD149" s="944"/>
      <c r="BE149" s="944"/>
      <c r="BF149" s="943"/>
      <c r="BJ149" s="1427">
        <f>AI149</f>
        <v>14.590813706410811</v>
      </c>
      <c r="BL149" s="1433"/>
      <c r="BM149" s="1433"/>
      <c r="BN149" s="1433"/>
      <c r="BO149" s="1433"/>
      <c r="BP149" s="1433"/>
      <c r="BQ149" s="1433"/>
      <c r="BR149" s="1433"/>
      <c r="BS149" s="1433"/>
      <c r="BT149" s="1433"/>
      <c r="BU149" s="1433"/>
      <c r="BV149" s="1433"/>
    </row>
    <row r="150" spans="3:159" ht="12.75" hidden="1" customHeight="1">
      <c r="E150" s="930"/>
      <c r="F150" s="1432"/>
      <c r="G150" s="930"/>
      <c r="H150" s="1433"/>
      <c r="I150" s="1433"/>
      <c r="J150" s="954"/>
      <c r="K150" s="954"/>
      <c r="L150" s="954"/>
      <c r="M150" s="954"/>
      <c r="N150" s="1433"/>
      <c r="O150" s="1433"/>
      <c r="P150" s="1433"/>
      <c r="Q150" s="945"/>
      <c r="U150" s="1428"/>
      <c r="V150" s="1434"/>
      <c r="W150" s="1433"/>
      <c r="X150" s="1433"/>
      <c r="Y150" s="1433"/>
      <c r="Z150" s="1433"/>
      <c r="AA150" s="1433"/>
      <c r="AB150" s="1433"/>
      <c r="AC150" s="1433"/>
      <c r="AD150" s="1433"/>
      <c r="AI150" s="1428"/>
      <c r="AJ150" s="940"/>
      <c r="AK150" s="1433"/>
      <c r="AL150" s="1433"/>
      <c r="AM150" s="1433"/>
      <c r="AN150" s="1433"/>
      <c r="AO150" s="1433"/>
      <c r="AP150" s="1433"/>
      <c r="AQ150" s="1433"/>
      <c r="AR150" s="1433"/>
      <c r="AU150" s="944"/>
      <c r="AV150" s="951">
        <v>0.5</v>
      </c>
      <c r="AX150" s="944"/>
      <c r="AY150" s="944"/>
      <c r="AZ150" s="944"/>
      <c r="BA150" s="944"/>
      <c r="BB150" s="944"/>
      <c r="BC150" s="944"/>
      <c r="BD150" s="944"/>
      <c r="BE150" s="944"/>
      <c r="BF150" s="943"/>
      <c r="BJ150" s="1428"/>
      <c r="BK150" s="1434"/>
      <c r="BL150" s="1433"/>
      <c r="BM150" s="1433"/>
      <c r="BN150" s="1433"/>
      <c r="BO150" s="1433"/>
      <c r="BP150" s="1433"/>
      <c r="BQ150" s="1433"/>
      <c r="BR150" s="1433"/>
      <c r="BS150" s="1433"/>
      <c r="BT150" s="1433"/>
      <c r="BU150" s="1433"/>
      <c r="BV150" s="1433"/>
    </row>
    <row r="151" spans="3:159" ht="24.75" customHeight="1">
      <c r="C151" s="953"/>
      <c r="D151" s="930">
        <v>5</v>
      </c>
      <c r="E151" s="947"/>
      <c r="F151" s="950" t="s">
        <v>19430</v>
      </c>
      <c r="G151" s="930"/>
      <c r="H151" s="1433"/>
      <c r="I151" s="1433"/>
      <c r="J151" s="954"/>
      <c r="K151" s="954"/>
      <c r="L151" s="954"/>
      <c r="M151" s="1433"/>
      <c r="N151" s="1433"/>
      <c r="O151" s="1433"/>
      <c r="P151" s="1433"/>
      <c r="Q151" s="945"/>
      <c r="R151" s="953"/>
      <c r="S151" s="930"/>
      <c r="U151" s="946">
        <f>(U149*(AI151*AV150/(AI149*'1-Eng Inputs'!$C$38))+U152*(AI151*AV152/(AI152*'1-Eng Inputs'!$C$38)))</f>
        <v>30.431669533783676</v>
      </c>
      <c r="V151" s="930"/>
      <c r="W151" s="1433"/>
      <c r="X151" s="1433"/>
      <c r="Y151" s="1433"/>
      <c r="Z151" s="1433"/>
      <c r="AA151" s="1433"/>
      <c r="AB151" s="1433"/>
      <c r="AC151" s="1433"/>
      <c r="AD151" s="1433"/>
      <c r="AF151" s="953"/>
      <c r="AG151" s="930">
        <v>5</v>
      </c>
      <c r="AH151" s="947"/>
      <c r="AI151" s="946">
        <f>AI148</f>
        <v>466.90603860514597</v>
      </c>
      <c r="AJ151" s="1178" t="s">
        <v>20108</v>
      </c>
      <c r="AK151" s="1433"/>
      <c r="AL151" s="1433"/>
      <c r="AM151" s="1433"/>
      <c r="AN151" s="1433"/>
      <c r="AO151" s="1433"/>
      <c r="AP151" s="1433"/>
      <c r="AQ151" s="1433"/>
      <c r="AR151" s="1433"/>
      <c r="AT151" s="944"/>
      <c r="AU151" s="932"/>
      <c r="AV151" s="948"/>
      <c r="AX151" s="944"/>
      <c r="AY151" s="944"/>
      <c r="AZ151" s="944"/>
      <c r="BA151" s="944"/>
      <c r="BB151" s="944"/>
      <c r="BC151" s="944"/>
      <c r="BD151" s="944"/>
      <c r="BE151" s="944"/>
      <c r="BF151" s="943"/>
      <c r="BG151" s="953"/>
      <c r="BH151" s="930">
        <v>5</v>
      </c>
      <c r="BI151" s="947"/>
      <c r="BJ151" s="946">
        <f>AI151</f>
        <v>466.90603860514597</v>
      </c>
      <c r="BK151" s="930"/>
      <c r="BL151" s="1433"/>
      <c r="BM151" s="1433"/>
      <c r="BN151" s="1433"/>
      <c r="BO151" s="1433"/>
      <c r="BP151" s="1433"/>
      <c r="BQ151" s="1433"/>
      <c r="BR151" s="1433"/>
      <c r="BS151" s="1433"/>
      <c r="BT151" s="1433"/>
      <c r="BU151" s="1433"/>
      <c r="BW151" s="929"/>
      <c r="BX151" s="928"/>
      <c r="CH151" s="929"/>
      <c r="FC151" s="928"/>
    </row>
    <row r="152" spans="3:159" ht="12.75" customHeight="1">
      <c r="E152" s="930"/>
      <c r="F152" s="1431">
        <f>IF($N$4="NO",ROUNDUP(BJ152-0.00499,0),LEFT(BJ152,1)+(IF(BJ152-LEFT(BJ152,1)&lt;0.00499,0,IF(BJ152-LEFT(BJ152,1)-0.00499&lt;('1-Eng Inputs'!$C$39/'1-Eng Inputs'!$C$38),0.5,1))))</f>
        <v>17</v>
      </c>
      <c r="G152" s="930"/>
      <c r="H152" s="1433"/>
      <c r="I152" s="1433"/>
      <c r="J152" s="1433"/>
      <c r="K152" s="1433"/>
      <c r="L152" s="1433"/>
      <c r="M152" s="1433"/>
      <c r="N152" s="1433"/>
      <c r="O152" s="1433"/>
      <c r="P152" s="1433"/>
      <c r="Q152" s="945"/>
      <c r="U152" s="1444">
        <f>IF(LEFT(F152,3)-LEFT(F152,1)=0.5,'1-Eng Inputs'!$C$39,0)+LEFT(F152,1)*'1-Eng Inputs'!$C$38</f>
        <v>32</v>
      </c>
      <c r="W152" s="1433"/>
      <c r="X152" s="1433"/>
      <c r="Y152" s="1433"/>
      <c r="Z152" s="1433"/>
      <c r="AA152" s="1433"/>
      <c r="AB152" s="1433"/>
      <c r="AC152" s="1433"/>
      <c r="AD152" s="1433"/>
      <c r="AI152" s="1444">
        <f>(AI151*AV152+AI154*AV153)/'1-Eng Inputs'!$C$38</f>
        <v>16.176438821307084</v>
      </c>
      <c r="AJ152" s="1433"/>
      <c r="AK152" s="1433"/>
      <c r="AL152" s="1433"/>
      <c r="AM152" s="1433"/>
      <c r="AN152" s="1433"/>
      <c r="AO152" s="1433"/>
      <c r="AP152" s="1433"/>
      <c r="AQ152" s="1433"/>
      <c r="AR152" s="1433"/>
      <c r="AU152" s="944"/>
      <c r="AV152" s="952">
        <v>0.5</v>
      </c>
      <c r="AX152" s="944"/>
      <c r="AY152" s="944"/>
      <c r="AZ152" s="944"/>
      <c r="BA152" s="944"/>
      <c r="BB152" s="944"/>
      <c r="BC152" s="944"/>
      <c r="BD152" s="944"/>
      <c r="BE152" s="944"/>
      <c r="BF152" s="943"/>
      <c r="BJ152" s="1444">
        <f>AI152</f>
        <v>16.176438821307084</v>
      </c>
      <c r="BL152" s="1433"/>
      <c r="BM152" s="1433"/>
      <c r="BN152" s="1433"/>
      <c r="BO152" s="1433"/>
      <c r="BP152" s="1433"/>
      <c r="BQ152" s="1433"/>
      <c r="BR152" s="1433"/>
      <c r="BS152" s="1433"/>
      <c r="BT152" s="1433"/>
      <c r="BU152" s="1433"/>
      <c r="BV152" s="1433"/>
    </row>
    <row r="153" spans="3:159" ht="12.75" hidden="1" customHeight="1">
      <c r="E153" s="930"/>
      <c r="F153" s="1432"/>
      <c r="G153" s="930"/>
      <c r="H153" s="1433"/>
      <c r="I153" s="1433"/>
      <c r="J153" s="1433"/>
      <c r="K153" s="1433"/>
      <c r="L153" s="1433"/>
      <c r="M153" s="1433"/>
      <c r="N153" s="1433"/>
      <c r="O153" s="1433"/>
      <c r="P153" s="1433"/>
      <c r="Q153" s="945"/>
      <c r="U153" s="1445"/>
      <c r="V153" s="935"/>
      <c r="W153" s="1433"/>
      <c r="X153" s="1433"/>
      <c r="Y153" s="1433"/>
      <c r="Z153" s="1433"/>
      <c r="AA153" s="1433"/>
      <c r="AB153" s="1433"/>
      <c r="AC153" s="1433"/>
      <c r="AD153" s="1433"/>
      <c r="AI153" s="1445"/>
      <c r="AJ153" s="1433"/>
      <c r="AK153" s="1433"/>
      <c r="AL153" s="1433"/>
      <c r="AM153" s="1433"/>
      <c r="AN153" s="1433"/>
      <c r="AO153" s="1433"/>
      <c r="AP153" s="1433"/>
      <c r="AQ153" s="1433"/>
      <c r="AR153" s="1433"/>
      <c r="AU153" s="944"/>
      <c r="AV153" s="951">
        <v>0.5</v>
      </c>
      <c r="AY153" s="944"/>
      <c r="AZ153" s="944"/>
      <c r="BA153" s="944"/>
      <c r="BB153" s="944"/>
      <c r="BC153" s="944"/>
      <c r="BD153" s="944"/>
      <c r="BE153" s="944"/>
      <c r="BF153" s="943"/>
      <c r="BJ153" s="1445"/>
      <c r="BK153" s="935"/>
      <c r="BL153" s="1433"/>
      <c r="BM153" s="1433"/>
      <c r="BN153" s="1433"/>
      <c r="BO153" s="1433"/>
      <c r="BP153" s="1433"/>
      <c r="BQ153" s="1433"/>
      <c r="BR153" s="1433"/>
      <c r="BS153" s="1433"/>
      <c r="BT153" s="1433"/>
      <c r="BU153" s="1433"/>
      <c r="BV153" s="1433"/>
    </row>
    <row r="154" spans="3:159" ht="26.25" customHeight="1">
      <c r="D154" s="1064">
        <v>6</v>
      </c>
      <c r="E154" s="947"/>
      <c r="F154" s="950" t="s">
        <v>19430</v>
      </c>
      <c r="G154" s="930"/>
      <c r="H154" s="1436"/>
      <c r="I154" s="1436"/>
      <c r="J154" s="1433"/>
      <c r="K154" s="1433"/>
      <c r="L154" s="1433"/>
      <c r="M154" s="1433"/>
      <c r="N154" s="1433"/>
      <c r="O154" s="1433"/>
      <c r="P154" s="1433"/>
      <c r="Q154" s="945"/>
      <c r="S154" s="930"/>
      <c r="U154" s="946">
        <f>U152*(AI154*AV153/(AI152*'1-Eng Inputs'!$C$38))+U155*(AI154*AV155/(AI155*'1-Eng Inputs'!$C$38))</f>
        <v>37.568330466216324</v>
      </c>
      <c r="V154" s="930"/>
      <c r="W154" s="1433"/>
      <c r="X154" s="1433"/>
      <c r="Y154" s="1433"/>
      <c r="Z154" s="1433"/>
      <c r="AA154" s="1433"/>
      <c r="AB154" s="1433"/>
      <c r="AC154" s="1433"/>
      <c r="AD154" s="1433"/>
      <c r="AG154" s="1064">
        <v>6</v>
      </c>
      <c r="AH154" s="947"/>
      <c r="AI154" s="949">
        <f>AI139</f>
        <v>568.38604595850734</v>
      </c>
      <c r="AJ154" s="949" t="s">
        <v>20058</v>
      </c>
      <c r="AK154" s="1433"/>
      <c r="AL154" s="1433"/>
      <c r="AM154" s="1433"/>
      <c r="AN154" s="1433"/>
      <c r="AO154" s="1433"/>
      <c r="AP154" s="1433"/>
      <c r="AQ154" s="1433"/>
      <c r="AR154" s="1433"/>
      <c r="AT154" s="944"/>
      <c r="AU154" s="932"/>
      <c r="AV154" s="948"/>
      <c r="AX154" s="944"/>
      <c r="AY154" s="944"/>
      <c r="AZ154" s="944"/>
      <c r="BA154" s="944"/>
      <c r="BB154" s="944"/>
      <c r="BC154" s="944"/>
      <c r="BD154" s="944"/>
      <c r="BE154" s="944"/>
      <c r="BF154" s="943"/>
      <c r="BH154" s="1064">
        <v>6</v>
      </c>
      <c r="BI154" s="947"/>
      <c r="BJ154" s="946">
        <f>AI154</f>
        <v>568.38604595850734</v>
      </c>
      <c r="BK154" s="930"/>
      <c r="BL154" s="1433"/>
      <c r="BM154" s="1433"/>
      <c r="BN154" s="1433"/>
      <c r="BO154" s="1433"/>
      <c r="BP154" s="1433"/>
      <c r="BQ154" s="1433"/>
      <c r="BR154" s="1433"/>
      <c r="BS154" s="1433"/>
      <c r="BT154" s="1433"/>
      <c r="BU154" s="1433"/>
      <c r="BW154" s="929"/>
      <c r="BX154" s="928"/>
      <c r="CH154" s="929"/>
      <c r="FC154" s="928"/>
    </row>
    <row r="155" spans="3:159" ht="12.75" hidden="1" customHeight="1">
      <c r="E155" s="936"/>
      <c r="G155" s="930"/>
      <c r="H155" s="1437" t="s">
        <v>20080</v>
      </c>
      <c r="I155" s="1437"/>
      <c r="J155" s="1433"/>
      <c r="K155" s="1433"/>
      <c r="L155" s="1433"/>
      <c r="M155" s="1433"/>
      <c r="N155" s="1433"/>
      <c r="O155" s="1433"/>
      <c r="P155" s="1433"/>
      <c r="Q155" s="945"/>
      <c r="U155" s="1444">
        <f>U156/factors!$D$4</f>
        <v>20</v>
      </c>
      <c r="W155" s="1433"/>
      <c r="X155" s="1433"/>
      <c r="Y155" s="1433"/>
      <c r="Z155" s="1433"/>
      <c r="AA155" s="1433"/>
      <c r="AB155" s="1433"/>
      <c r="AC155" s="1433"/>
      <c r="AD155" s="1433"/>
      <c r="AI155" s="1444">
        <f>(AI154*AV155+AJ157*AV156)/'1-Eng Inputs'!$C$38</f>
        <v>8.8810319681016772</v>
      </c>
      <c r="AK155" s="1436"/>
      <c r="AL155" s="1436"/>
      <c r="AM155" s="1433"/>
      <c r="AN155" s="1433"/>
      <c r="AO155" s="1433"/>
      <c r="AP155" s="1433"/>
      <c r="AQ155" s="1433"/>
      <c r="AR155" s="1433"/>
      <c r="AU155" s="944"/>
      <c r="AV155" s="1439">
        <v>0.5</v>
      </c>
      <c r="AY155" s="944"/>
      <c r="AZ155" s="944"/>
      <c r="BA155" s="944"/>
      <c r="BB155" s="944"/>
      <c r="BC155" s="944"/>
      <c r="BD155" s="944"/>
      <c r="BE155" s="944"/>
      <c r="BF155" s="943"/>
      <c r="BJ155" s="1444">
        <f>BJ156/factors!$B$4</f>
        <v>8.8810319681016772</v>
      </c>
      <c r="BL155" s="1433"/>
      <c r="BM155" s="1433"/>
      <c r="BN155" s="1433"/>
      <c r="BO155" s="1433"/>
      <c r="BP155" s="1433"/>
      <c r="BQ155" s="1433"/>
      <c r="BR155" s="1433"/>
      <c r="BS155" s="1433"/>
      <c r="BT155" s="1433"/>
      <c r="BU155" s="1433"/>
      <c r="BV155" s="1433"/>
    </row>
    <row r="156" spans="3:159">
      <c r="E156" s="936"/>
      <c r="F156" s="1515">
        <f>IF($N$4="NO",ROUNDUP(BJ156-0.00499,0),LEFT(BJ156,1)+(IF(BJ156-LEFT(BJ156,1)&lt;0.00499,0,IF(BJ156-LEFT(BJ156,1)-0.00499&lt;('1-Eng Inputs'!$C$39/'1-Eng Inputs'!$C$38),0.5,1))))</f>
        <v>15</v>
      </c>
      <c r="G156" s="930"/>
      <c r="H156" s="1437"/>
      <c r="I156" s="1437"/>
      <c r="U156" s="1445">
        <f>IF(LEFT(F156,3)-LEFT(F156,1)=0.5,'1-Eng Inputs'!$C$39,0)+LEFT(F156,1)*'1-Eng Inputs'!$C$38</f>
        <v>32</v>
      </c>
      <c r="V156" s="935"/>
      <c r="W156" s="1433"/>
      <c r="AI156" s="1445">
        <f>AI155*factors!$D$4</f>
        <v>14.209651148962685</v>
      </c>
      <c r="AJ156" s="1434"/>
      <c r="AK156" s="1433"/>
      <c r="AV156" s="1440"/>
      <c r="BJ156" s="1445">
        <f>AI156</f>
        <v>14.209651148962685</v>
      </c>
      <c r="BK156" s="935"/>
      <c r="BL156" s="1433"/>
    </row>
    <row r="157" spans="3:159">
      <c r="E157" s="936"/>
      <c r="G157" s="1434" t="s">
        <v>19534</v>
      </c>
    </row>
    <row r="158" spans="3:159">
      <c r="E158" s="936"/>
    </row>
    <row r="159" spans="3:159">
      <c r="E159" s="936"/>
    </row>
    <row r="160" spans="3:159">
      <c r="E160" s="936"/>
      <c r="AY160" s="1434"/>
      <c r="AZ160" s="1434"/>
      <c r="BA160" s="1434"/>
      <c r="BB160" s="928"/>
    </row>
    <row r="161" spans="5:54">
      <c r="E161" s="936"/>
      <c r="AY161" s="1434"/>
      <c r="AZ161" s="1434"/>
      <c r="BA161" s="1434"/>
      <c r="BB161" s="928"/>
    </row>
    <row r="162" spans="5:54">
      <c r="E162" s="936"/>
      <c r="AY162" s="942"/>
      <c r="AZ162" s="942"/>
      <c r="BA162" s="1434"/>
      <c r="BB162" s="941"/>
    </row>
    <row r="163" spans="5:54">
      <c r="E163" s="936"/>
      <c r="AY163" s="1434"/>
      <c r="AZ163" s="940"/>
      <c r="BA163" s="1434"/>
      <c r="BB163" s="939"/>
    </row>
    <row r="164" spans="5:54">
      <c r="E164" s="936"/>
      <c r="AY164" s="1434"/>
      <c r="AZ164" s="1434"/>
      <c r="BA164" s="1434"/>
      <c r="BB164" s="928"/>
    </row>
    <row r="165" spans="5:54">
      <c r="E165" s="936"/>
      <c r="AY165" s="1434"/>
      <c r="AZ165" s="1434"/>
      <c r="BA165" s="1434"/>
      <c r="BB165" s="928"/>
    </row>
    <row r="166" spans="5:54">
      <c r="E166" s="936"/>
      <c r="AY166" s="1434"/>
      <c r="AZ166" s="1434"/>
      <c r="BA166" s="1434"/>
      <c r="BB166" s="928"/>
    </row>
    <row r="167" spans="5:54">
      <c r="E167" s="936"/>
      <c r="AY167" s="1434"/>
      <c r="AZ167" s="1434"/>
      <c r="BA167" s="938"/>
      <c r="BB167" s="928"/>
    </row>
    <row r="168" spans="5:54">
      <c r="E168" s="936"/>
      <c r="AY168" s="935"/>
      <c r="AZ168" s="1434"/>
      <c r="BA168" s="937"/>
      <c r="BB168" s="928"/>
    </row>
    <row r="169" spans="5:54">
      <c r="E169" s="936"/>
      <c r="AY169" s="1435"/>
      <c r="AZ169" s="1435"/>
      <c r="BA169" s="1435"/>
      <c r="BB169" s="1435"/>
    </row>
    <row r="170" spans="5:54">
      <c r="E170" s="936"/>
      <c r="AY170" s="1430"/>
      <c r="AZ170" s="1430"/>
      <c r="BA170" s="1430"/>
      <c r="BB170" s="928"/>
    </row>
    <row r="171" spans="5:54">
      <c r="E171" s="936"/>
    </row>
    <row r="172" spans="5:54">
      <c r="E172" s="936"/>
    </row>
    <row r="173" spans="5:54">
      <c r="E173" s="936"/>
    </row>
    <row r="174" spans="5:54">
      <c r="E174" s="936"/>
    </row>
    <row r="175" spans="5:54">
      <c r="E175" s="936"/>
    </row>
    <row r="176" spans="5:54">
      <c r="E176" s="936"/>
    </row>
    <row r="177" spans="5:5">
      <c r="E177" s="936"/>
    </row>
    <row r="178" spans="5:5">
      <c r="E178" s="936"/>
    </row>
    <row r="179" spans="5:5">
      <c r="E179" s="936"/>
    </row>
    <row r="180" spans="5:5">
      <c r="E180" s="936"/>
    </row>
    <row r="181" spans="5:5">
      <c r="E181" s="936"/>
    </row>
    <row r="182" spans="5:5">
      <c r="E182" s="936"/>
    </row>
    <row r="183" spans="5:5">
      <c r="E183" s="936"/>
    </row>
    <row r="184" spans="5:5">
      <c r="E184" s="936"/>
    </row>
    <row r="185" spans="5:5">
      <c r="E185" s="936"/>
    </row>
    <row r="186" spans="5:5">
      <c r="E186" s="936"/>
    </row>
    <row r="187" spans="5:5">
      <c r="E187" s="936"/>
    </row>
    <row r="188" spans="5:5">
      <c r="E188" s="936"/>
    </row>
    <row r="189" spans="5:5">
      <c r="E189" s="936"/>
    </row>
    <row r="190" spans="5:5">
      <c r="E190" s="936"/>
    </row>
    <row r="191" spans="5:5">
      <c r="E191" s="936"/>
    </row>
    <row r="192" spans="5:5">
      <c r="E192" s="936"/>
    </row>
    <row r="193" spans="5:5">
      <c r="E193" s="936"/>
    </row>
    <row r="194" spans="5:5">
      <c r="E194" s="936"/>
    </row>
    <row r="195" spans="5:5">
      <c r="E195" s="936"/>
    </row>
    <row r="196" spans="5:5">
      <c r="E196" s="936"/>
    </row>
    <row r="197" spans="5:5">
      <c r="E197" s="936"/>
    </row>
    <row r="198" spans="5:5">
      <c r="E198" s="936"/>
    </row>
    <row r="199" spans="5:5">
      <c r="E199" s="936"/>
    </row>
    <row r="200" spans="5:5">
      <c r="E200" s="936"/>
    </row>
    <row r="201" spans="5:5">
      <c r="E201" s="936"/>
    </row>
    <row r="202" spans="5:5">
      <c r="E202" s="936"/>
    </row>
    <row r="203" spans="5:5">
      <c r="E203" s="936"/>
    </row>
    <row r="204" spans="5:5">
      <c r="E204" s="936"/>
    </row>
    <row r="205" spans="5:5">
      <c r="E205" s="936"/>
    </row>
    <row r="206" spans="5:5">
      <c r="E206" s="936"/>
    </row>
    <row r="207" spans="5:5">
      <c r="E207" s="936"/>
    </row>
    <row r="208" spans="5:5">
      <c r="E208" s="936"/>
    </row>
    <row r="209" spans="5:5">
      <c r="E209" s="936"/>
    </row>
    <row r="210" spans="5:5">
      <c r="E210" s="936"/>
    </row>
    <row r="211" spans="5:5">
      <c r="E211" s="936"/>
    </row>
    <row r="212" spans="5:5">
      <c r="E212" s="936"/>
    </row>
    <row r="213" spans="5:5">
      <c r="E213" s="936"/>
    </row>
    <row r="214" spans="5:5">
      <c r="E214" s="936"/>
    </row>
    <row r="215" spans="5:5">
      <c r="E215" s="936"/>
    </row>
    <row r="216" spans="5:5">
      <c r="E216" s="936"/>
    </row>
    <row r="217" spans="5:5">
      <c r="E217" s="936"/>
    </row>
    <row r="218" spans="5:5">
      <c r="E218" s="936"/>
    </row>
    <row r="219" spans="5:5">
      <c r="E219" s="936"/>
    </row>
    <row r="220" spans="5:5">
      <c r="E220" s="936"/>
    </row>
    <row r="221" spans="5:5">
      <c r="E221" s="936"/>
    </row>
    <row r="222" spans="5:5">
      <c r="E222" s="936"/>
    </row>
    <row r="223" spans="5:5">
      <c r="E223" s="936"/>
    </row>
    <row r="224" spans="5:5">
      <c r="E224" s="936"/>
    </row>
    <row r="225" spans="5:5">
      <c r="E225" s="936"/>
    </row>
    <row r="226" spans="5:5">
      <c r="E226" s="936"/>
    </row>
    <row r="227" spans="5:5">
      <c r="E227" s="936"/>
    </row>
    <row r="228" spans="5:5">
      <c r="E228" s="936"/>
    </row>
    <row r="229" spans="5:5">
      <c r="E229" s="936"/>
    </row>
    <row r="230" spans="5:5">
      <c r="E230" s="936"/>
    </row>
    <row r="231" spans="5:5">
      <c r="E231" s="936"/>
    </row>
    <row r="232" spans="5:5">
      <c r="E232" s="936"/>
    </row>
    <row r="233" spans="5:5">
      <c r="E233" s="936"/>
    </row>
    <row r="234" spans="5:5">
      <c r="E234" s="936"/>
    </row>
    <row r="235" spans="5:5">
      <c r="E235" s="936"/>
    </row>
    <row r="236" spans="5:5">
      <c r="E236" s="936"/>
    </row>
    <row r="237" spans="5:5">
      <c r="E237" s="936"/>
    </row>
  </sheetData>
  <mergeCells count="1">
    <mergeCell ref="BL2:BN2"/>
  </mergeCells>
  <conditionalFormatting sqref="A3:G3 F11:N34 G35 I35 K35 M35 F41:N49 F51:N51 F56:N61 F63:N63 F68:L70 F72:L72 N68:N70 N72 F77:J100 F102:J102 F107:H130 F132:H132 F137:F154 F156 F36:N36">
    <cfRule type="containsText" dxfId="5531" priority="21" operator="containsText" text="F">
      <formula>NOT(ISERROR(SEARCH("F",A3)))</formula>
    </cfRule>
    <cfRule type="beginsWith" dxfId="5530" priority="23" operator="beginsWith" text="E">
      <formula>LEFT(A3,LEN("E"))="E"</formula>
    </cfRule>
    <cfRule type="beginsWith" dxfId="5529" priority="24" operator="beginsWith" text="S">
      <formula>LEFT(A3,LEN("S"))="S"</formula>
    </cfRule>
    <cfRule type="beginsWith" dxfId="5528" priority="25" operator="beginsWith" text="N">
      <formula>LEFT(A3,LEN("N"))="N"</formula>
    </cfRule>
    <cfRule type="cellIs" dxfId="5527" priority="26" operator="greaterThan">
      <formula>5</formula>
    </cfRule>
    <cfRule type="cellIs" dxfId="5526" priority="27" operator="equal">
      <formula>5</formula>
    </cfRule>
    <cfRule type="cellIs" dxfId="5525" priority="28" operator="equal">
      <formula>4.5</formula>
    </cfRule>
    <cfRule type="cellIs" dxfId="5524" priority="29" operator="equal">
      <formula>4</formula>
    </cfRule>
    <cfRule type="cellIs" dxfId="5523" priority="30" operator="equal">
      <formula>3.5</formula>
    </cfRule>
    <cfRule type="cellIs" dxfId="5522" priority="31" operator="equal">
      <formula>3</formula>
    </cfRule>
    <cfRule type="cellIs" dxfId="5521" priority="32" operator="equal">
      <formula>2.5</formula>
    </cfRule>
    <cfRule type="cellIs" dxfId="5520" priority="33" operator="equal">
      <formula>2</formula>
    </cfRule>
    <cfRule type="cellIs" dxfId="5519" priority="34" operator="equal">
      <formula>1.5</formula>
    </cfRule>
    <cfRule type="cellIs" dxfId="5518" priority="35" operator="equal">
      <formula>1</formula>
    </cfRule>
  </conditionalFormatting>
  <conditionalFormatting sqref="BQ34:BR34 BQ31:BR31 BQ28:BR28 BQ25:BR25 BQ22:BR22 BQ19:BR19 BQ16:BR16 BQ13:BR13 BQ49:BR49 BQ46:BR46 BQ43:BR43 BQ61:BR61 BQ58:BR58 BO13 BJ16:BO16 BJ19:BO19 BJ22:BO22 BJ25:BO25 BJ28:BO28 BJ31:BO31 BJ34:BO34 BJ43:BO43 BJ46:BO46 BJ49:BO49 BJ58:BO58 BJ61:BO61 BJ70:BP70 BJ82:BN82 BJ85:BN85 BJ88:BN88 BJ91:BN91 BJ94:BN94 BJ97:BN97 BJ100:BN100 BJ109:BL109 BJ112:BL112 BJ115:BL115 BJ118:BL118 BJ121:BL121 BJ124:BL124 BJ127:BL127 BJ130:BL130 BJ139 BJ142 BJ148 BJ151 BJ154 BJ79:BN79">
    <cfRule type="expression" dxfId="5517" priority="22">
      <formula>AND(BJ13-0.5&gt;U13,U12&gt;0)</formula>
    </cfRule>
  </conditionalFormatting>
  <conditionalFormatting sqref="BP34 BP31 BP28 BP25 BP22 BP19 BP16 BP13">
    <cfRule type="expression" dxfId="5516" priority="20">
      <formula>BP13-0.5&gt;AA13</formula>
    </cfRule>
  </conditionalFormatting>
  <conditionalFormatting sqref="BP49 BP46 BP43">
    <cfRule type="expression" dxfId="5515" priority="19">
      <formula>BP43-0.5&gt;AA43</formula>
    </cfRule>
  </conditionalFormatting>
  <conditionalFormatting sqref="BP61 BP58">
    <cfRule type="expression" dxfId="5514" priority="18">
      <formula>BP58-0.5&gt;AA58</formula>
    </cfRule>
  </conditionalFormatting>
  <conditionalFormatting sqref="BJ145">
    <cfRule type="expression" dxfId="5513" priority="16">
      <formula>BJ145-0.5&gt;U145</formula>
    </cfRule>
  </conditionalFormatting>
  <conditionalFormatting sqref="BR70">
    <cfRule type="expression" dxfId="5512" priority="15">
      <formula>BR70-0.5&gt;AC70</formula>
    </cfRule>
  </conditionalFormatting>
  <conditionalFormatting sqref="BJ13:BN13">
    <cfRule type="expression" dxfId="5511" priority="4259">
      <formula>AND(BJ13-0.5&gt;U13,U12&gt;0)</formula>
    </cfRule>
  </conditionalFormatting>
  <dataValidations count="1">
    <dataValidation type="list" allowBlank="1" showInputMessage="1" showErrorMessage="1" sqref="N4" xr:uid="{00000000-0002-0000-10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5" man="1"/>
    <brk id="103" max="15" man="1"/>
    <brk id="166" max="15"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'Land Coeffs 5deg'!$A$9:$A$15</xm:f>
          </x14:formula1>
          <xm:sqref>BL2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9" tint="0.59999389629810485"/>
  </sheetPr>
  <dimension ref="A2:S100"/>
  <sheetViews>
    <sheetView topLeftCell="A32" zoomScaleNormal="100"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7109375" style="38" customWidth="1"/>
    <col min="17" max="17" width="21.140625" style="38" bestFit="1" customWidth="1"/>
    <col min="18" max="18" width="12" style="38" bestFit="1" customWidth="1"/>
    <col min="19" max="19" width="22.28515625" style="38" bestFit="1" customWidth="1"/>
    <col min="20" max="16384" width="9.140625" style="38"/>
  </cols>
  <sheetData>
    <row r="2" spans="1:19">
      <c r="A2" s="2159" t="str">
        <f>"Design Values for "&amp;'1-Eng Inputs'!$C$6&amp;", "&amp;'1-Eng Inputs'!$C$8</f>
        <v>Design Values for CED greentech Denver , Patagonia Reno</v>
      </c>
      <c r="B2" s="2159"/>
      <c r="C2" s="2159"/>
      <c r="D2" s="2159"/>
      <c r="E2" s="2159"/>
      <c r="F2" s="2159"/>
      <c r="G2" s="2159"/>
      <c r="H2" s="2159"/>
      <c r="I2" s="2159"/>
      <c r="J2" s="2159"/>
      <c r="K2" s="2159"/>
      <c r="L2" s="2159"/>
      <c r="N2" s="2174"/>
      <c r="O2" s="2175"/>
    </row>
    <row r="3" spans="1:19">
      <c r="N3" s="215"/>
      <c r="O3" s="444"/>
    </row>
    <row r="4" spans="1:19" ht="18.75" thickBot="1">
      <c r="A4" s="109" t="s">
        <v>191</v>
      </c>
      <c r="B4" s="124" t="s">
        <v>235</v>
      </c>
      <c r="C4" s="112"/>
      <c r="D4" s="109"/>
      <c r="E4" s="109"/>
      <c r="F4" s="109"/>
      <c r="G4" s="109"/>
      <c r="H4" s="109"/>
      <c r="I4" s="109"/>
      <c r="J4" s="109"/>
      <c r="K4" s="109"/>
      <c r="L4" s="113"/>
    </row>
    <row r="5" spans="1:19" ht="16.5" customHeight="1">
      <c r="A5" s="124"/>
      <c r="B5" s="112" t="s">
        <v>192</v>
      </c>
      <c r="C5" s="112" t="s">
        <v>192</v>
      </c>
      <c r="D5" s="112" t="s">
        <v>192</v>
      </c>
      <c r="E5" s="112" t="s">
        <v>192</v>
      </c>
      <c r="F5" s="113" t="s">
        <v>192</v>
      </c>
      <c r="G5" s="113" t="s">
        <v>192</v>
      </c>
      <c r="H5" s="112" t="s">
        <v>192</v>
      </c>
      <c r="I5" s="112" t="s">
        <v>192</v>
      </c>
      <c r="J5" s="112" t="s">
        <v>192</v>
      </c>
      <c r="K5" s="112" t="s">
        <v>192</v>
      </c>
      <c r="L5" s="113" t="s">
        <v>193</v>
      </c>
      <c r="N5" s="2160" t="s">
        <v>19519</v>
      </c>
      <c r="O5" s="2161"/>
    </row>
    <row r="6" spans="1:19" ht="17.25" thickBot="1">
      <c r="A6" s="111"/>
      <c r="B6" s="112" t="s">
        <v>239</v>
      </c>
      <c r="C6" s="112" t="s">
        <v>194</v>
      </c>
      <c r="D6" s="112" t="s">
        <v>245</v>
      </c>
      <c r="E6" s="112" t="s">
        <v>244</v>
      </c>
      <c r="F6" s="113" t="s">
        <v>243</v>
      </c>
      <c r="G6" s="113" t="s">
        <v>242</v>
      </c>
      <c r="H6" s="112" t="s">
        <v>207</v>
      </c>
      <c r="I6" s="112" t="s">
        <v>219</v>
      </c>
      <c r="J6" s="112" t="s">
        <v>220</v>
      </c>
      <c r="K6" s="112" t="s">
        <v>221</v>
      </c>
      <c r="L6" s="113" t="s">
        <v>194</v>
      </c>
      <c r="N6" s="2162"/>
      <c r="O6" s="2163"/>
    </row>
    <row r="7" spans="1:19" s="112" customFormat="1" ht="13.5" customHeight="1" thickBot="1">
      <c r="A7" s="112" t="s">
        <v>195</v>
      </c>
      <c r="C7" s="112">
        <v>1</v>
      </c>
      <c r="D7" s="112">
        <v>2</v>
      </c>
      <c r="E7" s="112">
        <v>2</v>
      </c>
      <c r="F7" s="113">
        <v>3</v>
      </c>
      <c r="G7" s="113">
        <v>3</v>
      </c>
      <c r="H7" s="112">
        <v>4</v>
      </c>
      <c r="I7" s="112">
        <v>6</v>
      </c>
      <c r="J7" s="112">
        <v>6</v>
      </c>
      <c r="K7" s="112">
        <v>9</v>
      </c>
      <c r="N7" s="2162"/>
      <c r="O7" s="2163"/>
      <c r="Q7" s="228" t="s">
        <v>462</v>
      </c>
      <c r="R7" s="229" t="s">
        <v>463</v>
      </c>
      <c r="S7" s="230" t="s">
        <v>464</v>
      </c>
    </row>
    <row r="8" spans="1:19" ht="14.25">
      <c r="A8" s="114" t="s">
        <v>196</v>
      </c>
      <c r="B8" s="75">
        <f ca="1">'Area Reduction'!$C$33*C8</f>
        <v>-0.15311611189022864</v>
      </c>
      <c r="C8" s="75">
        <f>IF('1-Eng Inputs'!$C$13="YES",IF('1-Eng Inputs'!$C$44&lt;5.5,C34,IF('1-Eng Inputs'!$C$44&gt;=11,C60,C84))*$O$12*$R8,IF('1-Eng Inputs'!$C$44&lt;5.5,C34,IF('1-Eng Inputs'!$C$44&gt;=11,C60,C84))*$O$12)*(IF('1-Eng Inputs'!$C$45&lt;36,((36-'1-Eng Inputs'!$C$45)*(0.3/12))+1,1))*$R$18</f>
        <v>-0.47</v>
      </c>
      <c r="D8" s="75">
        <f>IF('1-Eng Inputs'!$C$13="YES",IF('1-Eng Inputs'!$C$44&lt;5.5,D34,IF('1-Eng Inputs'!$C$44&gt;=11,D60,D84))*$O$12*$R8,IF('1-Eng Inputs'!$C$44&lt;5.5,D34,IF('1-Eng Inputs'!$C$44&gt;=11,D60,D84))*$O$12)*(IF('1-Eng Inputs'!$C$45&lt;36,((36-'1-Eng Inputs'!$C$45)*(0.3/12))+1,1))*$R$18*$R$20</f>
        <v>-0.47</v>
      </c>
      <c r="E8" s="75">
        <f>IF('1-Eng Inputs'!$C$13="YES",IF('1-Eng Inputs'!$C$44&lt;5.5,E34,IF('1-Eng Inputs'!$C$44&gt;=11,E60,E84))*$O$12*$R8,IF('1-Eng Inputs'!$C$44&lt;5.5,E34,IF('1-Eng Inputs'!$C$44&gt;=11,E60,E84))*$O$12)*(IF('1-Eng Inputs'!$C$45&lt;36,((36-'1-Eng Inputs'!$C$45)*(0.3/12))+1,1))*$R$18*$R$20</f>
        <v>-0.37</v>
      </c>
      <c r="F8" s="76">
        <f>IF('1-Eng Inputs'!$C$13="YES",IF('1-Eng Inputs'!$C$44&lt;5.5,F34,IF('1-Eng Inputs'!$C$44&gt;=11,F60,F84))*$O$12*$R8,IF('1-Eng Inputs'!$C$44&lt;5.5,F34,IF('1-Eng Inputs'!$C$44&gt;=11,F60,F84))*$O$12)*(IF('1-Eng Inputs'!$C$45&lt;36,((36-'1-Eng Inputs'!$C$45)*(0.3/12))+1,1))*$R$18*$R$20</f>
        <v>-0.40500000000000003</v>
      </c>
      <c r="G8" s="76">
        <f>IF('1-Eng Inputs'!$C$13="YES",IF('1-Eng Inputs'!$C$44&lt;5.5,G34,IF('1-Eng Inputs'!$C$44&gt;=11,G60,G84))*$O$12*$R8,IF('1-Eng Inputs'!$C$44&lt;5.5,G34,IF('1-Eng Inputs'!$C$44&gt;=11,G60,G84))*$O$12)*(IF('1-Eng Inputs'!$C$45&lt;36,((36-'1-Eng Inputs'!$C$45)*(0.3/12))+1,1))*$R$18*$R$20</f>
        <v>-0.35499999999999998</v>
      </c>
      <c r="H8" s="75">
        <f>IF('1-Eng Inputs'!$C$13="YES",IF('1-Eng Inputs'!$C$44&lt;5.5,H34,IF('1-Eng Inputs'!$C$44&gt;=11,H60,H84))*$O$12*$R8,IF('1-Eng Inputs'!$C$44&lt;5.5,H34,IF('1-Eng Inputs'!$C$44&gt;=11,H60,H84))*$O$12)*(IF('1-Eng Inputs'!$C$45&lt;36,((36-'1-Eng Inputs'!$C$45)*(0.3/12))+1,1))*$R$18*$R$20</f>
        <v>-0.34</v>
      </c>
      <c r="I8" s="75">
        <f>IF('1-Eng Inputs'!$C$13="YES",IF('1-Eng Inputs'!$C$44&lt;5.5,I34,IF('1-Eng Inputs'!$C$44&gt;=11,I60,I84))*$O$12*$R8,IF('1-Eng Inputs'!$C$44&lt;5.5,I34,IF('1-Eng Inputs'!$C$44&gt;=11,I60,I84))*$O$12)*(IF('1-Eng Inputs'!$C$45&lt;36,((36-'1-Eng Inputs'!$C$45)*(0.3/12))+1,1))*$R$18*$R$20</f>
        <v>-0.31</v>
      </c>
      <c r="J8" s="75">
        <f>IF('1-Eng Inputs'!$C$13="YES",IF('1-Eng Inputs'!$C$44&lt;5.5,J34,IF('1-Eng Inputs'!$C$44&gt;=11,J60,J84))*$O$12*$R8,IF('1-Eng Inputs'!$C$44&lt;5.5,J34,IF('1-Eng Inputs'!$C$44&gt;=11,J60,J84))*$O$12)*(IF('1-Eng Inputs'!$C$45&lt;36,((36-'1-Eng Inputs'!$C$45)*(0.3/12))+1,1))*$R$18*$R$20</f>
        <v>-0.3</v>
      </c>
      <c r="K8" s="75">
        <f>IF('1-Eng Inputs'!$C$13="YES",IF('1-Eng Inputs'!$C$44&lt;5.5,K34,IF('1-Eng Inputs'!$C$44&gt;=11,K60,K84))*$O$12*$R8,IF('1-Eng Inputs'!$C$44&lt;5.5,K34,IF('1-Eng Inputs'!$C$44&gt;=11,K60,K84))*$O$12)*(IF('1-Eng Inputs'!$C$45&lt;36,((36-'1-Eng Inputs'!$C$45)*(0.3/12))+1,1))*$R$18*$R$20</f>
        <v>-0.26</v>
      </c>
      <c r="L8" s="76">
        <f>IF('1-Eng Inputs'!$C$13="YES",IF('1-Eng Inputs'!$C$44&lt;5.5,L34,IF('1-Eng Inputs'!$C$44&gt;=11,L60,L84))*$O$12*$R8,IF('1-Eng Inputs'!$C$44&lt;5.5,L34,IF('1-Eng Inputs'!$C$44&gt;=11,L60,L84))*$O$12)*(IF('1-Eng Inputs'!$C$45&lt;36,((36-'1-Eng Inputs'!$C$45)*(0.3/12))+1,1))*$R$18</f>
        <v>0.47</v>
      </c>
      <c r="N8" s="430" t="s">
        <v>399</v>
      </c>
      <c r="O8" s="431" t="s">
        <v>19521</v>
      </c>
      <c r="Q8" s="231" t="s">
        <v>196</v>
      </c>
      <c r="R8" s="232">
        <v>1.1000000000000001</v>
      </c>
      <c r="S8" s="233">
        <v>1.1000000000000001</v>
      </c>
    </row>
    <row r="9" spans="1:19">
      <c r="A9" s="115" t="s">
        <v>197</v>
      </c>
      <c r="B9" s="77">
        <f ca="1">'Area Reduction'!$C$33*C9</f>
        <v>-0.13682716381680007</v>
      </c>
      <c r="C9" s="77">
        <f>IF('1-Eng Inputs'!$C$13="YES",IF('1-Eng Inputs'!$C$44&lt;5.5,C35,IF('1-Eng Inputs'!$C$44&gt;=11,C61,C85))*$O$12*$R9,IF('1-Eng Inputs'!$C$44&lt;5.5,C35,IF('1-Eng Inputs'!$C$44&gt;=11,C61,C85))*$O$12)*(IF('1-Eng Inputs'!$C$45&lt;36,((36-'1-Eng Inputs'!$C$45)*(0.3/12))+1,1))*$R$18</f>
        <v>-0.42</v>
      </c>
      <c r="D9" s="77">
        <f>IF('1-Eng Inputs'!$C$13="YES",IF('1-Eng Inputs'!$C$44&lt;5.5,D35,IF('1-Eng Inputs'!$C$44&gt;=11,D61,D85))*$O$12*$R9,IF('1-Eng Inputs'!$C$44&lt;5.5,D35,IF('1-Eng Inputs'!$C$44&gt;=11,D61,D85))*$O$12)*(IF('1-Eng Inputs'!$C$45&lt;36,((36-'1-Eng Inputs'!$C$45)*(0.3/12))+1,1))*$R$18*$R$20</f>
        <v>-0.42</v>
      </c>
      <c r="E9" s="77">
        <f>IF('1-Eng Inputs'!$C$13="YES",IF('1-Eng Inputs'!$C$44&lt;5.5,E35,IF('1-Eng Inputs'!$C$44&gt;=11,E61,E85))*$O$12*$R9,IF('1-Eng Inputs'!$C$44&lt;5.5,E35,IF('1-Eng Inputs'!$C$44&gt;=11,E61,E85))*$O$12)*(IF('1-Eng Inputs'!$C$45&lt;36,((36-'1-Eng Inputs'!$C$45)*(0.3/12))+1,1))*$R$18*$R$20</f>
        <v>-0.37</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-0.3</v>
      </c>
      <c r="I9" s="77">
        <f>IF('1-Eng Inputs'!$C$13="YES",IF('1-Eng Inputs'!$C$44&lt;5.5,I35,IF('1-Eng Inputs'!$C$44&gt;=11,I61,I85))*$O$12*$R9,IF('1-Eng Inputs'!$C$44&lt;5.5,I35,IF('1-Eng Inputs'!$C$44&gt;=11,I61,I85))*$O$12)*(IF('1-Eng Inputs'!$C$45&lt;36,((36-'1-Eng Inputs'!$C$45)*(0.3/12))+1,1))*$R$18*$R$20</f>
        <v>-0.27</v>
      </c>
      <c r="J9" s="77">
        <f>IF('1-Eng Inputs'!$C$13="YES",IF('1-Eng Inputs'!$C$44&lt;5.5,J35,IF('1-Eng Inputs'!$C$44&gt;=11,J61,J85))*$O$12*$R9,IF('1-Eng Inputs'!$C$44&lt;5.5,J35,IF('1-Eng Inputs'!$C$44&gt;=11,J61,J85))*$O$12)*(IF('1-Eng Inputs'!$C$45&lt;36,((36-'1-Eng Inputs'!$C$45)*(0.3/12))+1,1))*$R$18*$R$20</f>
        <v>-0.24</v>
      </c>
      <c r="K9" s="77">
        <f>IF('1-Eng Inputs'!$C$13="YES",IF('1-Eng Inputs'!$C$44&lt;5.5,K35,IF('1-Eng Inputs'!$C$44&gt;=11,K61,K85))*$O$12*$R9,IF('1-Eng Inputs'!$C$44&lt;5.5,K35,IF('1-Eng Inputs'!$C$44&gt;=11,K61,K85))*$O$12)*(IF('1-Eng Inputs'!$C$45&lt;36,((36-'1-Eng Inputs'!$C$45)*(0.3/12))+1,1))*$R$18*$R$20</f>
        <v>-0.23</v>
      </c>
      <c r="L9" s="78">
        <f>IF('1-Eng Inputs'!$C$13="YES",IF('1-Eng Inputs'!$C$44&lt;5.5,L35,IF('1-Eng Inputs'!$C$44&gt;=11,L61,L85))*$O$12*$R9,IF('1-Eng Inputs'!$C$44&lt;5.5,L35,IF('1-Eng Inputs'!$C$44&gt;=11,L61,L85))*$O$12)*(IF('1-Eng Inputs'!$C$45&lt;36,((36-'1-Eng Inputs'!$C$45)*(0.3/12))+1,1))*$R$18</f>
        <v>0.37</v>
      </c>
      <c r="N9" s="216">
        <v>0</v>
      </c>
      <c r="O9" s="217">
        <v>1</v>
      </c>
      <c r="Q9" s="234" t="s">
        <v>197</v>
      </c>
      <c r="R9" s="235">
        <v>1.5</v>
      </c>
      <c r="S9" s="236">
        <v>1.1000000000000001</v>
      </c>
    </row>
    <row r="10" spans="1:19">
      <c r="A10" s="116" t="s">
        <v>198</v>
      </c>
      <c r="B10" s="79">
        <f ca="1">'Area Reduction'!$C$33*C10</f>
        <v>-0.15311611189022864</v>
      </c>
      <c r="C10" s="79">
        <f>IF('1-Eng Inputs'!$C$13="YES",IF('1-Eng Inputs'!$C$44&lt;5.5,C36,IF('1-Eng Inputs'!$C$44&gt;=11,C62,C86))*$O$12*$R10,IF('1-Eng Inputs'!$C$44&lt;5.5,C36,IF('1-Eng Inputs'!$C$44&gt;=11,C62,C86))*$O$12)*(IF('1-Eng Inputs'!$C$45&lt;36,((36-'1-Eng Inputs'!$C$45)*(0.3/12))+1,1))*$R$18</f>
        <v>-0.47</v>
      </c>
      <c r="D10" s="79">
        <f>IF('1-Eng Inputs'!$C$13="YES",IF('1-Eng Inputs'!$C$44&lt;5.5,D36,IF('1-Eng Inputs'!$C$44&gt;=11,D62,D86))*$O$12*$R10,IF('1-Eng Inputs'!$C$44&lt;5.5,D36,IF('1-Eng Inputs'!$C$44&gt;=11,D62,D86))*$O$12)*(IF('1-Eng Inputs'!$C$45&lt;36,((36-'1-Eng Inputs'!$C$45)*(0.3/12))+1,1))*$R$18*$R$20</f>
        <v>-0.47</v>
      </c>
      <c r="E10" s="79">
        <f>IF('1-Eng Inputs'!$C$13="YES",IF('1-Eng Inputs'!$C$44&lt;5.5,E36,IF('1-Eng Inputs'!$C$44&gt;=11,E62,E86))*$O$12*$R10,IF('1-Eng Inputs'!$C$44&lt;5.5,E36,IF('1-Eng Inputs'!$C$44&gt;=11,E62,E86))*$O$12)*(IF('1-Eng Inputs'!$C$45&lt;36,((36-'1-Eng Inputs'!$C$45)*(0.3/12))+1,1))*$R$18*$R$20</f>
        <v>-0.37</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-0.34</v>
      </c>
      <c r="I10" s="79">
        <f>IF('1-Eng Inputs'!$C$13="YES",IF('1-Eng Inputs'!$C$44&lt;5.5,I36,IF('1-Eng Inputs'!$C$44&gt;=11,I62,I86))*$O$12*$R10,IF('1-Eng Inputs'!$C$44&lt;5.5,I36,IF('1-Eng Inputs'!$C$44&gt;=11,I62,I86))*$O$12)*(IF('1-Eng Inputs'!$C$45&lt;36,((36-'1-Eng Inputs'!$C$45)*(0.3/12))+1,1))*$R$18*$R$20</f>
        <v>-0.31</v>
      </c>
      <c r="J10" s="79">
        <f>IF('1-Eng Inputs'!$C$13="YES",IF('1-Eng Inputs'!$C$44&lt;5.5,J36,IF('1-Eng Inputs'!$C$44&gt;=11,J62,J86))*$O$12*$R10,IF('1-Eng Inputs'!$C$44&lt;5.5,J36,IF('1-Eng Inputs'!$C$44&gt;=11,J62,J86))*$O$12)*(IF('1-Eng Inputs'!$C$45&lt;36,((36-'1-Eng Inputs'!$C$45)*(0.3/12))+1,1))*$R$18*$R$20</f>
        <v>-0.3</v>
      </c>
      <c r="K10" s="79">
        <f>IF('1-Eng Inputs'!$C$13="YES",IF('1-Eng Inputs'!$C$44&lt;5.5,K36,IF('1-Eng Inputs'!$C$44&gt;=11,K62,K86))*$O$12*$R10,IF('1-Eng Inputs'!$C$44&lt;5.5,K36,IF('1-Eng Inputs'!$C$44&gt;=11,K62,K86))*$O$12)*(IF('1-Eng Inputs'!$C$45&lt;36,((36-'1-Eng Inputs'!$C$45)*(0.3/12))+1,1))*$R$18*$R$20</f>
        <v>-0.26</v>
      </c>
      <c r="L10" s="80">
        <f>IF('1-Eng Inputs'!$C$13="YES",IF('1-Eng Inputs'!$C$44&lt;5.5,L36,IF('1-Eng Inputs'!$C$44&gt;=11,L62,L86))*$O$12*$R10,IF('1-Eng Inputs'!$C$44&lt;5.5,L36,IF('1-Eng Inputs'!$C$44&gt;=11,L62,L86))*$O$12)*(IF('1-Eng Inputs'!$C$45&lt;36,((36-'1-Eng Inputs'!$C$45)*(0.3/12))+1,1))*$R$18</f>
        <v>0.47</v>
      </c>
      <c r="N10" s="218">
        <v>6</v>
      </c>
      <c r="O10" s="219">
        <v>1</v>
      </c>
      <c r="Q10" s="237" t="s">
        <v>198</v>
      </c>
      <c r="R10" s="238">
        <v>1.6</v>
      </c>
      <c r="S10" s="239">
        <v>1.1000000000000001</v>
      </c>
    </row>
    <row r="11" spans="1:19">
      <c r="A11" s="117" t="s">
        <v>199</v>
      </c>
      <c r="B11" s="81">
        <f ca="1">'Area Reduction'!$C$33*C11</f>
        <v>-0.13682716381680007</v>
      </c>
      <c r="C11" s="81">
        <f>IF('1-Eng Inputs'!$C$13="YES",IF('1-Eng Inputs'!$C$44&lt;5.5,C37,IF('1-Eng Inputs'!$C$44&gt;=11,C63,C87))*$O$12*$R11,IF('1-Eng Inputs'!$C$44&lt;5.5,C37,IF('1-Eng Inputs'!$C$44&gt;=11,C63,C87))*$O$12)*(IF('1-Eng Inputs'!$C$45&lt;36,((36-'1-Eng Inputs'!$C$45)*(0.3/12))+1,1))*$R$18</f>
        <v>-0.42</v>
      </c>
      <c r="D11" s="81">
        <f>IF('1-Eng Inputs'!$C$13="YES",IF('1-Eng Inputs'!$C$44&lt;5.5,D37,IF('1-Eng Inputs'!$C$44&gt;=11,D63,D87))*$O$12*$R11,IF('1-Eng Inputs'!$C$44&lt;5.5,D37,IF('1-Eng Inputs'!$C$44&gt;=11,D63,D87))*$O$12)*(IF('1-Eng Inputs'!$C$45&lt;36,((36-'1-Eng Inputs'!$C$45)*(0.3/12))+1,1))*$R$18*$R$20</f>
        <v>-0.42</v>
      </c>
      <c r="E11" s="81">
        <f>IF('1-Eng Inputs'!$C$13="YES",IF('1-Eng Inputs'!$C$44&lt;5.5,E37,IF('1-Eng Inputs'!$C$44&gt;=11,E63,E87))*$O$12*$R11,IF('1-Eng Inputs'!$C$44&lt;5.5,E37,IF('1-Eng Inputs'!$C$44&gt;=11,E63,E87))*$O$12)*(IF('1-Eng Inputs'!$C$45&lt;36,((36-'1-Eng Inputs'!$C$45)*(0.3/12))+1,1))*$R$18*$R$20</f>
        <v>-0.37</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-0.3</v>
      </c>
      <c r="I11" s="81">
        <f>IF('1-Eng Inputs'!$C$13="YES",IF('1-Eng Inputs'!$C$44&lt;5.5,I37,IF('1-Eng Inputs'!$C$44&gt;=11,I63,I87))*$O$12*$R11,IF('1-Eng Inputs'!$C$44&lt;5.5,I37,IF('1-Eng Inputs'!$C$44&gt;=11,I63,I87))*$O$12)*(IF('1-Eng Inputs'!$C$45&lt;36,((36-'1-Eng Inputs'!$C$45)*(0.3/12))+1,1))*$R$18*$R$20</f>
        <v>-0.27</v>
      </c>
      <c r="J11" s="81">
        <f>IF('1-Eng Inputs'!$C$13="YES",IF('1-Eng Inputs'!$C$44&lt;5.5,J37,IF('1-Eng Inputs'!$C$44&gt;=11,J63,J87))*$O$12*$R11,IF('1-Eng Inputs'!$C$44&lt;5.5,J37,IF('1-Eng Inputs'!$C$44&gt;=11,J63,J87))*$O$12)*(IF('1-Eng Inputs'!$C$45&lt;36,((36-'1-Eng Inputs'!$C$45)*(0.3/12))+1,1))*$R$18*$R$20</f>
        <v>-0.24</v>
      </c>
      <c r="K11" s="81">
        <f>IF('1-Eng Inputs'!$C$13="YES",IF('1-Eng Inputs'!$C$44&lt;5.5,K37,IF('1-Eng Inputs'!$C$44&gt;=11,K63,K87))*$O$12*$R11,IF('1-Eng Inputs'!$C$44&lt;5.5,K37,IF('1-Eng Inputs'!$C$44&gt;=11,K63,K87))*$O$12)*(IF('1-Eng Inputs'!$C$45&lt;36,((36-'1-Eng Inputs'!$C$45)*(0.3/12))+1,1))*$R$18*$R$20</f>
        <v>-0.23</v>
      </c>
      <c r="L11" s="82">
        <f>IF('1-Eng Inputs'!$C$13="YES",IF('1-Eng Inputs'!$C$44&lt;5.5,L37,IF('1-Eng Inputs'!$C$44&gt;=11,L63,L87))*$O$12*$R11,IF('1-Eng Inputs'!$C$44&lt;5.5,L37,IF('1-Eng Inputs'!$C$44&gt;=11,L63,L87))*$O$12)*(IF('1-Eng Inputs'!$C$45&lt;36,((36-'1-Eng Inputs'!$C$45)*(0.3/12))+1,1))*$R$18</f>
        <v>0.37</v>
      </c>
      <c r="N11" s="220">
        <v>10</v>
      </c>
      <c r="O11" s="221">
        <v>1.2</v>
      </c>
      <c r="Q11" s="240" t="s">
        <v>199</v>
      </c>
      <c r="R11" s="241">
        <v>1.3</v>
      </c>
      <c r="S11" s="242">
        <v>1.1000000000000001</v>
      </c>
    </row>
    <row r="12" spans="1:19" ht="13.5" thickBot="1">
      <c r="A12" s="118" t="s">
        <v>200</v>
      </c>
      <c r="B12" s="83">
        <f ca="1">'Area Reduction'!$C$33*C12</f>
        <v>-0.18895179765177153</v>
      </c>
      <c r="C12" s="83">
        <f>IF('1-Eng Inputs'!$C$13="YES",IF('1-Eng Inputs'!$C$44&lt;5.5,C38,IF('1-Eng Inputs'!$C$44&gt;=11,C64,C88))*$O$12*$R12,IF('1-Eng Inputs'!$C$44&lt;5.5,C38,IF('1-Eng Inputs'!$C$44&gt;=11,C64,C88))*$O$12)*(IF('1-Eng Inputs'!$C$45&lt;36,((36-'1-Eng Inputs'!$C$45)*(0.3/12))+1,1))*$R$18</f>
        <v>-0.57999999999999996</v>
      </c>
      <c r="D12" s="83">
        <f>IF('1-Eng Inputs'!$C$13="YES",IF('1-Eng Inputs'!$C$44&lt;5.5,D38,IF('1-Eng Inputs'!$C$44&gt;=11,D64,D88))*$O$12*$R12,IF('1-Eng Inputs'!$C$44&lt;5.5,D38,IF('1-Eng Inputs'!$C$44&gt;=11,D64,D88))*$O$12)*(IF('1-Eng Inputs'!$C$45&lt;36,((36-'1-Eng Inputs'!$C$45)*(0.3/12))+1,1))*$R$18*$R$20</f>
        <v>-0.55000000000000004</v>
      </c>
      <c r="E12" s="83">
        <f>IF('1-Eng Inputs'!$C$13="YES",IF('1-Eng Inputs'!$C$44&lt;5.5,E38,IF('1-Eng Inputs'!$C$44&gt;=11,E64,E88))*$O$12*$R12,IF('1-Eng Inputs'!$C$44&lt;5.5,E38,IF('1-Eng Inputs'!$C$44&gt;=11,E64,E88))*$O$12)*(IF('1-Eng Inputs'!$C$45&lt;36,((36-'1-Eng Inputs'!$C$45)*(0.3/12))+1,1))*$R$18*$R$20</f>
        <v>-0.37</v>
      </c>
      <c r="F12" s="84">
        <f>IF('1-Eng Inputs'!$C$13="YES",IF('1-Eng Inputs'!$C$44&lt;5.5,F38,IF('1-Eng Inputs'!$C$44&gt;=11,F64,F88))*$O$12*$R12,IF('1-Eng Inputs'!$C$44&lt;5.5,F38,IF('1-Eng Inputs'!$C$44&gt;=11,F64,F88))*$O$12)*(IF('1-Eng Inputs'!$C$45&lt;36,((36-'1-Eng Inputs'!$C$45)*(0.3/12))+1,1))*$R$18*$R$20</f>
        <v>-0.44500000000000006</v>
      </c>
      <c r="G12" s="84">
        <f>IF('1-Eng Inputs'!$C$13="YES",IF('1-Eng Inputs'!$C$44&lt;5.5,G38,IF('1-Eng Inputs'!$C$44&gt;=11,G64,G88))*$O$12*$R12,IF('1-Eng Inputs'!$C$44&lt;5.5,G38,IF('1-Eng Inputs'!$C$44&gt;=11,G64,G88))*$O$12)*(IF('1-Eng Inputs'!$C$45&lt;36,((36-'1-Eng Inputs'!$C$45)*(0.3/12))+1,1))*$R$18*$R$20</f>
        <v>-0.35499999999999998</v>
      </c>
      <c r="H12" s="83">
        <f>IF('1-Eng Inputs'!$C$13="YES",IF('1-Eng Inputs'!$C$44&lt;5.5,H38,IF('1-Eng Inputs'!$C$44&gt;=11,H64,H88))*$O$12*$R12,IF('1-Eng Inputs'!$C$44&lt;5.5,H38,IF('1-Eng Inputs'!$C$44&gt;=11,H64,H88))*$O$12)*(IF('1-Eng Inputs'!$C$45&lt;36,((36-'1-Eng Inputs'!$C$45)*(0.3/12))+1,1))*$R$18*$R$20</f>
        <v>-0.34</v>
      </c>
      <c r="I12" s="83">
        <f>IF('1-Eng Inputs'!$C$13="YES",IF('1-Eng Inputs'!$C$44&lt;5.5,I38,IF('1-Eng Inputs'!$C$44&gt;=11,I64,I88))*$O$12*$R12,IF('1-Eng Inputs'!$C$44&lt;5.5,I38,IF('1-Eng Inputs'!$C$44&gt;=11,I64,I88))*$O$12)*(IF('1-Eng Inputs'!$C$45&lt;36,((36-'1-Eng Inputs'!$C$45)*(0.3/12))+1,1))*$R$18*$R$20</f>
        <v>-0.31</v>
      </c>
      <c r="J12" s="83">
        <f>IF('1-Eng Inputs'!$C$13="YES",IF('1-Eng Inputs'!$C$44&lt;5.5,J38,IF('1-Eng Inputs'!$C$44&gt;=11,J64,J88))*$O$12*$R12,IF('1-Eng Inputs'!$C$44&lt;5.5,J38,IF('1-Eng Inputs'!$C$44&gt;=11,J64,J88))*$O$12)*(IF('1-Eng Inputs'!$C$45&lt;36,((36-'1-Eng Inputs'!$C$45)*(0.3/12))+1,1))*$R$18*$R$20</f>
        <v>-0.3</v>
      </c>
      <c r="K12" s="83">
        <f>IF('1-Eng Inputs'!$C$13="YES",IF('1-Eng Inputs'!$C$44&lt;5.5,K38,IF('1-Eng Inputs'!$C$44&gt;=11,K64,K88))*$O$12*$R12,IF('1-Eng Inputs'!$C$44&lt;5.5,K38,IF('1-Eng Inputs'!$C$44&gt;=11,K64,K88))*$O$12)*(IF('1-Eng Inputs'!$C$45&lt;36,((36-'1-Eng Inputs'!$C$45)*(0.3/12))+1,1))*$R$18*$R$20</f>
        <v>-0.26</v>
      </c>
      <c r="L12" s="84">
        <f>IF('1-Eng Inputs'!$C$13="YES",IF('1-Eng Inputs'!$C$44&lt;5.5,L38,IF('1-Eng Inputs'!$C$44&gt;=11,L64,L88))*$O$12*$R12,IF('1-Eng Inputs'!$C$44&lt;5.5,L38,IF('1-Eng Inputs'!$C$44&gt;=11,L64,L88))*$O$12)*(IF('1-Eng Inputs'!$C$45&lt;36,((36-'1-Eng Inputs'!$C$45)*(0.3/12))+1,1))*$R$18</f>
        <v>0.54</v>
      </c>
      <c r="N12" s="222">
        <f>'1-Eng Inputs'!$C$41</f>
        <v>1</v>
      </c>
      <c r="O12" s="223">
        <f>IF(N12&lt;=6,O9,(O10+(N12-N10)*((O11-O10)/(N11-N10))))</f>
        <v>1</v>
      </c>
      <c r="Q12" s="243" t="s">
        <v>200</v>
      </c>
      <c r="R12" s="244">
        <v>1.4</v>
      </c>
      <c r="S12" s="245">
        <v>1.1000000000000001</v>
      </c>
    </row>
    <row r="13" spans="1:19" ht="13.5" thickBot="1">
      <c r="A13" s="119" t="s">
        <v>201</v>
      </c>
      <c r="B13" s="120">
        <f ca="1">'Area Reduction'!$C$33*C13</f>
        <v>-0.14660053266085724</v>
      </c>
      <c r="C13" s="120">
        <f>IF('1-Eng Inputs'!$C$13="YES",IF('1-Eng Inputs'!$C$44&lt;5.5,C39,IF('1-Eng Inputs'!$C$44&gt;=11,C65,C89))*$O$12*$R13,IF('1-Eng Inputs'!$C$44&lt;5.5,C39,IF('1-Eng Inputs'!$C$44&gt;=11,C65,C89))*$O$12)*(IF('1-Eng Inputs'!$C$45&lt;36,((36-'1-Eng Inputs'!$C$45)*(0.3/12))+1,1))*$R$18</f>
        <v>-0.45</v>
      </c>
      <c r="D13" s="120">
        <f>IF('1-Eng Inputs'!$C$13="YES",IF('1-Eng Inputs'!$C$44&lt;5.5,D39,IF('1-Eng Inputs'!$C$44&gt;=11,D65,D89))*$O$12*$R13,IF('1-Eng Inputs'!$C$44&lt;5.5,D39,IF('1-Eng Inputs'!$C$44&gt;=11,D65,D89))*$O$12)*(IF('1-Eng Inputs'!$C$45&lt;36,((36-'1-Eng Inputs'!$C$45)*(0.3/12))+1,1))*$R$18*$R$20</f>
        <v>-0.43</v>
      </c>
      <c r="E13" s="120">
        <f>IF('1-Eng Inputs'!$C$13="YES",IF('1-Eng Inputs'!$C$44&lt;5.5,E39,IF('1-Eng Inputs'!$C$44&gt;=11,E65,E89))*$O$12*$R13,IF('1-Eng Inputs'!$C$44&lt;5.5,E39,IF('1-Eng Inputs'!$C$44&gt;=11,E65,E89))*$O$12)*(IF('1-Eng Inputs'!$C$45&lt;36,((36-'1-Eng Inputs'!$C$45)*(0.3/12))+1,1))*$R$18*$R$20</f>
        <v>-0.37</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-0.3</v>
      </c>
      <c r="I13" s="120">
        <f>IF('1-Eng Inputs'!$C$13="YES",IF('1-Eng Inputs'!$C$44&lt;5.5,I39,IF('1-Eng Inputs'!$C$44&gt;=11,I65,I89))*$O$12*$R13,IF('1-Eng Inputs'!$C$44&lt;5.5,I39,IF('1-Eng Inputs'!$C$44&gt;=11,I65,I89))*$O$12)*(IF('1-Eng Inputs'!$C$45&lt;36,((36-'1-Eng Inputs'!$C$45)*(0.3/12))+1,1))*$R$18*$R$20</f>
        <v>-0.27</v>
      </c>
      <c r="J13" s="120">
        <f>IF('1-Eng Inputs'!$C$13="YES",IF('1-Eng Inputs'!$C$44&lt;5.5,J39,IF('1-Eng Inputs'!$C$44&gt;=11,J65,J89))*$O$12*$R13,IF('1-Eng Inputs'!$C$44&lt;5.5,J39,IF('1-Eng Inputs'!$C$44&gt;=11,J65,J89))*$O$12)*(IF('1-Eng Inputs'!$C$45&lt;36,((36-'1-Eng Inputs'!$C$45)*(0.3/12))+1,1))*$R$18*$R$20</f>
        <v>-0.24</v>
      </c>
      <c r="K13" s="120">
        <f>IF('1-Eng Inputs'!$C$13="YES",IF('1-Eng Inputs'!$C$44&lt;5.5,K39,IF('1-Eng Inputs'!$C$44&gt;=11,K65,K89))*$O$12*$R13,IF('1-Eng Inputs'!$C$44&lt;5.5,K39,IF('1-Eng Inputs'!$C$44&gt;=11,K65,K89))*$O$12)*(IF('1-Eng Inputs'!$C$45&lt;36,((36-'1-Eng Inputs'!$C$45)*(0.3/12))+1,1))*$R$18*$R$20</f>
        <v>-0.23</v>
      </c>
      <c r="L13" s="121">
        <f>IF('1-Eng Inputs'!$C$13="YES",IF('1-Eng Inputs'!$C$44&lt;5.5,L39,IF('1-Eng Inputs'!$C$44&gt;=11,L65,L89))*$O$12*$R13,IF('1-Eng Inputs'!$C$44&lt;5.5,L39,IF('1-Eng Inputs'!$C$44&gt;=11,L65,L89))*$O$12)*(IF('1-Eng Inputs'!$C$45&lt;36,((36-'1-Eng Inputs'!$C$45)*(0.3/12))+1,1))*$R$18</f>
        <v>0.37</v>
      </c>
      <c r="Q13" s="246" t="s">
        <v>201</v>
      </c>
      <c r="R13" s="247">
        <v>1.7</v>
      </c>
      <c r="S13" s="248">
        <v>1.1000000000000001</v>
      </c>
    </row>
    <row r="14" spans="1:19" ht="16.5" customHeight="1" thickBot="1">
      <c r="A14" s="111" t="s">
        <v>19932</v>
      </c>
      <c r="B14" s="122"/>
      <c r="C14" s="840">
        <f t="shared" ref="C14:K14" si="0">MIN(C8:C13)</f>
        <v>-0.57999999999999996</v>
      </c>
      <c r="D14" s="840">
        <f t="shared" si="0"/>
        <v>-0.55000000000000004</v>
      </c>
      <c r="E14" s="840">
        <f t="shared" si="0"/>
        <v>-0.37</v>
      </c>
      <c r="F14" s="840">
        <f t="shared" si="0"/>
        <v>-0.44500000000000006</v>
      </c>
      <c r="G14" s="840">
        <f t="shared" si="0"/>
        <v>-0.35499999999999998</v>
      </c>
      <c r="H14" s="840">
        <f t="shared" si="0"/>
        <v>-0.34</v>
      </c>
      <c r="I14" s="840">
        <f t="shared" si="0"/>
        <v>-0.31</v>
      </c>
      <c r="J14" s="840">
        <f t="shared" si="0"/>
        <v>-0.3</v>
      </c>
      <c r="K14" s="840">
        <f t="shared" si="0"/>
        <v>-0.26</v>
      </c>
      <c r="L14" s="122"/>
      <c r="N14" s="2176" t="s">
        <v>19523</v>
      </c>
      <c r="O14" s="2177"/>
      <c r="Q14" s="228" t="s">
        <v>19236</v>
      </c>
      <c r="R14" s="229" t="s">
        <v>463</v>
      </c>
    </row>
    <row r="15" spans="1:19" ht="12.75" customHeight="1">
      <c r="A15" s="124" t="s">
        <v>235</v>
      </c>
      <c r="B15" s="122"/>
      <c r="C15" s="122"/>
      <c r="D15" s="122"/>
      <c r="E15" s="122"/>
      <c r="F15" s="122"/>
      <c r="G15" s="122"/>
      <c r="H15" s="122"/>
      <c r="I15" s="122"/>
      <c r="J15" s="122"/>
      <c r="K15" s="122"/>
      <c r="L15" s="122"/>
      <c r="N15" s="2178"/>
      <c r="O15" s="2179"/>
      <c r="Q15" s="231" t="s">
        <v>19237</v>
      </c>
      <c r="R15" s="232">
        <v>1.3</v>
      </c>
    </row>
    <row r="16" spans="1:19" ht="17.25" thickBot="1">
      <c r="A16" s="111"/>
      <c r="B16" s="122" t="s">
        <v>202</v>
      </c>
      <c r="C16" s="122" t="s">
        <v>202</v>
      </c>
      <c r="D16" s="122" t="s">
        <v>202</v>
      </c>
      <c r="E16" s="38"/>
      <c r="F16" s="1040"/>
      <c r="G16" s="1040"/>
      <c r="H16" s="38"/>
      <c r="I16" s="38"/>
      <c r="J16" s="38"/>
      <c r="K16" s="38"/>
      <c r="L16" s="38"/>
      <c r="N16" s="2178"/>
      <c r="O16" s="2179"/>
      <c r="Q16" s="246" t="s">
        <v>19238</v>
      </c>
      <c r="R16" s="247">
        <v>1.6</v>
      </c>
    </row>
    <row r="17" spans="1:18" ht="17.25" thickBot="1">
      <c r="A17" s="38"/>
      <c r="B17" s="122" t="s">
        <v>240</v>
      </c>
      <c r="C17" s="122" t="s">
        <v>194</v>
      </c>
      <c r="D17" s="122" t="s">
        <v>203</v>
      </c>
      <c r="E17" s="38"/>
      <c r="F17" s="1040"/>
      <c r="G17" s="1040"/>
      <c r="H17" s="38"/>
      <c r="I17" s="38"/>
      <c r="J17" s="38"/>
      <c r="K17" s="38"/>
      <c r="L17" s="38"/>
      <c r="N17" s="2180"/>
      <c r="O17" s="2181"/>
      <c r="Q17" s="228" t="s">
        <v>19518</v>
      </c>
      <c r="R17" s="229" t="s">
        <v>463</v>
      </c>
    </row>
    <row r="18" spans="1:18" ht="16.5" thickBot="1">
      <c r="A18" s="114" t="s">
        <v>196</v>
      </c>
      <c r="B18" s="85">
        <f ca="1">'Area Reduction'!$C$33*C18</f>
        <v>0.59291770987280035</v>
      </c>
      <c r="C18" s="85">
        <f>IF('1-Eng Inputs'!$C$13="YES",IF('1-Eng Inputs'!$C$44&lt;5.5,C44,IF('1-Eng Inputs'!$C$44&gt;=11,C70,C94))*$O$12*$S$8,IF('1-Eng Inputs'!$C$44&lt;5.5,C44,IF('1-Eng Inputs'!$C$44&gt;=11,C70,C94))*$O$12)</f>
        <v>1.82</v>
      </c>
      <c r="D18" s="85">
        <f>IF('1-Eng Inputs'!$C$13="YES",IF('1-Eng Inputs'!$C$44&lt;5.5,D44,IF('1-Eng Inputs'!$C$44&gt;=11,D70,D94))*$O$12*$S$8,IF('1-Eng Inputs'!$C$44&lt;5.5,D44,IF('1-Eng Inputs'!$C$44&gt;=11,D70,D94))*$O$12)</f>
        <v>0.74</v>
      </c>
      <c r="E18" s="38"/>
      <c r="F18" s="1040"/>
      <c r="G18" s="1040"/>
      <c r="H18" s="38"/>
      <c r="I18" s="38"/>
      <c r="J18" s="38"/>
      <c r="K18" s="38"/>
      <c r="L18" s="38"/>
      <c r="N18" s="442" t="s">
        <v>19520</v>
      </c>
      <c r="O18" s="443" t="s">
        <v>19522</v>
      </c>
      <c r="Q18" s="432" t="str">
        <f>'1-Eng Inputs'!A27&amp;" ft."</f>
        <v>Roof Height (ft.) ft.</v>
      </c>
      <c r="R18" s="642">
        <f>IF('1-Eng Inputs'!C27&lt;61,1,O38)</f>
        <v>1</v>
      </c>
    </row>
    <row r="19" spans="1:18" ht="13.5" thickBot="1">
      <c r="A19" s="115" t="s">
        <v>197</v>
      </c>
      <c r="B19" s="86">
        <f ca="1">'Area Reduction'!$C$33*C19</f>
        <v>0.44631717721194314</v>
      </c>
      <c r="C19" s="86">
        <f>IF('1-Eng Inputs'!$C$13="YES",IF('1-Eng Inputs'!$C$44&lt;5.5,C45,IF('1-Eng Inputs'!$C$44&gt;=11,C71,C95))*$O$12*$S$9,IF('1-Eng Inputs'!$C$44&lt;5.5,C45,IF('1-Eng Inputs'!$C$44&gt;=11,C71,C95))*$O$12)</f>
        <v>1.37</v>
      </c>
      <c r="D19" s="86">
        <f>IF('1-Eng Inputs'!$C$13="YES",IF('1-Eng Inputs'!$C$44&lt;5.5,D45,IF('1-Eng Inputs'!$C$44&gt;=11,D71,D95))*$O$12*$S$9,IF('1-Eng Inputs'!$C$44&lt;5.5,D45,IF('1-Eng Inputs'!$C$44&gt;=11,D71,D95))*$O$12)</f>
        <v>0.52</v>
      </c>
      <c r="E19" s="38"/>
      <c r="F19" s="1040"/>
      <c r="G19" s="1040"/>
      <c r="H19" s="38"/>
      <c r="I19" s="38"/>
      <c r="J19" s="38"/>
      <c r="K19" s="38"/>
      <c r="L19" s="38"/>
      <c r="N19" s="433">
        <v>0</v>
      </c>
      <c r="O19" s="434">
        <v>1</v>
      </c>
      <c r="Q19" s="228" t="s">
        <v>20225</v>
      </c>
      <c r="R19" s="229"/>
    </row>
    <row r="20" spans="1:18" ht="13.5" thickBot="1">
      <c r="A20" s="116" t="s">
        <v>198</v>
      </c>
      <c r="B20" s="87">
        <f ca="1">'Area Reduction'!$C$33*C20</f>
        <v>0.52776191757908608</v>
      </c>
      <c r="C20" s="87">
        <f>IF('1-Eng Inputs'!$C$13="YES",IF('1-Eng Inputs'!$C$44&lt;5.5,C46,IF('1-Eng Inputs'!$C$44&gt;=11,C72,C96))*$O$12*$S$10,IF('1-Eng Inputs'!$C$44&lt;5.5,C46,IF('1-Eng Inputs'!$C$44&gt;=11,C72,C96))*$O$12)</f>
        <v>1.62</v>
      </c>
      <c r="D20" s="87">
        <f>IF('1-Eng Inputs'!$C$13="YES",IF('1-Eng Inputs'!$C$44&lt;5.5,D46,IF('1-Eng Inputs'!$C$44&gt;=11,D72,D96))*$O$12*$S$10,IF('1-Eng Inputs'!$C$44&lt;5.5,D46,IF('1-Eng Inputs'!$C$44&gt;=11,D72,D96))*$O$12)</f>
        <v>0.74</v>
      </c>
      <c r="E20" s="38"/>
      <c r="F20" s="1040"/>
      <c r="G20" s="1040"/>
      <c r="H20" s="38"/>
      <c r="I20" s="38"/>
      <c r="J20" s="38"/>
      <c r="K20" s="38"/>
      <c r="L20" s="38"/>
      <c r="N20" s="433">
        <v>10</v>
      </c>
      <c r="O20" s="434">
        <v>1</v>
      </c>
      <c r="Q20" s="432" t="str">
        <f>N65&amp;" Modules"</f>
        <v>16 Modules</v>
      </c>
      <c r="R20" s="642">
        <f>O65</f>
        <v>1</v>
      </c>
    </row>
    <row r="21" spans="1:18">
      <c r="A21" s="117" t="s">
        <v>199</v>
      </c>
      <c r="B21" s="88">
        <f ca="1">'Area Reduction'!$C$33*C21</f>
        <v>0.44631717721194314</v>
      </c>
      <c r="C21" s="88">
        <f>IF('1-Eng Inputs'!$C$13="YES",IF('1-Eng Inputs'!$C$44&lt;5.5,C47,IF('1-Eng Inputs'!$C$44&gt;=11,C73,C97))*$O$12*$S$11,IF('1-Eng Inputs'!$C$44&lt;5.5,C47,IF('1-Eng Inputs'!$C$44&gt;=11,C73,C97))*$O$12)</f>
        <v>1.37</v>
      </c>
      <c r="D21" s="88">
        <f>IF('1-Eng Inputs'!$C$13="YES",IF('1-Eng Inputs'!$C$44&lt;5.5,D47,IF('1-Eng Inputs'!$C$44&gt;=11,D73,D97))*$O$12*$S$11,IF('1-Eng Inputs'!$C$44&lt;5.5,D47,IF('1-Eng Inputs'!$C$44&gt;=11,D73,D97))*$O$12)</f>
        <v>0.52</v>
      </c>
      <c r="E21" s="38"/>
      <c r="F21" s="1040"/>
      <c r="G21" s="1040"/>
      <c r="H21" s="38"/>
      <c r="I21" s="38"/>
      <c r="J21" s="38"/>
      <c r="K21" s="38"/>
      <c r="L21" s="38"/>
      <c r="N21" s="433">
        <v>20</v>
      </c>
      <c r="O21" s="434">
        <v>1</v>
      </c>
    </row>
    <row r="22" spans="1:18">
      <c r="A22" s="118" t="s">
        <v>200</v>
      </c>
      <c r="B22" s="89">
        <f ca="1">'Area Reduction'!$C$33*C22</f>
        <v>0.52776191757908608</v>
      </c>
      <c r="C22" s="89">
        <f>IF('1-Eng Inputs'!$C$13="YES",IF('1-Eng Inputs'!$C$44&lt;5.5,C48,IF('1-Eng Inputs'!$C$44&gt;=11,C74,C98))*$O$12*$S$12,IF('1-Eng Inputs'!$C$44&lt;5.5,C48,IF('1-Eng Inputs'!$C$44&gt;=11,C74,C98))*$O$12)</f>
        <v>1.62</v>
      </c>
      <c r="D22" s="89">
        <f>IF('1-Eng Inputs'!$C$13="YES",IF('1-Eng Inputs'!$C$44&lt;5.5,D48,IF('1-Eng Inputs'!$C$44&gt;=11,D74,D98))*$O$12*$S$12,IF('1-Eng Inputs'!$C$44&lt;5.5,D48,IF('1-Eng Inputs'!$C$44&gt;=11,D74,D98))*$O$12)</f>
        <v>0.74</v>
      </c>
      <c r="E22" s="38"/>
      <c r="F22" s="1040"/>
      <c r="G22" s="1040"/>
      <c r="H22" s="38"/>
      <c r="I22" s="38"/>
      <c r="J22" s="38"/>
      <c r="K22" s="38"/>
      <c r="L22" s="38"/>
      <c r="N22" s="433">
        <v>30</v>
      </c>
      <c r="O22" s="641">
        <v>1</v>
      </c>
    </row>
    <row r="23" spans="1:18">
      <c r="A23" s="119" t="s">
        <v>201</v>
      </c>
      <c r="B23" s="123">
        <f ca="1">'Area Reduction'!$C$33*C23</f>
        <v>0.44631717721194314</v>
      </c>
      <c r="C23" s="123">
        <f>IF('1-Eng Inputs'!$C$13="YES",IF('1-Eng Inputs'!$C$44&lt;5.5,C49,IF('1-Eng Inputs'!$C$44&gt;=11,C75,C99))*$O$12*$S$13,IF('1-Eng Inputs'!$C$44&lt;5.5,C49,IF('1-Eng Inputs'!$C$44&gt;=11,C75,C99))*$O$12)</f>
        <v>1.37</v>
      </c>
      <c r="D23" s="123">
        <f>IF('1-Eng Inputs'!$C$13="YES",IF('1-Eng Inputs'!$C$44&lt;5.5,D49,IF('1-Eng Inputs'!$C$44&gt;=11,D75,D99))*$O$12*$S$13,IF('1-Eng Inputs'!$C$44&lt;5.5,D49,IF('1-Eng Inputs'!$C$44&gt;=11,D75,D99))*$O$12)</f>
        <v>0.52</v>
      </c>
      <c r="E23" s="38"/>
      <c r="F23" s="1040"/>
      <c r="G23" s="1040"/>
      <c r="H23" s="38"/>
      <c r="I23" s="38"/>
      <c r="J23" s="38"/>
      <c r="K23" s="38"/>
      <c r="L23" s="38"/>
      <c r="N23" s="433">
        <v>40</v>
      </c>
      <c r="O23" s="641">
        <v>1.1200000000000001</v>
      </c>
    </row>
    <row r="24" spans="1:18">
      <c r="A24" s="110" t="s">
        <v>19932</v>
      </c>
      <c r="C24" s="1173">
        <f>MAX(C18:C23)</f>
        <v>1.82</v>
      </c>
      <c r="E24" s="38"/>
      <c r="F24" s="1040"/>
      <c r="G24" s="1040"/>
      <c r="H24" s="38"/>
      <c r="I24" s="38"/>
      <c r="J24" s="38"/>
      <c r="K24" s="38"/>
      <c r="L24" s="38"/>
      <c r="N24" s="433">
        <v>50</v>
      </c>
      <c r="O24" s="641">
        <v>1.2</v>
      </c>
    </row>
    <row r="25" spans="1:18">
      <c r="N25" s="433">
        <v>60</v>
      </c>
      <c r="O25" s="434">
        <v>1.3</v>
      </c>
    </row>
    <row r="26" spans="1:18">
      <c r="A26" s="2159" t="s">
        <v>366</v>
      </c>
      <c r="B26" s="2159"/>
      <c r="C26" s="2159"/>
      <c r="D26" s="2159"/>
      <c r="E26" s="2159"/>
      <c r="F26" s="2159"/>
      <c r="G26" s="2159"/>
      <c r="H26" s="2159"/>
      <c r="I26" s="2159"/>
      <c r="J26" s="2159"/>
      <c r="K26" s="2159"/>
      <c r="L26" s="2159"/>
      <c r="M26" s="208"/>
      <c r="N26" s="433">
        <v>70</v>
      </c>
      <c r="O26" s="434">
        <v>1.37</v>
      </c>
    </row>
    <row r="27" spans="1:18">
      <c r="A27" s="2159" t="s">
        <v>372</v>
      </c>
      <c r="B27" s="2159"/>
      <c r="C27" s="2159"/>
      <c r="D27" s="2159"/>
      <c r="E27" s="2159"/>
      <c r="F27" s="2159"/>
      <c r="G27" s="2159"/>
      <c r="H27" s="2159"/>
      <c r="I27" s="2159"/>
      <c r="J27" s="2159"/>
      <c r="K27" s="2159"/>
      <c r="L27" s="2159"/>
      <c r="M27" s="208"/>
      <c r="N27" s="433">
        <v>80</v>
      </c>
      <c r="O27" s="434">
        <v>1.43</v>
      </c>
    </row>
    <row r="28" spans="1:18" ht="14.25">
      <c r="A28" s="2159" t="s">
        <v>368</v>
      </c>
      <c r="B28" s="2159"/>
      <c r="C28" s="2159"/>
      <c r="D28" s="2159"/>
      <c r="E28" s="2159"/>
      <c r="F28" s="2159"/>
      <c r="G28" s="2159"/>
      <c r="H28" s="2159"/>
      <c r="I28" s="2159"/>
      <c r="J28" s="2159"/>
      <c r="K28" s="2159"/>
      <c r="L28" s="2159"/>
      <c r="M28" s="208"/>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13"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13"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12"/>
      <c r="N33" s="433">
        <v>140</v>
      </c>
      <c r="O33" s="434">
        <v>1.67</v>
      </c>
    </row>
    <row r="34" spans="1:15">
      <c r="A34" s="114" t="s">
        <v>196</v>
      </c>
      <c r="B34" s="75">
        <f ca="1">'Area Reduction'!$C$33*C34</f>
        <v>-0.13356937420211437</v>
      </c>
      <c r="C34" s="75">
        <v>-0.41000000000000003</v>
      </c>
      <c r="D34" s="75">
        <v>-0.39</v>
      </c>
      <c r="E34" s="75">
        <v>-0.3</v>
      </c>
      <c r="F34" s="76">
        <f>(D34+$H34)/2</f>
        <v>-0.33500000000000002</v>
      </c>
      <c r="G34" s="76">
        <f>(E34+$H34)/2</f>
        <v>-0.29000000000000004</v>
      </c>
      <c r="H34" s="75">
        <v>-0.28000000000000003</v>
      </c>
      <c r="I34" s="75">
        <v>-0.25</v>
      </c>
      <c r="J34" s="75">
        <v>-0.24</v>
      </c>
      <c r="K34" s="75">
        <v>-0.21</v>
      </c>
      <c r="L34" s="76">
        <v>0.41000000000000003</v>
      </c>
      <c r="N34" s="433">
        <v>150</v>
      </c>
      <c r="O34" s="434">
        <v>1.7</v>
      </c>
    </row>
    <row r="35" spans="1:15">
      <c r="A35" s="115" t="s">
        <v>197</v>
      </c>
      <c r="B35" s="77">
        <f ca="1">'Area Reduction'!$C$33*C35</f>
        <v>-0.11402263651400008</v>
      </c>
      <c r="C35" s="77">
        <v>-0.35000000000000003</v>
      </c>
      <c r="D35" s="77">
        <v>-0.33</v>
      </c>
      <c r="E35" s="77">
        <v>-0.26</v>
      </c>
      <c r="F35" s="78"/>
      <c r="G35" s="78"/>
      <c r="H35" s="77">
        <v>-0.22</v>
      </c>
      <c r="I35" s="77">
        <v>-0.18</v>
      </c>
      <c r="J35" s="77">
        <v>-0.18</v>
      </c>
      <c r="K35" s="77">
        <v>-0.16</v>
      </c>
      <c r="L35" s="78">
        <v>0.32</v>
      </c>
      <c r="N35" s="433">
        <v>160</v>
      </c>
      <c r="O35" s="434">
        <v>1.73</v>
      </c>
    </row>
    <row r="36" spans="1:15" ht="13.5" thickBot="1">
      <c r="A36" s="116" t="s">
        <v>198</v>
      </c>
      <c r="B36" s="79">
        <f ca="1">'Area Reduction'!$C$33*C36</f>
        <v>-0.12053821574337149</v>
      </c>
      <c r="C36" s="79">
        <v>-0.37</v>
      </c>
      <c r="D36" s="79">
        <v>-0.36</v>
      </c>
      <c r="E36" s="79">
        <v>-0.3</v>
      </c>
      <c r="F36" s="80"/>
      <c r="G36" s="80"/>
      <c r="H36" s="79">
        <v>-0.28000000000000003</v>
      </c>
      <c r="I36" s="79">
        <v>-0.25</v>
      </c>
      <c r="J36" s="79">
        <v>-0.24</v>
      </c>
      <c r="K36" s="79">
        <v>-0.21</v>
      </c>
      <c r="L36" s="80">
        <v>0.41000000000000003</v>
      </c>
      <c r="N36" s="433">
        <v>200</v>
      </c>
      <c r="O36" s="434">
        <v>1.83</v>
      </c>
    </row>
    <row r="37" spans="1:15">
      <c r="A37" s="117" t="s">
        <v>199</v>
      </c>
      <c r="B37" s="81">
        <f ca="1">'Area Reduction'!$C$33*C37</f>
        <v>-9.4475898825885765E-2</v>
      </c>
      <c r="C37" s="81">
        <v>-0.28999999999999998</v>
      </c>
      <c r="D37" s="81">
        <v>-0.28999999999999998</v>
      </c>
      <c r="E37" s="81">
        <v>-0.26</v>
      </c>
      <c r="F37" s="82"/>
      <c r="G37" s="82"/>
      <c r="H37" s="81">
        <v>-0.22</v>
      </c>
      <c r="I37" s="81">
        <v>-0.18</v>
      </c>
      <c r="J37" s="81">
        <v>-0.18</v>
      </c>
      <c r="K37" s="81">
        <v>-0.16</v>
      </c>
      <c r="L37" s="82">
        <v>0.32</v>
      </c>
      <c r="N37" s="437">
        <f>ROUNDDOWN(N38,-1)</f>
        <v>20</v>
      </c>
      <c r="O37" s="438">
        <f>VLOOKUP(N37,N19:O36,2,TRUE)</f>
        <v>1</v>
      </c>
    </row>
    <row r="38" spans="1:15">
      <c r="A38" s="118" t="s">
        <v>200</v>
      </c>
      <c r="B38" s="83">
        <f ca="1">'Area Reduction'!$C$33*C38</f>
        <v>-0.14660053266085724</v>
      </c>
      <c r="C38" s="83">
        <v>-0.45</v>
      </c>
      <c r="D38" s="83">
        <v>-0.42</v>
      </c>
      <c r="E38" s="83">
        <v>-0.3</v>
      </c>
      <c r="F38" s="84">
        <f>(D38+$H38)/2</f>
        <v>-0.35</v>
      </c>
      <c r="G38" s="84">
        <f>(E38+$H38)/2</f>
        <v>-0.29000000000000004</v>
      </c>
      <c r="H38" s="83">
        <v>-0.28000000000000003</v>
      </c>
      <c r="I38" s="83">
        <v>-0.25</v>
      </c>
      <c r="J38" s="83">
        <v>-0.24</v>
      </c>
      <c r="K38" s="83">
        <v>-0.21</v>
      </c>
      <c r="L38" s="84">
        <v>0.44</v>
      </c>
      <c r="N38" s="643">
        <f>IF('1-Eng Inputs'!$C$27&lt;61,'1-Eng Inputs'!$C$27,IF(OR('1-Eng Inputs'!$C$26="",T('1-Eng Inputs'!$C$26)&lt;&gt;""),'1-Eng Inputs'!$C$27,MIN('1-Eng Inputs'!$C$27,(0.5*('1-Eng Inputs'!$C$27*'1-Eng Inputs'!$C$26)^0.5))))</f>
        <v>20</v>
      </c>
      <c r="O38" s="441">
        <f>(IF('1-Eng Inputs'!$C$27&lt;61,1,(O39-O37)*(RIGHT(N38,1)/10)+O37))</f>
        <v>1</v>
      </c>
    </row>
    <row r="39" spans="1:15" ht="13.5" thickBot="1">
      <c r="A39" s="119" t="s">
        <v>201</v>
      </c>
      <c r="B39" s="120">
        <f ca="1">'Area Reduction'!$C$33*C39</f>
        <v>-0.12053821574337149</v>
      </c>
      <c r="C39" s="120">
        <v>-0.37</v>
      </c>
      <c r="D39" s="120">
        <v>-0.36</v>
      </c>
      <c r="E39" s="120">
        <v>-0.26</v>
      </c>
      <c r="F39" s="121"/>
      <c r="G39" s="121"/>
      <c r="H39" s="120">
        <v>-0.23</v>
      </c>
      <c r="I39" s="120">
        <v>-0.22</v>
      </c>
      <c r="J39" s="120">
        <v>-0.18</v>
      </c>
      <c r="K39" s="120">
        <v>-0.16</v>
      </c>
      <c r="L39" s="121">
        <v>0.32</v>
      </c>
      <c r="N39" s="439">
        <f>ROUNDUP(N38,-1)</f>
        <v>20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4" t="s">
        <v>20222</v>
      </c>
      <c r="O41" s="2165"/>
    </row>
    <row r="42" spans="1:15" ht="16.5">
      <c r="A42" s="111"/>
      <c r="B42" s="122" t="s">
        <v>202</v>
      </c>
      <c r="C42" s="122" t="s">
        <v>202</v>
      </c>
      <c r="D42" s="122" t="s">
        <v>202</v>
      </c>
      <c r="E42" s="38"/>
      <c r="F42" s="1040"/>
      <c r="G42" s="1040"/>
      <c r="H42" s="38"/>
      <c r="I42" s="38"/>
      <c r="J42" s="38"/>
      <c r="K42" s="38"/>
      <c r="L42" s="38"/>
      <c r="N42" s="2166"/>
      <c r="O42" s="2167"/>
    </row>
    <row r="43" spans="1:15" ht="16.5">
      <c r="A43" s="38"/>
      <c r="B43" s="122" t="s">
        <v>240</v>
      </c>
      <c r="C43" s="122" t="s">
        <v>194</v>
      </c>
      <c r="D43" s="122" t="s">
        <v>203</v>
      </c>
      <c r="E43" s="38"/>
      <c r="F43" s="1040"/>
      <c r="G43" s="1040"/>
      <c r="H43" s="38"/>
      <c r="I43" s="38"/>
      <c r="J43" s="38"/>
      <c r="K43" s="38"/>
      <c r="L43" s="38"/>
      <c r="N43" s="2166"/>
      <c r="O43" s="2167"/>
    </row>
    <row r="44" spans="1:15">
      <c r="A44" s="114" t="s">
        <v>196</v>
      </c>
      <c r="B44" s="85">
        <f ca="1">'Area Reduction'!$C$33*C44</f>
        <v>0.48541065258817168</v>
      </c>
      <c r="C44" s="85">
        <v>1.49</v>
      </c>
      <c r="D44" s="85">
        <v>0.63</v>
      </c>
      <c r="E44" s="38"/>
      <c r="F44" s="1040"/>
      <c r="G44" s="1040"/>
      <c r="H44" s="38"/>
      <c r="I44" s="38"/>
      <c r="J44" s="38"/>
      <c r="K44" s="38"/>
      <c r="L44" s="38"/>
      <c r="N44" s="2166"/>
      <c r="O44" s="2167"/>
    </row>
    <row r="45" spans="1:15" ht="13.5" thickBot="1">
      <c r="A45" s="115" t="s">
        <v>197</v>
      </c>
      <c r="B45" s="86">
        <f ca="1">'Area Reduction'!$C$33*C45</f>
        <v>0.33555233031262877</v>
      </c>
      <c r="C45" s="86">
        <v>1.03</v>
      </c>
      <c r="D45" s="86">
        <v>0.44</v>
      </c>
      <c r="E45" s="38"/>
      <c r="F45" s="1040"/>
      <c r="G45" s="1040"/>
      <c r="H45" s="38"/>
      <c r="I45" s="38"/>
      <c r="J45" s="38"/>
      <c r="K45" s="38"/>
      <c r="L45" s="38"/>
      <c r="N45" s="1376" t="s">
        <v>20223</v>
      </c>
      <c r="O45" s="1377" t="s">
        <v>20224</v>
      </c>
    </row>
    <row r="46" spans="1:15">
      <c r="A46" s="116" t="s">
        <v>198</v>
      </c>
      <c r="B46" s="87">
        <f ca="1">'Area Reduction'!$C$33*C46</f>
        <v>0.48541065258817168</v>
      </c>
      <c r="C46" s="87">
        <v>1.49</v>
      </c>
      <c r="D46" s="87">
        <v>0.63</v>
      </c>
      <c r="E46" s="38"/>
      <c r="F46" s="1040"/>
      <c r="G46" s="1040"/>
      <c r="H46" s="38"/>
      <c r="I46" s="38"/>
      <c r="J46" s="38"/>
      <c r="K46" s="38"/>
      <c r="L46" s="38"/>
      <c r="N46" s="433">
        <v>1</v>
      </c>
      <c r="O46" s="434">
        <v>1.8</v>
      </c>
    </row>
    <row r="47" spans="1:15">
      <c r="A47" s="117" t="s">
        <v>199</v>
      </c>
      <c r="B47" s="88">
        <f ca="1">'Area Reduction'!$C$33*C47</f>
        <v>0.33555233031262877</v>
      </c>
      <c r="C47" s="88">
        <v>1.03</v>
      </c>
      <c r="D47" s="88">
        <v>0.44</v>
      </c>
      <c r="E47" s="38"/>
      <c r="F47" s="1040"/>
      <c r="G47" s="1040"/>
      <c r="H47" s="38"/>
      <c r="I47" s="38"/>
      <c r="J47" s="38"/>
      <c r="K47" s="38"/>
      <c r="L47" s="38"/>
      <c r="N47" s="433">
        <v>2</v>
      </c>
      <c r="O47" s="434">
        <v>1.8</v>
      </c>
    </row>
    <row r="48" spans="1:15">
      <c r="A48" s="118" t="s">
        <v>200</v>
      </c>
      <c r="B48" s="89">
        <f ca="1">'Area Reduction'!$C$33*C48</f>
        <v>0.48541065258817168</v>
      </c>
      <c r="C48" s="89">
        <v>1.49</v>
      </c>
      <c r="D48" s="89">
        <v>0.63</v>
      </c>
      <c r="E48" s="38"/>
      <c r="F48" s="1040"/>
      <c r="G48" s="1040"/>
      <c r="H48" s="38"/>
      <c r="I48" s="38"/>
      <c r="J48" s="38"/>
      <c r="K48" s="38"/>
      <c r="L48" s="38"/>
      <c r="N48" s="433">
        <v>3</v>
      </c>
      <c r="O48" s="434">
        <v>1.8</v>
      </c>
    </row>
    <row r="49" spans="1:15">
      <c r="A49" s="119" t="s">
        <v>201</v>
      </c>
      <c r="B49" s="123">
        <f ca="1">'Area Reduction'!$C$33*C49</f>
        <v>0.33555233031262877</v>
      </c>
      <c r="C49" s="123">
        <v>1.03</v>
      </c>
      <c r="D49" s="123">
        <v>0.44</v>
      </c>
      <c r="E49" s="38"/>
      <c r="F49" s="1040"/>
      <c r="G49" s="1040"/>
      <c r="H49" s="38"/>
      <c r="I49" s="38"/>
      <c r="J49" s="38"/>
      <c r="K49" s="38"/>
      <c r="L49" s="38"/>
      <c r="N49" s="433">
        <v>4</v>
      </c>
      <c r="O49" s="434">
        <v>1.8</v>
      </c>
    </row>
    <row r="50" spans="1:15">
      <c r="E50" s="38"/>
      <c r="F50" s="1040"/>
      <c r="G50" s="1040"/>
      <c r="H50" s="38"/>
      <c r="I50" s="38"/>
      <c r="J50" s="38"/>
      <c r="K50" s="38"/>
      <c r="L50" s="38"/>
      <c r="N50" s="433">
        <v>5</v>
      </c>
      <c r="O50" s="434">
        <v>1.8</v>
      </c>
    </row>
    <row r="51" spans="1:15">
      <c r="N51" s="433">
        <v>6</v>
      </c>
      <c r="O51" s="434">
        <v>1.8</v>
      </c>
    </row>
    <row r="52" spans="1:15">
      <c r="A52" s="2159" t="s">
        <v>366</v>
      </c>
      <c r="B52" s="2159"/>
      <c r="C52" s="2159"/>
      <c r="D52" s="2159"/>
      <c r="E52" s="2159"/>
      <c r="F52" s="2159"/>
      <c r="G52" s="2159"/>
      <c r="H52" s="2159"/>
      <c r="I52" s="2159"/>
      <c r="J52" s="2159"/>
      <c r="K52" s="2159"/>
      <c r="L52" s="2159"/>
      <c r="M52" s="208"/>
      <c r="N52" s="433">
        <v>7</v>
      </c>
      <c r="O52" s="434">
        <f t="shared" ref="O52:O59" si="1">1.2+0.6*((N52-16)/(7-16))</f>
        <v>1.7999999999999998</v>
      </c>
    </row>
    <row r="53" spans="1:15">
      <c r="A53" s="2159" t="s">
        <v>373</v>
      </c>
      <c r="B53" s="2159"/>
      <c r="C53" s="2159"/>
      <c r="D53" s="2159"/>
      <c r="E53" s="2159"/>
      <c r="F53" s="2159"/>
      <c r="G53" s="2159"/>
      <c r="H53" s="2159"/>
      <c r="I53" s="2159"/>
      <c r="J53" s="2159"/>
      <c r="K53" s="2159"/>
      <c r="L53" s="2159"/>
      <c r="M53" s="208"/>
      <c r="N53" s="433">
        <v>8</v>
      </c>
      <c r="O53" s="434">
        <f t="shared" si="1"/>
        <v>1.7333333333333334</v>
      </c>
    </row>
    <row r="54" spans="1:15" ht="14.25">
      <c r="A54" s="2159" t="s">
        <v>369</v>
      </c>
      <c r="B54" s="2159"/>
      <c r="C54" s="2159"/>
      <c r="D54" s="2159"/>
      <c r="E54" s="2159"/>
      <c r="F54" s="2159"/>
      <c r="G54" s="2159"/>
      <c r="H54" s="2159"/>
      <c r="I54" s="2159"/>
      <c r="J54" s="2159"/>
      <c r="K54" s="2159"/>
      <c r="L54" s="2159"/>
      <c r="M54" s="208"/>
      <c r="N54" s="433">
        <v>9</v>
      </c>
      <c r="O54" s="434">
        <f t="shared" si="1"/>
        <v>1.6666666666666665</v>
      </c>
    </row>
    <row r="55" spans="1:15">
      <c r="N55" s="433">
        <v>10</v>
      </c>
      <c r="O55" s="434">
        <f t="shared" si="1"/>
        <v>1.5999999999999999</v>
      </c>
    </row>
    <row r="56" spans="1:15" ht="18">
      <c r="A56" s="109" t="s">
        <v>191</v>
      </c>
      <c r="B56" s="124" t="s">
        <v>235</v>
      </c>
      <c r="C56" s="112"/>
      <c r="D56" s="109"/>
      <c r="E56" s="109"/>
      <c r="F56" s="109"/>
      <c r="G56" s="109"/>
      <c r="H56" s="109"/>
      <c r="I56" s="109"/>
      <c r="J56" s="109"/>
      <c r="K56" s="109"/>
      <c r="L56" s="113"/>
      <c r="N56" s="433">
        <v>11</v>
      </c>
      <c r="O56" s="434">
        <f t="shared" si="1"/>
        <v>1.5333333333333332</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13" t="s">
        <v>193</v>
      </c>
      <c r="N57" s="433">
        <v>12</v>
      </c>
      <c r="O57" s="434">
        <f t="shared" si="1"/>
        <v>1.4666666666666666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13" t="s">
        <v>194</v>
      </c>
      <c r="N58" s="433">
        <v>13</v>
      </c>
      <c r="O58" s="434">
        <f t="shared" si="1"/>
        <v>1.4</v>
      </c>
    </row>
    <row r="59" spans="1:15" ht="16.5">
      <c r="A59" s="112" t="s">
        <v>195</v>
      </c>
      <c r="B59" s="112"/>
      <c r="C59" s="112">
        <v>1</v>
      </c>
      <c r="D59" s="112">
        <v>2</v>
      </c>
      <c r="E59" s="112">
        <v>2</v>
      </c>
      <c r="F59" s="113">
        <v>3</v>
      </c>
      <c r="G59" s="113">
        <v>3</v>
      </c>
      <c r="H59" s="112">
        <v>4</v>
      </c>
      <c r="I59" s="112">
        <v>6</v>
      </c>
      <c r="J59" s="112">
        <v>6</v>
      </c>
      <c r="K59" s="112">
        <v>9</v>
      </c>
      <c r="L59" s="112"/>
      <c r="N59" s="433">
        <v>14</v>
      </c>
      <c r="O59" s="434">
        <f t="shared" si="1"/>
        <v>1.3333333333333333</v>
      </c>
    </row>
    <row r="60" spans="1:15">
      <c r="A60" s="114" t="s">
        <v>196</v>
      </c>
      <c r="B60" s="75">
        <f ca="1">'Area Reduction'!$C$33*C60</f>
        <v>-0.15311611189022864</v>
      </c>
      <c r="C60" s="75">
        <v>-0.47</v>
      </c>
      <c r="D60" s="75">
        <v>-0.47</v>
      </c>
      <c r="E60" s="75">
        <v>-0.37</v>
      </c>
      <c r="F60" s="76">
        <f>(D60+$H60)/2</f>
        <v>-0.40500000000000003</v>
      </c>
      <c r="G60" s="76">
        <f>(E60+$H60)/2</f>
        <v>-0.35499999999999998</v>
      </c>
      <c r="H60" s="75">
        <v>-0.34</v>
      </c>
      <c r="I60" s="75">
        <v>-0.31</v>
      </c>
      <c r="J60" s="75">
        <v>-0.3</v>
      </c>
      <c r="K60" s="75">
        <v>-0.26</v>
      </c>
      <c r="L60" s="76">
        <v>0.47</v>
      </c>
      <c r="N60" s="433">
        <v>15</v>
      </c>
      <c r="O60" s="434">
        <f>1.2+0.6*((N60-16)/(7-16))</f>
        <v>1.2666666666666666</v>
      </c>
    </row>
    <row r="61" spans="1:15">
      <c r="A61" s="115" t="s">
        <v>197</v>
      </c>
      <c r="B61" s="77">
        <f ca="1">'Area Reduction'!$C$33*C61</f>
        <v>-0.13682716381680007</v>
      </c>
      <c r="C61" s="77">
        <v>-0.42</v>
      </c>
      <c r="D61" s="77">
        <v>-0.42</v>
      </c>
      <c r="E61" s="77">
        <v>-0.37</v>
      </c>
      <c r="F61" s="78"/>
      <c r="G61" s="78"/>
      <c r="H61" s="77">
        <v>-0.3</v>
      </c>
      <c r="I61" s="77">
        <v>-0.27</v>
      </c>
      <c r="J61" s="77">
        <v>-0.24</v>
      </c>
      <c r="K61" s="77">
        <v>-0.23</v>
      </c>
      <c r="L61" s="78">
        <v>0.37</v>
      </c>
      <c r="N61" s="433">
        <v>16</v>
      </c>
      <c r="O61" s="434">
        <v>1</v>
      </c>
    </row>
    <row r="62" spans="1:15">
      <c r="A62" s="116" t="s">
        <v>198</v>
      </c>
      <c r="B62" s="79">
        <f ca="1">'Area Reduction'!$C$33*C62</f>
        <v>-0.15311611189022864</v>
      </c>
      <c r="C62" s="79">
        <v>-0.47</v>
      </c>
      <c r="D62" s="79">
        <v>-0.47</v>
      </c>
      <c r="E62" s="79">
        <v>-0.37</v>
      </c>
      <c r="F62" s="80"/>
      <c r="G62" s="80"/>
      <c r="H62" s="79">
        <v>-0.34</v>
      </c>
      <c r="I62" s="79">
        <v>-0.31</v>
      </c>
      <c r="J62" s="79">
        <v>-0.3</v>
      </c>
      <c r="K62" s="79">
        <v>-0.26</v>
      </c>
      <c r="L62" s="80">
        <v>0.47</v>
      </c>
      <c r="N62" s="433">
        <v>17</v>
      </c>
      <c r="O62" s="434">
        <v>1</v>
      </c>
    </row>
    <row r="63" spans="1:15" ht="13.5" thickBot="1">
      <c r="A63" s="117" t="s">
        <v>199</v>
      </c>
      <c r="B63" s="81">
        <f ca="1">'Area Reduction'!$C$33*C63</f>
        <v>-0.13682716381680007</v>
      </c>
      <c r="C63" s="81">
        <v>-0.42</v>
      </c>
      <c r="D63" s="81">
        <v>-0.42</v>
      </c>
      <c r="E63" s="81">
        <v>-0.37</v>
      </c>
      <c r="F63" s="82"/>
      <c r="G63" s="82"/>
      <c r="H63" s="81">
        <v>-0.3</v>
      </c>
      <c r="I63" s="81">
        <v>-0.27</v>
      </c>
      <c r="J63" s="81">
        <v>-0.24</v>
      </c>
      <c r="K63" s="81">
        <v>-0.23</v>
      </c>
      <c r="L63" s="82">
        <v>0.37</v>
      </c>
      <c r="N63" s="433">
        <v>18</v>
      </c>
      <c r="O63" s="434">
        <v>1</v>
      </c>
    </row>
    <row r="64" spans="1:15">
      <c r="A64" s="118" t="s">
        <v>200</v>
      </c>
      <c r="B64" s="83">
        <f ca="1">'Area Reduction'!$C$33*C64</f>
        <v>-0.18895179765177153</v>
      </c>
      <c r="C64" s="83">
        <v>-0.57999999999999996</v>
      </c>
      <c r="D64" s="83">
        <v>-0.55000000000000004</v>
      </c>
      <c r="E64" s="83">
        <v>-0.37</v>
      </c>
      <c r="F64" s="84">
        <f>(D64+$H64)/2</f>
        <v>-0.44500000000000006</v>
      </c>
      <c r="G64" s="84">
        <f>(E64+$H64)/2</f>
        <v>-0.35499999999999998</v>
      </c>
      <c r="H64" s="83">
        <v>-0.34</v>
      </c>
      <c r="I64" s="83">
        <v>-0.31</v>
      </c>
      <c r="J64" s="83">
        <v>-0.3</v>
      </c>
      <c r="K64" s="83">
        <v>-0.26</v>
      </c>
      <c r="L64" s="84">
        <v>0.54</v>
      </c>
      <c r="N64" s="1378"/>
      <c r="O64" s="438"/>
    </row>
    <row r="65" spans="1:15">
      <c r="A65" s="119" t="s">
        <v>201</v>
      </c>
      <c r="B65" s="120">
        <f ca="1">'Area Reduction'!$C$33*C65</f>
        <v>-0.14660053266085724</v>
      </c>
      <c r="C65" s="120">
        <v>-0.45</v>
      </c>
      <c r="D65" s="120">
        <v>-0.43</v>
      </c>
      <c r="E65" s="120">
        <v>-0.37</v>
      </c>
      <c r="F65" s="121"/>
      <c r="G65" s="121"/>
      <c r="H65" s="120">
        <v>-0.3</v>
      </c>
      <c r="I65" s="120">
        <v>-0.27</v>
      </c>
      <c r="J65" s="120">
        <v>-0.24</v>
      </c>
      <c r="K65" s="120">
        <v>-0.23</v>
      </c>
      <c r="L65" s="121">
        <v>0.37</v>
      </c>
      <c r="N65" s="643">
        <f>'Port Matrix (lift)'!CW3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E68" s="38"/>
      <c r="F68" s="1040"/>
      <c r="G68" s="1040"/>
      <c r="H68" s="38"/>
      <c r="I68" s="38"/>
      <c r="J68" s="38"/>
      <c r="K68" s="38"/>
      <c r="L68" s="38"/>
    </row>
    <row r="69" spans="1:15" ht="16.5">
      <c r="A69" s="38"/>
      <c r="B69" s="122" t="s">
        <v>240</v>
      </c>
      <c r="C69" s="122" t="s">
        <v>194</v>
      </c>
      <c r="D69" s="122" t="s">
        <v>203</v>
      </c>
      <c r="E69" s="38"/>
      <c r="F69" s="1040"/>
      <c r="G69" s="1040"/>
      <c r="H69" s="38"/>
      <c r="I69" s="38"/>
      <c r="J69" s="38"/>
      <c r="K69" s="38"/>
      <c r="L69" s="38"/>
    </row>
    <row r="70" spans="1:15">
      <c r="A70" s="114" t="s">
        <v>196</v>
      </c>
      <c r="B70" s="85">
        <f ca="1">'Area Reduction'!$C$33*C70</f>
        <v>0.59291770987280035</v>
      </c>
      <c r="C70" s="85">
        <v>1.82</v>
      </c>
      <c r="D70" s="85">
        <v>0.74</v>
      </c>
      <c r="E70" s="38"/>
      <c r="F70" s="1040"/>
      <c r="G70" s="1040"/>
      <c r="H70" s="38"/>
      <c r="I70" s="38"/>
      <c r="J70" s="38"/>
      <c r="K70" s="38"/>
      <c r="L70" s="38"/>
    </row>
    <row r="71" spans="1:15">
      <c r="A71" s="115" t="s">
        <v>197</v>
      </c>
      <c r="B71" s="86">
        <f ca="1">'Area Reduction'!$C$33*C71</f>
        <v>0.44631717721194314</v>
      </c>
      <c r="C71" s="86">
        <v>1.37</v>
      </c>
      <c r="D71" s="86">
        <v>0.52</v>
      </c>
      <c r="E71" s="38"/>
      <c r="F71" s="1040"/>
      <c r="G71" s="1040"/>
      <c r="H71" s="38"/>
      <c r="I71" s="38"/>
      <c r="J71" s="38"/>
      <c r="K71" s="38"/>
      <c r="L71" s="38"/>
    </row>
    <row r="72" spans="1:15">
      <c r="A72" s="116" t="s">
        <v>198</v>
      </c>
      <c r="B72" s="87">
        <f ca="1">'Area Reduction'!$C$33*C72</f>
        <v>0.52776191757908608</v>
      </c>
      <c r="C72" s="87">
        <v>1.62</v>
      </c>
      <c r="D72" s="87">
        <v>0.74</v>
      </c>
      <c r="E72" s="38"/>
      <c r="F72" s="1040"/>
      <c r="G72" s="1040"/>
      <c r="H72" s="38"/>
      <c r="I72" s="38"/>
      <c r="J72" s="38"/>
      <c r="K72" s="38"/>
      <c r="L72" s="38"/>
    </row>
    <row r="73" spans="1:15">
      <c r="A73" s="117" t="s">
        <v>199</v>
      </c>
      <c r="B73" s="88">
        <f ca="1">'Area Reduction'!$C$33*C73</f>
        <v>0.44631717721194314</v>
      </c>
      <c r="C73" s="88">
        <v>1.37</v>
      </c>
      <c r="D73" s="88">
        <v>0.52</v>
      </c>
      <c r="E73" s="38"/>
      <c r="F73" s="1040"/>
      <c r="G73" s="1040"/>
      <c r="H73" s="38"/>
      <c r="I73" s="38"/>
      <c r="J73" s="38"/>
      <c r="K73" s="38"/>
      <c r="L73" s="38"/>
    </row>
    <row r="74" spans="1:15">
      <c r="A74" s="118" t="s">
        <v>200</v>
      </c>
      <c r="B74" s="89">
        <f ca="1">'Area Reduction'!$C$33*C74</f>
        <v>0.52776191757908608</v>
      </c>
      <c r="C74" s="89">
        <v>1.62</v>
      </c>
      <c r="D74" s="89">
        <v>0.74</v>
      </c>
      <c r="E74" s="38"/>
      <c r="F74" s="1040"/>
      <c r="G74" s="1040"/>
      <c r="H74" s="38"/>
      <c r="I74" s="38"/>
      <c r="J74" s="38"/>
      <c r="K74" s="38"/>
      <c r="L74" s="38"/>
    </row>
    <row r="75" spans="1:15">
      <c r="A75" s="119" t="s">
        <v>201</v>
      </c>
      <c r="B75" s="123">
        <f ca="1">'Area Reduction'!$C$33*C75</f>
        <v>0.44631717721194314</v>
      </c>
      <c r="C75" s="123">
        <v>1.37</v>
      </c>
      <c r="D75" s="123">
        <v>0.52</v>
      </c>
      <c r="E75" s="38"/>
      <c r="F75" s="1040"/>
      <c r="G75" s="1040"/>
      <c r="H75" s="38"/>
      <c r="I75" s="38"/>
      <c r="J75" s="38"/>
      <c r="K75" s="38"/>
      <c r="L75" s="38"/>
    </row>
    <row r="78" spans="1:15" ht="14.25">
      <c r="A78" s="2159" t="s">
        <v>371</v>
      </c>
      <c r="B78" s="2159"/>
      <c r="C78" s="2159"/>
      <c r="D78" s="2159"/>
      <c r="E78" s="2159"/>
      <c r="F78" s="2159"/>
      <c r="G78" s="2159"/>
      <c r="H78" s="2159"/>
      <c r="I78" s="2159"/>
      <c r="J78" s="2159"/>
      <c r="K78" s="2159"/>
      <c r="L78" s="2159"/>
      <c r="M78" s="208"/>
    </row>
    <row r="79" spans="1:15">
      <c r="N79" s="208"/>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13"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13" t="s">
        <v>194</v>
      </c>
    </row>
    <row r="83" spans="1:12" ht="16.5">
      <c r="A83" s="112" t="s">
        <v>195</v>
      </c>
      <c r="B83" s="112"/>
      <c r="C83" s="112">
        <v>1</v>
      </c>
      <c r="D83" s="112">
        <v>2</v>
      </c>
      <c r="E83" s="112">
        <v>2</v>
      </c>
      <c r="F83" s="113">
        <v>3</v>
      </c>
      <c r="G83" s="113">
        <v>3</v>
      </c>
      <c r="H83" s="112">
        <v>4</v>
      </c>
      <c r="I83" s="112">
        <v>6</v>
      </c>
      <c r="J83" s="112">
        <v>6</v>
      </c>
      <c r="K83" s="112">
        <v>9</v>
      </c>
      <c r="L83" s="112"/>
    </row>
    <row r="84" spans="1:12">
      <c r="A84" s="114" t="s">
        <v>196</v>
      </c>
      <c r="B84" s="75">
        <f ca="1">'Area Reduction'!$C$33*C84</f>
        <v>-0.20997934880110652</v>
      </c>
      <c r="C84" s="75">
        <f>FORECAST('1-Eng Inputs'!$C$44,CHOOSE({1,2},C34,C60),CHOOSE({1,2},5.5,11))</f>
        <v>-0.64454545454545431</v>
      </c>
      <c r="D84" s="75">
        <f>FORECAST('1-Eng Inputs'!$C$44,CHOOSE({1,2},D34,D60),CHOOSE({1,2},5.5,11))</f>
        <v>-0.70272727272727264</v>
      </c>
      <c r="E84" s="75">
        <f>FORECAST('1-Eng Inputs'!$C$44,CHOOSE({1,2},E34,E60),CHOOSE({1,2},5.5,11))</f>
        <v>-0.57363636363636361</v>
      </c>
      <c r="F84" s="76">
        <f>(D84+$H84)/2</f>
        <v>-0.60863636363636364</v>
      </c>
      <c r="G84" s="76">
        <f>(E84+$H84)/2</f>
        <v>-0.54409090909090907</v>
      </c>
      <c r="H84" s="75">
        <f>FORECAST('1-Eng Inputs'!$C$44,CHOOSE({1,2},H34,H60),CHOOSE({1,2},5.5,11))</f>
        <v>-0.51454545454545453</v>
      </c>
      <c r="I84" s="75">
        <f>FORECAST('1-Eng Inputs'!$C$44,CHOOSE({1,2},I34,I60),CHOOSE({1,2},5.5,11))</f>
        <v>-0.4845454545454545</v>
      </c>
      <c r="J84" s="75">
        <f>FORECAST('1-Eng Inputs'!$C$44,CHOOSE({1,2},J34,J60),CHOOSE({1,2},5.5,11))</f>
        <v>-0.47454545454545449</v>
      </c>
      <c r="K84" s="75">
        <f>FORECAST('1-Eng Inputs'!$C$44,CHOOSE({1,2},K34,K60),CHOOSE({1,2},5.5,11))</f>
        <v>-0.40545454545454551</v>
      </c>
      <c r="L84" s="76">
        <f>FORECAST('1-Eng Inputs'!$C$44,CHOOSE({1,2},L34,L60),CHOOSE({1,2},5.5,11))</f>
        <v>0.64454545454545431</v>
      </c>
    </row>
    <row r="85" spans="1:12">
      <c r="A85" s="115" t="s">
        <v>197</v>
      </c>
      <c r="B85" s="77">
        <f ca="1">'Area Reduction'!$C$33*C85</f>
        <v>-0.20316760687949098</v>
      </c>
      <c r="C85" s="77">
        <f>FORECAST('1-Eng Inputs'!$C$44,CHOOSE({1,2},C35,C61),CHOOSE({1,2},5.5,11))</f>
        <v>-0.62363636363636354</v>
      </c>
      <c r="D85" s="77">
        <f>FORECAST('1-Eng Inputs'!$C$44,CHOOSE({1,2},D35,D61),CHOOSE({1,2},5.5,11))</f>
        <v>-0.68181818181818166</v>
      </c>
      <c r="E85" s="77">
        <f>FORECAST('1-Eng Inputs'!$C$44,CHOOSE({1,2},E35,E61),CHOOSE({1,2},5.5,11))</f>
        <v>-0.69000000000000006</v>
      </c>
      <c r="F85" s="78"/>
      <c r="G85" s="78"/>
      <c r="H85" s="77">
        <f>FORECAST('1-Eng Inputs'!$C$44,CHOOSE({1,2},H35,H61),CHOOSE({1,2},5.5,11))</f>
        <v>-0.53272727272727272</v>
      </c>
      <c r="I85" s="77">
        <f>FORECAST('1-Eng Inputs'!$C$44,CHOOSE({1,2},I35,I61),CHOOSE({1,2},5.5,11))</f>
        <v>-0.53181818181818197</v>
      </c>
      <c r="J85" s="77">
        <f>FORECAST('1-Eng Inputs'!$C$44,CHOOSE({1,2},J35,J61),CHOOSE({1,2},5.5,11))</f>
        <v>-0.41454545454545449</v>
      </c>
      <c r="K85" s="77">
        <f>FORECAST('1-Eng Inputs'!$C$44,CHOOSE({1,2},K35,K61),CHOOSE({1,2},5.5,11))</f>
        <v>-0.4336363636363636</v>
      </c>
      <c r="L85" s="78">
        <f>FORECAST('1-Eng Inputs'!$C$44,CHOOSE({1,2},L35,L61),CHOOSE({1,2},5.5,11))</f>
        <v>0.51545454545454539</v>
      </c>
    </row>
    <row r="86" spans="1:12">
      <c r="A86" s="116" t="s">
        <v>198</v>
      </c>
      <c r="B86" s="79">
        <f ca="1">'Area Reduction'!$C$33*C86</f>
        <v>-0.24788817340835853</v>
      </c>
      <c r="C86" s="79">
        <f>FORECAST('1-Eng Inputs'!$C$44,CHOOSE({1,2},C36,C62),CHOOSE({1,2},5.5,11))</f>
        <v>-0.76090909090909076</v>
      </c>
      <c r="D86" s="79">
        <f>FORECAST('1-Eng Inputs'!$C$44,CHOOSE({1,2},D36,D62),CHOOSE({1,2},5.5,11))</f>
        <v>-0.79</v>
      </c>
      <c r="E86" s="79">
        <f>FORECAST('1-Eng Inputs'!$C$44,CHOOSE({1,2},E36,E62),CHOOSE({1,2},5.5,11))</f>
        <v>-0.57363636363636361</v>
      </c>
      <c r="F86" s="80"/>
      <c r="G86" s="80"/>
      <c r="H86" s="79">
        <f>FORECAST('1-Eng Inputs'!$C$44,CHOOSE({1,2},H36,H62),CHOOSE({1,2},5.5,11))</f>
        <v>-0.51454545454545453</v>
      </c>
      <c r="I86" s="79">
        <f>FORECAST('1-Eng Inputs'!$C$44,CHOOSE({1,2},I36,I62),CHOOSE({1,2},5.5,11))</f>
        <v>-0.4845454545454545</v>
      </c>
      <c r="J86" s="79">
        <f>FORECAST('1-Eng Inputs'!$C$44,CHOOSE({1,2},J36,J62),CHOOSE({1,2},5.5,11))</f>
        <v>-0.47454545454545449</v>
      </c>
      <c r="K86" s="79">
        <f>FORECAST('1-Eng Inputs'!$C$44,CHOOSE({1,2},K36,K62),CHOOSE({1,2},5.5,11))</f>
        <v>-0.40545454545454551</v>
      </c>
      <c r="L86" s="80">
        <f>FORECAST('1-Eng Inputs'!$C$44,CHOOSE({1,2},L36,L62),CHOOSE({1,2},5.5,11))</f>
        <v>0.64454545454545431</v>
      </c>
    </row>
    <row r="87" spans="1:12">
      <c r="A87" s="117" t="s">
        <v>199</v>
      </c>
      <c r="B87" s="81">
        <f ca="1">'Area Reduction'!$C$33*C87</f>
        <v>-0.260030843790369</v>
      </c>
      <c r="C87" s="81">
        <f>FORECAST('1-Eng Inputs'!$C$44,CHOOSE({1,2},C37,C63),CHOOSE({1,2},5.5,11))</f>
        <v>-0.79818181818181821</v>
      </c>
      <c r="D87" s="81">
        <f>FORECAST('1-Eng Inputs'!$C$44,CHOOSE({1,2},D37,D63),CHOOSE({1,2},5.5,11))</f>
        <v>-0.79818181818181821</v>
      </c>
      <c r="E87" s="81">
        <f>FORECAST('1-Eng Inputs'!$C$44,CHOOSE({1,2},E37,E63),CHOOSE({1,2},5.5,11))</f>
        <v>-0.69000000000000006</v>
      </c>
      <c r="F87" s="82"/>
      <c r="G87" s="82"/>
      <c r="H87" s="81">
        <f>FORECAST('1-Eng Inputs'!$C$44,CHOOSE({1,2},H37,H63),CHOOSE({1,2},5.5,11))</f>
        <v>-0.53272727272727272</v>
      </c>
      <c r="I87" s="81">
        <f>FORECAST('1-Eng Inputs'!$C$44,CHOOSE({1,2},I37,I63),CHOOSE({1,2},5.5,11))</f>
        <v>-0.53181818181818197</v>
      </c>
      <c r="J87" s="81">
        <f>FORECAST('1-Eng Inputs'!$C$44,CHOOSE({1,2},J37,J63),CHOOSE({1,2},5.5,11))</f>
        <v>-0.41454545454545449</v>
      </c>
      <c r="K87" s="81">
        <f>FORECAST('1-Eng Inputs'!$C$44,CHOOSE({1,2},K37,K63),CHOOSE({1,2},5.5,11))</f>
        <v>-0.4336363636363636</v>
      </c>
      <c r="L87" s="82">
        <f>FORECAST('1-Eng Inputs'!$C$44,CHOOSE({1,2},L37,L63),CHOOSE({1,2},5.5,11))</f>
        <v>0.51545454545454539</v>
      </c>
    </row>
    <row r="88" spans="1:12">
      <c r="A88" s="118" t="s">
        <v>200</v>
      </c>
      <c r="B88" s="83">
        <f ca="1">'Area Reduction'!$C$33*C88</f>
        <v>-0.31215547762534035</v>
      </c>
      <c r="C88" s="83">
        <f>FORECAST('1-Eng Inputs'!$C$44,CHOOSE({1,2},C38,C64),CHOOSE({1,2},5.5,11))</f>
        <v>-0.95818181818181802</v>
      </c>
      <c r="D88" s="83">
        <f>FORECAST('1-Eng Inputs'!$C$44,CHOOSE({1,2},D38,D64),CHOOSE({1,2},5.5,11))</f>
        <v>-0.92818181818181833</v>
      </c>
      <c r="E88" s="83">
        <f>FORECAST('1-Eng Inputs'!$C$44,CHOOSE({1,2},E38,E64),CHOOSE({1,2},5.5,11))</f>
        <v>-0.57363636363636361</v>
      </c>
      <c r="F88" s="84">
        <f>(D88+$H88)/2</f>
        <v>-0.72136363636363643</v>
      </c>
      <c r="G88" s="84">
        <f>(E88+$H88)/2</f>
        <v>-0.54409090909090907</v>
      </c>
      <c r="H88" s="83">
        <f>FORECAST('1-Eng Inputs'!$C$44,CHOOSE({1,2},H38,H64),CHOOSE({1,2},5.5,11))</f>
        <v>-0.51454545454545453</v>
      </c>
      <c r="I88" s="83">
        <f>FORECAST('1-Eng Inputs'!$C$44,CHOOSE({1,2},I38,I64),CHOOSE({1,2},5.5,11))</f>
        <v>-0.4845454545454545</v>
      </c>
      <c r="J88" s="83">
        <f>FORECAST('1-Eng Inputs'!$C$44,CHOOSE({1,2},J38,J64),CHOOSE({1,2},5.5,11))</f>
        <v>-0.47454545454545449</v>
      </c>
      <c r="K88" s="83">
        <f>FORECAST('1-Eng Inputs'!$C$44,CHOOSE({1,2},K38,K64),CHOOSE({1,2},5.5,11))</f>
        <v>-0.40545454545454551</v>
      </c>
      <c r="L88" s="84">
        <f>FORECAST('1-Eng Inputs'!$C$44,CHOOSE({1,2},L38,L64),CHOOSE({1,2},5.5,11))</f>
        <v>0.83090909090909104</v>
      </c>
    </row>
    <row r="89" spans="1:12">
      <c r="A89" s="119" t="s">
        <v>201</v>
      </c>
      <c r="B89" s="120">
        <f ca="1">'Area Reduction'!$C$33*C89</f>
        <v>-0.22241818187536119</v>
      </c>
      <c r="C89" s="120">
        <f>FORECAST('1-Eng Inputs'!$C$44,CHOOSE({1,2},C39,C65),CHOOSE({1,2},5.5,11))</f>
        <v>-0.68272727272727285</v>
      </c>
      <c r="D89" s="120">
        <f>FORECAST('1-Eng Inputs'!$C$44,CHOOSE({1,2},D39,D65),CHOOSE({1,2},5.5,11))</f>
        <v>-0.63363636363636366</v>
      </c>
      <c r="E89" s="120">
        <f>FORECAST('1-Eng Inputs'!$C$44,CHOOSE({1,2},E39,E65),CHOOSE({1,2},5.5,11))</f>
        <v>-0.69000000000000006</v>
      </c>
      <c r="F89" s="121"/>
      <c r="G89" s="121"/>
      <c r="H89" s="120">
        <f>FORECAST('1-Eng Inputs'!$C$44,CHOOSE({1,2},H39,H65),CHOOSE({1,2},5.5,11))</f>
        <v>-0.50363636363636366</v>
      </c>
      <c r="I89" s="120">
        <f>FORECAST('1-Eng Inputs'!$C$44,CHOOSE({1,2},I39,I65),CHOOSE({1,2},5.5,11))</f>
        <v>-0.41545454545454552</v>
      </c>
      <c r="J89" s="120">
        <f>FORECAST('1-Eng Inputs'!$C$44,CHOOSE({1,2},J39,J65),CHOOSE({1,2},5.5,11))</f>
        <v>-0.41454545454545449</v>
      </c>
      <c r="K89" s="120">
        <f>FORECAST('1-Eng Inputs'!$C$44,CHOOSE({1,2},K39,K65),CHOOSE({1,2},5.5,11))</f>
        <v>-0.4336363636363636</v>
      </c>
      <c r="L89" s="121">
        <f>FORECAST('1-Eng Inputs'!$C$44,CHOOSE({1,2},L39,L65),CHOOSE({1,2},5.5,11))</f>
        <v>0.51545454545454539</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E92" s="38"/>
      <c r="F92" s="1040"/>
      <c r="G92" s="1040"/>
      <c r="H92" s="38"/>
      <c r="I92" s="38"/>
      <c r="J92" s="38"/>
      <c r="K92" s="38"/>
      <c r="L92" s="38"/>
    </row>
    <row r="93" spans="1:12" ht="16.5">
      <c r="A93" s="38"/>
      <c r="B93" s="122" t="s">
        <v>240</v>
      </c>
      <c r="C93" s="122" t="s">
        <v>194</v>
      </c>
      <c r="D93" s="122" t="s">
        <v>203</v>
      </c>
      <c r="E93" s="38"/>
      <c r="F93" s="1040"/>
      <c r="G93" s="1040"/>
      <c r="H93" s="38"/>
      <c r="I93" s="38"/>
      <c r="J93" s="38"/>
      <c r="K93" s="38"/>
      <c r="L93" s="38"/>
    </row>
    <row r="94" spans="1:12">
      <c r="A94" s="114" t="s">
        <v>196</v>
      </c>
      <c r="B94" s="85">
        <f ca="1">'Area Reduction'!$C$33*C94</f>
        <v>0.90566551288262909</v>
      </c>
      <c r="C94" s="85">
        <f>FORECAST('1-Eng Inputs'!$C$44,CHOOSE({1,2},C44,C70),CHOOSE({1,2},5.5,11))</f>
        <v>2.7800000000000002</v>
      </c>
      <c r="D94" s="85">
        <f>FORECAST('1-Eng Inputs'!$C$44,CHOOSE({1,2},D44,D70),CHOOSE({1,2},5.5,11))</f>
        <v>1.06</v>
      </c>
      <c r="E94" s="38"/>
      <c r="F94" s="1040"/>
      <c r="G94" s="1040"/>
      <c r="H94" s="38"/>
      <c r="I94" s="38"/>
      <c r="J94" s="38"/>
      <c r="K94" s="38"/>
      <c r="L94" s="38"/>
    </row>
    <row r="95" spans="1:12">
      <c r="A95" s="115" t="s">
        <v>197</v>
      </c>
      <c r="B95" s="86">
        <f ca="1">'Area Reduction'!$C$33*C95</f>
        <v>0.76854218637358507</v>
      </c>
      <c r="C95" s="86">
        <f>FORECAST('1-Eng Inputs'!$C$44,CHOOSE({1,2},C45,C71),CHOOSE({1,2},5.5,11))</f>
        <v>2.3590909090909098</v>
      </c>
      <c r="D95" s="86">
        <f>FORECAST('1-Eng Inputs'!$C$44,CHOOSE({1,2},D45,D71),CHOOSE({1,2},5.5,11))</f>
        <v>0.75272727272727269</v>
      </c>
      <c r="E95" s="38"/>
      <c r="F95" s="1040"/>
      <c r="G95" s="1040"/>
      <c r="H95" s="38"/>
      <c r="I95" s="38"/>
      <c r="J95" s="38"/>
      <c r="K95" s="38"/>
      <c r="L95" s="38"/>
    </row>
    <row r="96" spans="1:12">
      <c r="A96" s="116" t="s">
        <v>198</v>
      </c>
      <c r="B96" s="87">
        <f ca="1">'Area Reduction'!$C$33*C96</f>
        <v>0.65096559755265504</v>
      </c>
      <c r="C96" s="87">
        <f>FORECAST('1-Eng Inputs'!$C$44,CHOOSE({1,2},C46,C72),CHOOSE({1,2},5.5,11))</f>
        <v>1.9981818181818185</v>
      </c>
      <c r="D96" s="87">
        <f>FORECAST('1-Eng Inputs'!$C$44,CHOOSE({1,2},D46,D72),CHOOSE({1,2},5.5,11))</f>
        <v>1.06</v>
      </c>
      <c r="E96" s="38"/>
      <c r="F96" s="1040"/>
      <c r="G96" s="1040"/>
      <c r="H96" s="38"/>
      <c r="I96" s="38"/>
      <c r="J96" s="38"/>
      <c r="K96" s="38"/>
      <c r="L96" s="38"/>
    </row>
    <row r="97" spans="1:12">
      <c r="A97" s="117" t="s">
        <v>199</v>
      </c>
      <c r="B97" s="88">
        <f ca="1">'Area Reduction'!$C$33*C97</f>
        <v>0.76854218637358507</v>
      </c>
      <c r="C97" s="88">
        <f>FORECAST('1-Eng Inputs'!$C$44,CHOOSE({1,2},C47,C73),CHOOSE({1,2},5.5,11))</f>
        <v>2.3590909090909098</v>
      </c>
      <c r="D97" s="88">
        <f>FORECAST('1-Eng Inputs'!$C$44,CHOOSE({1,2},D47,D73),CHOOSE({1,2},5.5,11))</f>
        <v>0.75272727272727269</v>
      </c>
      <c r="E97" s="38"/>
      <c r="F97" s="1040"/>
      <c r="G97" s="1040"/>
      <c r="H97" s="38"/>
      <c r="I97" s="38"/>
      <c r="J97" s="38"/>
      <c r="K97" s="38"/>
      <c r="L97" s="38"/>
    </row>
    <row r="98" spans="1:12">
      <c r="A98" s="118" t="s">
        <v>200</v>
      </c>
      <c r="B98" s="89">
        <f ca="1">'Area Reduction'!$C$33*C98</f>
        <v>0.65096559755265504</v>
      </c>
      <c r="C98" s="89">
        <f>FORECAST('1-Eng Inputs'!$C$44,CHOOSE({1,2},C48,C74),CHOOSE({1,2},5.5,11))</f>
        <v>1.9981818181818185</v>
      </c>
      <c r="D98" s="89">
        <f>FORECAST('1-Eng Inputs'!$C$44,CHOOSE({1,2},D48,D74),CHOOSE({1,2},5.5,11))</f>
        <v>1.06</v>
      </c>
      <c r="E98" s="38"/>
      <c r="F98" s="1040"/>
      <c r="G98" s="1040"/>
      <c r="H98" s="38"/>
      <c r="I98" s="38"/>
      <c r="J98" s="38"/>
      <c r="K98" s="38"/>
      <c r="L98" s="38"/>
    </row>
    <row r="99" spans="1:12">
      <c r="A99" s="119" t="s">
        <v>201</v>
      </c>
      <c r="B99" s="123">
        <f ca="1">'Area Reduction'!$C$33*C99</f>
        <v>0.76854218637358507</v>
      </c>
      <c r="C99" s="123">
        <f>FORECAST('1-Eng Inputs'!$C$44,CHOOSE({1,2},C49,C75),CHOOSE({1,2},5.5,11))</f>
        <v>2.3590909090909098</v>
      </c>
      <c r="D99" s="123">
        <f>FORECAST('1-Eng Inputs'!$C$44,CHOOSE({1,2},D49,D75),CHOOSE({1,2},5.5,11))</f>
        <v>0.75272727272727269</v>
      </c>
      <c r="E99" s="38"/>
      <c r="F99" s="1040"/>
      <c r="G99" s="1040"/>
      <c r="H99" s="38"/>
      <c r="I99" s="38"/>
      <c r="J99" s="38"/>
      <c r="K99" s="38"/>
      <c r="L99" s="38"/>
    </row>
    <row r="100" spans="1:12">
      <c r="E100" s="38"/>
      <c r="F100" s="1040"/>
      <c r="G100" s="1040"/>
      <c r="H100" s="38"/>
      <c r="I100" s="38"/>
      <c r="J100" s="38"/>
      <c r="K100" s="38"/>
      <c r="L100" s="38"/>
    </row>
  </sheetData>
  <customSheetViews>
    <customSheetView guid="{F2CCAFB5-9C02-49AC-87E7-8695C5014AAE}" state="hidden">
      <selection activeCell="J14" sqref="J14"/>
      <pageMargins left="0.7" right="0.7" top="0.75" bottom="0.75" header="0.3" footer="0.3"/>
      <pageSetup orientation="portrait" horizontalDpi="0" verticalDpi="0" r:id="rId1"/>
    </customSheetView>
  </customSheetViews>
  <mergeCells count="12">
    <mergeCell ref="N2:O2"/>
    <mergeCell ref="N14:O17"/>
    <mergeCell ref="N5:O7"/>
    <mergeCell ref="A2:L2"/>
    <mergeCell ref="A54:L54"/>
    <mergeCell ref="N41:O44"/>
    <mergeCell ref="A78:L78"/>
    <mergeCell ref="A26:L26"/>
    <mergeCell ref="A27:L27"/>
    <mergeCell ref="A28:L28"/>
    <mergeCell ref="A52:L52"/>
    <mergeCell ref="A53:L53"/>
  </mergeCells>
  <pageMargins left="0.7" right="0.7" top="0.75" bottom="0.75" header="0.3" footer="0.3"/>
  <pageSetup orientation="portrait" horizontalDpi="0" verticalDpi="0"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9" tint="0.59999389629810485"/>
  </sheetPr>
  <dimension ref="A1:M44"/>
  <sheetViews>
    <sheetView zoomScaleNormal="100" workbookViewId="0">
      <selection activeCell="C13" sqref="C13"/>
    </sheetView>
  </sheetViews>
  <sheetFormatPr defaultColWidth="8.7109375" defaultRowHeight="12.75" customHeight="1"/>
  <cols>
    <col min="1" max="1" width="81"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'Port Coeffs'!D6</f>
        <v>2x1</v>
      </c>
      <c r="E1" s="1161" t="str">
        <f>'Port Coeffs'!E6</f>
        <v>1x2</v>
      </c>
      <c r="F1" s="1161" t="str">
        <f>'Port Coeffs'!F6</f>
        <v>3x1</v>
      </c>
      <c r="G1" s="1161" t="str">
        <f>'Port Coeffs'!G6</f>
        <v>1x3</v>
      </c>
      <c r="H1" s="1161" t="str">
        <f>'Port Coeffs'!H6</f>
        <v>2x2</v>
      </c>
      <c r="I1" s="1161" t="str">
        <f>'Port Coeffs'!I6</f>
        <v>3x2</v>
      </c>
      <c r="J1" s="1161" t="str">
        <f>'Port Coeffs'!J6</f>
        <v>2x3</v>
      </c>
      <c r="K1" s="1161" t="str">
        <f>'Port Coeffs'!K6</f>
        <v>3x3</v>
      </c>
      <c r="L1" s="104" t="s">
        <v>405</v>
      </c>
      <c r="M1" s="869" t="s">
        <v>406</v>
      </c>
    </row>
    <row r="2" spans="1:13">
      <c r="A2" s="29" t="s">
        <v>204</v>
      </c>
    </row>
    <row r="3" spans="1:13">
      <c r="A3" s="23" t="s">
        <v>206</v>
      </c>
      <c r="B3" s="23" t="s">
        <v>87</v>
      </c>
      <c r="C3" s="107">
        <f>(factors!$B$39)*'Port Coeffs'!C8</f>
        <v>-18.078572615646067</v>
      </c>
      <c r="D3" s="107">
        <f>(factors!$B$39)*'Port Coeffs'!D8</f>
        <v>-18.078572615646067</v>
      </c>
      <c r="E3" s="107">
        <f>(factors!$B$39)*'Port Coeffs'!E8</f>
        <v>-14.23206780380648</v>
      </c>
      <c r="F3" s="107">
        <f>(factors!$B$39)*'Port Coeffs'!F8</f>
        <v>-15.578344487950337</v>
      </c>
      <c r="G3" s="107">
        <f>(factors!$B$39)*'Port Coeffs'!G8</f>
        <v>-13.65509208203054</v>
      </c>
      <c r="H3" s="107">
        <f>(factors!$B$39)*'Port Coeffs'!H8</f>
        <v>-13.078116360254604</v>
      </c>
      <c r="I3" s="107">
        <f>(factors!$B$39)*'Port Coeffs'!I8</f>
        <v>-11.924164916702725</v>
      </c>
      <c r="J3" s="107">
        <f>(factors!$B$39)*'Port Coeffs'!J8</f>
        <v>-11.539514435518766</v>
      </c>
      <c r="K3" s="107">
        <f>(factors!$B$39)*'Port Coeffs'!K8</f>
        <v>-10.000912510782932</v>
      </c>
      <c r="L3" s="68">
        <f>(factors!$B$39)*'Port Coeffs'!L8</f>
        <v>18.078572615646067</v>
      </c>
      <c r="M3" s="68">
        <f>MAX(L3:L37)</f>
        <v>20.771125983933782</v>
      </c>
    </row>
    <row r="4" spans="1:13">
      <c r="A4" s="23" t="s">
        <v>103</v>
      </c>
      <c r="B4" s="23" t="s">
        <v>39</v>
      </c>
      <c r="C4" s="107">
        <f>C3*factors!$B$13</f>
        <v>-385.17663099440136</v>
      </c>
      <c r="D4" s="107">
        <f>D3*factors!$B$13</f>
        <v>-385.17663099440136</v>
      </c>
      <c r="E4" s="107">
        <f>E3*factors!$B$13</f>
        <v>-303.22415631474155</v>
      </c>
      <c r="F4" s="107">
        <f>F3*factors!$B$13</f>
        <v>-331.90752245262252</v>
      </c>
      <c r="G4" s="107">
        <f>G3*factors!$B$13</f>
        <v>-290.93128511279252</v>
      </c>
      <c r="H4" s="107">
        <f>H3*factors!$B$13</f>
        <v>-278.63841391084361</v>
      </c>
      <c r="I4" s="107">
        <f>I3*factors!$B$13</f>
        <v>-254.05267150694559</v>
      </c>
      <c r="J4" s="107">
        <f>J3*factors!$B$13</f>
        <v>-245.85742403897962</v>
      </c>
      <c r="K4" s="107">
        <f>K3*factors!$B$13</f>
        <v>-213.07643416711568</v>
      </c>
      <c r="L4" s="68"/>
    </row>
    <row r="5" spans="1:13">
      <c r="A5" s="23" t="str">
        <f>"DLFUz=Uplift design load using ASD combo #7 = dLF1*0.6 + WLFUz*"&amp;IF('1-Eng Inputs'!$C$35=2010,"0.6","1.0")</f>
        <v>DLFUz=Uplift design load using ASD combo #7 = dLF1*0.6 + WLFUz*0.6</v>
      </c>
      <c r="B5" s="23" t="s">
        <v>39</v>
      </c>
      <c r="C5" s="862">
        <f>(factors!$B$6*factors!$B$12)+(C4*factors!$B$5)</f>
        <v>-193.29397859664078</v>
      </c>
      <c r="D5" s="862">
        <f>(factors!$B$6*factors!$B$12)+(D4*factors!$B$5)</f>
        <v>-193.29397859664078</v>
      </c>
      <c r="E5" s="862">
        <f>(factors!$B$6*factors!$B$12)+(E4*factors!$B$5)</f>
        <v>-144.12249378884491</v>
      </c>
      <c r="F5" s="862">
        <f>(factors!$B$6*factors!$B$12)+(F4*factors!$B$5)</f>
        <v>-161.33251347157352</v>
      </c>
      <c r="G5" s="862">
        <f>(factors!$B$6*factors!$B$12)+(G4*factors!$B$5)</f>
        <v>-136.74677106767552</v>
      </c>
      <c r="H5" s="862">
        <f>(factors!$B$6*factors!$B$12)+(H4*factors!$B$5)</f>
        <v>-129.37104834650614</v>
      </c>
      <c r="I5" s="862">
        <f>(factors!$B$6*factors!$B$12)+(I4*factors!$B$5)</f>
        <v>-114.61960290416734</v>
      </c>
      <c r="J5" s="862">
        <f>(factors!$B$6*factors!$B$12)+(J4*factors!$B$5)</f>
        <v>-109.70245442338778</v>
      </c>
      <c r="K5" s="862">
        <f>(factors!$B$6*factors!$B$12)+(K4*factors!$B$5)</f>
        <v>-90.033860500269398</v>
      </c>
      <c r="L5" s="68"/>
    </row>
    <row r="6" spans="1:13">
      <c r="A6" s="29" t="str">
        <f>"BWuz=ballast weight required to resist wind uplift= -DLFUz/"&amp;IF('1-Eng Inputs'!$C$35=2010,"0.6","1.0")</f>
        <v>BWuz=ballast weight required to resist wind uplift= -DLFUz/0.6</v>
      </c>
      <c r="B6" s="23" t="s">
        <v>39</v>
      </c>
      <c r="C6" s="1162">
        <f>-C5/factors!$B$6</f>
        <v>322.15663099440133</v>
      </c>
      <c r="D6" s="1162">
        <f>-D5/factors!$B$6</f>
        <v>322.15663099440133</v>
      </c>
      <c r="E6" s="1162">
        <f>-E5/factors!$B$6</f>
        <v>240.20415631474151</v>
      </c>
      <c r="F6" s="1162">
        <f>-F5/factors!$B$6</f>
        <v>268.88752245262253</v>
      </c>
      <c r="G6" s="1162">
        <f>-G5/factors!$B$6</f>
        <v>227.91128511279254</v>
      </c>
      <c r="H6" s="1162">
        <f>-H5/factors!$B$6</f>
        <v>215.61841391084357</v>
      </c>
      <c r="I6" s="1162">
        <f>-I5/factors!$B$6</f>
        <v>191.03267150694558</v>
      </c>
      <c r="J6" s="1162">
        <f>-J5/factors!$B$6</f>
        <v>182.83742403897963</v>
      </c>
      <c r="K6" s="1162">
        <f>-K5/factors!$B$6</f>
        <v>150.05643416711567</v>
      </c>
      <c r="L6" s="68"/>
    </row>
    <row r="7" spans="1:13">
      <c r="A7" s="29" t="s">
        <v>213</v>
      </c>
      <c r="L7" s="68"/>
    </row>
    <row r="8" spans="1:13">
      <c r="A8" s="23" t="s">
        <v>206</v>
      </c>
      <c r="B8" s="23" t="s">
        <v>87</v>
      </c>
      <c r="C8" s="107">
        <f>(factors!$B$39)*'Port Coeffs'!C9</f>
        <v>-16.155320209726273</v>
      </c>
      <c r="D8" s="107">
        <f>(factors!$B$39)*'Port Coeffs'!D9</f>
        <v>-16.155320209726273</v>
      </c>
      <c r="E8" s="107">
        <f>(factors!$B$39)*'Port Coeffs'!E9</f>
        <v>-14.23206780380648</v>
      </c>
      <c r="F8" s="107">
        <f>(factors!$B$39)*'Port Coeffs'!F9</f>
        <v>0</v>
      </c>
      <c r="G8" s="107">
        <f>(factors!$B$39)*'Port Coeffs'!G9</f>
        <v>0</v>
      </c>
      <c r="H8" s="107">
        <f>(factors!$B$39)*'Port Coeffs'!H9</f>
        <v>-11.539514435518766</v>
      </c>
      <c r="I8" s="107">
        <f>(factors!$B$39)*'Port Coeffs'!I9</f>
        <v>-10.385562991966891</v>
      </c>
      <c r="J8" s="107">
        <f>(factors!$B$39)*'Port Coeffs'!J9</f>
        <v>-9.2316115484150139</v>
      </c>
      <c r="K8" s="107">
        <f>(factors!$B$39)*'Port Coeffs'!K9</f>
        <v>-8.8469610672310548</v>
      </c>
      <c r="L8" s="68">
        <f>(factors!$B$39)*'Port Coeffs'!L9</f>
        <v>14.23206780380648</v>
      </c>
    </row>
    <row r="9" spans="1:13">
      <c r="A9" s="23" t="s">
        <v>103</v>
      </c>
      <c r="B9" s="23" t="s">
        <v>39</v>
      </c>
      <c r="C9" s="107">
        <f>C8*factors!$B$13</f>
        <v>-344.20039365457149</v>
      </c>
      <c r="D9" s="107">
        <f>D8*factors!$B$13</f>
        <v>-344.20039365457149</v>
      </c>
      <c r="E9" s="107">
        <f>E8*factors!$B$13</f>
        <v>-303.22415631474155</v>
      </c>
      <c r="F9" s="107">
        <f>F8*factors!$B$13</f>
        <v>0</v>
      </c>
      <c r="G9" s="107">
        <f>G8*factors!$B$13</f>
        <v>0</v>
      </c>
      <c r="H9" s="107">
        <f>H8*factors!$B$13</f>
        <v>-245.85742403897962</v>
      </c>
      <c r="I9" s="107">
        <f>I8*factors!$B$13</f>
        <v>-221.27168163508168</v>
      </c>
      <c r="J9" s="107">
        <f>J8*factors!$B$13</f>
        <v>-196.68593923118371</v>
      </c>
      <c r="K9" s="107">
        <f>K8*factors!$B$13</f>
        <v>-188.49069176321771</v>
      </c>
      <c r="L9" s="68"/>
    </row>
    <row r="10" spans="1:13">
      <c r="A10" s="23" t="str">
        <f>"DLFUz=Uplift design load using ASD combo #7 = dLF1*0.6 + WLFUz*"&amp;IF('1-Eng Inputs'!$C$35=2010,"0.6","1.0")</f>
        <v>DLFUz=Uplift design load using ASD combo #7 = dLF1*0.6 + WLFUz*0.6</v>
      </c>
      <c r="B10" s="23" t="s">
        <v>39</v>
      </c>
      <c r="C10" s="862">
        <f>(factors!$B$6*factors!$B$12)+(C9*factors!$B$5)</f>
        <v>-168.7082361927429</v>
      </c>
      <c r="D10" s="862">
        <f>(factors!$B$6*factors!$B$12)+(D9*factors!$B$5)</f>
        <v>-168.7082361927429</v>
      </c>
      <c r="E10" s="862">
        <f>(factors!$B$6*factors!$B$12)+(E9*factors!$B$5)</f>
        <v>-144.12249378884491</v>
      </c>
      <c r="F10" s="862">
        <f>(factors!$B$6*factors!$B$12)+(F9*factors!$B$5)</f>
        <v>37.811999999999998</v>
      </c>
      <c r="G10" s="862">
        <f>(factors!$B$6*factors!$B$12)+(G9*factors!$B$5)</f>
        <v>37.811999999999998</v>
      </c>
      <c r="H10" s="862">
        <f>(factors!$B$6*factors!$B$12)+(H9*factors!$B$5)</f>
        <v>-109.70245442338778</v>
      </c>
      <c r="I10" s="862">
        <f>(factors!$B$6*factors!$B$12)+(I9*factors!$B$5)</f>
        <v>-94.951008981049014</v>
      </c>
      <c r="J10" s="862">
        <f>(factors!$B$6*factors!$B$12)+(J9*factors!$B$5)</f>
        <v>-80.199563538710223</v>
      </c>
      <c r="K10" s="862">
        <f>(factors!$B$6*factors!$B$12)+(K9*factors!$B$5)</f>
        <v>-75.282415057930621</v>
      </c>
      <c r="L10" s="68"/>
    </row>
    <row r="11" spans="1:13">
      <c r="A11" s="29" t="str">
        <f>"BWuz=ballast weight required to resist wind uplift= -DLFUz/"&amp;IF('1-Eng Inputs'!$C$35=2010,"0.6","1.0")</f>
        <v>BWuz=ballast weight required to resist wind uplift= -DLFUz/0.6</v>
      </c>
      <c r="B11" s="23" t="s">
        <v>39</v>
      </c>
      <c r="C11" s="1162">
        <f>-C10/factors!$B$6</f>
        <v>281.1803936545715</v>
      </c>
      <c r="D11" s="1162">
        <f>-D10/factors!$B$6</f>
        <v>281.1803936545715</v>
      </c>
      <c r="E11" s="1162">
        <f>-E10/factors!$B$6</f>
        <v>240.20415631474151</v>
      </c>
      <c r="F11" s="1162">
        <f>-F10/factors!$B$6</f>
        <v>-63.019999999999996</v>
      </c>
      <c r="G11" s="1162">
        <f>-G10/factors!$B$6</f>
        <v>-63.019999999999996</v>
      </c>
      <c r="H11" s="1162">
        <f>-H10/factors!$B$6</f>
        <v>182.83742403897963</v>
      </c>
      <c r="I11" s="1162">
        <f>-I10/factors!$B$6</f>
        <v>158.2516816350817</v>
      </c>
      <c r="J11" s="1162">
        <f>-J10/factors!$B$6</f>
        <v>133.6659392311837</v>
      </c>
      <c r="K11" s="1162">
        <f>-K10/factors!$B$6</f>
        <v>125.4706917632177</v>
      </c>
      <c r="L11" s="68"/>
    </row>
    <row r="12" spans="1:13">
      <c r="A12" s="29" t="s">
        <v>225</v>
      </c>
      <c r="L12" s="68"/>
    </row>
    <row r="13" spans="1:13">
      <c r="A13" s="23" t="s">
        <v>206</v>
      </c>
      <c r="B13" s="23" t="s">
        <v>87</v>
      </c>
      <c r="C13" s="107">
        <f>(factors!$B$39)*'Port Coeffs'!C10</f>
        <v>-18.078572615646067</v>
      </c>
      <c r="D13" s="107">
        <f>(factors!$B$39)*'Port Coeffs'!D10</f>
        <v>-18.078572615646067</v>
      </c>
      <c r="E13" s="107">
        <f>(factors!$B$39)*'Port Coeffs'!E10</f>
        <v>-14.23206780380648</v>
      </c>
      <c r="F13" s="107">
        <f>(factors!$B$39)*'Port Coeffs'!F10</f>
        <v>0</v>
      </c>
      <c r="G13" s="107">
        <f>(factors!$B$39)*'Port Coeffs'!G10</f>
        <v>0</v>
      </c>
      <c r="H13" s="107">
        <f>(factors!$B$39)*'Port Coeffs'!H10</f>
        <v>-13.078116360254604</v>
      </c>
      <c r="I13" s="107">
        <f>(factors!$B$39)*'Port Coeffs'!I10</f>
        <v>-11.924164916702725</v>
      </c>
      <c r="J13" s="107">
        <f>(factors!$B$39)*'Port Coeffs'!J10</f>
        <v>-11.539514435518766</v>
      </c>
      <c r="K13" s="107">
        <f>(factors!$B$39)*'Port Coeffs'!K10</f>
        <v>-10.000912510782932</v>
      </c>
      <c r="L13" s="68">
        <f>(factors!$B$39)*'Port Coeffs'!L10</f>
        <v>18.078572615646067</v>
      </c>
    </row>
    <row r="14" spans="1:13">
      <c r="A14" s="23" t="s">
        <v>103</v>
      </c>
      <c r="B14" s="23" t="s">
        <v>39</v>
      </c>
      <c r="C14" s="107">
        <f>C13*factors!$B$13</f>
        <v>-385.17663099440136</v>
      </c>
      <c r="D14" s="107">
        <f>D13*factors!$B$13</f>
        <v>-385.17663099440136</v>
      </c>
      <c r="E14" s="107">
        <f>E13*factors!$B$13</f>
        <v>-303.22415631474155</v>
      </c>
      <c r="F14" s="107">
        <f>F13*factors!$B$13</f>
        <v>0</v>
      </c>
      <c r="G14" s="107">
        <f>G13*factors!$B$13</f>
        <v>0</v>
      </c>
      <c r="H14" s="107">
        <f>H13*factors!$B$13</f>
        <v>-278.63841391084361</v>
      </c>
      <c r="I14" s="107">
        <f>I13*factors!$B$13</f>
        <v>-254.05267150694559</v>
      </c>
      <c r="J14" s="107">
        <f>J13*factors!$B$13</f>
        <v>-245.85742403897962</v>
      </c>
      <c r="K14" s="107">
        <f>K13*factors!$B$13</f>
        <v>-213.07643416711568</v>
      </c>
      <c r="L14" s="68"/>
    </row>
    <row r="15" spans="1:13">
      <c r="A15" s="23" t="str">
        <f>"DLFUz=Uplift design load using ASD combo #7 = dLF1*0.6 + WLFUz*"&amp;IF('1-Eng Inputs'!$C$35=2010,"0.6","1.0")</f>
        <v>DLFUz=Uplift design load using ASD combo #7 = dLF1*0.6 + WLFUz*0.6</v>
      </c>
      <c r="B15" s="23" t="s">
        <v>39</v>
      </c>
      <c r="C15" s="862">
        <f>(factors!$B$6*factors!$B$12)+(C14*factors!$B$5)</f>
        <v>-193.29397859664078</v>
      </c>
      <c r="D15" s="862">
        <f>(factors!$B$6*factors!$B$12)+(D14*factors!$B$5)</f>
        <v>-193.29397859664078</v>
      </c>
      <c r="E15" s="862">
        <f>(factors!$B$6*factors!$B$12)+(E14*factors!$B$5)</f>
        <v>-144.12249378884491</v>
      </c>
      <c r="F15" s="862">
        <f>(factors!$B$6*factors!$B$12)+(F14*factors!$B$5)</f>
        <v>37.811999999999998</v>
      </c>
      <c r="G15" s="862">
        <f>(factors!$B$6*factors!$B$12)+(G14*factors!$B$5)</f>
        <v>37.811999999999998</v>
      </c>
      <c r="H15" s="862">
        <f>(factors!$B$6*factors!$B$12)+(H14*factors!$B$5)</f>
        <v>-129.37104834650614</v>
      </c>
      <c r="I15" s="862">
        <f>(factors!$B$6*factors!$B$12)+(I14*factors!$B$5)</f>
        <v>-114.61960290416734</v>
      </c>
      <c r="J15" s="862">
        <f>(factors!$B$6*factors!$B$12)+(J14*factors!$B$5)</f>
        <v>-109.70245442338778</v>
      </c>
      <c r="K15" s="862">
        <f>(factors!$B$6*factors!$B$12)+(K14*factors!$B$5)</f>
        <v>-90.033860500269398</v>
      </c>
      <c r="L15" s="68"/>
    </row>
    <row r="16" spans="1:13">
      <c r="A16" s="29" t="str">
        <f>"BWuz=ballast weight required to resist wind uplift= -DLFUz/"&amp;IF('1-Eng Inputs'!$C$35=2010,"0.6","1.0")</f>
        <v>BWuz=ballast weight required to resist wind uplift= -DLFUz/0.6</v>
      </c>
      <c r="B16" s="23" t="s">
        <v>39</v>
      </c>
      <c r="C16" s="1162">
        <f>-C15/factors!$B$6</f>
        <v>322.15663099440133</v>
      </c>
      <c r="D16" s="1162">
        <f>-D15/factors!$B$6</f>
        <v>322.15663099440133</v>
      </c>
      <c r="E16" s="1162">
        <f>-E15/factors!$B$6</f>
        <v>240.20415631474151</v>
      </c>
      <c r="F16" s="1162">
        <f>-F15/factors!$B$6</f>
        <v>-63.019999999999996</v>
      </c>
      <c r="G16" s="1162">
        <f>-G15/factors!$B$6</f>
        <v>-63.019999999999996</v>
      </c>
      <c r="H16" s="1162">
        <f>-H15/factors!$B$6</f>
        <v>215.61841391084357</v>
      </c>
      <c r="I16" s="1162">
        <f>-I15/factors!$B$6</f>
        <v>191.03267150694558</v>
      </c>
      <c r="J16" s="1162">
        <f>-J15/factors!$B$6</f>
        <v>182.83742403897963</v>
      </c>
      <c r="K16" s="1162">
        <f>-K15/factors!$B$6</f>
        <v>150.05643416711567</v>
      </c>
      <c r="L16" s="68"/>
    </row>
    <row r="17" spans="1:12">
      <c r="A17" s="29" t="s">
        <v>199</v>
      </c>
      <c r="L17" s="68"/>
    </row>
    <row r="18" spans="1:12">
      <c r="A18" s="23" t="s">
        <v>206</v>
      </c>
      <c r="B18" s="23" t="s">
        <v>87</v>
      </c>
      <c r="C18" s="107">
        <f>(factors!$B$39)*'Port Coeffs'!C11</f>
        <v>-16.155320209726273</v>
      </c>
      <c r="D18" s="107">
        <f>(factors!$B$39)*'Port Coeffs'!D11</f>
        <v>-16.155320209726273</v>
      </c>
      <c r="E18" s="107">
        <f>(factors!$B$39)*'Port Coeffs'!E11</f>
        <v>-14.23206780380648</v>
      </c>
      <c r="F18" s="107">
        <f>(factors!$B$39)*'Port Coeffs'!F11</f>
        <v>0</v>
      </c>
      <c r="G18" s="107">
        <f>(factors!$B$39)*'Port Coeffs'!G11</f>
        <v>0</v>
      </c>
      <c r="H18" s="107">
        <f>(factors!$B$39)*'Port Coeffs'!H11</f>
        <v>-11.539514435518766</v>
      </c>
      <c r="I18" s="107">
        <f>(factors!$B$39)*'Port Coeffs'!I11</f>
        <v>-10.385562991966891</v>
      </c>
      <c r="J18" s="107">
        <f>(factors!$B$39)*'Port Coeffs'!J11</f>
        <v>-9.2316115484150139</v>
      </c>
      <c r="K18" s="107">
        <f>(factors!$B$39)*'Port Coeffs'!K11</f>
        <v>-8.8469610672310548</v>
      </c>
      <c r="L18" s="68">
        <f>(factors!$B$39)*'Port Coeffs'!L11</f>
        <v>14.23206780380648</v>
      </c>
    </row>
    <row r="19" spans="1:12">
      <c r="A19" s="23" t="s">
        <v>103</v>
      </c>
      <c r="B19" s="23" t="s">
        <v>39</v>
      </c>
      <c r="C19" s="107">
        <f>C18*factors!$B$13</f>
        <v>-344.20039365457149</v>
      </c>
      <c r="D19" s="107">
        <f>D18*factors!$B$13</f>
        <v>-344.20039365457149</v>
      </c>
      <c r="E19" s="107">
        <f>E18*factors!$B$13</f>
        <v>-303.22415631474155</v>
      </c>
      <c r="F19" s="107">
        <f>F18*factors!$B$13</f>
        <v>0</v>
      </c>
      <c r="G19" s="107">
        <f>G18*factors!$B$13</f>
        <v>0</v>
      </c>
      <c r="H19" s="107">
        <f>H18*factors!$B$13</f>
        <v>-245.85742403897962</v>
      </c>
      <c r="I19" s="107">
        <f>I18*factors!$B$13</f>
        <v>-221.27168163508168</v>
      </c>
      <c r="J19" s="107">
        <f>J18*factors!$B$13</f>
        <v>-196.68593923118371</v>
      </c>
      <c r="K19" s="107">
        <f>K18*factors!$B$13</f>
        <v>-188.49069176321771</v>
      </c>
      <c r="L19" s="68"/>
    </row>
    <row r="20" spans="1:12">
      <c r="A20" s="23" t="str">
        <f>"DLFUz=Uplift design load using ASD combo #7 = dLF1*0.6 + WLFUz*"&amp;IF('1-Eng Inputs'!$C$35=2010,"0.6","1.0")</f>
        <v>DLFUz=Uplift design load using ASD combo #7 = dLF1*0.6 + WLFUz*0.6</v>
      </c>
      <c r="B20" s="23" t="s">
        <v>39</v>
      </c>
      <c r="C20" s="862">
        <f>(factors!$B$6*factors!$B$12)+(C19*factors!$B$5)</f>
        <v>-168.7082361927429</v>
      </c>
      <c r="D20" s="862">
        <f>(factors!$B$6*factors!$B$12)+(D19*factors!$B$5)</f>
        <v>-168.7082361927429</v>
      </c>
      <c r="E20" s="862">
        <f>(factors!$B$6*factors!$B$12)+(E19*factors!$B$5)</f>
        <v>-144.12249378884491</v>
      </c>
      <c r="F20" s="862">
        <f>(factors!$B$6*factors!$B$12)+(F19*factors!$B$5)</f>
        <v>37.811999999999998</v>
      </c>
      <c r="G20" s="862">
        <f>(factors!$B$6*factors!$B$12)+(G19*factors!$B$5)</f>
        <v>37.811999999999998</v>
      </c>
      <c r="H20" s="862">
        <f>(factors!$B$6*factors!$B$12)+(H19*factors!$B$5)</f>
        <v>-109.70245442338778</v>
      </c>
      <c r="I20" s="862">
        <f>(factors!$B$6*factors!$B$12)+(I19*factors!$B$5)</f>
        <v>-94.951008981049014</v>
      </c>
      <c r="J20" s="862">
        <f>(factors!$B$6*factors!$B$12)+(J19*factors!$B$5)</f>
        <v>-80.199563538710223</v>
      </c>
      <c r="K20" s="862">
        <f>(factors!$B$6*factors!$B$12)+(K19*factors!$B$5)</f>
        <v>-75.282415057930621</v>
      </c>
      <c r="L20" s="68"/>
    </row>
    <row r="21" spans="1:12">
      <c r="A21" s="29" t="str">
        <f>"BWuz=ballast weight required to resist wind uplift= -DLFUz/"&amp;IF('1-Eng Inputs'!$C$35=2010,"0.6","1.0")</f>
        <v>BWuz=ballast weight required to resist wind uplift= -DLFUz/0.6</v>
      </c>
      <c r="B21" s="23" t="s">
        <v>39</v>
      </c>
      <c r="C21" s="1162">
        <f>-C20/factors!$B$6</f>
        <v>281.1803936545715</v>
      </c>
      <c r="D21" s="1162">
        <f>-D20/factors!$B$6</f>
        <v>281.1803936545715</v>
      </c>
      <c r="E21" s="1162">
        <f>-E20/factors!$B$6</f>
        <v>240.20415631474151</v>
      </c>
      <c r="F21" s="1162">
        <f>-F20/factors!$B$6</f>
        <v>-63.019999999999996</v>
      </c>
      <c r="G21" s="1162">
        <f>-G20/factors!$B$6</f>
        <v>-63.019999999999996</v>
      </c>
      <c r="H21" s="1162">
        <f>-H20/factors!$B$6</f>
        <v>182.83742403897963</v>
      </c>
      <c r="I21" s="1162">
        <f>-I20/factors!$B$6</f>
        <v>158.2516816350817</v>
      </c>
      <c r="J21" s="1162">
        <f>-J20/factors!$B$6</f>
        <v>133.6659392311837</v>
      </c>
      <c r="K21" s="1162">
        <f>-K20/factors!$B$6</f>
        <v>125.4706917632177</v>
      </c>
      <c r="L21" s="68"/>
    </row>
    <row r="22" spans="1:12">
      <c r="A22" s="29" t="s">
        <v>205</v>
      </c>
      <c r="L22" s="68"/>
    </row>
    <row r="23" spans="1:12">
      <c r="A23" s="23" t="s">
        <v>206</v>
      </c>
      <c r="B23" s="23" t="s">
        <v>87</v>
      </c>
      <c r="C23" s="107">
        <f>(factors!$B$39)*'Port Coeffs'!C12</f>
        <v>-22.309727908669615</v>
      </c>
      <c r="D23" s="107">
        <f>(factors!$B$39)*'Port Coeffs'!D12</f>
        <v>-21.155776465117743</v>
      </c>
      <c r="E23" s="107">
        <f>(factors!$B$39)*'Port Coeffs'!E12</f>
        <v>-14.23206780380648</v>
      </c>
      <c r="F23" s="107">
        <f>(factors!$B$39)*'Port Coeffs'!F12</f>
        <v>-17.116946412686175</v>
      </c>
      <c r="G23" s="107">
        <f>(factors!$B$39)*'Port Coeffs'!G12</f>
        <v>-13.65509208203054</v>
      </c>
      <c r="H23" s="107">
        <f>(factors!$B$39)*'Port Coeffs'!H12</f>
        <v>-13.078116360254604</v>
      </c>
      <c r="I23" s="107">
        <f>(factors!$B$39)*'Port Coeffs'!I12</f>
        <v>-11.924164916702725</v>
      </c>
      <c r="J23" s="107">
        <f>(factors!$B$39)*'Port Coeffs'!J12</f>
        <v>-11.539514435518766</v>
      </c>
      <c r="K23" s="107">
        <f>(factors!$B$39)*'Port Coeffs'!K12</f>
        <v>-10.000912510782932</v>
      </c>
      <c r="L23" s="68">
        <f>(factors!$B$39)*'Port Coeffs'!L12</f>
        <v>20.771125983933782</v>
      </c>
    </row>
    <row r="24" spans="1:12">
      <c r="A24" s="23" t="s">
        <v>103</v>
      </c>
      <c r="B24" s="23" t="s">
        <v>39</v>
      </c>
      <c r="C24" s="107">
        <f>C23*factors!$B$13</f>
        <v>-475.32435314202723</v>
      </c>
      <c r="D24" s="107">
        <f>D23*factors!$B$13</f>
        <v>-450.73861073812935</v>
      </c>
      <c r="E24" s="107">
        <f>E23*factors!$B$13</f>
        <v>-303.22415631474155</v>
      </c>
      <c r="F24" s="107">
        <f>F23*factors!$B$13</f>
        <v>-364.68851232448651</v>
      </c>
      <c r="G24" s="107">
        <f>G23*factors!$B$13</f>
        <v>-290.93128511279252</v>
      </c>
      <c r="H24" s="107">
        <f>H23*factors!$B$13</f>
        <v>-278.63841391084361</v>
      </c>
      <c r="I24" s="107">
        <f>I23*factors!$B$13</f>
        <v>-254.05267150694559</v>
      </c>
      <c r="J24" s="107">
        <f>J23*factors!$B$13</f>
        <v>-245.85742403897962</v>
      </c>
      <c r="K24" s="107">
        <f>K23*factors!$B$13</f>
        <v>-213.07643416711568</v>
      </c>
      <c r="L24" s="68"/>
    </row>
    <row r="25" spans="1:12">
      <c r="A25" s="23" t="str">
        <f>"DLFUz=Uplift design load using ASD combo #7 = dLF1*0.6 + WLFUz*"&amp;IF('1-Eng Inputs'!$C$35=2010,"0.6","1.0")</f>
        <v>DLFUz=Uplift design load using ASD combo #7 = dLF1*0.6 + WLFUz*0.6</v>
      </c>
      <c r="B25" s="23" t="s">
        <v>39</v>
      </c>
      <c r="C25" s="107">
        <f>(factors!$B$6*factors!$B$12)+(C24*factors!$B$5)</f>
        <v>-247.38261188521631</v>
      </c>
      <c r="D25" s="107">
        <f>(factors!$B$6*factors!$B$12)+(D24*factors!$B$5)</f>
        <v>-232.6311664428776</v>
      </c>
      <c r="E25" s="107">
        <f>(factors!$B$6*factors!$B$12)+(E24*factors!$B$5)</f>
        <v>-144.12249378884491</v>
      </c>
      <c r="F25" s="107">
        <f>(factors!$B$6*factors!$B$12)+(F24*factors!$B$5)</f>
        <v>-181.00110739469193</v>
      </c>
      <c r="G25" s="107">
        <f>(factors!$B$6*factors!$B$12)+(G24*factors!$B$5)</f>
        <v>-136.74677106767552</v>
      </c>
      <c r="H25" s="107">
        <f>(factors!$B$6*factors!$B$12)+(H24*factors!$B$5)</f>
        <v>-129.37104834650614</v>
      </c>
      <c r="I25" s="107">
        <f>(factors!$B$6*factors!$B$12)+(I24*factors!$B$5)</f>
        <v>-114.61960290416734</v>
      </c>
      <c r="J25" s="107">
        <f>(factors!$B$6*factors!$B$12)+(J24*factors!$B$5)</f>
        <v>-109.70245442338778</v>
      </c>
      <c r="K25" s="107">
        <f>(factors!$B$6*factors!$B$12)+(K24*factors!$B$5)</f>
        <v>-90.033860500269398</v>
      </c>
      <c r="L25" s="68"/>
    </row>
    <row r="26" spans="1:12" s="104" customFormat="1">
      <c r="A26" s="103" t="str">
        <f>"BWuz=ballast weight required to resist wind uplift= -DLFUz/"&amp;IF('1-Eng Inputs'!$C$35=2010,"0.6","1.0")</f>
        <v>BWuz=ballast weight required to resist wind uplift= -DLFUz/0.6</v>
      </c>
      <c r="B26" s="103" t="s">
        <v>39</v>
      </c>
      <c r="C26" s="1162">
        <f>-C25/factors!$B$6</f>
        <v>412.3043531420272</v>
      </c>
      <c r="D26" s="1162">
        <f>-D25/factors!$B$6</f>
        <v>387.71861073812937</v>
      </c>
      <c r="E26" s="1162">
        <f>-E25/factors!$B$6</f>
        <v>240.20415631474151</v>
      </c>
      <c r="F26" s="1162">
        <f>-F25/factors!$B$6</f>
        <v>301.66851232448658</v>
      </c>
      <c r="G26" s="1162">
        <f>-G25/factors!$B$6</f>
        <v>227.91128511279254</v>
      </c>
      <c r="H26" s="1162">
        <f>-H25/factors!$B$6</f>
        <v>215.61841391084357</v>
      </c>
      <c r="I26" s="1162">
        <f>-I25/factors!$B$6</f>
        <v>191.03267150694558</v>
      </c>
      <c r="J26" s="1162">
        <f>-J25/factors!$B$6</f>
        <v>182.83742403897963</v>
      </c>
      <c r="K26" s="1162">
        <f>-K25/factors!$B$6</f>
        <v>150.05643416711567</v>
      </c>
      <c r="L26" s="1068"/>
    </row>
    <row r="27" spans="1:12">
      <c r="A27" s="29" t="s">
        <v>214</v>
      </c>
      <c r="L27" s="68"/>
    </row>
    <row r="28" spans="1:12">
      <c r="A28" s="23" t="s">
        <v>206</v>
      </c>
      <c r="B28" s="23" t="s">
        <v>87</v>
      </c>
      <c r="C28" s="107">
        <f>(factors!$B$39)*'Port Coeffs'!C13</f>
        <v>-17.309271653278152</v>
      </c>
      <c r="D28" s="107">
        <f>(factors!$B$39)*'Port Coeffs'!D13</f>
        <v>-16.539970690910234</v>
      </c>
      <c r="E28" s="107">
        <f>(factors!$B$39)*'Port Coeffs'!E13</f>
        <v>-14.23206780380648</v>
      </c>
      <c r="F28" s="107">
        <f>(factors!$B$39)*'Port Coeffs'!F13</f>
        <v>0</v>
      </c>
      <c r="G28" s="107">
        <f>(factors!$B$39)*'Port Coeffs'!G13</f>
        <v>0</v>
      </c>
      <c r="H28" s="107">
        <f>(factors!$B$39)*'Port Coeffs'!H13</f>
        <v>-11.539514435518766</v>
      </c>
      <c r="I28" s="107">
        <f>(factors!$B$39)*'Port Coeffs'!I13</f>
        <v>-10.385562991966891</v>
      </c>
      <c r="J28" s="107">
        <f>(factors!$B$39)*'Port Coeffs'!J13</f>
        <v>-9.2316115484150139</v>
      </c>
      <c r="K28" s="107">
        <f>(factors!$B$39)*'Port Coeffs'!K13</f>
        <v>-8.8469610672310548</v>
      </c>
      <c r="L28" s="68">
        <f>(factors!$B$39)*'Port Coeffs'!L13</f>
        <v>14.23206780380648</v>
      </c>
    </row>
    <row r="29" spans="1:12">
      <c r="A29" s="23" t="s">
        <v>103</v>
      </c>
      <c r="B29" s="23" t="s">
        <v>39</v>
      </c>
      <c r="C29" s="107">
        <f>C28*factors!$B$13</f>
        <v>-368.78613605846948</v>
      </c>
      <c r="D29" s="107">
        <f>D28*factors!$B$13</f>
        <v>-352.39564112253748</v>
      </c>
      <c r="E29" s="107">
        <f>E28*factors!$B$13</f>
        <v>-303.22415631474155</v>
      </c>
      <c r="F29" s="107">
        <f>F28*factors!$B$13</f>
        <v>0</v>
      </c>
      <c r="G29" s="107">
        <f>G28*factors!$B$13</f>
        <v>0</v>
      </c>
      <c r="H29" s="107">
        <f>H28*factors!$B$13</f>
        <v>-245.85742403897962</v>
      </c>
      <c r="I29" s="107">
        <f>I28*factors!$B$13</f>
        <v>-221.27168163508168</v>
      </c>
      <c r="J29" s="107">
        <f>J28*factors!$B$13</f>
        <v>-196.68593923118371</v>
      </c>
      <c r="K29" s="107">
        <f>K28*factors!$B$13</f>
        <v>-188.49069176321771</v>
      </c>
      <c r="L29" s="68"/>
    </row>
    <row r="30" spans="1:12">
      <c r="A30" s="23" t="str">
        <f>"DLFUz=Uplift design load using ASD combo #7 = dLF1*0.6 + WLFUz*"&amp;IF('1-Eng Inputs'!$C$35=2010,"0.6","1.0")</f>
        <v>DLFUz=Uplift design load using ASD combo #7 = dLF1*0.6 + WLFUz*0.6</v>
      </c>
      <c r="B30" s="23" t="s">
        <v>39</v>
      </c>
      <c r="C30" s="862">
        <f>(factors!$B$6*factors!$B$12)+(C29*factors!$B$5)</f>
        <v>-183.45968163508167</v>
      </c>
      <c r="D30" s="862">
        <f>(factors!$B$6*factors!$B$12)+(D29*factors!$B$5)</f>
        <v>-173.62538467352249</v>
      </c>
      <c r="E30" s="862">
        <f>(factors!$B$6*factors!$B$12)+(E29*factors!$B$5)</f>
        <v>-144.12249378884491</v>
      </c>
      <c r="F30" s="862">
        <f>(factors!$B$6*factors!$B$12)+(F29*factors!$B$5)</f>
        <v>37.811999999999998</v>
      </c>
      <c r="G30" s="862">
        <f>(factors!$B$6*factors!$B$12)+(G29*factors!$B$5)</f>
        <v>37.811999999999998</v>
      </c>
      <c r="H30" s="862">
        <f>(factors!$B$6*factors!$B$12)+(H29*factors!$B$5)</f>
        <v>-109.70245442338778</v>
      </c>
      <c r="I30" s="862">
        <f>(factors!$B$6*factors!$B$12)+(I29*factors!$B$5)</f>
        <v>-94.951008981049014</v>
      </c>
      <c r="J30" s="862">
        <f>(factors!$B$6*factors!$B$12)+(J29*factors!$B$5)</f>
        <v>-80.199563538710223</v>
      </c>
      <c r="K30" s="862">
        <f>(factors!$B$6*factors!$B$12)+(K29*factors!$B$5)</f>
        <v>-75.282415057930621</v>
      </c>
      <c r="L30" s="68"/>
    </row>
    <row r="31" spans="1:12">
      <c r="A31" s="29" t="str">
        <f>"BWuz=ballast weight required to resist wind uplift= -DLFUz/"&amp;IF('1-Eng Inputs'!$C$35=2010,"0.6","1.0")</f>
        <v>BWuz=ballast weight required to resist wind uplift= -DLFUz/0.6</v>
      </c>
      <c r="B31" s="23" t="s">
        <v>39</v>
      </c>
      <c r="C31" s="1162">
        <f>-C30/factors!$B$6</f>
        <v>305.76613605846944</v>
      </c>
      <c r="D31" s="1162">
        <f>-D30/factors!$B$6</f>
        <v>289.3756411225375</v>
      </c>
      <c r="E31" s="1162">
        <f>-E30/factors!$B$6</f>
        <v>240.20415631474151</v>
      </c>
      <c r="F31" s="1162">
        <f>-F30/factors!$B$6</f>
        <v>-63.019999999999996</v>
      </c>
      <c r="G31" s="1162">
        <f>-G30/factors!$B$6</f>
        <v>-63.019999999999996</v>
      </c>
      <c r="H31" s="1162">
        <f>-H30/factors!$B$6</f>
        <v>182.83742403897963</v>
      </c>
      <c r="I31" s="1162">
        <f>-I30/factors!$B$6</f>
        <v>158.2516816350817</v>
      </c>
      <c r="J31" s="1162">
        <f>-J30/factors!$B$6</f>
        <v>133.6659392311837</v>
      </c>
      <c r="K31" s="1162">
        <f>-K30/factors!$B$6</f>
        <v>125.4706917632177</v>
      </c>
      <c r="L31" s="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f>(factors!$B$39)*'Port Coeffs'!E8</f>
        <v>-14.23206780380648</v>
      </c>
      <c r="E34" s="107">
        <f>(factors!$B$39)*'Port Coeffs'!D8</f>
        <v>-18.078572615646067</v>
      </c>
      <c r="F34" s="107"/>
      <c r="G34" s="107"/>
      <c r="J34" s="796"/>
      <c r="K34" s="796"/>
      <c r="L34" s="68"/>
    </row>
    <row r="35" spans="1:12">
      <c r="A35" s="23" t="s">
        <v>103</v>
      </c>
      <c r="B35" s="23" t="s">
        <v>39</v>
      </c>
      <c r="C35" s="107"/>
      <c r="D35" s="107">
        <f>D34*factors!$B$13</f>
        <v>-303.22415631474155</v>
      </c>
      <c r="E35" s="107">
        <f>E34*factors!$B$13</f>
        <v>-385.17663099440136</v>
      </c>
      <c r="F35" s="107"/>
      <c r="G35" s="107"/>
      <c r="J35" s="796"/>
      <c r="K35" s="796"/>
      <c r="L35" s="68"/>
    </row>
    <row r="36" spans="1:12">
      <c r="A36" s="23" t="str">
        <f>"DLFUz=Uplift design load using ASD combo #7 = dLF1*0.6 + WLFUz*"&amp;IF('1-Eng Inputs'!$C$35=2010,"0.6","1.0")</f>
        <v>DLFUz=Uplift design load using ASD combo #7 = dLF1*0.6 + WLFUz*0.6</v>
      </c>
      <c r="B36" s="23" t="s">
        <v>39</v>
      </c>
      <c r="C36" s="107"/>
      <c r="D36" s="862">
        <f>(factors!$B$6*factors!$B$12)+(D35*factors!$B$5)</f>
        <v>-144.12249378884491</v>
      </c>
      <c r="E36" s="862">
        <f>(factors!$B$6*factors!$B$12)+(E35*factors!$B$5)</f>
        <v>-193.29397859664078</v>
      </c>
      <c r="F36" s="107"/>
      <c r="G36" s="107"/>
      <c r="J36" s="796"/>
      <c r="K36" s="796"/>
      <c r="L36" s="68"/>
    </row>
    <row r="37" spans="1:12">
      <c r="A37" s="29" t="str">
        <f>"BWuz=ballast weight required to resist wind uplift= -DLFUz/"&amp;IF('1-Eng Inputs'!$C$35=2010,"0.6","1.0")</f>
        <v>BWuz=ballast weight required to resist wind uplift= -DLFUz/0.6</v>
      </c>
      <c r="B37" s="23" t="s">
        <v>39</v>
      </c>
      <c r="C37" s="107"/>
      <c r="D37" s="1162">
        <f>-D36/factors!$B$6</f>
        <v>240.20415631474151</v>
      </c>
      <c r="E37" s="1162">
        <f>-E36/factors!$B$6</f>
        <v>322.15663099440133</v>
      </c>
      <c r="F37" s="107"/>
      <c r="G37" s="107"/>
      <c r="J37" s="796"/>
      <c r="K37" s="796"/>
      <c r="L37" s="68"/>
    </row>
    <row r="40" spans="1:12" ht="12.75" customHeight="1">
      <c r="A40" s="29"/>
    </row>
    <row r="41" spans="1:12" ht="12.75" customHeight="1">
      <c r="A41" s="23"/>
      <c r="C41" s="107"/>
      <c r="D41" s="107"/>
      <c r="E41" s="107"/>
      <c r="F41" s="107"/>
      <c r="G41" s="107"/>
      <c r="H41" s="107"/>
      <c r="I41" s="107"/>
      <c r="J41" s="107"/>
      <c r="K41" s="107"/>
      <c r="L41" s="68"/>
    </row>
    <row r="42" spans="1:12" ht="12.75" customHeight="1">
      <c r="A42" s="23"/>
      <c r="C42" s="107"/>
      <c r="D42" s="107"/>
      <c r="E42" s="107"/>
      <c r="F42" s="107"/>
      <c r="G42" s="107"/>
      <c r="H42" s="107"/>
      <c r="I42" s="107"/>
      <c r="J42" s="107"/>
      <c r="K42" s="107"/>
    </row>
    <row r="43" spans="1:12" ht="12.75" customHeight="1">
      <c r="A43" s="23"/>
      <c r="C43" s="107"/>
      <c r="D43" s="107"/>
      <c r="E43" s="107"/>
      <c r="F43" s="107"/>
      <c r="G43" s="107"/>
      <c r="H43" s="107"/>
      <c r="I43" s="107"/>
      <c r="J43" s="107"/>
      <c r="K43" s="107"/>
    </row>
    <row r="44" spans="1:12" ht="12.75" customHeight="1">
      <c r="A44" s="23"/>
    </row>
  </sheetData>
  <customSheetViews>
    <customSheetView guid="{F2CCAFB5-9C02-49AC-87E7-8695C5014AAE}" state="hidden" topLeftCell="A22">
      <selection activeCell="D36" sqref="D36:G3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tabColor theme="9" tint="0.59999389629810485"/>
    <pageSetUpPr autoPageBreaks="0"/>
  </sheetPr>
  <dimension ref="A1:G27"/>
  <sheetViews>
    <sheetView zoomScale="130" zoomScaleNormal="130" workbookViewId="0">
      <selection activeCell="E30" sqref="E30"/>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647" bestFit="1" customWidth="1"/>
    <col min="8" max="16384" width="8.7109375" style="647"/>
  </cols>
  <sheetData>
    <row r="1" spans="2:7">
      <c r="B1" s="740" t="s">
        <v>19866</v>
      </c>
      <c r="C1" s="740"/>
      <c r="D1" s="740"/>
    </row>
    <row r="2" spans="2:7">
      <c r="G2" s="99"/>
    </row>
    <row r="3" spans="2:7" ht="13.5" thickBot="1">
      <c r="G3" s="99"/>
    </row>
    <row r="4" spans="2:7">
      <c r="B4" s="809" t="s">
        <v>19925</v>
      </c>
      <c r="C4" s="810"/>
      <c r="D4" s="811">
        <f>'Port Matrix (lift)'!CW3</f>
        <v>16</v>
      </c>
      <c r="E4" s="812"/>
    </row>
    <row r="5" spans="2:7">
      <c r="B5" s="813" t="s">
        <v>19924</v>
      </c>
      <c r="C5" s="803"/>
      <c r="D5" s="814">
        <f>factors!B2</f>
        <v>32</v>
      </c>
      <c r="E5" s="815" t="s">
        <v>39</v>
      </c>
    </row>
    <row r="6" spans="2:7">
      <c r="B6" s="813" t="s">
        <v>19908</v>
      </c>
      <c r="C6" s="803"/>
      <c r="D6" s="804">
        <f>factors!B5</f>
        <v>0.6</v>
      </c>
      <c r="E6" s="694"/>
    </row>
    <row r="7" spans="2:7">
      <c r="B7" s="813" t="s">
        <v>19909</v>
      </c>
      <c r="C7" s="803"/>
      <c r="D7" s="804">
        <f>factors!B6</f>
        <v>0.6</v>
      </c>
      <c r="E7" s="694"/>
    </row>
    <row r="8" spans="2:7">
      <c r="B8" s="813" t="s">
        <v>19910</v>
      </c>
      <c r="C8" s="803"/>
      <c r="D8" s="804">
        <f>factors!B39</f>
        <v>38.465048118395892</v>
      </c>
      <c r="E8" s="694"/>
    </row>
    <row r="9" spans="2:7">
      <c r="B9" s="813" t="s">
        <v>19911</v>
      </c>
      <c r="C9" s="803"/>
      <c r="D9" s="804">
        <f>factors!B12</f>
        <v>63.019999999999996</v>
      </c>
      <c r="E9" s="815" t="s">
        <v>39</v>
      </c>
    </row>
    <row r="10" spans="2:7">
      <c r="B10" s="813" t="s">
        <v>19912</v>
      </c>
      <c r="C10" s="803"/>
      <c r="D10" s="804">
        <f>MIN('Friction Data'!F34:G34)</f>
        <v>0.57999999999999996</v>
      </c>
      <c r="E10" s="694"/>
    </row>
    <row r="11" spans="2:7">
      <c r="B11" s="813" t="s">
        <v>19913</v>
      </c>
      <c r="C11" s="803"/>
      <c r="D11" s="804">
        <f>factors!B14</f>
        <v>21.507386812441908</v>
      </c>
      <c r="E11" s="815" t="s">
        <v>19922</v>
      </c>
    </row>
    <row r="12" spans="2:7">
      <c r="B12" s="813" t="s">
        <v>19914</v>
      </c>
      <c r="C12" s="803"/>
      <c r="D12" s="804">
        <f>factors!B16</f>
        <v>1.8652364422736121</v>
      </c>
      <c r="E12" s="815" t="s">
        <v>19922</v>
      </c>
    </row>
    <row r="13" spans="2:7" s="795" customFormat="1">
      <c r="B13" s="813" t="s">
        <v>19929</v>
      </c>
      <c r="C13" s="803"/>
      <c r="D13" s="804" t="str">
        <f>'Port Matrix (lift)'!CT2</f>
        <v>Worst Case</v>
      </c>
      <c r="E13" s="815"/>
    </row>
    <row r="14" spans="2:7">
      <c r="B14" s="813" t="s">
        <v>19919</v>
      </c>
      <c r="C14" s="803"/>
      <c r="D14" s="804">
        <f>VLOOKUP(D13,'Port Coeffs'!A18:C24,3,FALSE)</f>
        <v>1.82</v>
      </c>
      <c r="E14" s="815"/>
    </row>
    <row r="15" spans="2:7">
      <c r="B15" s="813" t="s">
        <v>19920</v>
      </c>
      <c r="C15" s="803"/>
      <c r="D15" s="804">
        <f>VLOOKUP(D13,'Port Coeffs'!A8:C14,3,FALSE)</f>
        <v>-0.57999999999999996</v>
      </c>
      <c r="E15" s="694"/>
      <c r="F15" s="792"/>
    </row>
    <row r="16" spans="2:7">
      <c r="B16" s="813" t="s">
        <v>19921</v>
      </c>
      <c r="C16" s="803"/>
      <c r="D16" s="804">
        <f ca="1">'Area Reduction'!C33</f>
        <v>0.3257789614685716</v>
      </c>
      <c r="E16" s="694"/>
      <c r="F16" s="792"/>
    </row>
    <row r="17" spans="2:7">
      <c r="B17" s="813" t="s">
        <v>19915</v>
      </c>
      <c r="C17" s="803"/>
      <c r="D17" s="804">
        <f ca="1">D14*D16</f>
        <v>0.59291770987280035</v>
      </c>
      <c r="E17" s="694"/>
      <c r="F17" s="792"/>
      <c r="G17" s="23"/>
    </row>
    <row r="18" spans="2:7" ht="13.5" thickBot="1">
      <c r="B18" s="813" t="s">
        <v>19916</v>
      </c>
      <c r="C18" s="803"/>
      <c r="D18" s="804">
        <f ca="1">ABS(D15*D16)</f>
        <v>0.18895179765177153</v>
      </c>
      <c r="E18" s="694"/>
      <c r="F18" s="792"/>
      <c r="G18" s="23"/>
    </row>
    <row r="19" spans="2:7" s="1058" customFormat="1">
      <c r="B19" s="1055" t="s">
        <v>20102</v>
      </c>
      <c r="C19" s="1050"/>
      <c r="D19" s="1136">
        <f ca="1">(D6*D8*D18*D11)*D4</f>
        <v>1500.6388550973327</v>
      </c>
      <c r="E19" s="1137" t="s">
        <v>20104</v>
      </c>
      <c r="F19" s="1057"/>
      <c r="G19" s="23"/>
    </row>
    <row r="20" spans="2:7" s="1058" customFormat="1">
      <c r="B20" s="1045" t="s">
        <v>20103</v>
      </c>
      <c r="C20" s="1047"/>
      <c r="D20" s="1048">
        <f ca="1">(D6*D8*(D17*D12)*D4)</f>
        <v>408.38128142256119</v>
      </c>
      <c r="E20" s="815" t="s">
        <v>20104</v>
      </c>
      <c r="F20" s="1057"/>
      <c r="G20" s="23"/>
    </row>
    <row r="21" spans="2:7" s="1058" customFormat="1" ht="13.5" thickBot="1">
      <c r="B21" s="1138" t="s">
        <v>20105</v>
      </c>
      <c r="C21" s="1139"/>
      <c r="D21" s="1140">
        <f ca="1">SQRT(D20^2+D19^2)</f>
        <v>1555.2145332539067</v>
      </c>
      <c r="E21" s="808" t="s">
        <v>20104</v>
      </c>
      <c r="F21" s="1057"/>
      <c r="G21" s="23"/>
    </row>
    <row r="22" spans="2:7" s="104" customFormat="1">
      <c r="B22" s="1055" t="s">
        <v>20069</v>
      </c>
      <c r="C22" s="1050"/>
      <c r="D22" s="1051">
        <f ca="1">(1/D7)*(D6*D8*((D17*D12*(1/D10)+D18*D11))-D7*D9)*D4</f>
        <v>2666.2541878707307</v>
      </c>
      <c r="E22" s="1046" t="s">
        <v>39</v>
      </c>
      <c r="F22" s="103"/>
      <c r="G22" s="103"/>
    </row>
    <row r="23" spans="2:7" ht="13.5" thickBot="1">
      <c r="B23" s="805" t="s">
        <v>19923</v>
      </c>
      <c r="C23" s="806"/>
      <c r="D23" s="807">
        <f ca="1">ROUNDUP(D22/D5,0)</f>
        <v>84</v>
      </c>
      <c r="E23" s="808" t="s">
        <v>295</v>
      </c>
    </row>
    <row r="24" spans="2:7">
      <c r="B24" s="23"/>
      <c r="C24" s="23"/>
      <c r="D24" s="23"/>
      <c r="E24" s="23"/>
      <c r="F24" s="23"/>
    </row>
    <row r="27" spans="2:7">
      <c r="G27" s="98"/>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theme="9"/>
    <pageSetUpPr autoPageBreaks="0"/>
  </sheetPr>
  <dimension ref="A1:DU156"/>
  <sheetViews>
    <sheetView zoomScale="115" zoomScaleNormal="115" zoomScaleSheetLayoutView="55" workbookViewId="0">
      <selection activeCell="Q7" sqref="Q7"/>
    </sheetView>
  </sheetViews>
  <sheetFormatPr defaultColWidth="9.140625" defaultRowHeight="12.75"/>
  <cols>
    <col min="1" max="4" width="2.7109375" style="350" customWidth="1"/>
    <col min="5" max="5" width="2.7109375" style="353" customWidth="1"/>
    <col min="6" max="6" width="3.7109375" style="350" customWidth="1"/>
    <col min="7" max="7" width="5.140625" style="350" customWidth="1"/>
    <col min="8" max="8" width="3.7109375" style="350" customWidth="1"/>
    <col min="9" max="9" width="5.140625" style="350" customWidth="1"/>
    <col min="10" max="10" width="3.7109375" style="350" customWidth="1"/>
    <col min="11" max="11" width="5.140625" style="350" customWidth="1"/>
    <col min="12" max="12" width="3.7109375" style="350" customWidth="1"/>
    <col min="13" max="13" width="5.140625" style="350" customWidth="1"/>
    <col min="14" max="14" width="3.7109375" style="350" customWidth="1"/>
    <col min="15" max="15" width="5.140625" style="350" customWidth="1"/>
    <col min="16" max="16" width="3.7109375" style="350" customWidth="1"/>
    <col min="17" max="17" width="5.140625" style="350" customWidth="1"/>
    <col min="18" max="18" width="3.7109375" style="350" customWidth="1"/>
    <col min="19" max="19" width="5.140625" style="350" customWidth="1"/>
    <col min="20" max="20" width="3.7109375" style="350" customWidth="1"/>
    <col min="21" max="21" width="5.140625" style="350" customWidth="1"/>
    <col min="22" max="22" width="3.7109375" style="350" customWidth="1"/>
    <col min="23" max="23" width="3.85546875" style="350" customWidth="1"/>
    <col min="24" max="24" width="1.7109375" style="358" customWidth="1"/>
    <col min="25" max="25" width="5.7109375" style="350" hidden="1" customWidth="1"/>
    <col min="26" max="26" width="2" style="353" hidden="1" customWidth="1"/>
    <col min="27" max="27" width="7" style="350" hidden="1" customWidth="1"/>
    <col min="28" max="28" width="4.85546875" style="455" hidden="1" customWidth="1"/>
    <col min="29" max="29" width="7" style="350" hidden="1" customWidth="1"/>
    <col min="30" max="30" width="4.5703125" style="455" hidden="1" customWidth="1"/>
    <col min="31" max="31" width="5.7109375" style="350" hidden="1" customWidth="1"/>
    <col min="32" max="32" width="4.5703125" style="455" hidden="1" customWidth="1"/>
    <col min="33" max="33" width="5.7109375" style="350" hidden="1" customWidth="1"/>
    <col min="34" max="34" width="4.5703125" style="455" hidden="1" customWidth="1"/>
    <col min="35" max="35" width="5.7109375" style="350" hidden="1" customWidth="1"/>
    <col min="36" max="36" width="4.5703125" style="455" hidden="1" customWidth="1"/>
    <col min="37" max="37" width="5.7109375" style="350" hidden="1" customWidth="1"/>
    <col min="38" max="38" width="4.5703125" style="455" hidden="1" customWidth="1"/>
    <col min="39" max="39" width="5.7109375" style="350" hidden="1" customWidth="1"/>
    <col min="40" max="40" width="4.5703125" style="455" hidden="1" customWidth="1"/>
    <col min="41" max="41" width="7.7109375" style="350" hidden="1" customWidth="1"/>
    <col min="42" max="42" width="4.5703125" style="455" hidden="1" customWidth="1"/>
    <col min="43" max="43" width="5.28515625" style="350" hidden="1" customWidth="1"/>
    <col min="44" max="44" width="3.85546875" style="350" hidden="1" customWidth="1"/>
    <col min="45" max="45" width="1.7109375" style="358" hidden="1" customWidth="1"/>
    <col min="46" max="46" width="5.7109375" style="350" hidden="1" customWidth="1"/>
    <col min="47" max="47" width="2" style="353" hidden="1" customWidth="1"/>
    <col min="48" max="64" width="3.7109375" style="350" hidden="1" customWidth="1"/>
    <col min="65" max="65" width="1.7109375" style="350" hidden="1" customWidth="1"/>
    <col min="66" max="66" width="1.7109375" style="358" hidden="1" customWidth="1"/>
    <col min="67" max="67" width="1.7109375" style="353" hidden="1" customWidth="1"/>
    <col min="68" max="68" width="3.5703125" style="372" hidden="1" customWidth="1"/>
    <col min="69" max="69" width="3.7109375" style="372" hidden="1" customWidth="1"/>
    <col min="70" max="70" width="3.5703125" style="372" hidden="1" customWidth="1"/>
    <col min="71" max="71" width="3.28515625" style="372" hidden="1" customWidth="1"/>
    <col min="72" max="72" width="3.7109375" style="372" hidden="1" customWidth="1"/>
    <col min="73" max="74" width="3.28515625" style="372" hidden="1" customWidth="1"/>
    <col min="75" max="75" width="3.7109375" style="372" hidden="1" customWidth="1"/>
    <col min="76" max="77" width="3.28515625" style="372" hidden="1" customWidth="1"/>
    <col min="78" max="78" width="3.7109375" style="372" hidden="1" customWidth="1"/>
    <col min="79" max="80" width="3.28515625" style="372" hidden="1" customWidth="1"/>
    <col min="81" max="81" width="3.7109375" style="372" hidden="1" customWidth="1"/>
    <col min="82" max="83" width="3.28515625" style="372" hidden="1" customWidth="1"/>
    <col min="84" max="84" width="3.7109375" style="372" hidden="1" customWidth="1"/>
    <col min="85" max="86" width="3.28515625" style="372" hidden="1" customWidth="1"/>
    <col min="87" max="87" width="3.7109375" style="372" hidden="1" customWidth="1"/>
    <col min="88" max="89" width="3.28515625" style="372" hidden="1" customWidth="1"/>
    <col min="90" max="90" width="1.7109375" style="350" hidden="1" customWidth="1"/>
    <col min="91" max="91" width="1.7109375" style="358" hidden="1" customWidth="1"/>
    <col min="92" max="92" width="5.7109375" style="350" customWidth="1"/>
    <col min="93" max="93" width="2" style="353" bestFit="1" customWidth="1"/>
    <col min="94" max="111" width="3.7109375" style="350" customWidth="1"/>
    <col min="112" max="117" width="4" style="350" customWidth="1"/>
    <col min="118" max="121" width="4.28515625" style="350" customWidth="1"/>
    <col min="122" max="122" width="5.42578125" style="350" customWidth="1"/>
    <col min="123" max="16384" width="9.140625" style="350"/>
  </cols>
  <sheetData>
    <row r="1" spans="1:125" ht="13.5" thickBot="1">
      <c r="A1" s="349" t="s">
        <v>19928</v>
      </c>
      <c r="J1" s="766" t="s">
        <v>19867</v>
      </c>
      <c r="K1" s="769"/>
      <c r="L1" s="769"/>
      <c r="M1" s="771"/>
      <c r="N1" s="774"/>
      <c r="O1" s="774"/>
      <c r="P1" s="770"/>
      <c r="Q1" s="770"/>
      <c r="R1" s="770"/>
      <c r="S1" s="770"/>
      <c r="T1" s="772"/>
      <c r="CP1" s="766" t="s">
        <v>19814</v>
      </c>
      <c r="CQ1" s="767"/>
      <c r="CR1" s="773"/>
      <c r="CS1" s="773"/>
      <c r="CT1" s="773"/>
      <c r="CU1" s="773"/>
      <c r="CV1" s="767"/>
      <c r="CW1" s="773"/>
      <c r="CX1" s="768"/>
      <c r="CZ1" s="706" t="s">
        <v>19813</v>
      </c>
      <c r="DA1" s="667"/>
      <c r="DB1" s="707"/>
      <c r="DC1" s="837"/>
      <c r="DD1" s="838"/>
      <c r="DE1" s="838"/>
      <c r="DF1" s="667"/>
      <c r="DG1" s="667"/>
      <c r="DH1" s="707"/>
      <c r="DI1" s="667"/>
      <c r="DJ1" s="667"/>
      <c r="DK1" s="667"/>
      <c r="DL1" s="668"/>
      <c r="DN1" s="706" t="s">
        <v>20440</v>
      </c>
      <c r="DO1" s="667"/>
      <c r="DP1" s="667"/>
      <c r="DQ1" s="667"/>
      <c r="DR1" s="667"/>
      <c r="DS1" s="667"/>
      <c r="DT1" s="667"/>
      <c r="DU1" s="668"/>
    </row>
    <row r="2" spans="1:125" ht="15">
      <c r="A2" s="351" t="str">
        <f>'1-Eng Inputs'!$C$38&amp;" lb. Blocks per Ecofoot"&amp;IF($P$4="YES"," ( ''.5'' denotes one "&amp;'1-Eng Inputs'!$C$39&amp;" lb. block)",)</f>
        <v>32 lb. Blocks per Ecofoot</v>
      </c>
      <c r="E2" s="352"/>
      <c r="J2" s="776" t="s">
        <v>19894</v>
      </c>
      <c r="K2" s="451"/>
      <c r="L2" s="451"/>
      <c r="M2" s="451"/>
      <c r="N2" s="451"/>
      <c r="O2" s="451"/>
      <c r="P2" s="777"/>
      <c r="Q2" s="777"/>
      <c r="R2" s="777"/>
      <c r="S2" s="2185">
        <f>'Uplift Attachment Calcs'!D12</f>
        <v>16.375</v>
      </c>
      <c r="T2" s="2186"/>
      <c r="AT2" s="352"/>
      <c r="CP2" s="731" t="s">
        <v>19927</v>
      </c>
      <c r="CT2" s="2168" t="s">
        <v>19932</v>
      </c>
      <c r="CU2" s="2169"/>
      <c r="CV2" s="2169"/>
      <c r="CW2" s="2169"/>
      <c r="CX2" s="2170"/>
      <c r="CZ2" s="1480" t="s">
        <v>19765</v>
      </c>
      <c r="DA2" s="1481"/>
      <c r="DB2" s="1481"/>
      <c r="DC2" s="1481"/>
      <c r="DD2" s="1481"/>
      <c r="DE2" s="1481"/>
      <c r="DF2" s="1481"/>
      <c r="DG2" s="727">
        <v>1</v>
      </c>
      <c r="DH2" s="728">
        <v>2</v>
      </c>
      <c r="DI2" s="729">
        <v>3</v>
      </c>
      <c r="DJ2" s="729">
        <v>4</v>
      </c>
      <c r="DK2" s="729">
        <v>5</v>
      </c>
      <c r="DL2" s="730">
        <v>6</v>
      </c>
      <c r="DN2" s="1480" t="s">
        <v>20442</v>
      </c>
      <c r="DU2" s="1932" t="e">
        <f>'Thermal Sliding Calcs'!$D$42</f>
        <v>#VALUE!</v>
      </c>
    </row>
    <row r="3" spans="1:125" ht="15.75" thickBot="1">
      <c r="A3" s="1514">
        <v>1</v>
      </c>
      <c r="B3" s="369">
        <v>1.5</v>
      </c>
      <c r="C3" s="1514">
        <v>2</v>
      </c>
      <c r="D3" s="369">
        <v>2.5</v>
      </c>
      <c r="E3" s="1514">
        <v>3</v>
      </c>
      <c r="F3" s="369">
        <v>3.5</v>
      </c>
      <c r="G3" s="1514" t="s">
        <v>19423</v>
      </c>
      <c r="H3" s="380"/>
      <c r="J3" s="653" t="s">
        <v>19869</v>
      </c>
      <c r="K3" s="762"/>
      <c r="L3" s="762"/>
      <c r="M3" s="762"/>
      <c r="N3" s="762"/>
      <c r="O3" s="762"/>
      <c r="P3" s="654"/>
      <c r="Q3" s="654"/>
      <c r="R3" s="654"/>
      <c r="S3" s="2187">
        <f>'Seismic Calcs (Attached)'!B25</f>
        <v>6.3738670708707472</v>
      </c>
      <c r="T3" s="2188"/>
      <c r="Z3" s="350"/>
      <c r="AT3" s="356"/>
      <c r="CP3" s="652" t="s">
        <v>19933</v>
      </c>
      <c r="CQ3" s="651"/>
      <c r="CR3" s="651"/>
      <c r="CS3" s="663"/>
      <c r="CV3" s="655"/>
      <c r="CW3" s="2189">
        <v>16</v>
      </c>
      <c r="CX3" s="2190"/>
      <c r="CZ3" s="1480" t="s">
        <v>19764</v>
      </c>
      <c r="DA3" s="1481"/>
      <c r="DB3" s="1481"/>
      <c r="DC3" s="1481"/>
      <c r="DD3" s="1481"/>
      <c r="DE3" s="1481"/>
      <c r="DF3" s="1481"/>
      <c r="DG3" s="724">
        <f>'Seismic Calcs (Unattached)'!$D$36</f>
        <v>3</v>
      </c>
      <c r="DH3" s="725">
        <f>'Seismic Calcs (Unattached)'!$D$37</f>
        <v>6</v>
      </c>
      <c r="DI3" s="725">
        <f>'Seismic Calcs (Unattached)'!$D$38</f>
        <v>9</v>
      </c>
      <c r="DJ3" s="725">
        <f>'Seismic Calcs (Unattached)'!$D$39</f>
        <v>12</v>
      </c>
      <c r="DK3" s="725">
        <f>'Seismic Calcs (Unattached)'!$D$40</f>
        <v>15</v>
      </c>
      <c r="DL3" s="726">
        <f>'Seismic Calcs (Unattached)'!$D$41</f>
        <v>18</v>
      </c>
      <c r="DN3" s="1482" t="s">
        <v>20441</v>
      </c>
      <c r="DO3" s="762"/>
      <c r="DP3" s="762"/>
      <c r="DQ3" s="762"/>
      <c r="DR3" s="762"/>
      <c r="DS3" s="762"/>
      <c r="DT3" s="762"/>
      <c r="DU3" s="1933" t="e">
        <f>'Thermal Sliding Calcs'!$D$43</f>
        <v>#VALUE!</v>
      </c>
    </row>
    <row r="4" spans="1:125" ht="12.75" customHeight="1" thickBot="1">
      <c r="A4" s="1514">
        <v>4</v>
      </c>
      <c r="B4" s="369">
        <v>4.5</v>
      </c>
      <c r="C4" s="1514">
        <v>5</v>
      </c>
      <c r="D4" s="369">
        <v>5.5</v>
      </c>
      <c r="E4" s="1514">
        <v>6</v>
      </c>
      <c r="F4" s="369">
        <v>6.5</v>
      </c>
      <c r="G4" s="1514"/>
      <c r="J4" s="825" t="s">
        <v>19440</v>
      </c>
      <c r="K4" s="667"/>
      <c r="L4" s="667"/>
      <c r="M4" s="667"/>
      <c r="N4" s="667"/>
      <c r="O4" s="667"/>
      <c r="P4" s="2184" t="s">
        <v>144</v>
      </c>
      <c r="Q4" s="2184"/>
      <c r="R4" s="667"/>
      <c r="S4" s="667"/>
      <c r="T4" s="668"/>
      <c r="Y4" s="356"/>
      <c r="AT4" s="356"/>
      <c r="CN4" s="356"/>
      <c r="CP4" s="653" t="s">
        <v>20439</v>
      </c>
      <c r="CQ4" s="651"/>
      <c r="CR4" s="651"/>
      <c r="CS4" s="663"/>
      <c r="CV4" s="655"/>
      <c r="CW4" s="2189" t="s">
        <v>19952</v>
      </c>
      <c r="CX4" s="2190"/>
      <c r="CZ4" s="1480" t="s">
        <v>19766</v>
      </c>
      <c r="DA4" s="1481"/>
      <c r="DB4" s="1481"/>
      <c r="DC4" s="1481"/>
      <c r="DD4" s="1481"/>
      <c r="DE4" s="1481"/>
      <c r="DF4" s="1481"/>
      <c r="DG4" s="717">
        <v>1</v>
      </c>
      <c r="DH4" s="718">
        <v>2</v>
      </c>
      <c r="DI4" s="719">
        <v>3</v>
      </c>
      <c r="DJ4" s="719">
        <v>4</v>
      </c>
      <c r="DK4" s="719">
        <v>5</v>
      </c>
      <c r="DL4" s="720">
        <v>6</v>
      </c>
    </row>
    <row r="5" spans="1:125" ht="12.75" customHeight="1" thickBot="1">
      <c r="A5" s="744" t="s">
        <v>19485</v>
      </c>
      <c r="E5" s="350"/>
      <c r="Z5" s="350"/>
      <c r="AU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P5" s="835" t="str">
        <f>"Min "&amp;'1-Eng Inputs'!C38&amp;" lb block qty:"</f>
        <v>Min 32 lb block qty:</v>
      </c>
      <c r="CQ5" s="828"/>
      <c r="CR5" s="828"/>
      <c r="CS5" s="829"/>
      <c r="CT5" s="829"/>
      <c r="CU5" s="836"/>
      <c r="CV5" s="836"/>
      <c r="CW5" s="2191">
        <f ca="1">'Port Calcs (sliding)'!D23</f>
        <v>84</v>
      </c>
      <c r="CX5" s="2192"/>
      <c r="CZ5" s="1482" t="s">
        <v>19764</v>
      </c>
      <c r="DA5" s="1483"/>
      <c r="DB5" s="1483"/>
      <c r="DC5" s="1483"/>
      <c r="DD5" s="1483"/>
      <c r="DE5" s="1483"/>
      <c r="DF5" s="1483"/>
      <c r="DG5" s="721">
        <f>'Seismic Calcs (Unattached)'!$D$44</f>
        <v>12</v>
      </c>
      <c r="DH5" s="722">
        <f>'Seismic Calcs (Unattached)'!$D$45</f>
        <v>24</v>
      </c>
      <c r="DI5" s="722">
        <f>'Seismic Calcs (Unattached)'!$D$46</f>
        <v>36</v>
      </c>
      <c r="DJ5" s="722">
        <f>'Seismic Calcs (Unattached)'!$D$47</f>
        <v>48</v>
      </c>
      <c r="DK5" s="722">
        <f>'Seismic Calcs (Unattached)'!$D$48</f>
        <v>60</v>
      </c>
      <c r="DL5" s="723">
        <f>'Seismic Calcs (Unattached)'!$D$49</f>
        <v>72</v>
      </c>
    </row>
    <row r="6" spans="1:125" ht="12.75" customHeight="1" thickBot="1">
      <c r="A6" s="744"/>
      <c r="E6" s="350"/>
      <c r="Z6" s="350"/>
      <c r="AU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P6" s="834" t="s">
        <v>19719</v>
      </c>
      <c r="CQ6" s="762"/>
      <c r="CR6" s="762"/>
      <c r="CS6" s="765"/>
      <c r="CT6" s="765"/>
      <c r="CU6" s="765"/>
      <c r="CV6" s="765"/>
      <c r="CW6" s="2182">
        <f ca="1">'Port Calcs (sliding)'!D22</f>
        <v>2666.2541878707307</v>
      </c>
      <c r="CX6" s="2183"/>
      <c r="DD6" s="746"/>
      <c r="DE6" s="746"/>
      <c r="DF6" s="746"/>
      <c r="DG6" s="746"/>
      <c r="DI6" s="1481"/>
      <c r="DK6" s="1481"/>
      <c r="DL6" s="377"/>
      <c r="DM6" s="377"/>
      <c r="DN6" s="377"/>
      <c r="DO6" s="377"/>
      <c r="DP6" s="377"/>
      <c r="DQ6" s="377"/>
      <c r="DR6" s="377"/>
    </row>
    <row r="7" spans="1:125" ht="12.75" customHeight="1">
      <c r="A7" s="743"/>
      <c r="E7" s="350"/>
      <c r="Z7" s="350"/>
      <c r="AU7" s="350"/>
      <c r="BO7" s="350"/>
      <c r="BP7" s="350"/>
      <c r="BQ7" s="350"/>
      <c r="BR7" s="350"/>
      <c r="BS7" s="350"/>
      <c r="BT7" s="350"/>
      <c r="BU7" s="350"/>
      <c r="BV7" s="350"/>
      <c r="BW7" s="350"/>
      <c r="BX7" s="350"/>
      <c r="BY7" s="350"/>
      <c r="BZ7" s="350"/>
      <c r="CA7" s="350"/>
      <c r="CB7" s="350"/>
      <c r="CC7" s="350"/>
      <c r="CD7" s="350"/>
      <c r="CE7" s="350"/>
      <c r="CF7" s="350"/>
      <c r="CG7" s="350"/>
      <c r="CH7" s="350"/>
      <c r="CI7" s="350"/>
      <c r="CJ7" s="350"/>
      <c r="CK7" s="350"/>
      <c r="CO7" s="350"/>
      <c r="CP7" s="655"/>
      <c r="CQ7" s="655"/>
      <c r="CR7" s="655"/>
      <c r="CS7" s="742"/>
      <c r="CT7" s="742"/>
      <c r="CU7" s="655"/>
      <c r="CV7" s="655"/>
      <c r="CW7" s="655"/>
      <c r="CX7" s="655"/>
      <c r="CY7" s="655"/>
      <c r="CZ7" s="655"/>
      <c r="DA7" s="655"/>
      <c r="DB7" s="746"/>
      <c r="DC7" s="746"/>
      <c r="DD7" s="746"/>
      <c r="DE7" s="746"/>
      <c r="DF7" s="746"/>
      <c r="DG7" s="746"/>
      <c r="DI7" s="1481"/>
      <c r="DK7" s="1481"/>
      <c r="DL7" s="831"/>
      <c r="DM7" s="832"/>
    </row>
    <row r="8" spans="1:125" ht="12.75" customHeight="1">
      <c r="A8" s="349" t="s">
        <v>19431</v>
      </c>
      <c r="B8" s="391"/>
      <c r="C8" s="356"/>
      <c r="D8" s="391"/>
      <c r="E8" s="356"/>
      <c r="F8" s="391"/>
      <c r="Y8" s="349" t="s">
        <v>19533</v>
      </c>
      <c r="AT8" s="460" t="s">
        <v>19537</v>
      </c>
      <c r="BP8" s="370" t="s">
        <v>19535</v>
      </c>
      <c r="CN8" s="349" t="s">
        <v>19439</v>
      </c>
    </row>
    <row r="9" spans="1:125">
      <c r="C9" s="1426"/>
      <c r="D9" s="356"/>
      <c r="G9" s="357" t="s">
        <v>233</v>
      </c>
      <c r="V9" s="354" t="s">
        <v>215</v>
      </c>
      <c r="W9" s="354"/>
      <c r="Y9" s="356"/>
      <c r="AB9" s="456"/>
      <c r="AQ9" s="354"/>
      <c r="AR9" s="354"/>
      <c r="AT9" s="356"/>
      <c r="AW9" s="357" t="s">
        <v>233</v>
      </c>
      <c r="BL9" s="354" t="s">
        <v>215</v>
      </c>
      <c r="CN9" s="356"/>
      <c r="CQ9" s="357" t="s">
        <v>233</v>
      </c>
      <c r="DF9" s="354" t="s">
        <v>215</v>
      </c>
    </row>
    <row r="10" spans="1:125" s="352" customFormat="1">
      <c r="C10" s="1426"/>
      <c r="D10" s="356"/>
      <c r="G10" s="352">
        <v>1</v>
      </c>
      <c r="I10" s="352">
        <v>2</v>
      </c>
      <c r="K10" s="352">
        <v>3</v>
      </c>
      <c r="M10" s="352">
        <v>4</v>
      </c>
      <c r="O10" s="352">
        <v>5</v>
      </c>
      <c r="Q10" s="352">
        <v>6</v>
      </c>
      <c r="S10" s="352">
        <v>7</v>
      </c>
      <c r="U10" s="352">
        <v>8</v>
      </c>
      <c r="X10" s="387"/>
      <c r="Y10" s="356"/>
      <c r="AB10" s="456"/>
      <c r="AD10" s="456"/>
      <c r="AF10" s="456"/>
      <c r="AH10" s="456"/>
      <c r="AJ10" s="456"/>
      <c r="AL10" s="456"/>
      <c r="AN10" s="456"/>
      <c r="AP10" s="456"/>
      <c r="AS10" s="387"/>
      <c r="AT10" s="356"/>
      <c r="AW10" s="352">
        <v>1</v>
      </c>
      <c r="AY10" s="352">
        <v>2</v>
      </c>
      <c r="BA10" s="352">
        <v>3</v>
      </c>
      <c r="BC10" s="352">
        <v>4</v>
      </c>
      <c r="BE10" s="352">
        <v>5</v>
      </c>
      <c r="BG10" s="352">
        <v>6</v>
      </c>
      <c r="BI10" s="352">
        <v>7</v>
      </c>
      <c r="BK10" s="352">
        <v>8</v>
      </c>
      <c r="BN10" s="387"/>
      <c r="BP10" s="371"/>
      <c r="BQ10" s="371"/>
      <c r="BR10" s="371"/>
      <c r="BS10" s="371"/>
      <c r="BT10" s="371"/>
      <c r="BU10" s="371"/>
      <c r="BV10" s="371"/>
      <c r="BW10" s="371"/>
      <c r="BX10" s="371"/>
      <c r="BY10" s="371"/>
      <c r="BZ10" s="371"/>
      <c r="CA10" s="371"/>
      <c r="CB10" s="371"/>
      <c r="CC10" s="371"/>
      <c r="CD10" s="371"/>
      <c r="CE10" s="371"/>
      <c r="CF10" s="371"/>
      <c r="CG10" s="371"/>
      <c r="CH10" s="371"/>
      <c r="CI10" s="371"/>
      <c r="CJ10" s="371"/>
      <c r="CK10" s="371"/>
      <c r="CM10" s="387"/>
      <c r="CN10" s="356"/>
      <c r="CQ10" s="352">
        <v>1</v>
      </c>
      <c r="CS10" s="352">
        <v>2</v>
      </c>
      <c r="CU10" s="352">
        <v>3</v>
      </c>
      <c r="CW10" s="352">
        <v>4</v>
      </c>
      <c r="CY10" s="352">
        <v>5</v>
      </c>
      <c r="DA10" s="352">
        <v>6</v>
      </c>
      <c r="DC10" s="352">
        <v>7</v>
      </c>
      <c r="DE10" s="352">
        <v>8</v>
      </c>
    </row>
    <row r="11" spans="1:125">
      <c r="F11" s="1494">
        <f>IF($P$4="NO",ROUNDUP(CP11-0.00499,0),LEFT(CP11,1)+(IF(CP11-LEFT(CP11,1)&lt;0.00499,0,IF(CP11-LEFT(CP11,1)-0.04499&lt;('1-Eng Inputs'!$C$39/'1-Eng Inputs'!$C$38),0.5,1))))</f>
        <v>3</v>
      </c>
      <c r="G11" s="353"/>
      <c r="H11" s="1494">
        <f>IF($P$4="NO",ROUNDUP(CR11-0.00499,0),LEFT(CR11,1)+(IF(CR11-LEFT(CR11,1)&lt;0.00499,0,IF(CR11-LEFT(CR11,1)-0.04499&lt;('1-Eng Inputs'!$C$39/'1-Eng Inputs'!$C$38),0.5,1))))</f>
        <v>6</v>
      </c>
      <c r="I11" s="353"/>
      <c r="J11" s="1494">
        <f>IF($P$4="NO",ROUNDUP(CT11-0.00499,0),LEFT(CT11,1)+(IF(CT11-LEFT(CT11,1)&lt;0.00499,0,IF(CT11-LEFT(CT11,1)-0.04499&lt;('1-Eng Inputs'!$C$39/'1-Eng Inputs'!$C$38),0.5,1))))</f>
        <v>6</v>
      </c>
      <c r="K11" s="353"/>
      <c r="L11" s="1494">
        <f>IF($P$4="NO",ROUNDUP(CV11-0.00499,0),LEFT(CV11,1)+(IF(CV11-LEFT(CV11,1)&lt;0.00499,0,IF(CV11-LEFT(CV11,1)-0.04499&lt;('1-Eng Inputs'!$C$39/'1-Eng Inputs'!$C$38),0.5,1))))</f>
        <v>6</v>
      </c>
      <c r="M11" s="353"/>
      <c r="N11" s="1494">
        <f>IF($P$4="NO",ROUNDUP(CX11-0.00499,0),LEFT(CX11,1)+(IF(CX11-LEFT(CX11,1)&lt;0.00499,0,IF(CX11-LEFT(CX11,1)-0.04499&lt;('1-Eng Inputs'!$C$39/'1-Eng Inputs'!$C$38),0.5,1))))</f>
        <v>6</v>
      </c>
      <c r="O11" s="353"/>
      <c r="P11" s="1494">
        <f>IF($P$4="NO",ROUNDUP(CZ11-0.00499,0),LEFT(CZ11,1)+(IF(CZ11-LEFT(CZ11,1)&lt;0.00499,0,IF(CZ11-LEFT(CZ11,1)-0.04499&lt;('1-Eng Inputs'!$C$39/'1-Eng Inputs'!$C$38),0.5,1))))</f>
        <v>6</v>
      </c>
      <c r="Q11" s="353"/>
      <c r="R11" s="1494">
        <f>IF($P$4="NO",ROUNDUP(DB11-0.00499,0),LEFT(DB11,1)+(IF(DB11-LEFT(DB11,1)&lt;0.00499,0,IF(DB11-LEFT(DB11,1)-0.04499&lt;('1-Eng Inputs'!$C$39/'1-Eng Inputs'!$C$38),0.5,1))))</f>
        <v>6</v>
      </c>
      <c r="S11" s="353"/>
      <c r="T11" s="1494">
        <f>IF($P$4="NO",ROUNDUP(DD11-0.00499,0),LEFT(DD11,1)+(IF(DD11-LEFT(DD11,1)&lt;0.00499,0,IF(DD11-LEFT(DD11,1)-0.04499&lt;('1-Eng Inputs'!$C$39/'1-Eng Inputs'!$C$38),0.5,1))))</f>
        <v>5</v>
      </c>
      <c r="U11" s="353"/>
      <c r="V11" s="1494">
        <f>IF($P$4="NO",ROUNDUP(DF11-0.00499,0),LEFT(DF11,1)+(IF(DF11-LEFT(DF11,1)&lt;0.00499,0,IF(DF11-LEFT(DF11,1)-0.04499&lt;('1-Eng Inputs'!$C$39/'1-Eng Inputs'!$C$38),0.5,1))))</f>
        <v>5</v>
      </c>
      <c r="AA11" s="1478">
        <f>IF(LEFT(F11,3)-LEFT(F11,1)=0.5,'1-Eng Inputs'!$C$39,0)+LEFT(F11,1)*'1-Eng Inputs'!$C$38</f>
        <v>96</v>
      </c>
      <c r="AC11" s="1478">
        <f>IF(LEFT(H11,3)-LEFT(H11,1)=0.5,'1-Eng Inputs'!$C$39,0)+LEFT(H11,1)*'1-Eng Inputs'!$C$38</f>
        <v>192</v>
      </c>
      <c r="AE11" s="1478">
        <f>IF(LEFT(J11,3)-LEFT(J11,1)=0.5,'1-Eng Inputs'!$C$39,0)+LEFT(J11,1)*'1-Eng Inputs'!$C$38</f>
        <v>192</v>
      </c>
      <c r="AG11" s="1478">
        <f>IF(LEFT(L11,3)-LEFT(L11,1)=0.5,'1-Eng Inputs'!$C$39,0)+LEFT(L11,1)*'1-Eng Inputs'!$C$38</f>
        <v>192</v>
      </c>
      <c r="AI11" s="1478">
        <f>IF(LEFT(N11,3)-LEFT(N11,1)=0.5,'1-Eng Inputs'!$C$39,0)+LEFT(N11,1)*'1-Eng Inputs'!$C$38</f>
        <v>192</v>
      </c>
      <c r="AK11" s="1478">
        <f>IF(LEFT(P11,3)-LEFT(P11,1)=0.5,'1-Eng Inputs'!$C$39,0)+LEFT(P11,1)*'1-Eng Inputs'!$C$38</f>
        <v>192</v>
      </c>
      <c r="AM11" s="1478">
        <f>IF(LEFT(R11,3)-LEFT(R11,1)=0.5,'1-Eng Inputs'!$C$39,0)+LEFT(R11,1)*'1-Eng Inputs'!$C$38</f>
        <v>192</v>
      </c>
      <c r="AO11" s="1484">
        <f>IF(LEFT(T11,3)-LEFT(T11,1)=0.5,'1-Eng Inputs'!$C$39,0)+LEFT(T11,1)*'1-Eng Inputs'!$C$38</f>
        <v>160</v>
      </c>
      <c r="AQ11" s="1484">
        <f>IF(LEFT(V11,3)-LEFT(V11,1)=0.5,'1-Eng Inputs'!$C$39,0)+LEFT(V11,1)*'1-Eng Inputs'!$C$38</f>
        <v>160</v>
      </c>
      <c r="AV11" s="1506">
        <f>AV12*factors!$B$3</f>
        <v>2.6952301738855442</v>
      </c>
      <c r="AX11" s="1506">
        <f>AX12*factors!$B$3</f>
        <v>5.4811233000285009</v>
      </c>
      <c r="AZ11" s="1506">
        <f>AZ12*factors!$B$3</f>
        <v>5.5717862522859125</v>
      </c>
      <c r="BB11" s="1506">
        <f>BB12*factors!$B$3</f>
        <v>5.5717862522859125</v>
      </c>
      <c r="BD11" s="1506">
        <f>$BB11</f>
        <v>5.5717862522859125</v>
      </c>
      <c r="BF11" s="1506">
        <f>$BB11</f>
        <v>5.5717862522859125</v>
      </c>
      <c r="BH11" s="1506">
        <f>$BB11</f>
        <v>5.5717862522859125</v>
      </c>
      <c r="BJ11" s="1506">
        <f>BJ12*factors!$B$3</f>
        <v>4.6156740476898817</v>
      </c>
      <c r="BL11" s="1506">
        <f>BJ11</f>
        <v>4.6156740476898817</v>
      </c>
      <c r="BP11" s="1512">
        <v>0.2857142857142857</v>
      </c>
      <c r="BR11" s="1508">
        <v>0.2857142857142857</v>
      </c>
      <c r="BS11" s="1510">
        <v>0.33333333333333331</v>
      </c>
      <c r="BU11" s="1508">
        <v>0.33333333333333331</v>
      </c>
      <c r="BV11" s="1510">
        <v>0.33333333333333331</v>
      </c>
      <c r="BX11" s="1508">
        <v>0.33333333333333331</v>
      </c>
      <c r="BY11" s="1510">
        <v>0.33333333333333331</v>
      </c>
      <c r="CA11" s="1508">
        <v>0.33333333333333331</v>
      </c>
      <c r="CB11" s="1510">
        <v>0.33333333333333331</v>
      </c>
      <c r="CD11" s="1508">
        <v>0.33333333333333331</v>
      </c>
      <c r="CE11" s="1510">
        <v>0.33333333333333331</v>
      </c>
      <c r="CG11" s="1508">
        <v>0.33333333333333331</v>
      </c>
      <c r="CH11" s="1510">
        <v>0.33333333333333331</v>
      </c>
      <c r="CJ11" s="1508">
        <v>0.33333333333333331</v>
      </c>
      <c r="CK11" s="1510">
        <v>0.33333333333333331</v>
      </c>
      <c r="CP11" s="1478">
        <f>AV11</f>
        <v>2.6952301738855442</v>
      </c>
      <c r="CR11" s="1478">
        <f>AX11</f>
        <v>5.4811233000285009</v>
      </c>
      <c r="CT11" s="1478">
        <f>AZ11</f>
        <v>5.5717862522859125</v>
      </c>
      <c r="CV11" s="1478">
        <f>BB11</f>
        <v>5.5717862522859125</v>
      </c>
      <c r="CX11" s="1478">
        <f>BD11</f>
        <v>5.5717862522859125</v>
      </c>
      <c r="CZ11" s="1478">
        <f>BF11</f>
        <v>5.5717862522859125</v>
      </c>
      <c r="DB11" s="1478">
        <f>BH11</f>
        <v>5.5717862522859125</v>
      </c>
      <c r="DD11" s="1484">
        <f>BJ11</f>
        <v>4.6156740476898817</v>
      </c>
      <c r="DF11" s="1484">
        <f>DD11</f>
        <v>4.6156740476898817</v>
      </c>
    </row>
    <row r="12" spans="1:125" ht="12.75" hidden="1" customHeight="1">
      <c r="F12" s="1495"/>
      <c r="G12" s="353"/>
      <c r="H12" s="1495"/>
      <c r="I12" s="353"/>
      <c r="J12" s="1495"/>
      <c r="K12" s="353"/>
      <c r="L12" s="1495"/>
      <c r="M12" s="353"/>
      <c r="N12" s="1495"/>
      <c r="O12" s="353"/>
      <c r="P12" s="1495"/>
      <c r="Q12" s="353"/>
      <c r="R12" s="1495"/>
      <c r="S12" s="353"/>
      <c r="T12" s="1495"/>
      <c r="U12" s="353"/>
      <c r="V12" s="1495"/>
      <c r="AA12" s="1479"/>
      <c r="AB12" s="457">
        <f>CQ12-AB13</f>
        <v>0</v>
      </c>
      <c r="AC12" s="1479"/>
      <c r="AD12" s="457">
        <f>CS12-AD13</f>
        <v>0</v>
      </c>
      <c r="AE12" s="1479"/>
      <c r="AF12" s="457">
        <f>CU12-AF13</f>
        <v>0</v>
      </c>
      <c r="AG12" s="1479"/>
      <c r="AH12" s="457">
        <f>CW12-AH13</f>
        <v>0</v>
      </c>
      <c r="AI12" s="1479"/>
      <c r="AJ12" s="457">
        <f>CY12-AJ13</f>
        <v>0</v>
      </c>
      <c r="AK12" s="1479"/>
      <c r="AL12" s="457">
        <f>DA12-AL13</f>
        <v>0</v>
      </c>
      <c r="AM12" s="1479"/>
      <c r="AN12" s="457">
        <f>DC12-AN13</f>
        <v>0</v>
      </c>
      <c r="AO12" s="1485"/>
      <c r="AP12" s="457">
        <f>DE12-AP13</f>
        <v>0</v>
      </c>
      <c r="AQ12" s="1485"/>
      <c r="AV12" s="1507">
        <f>(BP11*AW13)/'1-Eng Inputs'!$C$38</f>
        <v>1.9251644099182461</v>
      </c>
      <c r="AX12" s="1507">
        <f>(BR11*AW13+AY13*BS11)/'1-Eng Inputs'!$C$38</f>
        <v>3.9150880714489293</v>
      </c>
      <c r="AZ12" s="1507">
        <f>(BU11*AY13+BA13*BV11)/'1-Eng Inputs'!$C$38</f>
        <v>3.979847323061366</v>
      </c>
      <c r="BB12" s="1507">
        <f>(BX11*BA13+BC13*BY11)/'1-Eng Inputs'!$C$38</f>
        <v>3.979847323061366</v>
      </c>
      <c r="BD12" s="1507">
        <f>$BB12</f>
        <v>3.979847323061366</v>
      </c>
      <c r="BF12" s="1507">
        <f>$BB12</f>
        <v>3.979847323061366</v>
      </c>
      <c r="BH12" s="1507">
        <f>$BB12</f>
        <v>3.979847323061366</v>
      </c>
      <c r="BJ12" s="1507">
        <f>(CJ11*BI13+BK13*CK11)/'1-Eng Inputs'!$C$38</f>
        <v>3.2969100340642017</v>
      </c>
      <c r="BL12" s="1507">
        <f>BJ12</f>
        <v>3.2969100340642017</v>
      </c>
      <c r="BP12" s="1513"/>
      <c r="BR12" s="1509"/>
      <c r="BS12" s="1511"/>
      <c r="BU12" s="1509"/>
      <c r="BV12" s="1511"/>
      <c r="BX12" s="1509"/>
      <c r="BY12" s="1511"/>
      <c r="CA12" s="1509"/>
      <c r="CB12" s="1511"/>
      <c r="CD12" s="1509"/>
      <c r="CE12" s="1511"/>
      <c r="CG12" s="1509"/>
      <c r="CH12" s="1511"/>
      <c r="CJ12" s="1509"/>
      <c r="CK12" s="1511"/>
      <c r="CP12" s="1479">
        <f>AV12</f>
        <v>1.9251644099182461</v>
      </c>
      <c r="CQ12" s="386">
        <f>AB13</f>
        <v>238.08155764750069</v>
      </c>
      <c r="CR12" s="1479">
        <f>AX12</f>
        <v>3.9150880714489293</v>
      </c>
      <c r="CS12" s="386">
        <f>AD13</f>
        <v>214.00146138653707</v>
      </c>
      <c r="CT12" s="1479">
        <f>AZ12</f>
        <v>3.979847323061366</v>
      </c>
      <c r="CU12" s="386">
        <f>AF13</f>
        <v>210.59624581352057</v>
      </c>
      <c r="CV12" s="1479">
        <f>BB12</f>
        <v>3.979847323061366</v>
      </c>
      <c r="CW12" s="386">
        <f>AH13</f>
        <v>210.59624581352057</v>
      </c>
      <c r="CX12" s="1479">
        <f>BD12</f>
        <v>3.979847323061366</v>
      </c>
      <c r="CY12" s="386">
        <f>AJ13</f>
        <v>210.59624581352057</v>
      </c>
      <c r="CZ12" s="1479">
        <f>BF12</f>
        <v>3.979847323061366</v>
      </c>
      <c r="DA12" s="386">
        <f>AL13</f>
        <v>210.59624581352057</v>
      </c>
      <c r="DB12" s="1479">
        <f>BH12</f>
        <v>3.979847323061366</v>
      </c>
      <c r="DC12" s="386">
        <f>AN13</f>
        <v>173.60525647724697</v>
      </c>
      <c r="DD12" s="1485">
        <f>BJ12</f>
        <v>3.2969100340642017</v>
      </c>
      <c r="DE12" s="386">
        <f>AP13</f>
        <v>172.75234418615869</v>
      </c>
      <c r="DF12" s="1485">
        <f>DD12</f>
        <v>3.2969100340642017</v>
      </c>
    </row>
    <row r="13" spans="1:125" ht="21" customHeight="1">
      <c r="D13" s="354" t="s">
        <v>234</v>
      </c>
      <c r="E13" s="353">
        <v>1</v>
      </c>
      <c r="F13" s="389"/>
      <c r="G13" s="378" t="s">
        <v>19454</v>
      </c>
      <c r="H13" s="389"/>
      <c r="I13" s="378" t="s">
        <v>19454</v>
      </c>
      <c r="J13" s="389"/>
      <c r="K13" s="378" t="s">
        <v>19454</v>
      </c>
      <c r="L13" s="389"/>
      <c r="M13" s="378" t="s">
        <v>19454</v>
      </c>
      <c r="N13" s="389"/>
      <c r="O13" s="378" t="s">
        <v>19454</v>
      </c>
      <c r="P13" s="389"/>
      <c r="Q13" s="378" t="s">
        <v>19454</v>
      </c>
      <c r="R13" s="389"/>
      <c r="S13" s="378" t="s">
        <v>19455</v>
      </c>
      <c r="T13" s="389"/>
      <c r="U13" s="378" t="s">
        <v>19455</v>
      </c>
      <c r="V13" s="390"/>
      <c r="W13" s="1426"/>
      <c r="Y13" s="354"/>
      <c r="AA13" s="389"/>
      <c r="AB13" s="458">
        <f>(AA11*(AW13*BP11/(AV12*'1-Eng Inputs'!$C$38))/factors!$B$3+AA14*(AW13*BP14/(AV14*'1-Eng Inputs'!$C$38))+AC11*(AW13*BR11/(AX12*'1-Eng Inputs'!$C$38))/factors!$B$3+AC14*(AW13*BR14/(AX14*'1-Eng Inputs'!$C$38)))</f>
        <v>238.08155764750069</v>
      </c>
      <c r="AC13" s="389"/>
      <c r="AD13" s="458">
        <f>(AC11*(AY13*BS11/(AX12*'1-Eng Inputs'!$C$38))/factors!$B$3+AC14*(AY13*BS14/(AX14*'1-Eng Inputs'!$C$38))+AE11*(AY13*BU11/(AZ12*'1-Eng Inputs'!$C$38))/factors!$B$3+AE14*(AY13*BU14/(AZ14*'1-Eng Inputs'!$C$38)))</f>
        <v>214.00146138653707</v>
      </c>
      <c r="AE13" s="389"/>
      <c r="AF13" s="458">
        <f>(AE11*(BA13*BV11/(AZ12*'1-Eng Inputs'!$C$38))/factors!$B$3+AE14*(BA13*BV14/(AZ14*'1-Eng Inputs'!$C$38))+AG11*(BA13*BX11/(BB12*'1-Eng Inputs'!$C$38))/factors!$B$3+AG14*(BA13*BX14/(BB14*'1-Eng Inputs'!$C$38)))</f>
        <v>210.59624581352057</v>
      </c>
      <c r="AG13" s="389"/>
      <c r="AH13" s="458">
        <f>(AG11*(BC13*BY11/(BB12*'1-Eng Inputs'!$C$38))/factors!$B$3+AG14*(BC13*BY14/(BB14*'1-Eng Inputs'!$C$38))+AI11*(BC13*CA11/(BD12*'1-Eng Inputs'!$C$38))/factors!$B$3+AI14*(BC13*CA14/(BD14*'1-Eng Inputs'!$C$38)))</f>
        <v>210.59624581352057</v>
      </c>
      <c r="AI13" s="389"/>
      <c r="AJ13" s="458">
        <f>(AI11*(BE13*CB11/(BD12*'1-Eng Inputs'!$C$38))/factors!$B$3+AI14*(BE13*CB14/(BD14*'1-Eng Inputs'!$C$38))+AK11*(BE13*CD11/(BF12*'1-Eng Inputs'!$C$38))/factors!$B$3+AK14*(BE13*CD14/(BF14*'1-Eng Inputs'!$C$38)))</f>
        <v>210.59624581352057</v>
      </c>
      <c r="AK13" s="389"/>
      <c r="AL13" s="458">
        <f>(AK11*(BG13*CE11/(BF12*'1-Eng Inputs'!$C$38))/factors!$B$3+AK14*(BG13*CE14/(BF14*'1-Eng Inputs'!$C$38))+AM11*(BG13*CG11/(BH12*'1-Eng Inputs'!$C$38))/factors!$B$3+AM14*(BG13*CG14/(BH14*'1-Eng Inputs'!$C$38)))</f>
        <v>210.59624581352057</v>
      </c>
      <c r="AM13" s="389"/>
      <c r="AN13" s="458">
        <f>(AM11*(BI13*CH11/(BH12*'1-Eng Inputs'!$C$38))/factors!$B$3+AM14*(BI13*CH14/(BH14*'1-Eng Inputs'!$C$38))+AO11*(BI13*CJ11/(BJ12*'1-Eng Inputs'!$C$38))/factors!$B$3+AO14*(BI13*CJ14/(BJ14*'1-Eng Inputs'!$C$38)))</f>
        <v>173.60525647724697</v>
      </c>
      <c r="AO13" s="389"/>
      <c r="AP13" s="458">
        <f>(AO11*(BK13*CH11/(BJ12*'1-Eng Inputs'!$C$38))/factors!$B$3+AO14*(BK13*CH14/(BJ14*'1-Eng Inputs'!$C$38))+AQ11*(BK13*CJ11/(BL12*'1-Eng Inputs'!$C$38))/factors!$B$3+AQ14*(BK13*CJ14/(BL14*'1-Eng Inputs'!$C$38)))</f>
        <v>172.75234418615869</v>
      </c>
      <c r="AQ13" s="390"/>
      <c r="AR13" s="1426"/>
      <c r="AT13" s="354" t="s">
        <v>234</v>
      </c>
      <c r="AU13" s="353">
        <v>1</v>
      </c>
      <c r="AW13" s="348">
        <f>'Port Calcs (lift)'!H6</f>
        <v>215.61841391084357</v>
      </c>
      <c r="AX13" s="375"/>
      <c r="AY13" s="348">
        <f>'Port Calcs (lift)'!I6</f>
        <v>191.03267150694558</v>
      </c>
      <c r="AZ13" s="375"/>
      <c r="BA13" s="348">
        <f>AY13</f>
        <v>191.03267150694558</v>
      </c>
      <c r="BB13" s="375"/>
      <c r="BC13" s="348">
        <f>$BA13</f>
        <v>191.03267150694558</v>
      </c>
      <c r="BD13" s="375"/>
      <c r="BE13" s="348">
        <f>$BA13</f>
        <v>191.03267150694558</v>
      </c>
      <c r="BF13" s="375"/>
      <c r="BG13" s="348">
        <f>$BA13</f>
        <v>191.03267150694558</v>
      </c>
      <c r="BH13" s="375"/>
      <c r="BI13" s="348">
        <f>'Port Calcs (lift)'!I11</f>
        <v>158.2516816350817</v>
      </c>
      <c r="BJ13" s="375"/>
      <c r="BK13" s="348">
        <f>BI13</f>
        <v>158.2516816350817</v>
      </c>
      <c r="BM13" s="1426"/>
      <c r="BQ13" s="381"/>
      <c r="BT13" s="381"/>
      <c r="BW13" s="381"/>
      <c r="BZ13" s="381"/>
      <c r="CC13" s="381"/>
      <c r="CF13" s="381"/>
      <c r="CI13" s="381"/>
      <c r="CN13" s="354" t="s">
        <v>234</v>
      </c>
      <c r="CO13" s="353">
        <v>1</v>
      </c>
      <c r="CP13" s="389"/>
      <c r="CQ13" s="388">
        <f>AW13</f>
        <v>215.61841391084357</v>
      </c>
      <c r="CR13" s="389"/>
      <c r="CS13" s="388">
        <f>AY13</f>
        <v>191.03267150694558</v>
      </c>
      <c r="CT13" s="389"/>
      <c r="CU13" s="388">
        <f>BA13</f>
        <v>191.03267150694558</v>
      </c>
      <c r="CV13" s="389"/>
      <c r="CW13" s="388">
        <f>BC13</f>
        <v>191.03267150694558</v>
      </c>
      <c r="CX13" s="389"/>
      <c r="CY13" s="388">
        <f>BE13</f>
        <v>191.03267150694558</v>
      </c>
      <c r="CZ13" s="389"/>
      <c r="DA13" s="388">
        <f>BG13</f>
        <v>191.03267150694558</v>
      </c>
      <c r="DB13" s="389"/>
      <c r="DC13" s="388">
        <f>BI13</f>
        <v>158.2516816350817</v>
      </c>
      <c r="DD13" s="389"/>
      <c r="DE13" s="388">
        <f>BK13</f>
        <v>158.2516816350817</v>
      </c>
      <c r="DF13" s="390"/>
      <c r="DG13" s="1426"/>
    </row>
    <row r="14" spans="1:125">
      <c r="F14" s="1494">
        <f>IF($P$4="NO",ROUNDUP(CP14-0.00499,0),LEFT(CP14,1)+(IF(CP14-LEFT(CP14,1)&lt;0.00499,0,IF(CP14-LEFT(CP14,1)-0.04499&lt;('1-Eng Inputs'!$C$39/'1-Eng Inputs'!$C$38),0.5,1))))</f>
        <v>4</v>
      </c>
      <c r="G14" s="353"/>
      <c r="H14" s="1494">
        <f>IF($P$4="NO",ROUNDUP(CR14-0.00499,0),LEFT(CR14,1)+(IF(CR14-LEFT(CR14,1)&lt;0.00499,0,IF(CR14-LEFT(CR14,1)-0.04499&lt;('1-Eng Inputs'!$C$39/'1-Eng Inputs'!$C$38),0.5,1))))</f>
        <v>5</v>
      </c>
      <c r="I14" s="353"/>
      <c r="J14" s="1494">
        <f>IF($P$4="NO",ROUNDUP(CT14-0.00499,0),LEFT(CT14,1)+(IF(CT14-LEFT(CT14,1)&lt;0.00499,0,IF(CT14-LEFT(CT14,1)-0.04499&lt;('1-Eng Inputs'!$C$39/'1-Eng Inputs'!$C$38),0.5,1))))</f>
        <v>5</v>
      </c>
      <c r="K14" s="353"/>
      <c r="L14" s="1494">
        <f>IF($P$4="NO",ROUNDUP(CV14-0.00499,0),LEFT(CV14,1)+(IF(CV14-LEFT(CV14,1)&lt;0.00499,0,IF(CV14-LEFT(CV14,1)-0.04499&lt;('1-Eng Inputs'!$C$39/'1-Eng Inputs'!$C$38),0.5,1))))</f>
        <v>5</v>
      </c>
      <c r="M14" s="353"/>
      <c r="N14" s="1494">
        <f>IF($P$4="NO",ROUNDUP(CX14-0.00499,0),LEFT(CX14,1)+(IF(CX14-LEFT(CX14,1)&lt;0.00499,0,IF(CX14-LEFT(CX14,1)-0.04499&lt;('1-Eng Inputs'!$C$39/'1-Eng Inputs'!$C$38),0.5,1))))</f>
        <v>5</v>
      </c>
      <c r="O14" s="353"/>
      <c r="P14" s="1494">
        <f>IF($P$4="NO",ROUNDUP(CZ14-0.00499,0),LEFT(CZ14,1)+(IF(CZ14-LEFT(CZ14,1)&lt;0.00499,0,IF(CZ14-LEFT(CZ14,1)-0.04499&lt;('1-Eng Inputs'!$C$39/'1-Eng Inputs'!$C$38),0.5,1))))</f>
        <v>5</v>
      </c>
      <c r="Q14" s="353"/>
      <c r="R14" s="1494">
        <f>IF($P$4="NO",ROUNDUP(DB14-0.00499,0),LEFT(DB14,1)+(IF(DB14-LEFT(DB14,1)&lt;0.00499,0,IF(DB14-LEFT(DB14,1)-0.04499&lt;('1-Eng Inputs'!$C$39/'1-Eng Inputs'!$C$38),0.5,1))))</f>
        <v>5</v>
      </c>
      <c r="S14" s="353"/>
      <c r="T14" s="1494">
        <f>IF($P$4="NO",ROUNDUP(DD14-0.00499,0),LEFT(DD14,1)+(IF(DD14-LEFT(DD14,1)&lt;0.00499,0,IF(DD14-LEFT(DD14,1)-0.04499&lt;('1-Eng Inputs'!$C$39/'1-Eng Inputs'!$C$38),0.5,1))))</f>
        <v>4</v>
      </c>
      <c r="U14" s="353"/>
      <c r="V14" s="1494">
        <f>IF($P$4="NO",ROUNDUP(DF14-0.00499,0),LEFT(DF14,1)+(IF(DF14-LEFT(DF14,1)&lt;0.00499,0,IF(DF14-LEFT(DF14,1)-0.04499&lt;('1-Eng Inputs'!$C$39/'1-Eng Inputs'!$C$38),0.5,1))))</f>
        <v>4</v>
      </c>
      <c r="AA14" s="1478">
        <f>IF(LEFT(F14,3)-LEFT(F14,1)=0.5,'1-Eng Inputs'!$C$39,0)+LEFT(F14,1)*'1-Eng Inputs'!$C$38</f>
        <v>128</v>
      </c>
      <c r="AC14" s="1478">
        <f>IF(LEFT(H14,3)-LEFT(H14,1)=0.5,'1-Eng Inputs'!$C$39,0)+LEFT(H14,1)*'1-Eng Inputs'!$C$38</f>
        <v>160</v>
      </c>
      <c r="AE14" s="1478">
        <f>IF(LEFT(J14,3)-LEFT(J14,1)=0.5,'1-Eng Inputs'!$C$39,0)+LEFT(J14,1)*'1-Eng Inputs'!$C$38</f>
        <v>160</v>
      </c>
      <c r="AG14" s="1478">
        <f>IF(LEFT(L14,3)-LEFT(L14,1)=0.5,'1-Eng Inputs'!$C$39,0)+LEFT(L14,1)*'1-Eng Inputs'!$C$38</f>
        <v>160</v>
      </c>
      <c r="AI14" s="1478">
        <f>IF(LEFT(N14,3)-LEFT(N14,1)=0.5,'1-Eng Inputs'!$C$39,0)+LEFT(N14,1)*'1-Eng Inputs'!$C$38</f>
        <v>160</v>
      </c>
      <c r="AK14" s="1478">
        <f>IF(LEFT(P14,3)-LEFT(P14,1)=0.5,'1-Eng Inputs'!$C$39,0)+LEFT(P14,1)*'1-Eng Inputs'!$C$38</f>
        <v>160</v>
      </c>
      <c r="AM14" s="1478">
        <f>IF(LEFT(R14,3)-LEFT(R14,1)=0.5,'1-Eng Inputs'!$C$39,0)+LEFT(R14,1)*'1-Eng Inputs'!$C$38</f>
        <v>160</v>
      </c>
      <c r="AO14" s="1484">
        <f>IF(LEFT(T14,3)-LEFT(T14,1)=0.5,'1-Eng Inputs'!$C$39,0)+LEFT(T14,1)*'1-Eng Inputs'!$C$38</f>
        <v>128</v>
      </c>
      <c r="AQ14" s="1484">
        <f>IF(LEFT(V14,3)-LEFT(V14,1)=0.5,'1-Eng Inputs'!$C$39,0)+LEFT(V14,1)*'1-Eng Inputs'!$C$38</f>
        <v>128</v>
      </c>
      <c r="AV14" s="1506">
        <f>(BP14*AW13+AW16*BP15)/'1-Eng Inputs'!$C$38</f>
        <v>3.829720910324284</v>
      </c>
      <c r="AX14" s="1506">
        <f>(AW13*BR14+AY13*BS14+AW16*BR15+AY16*BS15)/'1-Eng Inputs'!$C$38</f>
        <v>4.0821381778580745</v>
      </c>
      <c r="AZ14" s="1506">
        <f>(AY13*BU14+BA13*BV14+AY16*BU15+BA16*BV15)/'1-Eng Inputs'!$C$38</f>
        <v>4.3345554453918655</v>
      </c>
      <c r="BB14" s="1506">
        <f>(BA13*BX14+BC13*BY14+BA16*BX15+BC16*BY15)/'1-Eng Inputs'!$C$38</f>
        <v>4.3345554453918655</v>
      </c>
      <c r="BD14" s="1506">
        <f>$BB14</f>
        <v>4.3345554453918655</v>
      </c>
      <c r="BF14" s="1506">
        <f>$BB14</f>
        <v>4.3345554453918655</v>
      </c>
      <c r="BH14" s="1506">
        <f>$BB14</f>
        <v>4.3345554453918655</v>
      </c>
      <c r="BJ14" s="1506">
        <f>(BI13*CJ14+BK13*CK14+BI16*CJ15+BK16*CK15)/'1-Eng Inputs'!$C$38</f>
        <v>3.6089345758323774</v>
      </c>
      <c r="BL14" s="1506">
        <f>BJ14</f>
        <v>3.6089345758323774</v>
      </c>
      <c r="BP14" s="1512">
        <v>0.2857142857142857</v>
      </c>
      <c r="BR14" s="1508">
        <v>0.14285714285714285</v>
      </c>
      <c r="BS14" s="1510">
        <v>0.16666666666666666</v>
      </c>
      <c r="BU14" s="1508">
        <v>0.16666666666666666</v>
      </c>
      <c r="BV14" s="1510">
        <v>0.16666666666666666</v>
      </c>
      <c r="BX14" s="1508">
        <v>0.16666666666666666</v>
      </c>
      <c r="BY14" s="1510">
        <v>0.16666666666666666</v>
      </c>
      <c r="CA14" s="1508">
        <v>0.16666666666666666</v>
      </c>
      <c r="CB14" s="1510">
        <v>0.16666666666666666</v>
      </c>
      <c r="CD14" s="1508">
        <v>0.16666666666666666</v>
      </c>
      <c r="CE14" s="1510">
        <v>0.16666666666666666</v>
      </c>
      <c r="CG14" s="1508">
        <v>0.16666666666666666</v>
      </c>
      <c r="CH14" s="1510">
        <v>0.16666666666666666</v>
      </c>
      <c r="CJ14" s="1508">
        <v>0.16666666666666666</v>
      </c>
      <c r="CK14" s="1510">
        <v>0.16666666666666666</v>
      </c>
      <c r="CP14" s="1478">
        <f>AV14</f>
        <v>3.829720910324284</v>
      </c>
      <c r="CR14" s="1478">
        <f>AX14</f>
        <v>4.0821381778580745</v>
      </c>
      <c r="CT14" s="1478">
        <f>AZ14</f>
        <v>4.3345554453918655</v>
      </c>
      <c r="CV14" s="1478">
        <f>BB14</f>
        <v>4.3345554453918655</v>
      </c>
      <c r="CX14" s="1478">
        <f>BD14</f>
        <v>4.3345554453918655</v>
      </c>
      <c r="CZ14" s="1478">
        <f>BF14</f>
        <v>4.3345554453918655</v>
      </c>
      <c r="DB14" s="1478">
        <f>BH14</f>
        <v>4.3345554453918655</v>
      </c>
      <c r="DD14" s="1484">
        <f>BJ14</f>
        <v>3.6089345758323774</v>
      </c>
      <c r="DF14" s="1484">
        <f>DD14</f>
        <v>3.6089345758323774</v>
      </c>
    </row>
    <row r="15" spans="1:125" ht="12.75" hidden="1" customHeight="1">
      <c r="F15" s="1495"/>
      <c r="G15" s="353"/>
      <c r="H15" s="1495"/>
      <c r="I15" s="353"/>
      <c r="J15" s="1495"/>
      <c r="K15" s="353"/>
      <c r="L15" s="1495"/>
      <c r="M15" s="353"/>
      <c r="N15" s="1495"/>
      <c r="O15" s="353"/>
      <c r="P15" s="1495"/>
      <c r="Q15" s="353"/>
      <c r="R15" s="1495"/>
      <c r="S15" s="353"/>
      <c r="T15" s="1495"/>
      <c r="U15" s="353"/>
      <c r="V15" s="1495"/>
      <c r="AA15" s="1479"/>
      <c r="AB15" s="457">
        <f>CQ15-AB16</f>
        <v>0</v>
      </c>
      <c r="AC15" s="1479"/>
      <c r="AD15" s="457">
        <f>CS15-AD16</f>
        <v>0</v>
      </c>
      <c r="AE15" s="1479"/>
      <c r="AF15" s="457">
        <f>CU15-AF16</f>
        <v>0</v>
      </c>
      <c r="AG15" s="1479"/>
      <c r="AH15" s="457">
        <f>CW15-AH16</f>
        <v>0</v>
      </c>
      <c r="AI15" s="1479"/>
      <c r="AJ15" s="457">
        <f>CY15-AJ16</f>
        <v>0</v>
      </c>
      <c r="AK15" s="1479"/>
      <c r="AL15" s="457">
        <f>DA15-AL16</f>
        <v>0</v>
      </c>
      <c r="AM15" s="1479"/>
      <c r="AN15" s="457">
        <f>DC15-AN16</f>
        <v>0</v>
      </c>
      <c r="AO15" s="1485"/>
      <c r="AP15" s="457">
        <f>DE15-AP16</f>
        <v>0</v>
      </c>
      <c r="AQ15" s="1485"/>
      <c r="AV15" s="1507"/>
      <c r="AX15" s="1507"/>
      <c r="AZ15" s="1507"/>
      <c r="BB15" s="1507"/>
      <c r="BD15" s="1507"/>
      <c r="BF15" s="1507"/>
      <c r="BH15" s="1507"/>
      <c r="BJ15" s="1507"/>
      <c r="BL15" s="1507"/>
      <c r="BP15" s="1513">
        <v>0.33333333333333331</v>
      </c>
      <c r="BR15" s="1509">
        <v>0.16666666666666666</v>
      </c>
      <c r="BS15" s="1511">
        <v>0.25</v>
      </c>
      <c r="BU15" s="1509">
        <v>0.25</v>
      </c>
      <c r="BV15" s="1511">
        <v>0.25</v>
      </c>
      <c r="BX15" s="1509">
        <v>0.25</v>
      </c>
      <c r="BY15" s="1511">
        <v>0.25</v>
      </c>
      <c r="CA15" s="1509">
        <v>0.25</v>
      </c>
      <c r="CB15" s="1511">
        <v>0.25</v>
      </c>
      <c r="CD15" s="1509">
        <v>0.25</v>
      </c>
      <c r="CE15" s="1511">
        <v>0.25</v>
      </c>
      <c r="CG15" s="1509">
        <v>0.25</v>
      </c>
      <c r="CH15" s="1511">
        <v>0.25</v>
      </c>
      <c r="CJ15" s="1509">
        <v>0.25</v>
      </c>
      <c r="CK15" s="1511">
        <v>0.25</v>
      </c>
      <c r="CP15" s="1479"/>
      <c r="CQ15" s="386">
        <f>AB16</f>
        <v>200.83762134413831</v>
      </c>
      <c r="CR15" s="1479"/>
      <c r="CS15" s="386">
        <f>AD16</f>
        <v>173.3650739075382</v>
      </c>
      <c r="CT15" s="1479"/>
      <c r="CU15" s="386">
        <f>AF16</f>
        <v>166.54661132933657</v>
      </c>
      <c r="CV15" s="1479"/>
      <c r="CW15" s="386">
        <f>AH16</f>
        <v>166.54661132933657</v>
      </c>
      <c r="CX15" s="1479"/>
      <c r="CY15" s="386">
        <f>AJ16</f>
        <v>166.54661132933657</v>
      </c>
      <c r="CZ15" s="1479"/>
      <c r="DA15" s="386">
        <f>AL16</f>
        <v>166.54661132933657</v>
      </c>
      <c r="DB15" s="1479"/>
      <c r="DC15" s="386">
        <f>AN16</f>
        <v>136.39621693322653</v>
      </c>
      <c r="DD15" s="1485"/>
      <c r="DE15" s="386">
        <f>AP16</f>
        <v>133.53337009955561</v>
      </c>
      <c r="DF15" s="1485"/>
    </row>
    <row r="16" spans="1:125" ht="21" customHeight="1">
      <c r="D16" s="355"/>
      <c r="E16" s="353">
        <v>2</v>
      </c>
      <c r="F16" s="389"/>
      <c r="G16" s="378" t="s">
        <v>19454</v>
      </c>
      <c r="H16" s="389"/>
      <c r="I16" s="378" t="s">
        <v>19454</v>
      </c>
      <c r="J16" s="389"/>
      <c r="K16" s="378" t="s">
        <v>19454</v>
      </c>
      <c r="L16" s="389"/>
      <c r="M16" s="378" t="s">
        <v>19454</v>
      </c>
      <c r="N16" s="389"/>
      <c r="O16" s="378" t="s">
        <v>19454</v>
      </c>
      <c r="P16" s="389"/>
      <c r="Q16" s="378" t="s">
        <v>19454</v>
      </c>
      <c r="R16" s="389"/>
      <c r="S16" s="378" t="s">
        <v>19455</v>
      </c>
      <c r="T16" s="389"/>
      <c r="U16" s="378" t="s">
        <v>19455</v>
      </c>
      <c r="V16" s="390"/>
      <c r="W16" s="1426"/>
      <c r="Y16" s="355"/>
      <c r="AA16" s="389"/>
      <c r="AB16" s="458">
        <f>(AA14*(AW16*BP15/(AV14*'1-Eng Inputs'!$C$38))+AA17*(AW16*BP17/(AV17*'1-Eng Inputs'!$C$38))+AC14*(AW16*BR15/(AX14*'1-Eng Inputs'!$C$38))+AC17*(AW16*BR17/(AX17*'1-Eng Inputs'!$C$38)))</f>
        <v>200.83762134413831</v>
      </c>
      <c r="AC16" s="389"/>
      <c r="AD16" s="458">
        <f>(AC14*(AY16*BS15/(AX14*'1-Eng Inputs'!$C$38))+AC17*(AY16*BS17/(AX17*'1-Eng Inputs'!$C$38))+AE14*(AY16*BU15/(AZ14*'1-Eng Inputs'!$C$38))+AE17*(AY16*BU17/(AZ17*'1-Eng Inputs'!$C$38)))</f>
        <v>173.3650739075382</v>
      </c>
      <c r="AE16" s="389"/>
      <c r="AF16" s="458">
        <f>(AE14*(BA16*BV15/(AZ14*'1-Eng Inputs'!$C$38))+AE17*(BA16*BV17/(AZ17*'1-Eng Inputs'!$C$38))+AG14*(BA16*BX15/(BB14*'1-Eng Inputs'!$C$38))+AG17*(BA16*BX17/(BB17*'1-Eng Inputs'!$C$38)))</f>
        <v>166.54661132933657</v>
      </c>
      <c r="AG16" s="389"/>
      <c r="AH16" s="458">
        <f>(AG14*(BC16*BY15/(BB14*'1-Eng Inputs'!$C$38))+AG17*(BC16*BY17/(BB17*'1-Eng Inputs'!$C$38))+AI14*(BC16*CA15/(BD14*'1-Eng Inputs'!$C$38))+AI17*(BC16*CA17/(BD17*'1-Eng Inputs'!$C$38)))</f>
        <v>166.54661132933657</v>
      </c>
      <c r="AI16" s="389"/>
      <c r="AJ16" s="458">
        <f>(AI14*(BE16*CB15/(BD14*'1-Eng Inputs'!$C$38))+AI17*(BE16*CB17/(BD17*'1-Eng Inputs'!$C$38))+AK14*(BE16*CD15/(BF14*'1-Eng Inputs'!$C$38))+AK17*(BE16*CD17/(BF17*'1-Eng Inputs'!$C$38)))</f>
        <v>166.54661132933657</v>
      </c>
      <c r="AK16" s="389"/>
      <c r="AL16" s="458">
        <f>(AK14*(BG16*CE15/(BF14*'1-Eng Inputs'!$C$38))+AK17*(BG16*CE17/(BF17*'1-Eng Inputs'!$C$38))+AM14*(BG16*CG15/(BH14*'1-Eng Inputs'!$C$38))+AM17*(BG16*CG17/(BH17*'1-Eng Inputs'!$C$38)))</f>
        <v>166.54661132933657</v>
      </c>
      <c r="AM16" s="389"/>
      <c r="AN16" s="458">
        <f>(AM14*(BI16*CH15/(BH14*'1-Eng Inputs'!$C$38))+AM17*(BI16*CH17/(BH17*'1-Eng Inputs'!$C$38))+AO14*(BI16*CJ15/(BJ14*'1-Eng Inputs'!$C$38))+AO17*(BI16*CJ17/(BJ17*'1-Eng Inputs'!$C$38)))</f>
        <v>136.39621693322653</v>
      </c>
      <c r="AO16" s="389"/>
      <c r="AP16" s="458">
        <f>(AO14*(BK16*CH15/(BJ14*'1-Eng Inputs'!$C$38))+AO17*(BK16*CH17/(BJ17*'1-Eng Inputs'!$C$38))+AQ14*(BK16*CJ15/(BL14*'1-Eng Inputs'!$C$38))+AQ17*(BK16*CJ17/(BL17*'1-Eng Inputs'!$C$38)))</f>
        <v>133.53337009955561</v>
      </c>
      <c r="AQ16" s="390"/>
      <c r="AR16" s="1426"/>
      <c r="AT16" s="355"/>
      <c r="AU16" s="353">
        <v>2</v>
      </c>
      <c r="AW16" s="348">
        <f>'Port Calcs (lift)'!J6</f>
        <v>182.83742403897963</v>
      </c>
      <c r="AX16" s="375"/>
      <c r="AY16" s="348">
        <f>'Port Calcs (lift)'!K6</f>
        <v>150.05643416711567</v>
      </c>
      <c r="AZ16" s="375"/>
      <c r="BA16" s="348">
        <f>AY16</f>
        <v>150.05643416711567</v>
      </c>
      <c r="BB16" s="375"/>
      <c r="BC16" s="348">
        <f>$BA16</f>
        <v>150.05643416711567</v>
      </c>
      <c r="BD16" s="375"/>
      <c r="BE16" s="348">
        <f>$BA16</f>
        <v>150.05643416711567</v>
      </c>
      <c r="BF16" s="375"/>
      <c r="BG16" s="348">
        <f>$BA16</f>
        <v>150.05643416711567</v>
      </c>
      <c r="BH16" s="375"/>
      <c r="BI16" s="348">
        <f>'Port Calcs (lift)'!K11</f>
        <v>125.4706917632177</v>
      </c>
      <c r="BJ16" s="375"/>
      <c r="BK16" s="348">
        <f>BI16</f>
        <v>125.4706917632177</v>
      </c>
      <c r="BM16" s="1426"/>
      <c r="BQ16" s="381"/>
      <c r="BT16" s="381"/>
      <c r="BW16" s="381"/>
      <c r="BZ16" s="381"/>
      <c r="CC16" s="381"/>
      <c r="CF16" s="381"/>
      <c r="CI16" s="381"/>
      <c r="CN16" s="355"/>
      <c r="CO16" s="353">
        <v>2</v>
      </c>
      <c r="CP16" s="389"/>
      <c r="CQ16" s="388">
        <f>AW16</f>
        <v>182.83742403897963</v>
      </c>
      <c r="CR16" s="389"/>
      <c r="CS16" s="388">
        <f>AY16</f>
        <v>150.05643416711567</v>
      </c>
      <c r="CT16" s="389"/>
      <c r="CU16" s="388">
        <f>BA16</f>
        <v>150.05643416711567</v>
      </c>
      <c r="CV16" s="389"/>
      <c r="CW16" s="388">
        <f>BC16</f>
        <v>150.05643416711567</v>
      </c>
      <c r="CX16" s="389"/>
      <c r="CY16" s="388">
        <f>BE16</f>
        <v>150.05643416711567</v>
      </c>
      <c r="CZ16" s="389"/>
      <c r="DA16" s="388">
        <f>BG16</f>
        <v>150.05643416711567</v>
      </c>
      <c r="DB16" s="389"/>
      <c r="DC16" s="388">
        <f>BI16</f>
        <v>125.4706917632177</v>
      </c>
      <c r="DD16" s="389"/>
      <c r="DE16" s="388">
        <f>BK16</f>
        <v>125.4706917632177</v>
      </c>
      <c r="DF16" s="390"/>
      <c r="DG16" s="1426"/>
    </row>
    <row r="17" spans="4:111">
      <c r="F17" s="1494">
        <f>IF($P$4="NO",ROUNDUP(CP17-0.00499,0),LEFT(CP17,1)+(IF(CP17-LEFT(CP17,1)&lt;0.00499,0,IF(CP17-LEFT(CP17,1)-0.04499&lt;('1-Eng Inputs'!$C$39/'1-Eng Inputs'!$C$38),0.5,1))))</f>
        <v>4</v>
      </c>
      <c r="G17" s="353"/>
      <c r="H17" s="1494">
        <f>IF($P$4="NO",ROUNDUP(CR17-0.00499,0),LEFT(CR17,1)+(IF(CR17-LEFT(CR17,1)&lt;0.00499,0,IF(CR17-LEFT(CR17,1)-0.04499&lt;('1-Eng Inputs'!$C$39/'1-Eng Inputs'!$C$38),0.5,1))))</f>
        <v>5</v>
      </c>
      <c r="I17" s="353"/>
      <c r="J17" s="1494">
        <f>IF($P$4="NO",ROUNDUP(CT17-0.00499,0),LEFT(CT17,1)+(IF(CT17-LEFT(CT17,1)&lt;0.00499,0,IF(CT17-LEFT(CT17,1)-0.04499&lt;('1-Eng Inputs'!$C$39/'1-Eng Inputs'!$C$38),0.5,1))))</f>
        <v>5</v>
      </c>
      <c r="K17" s="353"/>
      <c r="L17" s="1494">
        <f>IF($P$4="NO",ROUNDUP(CV17-0.00499,0),LEFT(CV17,1)+(IF(CV17-LEFT(CV17,1)&lt;0.00499,0,IF(CV17-LEFT(CV17,1)-0.04499&lt;('1-Eng Inputs'!$C$39/'1-Eng Inputs'!$C$38),0.5,1))))</f>
        <v>5</v>
      </c>
      <c r="M17" s="353"/>
      <c r="N17" s="1494">
        <f>IF($P$4="NO",ROUNDUP(CX17-0.00499,0),LEFT(CX17,1)+(IF(CX17-LEFT(CX17,1)&lt;0.00499,0,IF(CX17-LEFT(CX17,1)-0.04499&lt;('1-Eng Inputs'!$C$39/'1-Eng Inputs'!$C$38),0.5,1))))</f>
        <v>5</v>
      </c>
      <c r="O17" s="353"/>
      <c r="P17" s="1494">
        <f>IF($P$4="NO",ROUNDUP(CZ17-0.00499,0),LEFT(CZ17,1)+(IF(CZ17-LEFT(CZ17,1)&lt;0.00499,0,IF(CZ17-LEFT(CZ17,1)-0.04499&lt;('1-Eng Inputs'!$C$39/'1-Eng Inputs'!$C$38),0.5,1))))</f>
        <v>5</v>
      </c>
      <c r="Q17" s="353"/>
      <c r="R17" s="1494">
        <f>IF($P$4="NO",ROUNDUP(DB17-0.00499,0),LEFT(DB17,1)+(IF(DB17-LEFT(DB17,1)&lt;0.00499,0,IF(DB17-LEFT(DB17,1)-0.04499&lt;('1-Eng Inputs'!$C$39/'1-Eng Inputs'!$C$38),0.5,1))))</f>
        <v>5</v>
      </c>
      <c r="S17" s="353"/>
      <c r="T17" s="1494">
        <f>MAX(0,IF($P$4="NO",ROUNDUP(DD17-0.00499,0),LEFT(DD17,1)+IF(DD17-LEFT(DD17,1)&lt;0.00499,0,IF(DD17-LEFT(DD17,1)-0.04499&lt;('1-Eng Inputs'!$C$39/'1-Eng Inputs'!$C$38),0.5,1))))</f>
        <v>4</v>
      </c>
      <c r="U17" s="353"/>
      <c r="V17" s="1494">
        <f>MAX(0,IF($P$4="NO",ROUNDUP(DF17-0.00499,0),LEFT(DF17,1)+IF(DF17-LEFT(DF17,1)&lt;0.00499,0,IF(DF17-LEFT(DF17,1)-0.04499&lt;('1-Eng Inputs'!$C$39/'1-Eng Inputs'!$C$38),0.5,1))))</f>
        <v>4</v>
      </c>
      <c r="AA17" s="1478">
        <f>IF(LEFT(F17,3)-LEFT(F17,1)=0.5,'1-Eng Inputs'!$C$39,0)+LEFT(F17,1)*'1-Eng Inputs'!$C$38</f>
        <v>128</v>
      </c>
      <c r="AC17" s="1478">
        <f>IF(LEFT(H17,3)-LEFT(H17,1)=0.5,'1-Eng Inputs'!$C$39,0)+LEFT(H17,1)*'1-Eng Inputs'!$C$38</f>
        <v>160</v>
      </c>
      <c r="AE17" s="1478">
        <f>IF(LEFT(J17,3)-LEFT(J17,1)=0.5,'1-Eng Inputs'!$C$39,0)+LEFT(J17,1)*'1-Eng Inputs'!$C$38</f>
        <v>160</v>
      </c>
      <c r="AG17" s="1478">
        <f>IF(LEFT(L17,3)-LEFT(L17,1)=0.5,'1-Eng Inputs'!$C$39,0)+LEFT(L17,1)*'1-Eng Inputs'!$C$38</f>
        <v>160</v>
      </c>
      <c r="AI17" s="1478">
        <f>IF(LEFT(N17,3)-LEFT(N17,1)=0.5,'1-Eng Inputs'!$C$39,0)+LEFT(N17,1)*'1-Eng Inputs'!$C$38</f>
        <v>160</v>
      </c>
      <c r="AK17" s="1478">
        <f>IF(LEFT(P17,3)-LEFT(P17,1)=0.5,'1-Eng Inputs'!$C$39,0)+LEFT(P17,1)*'1-Eng Inputs'!$C$38</f>
        <v>160</v>
      </c>
      <c r="AM17" s="1478">
        <f>IF(LEFT(R17,3)-LEFT(R17,1)=0.5,'1-Eng Inputs'!$C$39,0)+LEFT(R17,1)*'1-Eng Inputs'!$C$38</f>
        <v>160</v>
      </c>
      <c r="AO17" s="1484">
        <f>IF(LEFT(T17,3)-LEFT(T17,1)=0.5,'1-Eng Inputs'!$C$39,0)+LEFT(T17,1)*'1-Eng Inputs'!$C$38</f>
        <v>128</v>
      </c>
      <c r="AQ17" s="1484">
        <f>IF(LEFT(V17,3)-LEFT(V17,1)=0.5,'1-Eng Inputs'!$C$39,0)+LEFT(V17,1)*'1-Eng Inputs'!$C$38</f>
        <v>128</v>
      </c>
      <c r="AV17" s="1506">
        <f>(BP17*AW16+AW19*BP18)/'1-Eng Inputs'!$C$38</f>
        <v>3.8091130008120757</v>
      </c>
      <c r="AX17" s="1506">
        <f>(AW16*BR17+AY16*BS17+AW19*BR18+AY19*BS18)/'1-Eng Inputs'!$C$38</f>
        <v>4.2491882842672197</v>
      </c>
      <c r="AZ17" s="1506">
        <f>(AY16*BU17+BA16*BV17+AY19*BU18+BA19*BV18)/'1-Eng Inputs'!$C$38</f>
        <v>4.6892635677223646</v>
      </c>
      <c r="BB17" s="1506">
        <f>(BA16*BX17+BC16*BY17+BA19*BX18+BC19*BY18)/'1-Eng Inputs'!$C$38</f>
        <v>4.6892635677223646</v>
      </c>
      <c r="BD17" s="1506">
        <f>$BB17</f>
        <v>4.6892635677223646</v>
      </c>
      <c r="BF17" s="1506">
        <f>$BB17</f>
        <v>4.6892635677223646</v>
      </c>
      <c r="BH17" s="1506">
        <f>$BB17</f>
        <v>4.6892635677223646</v>
      </c>
      <c r="BJ17" s="1506">
        <f>(BI16*CJ17+BK16*CK17+BI19*CJ18+BK19*CK18)/'1-Eng Inputs'!$C$38</f>
        <v>3.9209591176005532</v>
      </c>
      <c r="BL17" s="1506">
        <f>BJ17</f>
        <v>3.9209591176005532</v>
      </c>
      <c r="BP17" s="1512">
        <v>0.33333333333333331</v>
      </c>
      <c r="BR17" s="1508">
        <v>0.16666666666666666</v>
      </c>
      <c r="BS17" s="1510">
        <v>0.25</v>
      </c>
      <c r="BU17" s="1508">
        <v>0.25</v>
      </c>
      <c r="BV17" s="1510">
        <v>0.25</v>
      </c>
      <c r="BX17" s="1508">
        <v>0.25</v>
      </c>
      <c r="BY17" s="1510">
        <v>0.25</v>
      </c>
      <c r="CA17" s="1508">
        <v>0.25</v>
      </c>
      <c r="CB17" s="1510">
        <v>0.25</v>
      </c>
      <c r="CD17" s="1508">
        <v>0.25</v>
      </c>
      <c r="CE17" s="1510">
        <v>0.25</v>
      </c>
      <c r="CG17" s="1508">
        <v>0.25</v>
      </c>
      <c r="CH17" s="1510">
        <v>0.25</v>
      </c>
      <c r="CJ17" s="1508">
        <v>0.25</v>
      </c>
      <c r="CK17" s="1510">
        <v>0.25</v>
      </c>
      <c r="CP17" s="1478">
        <f>AV17</f>
        <v>3.8091130008120757</v>
      </c>
      <c r="CR17" s="1478">
        <f>AX17</f>
        <v>4.2491882842672197</v>
      </c>
      <c r="CT17" s="1478">
        <f>AZ17</f>
        <v>4.6892635677223646</v>
      </c>
      <c r="CV17" s="1478">
        <f>BB17</f>
        <v>4.6892635677223646</v>
      </c>
      <c r="CX17" s="1478">
        <f>BD17</f>
        <v>4.6892635677223646</v>
      </c>
      <c r="CZ17" s="1478">
        <f>BF17</f>
        <v>4.6892635677223646</v>
      </c>
      <c r="DB17" s="1478">
        <f>BH17</f>
        <v>4.6892635677223646</v>
      </c>
      <c r="DD17" s="1484">
        <f>BJ17</f>
        <v>3.9209591176005532</v>
      </c>
      <c r="DF17" s="1484">
        <f>DD17</f>
        <v>3.9209591176005532</v>
      </c>
    </row>
    <row r="18" spans="4:111" ht="12.75" hidden="1" customHeight="1">
      <c r="F18" s="1495"/>
      <c r="G18" s="353"/>
      <c r="H18" s="1495"/>
      <c r="I18" s="353"/>
      <c r="J18" s="1495"/>
      <c r="K18" s="353"/>
      <c r="L18" s="1495"/>
      <c r="M18" s="353"/>
      <c r="N18" s="1495"/>
      <c r="O18" s="353"/>
      <c r="P18" s="1495"/>
      <c r="Q18" s="353"/>
      <c r="R18" s="1495"/>
      <c r="S18" s="353"/>
      <c r="T18" s="1495"/>
      <c r="U18" s="353"/>
      <c r="V18" s="1495"/>
      <c r="AA18" s="1479"/>
      <c r="AB18" s="457">
        <f>CQ18-AB19</f>
        <v>0</v>
      </c>
      <c r="AC18" s="1479"/>
      <c r="AD18" s="457">
        <f>CS18-AD19</f>
        <v>0</v>
      </c>
      <c r="AE18" s="1479"/>
      <c r="AF18" s="457">
        <f>CU18-AF19</f>
        <v>0</v>
      </c>
      <c r="AG18" s="1479"/>
      <c r="AH18" s="457">
        <f>CW18-AH19</f>
        <v>0</v>
      </c>
      <c r="AI18" s="1479"/>
      <c r="AJ18" s="457">
        <f>CY18-AJ19</f>
        <v>0</v>
      </c>
      <c r="AK18" s="1479"/>
      <c r="AL18" s="457">
        <f>DA18-AL19</f>
        <v>0</v>
      </c>
      <c r="AM18" s="1479"/>
      <c r="AN18" s="457">
        <f>DC18-AN19</f>
        <v>0</v>
      </c>
      <c r="AO18" s="1485"/>
      <c r="AP18" s="457">
        <f>DE18-AP19</f>
        <v>0</v>
      </c>
      <c r="AQ18" s="1485"/>
      <c r="AV18" s="1507"/>
      <c r="AX18" s="1507"/>
      <c r="AZ18" s="1507"/>
      <c r="BB18" s="1507"/>
      <c r="BD18" s="1507"/>
      <c r="BF18" s="1507"/>
      <c r="BH18" s="1507"/>
      <c r="BJ18" s="1507"/>
      <c r="BL18" s="1507"/>
      <c r="BP18" s="1513">
        <v>0.33333333333333331</v>
      </c>
      <c r="BR18" s="1509">
        <v>0.16666666666666666</v>
      </c>
      <c r="BS18" s="1511">
        <v>0.25</v>
      </c>
      <c r="BU18" s="1509">
        <v>0.25</v>
      </c>
      <c r="BV18" s="1511">
        <v>0.25</v>
      </c>
      <c r="BX18" s="1509">
        <v>0.25</v>
      </c>
      <c r="BY18" s="1511">
        <v>0.25</v>
      </c>
      <c r="CA18" s="1509">
        <v>0.25</v>
      </c>
      <c r="CB18" s="1511">
        <v>0.25</v>
      </c>
      <c r="CD18" s="1509">
        <v>0.25</v>
      </c>
      <c r="CE18" s="1511">
        <v>0.25</v>
      </c>
      <c r="CG18" s="1509">
        <v>0.25</v>
      </c>
      <c r="CH18" s="1511">
        <v>0.25</v>
      </c>
      <c r="CJ18" s="1509">
        <v>0.25</v>
      </c>
      <c r="CK18" s="1511">
        <v>0.25</v>
      </c>
      <c r="CP18" s="1479"/>
      <c r="CQ18" s="386">
        <f>AB19</f>
        <v>199.71464752297209</v>
      </c>
      <c r="CR18" s="1479"/>
      <c r="CS18" s="386">
        <f>AD19</f>
        <v>168.28535247702797</v>
      </c>
      <c r="CT18" s="1479"/>
      <c r="CU18" s="386">
        <f>AF19</f>
        <v>160</v>
      </c>
      <c r="CV18" s="1479"/>
      <c r="CW18" s="386">
        <f>AH19</f>
        <v>160</v>
      </c>
      <c r="CX18" s="1479"/>
      <c r="CY18" s="386">
        <f>AJ19</f>
        <v>160</v>
      </c>
      <c r="CZ18" s="1479"/>
      <c r="DA18" s="386">
        <f>AL19</f>
        <v>160</v>
      </c>
      <c r="DB18" s="1479"/>
      <c r="DC18" s="386">
        <f>AN19</f>
        <v>130.89253544355603</v>
      </c>
      <c r="DD18" s="1485"/>
      <c r="DE18" s="386">
        <f>AP19</f>
        <v>128</v>
      </c>
      <c r="DF18" s="1485"/>
    </row>
    <row r="19" spans="4:111" ht="21" customHeight="1">
      <c r="D19" s="355"/>
      <c r="E19" s="353">
        <v>3</v>
      </c>
      <c r="F19" s="389"/>
      <c r="G19" s="378" t="s">
        <v>19415</v>
      </c>
      <c r="H19" s="389"/>
      <c r="I19" s="378" t="s">
        <v>19415</v>
      </c>
      <c r="J19" s="389"/>
      <c r="K19" s="378" t="s">
        <v>19415</v>
      </c>
      <c r="L19" s="389"/>
      <c r="M19" s="378" t="s">
        <v>19415</v>
      </c>
      <c r="N19" s="389"/>
      <c r="O19" s="378" t="s">
        <v>19415</v>
      </c>
      <c r="P19" s="389"/>
      <c r="Q19" s="378" t="s">
        <v>19415</v>
      </c>
      <c r="R19" s="389"/>
      <c r="S19" s="378" t="s">
        <v>199</v>
      </c>
      <c r="T19" s="389"/>
      <c r="U19" s="378" t="s">
        <v>199</v>
      </c>
      <c r="V19" s="390"/>
      <c r="W19" s="1426"/>
      <c r="Y19" s="355"/>
      <c r="AA19" s="389"/>
      <c r="AB19" s="458">
        <f>(AA17*(AW19*BP18/(AV17*'1-Eng Inputs'!$C$38))+AA20*(AW19*BP20/(AV20*'1-Eng Inputs'!$C$38))+AC17*(AW19*BR18/(AX17*'1-Eng Inputs'!$C$38))+AC20*(AW19*BR20/(AX20*'1-Eng Inputs'!$C$38)))</f>
        <v>199.71464752297209</v>
      </c>
      <c r="AC19" s="389"/>
      <c r="AD19" s="458">
        <f>(AC17*(AY19*BS18/(AX17*'1-Eng Inputs'!$C$38))+AC20*(AY19*BS20/(AX20*'1-Eng Inputs'!$C$38))+AE17*(AY19*BU18/(AZ17*'1-Eng Inputs'!$C$38))+AE20*(AY19*BU20/(AZ20*'1-Eng Inputs'!$C$38)))</f>
        <v>168.28535247702797</v>
      </c>
      <c r="AE19" s="389"/>
      <c r="AF19" s="458">
        <f>(AE17*(BA19*BV18/(AZ17*'1-Eng Inputs'!$C$38))+AE20*(BA19*BV20/(AZ20*'1-Eng Inputs'!$C$38))+AG17*(BA19*BX18/(BB17*'1-Eng Inputs'!$C$38))+AG20*(BA19*BX20/(BB20*'1-Eng Inputs'!$C$38)))</f>
        <v>160</v>
      </c>
      <c r="AG19" s="389"/>
      <c r="AH19" s="458">
        <f>(AG17*(BC19*BY18/(BB17*'1-Eng Inputs'!$C$38))+AG20*(BC19*BY20/(BB20*'1-Eng Inputs'!$C$38))+AI17*(BC19*CA18/(BD17*'1-Eng Inputs'!$C$38))+AI20*(BC19*CA20/(BD20*'1-Eng Inputs'!$C$38)))</f>
        <v>160</v>
      </c>
      <c r="AI19" s="389"/>
      <c r="AJ19" s="458">
        <f>(AI17*(BE19*CB18/(BD17*'1-Eng Inputs'!$C$38))+AI20*(BE19*CB20/(BD20*'1-Eng Inputs'!$C$38))+AK17*(BE19*CD18/(BF17*'1-Eng Inputs'!$C$38))+AK20*(BE19*CD20/(BF20*'1-Eng Inputs'!$C$38)))</f>
        <v>160</v>
      </c>
      <c r="AK19" s="389"/>
      <c r="AL19" s="458">
        <f>(AK17*(BG19*CE18/(BF17*'1-Eng Inputs'!$C$38))+AK20*(BG19*CE20/(BF20*'1-Eng Inputs'!$C$38))+AM17*(BG19*CG18/(BH17*'1-Eng Inputs'!$C$38))+AM20*(BG19*CG20/(BH20*'1-Eng Inputs'!$C$38)))</f>
        <v>160</v>
      </c>
      <c r="AM19" s="389"/>
      <c r="AN19" s="458">
        <f>(AM17*(BI19*CH18/(BH17*'1-Eng Inputs'!$C$38))+AM20*(BI19*CH20/(BH20*'1-Eng Inputs'!$C$38))+AO17*(BI19*CJ18/(BJ17*'1-Eng Inputs'!$C$38))+AO20*(BI19*CJ20/(BJ20*'1-Eng Inputs'!$C$38)))</f>
        <v>130.89253544355603</v>
      </c>
      <c r="AO19" s="389"/>
      <c r="AP19" s="458">
        <f>(AO17*(BK19*CH18/(BJ17*'1-Eng Inputs'!$C$38))+AO20*(BK19*CH20/(BJ20*'1-Eng Inputs'!$C$38))+AQ17*(BK19*CJ18/(BL17*'1-Eng Inputs'!$C$38))+AQ20*(BK19*CJ20/(BL20*'1-Eng Inputs'!$C$38)))</f>
        <v>128</v>
      </c>
      <c r="AQ19" s="390"/>
      <c r="AR19" s="1426"/>
      <c r="AT19" s="355"/>
      <c r="AU19" s="353">
        <v>3</v>
      </c>
      <c r="AW19" s="348">
        <f>AW16</f>
        <v>182.83742403897963</v>
      </c>
      <c r="AX19" s="375"/>
      <c r="AY19" s="348">
        <f>AY16</f>
        <v>150.05643416711567</v>
      </c>
      <c r="AZ19" s="375"/>
      <c r="BA19" s="348">
        <f>AY16</f>
        <v>150.05643416711567</v>
      </c>
      <c r="BB19" s="375"/>
      <c r="BC19" s="348">
        <f>$BA19</f>
        <v>150.05643416711567</v>
      </c>
      <c r="BD19" s="375"/>
      <c r="BE19" s="348">
        <f>$BA19</f>
        <v>150.05643416711567</v>
      </c>
      <c r="BF19" s="375"/>
      <c r="BG19" s="348">
        <f>$BA19</f>
        <v>150.05643416711567</v>
      </c>
      <c r="BH19" s="375"/>
      <c r="BI19" s="348">
        <f>BI16</f>
        <v>125.4706917632177</v>
      </c>
      <c r="BJ19" s="375"/>
      <c r="BK19" s="348">
        <f>BI16</f>
        <v>125.4706917632177</v>
      </c>
      <c r="BM19" s="1426"/>
      <c r="BQ19" s="381"/>
      <c r="BT19" s="381"/>
      <c r="BW19" s="381"/>
      <c r="BZ19" s="381"/>
      <c r="CC19" s="381"/>
      <c r="CF19" s="381"/>
      <c r="CI19" s="381"/>
      <c r="CN19" s="355"/>
      <c r="CO19" s="353">
        <v>3</v>
      </c>
      <c r="CP19" s="389"/>
      <c r="CQ19" s="388">
        <f>AW19</f>
        <v>182.83742403897963</v>
      </c>
      <c r="CR19" s="389"/>
      <c r="CS19" s="388">
        <f>AY19</f>
        <v>150.05643416711567</v>
      </c>
      <c r="CT19" s="389"/>
      <c r="CU19" s="388">
        <f>BA19</f>
        <v>150.05643416711567</v>
      </c>
      <c r="CV19" s="389"/>
      <c r="CW19" s="388">
        <f>BC19</f>
        <v>150.05643416711567</v>
      </c>
      <c r="CX19" s="389"/>
      <c r="CY19" s="388">
        <f>BE19</f>
        <v>150.05643416711567</v>
      </c>
      <c r="CZ19" s="389"/>
      <c r="DA19" s="388">
        <f>BG19</f>
        <v>150.05643416711567</v>
      </c>
      <c r="DB19" s="389"/>
      <c r="DC19" s="388">
        <f>BI19</f>
        <v>125.4706917632177</v>
      </c>
      <c r="DD19" s="389"/>
      <c r="DE19" s="388">
        <f>BK19</f>
        <v>125.4706917632177</v>
      </c>
      <c r="DF19" s="390"/>
      <c r="DG19" s="1426"/>
    </row>
    <row r="20" spans="4:111">
      <c r="D20" s="355"/>
      <c r="F20" s="1494">
        <f>IF($P$4="NO",ROUNDUP(CP20-0.00499,0),LEFT(CP20,1)+(IF(CP20-LEFT(CP20,1)&lt;0.00499,0,IF(CP20-LEFT(CP20,1)-0.04499&lt;('1-Eng Inputs'!$C$39/'1-Eng Inputs'!$C$38),0.5,1))))</f>
        <v>4</v>
      </c>
      <c r="G20" s="353"/>
      <c r="H20" s="1494">
        <f>IF($P$4="NO",ROUNDUP(CR20-0.00499,0),LEFT(CR20,1)+(IF(CR20-LEFT(CR20,1)&lt;0.00499,0,IF(CR20-LEFT(CR20,1)-0.04499&lt;('1-Eng Inputs'!$C$39/'1-Eng Inputs'!$C$38),0.5,1))))</f>
        <v>5</v>
      </c>
      <c r="I20" s="353"/>
      <c r="J20" s="1494">
        <f>IF($P$4="NO",ROUNDUP(CT20-0.00499,0),LEFT(CT20,1)+(IF(CT20-LEFT(CT20,1)&lt;0.00499,0,IF(CT20-LEFT(CT20,1)-0.04499&lt;('1-Eng Inputs'!$C$39/'1-Eng Inputs'!$C$38),0.5,1))))</f>
        <v>5</v>
      </c>
      <c r="K20" s="353"/>
      <c r="L20" s="1494">
        <f>IF($P$4="NO",ROUNDUP(CV20-0.00499,0),LEFT(CV20,1)+(IF(CV20-LEFT(CV20,1)&lt;0.00499,0,IF(CV20-LEFT(CV20,1)-0.04499&lt;('1-Eng Inputs'!$C$39/'1-Eng Inputs'!$C$38),0.5,1))))</f>
        <v>5</v>
      </c>
      <c r="M20" s="353"/>
      <c r="N20" s="1494">
        <f>IF($P$4="NO",ROUNDUP(CX20-0.00499,0),LEFT(CX20,1)+(IF(CX20-LEFT(CX20,1)&lt;0.00499,0,IF(CX20-LEFT(CX20,1)-0.04499&lt;('1-Eng Inputs'!$C$39/'1-Eng Inputs'!$C$38),0.5,1))))</f>
        <v>5</v>
      </c>
      <c r="O20" s="353"/>
      <c r="P20" s="1494">
        <f>IF($P$4="NO",ROUNDUP(CZ20-0.00499,0),LEFT(CZ20,1)+(IF(CZ20-LEFT(CZ20,1)&lt;0.00499,0,IF(CZ20-LEFT(CZ20,1)-0.04499&lt;('1-Eng Inputs'!$C$39/'1-Eng Inputs'!$C$38),0.5,1))))</f>
        <v>5</v>
      </c>
      <c r="Q20" s="353"/>
      <c r="R20" s="1494">
        <f>IF($P$4="NO",ROUNDUP(DB20-0.00499,0),LEFT(DB20,1)+(IF(DB20-LEFT(DB20,1)&lt;0.00499,0,IF(DB20-LEFT(DB20,1)-0.04499&lt;('1-Eng Inputs'!$C$39/'1-Eng Inputs'!$C$38),0.5,1))))</f>
        <v>5</v>
      </c>
      <c r="S20" s="353"/>
      <c r="T20" s="1494">
        <f>MAX(0,IF($P$4="NO",ROUNDUP(DD20-0.00499,0),LEFT(DD20,1)+IF(DD20-LEFT(DD20,1)&lt;0.00499,0,IF(DD20-LEFT(DD20,1)-0.04499&lt;('1-Eng Inputs'!$C$39/'1-Eng Inputs'!$C$38),0.5,1))))</f>
        <v>4</v>
      </c>
      <c r="U20" s="353"/>
      <c r="V20" s="1494">
        <f>MAX(0,IF($P$4="NO",ROUNDUP(DF20-0.00499,0),LEFT(DF20,1)+IF(DF20-LEFT(DF20,1)&lt;0.00499,0,IF(DF20-LEFT(DF20,1)-0.04499&lt;('1-Eng Inputs'!$C$39/'1-Eng Inputs'!$C$38),0.5,1))))</f>
        <v>4</v>
      </c>
      <c r="Y20" s="355"/>
      <c r="AA20" s="1488">
        <f>IF(LEFT(F20,3)-LEFT(F20,1)=0.5,'1-Eng Inputs'!$C$39,0)+LEFT(F20,1)*'1-Eng Inputs'!$C$38</f>
        <v>128</v>
      </c>
      <c r="AC20" s="1488">
        <f>IF(LEFT(H20,3)-LEFT(H20,1)=0.5,'1-Eng Inputs'!$C$39,0)+LEFT(H20,1)*'1-Eng Inputs'!$C$38</f>
        <v>160</v>
      </c>
      <c r="AE20" s="1488">
        <f>IF(LEFT(J20,3)-LEFT(J20,1)=0.5,'1-Eng Inputs'!$C$39,0)+LEFT(J20,1)*'1-Eng Inputs'!$C$38</f>
        <v>160</v>
      </c>
      <c r="AG20" s="1488">
        <f>IF(LEFT(L20,3)-LEFT(L20,1)=0.5,'1-Eng Inputs'!$C$39,0)+LEFT(L20,1)*'1-Eng Inputs'!$C$38</f>
        <v>160</v>
      </c>
      <c r="AI20" s="1488">
        <f>IF(LEFT(N20,3)-LEFT(N20,1)=0.5,'1-Eng Inputs'!$C$39,0)+LEFT(N20,1)*'1-Eng Inputs'!$C$38</f>
        <v>160</v>
      </c>
      <c r="AK20" s="1488">
        <f>IF(LEFT(P20,3)-LEFT(P20,1)=0.5,'1-Eng Inputs'!$C$39,0)+LEFT(P20,1)*'1-Eng Inputs'!$C$38</f>
        <v>160</v>
      </c>
      <c r="AM20" s="1488">
        <f>IF(LEFT(R20,3)-LEFT(R20,1)=0.5,'1-Eng Inputs'!$C$39,0)+LEFT(R20,1)*'1-Eng Inputs'!$C$38</f>
        <v>160</v>
      </c>
      <c r="AO20" s="1504">
        <f>IF(LEFT(T20,3)-LEFT(T20,1)=0.5,'1-Eng Inputs'!$C$39,0)+LEFT(T20,1)*'1-Eng Inputs'!$C$38</f>
        <v>128</v>
      </c>
      <c r="AQ20" s="1504">
        <f>IF(LEFT(V20,3)-LEFT(V20,1)=0.5,'1-Eng Inputs'!$C$39,0)+LEFT(V20,1)*'1-Eng Inputs'!$C$38</f>
        <v>128</v>
      </c>
      <c r="AT20" s="355"/>
      <c r="AV20" s="1506">
        <f>(BP20*AW19+AW22*BP21)/'1-Eng Inputs'!$C$38</f>
        <v>3.8091130008120757</v>
      </c>
      <c r="AX20" s="1506">
        <f>(AW19*BR20+AY19*BS20+AW22*BR21+AY22*BS21)/'1-Eng Inputs'!$C$38</f>
        <v>4.2491882842672197</v>
      </c>
      <c r="AZ20" s="1506">
        <f>(AY19*BU20+BA19*BV20+AY22*BU21+BA22*BV21)/'1-Eng Inputs'!$C$38</f>
        <v>4.6892635677223646</v>
      </c>
      <c r="BB20" s="1506">
        <f>(BA19*BX20+BC19*BY20+BA22*BX21+BC22*BY21)/'1-Eng Inputs'!$C$38</f>
        <v>4.6892635677223646</v>
      </c>
      <c r="BD20" s="1506">
        <f>$BB20</f>
        <v>4.6892635677223646</v>
      </c>
      <c r="BF20" s="1506">
        <f>$BB20</f>
        <v>4.6892635677223646</v>
      </c>
      <c r="BH20" s="1506">
        <f>$BB20</f>
        <v>4.6892635677223646</v>
      </c>
      <c r="BJ20" s="1506">
        <f>(BI19*CJ20+BK19*CK20+BI22*CJ21+BK22*CK21)/'1-Eng Inputs'!$C$38</f>
        <v>3.9209591176005532</v>
      </c>
      <c r="BL20" s="1506">
        <f>BJ20</f>
        <v>3.9209591176005532</v>
      </c>
      <c r="BP20" s="1512">
        <v>0.33333333333333331</v>
      </c>
      <c r="BR20" s="1508">
        <v>0.16666666666666666</v>
      </c>
      <c r="BS20" s="1510">
        <v>0.25</v>
      </c>
      <c r="BU20" s="1508">
        <v>0.25</v>
      </c>
      <c r="BV20" s="1510">
        <v>0.25</v>
      </c>
      <c r="BX20" s="1508">
        <v>0.25</v>
      </c>
      <c r="BY20" s="1510">
        <v>0.25</v>
      </c>
      <c r="CA20" s="1508">
        <v>0.25</v>
      </c>
      <c r="CB20" s="1510">
        <v>0.25</v>
      </c>
      <c r="CD20" s="1508">
        <v>0.25</v>
      </c>
      <c r="CE20" s="1510">
        <v>0.25</v>
      </c>
      <c r="CG20" s="1508">
        <v>0.25</v>
      </c>
      <c r="CH20" s="1510">
        <v>0.25</v>
      </c>
      <c r="CJ20" s="1508">
        <v>0.25</v>
      </c>
      <c r="CK20" s="1510">
        <v>0.25</v>
      </c>
      <c r="CN20" s="355"/>
      <c r="CP20" s="1488">
        <f>AV20</f>
        <v>3.8091130008120757</v>
      </c>
      <c r="CR20" s="1488">
        <f>AX20</f>
        <v>4.2491882842672197</v>
      </c>
      <c r="CT20" s="1488">
        <f>AZ20</f>
        <v>4.6892635677223646</v>
      </c>
      <c r="CV20" s="1488">
        <f>BB20</f>
        <v>4.6892635677223646</v>
      </c>
      <c r="CX20" s="1488">
        <f>BD20</f>
        <v>4.6892635677223646</v>
      </c>
      <c r="CZ20" s="1488">
        <f>BF20</f>
        <v>4.6892635677223646</v>
      </c>
      <c r="DB20" s="1488">
        <f>BH20</f>
        <v>4.6892635677223646</v>
      </c>
      <c r="DD20" s="1504">
        <f>BJ20</f>
        <v>3.9209591176005532</v>
      </c>
      <c r="DF20" s="1504">
        <f>DD20</f>
        <v>3.9209591176005532</v>
      </c>
    </row>
    <row r="21" spans="4:111" ht="12.75" hidden="1" customHeight="1">
      <c r="D21" s="355"/>
      <c r="F21" s="1495"/>
      <c r="G21" s="353"/>
      <c r="H21" s="1495"/>
      <c r="I21" s="353"/>
      <c r="J21" s="1495"/>
      <c r="K21" s="353"/>
      <c r="L21" s="1495"/>
      <c r="M21" s="353"/>
      <c r="N21" s="1495"/>
      <c r="O21" s="353"/>
      <c r="P21" s="1495"/>
      <c r="Q21" s="353"/>
      <c r="R21" s="1495"/>
      <c r="S21" s="353"/>
      <c r="T21" s="1495"/>
      <c r="U21" s="353"/>
      <c r="V21" s="1495"/>
      <c r="Y21" s="355"/>
      <c r="AA21" s="1489"/>
      <c r="AB21" s="457">
        <f>CQ21-AB22</f>
        <v>0</v>
      </c>
      <c r="AC21" s="1489"/>
      <c r="AD21" s="457">
        <f>CS21-AD22</f>
        <v>0</v>
      </c>
      <c r="AE21" s="1489"/>
      <c r="AF21" s="457">
        <f>CU21-AF22</f>
        <v>0</v>
      </c>
      <c r="AG21" s="1489"/>
      <c r="AH21" s="457">
        <f>CW21-AH22</f>
        <v>0</v>
      </c>
      <c r="AI21" s="1489"/>
      <c r="AJ21" s="457">
        <f>CY21-AJ22</f>
        <v>0</v>
      </c>
      <c r="AK21" s="1489"/>
      <c r="AL21" s="457">
        <f>DA21-AL22</f>
        <v>0</v>
      </c>
      <c r="AM21" s="1489"/>
      <c r="AN21" s="457">
        <f>DC21-AN22</f>
        <v>0</v>
      </c>
      <c r="AO21" s="1505"/>
      <c r="AP21" s="457">
        <f>DE21-AP22</f>
        <v>0</v>
      </c>
      <c r="AQ21" s="1505"/>
      <c r="AT21" s="355"/>
      <c r="AV21" s="1507"/>
      <c r="AX21" s="1507"/>
      <c r="AZ21" s="1507"/>
      <c r="BB21" s="1507"/>
      <c r="BD21" s="1507"/>
      <c r="BF21" s="1507"/>
      <c r="BH21" s="1507"/>
      <c r="BJ21" s="1507"/>
      <c r="BL21" s="1507"/>
      <c r="BP21" s="1513">
        <v>0.33333333333333331</v>
      </c>
      <c r="BR21" s="1509">
        <v>0.16666666666666666</v>
      </c>
      <c r="BS21" s="1511">
        <v>0.25</v>
      </c>
      <c r="BU21" s="1509">
        <v>0.25</v>
      </c>
      <c r="BV21" s="1511">
        <v>0.25</v>
      </c>
      <c r="BX21" s="1509">
        <v>0.25</v>
      </c>
      <c r="BY21" s="1511">
        <v>0.25</v>
      </c>
      <c r="CA21" s="1509">
        <v>0.25</v>
      </c>
      <c r="CB21" s="1511">
        <v>0.25</v>
      </c>
      <c r="CD21" s="1509">
        <v>0.25</v>
      </c>
      <c r="CE21" s="1511">
        <v>0.25</v>
      </c>
      <c r="CG21" s="1509">
        <v>0.25</v>
      </c>
      <c r="CH21" s="1511">
        <v>0.25</v>
      </c>
      <c r="CJ21" s="1509">
        <v>0.25</v>
      </c>
      <c r="CK21" s="1511">
        <v>0.25</v>
      </c>
      <c r="CN21" s="355"/>
      <c r="CP21" s="1489"/>
      <c r="CQ21" s="386">
        <f>AB22</f>
        <v>199.71464752297209</v>
      </c>
      <c r="CR21" s="1489"/>
      <c r="CS21" s="386">
        <f>AD22</f>
        <v>168.28535247702797</v>
      </c>
      <c r="CT21" s="1489"/>
      <c r="CU21" s="386">
        <f>AF22</f>
        <v>160</v>
      </c>
      <c r="CV21" s="1489"/>
      <c r="CW21" s="386">
        <f>AH22</f>
        <v>160</v>
      </c>
      <c r="CX21" s="1489"/>
      <c r="CY21" s="386">
        <f>AJ22</f>
        <v>160</v>
      </c>
      <c r="CZ21" s="1489"/>
      <c r="DA21" s="386">
        <f>AL22</f>
        <v>160</v>
      </c>
      <c r="DB21" s="1489"/>
      <c r="DC21" s="386">
        <f>AN22</f>
        <v>130.89253544355603</v>
      </c>
      <c r="DD21" s="1505"/>
      <c r="DE21" s="386">
        <f>AP22</f>
        <v>128</v>
      </c>
      <c r="DF21" s="1505"/>
    </row>
    <row r="22" spans="4:111" ht="21" customHeight="1">
      <c r="D22" s="355"/>
      <c r="E22" s="353">
        <v>4</v>
      </c>
      <c r="F22" s="389"/>
      <c r="G22" s="378" t="s">
        <v>19415</v>
      </c>
      <c r="H22" s="389"/>
      <c r="I22" s="378" t="s">
        <v>19415</v>
      </c>
      <c r="J22" s="389"/>
      <c r="K22" s="378" t="s">
        <v>19415</v>
      </c>
      <c r="L22" s="389"/>
      <c r="M22" s="378" t="s">
        <v>19415</v>
      </c>
      <c r="N22" s="389"/>
      <c r="O22" s="378" t="s">
        <v>19415</v>
      </c>
      <c r="P22" s="389"/>
      <c r="Q22" s="378" t="s">
        <v>19415</v>
      </c>
      <c r="R22" s="389"/>
      <c r="S22" s="378" t="s">
        <v>199</v>
      </c>
      <c r="T22" s="389"/>
      <c r="U22" s="378" t="s">
        <v>199</v>
      </c>
      <c r="V22" s="390"/>
      <c r="W22" s="1426"/>
      <c r="Y22" s="355"/>
      <c r="AA22" s="389"/>
      <c r="AB22" s="458">
        <f>(AA20*(AW22*BP21/(AV20*'1-Eng Inputs'!$C$38))+AA23*(AW22*BP23/(AV23*'1-Eng Inputs'!$C$38))+AC20*(AW22*BR21/(AX20*'1-Eng Inputs'!$C$38))+AC23*(AW22*BR23/(AX23*'1-Eng Inputs'!$C$38)))</f>
        <v>199.71464752297209</v>
      </c>
      <c r="AC22" s="389"/>
      <c r="AD22" s="458">
        <f>(AC20*(AY22*BS21/(AX20*'1-Eng Inputs'!$C$38))+AC23*(AY22*BS23/(AX23*'1-Eng Inputs'!$C$38))+AE20*(AY22*BU21/(AZ20*'1-Eng Inputs'!$C$38))+AE23*(AY22*BU23/(AZ23*'1-Eng Inputs'!$C$38)))</f>
        <v>168.28535247702797</v>
      </c>
      <c r="AE22" s="389"/>
      <c r="AF22" s="458">
        <f>(AE20*(BA22*BV21/(AZ20*'1-Eng Inputs'!$C$38))+AE23*(BA22*BV23/(AZ23*'1-Eng Inputs'!$C$38))+AG20*(BA22*BX21/(BB20*'1-Eng Inputs'!$C$38))+AG23*(BA22*BX23/(BB23*'1-Eng Inputs'!$C$38)))</f>
        <v>160</v>
      </c>
      <c r="AG22" s="389"/>
      <c r="AH22" s="458">
        <f>(AG20*(BC22*BY21/(BB20*'1-Eng Inputs'!$C$38))+AG23*(BC22*BY23/(BB23*'1-Eng Inputs'!$C$38))+AI20*(BC22*CA21/(BD20*'1-Eng Inputs'!$C$38))+AI23*(BC22*CA23/(BD23*'1-Eng Inputs'!$C$38)))</f>
        <v>160</v>
      </c>
      <c r="AI22" s="389"/>
      <c r="AJ22" s="458">
        <f>(AI20*(BE22*CB21/(BD20*'1-Eng Inputs'!$C$38))+AI23*(BE22*CB23/(BD23*'1-Eng Inputs'!$C$38))+AK20*(BE22*CD21/(BF20*'1-Eng Inputs'!$C$38))+AK23*(BE22*CD23/(BF23*'1-Eng Inputs'!$C$38)))</f>
        <v>160</v>
      </c>
      <c r="AK22" s="389"/>
      <c r="AL22" s="458">
        <f>(AK20*(BG22*CE21/(BF20*'1-Eng Inputs'!$C$38))+AK23*(BG22*CE23/(BF23*'1-Eng Inputs'!$C$38))+AM20*(BG22*CG21/(BH20*'1-Eng Inputs'!$C$38))+AM23*(BG22*CG23/(BH23*'1-Eng Inputs'!$C$38)))</f>
        <v>160</v>
      </c>
      <c r="AM22" s="389"/>
      <c r="AN22" s="458">
        <f>(AM20*(BI22*CH21/(BH20*'1-Eng Inputs'!$C$38))+AM23*(BI22*CH23/(BH23*'1-Eng Inputs'!$C$38))+AO20*(BI22*CJ21/(BJ20*'1-Eng Inputs'!$C$38))+AO23*(BI22*CJ23/(BJ23*'1-Eng Inputs'!$C$38)))</f>
        <v>130.89253544355603</v>
      </c>
      <c r="AO22" s="389"/>
      <c r="AP22" s="458">
        <f>(AO20*(BK22*CH21/(BJ20*'1-Eng Inputs'!$C$38))+AO23*(BK22*CH23/(BJ23*'1-Eng Inputs'!$C$38))+AQ20*(BK22*CJ21/(BL20*'1-Eng Inputs'!$C$38))+AQ23*(BK22*CJ23/(BL23*'1-Eng Inputs'!$C$38)))</f>
        <v>128</v>
      </c>
      <c r="AQ22" s="390"/>
      <c r="AR22" s="1426"/>
      <c r="AT22" s="355"/>
      <c r="AU22" s="353">
        <v>4</v>
      </c>
      <c r="AW22" s="348">
        <f>'Port Calcs (lift)'!J16</f>
        <v>182.83742403897963</v>
      </c>
      <c r="AX22" s="375"/>
      <c r="AY22" s="348">
        <f>'Port Calcs (lift)'!K16</f>
        <v>150.05643416711567</v>
      </c>
      <c r="AZ22" s="375"/>
      <c r="BA22" s="348">
        <f>AY22</f>
        <v>150.05643416711567</v>
      </c>
      <c r="BB22" s="375"/>
      <c r="BC22" s="348">
        <f>$BA22</f>
        <v>150.05643416711567</v>
      </c>
      <c r="BD22" s="375"/>
      <c r="BE22" s="348">
        <f>$BA22</f>
        <v>150.05643416711567</v>
      </c>
      <c r="BF22" s="375"/>
      <c r="BG22" s="348">
        <f>$BA22</f>
        <v>150.05643416711567</v>
      </c>
      <c r="BH22" s="375"/>
      <c r="BI22" s="348">
        <f>'Port Calcs (lift)'!K21</f>
        <v>125.4706917632177</v>
      </c>
      <c r="BJ22" s="375"/>
      <c r="BK22" s="348">
        <f>BI22</f>
        <v>125.4706917632177</v>
      </c>
      <c r="BM22" s="1426"/>
      <c r="BQ22" s="381"/>
      <c r="BT22" s="381"/>
      <c r="BW22" s="381"/>
      <c r="BZ22" s="381"/>
      <c r="CC22" s="381"/>
      <c r="CF22" s="381"/>
      <c r="CI22" s="381"/>
      <c r="CN22" s="355"/>
      <c r="CO22" s="353">
        <v>4</v>
      </c>
      <c r="CP22" s="389"/>
      <c r="CQ22" s="388">
        <f>AW22</f>
        <v>182.83742403897963</v>
      </c>
      <c r="CR22" s="389"/>
      <c r="CS22" s="388">
        <f>AY22</f>
        <v>150.05643416711567</v>
      </c>
      <c r="CT22" s="389"/>
      <c r="CU22" s="388">
        <f>BA22</f>
        <v>150.05643416711567</v>
      </c>
      <c r="CV22" s="389"/>
      <c r="CW22" s="388">
        <f>BC22</f>
        <v>150.05643416711567</v>
      </c>
      <c r="CX22" s="389"/>
      <c r="CY22" s="388">
        <f>BE22</f>
        <v>150.05643416711567</v>
      </c>
      <c r="CZ22" s="389"/>
      <c r="DA22" s="388">
        <f>BG22</f>
        <v>150.05643416711567</v>
      </c>
      <c r="DB22" s="389"/>
      <c r="DC22" s="388">
        <f>BI22</f>
        <v>125.4706917632177</v>
      </c>
      <c r="DD22" s="389"/>
      <c r="DE22" s="388">
        <f>BK22</f>
        <v>125.4706917632177</v>
      </c>
      <c r="DF22" s="390"/>
      <c r="DG22" s="1426"/>
    </row>
    <row r="23" spans="4:111">
      <c r="D23" s="355"/>
      <c r="F23" s="1494">
        <f>IF($P$4="NO",ROUNDUP(CP23-0.00499,0),LEFT(CP23,1)+(IF(CP23-LEFT(CP23,1)&lt;0.00499,0,IF(CP23-LEFT(CP23,1)-0.04499&lt;('1-Eng Inputs'!$C$39/'1-Eng Inputs'!$C$38),0.5,1))))</f>
        <v>4</v>
      </c>
      <c r="G23" s="353"/>
      <c r="H23" s="1494">
        <f>IF($P$4="NO",ROUNDUP(CR23-0.00499,0),LEFT(CR23,1)+(IF(CR23-LEFT(CR23,1)&lt;0.00499,0,IF(CR23-LEFT(CR23,1)-0.04499&lt;('1-Eng Inputs'!$C$39/'1-Eng Inputs'!$C$38),0.5,1))))</f>
        <v>5</v>
      </c>
      <c r="I23" s="353"/>
      <c r="J23" s="1494">
        <f>IF($P$4="NO",ROUNDUP(CT23-0.00499,0),LEFT(CT23,1)+(IF(CT23-LEFT(CT23,1)&lt;0.00499,0,IF(CT23-LEFT(CT23,1)-0.04499&lt;('1-Eng Inputs'!$C$39/'1-Eng Inputs'!$C$38),0.5,1))))</f>
        <v>5</v>
      </c>
      <c r="K23" s="353"/>
      <c r="L23" s="1494">
        <f>IF($P$4="NO",ROUNDUP(CV23-0.00499,0),LEFT(CV23,1)+(IF(CV23-LEFT(CV23,1)&lt;0.00499,0,IF(CV23-LEFT(CV23,1)-0.04499&lt;('1-Eng Inputs'!$C$39/'1-Eng Inputs'!$C$38),0.5,1))))</f>
        <v>5</v>
      </c>
      <c r="M23" s="353"/>
      <c r="N23" s="1494">
        <f>IF($P$4="NO",ROUNDUP(CX23-0.00499,0),LEFT(CX23,1)+(IF(CX23-LEFT(CX23,1)&lt;0.00499,0,IF(CX23-LEFT(CX23,1)-0.04499&lt;('1-Eng Inputs'!$C$39/'1-Eng Inputs'!$C$38),0.5,1))))</f>
        <v>5</v>
      </c>
      <c r="O23" s="353"/>
      <c r="P23" s="1494">
        <f>IF($P$4="NO",ROUNDUP(CZ23-0.00499,0),LEFT(CZ23,1)+(IF(CZ23-LEFT(CZ23,1)&lt;0.00499,0,IF(CZ23-LEFT(CZ23,1)-0.04499&lt;('1-Eng Inputs'!$C$39/'1-Eng Inputs'!$C$38),0.5,1))))</f>
        <v>5</v>
      </c>
      <c r="Q23" s="353"/>
      <c r="R23" s="1494">
        <f>IF($P$4="NO",ROUNDUP(DB23-0.00499,0),LEFT(DB23,1)+(IF(DB23-LEFT(DB23,1)&lt;0.00499,0,IF(DB23-LEFT(DB23,1)-0.04499&lt;('1-Eng Inputs'!$C$39/'1-Eng Inputs'!$C$38),0.5,1))))</f>
        <v>5</v>
      </c>
      <c r="S23" s="353"/>
      <c r="T23" s="1494">
        <f>MAX(0,IF($P$4="NO",ROUNDUP(DD23-0.00499,0),LEFT(DD23,1)+IF(DD23-LEFT(DD23,1)&lt;0.00499,0,IF(DD23-LEFT(DD23,1)-0.04499&lt;('1-Eng Inputs'!$C$39/'1-Eng Inputs'!$C$38),0.5,1))))</f>
        <v>4</v>
      </c>
      <c r="U23" s="353"/>
      <c r="V23" s="1494">
        <f>MAX(0,IF($P$4="NO",ROUNDUP(DF23-0.00499,0),LEFT(DF23,1)+IF(DF23-LEFT(DF23,1)&lt;0.00499,0,IF(DF23-LEFT(DF23,1)-0.04499&lt;('1-Eng Inputs'!$C$39/'1-Eng Inputs'!$C$38),0.5,1))))</f>
        <v>4</v>
      </c>
      <c r="Y23" s="355"/>
      <c r="AA23" s="1488">
        <f>IF(LEFT(F23,3)-LEFT(F23,1)=0.5,'1-Eng Inputs'!$C$39,0)+LEFT(F23,1)*'1-Eng Inputs'!$C$38</f>
        <v>128</v>
      </c>
      <c r="AC23" s="1488">
        <f>IF(LEFT(H23,3)-LEFT(H23,1)=0.5,'1-Eng Inputs'!$C$39,0)+LEFT(H23,1)*'1-Eng Inputs'!$C$38</f>
        <v>160</v>
      </c>
      <c r="AE23" s="1488">
        <f>IF(LEFT(J23,3)-LEFT(J23,1)=0.5,'1-Eng Inputs'!$C$39,0)+LEFT(J23,1)*'1-Eng Inputs'!$C$38</f>
        <v>160</v>
      </c>
      <c r="AG23" s="1488">
        <f>IF(LEFT(L23,3)-LEFT(L23,1)=0.5,'1-Eng Inputs'!$C$39,0)+LEFT(L23,1)*'1-Eng Inputs'!$C$38</f>
        <v>160</v>
      </c>
      <c r="AI23" s="1488">
        <f>IF(LEFT(N23,3)-LEFT(N23,1)=0.5,'1-Eng Inputs'!$C$39,0)+LEFT(N23,1)*'1-Eng Inputs'!$C$38</f>
        <v>160</v>
      </c>
      <c r="AK23" s="1488">
        <f>IF(LEFT(P23,3)-LEFT(P23,1)=0.5,'1-Eng Inputs'!$C$39,0)+LEFT(P23,1)*'1-Eng Inputs'!$C$38</f>
        <v>160</v>
      </c>
      <c r="AM23" s="1488">
        <f>IF(LEFT(R23,3)-LEFT(R23,1)=0.5,'1-Eng Inputs'!$C$39,0)+LEFT(R23,1)*'1-Eng Inputs'!$C$38</f>
        <v>160</v>
      </c>
      <c r="AO23" s="1504">
        <f>IF(LEFT(T23,3)-LEFT(T23,1)=0.5,'1-Eng Inputs'!$C$39,0)+LEFT(T23,1)*'1-Eng Inputs'!$C$38</f>
        <v>128</v>
      </c>
      <c r="AQ23" s="1504">
        <f>IF(LEFT(V23,3)-LEFT(V23,1)=0.5,'1-Eng Inputs'!$C$39,0)+LEFT(V23,1)*'1-Eng Inputs'!$C$38</f>
        <v>128</v>
      </c>
      <c r="AT23" s="355"/>
      <c r="AV23" s="1506">
        <f>(BP23*AW22+AW25*BP24)/'1-Eng Inputs'!$C$38</f>
        <v>3.8091130008120757</v>
      </c>
      <c r="AX23" s="1506">
        <f>(AW22*BR23+AY22*BS23+AW25*BR24+AY25*BS24)/'1-Eng Inputs'!$C$38</f>
        <v>4.2491882842672197</v>
      </c>
      <c r="AZ23" s="1506">
        <f>(AY22*BU23+BA22*BV23+AY25*BU24+BA25*BV24)/'1-Eng Inputs'!$C$38</f>
        <v>4.6892635677223646</v>
      </c>
      <c r="BB23" s="1506">
        <f>(BA22*BX23+BC22*BY23+BA25*BX24+BC25*BY24)/'1-Eng Inputs'!$C$38</f>
        <v>4.6892635677223646</v>
      </c>
      <c r="BD23" s="1506">
        <f>$BB23</f>
        <v>4.6892635677223646</v>
      </c>
      <c r="BF23" s="1506">
        <f>$BB23</f>
        <v>4.6892635677223646</v>
      </c>
      <c r="BH23" s="1506">
        <f>$BB23</f>
        <v>4.6892635677223646</v>
      </c>
      <c r="BJ23" s="1506">
        <f>(BI22*CJ23+BK22*CK23+BI25*CJ24+BK25*CK24)/'1-Eng Inputs'!$C$38</f>
        <v>3.9209591176005532</v>
      </c>
      <c r="BL23" s="1506">
        <f>BJ23</f>
        <v>3.9209591176005532</v>
      </c>
      <c r="BP23" s="1512">
        <v>0.33333333333333331</v>
      </c>
      <c r="BR23" s="1508">
        <v>0.16666666666666666</v>
      </c>
      <c r="BS23" s="1510">
        <v>0.25</v>
      </c>
      <c r="BU23" s="1508">
        <v>0.25</v>
      </c>
      <c r="BV23" s="1510">
        <v>0.25</v>
      </c>
      <c r="BX23" s="1508">
        <v>0.25</v>
      </c>
      <c r="BY23" s="1510">
        <v>0.25</v>
      </c>
      <c r="CA23" s="1508">
        <v>0.25</v>
      </c>
      <c r="CB23" s="1510">
        <v>0.25</v>
      </c>
      <c r="CD23" s="1508">
        <v>0.25</v>
      </c>
      <c r="CE23" s="1510">
        <v>0.25</v>
      </c>
      <c r="CG23" s="1508">
        <v>0.25</v>
      </c>
      <c r="CH23" s="1510">
        <v>0.25</v>
      </c>
      <c r="CJ23" s="1508">
        <v>0.25</v>
      </c>
      <c r="CK23" s="1510">
        <v>0.25</v>
      </c>
      <c r="CN23" s="355"/>
      <c r="CP23" s="1488">
        <f>AV23</f>
        <v>3.8091130008120757</v>
      </c>
      <c r="CR23" s="1488">
        <f>AX23</f>
        <v>4.2491882842672197</v>
      </c>
      <c r="CT23" s="1488">
        <f>AZ23</f>
        <v>4.6892635677223646</v>
      </c>
      <c r="CV23" s="1488">
        <f>BB23</f>
        <v>4.6892635677223646</v>
      </c>
      <c r="CX23" s="1488">
        <f>BD23</f>
        <v>4.6892635677223646</v>
      </c>
      <c r="CZ23" s="1488">
        <f>BF23</f>
        <v>4.6892635677223646</v>
      </c>
      <c r="DB23" s="1488">
        <f>BH23</f>
        <v>4.6892635677223646</v>
      </c>
      <c r="DD23" s="1504">
        <f>BJ23</f>
        <v>3.9209591176005532</v>
      </c>
      <c r="DF23" s="1504">
        <f>DD23</f>
        <v>3.9209591176005532</v>
      </c>
    </row>
    <row r="24" spans="4:111" ht="12.75" hidden="1" customHeight="1">
      <c r="D24" s="355"/>
      <c r="F24" s="1495"/>
      <c r="G24" s="353"/>
      <c r="H24" s="1495"/>
      <c r="I24" s="353"/>
      <c r="J24" s="1495"/>
      <c r="K24" s="353"/>
      <c r="L24" s="1495"/>
      <c r="M24" s="353"/>
      <c r="N24" s="1495"/>
      <c r="O24" s="353"/>
      <c r="P24" s="1495"/>
      <c r="Q24" s="353"/>
      <c r="R24" s="1495"/>
      <c r="S24" s="353"/>
      <c r="T24" s="1495"/>
      <c r="U24" s="353"/>
      <c r="V24" s="1495"/>
      <c r="Y24" s="355"/>
      <c r="AA24" s="1489"/>
      <c r="AB24" s="457">
        <f>CQ24-AB25</f>
        <v>0</v>
      </c>
      <c r="AC24" s="1489"/>
      <c r="AD24" s="457">
        <f>CS24-AD25</f>
        <v>0</v>
      </c>
      <c r="AE24" s="1489"/>
      <c r="AF24" s="457">
        <f>CU24-AF25</f>
        <v>0</v>
      </c>
      <c r="AG24" s="1489"/>
      <c r="AH24" s="457">
        <f>CW24-AH25</f>
        <v>0</v>
      </c>
      <c r="AI24" s="1489"/>
      <c r="AJ24" s="457">
        <f>CY24-AJ25</f>
        <v>0</v>
      </c>
      <c r="AK24" s="1489"/>
      <c r="AL24" s="457">
        <f>DA24-AL25</f>
        <v>0</v>
      </c>
      <c r="AM24" s="1489"/>
      <c r="AN24" s="457">
        <f>DC24-AN25</f>
        <v>0</v>
      </c>
      <c r="AO24" s="1505"/>
      <c r="AP24" s="457">
        <f>DE24-AP25</f>
        <v>0</v>
      </c>
      <c r="AQ24" s="1505"/>
      <c r="AT24" s="355"/>
      <c r="AV24" s="1507"/>
      <c r="AX24" s="1507"/>
      <c r="AZ24" s="1507"/>
      <c r="BB24" s="1507"/>
      <c r="BD24" s="1507"/>
      <c r="BF24" s="1507"/>
      <c r="BH24" s="1507"/>
      <c r="BJ24" s="1507"/>
      <c r="BL24" s="1507"/>
      <c r="BP24" s="1513">
        <v>0.33333333333333331</v>
      </c>
      <c r="BR24" s="1509">
        <v>0.16666666666666666</v>
      </c>
      <c r="BS24" s="1511">
        <v>0.25</v>
      </c>
      <c r="BU24" s="1509">
        <v>0.25</v>
      </c>
      <c r="BV24" s="1511">
        <v>0.25</v>
      </c>
      <c r="BX24" s="1509">
        <v>0.25</v>
      </c>
      <c r="BY24" s="1511">
        <v>0.25</v>
      </c>
      <c r="CA24" s="1509">
        <v>0.25</v>
      </c>
      <c r="CB24" s="1511">
        <v>0.25</v>
      </c>
      <c r="CD24" s="1509">
        <v>0.25</v>
      </c>
      <c r="CE24" s="1511">
        <v>0.25</v>
      </c>
      <c r="CG24" s="1509">
        <v>0.25</v>
      </c>
      <c r="CH24" s="1511">
        <v>0.25</v>
      </c>
      <c r="CJ24" s="1509">
        <v>0.25</v>
      </c>
      <c r="CK24" s="1511">
        <v>0.25</v>
      </c>
      <c r="CN24" s="355"/>
      <c r="CP24" s="1489"/>
      <c r="CQ24" s="386">
        <f>AB25</f>
        <v>199.71464752297209</v>
      </c>
      <c r="CR24" s="1489"/>
      <c r="CS24" s="386">
        <f>AD25</f>
        <v>168.28535247702797</v>
      </c>
      <c r="CT24" s="1489"/>
      <c r="CU24" s="386">
        <f>AF25</f>
        <v>160</v>
      </c>
      <c r="CV24" s="1489"/>
      <c r="CW24" s="386">
        <f>AH25</f>
        <v>160</v>
      </c>
      <c r="CX24" s="1489"/>
      <c r="CY24" s="386">
        <f>AJ25</f>
        <v>160</v>
      </c>
      <c r="CZ24" s="1489"/>
      <c r="DA24" s="386">
        <f>AL25</f>
        <v>160</v>
      </c>
      <c r="DB24" s="1489"/>
      <c r="DC24" s="386">
        <f>AN25</f>
        <v>130.89253544355603</v>
      </c>
      <c r="DD24" s="1505"/>
      <c r="DE24" s="386">
        <f>AP25</f>
        <v>128</v>
      </c>
      <c r="DF24" s="1505"/>
    </row>
    <row r="25" spans="4:111" ht="21" customHeight="1">
      <c r="D25" s="355"/>
      <c r="E25" s="353">
        <v>5</v>
      </c>
      <c r="F25" s="389"/>
      <c r="G25" s="378" t="s">
        <v>19415</v>
      </c>
      <c r="H25" s="389"/>
      <c r="I25" s="378" t="s">
        <v>19415</v>
      </c>
      <c r="J25" s="389"/>
      <c r="K25" s="378" t="s">
        <v>19415</v>
      </c>
      <c r="L25" s="389"/>
      <c r="M25" s="378" t="s">
        <v>19415</v>
      </c>
      <c r="N25" s="389"/>
      <c r="O25" s="378" t="s">
        <v>19415</v>
      </c>
      <c r="P25" s="389"/>
      <c r="Q25" s="378" t="s">
        <v>19415</v>
      </c>
      <c r="R25" s="389"/>
      <c r="S25" s="378" t="s">
        <v>199</v>
      </c>
      <c r="T25" s="389"/>
      <c r="U25" s="378" t="s">
        <v>199</v>
      </c>
      <c r="V25" s="390"/>
      <c r="W25" s="1426"/>
      <c r="Y25" s="355"/>
      <c r="AA25" s="389"/>
      <c r="AB25" s="458">
        <f>(AA23*(AW25*BP24/(AV23*'1-Eng Inputs'!$C$38))+AA26*(AW25*BP26/(AV26*'1-Eng Inputs'!$C$38))+AC23*(AW25*BR24/(AX23*'1-Eng Inputs'!$C$38))+AC26*(AW25*BR26/(AX26*'1-Eng Inputs'!$C$38)))</f>
        <v>199.71464752297209</v>
      </c>
      <c r="AC25" s="389"/>
      <c r="AD25" s="458">
        <f>(AC23*(AY25*BS24/(AX23*'1-Eng Inputs'!$C$38))+AC26*(AY25*BS26/(AX26*'1-Eng Inputs'!$C$38))+AE23*(AY25*BU24/(AZ23*'1-Eng Inputs'!$C$38))+AE26*(AY25*BU26/(AZ26*'1-Eng Inputs'!$C$38)))</f>
        <v>168.28535247702797</v>
      </c>
      <c r="AE25" s="389"/>
      <c r="AF25" s="458">
        <f>(AE23*(BA25*BV24/(AZ23*'1-Eng Inputs'!$C$38))+AE26*(BA25*BV26/(AZ26*'1-Eng Inputs'!$C$38))+AG23*(BA25*BX24/(BB23*'1-Eng Inputs'!$C$38))+AG26*(BA25*BX26/(BB26*'1-Eng Inputs'!$C$38)))</f>
        <v>160</v>
      </c>
      <c r="AG25" s="389"/>
      <c r="AH25" s="458">
        <f>(AG23*(BC25*BY24/(BB23*'1-Eng Inputs'!$C$38))+AG26*(BC25*BY26/(BB26*'1-Eng Inputs'!$C$38))+AI23*(BC25*CA24/(BD23*'1-Eng Inputs'!$C$38))+AI26*(BC25*CA26/(BD26*'1-Eng Inputs'!$C$38)))</f>
        <v>160</v>
      </c>
      <c r="AI25" s="389"/>
      <c r="AJ25" s="458">
        <f>(AI23*(BE25*CB24/(BD23*'1-Eng Inputs'!$C$38))+AI26*(BE25*CB26/(BD26*'1-Eng Inputs'!$C$38))+AK23*(BE25*CD24/(BF23*'1-Eng Inputs'!$C$38))+AK26*(BE25*CD26/(BF26*'1-Eng Inputs'!$C$38)))</f>
        <v>160</v>
      </c>
      <c r="AK25" s="389"/>
      <c r="AL25" s="458">
        <f>(AK23*(BG25*CE24/(BF23*'1-Eng Inputs'!$C$38))+AK26*(BG25*CE26/(BF26*'1-Eng Inputs'!$C$38))+AM23*(BG25*CG24/(BH23*'1-Eng Inputs'!$C$38))+AM26*(BG25*CG26/(BH26*'1-Eng Inputs'!$C$38)))</f>
        <v>160</v>
      </c>
      <c r="AM25" s="389"/>
      <c r="AN25" s="458">
        <f>(AM23*(BI25*CH24/(BH23*'1-Eng Inputs'!$C$38))+AM26*(BI25*CH26/(BH26*'1-Eng Inputs'!$C$38))+AO23*(BI25*CJ24/(BJ23*'1-Eng Inputs'!$C$38))+AO26*(BI25*CJ26/(BJ26*'1-Eng Inputs'!$C$38)))</f>
        <v>130.89253544355603</v>
      </c>
      <c r="AO25" s="389"/>
      <c r="AP25" s="458">
        <f>(AO23*(BK25*CH24/(BJ23*'1-Eng Inputs'!$C$38))+AO26*(BK25*CH26/(BJ26*'1-Eng Inputs'!$C$38))+AQ23*(BK25*CJ24/(BL23*'1-Eng Inputs'!$C$38))+AQ26*(BK25*CJ26/(BL26*'1-Eng Inputs'!$C$38)))</f>
        <v>128</v>
      </c>
      <c r="AQ25" s="390"/>
      <c r="AR25" s="1426"/>
      <c r="AT25" s="355"/>
      <c r="AU25" s="353">
        <v>5</v>
      </c>
      <c r="AW25" s="348">
        <f>AW22</f>
        <v>182.83742403897963</v>
      </c>
      <c r="AX25" s="375"/>
      <c r="AY25" s="348">
        <f>AY22</f>
        <v>150.05643416711567</v>
      </c>
      <c r="AZ25" s="375"/>
      <c r="BA25" s="348">
        <f>AY22</f>
        <v>150.05643416711567</v>
      </c>
      <c r="BB25" s="375"/>
      <c r="BC25" s="348">
        <f>$BA25</f>
        <v>150.05643416711567</v>
      </c>
      <c r="BD25" s="375"/>
      <c r="BE25" s="348">
        <f>$BA25</f>
        <v>150.05643416711567</v>
      </c>
      <c r="BF25" s="375"/>
      <c r="BG25" s="348">
        <f>$BA25</f>
        <v>150.05643416711567</v>
      </c>
      <c r="BH25" s="375"/>
      <c r="BI25" s="348">
        <f>BI22</f>
        <v>125.4706917632177</v>
      </c>
      <c r="BJ25" s="375"/>
      <c r="BK25" s="348">
        <f>BI25</f>
        <v>125.4706917632177</v>
      </c>
      <c r="BM25" s="1426"/>
      <c r="BQ25" s="381"/>
      <c r="BT25" s="381"/>
      <c r="BW25" s="381"/>
      <c r="BZ25" s="381"/>
      <c r="CC25" s="381"/>
      <c r="CF25" s="381"/>
      <c r="CI25" s="381"/>
      <c r="CN25" s="355"/>
      <c r="CO25" s="353">
        <v>5</v>
      </c>
      <c r="CP25" s="389"/>
      <c r="CQ25" s="388">
        <f>AW25</f>
        <v>182.83742403897963</v>
      </c>
      <c r="CR25" s="389"/>
      <c r="CS25" s="388">
        <f>AY25</f>
        <v>150.05643416711567</v>
      </c>
      <c r="CT25" s="389"/>
      <c r="CU25" s="388">
        <f>BA25</f>
        <v>150.05643416711567</v>
      </c>
      <c r="CV25" s="389"/>
      <c r="CW25" s="388">
        <f>BC25</f>
        <v>150.05643416711567</v>
      </c>
      <c r="CX25" s="389"/>
      <c r="CY25" s="388">
        <f>BE25</f>
        <v>150.05643416711567</v>
      </c>
      <c r="CZ25" s="389"/>
      <c r="DA25" s="388">
        <f>BG25</f>
        <v>150.05643416711567</v>
      </c>
      <c r="DB25" s="389"/>
      <c r="DC25" s="388">
        <f>BI25</f>
        <v>125.4706917632177</v>
      </c>
      <c r="DD25" s="389"/>
      <c r="DE25" s="388">
        <f>BK25</f>
        <v>125.4706917632177</v>
      </c>
      <c r="DF25" s="390"/>
      <c r="DG25" s="1426"/>
    </row>
    <row r="26" spans="4:111">
      <c r="D26" s="355"/>
      <c r="F26" s="1494">
        <f>IF($P$4="NO",ROUNDUP(CP26-0.00499,0),LEFT(CP26,1)+(IF(CP26-LEFT(CP26,1)&lt;0.00499,0,IF(CP26-LEFT(CP26,1)-0.04499&lt;('1-Eng Inputs'!$C$39/'1-Eng Inputs'!$C$38),0.5,1))))</f>
        <v>4</v>
      </c>
      <c r="G26" s="353"/>
      <c r="H26" s="1494">
        <f>IF($P$4="NO",ROUNDUP(CR26-0.00499,0),LEFT(CR26,1)+(IF(CR26-LEFT(CR26,1)&lt;0.00499,0,IF(CR26-LEFT(CR26,1)-0.04499&lt;('1-Eng Inputs'!$C$39/'1-Eng Inputs'!$C$38),0.5,1))))</f>
        <v>5</v>
      </c>
      <c r="I26" s="353"/>
      <c r="J26" s="1494">
        <f>IF($P$4="NO",ROUNDUP(CT26-0.00499,0),LEFT(CT26,1)+(IF(CT26-LEFT(CT26,1)&lt;0.00499,0,IF(CT26-LEFT(CT26,1)-0.04499&lt;('1-Eng Inputs'!$C$39/'1-Eng Inputs'!$C$38),0.5,1))))</f>
        <v>5</v>
      </c>
      <c r="K26" s="353"/>
      <c r="L26" s="1494">
        <f>IF($P$4="NO",ROUNDUP(CV26-0.00499,0),LEFT(CV26,1)+(IF(CV26-LEFT(CV26,1)&lt;0.00499,0,IF(CV26-LEFT(CV26,1)-0.04499&lt;('1-Eng Inputs'!$C$39/'1-Eng Inputs'!$C$38),0.5,1))))</f>
        <v>5</v>
      </c>
      <c r="M26" s="353"/>
      <c r="N26" s="1494">
        <f>IF($P$4="NO",ROUNDUP(CX26-0.00499,0),LEFT(CX26,1)+(IF(CX26-LEFT(CX26,1)&lt;0.00499,0,IF(CX26-LEFT(CX26,1)-0.04499&lt;('1-Eng Inputs'!$C$39/'1-Eng Inputs'!$C$38),0.5,1))))</f>
        <v>5</v>
      </c>
      <c r="O26" s="353"/>
      <c r="P26" s="1494">
        <f>IF($P$4="NO",ROUNDUP(CZ26-0.00499,0),LEFT(CZ26,1)+(IF(CZ26-LEFT(CZ26,1)&lt;0.00499,0,IF(CZ26-LEFT(CZ26,1)-0.04499&lt;('1-Eng Inputs'!$C$39/'1-Eng Inputs'!$C$38),0.5,1))))</f>
        <v>5</v>
      </c>
      <c r="Q26" s="353"/>
      <c r="R26" s="1494">
        <f>IF($P$4="NO",ROUNDUP(DB26-0.00499,0),LEFT(DB26,1)+(IF(DB26-LEFT(DB26,1)&lt;0.00499,0,IF(DB26-LEFT(DB26,1)-0.04499&lt;('1-Eng Inputs'!$C$39/'1-Eng Inputs'!$C$38),0.5,1))))</f>
        <v>5</v>
      </c>
      <c r="S26" s="353"/>
      <c r="T26" s="1494">
        <f>MAX(0,IF($P$4="NO",ROUNDUP(DD26-0.00499,0),LEFT(DD26,1)+IF(DD26-LEFT(DD26,1)&lt;0.00499,0,IF(DD26-LEFT(DD26,1)-0.04499&lt;('1-Eng Inputs'!$C$39/'1-Eng Inputs'!$C$38),0.5,1))))</f>
        <v>4</v>
      </c>
      <c r="U26" s="353"/>
      <c r="V26" s="1494">
        <f>MAX(0,IF($P$4="NO",ROUNDUP(DF26-0.00499,0),LEFT(DF26,1)+IF(DF26-LEFT(DF26,1)&lt;0.00499,0,IF(DF26-LEFT(DF26,1)-0.04499&lt;('1-Eng Inputs'!$C$39/'1-Eng Inputs'!$C$38),0.5,1))))</f>
        <v>4</v>
      </c>
      <c r="Y26" s="355"/>
      <c r="AA26" s="1488">
        <f>IF(LEFT(F26,3)-LEFT(F26,1)=0.5,'1-Eng Inputs'!$C$39,0)+LEFT(F26,1)*'1-Eng Inputs'!$C$38</f>
        <v>128</v>
      </c>
      <c r="AC26" s="1488">
        <f>IF(LEFT(H26,3)-LEFT(H26,1)=0.5,'1-Eng Inputs'!$C$39,0)+LEFT(H26,1)*'1-Eng Inputs'!$C$38</f>
        <v>160</v>
      </c>
      <c r="AE26" s="1488">
        <f>IF(LEFT(J26,3)-LEFT(J26,1)=0.5,'1-Eng Inputs'!$C$39,0)+LEFT(J26,1)*'1-Eng Inputs'!$C$38</f>
        <v>160</v>
      </c>
      <c r="AG26" s="1488">
        <f>IF(LEFT(L26,3)-LEFT(L26,1)=0.5,'1-Eng Inputs'!$C$39,0)+LEFT(L26,1)*'1-Eng Inputs'!$C$38</f>
        <v>160</v>
      </c>
      <c r="AI26" s="1488">
        <f>IF(LEFT(N26,3)-LEFT(N26,1)=0.5,'1-Eng Inputs'!$C$39,0)+LEFT(N26,1)*'1-Eng Inputs'!$C$38</f>
        <v>160</v>
      </c>
      <c r="AK26" s="1488">
        <f>IF(LEFT(P26,3)-LEFT(P26,1)=0.5,'1-Eng Inputs'!$C$39,0)+LEFT(P26,1)*'1-Eng Inputs'!$C$38</f>
        <v>160</v>
      </c>
      <c r="AM26" s="1488">
        <f>IF(LEFT(R26,3)-LEFT(R26,1)=0.5,'1-Eng Inputs'!$C$39,0)+LEFT(R26,1)*'1-Eng Inputs'!$C$38</f>
        <v>160</v>
      </c>
      <c r="AO26" s="1504">
        <f>IF(LEFT(T26,3)-LEFT(T26,1)=0.5,'1-Eng Inputs'!$C$39,0)+LEFT(T26,1)*'1-Eng Inputs'!$C$38</f>
        <v>128</v>
      </c>
      <c r="AQ26" s="1504">
        <f>IF(LEFT(V26,3)-LEFT(V26,1)=0.5,'1-Eng Inputs'!$C$39,0)+LEFT(V26,1)*'1-Eng Inputs'!$C$38</f>
        <v>128</v>
      </c>
      <c r="AT26" s="355"/>
      <c r="AV26" s="1506">
        <f>(BP26*AW25+AW28*BP27)/'1-Eng Inputs'!$C$38</f>
        <v>3.8091130008120757</v>
      </c>
      <c r="AX26" s="1506">
        <f>(AW25*BR26+AY25*BS26+AW28*BR27+AY28*BS27)/'1-Eng Inputs'!$C$38</f>
        <v>4.2491882842672197</v>
      </c>
      <c r="AZ26" s="1506">
        <f>(AY25*BU26+BA25*BV26+AY28*BU27+BA28*BV27)/'1-Eng Inputs'!$C$38</f>
        <v>4.6892635677223646</v>
      </c>
      <c r="BB26" s="1506">
        <f>(BA25*BX26+BC25*BY26+BA28*BX27+BC28*BY27)/'1-Eng Inputs'!$C$38</f>
        <v>4.6892635677223646</v>
      </c>
      <c r="BD26" s="1506">
        <f>$BB26</f>
        <v>4.6892635677223646</v>
      </c>
      <c r="BF26" s="1506">
        <f>$BB26</f>
        <v>4.6892635677223646</v>
      </c>
      <c r="BH26" s="1506">
        <f>$BB26</f>
        <v>4.6892635677223646</v>
      </c>
      <c r="BJ26" s="1506">
        <f>(BI25*CJ26+BK25*CK26+BI28*CJ27+BK28*CK27)/'1-Eng Inputs'!$C$38</f>
        <v>3.9209591176005532</v>
      </c>
      <c r="BL26" s="1506">
        <f>BJ26</f>
        <v>3.9209591176005532</v>
      </c>
      <c r="BP26" s="1512">
        <v>0.33333333333333331</v>
      </c>
      <c r="BR26" s="1508">
        <v>0.16666666666666666</v>
      </c>
      <c r="BS26" s="1510">
        <v>0.25</v>
      </c>
      <c r="BU26" s="1508">
        <v>0.25</v>
      </c>
      <c r="BV26" s="1510">
        <v>0.25</v>
      </c>
      <c r="BX26" s="1508">
        <v>0.25</v>
      </c>
      <c r="BY26" s="1510">
        <v>0.25</v>
      </c>
      <c r="CA26" s="1508">
        <v>0.25</v>
      </c>
      <c r="CB26" s="1510">
        <v>0.25</v>
      </c>
      <c r="CD26" s="1508">
        <v>0.25</v>
      </c>
      <c r="CE26" s="1510">
        <v>0.25</v>
      </c>
      <c r="CG26" s="1508">
        <v>0.25</v>
      </c>
      <c r="CH26" s="1510">
        <v>0.25</v>
      </c>
      <c r="CJ26" s="1508">
        <v>0.25</v>
      </c>
      <c r="CK26" s="1510">
        <v>0.25</v>
      </c>
      <c r="CN26" s="355"/>
      <c r="CP26" s="1488">
        <f>AV26</f>
        <v>3.8091130008120757</v>
      </c>
      <c r="CR26" s="1488">
        <f>AX26</f>
        <v>4.2491882842672197</v>
      </c>
      <c r="CT26" s="1488">
        <f>AZ26</f>
        <v>4.6892635677223646</v>
      </c>
      <c r="CV26" s="1488">
        <f>BB26</f>
        <v>4.6892635677223646</v>
      </c>
      <c r="CX26" s="1488">
        <f>BD26</f>
        <v>4.6892635677223646</v>
      </c>
      <c r="CZ26" s="1488">
        <f>BF26</f>
        <v>4.6892635677223646</v>
      </c>
      <c r="DB26" s="1488">
        <f>BH26</f>
        <v>4.6892635677223646</v>
      </c>
      <c r="DD26" s="1504">
        <f>BJ26</f>
        <v>3.9209591176005532</v>
      </c>
      <c r="DF26" s="1504">
        <f>DD26</f>
        <v>3.9209591176005532</v>
      </c>
    </row>
    <row r="27" spans="4:111" ht="12.75" hidden="1" customHeight="1">
      <c r="D27" s="355"/>
      <c r="F27" s="1495"/>
      <c r="G27" s="353"/>
      <c r="H27" s="1495"/>
      <c r="I27" s="353"/>
      <c r="J27" s="1495"/>
      <c r="K27" s="353"/>
      <c r="L27" s="1495"/>
      <c r="M27" s="353"/>
      <c r="N27" s="1495"/>
      <c r="O27" s="353"/>
      <c r="P27" s="1495"/>
      <c r="Q27" s="353"/>
      <c r="R27" s="1495"/>
      <c r="S27" s="353"/>
      <c r="T27" s="1495"/>
      <c r="U27" s="353"/>
      <c r="V27" s="1495"/>
      <c r="Y27" s="355"/>
      <c r="AA27" s="1489"/>
      <c r="AB27" s="457">
        <f>CQ27-AB28</f>
        <v>0</v>
      </c>
      <c r="AC27" s="1489"/>
      <c r="AD27" s="457">
        <f>CS27-AD28</f>
        <v>0</v>
      </c>
      <c r="AE27" s="1489"/>
      <c r="AF27" s="457">
        <f>CU27-AF28</f>
        <v>0</v>
      </c>
      <c r="AG27" s="1489"/>
      <c r="AH27" s="457">
        <f>CW27-AH28</f>
        <v>0</v>
      </c>
      <c r="AI27" s="1489"/>
      <c r="AJ27" s="457">
        <f>CY27-AJ28</f>
        <v>0</v>
      </c>
      <c r="AK27" s="1489"/>
      <c r="AL27" s="457">
        <f>DA27-AL28</f>
        <v>0</v>
      </c>
      <c r="AM27" s="1489"/>
      <c r="AN27" s="457">
        <f>DC27-AN28</f>
        <v>0</v>
      </c>
      <c r="AO27" s="1505"/>
      <c r="AP27" s="457">
        <f>DE27-AP28</f>
        <v>0</v>
      </c>
      <c r="AQ27" s="1505"/>
      <c r="AT27" s="355"/>
      <c r="AV27" s="1507"/>
      <c r="AX27" s="1507"/>
      <c r="AZ27" s="1507"/>
      <c r="BB27" s="1507"/>
      <c r="BD27" s="1507"/>
      <c r="BF27" s="1507"/>
      <c r="BH27" s="1507"/>
      <c r="BJ27" s="1507"/>
      <c r="BL27" s="1507"/>
      <c r="BP27" s="1513">
        <v>0.33333333333333331</v>
      </c>
      <c r="BR27" s="1509">
        <v>0.16666666666666666</v>
      </c>
      <c r="BS27" s="1511">
        <v>0.25</v>
      </c>
      <c r="BU27" s="1509">
        <v>0.25</v>
      </c>
      <c r="BV27" s="1511">
        <v>0.25</v>
      </c>
      <c r="BX27" s="1509">
        <v>0.25</v>
      </c>
      <c r="BY27" s="1511">
        <v>0.25</v>
      </c>
      <c r="CA27" s="1509">
        <v>0.25</v>
      </c>
      <c r="CB27" s="1511">
        <v>0.25</v>
      </c>
      <c r="CD27" s="1509">
        <v>0.25</v>
      </c>
      <c r="CE27" s="1511">
        <v>0.25</v>
      </c>
      <c r="CG27" s="1509">
        <v>0.25</v>
      </c>
      <c r="CH27" s="1511">
        <v>0.25</v>
      </c>
      <c r="CJ27" s="1509">
        <v>0.25</v>
      </c>
      <c r="CK27" s="1511">
        <v>0.25</v>
      </c>
      <c r="CN27" s="355"/>
      <c r="CP27" s="1489"/>
      <c r="CQ27" s="386">
        <f>AB28</f>
        <v>199.71464752297209</v>
      </c>
      <c r="CR27" s="1489"/>
      <c r="CS27" s="386">
        <f>AD28</f>
        <v>168.28535247702797</v>
      </c>
      <c r="CT27" s="1489"/>
      <c r="CU27" s="386">
        <f>AF28</f>
        <v>160</v>
      </c>
      <c r="CV27" s="1489"/>
      <c r="CW27" s="386">
        <f>AH28</f>
        <v>160</v>
      </c>
      <c r="CX27" s="1489"/>
      <c r="CY27" s="386">
        <f>AJ28</f>
        <v>160</v>
      </c>
      <c r="CZ27" s="1489"/>
      <c r="DA27" s="386">
        <f>AL28</f>
        <v>160</v>
      </c>
      <c r="DB27" s="1489"/>
      <c r="DC27" s="386">
        <f>AN28</f>
        <v>130.89253544355603</v>
      </c>
      <c r="DD27" s="1505"/>
      <c r="DE27" s="386">
        <f>AP28</f>
        <v>128</v>
      </c>
      <c r="DF27" s="1505"/>
    </row>
    <row r="28" spans="4:111" ht="21" customHeight="1">
      <c r="D28" s="355"/>
      <c r="E28" s="353">
        <v>6</v>
      </c>
      <c r="F28" s="389"/>
      <c r="G28" s="378" t="s">
        <v>19415</v>
      </c>
      <c r="H28" s="389"/>
      <c r="I28" s="378" t="s">
        <v>19415</v>
      </c>
      <c r="J28" s="389"/>
      <c r="K28" s="378" t="s">
        <v>19415</v>
      </c>
      <c r="L28" s="389"/>
      <c r="M28" s="378" t="s">
        <v>19415</v>
      </c>
      <c r="N28" s="389"/>
      <c r="O28" s="378" t="s">
        <v>19415</v>
      </c>
      <c r="P28" s="389"/>
      <c r="Q28" s="378" t="s">
        <v>19415</v>
      </c>
      <c r="R28" s="389"/>
      <c r="S28" s="378" t="s">
        <v>199</v>
      </c>
      <c r="T28" s="389"/>
      <c r="U28" s="378" t="s">
        <v>199</v>
      </c>
      <c r="V28" s="390"/>
      <c r="W28" s="1426"/>
      <c r="Y28" s="355"/>
      <c r="AA28" s="389"/>
      <c r="AB28" s="458">
        <f>(AA26*(AW28*BP27/(AV26*'1-Eng Inputs'!$C$38))+AA29*(AW28*BP29/(AV29*'1-Eng Inputs'!$C$38))+AC26*(AW28*BR27/(AX26*'1-Eng Inputs'!$C$38))+AC29*(AW28*BR29/(AX29*'1-Eng Inputs'!$C$38)))</f>
        <v>199.71464752297209</v>
      </c>
      <c r="AC28" s="389"/>
      <c r="AD28" s="458">
        <f>(AC26*(AY28*BS27/(AX26*'1-Eng Inputs'!$C$38))+AC29*(AY28*BS29/(AX29*'1-Eng Inputs'!$C$38))+AE26*(AY28*BU27/(AZ26*'1-Eng Inputs'!$C$38))+AE29*(AY28*BU29/(AZ29*'1-Eng Inputs'!$C$38)))</f>
        <v>168.28535247702797</v>
      </c>
      <c r="AE28" s="389"/>
      <c r="AF28" s="458">
        <f>(AE26*(BA28*BV27/(AZ26*'1-Eng Inputs'!$C$38))+AE29*(BA28*BV29/(AZ29*'1-Eng Inputs'!$C$38))+AG26*(BA28*BX27/(BB26*'1-Eng Inputs'!$C$38))+AG29*(BA28*BX29/(BB29*'1-Eng Inputs'!$C$38)))</f>
        <v>160</v>
      </c>
      <c r="AG28" s="389"/>
      <c r="AH28" s="458">
        <f>(AG26*(BC28*BY27/(BB26*'1-Eng Inputs'!$C$38))+AG29*(BC28*BY29/(BB29*'1-Eng Inputs'!$C$38))+AI26*(BC28*CA27/(BD26*'1-Eng Inputs'!$C$38))+AI29*(BC28*CA29/(BD29*'1-Eng Inputs'!$C$38)))</f>
        <v>160</v>
      </c>
      <c r="AI28" s="389"/>
      <c r="AJ28" s="458">
        <f>(AI26*(BE28*CB27/(BD26*'1-Eng Inputs'!$C$38))+AI29*(BE28*CB29/(BD29*'1-Eng Inputs'!$C$38))+AK26*(BE28*CD27/(BF26*'1-Eng Inputs'!$C$38))+AK29*(BE28*CD29/(BF29*'1-Eng Inputs'!$C$38)))</f>
        <v>160</v>
      </c>
      <c r="AK28" s="389"/>
      <c r="AL28" s="458">
        <f>(AK26*(BG28*CE27/(BF26*'1-Eng Inputs'!$C$38))+AK29*(BG28*CE29/(BF29*'1-Eng Inputs'!$C$38))+AM26*(BG28*CG27/(BH26*'1-Eng Inputs'!$C$38))+AM29*(BG28*CG29/(BH29*'1-Eng Inputs'!$C$38)))</f>
        <v>160</v>
      </c>
      <c r="AM28" s="389"/>
      <c r="AN28" s="458">
        <f>(AM26*(BI28*CH27/(BH26*'1-Eng Inputs'!$C$38))+AM29*(BI28*CH29/(BH29*'1-Eng Inputs'!$C$38))+AO26*(BI28*CJ27/(BJ26*'1-Eng Inputs'!$C$38))+AO29*(BI28*CJ29/(BJ29*'1-Eng Inputs'!$C$38)))</f>
        <v>130.89253544355603</v>
      </c>
      <c r="AO28" s="389"/>
      <c r="AP28" s="458">
        <f>(AO26*(BK28*CH27/(BJ26*'1-Eng Inputs'!$C$38))+AO29*(BK28*CH29/(BJ29*'1-Eng Inputs'!$C$38))+AQ26*(BK28*CJ27/(BL26*'1-Eng Inputs'!$C$38))+AQ29*(BK28*CJ29/(BL29*'1-Eng Inputs'!$C$38)))</f>
        <v>128</v>
      </c>
      <c r="AQ28" s="390"/>
      <c r="AR28" s="1426"/>
      <c r="AT28" s="355"/>
      <c r="AU28" s="353">
        <v>6</v>
      </c>
      <c r="AW28" s="348">
        <f>'Port Calcs (lift)'!J26</f>
        <v>182.83742403897963</v>
      </c>
      <c r="AX28" s="375"/>
      <c r="AY28" s="348">
        <f>'Port Calcs (lift)'!K26</f>
        <v>150.05643416711567</v>
      </c>
      <c r="AZ28" s="375"/>
      <c r="BA28" s="348">
        <f>AY28</f>
        <v>150.05643416711567</v>
      </c>
      <c r="BB28" s="375"/>
      <c r="BC28" s="348">
        <f>$BA28</f>
        <v>150.05643416711567</v>
      </c>
      <c r="BD28" s="375"/>
      <c r="BE28" s="348">
        <f>$BA28</f>
        <v>150.05643416711567</v>
      </c>
      <c r="BF28" s="375"/>
      <c r="BG28" s="348">
        <f>$BA28</f>
        <v>150.05643416711567</v>
      </c>
      <c r="BH28" s="375"/>
      <c r="BI28" s="348">
        <f>'Port Calcs (lift)'!K31</f>
        <v>125.4706917632177</v>
      </c>
      <c r="BJ28" s="375"/>
      <c r="BK28" s="348">
        <f>BI28</f>
        <v>125.4706917632177</v>
      </c>
      <c r="BM28" s="1426"/>
      <c r="BQ28" s="381"/>
      <c r="BT28" s="381"/>
      <c r="BW28" s="381"/>
      <c r="BZ28" s="381"/>
      <c r="CC28" s="381"/>
      <c r="CF28" s="381"/>
      <c r="CI28" s="381"/>
      <c r="CN28" s="355"/>
      <c r="CO28" s="353">
        <v>6</v>
      </c>
      <c r="CP28" s="389"/>
      <c r="CQ28" s="388">
        <f>AW28</f>
        <v>182.83742403897963</v>
      </c>
      <c r="CR28" s="389"/>
      <c r="CS28" s="388">
        <f>AY28</f>
        <v>150.05643416711567</v>
      </c>
      <c r="CT28" s="389"/>
      <c r="CU28" s="388">
        <f>BA28</f>
        <v>150.05643416711567</v>
      </c>
      <c r="CV28" s="389"/>
      <c r="CW28" s="388">
        <f>BC28</f>
        <v>150.05643416711567</v>
      </c>
      <c r="CX28" s="389"/>
      <c r="CY28" s="388">
        <f>BE28</f>
        <v>150.05643416711567</v>
      </c>
      <c r="CZ28" s="389"/>
      <c r="DA28" s="388">
        <f>BG28</f>
        <v>150.05643416711567</v>
      </c>
      <c r="DB28" s="389"/>
      <c r="DC28" s="388">
        <f>BI28</f>
        <v>125.4706917632177</v>
      </c>
      <c r="DD28" s="389"/>
      <c r="DE28" s="388">
        <f>BK28</f>
        <v>125.4706917632177</v>
      </c>
      <c r="DF28" s="390"/>
      <c r="DG28" s="1426"/>
    </row>
    <row r="29" spans="4:111">
      <c r="D29" s="355"/>
      <c r="F29" s="1494">
        <f>IF($P$4="NO",ROUNDUP(CP29-0.00499,0),LEFT(CP29,1)+(IF(CP29-LEFT(CP29,1)&lt;0.00499,0,IF(CP29-LEFT(CP29,1)-0.04499&lt;('1-Eng Inputs'!$C$39/'1-Eng Inputs'!$C$38),0.5,1))))</f>
        <v>4</v>
      </c>
      <c r="G29" s="353"/>
      <c r="H29" s="1494">
        <f>IF($P$4="NO",ROUNDUP(CR29-0.00499,0),LEFT(CR29,1)+(IF(CR29-LEFT(CR29,1)&lt;0.00499,0,IF(CR29-LEFT(CR29,1)-0.04499&lt;('1-Eng Inputs'!$C$39/'1-Eng Inputs'!$C$38),0.5,1))))</f>
        <v>5</v>
      </c>
      <c r="I29" s="353"/>
      <c r="J29" s="1494">
        <f>IF($P$4="NO",ROUNDUP(CT29-0.00499,0),LEFT(CT29,1)+(IF(CT29-LEFT(CT29,1)&lt;0.00499,0,IF(CT29-LEFT(CT29,1)-0.04499&lt;('1-Eng Inputs'!$C$39/'1-Eng Inputs'!$C$38),0.5,1))))</f>
        <v>5</v>
      </c>
      <c r="K29" s="353"/>
      <c r="L29" s="1494">
        <f>IF($P$4="NO",ROUNDUP(CV29-0.00499,0),LEFT(CV29,1)+(IF(CV29-LEFT(CV29,1)&lt;0.00499,0,IF(CV29-LEFT(CV29,1)-0.04499&lt;('1-Eng Inputs'!$C$39/'1-Eng Inputs'!$C$38),0.5,1))))</f>
        <v>5</v>
      </c>
      <c r="M29" s="353"/>
      <c r="N29" s="1494">
        <f>IF($P$4="NO",ROUNDUP(CX29-0.00499,0),LEFT(CX29,1)+(IF(CX29-LEFT(CX29,1)&lt;0.00499,0,IF(CX29-LEFT(CX29,1)-0.04499&lt;('1-Eng Inputs'!$C$39/'1-Eng Inputs'!$C$38),0.5,1))))</f>
        <v>5</v>
      </c>
      <c r="O29" s="353"/>
      <c r="P29" s="1494">
        <f>IF($P$4="NO",ROUNDUP(CZ29-0.00499,0),LEFT(CZ29,1)+(IF(CZ29-LEFT(CZ29,1)&lt;0.00499,0,IF(CZ29-LEFT(CZ29,1)-0.04499&lt;('1-Eng Inputs'!$C$39/'1-Eng Inputs'!$C$38),0.5,1))))</f>
        <v>5</v>
      </c>
      <c r="Q29" s="353"/>
      <c r="R29" s="1494">
        <f>IF($P$4="NO",ROUNDUP(DB29-0.00499,0),LEFT(DB29,1)+(IF(DB29-LEFT(DB29,1)&lt;0.00499,0,IF(DB29-LEFT(DB29,1)-0.04499&lt;('1-Eng Inputs'!$C$39/'1-Eng Inputs'!$C$38),0.5,1))))</f>
        <v>5</v>
      </c>
      <c r="S29" s="353"/>
      <c r="T29" s="1494">
        <f>MAX(0,IF($P$4="NO",ROUNDUP(DD29-0.00499,0),LEFT(DD29,1)+IF(DD29-LEFT(DD29,1)&lt;0.00499,0,IF(DD29-LEFT(DD29,1)-0.04499&lt;('1-Eng Inputs'!$C$39/'1-Eng Inputs'!$C$38),0.5,1))))</f>
        <v>4</v>
      </c>
      <c r="U29" s="353"/>
      <c r="V29" s="1494">
        <f>MAX(0,IF($P$4="NO",ROUNDUP(DF29-0.00499,0),LEFT(DF29,1)+IF(DF29-LEFT(DF29,1)&lt;0.00499,0,IF(DF29-LEFT(DF29,1)-0.04499&lt;('1-Eng Inputs'!$C$39/'1-Eng Inputs'!$C$38),0.5,1))))</f>
        <v>4</v>
      </c>
      <c r="Y29" s="355"/>
      <c r="AA29" s="1486">
        <f>IF(LEFT(F29,3)-LEFT(F29,1)=0.5,'1-Eng Inputs'!$C$39,0)+LEFT(F29,1)*'1-Eng Inputs'!$C$38</f>
        <v>128</v>
      </c>
      <c r="AC29" s="1486">
        <f>IF(LEFT(H29,3)-LEFT(H29,1)=0.5,'1-Eng Inputs'!$C$39,0)+LEFT(H29,1)*'1-Eng Inputs'!$C$38</f>
        <v>160</v>
      </c>
      <c r="AE29" s="1486">
        <f>IF(LEFT(J29,3)-LEFT(J29,1)=0.5,'1-Eng Inputs'!$C$39,0)+LEFT(J29,1)*'1-Eng Inputs'!$C$38</f>
        <v>160</v>
      </c>
      <c r="AG29" s="1486">
        <f>IF(LEFT(L29,3)-LEFT(L29,1)=0.5,'1-Eng Inputs'!$C$39,0)+LEFT(L29,1)*'1-Eng Inputs'!$C$38</f>
        <v>160</v>
      </c>
      <c r="AI29" s="1486">
        <f>IF(LEFT(N29,3)-LEFT(N29,1)=0.5,'1-Eng Inputs'!$C$39,0)+LEFT(N29,1)*'1-Eng Inputs'!$C$38</f>
        <v>160</v>
      </c>
      <c r="AK29" s="1486">
        <f>IF(LEFT(P29,3)-LEFT(P29,1)=0.5,'1-Eng Inputs'!$C$39,0)+LEFT(P29,1)*'1-Eng Inputs'!$C$38</f>
        <v>160</v>
      </c>
      <c r="AM29" s="1486">
        <f>IF(LEFT(R29,3)-LEFT(R29,1)=0.5,'1-Eng Inputs'!$C$39,0)+LEFT(R29,1)*'1-Eng Inputs'!$C$38</f>
        <v>160</v>
      </c>
      <c r="AO29" s="1496">
        <f>IF(LEFT(T29,3)-LEFT(T29,1)=0.5,'1-Eng Inputs'!$C$39,0)+LEFT(T29,1)*'1-Eng Inputs'!$C$38</f>
        <v>128</v>
      </c>
      <c r="AQ29" s="1496">
        <f>IF(LEFT(V29,3)-LEFT(V29,1)=0.5,'1-Eng Inputs'!$C$39,0)+LEFT(V29,1)*'1-Eng Inputs'!$C$38</f>
        <v>128</v>
      </c>
      <c r="AT29" s="355"/>
      <c r="AV29" s="1506">
        <f>(BP29*AW28+AW31*BP30)/'1-Eng Inputs'!$C$38</f>
        <v>3.8091130008120757</v>
      </c>
      <c r="AX29" s="1506">
        <f>(AW28*BR29+AY28*BS29+AW31*BR30+AY31*BS30)/'1-Eng Inputs'!$C$38</f>
        <v>4.2491882842672197</v>
      </c>
      <c r="AZ29" s="1506">
        <f>(AY28*BU29+BA28*BV29+AY31*BU30+BA31*BV30)/'1-Eng Inputs'!$C$38</f>
        <v>4.6892635677223646</v>
      </c>
      <c r="BB29" s="1506">
        <f>(BA28*BX29+BC28*BY29+BA31*BX30+BC31*BY30)/'1-Eng Inputs'!$C$38</f>
        <v>4.6892635677223646</v>
      </c>
      <c r="BD29" s="1506">
        <f>$BB29</f>
        <v>4.6892635677223646</v>
      </c>
      <c r="BF29" s="1506">
        <f>$BB29</f>
        <v>4.6892635677223646</v>
      </c>
      <c r="BH29" s="1506">
        <f>$BB29</f>
        <v>4.6892635677223646</v>
      </c>
      <c r="BJ29" s="1506">
        <f>(BI28*CJ29+BK28*CK29+BI31*CJ30+BK31*CK30)/'1-Eng Inputs'!$C$38</f>
        <v>3.9209591176005532</v>
      </c>
      <c r="BL29" s="1506">
        <f>BJ29</f>
        <v>3.9209591176005532</v>
      </c>
      <c r="BP29" s="1512">
        <v>0.33333333333333331</v>
      </c>
      <c r="BR29" s="1508">
        <v>0.16666666666666666</v>
      </c>
      <c r="BS29" s="1510">
        <v>0.25</v>
      </c>
      <c r="BU29" s="1508">
        <v>0.25</v>
      </c>
      <c r="BV29" s="1510">
        <v>0.25</v>
      </c>
      <c r="BX29" s="1508">
        <v>0.25</v>
      </c>
      <c r="BY29" s="1510">
        <v>0.25</v>
      </c>
      <c r="CA29" s="1508">
        <v>0.25</v>
      </c>
      <c r="CB29" s="1510">
        <v>0.25</v>
      </c>
      <c r="CD29" s="1508">
        <v>0.25</v>
      </c>
      <c r="CE29" s="1510">
        <v>0.25</v>
      </c>
      <c r="CG29" s="1508">
        <v>0.25</v>
      </c>
      <c r="CH29" s="1510">
        <v>0.25</v>
      </c>
      <c r="CJ29" s="1508">
        <v>0.25</v>
      </c>
      <c r="CK29" s="1510">
        <v>0.25</v>
      </c>
      <c r="CN29" s="355"/>
      <c r="CP29" s="1486">
        <f>AV29</f>
        <v>3.8091130008120757</v>
      </c>
      <c r="CR29" s="1486">
        <f>AX29</f>
        <v>4.2491882842672197</v>
      </c>
      <c r="CT29" s="1486">
        <f>AZ29</f>
        <v>4.6892635677223646</v>
      </c>
      <c r="CV29" s="1486">
        <f>BB29</f>
        <v>4.6892635677223646</v>
      </c>
      <c r="CX29" s="1486">
        <f>BD29</f>
        <v>4.6892635677223646</v>
      </c>
      <c r="CZ29" s="1486">
        <f>BF29</f>
        <v>4.6892635677223646</v>
      </c>
      <c r="DB29" s="1486">
        <f>BH29</f>
        <v>4.6892635677223646</v>
      </c>
      <c r="DD29" s="1496">
        <f>BJ29</f>
        <v>3.9209591176005532</v>
      </c>
      <c r="DF29" s="1496">
        <f>DD29</f>
        <v>3.9209591176005532</v>
      </c>
    </row>
    <row r="30" spans="4:111" ht="12.75" hidden="1" customHeight="1">
      <c r="D30" s="355"/>
      <c r="F30" s="1495"/>
      <c r="G30" s="353"/>
      <c r="H30" s="1495"/>
      <c r="I30" s="353"/>
      <c r="J30" s="1495"/>
      <c r="K30" s="353"/>
      <c r="L30" s="1495"/>
      <c r="M30" s="353"/>
      <c r="N30" s="1495"/>
      <c r="O30" s="353"/>
      <c r="P30" s="1495"/>
      <c r="Q30" s="353"/>
      <c r="R30" s="1495"/>
      <c r="S30" s="353"/>
      <c r="T30" s="1495"/>
      <c r="U30" s="353"/>
      <c r="V30" s="1495"/>
      <c r="Y30" s="355"/>
      <c r="AA30" s="1487"/>
      <c r="AB30" s="457">
        <f>CQ30-AB31</f>
        <v>0</v>
      </c>
      <c r="AC30" s="1487"/>
      <c r="AD30" s="457">
        <f>CS30-AD31</f>
        <v>0</v>
      </c>
      <c r="AE30" s="1487"/>
      <c r="AF30" s="457">
        <f>CU30-AF31</f>
        <v>0</v>
      </c>
      <c r="AG30" s="1487"/>
      <c r="AH30" s="457">
        <f>CW30-AH31</f>
        <v>0</v>
      </c>
      <c r="AI30" s="1487"/>
      <c r="AJ30" s="457">
        <f>CY30-AJ31</f>
        <v>0</v>
      </c>
      <c r="AK30" s="1487"/>
      <c r="AL30" s="457">
        <f>DA30-AL31</f>
        <v>0</v>
      </c>
      <c r="AM30" s="1487"/>
      <c r="AN30" s="457">
        <f>DC30-AN31</f>
        <v>0</v>
      </c>
      <c r="AO30" s="1497"/>
      <c r="AP30" s="457">
        <f>DE30-AP31</f>
        <v>0</v>
      </c>
      <c r="AQ30" s="1497"/>
      <c r="AT30" s="355"/>
      <c r="AV30" s="1507"/>
      <c r="AX30" s="1507"/>
      <c r="AZ30" s="1507"/>
      <c r="BB30" s="1507"/>
      <c r="BD30" s="1507"/>
      <c r="BF30" s="1507"/>
      <c r="BH30" s="1507"/>
      <c r="BJ30" s="1507"/>
      <c r="BL30" s="1507"/>
      <c r="BP30" s="1513">
        <v>0.33333333333333331</v>
      </c>
      <c r="BR30" s="1509">
        <v>0.16666666666666666</v>
      </c>
      <c r="BS30" s="1511">
        <v>0.25</v>
      </c>
      <c r="BU30" s="1509">
        <v>0.25</v>
      </c>
      <c r="BV30" s="1511">
        <v>0.25</v>
      </c>
      <c r="BX30" s="1509">
        <v>0.25</v>
      </c>
      <c r="BY30" s="1511">
        <v>0.25</v>
      </c>
      <c r="CA30" s="1509">
        <v>0.25</v>
      </c>
      <c r="CB30" s="1511">
        <v>0.25</v>
      </c>
      <c r="CD30" s="1509">
        <v>0.25</v>
      </c>
      <c r="CE30" s="1511">
        <v>0.25</v>
      </c>
      <c r="CG30" s="1509">
        <v>0.25</v>
      </c>
      <c r="CH30" s="1511">
        <v>0.25</v>
      </c>
      <c r="CJ30" s="1509">
        <v>0.25</v>
      </c>
      <c r="CK30" s="1511">
        <v>0.25</v>
      </c>
      <c r="CN30" s="355"/>
      <c r="CP30" s="1487"/>
      <c r="CQ30" s="386">
        <f>AB31</f>
        <v>205.41979621638808</v>
      </c>
      <c r="CR30" s="1487"/>
      <c r="CS30" s="386">
        <f>AD31</f>
        <v>165.94769847012478</v>
      </c>
      <c r="CT30" s="1487"/>
      <c r="CU30" s="386">
        <f>AF31</f>
        <v>164.46718139282154</v>
      </c>
      <c r="CV30" s="1487"/>
      <c r="CW30" s="386">
        <f>AH31</f>
        <v>164.46718139282154</v>
      </c>
      <c r="CX30" s="1487"/>
      <c r="CY30" s="386">
        <f>AJ31</f>
        <v>164.46718139282154</v>
      </c>
      <c r="CZ30" s="1487"/>
      <c r="DA30" s="386">
        <f>AL31</f>
        <v>164.46718139282154</v>
      </c>
      <c r="DB30" s="1487"/>
      <c r="DC30" s="386">
        <f>AN31</f>
        <v>136.1386085830969</v>
      </c>
      <c r="DD30" s="1497"/>
      <c r="DE30" s="386">
        <f>AP31</f>
        <v>134.75688265843036</v>
      </c>
      <c r="DF30" s="1497"/>
    </row>
    <row r="31" spans="4:111" ht="21" customHeight="1">
      <c r="D31" s="355"/>
      <c r="E31" s="353">
        <v>7</v>
      </c>
      <c r="F31" s="389"/>
      <c r="G31" s="378" t="s">
        <v>19456</v>
      </c>
      <c r="H31" s="389"/>
      <c r="I31" s="378" t="s">
        <v>19456</v>
      </c>
      <c r="J31" s="389"/>
      <c r="K31" s="378" t="s">
        <v>19456</v>
      </c>
      <c r="L31" s="389"/>
      <c r="M31" s="378" t="s">
        <v>19456</v>
      </c>
      <c r="N31" s="389"/>
      <c r="O31" s="378" t="s">
        <v>19456</v>
      </c>
      <c r="P31" s="389"/>
      <c r="Q31" s="378" t="s">
        <v>19456</v>
      </c>
      <c r="R31" s="389"/>
      <c r="S31" s="378" t="s">
        <v>19457</v>
      </c>
      <c r="T31" s="389"/>
      <c r="U31" s="378" t="s">
        <v>19457</v>
      </c>
      <c r="V31" s="390"/>
      <c r="W31" s="1426"/>
      <c r="Y31" s="355"/>
      <c r="AA31" s="389"/>
      <c r="AB31" s="458">
        <f>(AA29*(AW31*BP30/(AV29*'1-Eng Inputs'!$C$38))+AA32*(AW31*BP32/(AV32*'1-Eng Inputs'!$C$38))+AC29*(AW31*BR30/(AX29*'1-Eng Inputs'!$C$38))+AC32*(AW31*BR32/(AX32*'1-Eng Inputs'!$C$38)))</f>
        <v>205.41979621638808</v>
      </c>
      <c r="AC31" s="389"/>
      <c r="AD31" s="458">
        <f>(AC29*(AY31*BS30/(AX29*'1-Eng Inputs'!$C$38))+AC32*(AY31*BS32/(AX32*'1-Eng Inputs'!$C$38))+AE29*(AY31*BU30/(AZ29*'1-Eng Inputs'!$C$38))+AE32*(AY31*BU32/(AZ32*'1-Eng Inputs'!$C$38)))</f>
        <v>165.94769847012478</v>
      </c>
      <c r="AE31" s="389"/>
      <c r="AF31" s="458">
        <f>(AE29*(BA31*BV30/(AZ29*'1-Eng Inputs'!$C$38))+AE32*(BA31*BV32/(AZ32*'1-Eng Inputs'!$C$38))+AG29*(BA31*BX30/(BB29*'1-Eng Inputs'!$C$38))+AG32*(BA31*BX32/(BB32*'1-Eng Inputs'!$C$38)))</f>
        <v>164.46718139282154</v>
      </c>
      <c r="AG31" s="389"/>
      <c r="AH31" s="458">
        <f>(AG29*(BC31*BY30/(BB29*'1-Eng Inputs'!$C$38))+AG32*(BC31*BY32/(BB32*'1-Eng Inputs'!$C$38))+AI29*(BC31*CA30/(BD29*'1-Eng Inputs'!$C$38))+AI32*(BC31*CA32/(BD32*'1-Eng Inputs'!$C$38)))</f>
        <v>164.46718139282154</v>
      </c>
      <c r="AI31" s="389"/>
      <c r="AJ31" s="458">
        <f>(AI29*(BE31*CB30/(BD29*'1-Eng Inputs'!$C$38))+AI32*(BE31*CB32/(BD32*'1-Eng Inputs'!$C$38))+AK29*(BE31*CD30/(BF29*'1-Eng Inputs'!$C$38))+AK32*(BE31*CD32/(BF32*'1-Eng Inputs'!$C$38)))</f>
        <v>164.46718139282154</v>
      </c>
      <c r="AK31" s="389"/>
      <c r="AL31" s="458">
        <f>(AK29*(BG31*CE30/(BF29*'1-Eng Inputs'!$C$38))+AK32*(BG31*CE32/(BF32*'1-Eng Inputs'!$C$38))+AM29*(BG31*CG30/(BH29*'1-Eng Inputs'!$C$38))+AM32*(BG31*CG32/(BH32*'1-Eng Inputs'!$C$38)))</f>
        <v>164.46718139282154</v>
      </c>
      <c r="AM31" s="389"/>
      <c r="AN31" s="458">
        <f>(AM29*(BI31*CH30/(BH29*'1-Eng Inputs'!$C$38))+AM32*(BI31*CH32/(BH32*'1-Eng Inputs'!$C$38))+AO29*(BI31*CJ30/(BJ29*'1-Eng Inputs'!$C$38))+AO32*(BI31*CJ32/(BJ32*'1-Eng Inputs'!$C$38)))</f>
        <v>136.1386085830969</v>
      </c>
      <c r="AO31" s="389"/>
      <c r="AP31" s="458">
        <f>(AO29*(BK31*CH30/(BJ29*'1-Eng Inputs'!$C$38))+AO32*(BK31*CH32/(BJ32*'1-Eng Inputs'!$C$38))+AQ29*(BK31*CJ30/(BL29*'1-Eng Inputs'!$C$38))+AQ32*(BK31*CJ32/(BL32*'1-Eng Inputs'!$C$38)))</f>
        <v>134.75688265843036</v>
      </c>
      <c r="AQ31" s="390"/>
      <c r="AR31" s="1426"/>
      <c r="AT31" s="355"/>
      <c r="AU31" s="353">
        <v>7</v>
      </c>
      <c r="AW31" s="348">
        <f>AW28</f>
        <v>182.83742403897963</v>
      </c>
      <c r="AX31" s="375"/>
      <c r="AY31" s="348">
        <f>AY28</f>
        <v>150.05643416711567</v>
      </c>
      <c r="AZ31" s="375"/>
      <c r="BA31" s="348">
        <f>AY28</f>
        <v>150.05643416711567</v>
      </c>
      <c r="BB31" s="375"/>
      <c r="BC31" s="348">
        <f>$BA31</f>
        <v>150.05643416711567</v>
      </c>
      <c r="BD31" s="375"/>
      <c r="BE31" s="348">
        <f>$BA31</f>
        <v>150.05643416711567</v>
      </c>
      <c r="BF31" s="375"/>
      <c r="BG31" s="348">
        <f>$BA31</f>
        <v>150.05643416711567</v>
      </c>
      <c r="BH31" s="375"/>
      <c r="BI31" s="348">
        <f>BI28</f>
        <v>125.4706917632177</v>
      </c>
      <c r="BJ31" s="375"/>
      <c r="BK31" s="348">
        <f>BI28</f>
        <v>125.4706917632177</v>
      </c>
      <c r="BM31" s="1426"/>
      <c r="BQ31" s="381"/>
      <c r="BT31" s="381"/>
      <c r="BW31" s="381"/>
      <c r="BZ31" s="381"/>
      <c r="CC31" s="381"/>
      <c r="CF31" s="381"/>
      <c r="CI31" s="381"/>
      <c r="CN31" s="355"/>
      <c r="CO31" s="353">
        <v>7</v>
      </c>
      <c r="CP31" s="389"/>
      <c r="CQ31" s="388">
        <f>AW31</f>
        <v>182.83742403897963</v>
      </c>
      <c r="CR31" s="389"/>
      <c r="CS31" s="388">
        <f>AY31</f>
        <v>150.05643416711567</v>
      </c>
      <c r="CT31" s="389"/>
      <c r="CU31" s="388">
        <f>BA31</f>
        <v>150.05643416711567</v>
      </c>
      <c r="CV31" s="389"/>
      <c r="CW31" s="388">
        <f>BC31</f>
        <v>150.05643416711567</v>
      </c>
      <c r="CX31" s="389"/>
      <c r="CY31" s="388">
        <f>BE31</f>
        <v>150.05643416711567</v>
      </c>
      <c r="CZ31" s="389"/>
      <c r="DA31" s="388">
        <f>BG31</f>
        <v>150.05643416711567</v>
      </c>
      <c r="DB31" s="389"/>
      <c r="DC31" s="388">
        <f>BI31</f>
        <v>125.4706917632177</v>
      </c>
      <c r="DD31" s="389"/>
      <c r="DE31" s="388">
        <f>BK31</f>
        <v>125.4706917632177</v>
      </c>
      <c r="DF31" s="390"/>
      <c r="DG31" s="1426"/>
    </row>
    <row r="32" spans="4:111">
      <c r="D32" s="355"/>
      <c r="F32" s="1494">
        <f>IF($P$4="NO",ROUNDUP(CP32-0.00499,0),LEFT(CP32,1)+(IF(CP32-LEFT(CP32,1)&lt;0.00499,0,IF(CP32-LEFT(CP32,1)-0.04499&lt;('1-Eng Inputs'!$C$39/'1-Eng Inputs'!$C$38),0.5,1))))</f>
        <v>5</v>
      </c>
      <c r="G32" s="353"/>
      <c r="H32" s="1494">
        <f>IF($P$4="NO",ROUNDUP(CR32-0.00499,0),LEFT(CR32,1)+(IF(CR32-LEFT(CR32,1)&lt;0.00499,0,IF(CR32-LEFT(CR32,1)-0.04499&lt;('1-Eng Inputs'!$C$39/'1-Eng Inputs'!$C$38),0.5,1))))</f>
        <v>5</v>
      </c>
      <c r="I32" s="353"/>
      <c r="J32" s="1494">
        <f>IF($P$4="NO",ROUNDUP(CT32-0.00499,0),LEFT(CT32,1)+(IF(CT32-LEFT(CT32,1)&lt;0.00499,0,IF(CT32-LEFT(CT32,1)-0.04499&lt;('1-Eng Inputs'!$C$39/'1-Eng Inputs'!$C$38),0.5,1))))</f>
        <v>6</v>
      </c>
      <c r="K32" s="353"/>
      <c r="L32" s="1494">
        <f>IF($P$4="NO",ROUNDUP(CV32-0.00499,0),LEFT(CV32,1)+(IF(CV32-LEFT(CV32,1)&lt;0.00499,0,IF(CV32-LEFT(CV32,1)-0.04499&lt;('1-Eng Inputs'!$C$39/'1-Eng Inputs'!$C$38),0.5,1))))</f>
        <v>6</v>
      </c>
      <c r="M32" s="353"/>
      <c r="N32" s="1494">
        <f>IF($P$4="NO",ROUNDUP(CX32-0.00499,0),LEFT(CX32,1)+(IF(CX32-LEFT(CX32,1)&lt;0.00499,0,IF(CX32-LEFT(CX32,1)-0.04499&lt;('1-Eng Inputs'!$C$39/'1-Eng Inputs'!$C$38),0.5,1))))</f>
        <v>6</v>
      </c>
      <c r="O32" s="353"/>
      <c r="P32" s="1494">
        <f>IF($P$4="NO",ROUNDUP(CZ32-0.00499,0),LEFT(CZ32,1)+(IF(CZ32-LEFT(CZ32,1)&lt;0.00499,0,IF(CZ32-LEFT(CZ32,1)-0.04499&lt;('1-Eng Inputs'!$C$39/'1-Eng Inputs'!$C$38),0.5,1))))</f>
        <v>6</v>
      </c>
      <c r="Q32" s="353"/>
      <c r="R32" s="1494">
        <f>IF($P$4="NO",ROUNDUP(DB32-0.00499,0),LEFT(DB32,1)+(IF(DB32-LEFT(DB32,1)&lt;0.00499,0,IF(DB32-LEFT(DB32,1)-0.04499&lt;('1-Eng Inputs'!$C$39/'1-Eng Inputs'!$C$38),0.5,1))))</f>
        <v>6</v>
      </c>
      <c r="S32" s="353"/>
      <c r="T32" s="1494">
        <f>IF($P$4="NO",ROUNDUP(DD32-0.00499,0),LEFT(DD32,1)+(IF(DD32-LEFT(DD32,1)&lt;0.00499,0,IF(DD32-LEFT(DD32,1)-0.04499&lt;('1-Eng Inputs'!$C$39/'1-Eng Inputs'!$C$38),0.5,1))))</f>
        <v>5</v>
      </c>
      <c r="U32" s="353"/>
      <c r="V32" s="1494">
        <f>IF($P$4="NO",ROUNDUP(DF32-0.00499,0),LEFT(DF32,1)+(IF(DF32-LEFT(DF32,1)&lt;0.00499,0,IF(DF32-LEFT(DF32,1)-0.04499&lt;('1-Eng Inputs'!$C$39/'1-Eng Inputs'!$C$38),0.5,1))))</f>
        <v>5</v>
      </c>
      <c r="Y32" s="355"/>
      <c r="AA32" s="1486">
        <f>IF(LEFT(F32,3)-LEFT(F32,1)=0.5,'1-Eng Inputs'!$C$39,0)+LEFT(F32,1)*'1-Eng Inputs'!$C$38</f>
        <v>160</v>
      </c>
      <c r="AC32" s="1486">
        <f>IF(LEFT(H32,3)-LEFT(H32,1)=0.5,'1-Eng Inputs'!$C$39,0)+LEFT(H32,1)*'1-Eng Inputs'!$C$38</f>
        <v>160</v>
      </c>
      <c r="AE32" s="1486">
        <f>IF(LEFT(J32,3)-LEFT(J32,1)=0.5,'1-Eng Inputs'!$C$39,0)+LEFT(J32,1)*'1-Eng Inputs'!$C$38</f>
        <v>192</v>
      </c>
      <c r="AG32" s="1486">
        <f>IF(LEFT(L32,3)-LEFT(L32,1)=0.5,'1-Eng Inputs'!$C$39,0)+LEFT(L32,1)*'1-Eng Inputs'!$C$38</f>
        <v>192</v>
      </c>
      <c r="AI32" s="1486">
        <f>IF(LEFT(N32,3)-LEFT(N32,1)=0.5,'1-Eng Inputs'!$C$39,0)+LEFT(N32,1)*'1-Eng Inputs'!$C$38</f>
        <v>192</v>
      </c>
      <c r="AK32" s="1486">
        <f>IF(LEFT(P32,3)-LEFT(P32,1)=0.5,'1-Eng Inputs'!$C$39,0)+LEFT(P32,1)*'1-Eng Inputs'!$C$38</f>
        <v>192</v>
      </c>
      <c r="AM32" s="1486">
        <f>IF(LEFT(R32,3)-LEFT(R32,1)=0.5,'1-Eng Inputs'!$C$39,0)+LEFT(R32,1)*'1-Eng Inputs'!$C$38</f>
        <v>192</v>
      </c>
      <c r="AO32" s="1496">
        <f>IF(LEFT(T32,3)-LEFT(T32,1)=0.5,'1-Eng Inputs'!$C$39,0)+LEFT(T32,1)*'1-Eng Inputs'!$C$38</f>
        <v>160</v>
      </c>
      <c r="AQ32" s="1496">
        <f>IF(LEFT(V32,3)-LEFT(V32,1)=0.5,'1-Eng Inputs'!$C$39,0)+LEFT(V32,1)*'1-Eng Inputs'!$C$38</f>
        <v>160</v>
      </c>
      <c r="AT32" s="355"/>
      <c r="AV32" s="1506">
        <f>(BP32*AW31+AW34*BP33)/'1-Eng Inputs'!$C$38</f>
        <v>4.1505816453106581</v>
      </c>
      <c r="AX32" s="1506">
        <f>(AW31*BR32+AY31*BS32+AW34*BR33+AY34*BS33)/'1-Eng Inputs'!$C$38</f>
        <v>4.7400494607339319</v>
      </c>
      <c r="AZ32" s="1506">
        <f>(AY31*BU32+BA31*BV32+AY34*BU33+BA34*BV33)/'1-Eng Inputs'!$C$38</f>
        <v>5.3295172761572065</v>
      </c>
      <c r="BB32" s="1506">
        <f>(BA31*BX32+BC31*BY32+BA34*BX33+BC34*BY33)/'1-Eng Inputs'!$C$38</f>
        <v>5.3295172761572065</v>
      </c>
      <c r="BD32" s="1506">
        <f>$BB32</f>
        <v>5.3295172761572065</v>
      </c>
      <c r="BF32" s="1506">
        <f>$BB32</f>
        <v>5.3295172761572065</v>
      </c>
      <c r="BH32" s="1506">
        <f>$BB32</f>
        <v>5.3295172761572065</v>
      </c>
      <c r="BJ32" s="1506">
        <f>(BI31*CJ32+BK31*CK32+BI34*CJ33+BK34*CK33)/'1-Eng Inputs'!$C$38</f>
        <v>4.4331620843484281</v>
      </c>
      <c r="BL32" s="1506">
        <f>BJ32</f>
        <v>4.4331620843484281</v>
      </c>
      <c r="BP32" s="1512">
        <v>0.33333333333333331</v>
      </c>
      <c r="BR32" s="1508">
        <v>0.16666666666666666</v>
      </c>
      <c r="BS32" s="1510">
        <v>0.25</v>
      </c>
      <c r="BU32" s="1508">
        <v>0.25</v>
      </c>
      <c r="BV32" s="1510">
        <v>0.25</v>
      </c>
      <c r="BX32" s="1508">
        <v>0.25</v>
      </c>
      <c r="BY32" s="1510">
        <v>0.25</v>
      </c>
      <c r="CA32" s="1508">
        <v>0.25</v>
      </c>
      <c r="CB32" s="1510">
        <v>0.25</v>
      </c>
      <c r="CD32" s="1508">
        <v>0.25</v>
      </c>
      <c r="CE32" s="1510">
        <v>0.25</v>
      </c>
      <c r="CG32" s="1508">
        <v>0.25</v>
      </c>
      <c r="CH32" s="1510">
        <v>0.25</v>
      </c>
      <c r="CJ32" s="1508">
        <v>0.25</v>
      </c>
      <c r="CK32" s="1510">
        <v>0.25</v>
      </c>
      <c r="CN32" s="355"/>
      <c r="CP32" s="1486">
        <f>AV32</f>
        <v>4.1505816453106581</v>
      </c>
      <c r="CR32" s="1486">
        <f>AX32</f>
        <v>4.7400494607339319</v>
      </c>
      <c r="CT32" s="1486">
        <f>AZ32</f>
        <v>5.3295172761572065</v>
      </c>
      <c r="CV32" s="1486">
        <f>BB32</f>
        <v>5.3295172761572065</v>
      </c>
      <c r="CX32" s="1486">
        <f>BD32</f>
        <v>5.3295172761572065</v>
      </c>
      <c r="CZ32" s="1486">
        <f>BF32</f>
        <v>5.3295172761572065</v>
      </c>
      <c r="DB32" s="1486">
        <f>BH32</f>
        <v>5.3295172761572065</v>
      </c>
      <c r="DD32" s="1496">
        <f>BJ32</f>
        <v>4.4331620843484281</v>
      </c>
      <c r="DF32" s="1496">
        <f>DD32</f>
        <v>4.4331620843484281</v>
      </c>
    </row>
    <row r="33" spans="1:116" ht="12.75" hidden="1" customHeight="1">
      <c r="D33" s="355"/>
      <c r="F33" s="1495"/>
      <c r="G33" s="353"/>
      <c r="H33" s="1495"/>
      <c r="I33" s="353"/>
      <c r="J33" s="1495"/>
      <c r="K33" s="353"/>
      <c r="L33" s="1495"/>
      <c r="M33" s="353"/>
      <c r="N33" s="1495"/>
      <c r="O33" s="353"/>
      <c r="P33" s="1495"/>
      <c r="Q33" s="353"/>
      <c r="R33" s="1495"/>
      <c r="S33" s="353"/>
      <c r="T33" s="1495"/>
      <c r="U33" s="353"/>
      <c r="V33" s="1495"/>
      <c r="Y33" s="355"/>
      <c r="AA33" s="1487"/>
      <c r="AB33" s="457">
        <f>CQ33-AB34</f>
        <v>0</v>
      </c>
      <c r="AC33" s="1487"/>
      <c r="AD33" s="457">
        <f>CS33-AD34</f>
        <v>0</v>
      </c>
      <c r="AE33" s="1487"/>
      <c r="AF33" s="457">
        <f>CU33-AF34</f>
        <v>0</v>
      </c>
      <c r="AG33" s="1487"/>
      <c r="AH33" s="457">
        <f>CW33-AH34</f>
        <v>0</v>
      </c>
      <c r="AI33" s="1487"/>
      <c r="AJ33" s="457">
        <f>CY33-AJ34</f>
        <v>0</v>
      </c>
      <c r="AK33" s="1487"/>
      <c r="AL33" s="457">
        <f>DA33-AL34</f>
        <v>0</v>
      </c>
      <c r="AM33" s="1487"/>
      <c r="AN33" s="457">
        <f>DC33-AN34</f>
        <v>0</v>
      </c>
      <c r="AO33" s="1497"/>
      <c r="AP33" s="457">
        <f>DE33-AP34</f>
        <v>0</v>
      </c>
      <c r="AQ33" s="1497"/>
      <c r="AT33" s="355"/>
      <c r="AV33" s="1507"/>
      <c r="AX33" s="1507"/>
      <c r="AZ33" s="1507"/>
      <c r="BB33" s="1507"/>
      <c r="BD33" s="1507"/>
      <c r="BF33" s="1507"/>
      <c r="BH33" s="1507"/>
      <c r="BJ33" s="1507"/>
      <c r="BL33" s="1507"/>
      <c r="BP33" s="1513">
        <v>0.33333333333333331</v>
      </c>
      <c r="BR33" s="1509">
        <v>0.16666666666666666</v>
      </c>
      <c r="BS33" s="1511">
        <v>0.25</v>
      </c>
      <c r="BU33" s="1509">
        <v>0.25</v>
      </c>
      <c r="BV33" s="1511">
        <v>0.25</v>
      </c>
      <c r="BX33" s="1509">
        <v>0.25</v>
      </c>
      <c r="BY33" s="1511">
        <v>0.25</v>
      </c>
      <c r="CA33" s="1509">
        <v>0.25</v>
      </c>
      <c r="CB33" s="1511">
        <v>0.25</v>
      </c>
      <c r="CD33" s="1509">
        <v>0.25</v>
      </c>
      <c r="CE33" s="1511">
        <v>0.25</v>
      </c>
      <c r="CG33" s="1509">
        <v>0.25</v>
      </c>
      <c r="CH33" s="1511">
        <v>0.25</v>
      </c>
      <c r="CJ33" s="1509">
        <v>0.25</v>
      </c>
      <c r="CK33" s="1511">
        <v>0.25</v>
      </c>
      <c r="CN33" s="355"/>
      <c r="CP33" s="1487"/>
      <c r="CQ33" s="386">
        <f>AB34</f>
        <v>247.42636271813245</v>
      </c>
      <c r="CR33" s="1487"/>
      <c r="CS33" s="386">
        <f>AD34</f>
        <v>211.20614259535475</v>
      </c>
      <c r="CT33" s="1487"/>
      <c r="CU33" s="386">
        <f>AF34</f>
        <v>207.53281860717846</v>
      </c>
      <c r="CV33" s="1487"/>
      <c r="CW33" s="386">
        <f>AH34</f>
        <v>207.53281860717846</v>
      </c>
      <c r="CX33" s="1487"/>
      <c r="CY33" s="386">
        <f>AJ34</f>
        <v>207.53281860717846</v>
      </c>
      <c r="CZ33" s="1487"/>
      <c r="DA33" s="386">
        <f>AL34</f>
        <v>207.53281860717846</v>
      </c>
      <c r="DB33" s="1487"/>
      <c r="DC33" s="386">
        <f>AN34</f>
        <v>170.58176976970219</v>
      </c>
      <c r="DD33" s="1497"/>
      <c r="DE33" s="386">
        <f>AP34</f>
        <v>169.24311734156964</v>
      </c>
      <c r="DF33" s="1497"/>
    </row>
    <row r="34" spans="1:116" ht="21" customHeight="1">
      <c r="D34" s="355"/>
      <c r="E34" s="353">
        <v>8</v>
      </c>
      <c r="F34" s="389"/>
      <c r="G34" s="378" t="s">
        <v>19456</v>
      </c>
      <c r="H34" s="389"/>
      <c r="I34" s="378" t="s">
        <v>19456</v>
      </c>
      <c r="J34" s="389"/>
      <c r="K34" s="378" t="s">
        <v>19456</v>
      </c>
      <c r="L34" s="389"/>
      <c r="M34" s="378" t="s">
        <v>19456</v>
      </c>
      <c r="N34" s="389"/>
      <c r="O34" s="378" t="s">
        <v>19456</v>
      </c>
      <c r="P34" s="389"/>
      <c r="Q34" s="378" t="s">
        <v>19456</v>
      </c>
      <c r="R34" s="389"/>
      <c r="S34" s="378" t="s">
        <v>19457</v>
      </c>
      <c r="T34" s="389"/>
      <c r="U34" s="378" t="s">
        <v>19457</v>
      </c>
      <c r="V34" s="390"/>
      <c r="W34" s="1426"/>
      <c r="Y34" s="355"/>
      <c r="AA34" s="389"/>
      <c r="AB34" s="458">
        <f>(AA32*(AW34*BP33/(AV32*'1-Eng Inputs'!$C$38))+AA35*(AW34*BP35/(AV35*'1-Eng Inputs'!$C$38))/factors!$B$4+AC32*(AW34*BR33/(AX32*'1-Eng Inputs'!$C$38))+AC35*(AW34*BR35/(AX35*'1-Eng Inputs'!$C$38))/factors!$B$4)</f>
        <v>247.42636271813245</v>
      </c>
      <c r="AC34" s="389"/>
      <c r="AD34" s="458">
        <f>(AC32*(AY34*BS33/(AX32*'1-Eng Inputs'!$C$38))+AC35*(AY34*BS35/(AX35*'1-Eng Inputs'!$C$38))/factors!$B$4+AE32*(AY34*BU33/(AZ32*'1-Eng Inputs'!$C$38))+AE35*(AY34*BU35/(AZ35*'1-Eng Inputs'!$C$38))/factors!$B$4)</f>
        <v>211.20614259535475</v>
      </c>
      <c r="AE34" s="389"/>
      <c r="AF34" s="458">
        <f>(AE32*(BA34*BV33/(AZ32*'1-Eng Inputs'!$C$38))+AE35*(BA34*BV35/(AZ35*'1-Eng Inputs'!$C$38))/factors!$B$4+AG32*(BA34*BX33/(BB32*'1-Eng Inputs'!$C$38))+AG35*(BA34*BX35/(BB35*'1-Eng Inputs'!$C$38))/factors!$B$4)</f>
        <v>207.53281860717846</v>
      </c>
      <c r="AG34" s="389"/>
      <c r="AH34" s="458">
        <f>(AG32*(BC34*BY33/(BB32*'1-Eng Inputs'!$C$38))+AG35*(BC34*BY35/(BB35*'1-Eng Inputs'!$C$38))/factors!$B$4+AI32*(BC34*CA33/(BD32*'1-Eng Inputs'!$C$38))+AI35*(BC34*CA35/(BD35*'1-Eng Inputs'!$C$38))/factors!$B$4)</f>
        <v>207.53281860717846</v>
      </c>
      <c r="AI34" s="389"/>
      <c r="AJ34" s="458">
        <f>(AI32*(BE34*CB33/(BD32*'1-Eng Inputs'!$C$38))+AI35*(BE34*CB35/(BD35*'1-Eng Inputs'!$C$38))/factors!$B$4+AK32*(BE34*CD33/(BF32*'1-Eng Inputs'!$C$38))+AK35*(BE34*CD35/(BF35*'1-Eng Inputs'!$C$38))/factors!$B$4)</f>
        <v>207.53281860717846</v>
      </c>
      <c r="AK34" s="389"/>
      <c r="AL34" s="458">
        <f>(AK32*(BG34*CE33/(BF32*'1-Eng Inputs'!$C$38))+AK35*(BG34*CE35/(BF35*'1-Eng Inputs'!$C$38))/factors!$B$4+AM32*(BG34*CG33/(BH32*'1-Eng Inputs'!$C$38))+AM35*(BG34*CG35/(BH35*'1-Eng Inputs'!$C$38))/factors!$B$4)</f>
        <v>207.53281860717846</v>
      </c>
      <c r="AM34" s="389"/>
      <c r="AN34" s="458">
        <f>(AM32*(BI34*CH33/(BH32*'1-Eng Inputs'!$C$38))+AM35*(BI34*CH35/(BH35*'1-Eng Inputs'!$C$38))/factors!$B$4+AO32*(BI34*CJ33/(BJ32*'1-Eng Inputs'!$C$38))+AO35*(BI34*CJ35/(BJ35*'1-Eng Inputs'!$C$38))/factors!$B$4)</f>
        <v>170.58176976970219</v>
      </c>
      <c r="AO34" s="389"/>
      <c r="AP34" s="458">
        <f>(AO32*(BK34*CH33/(BJ32*'1-Eng Inputs'!$C$38))+AO35*(BK34*CH35/(BJ35*'1-Eng Inputs'!$C$38))/factors!$B$4+AQ32*(BK34*CJ33/(BL32*'1-Eng Inputs'!$C$38))+AQ35*(BK34*CJ35/(BL35*'1-Eng Inputs'!$C$38))/factors!$B$4)</f>
        <v>169.24311734156964</v>
      </c>
      <c r="AQ34" s="390"/>
      <c r="AR34" s="1426"/>
      <c r="AT34" s="355"/>
      <c r="AU34" s="353">
        <v>8</v>
      </c>
      <c r="AV34" s="375"/>
      <c r="AW34" s="348">
        <f>'Port Calcs (lift)'!H26</f>
        <v>215.61841391084357</v>
      </c>
      <c r="AX34" s="375"/>
      <c r="AY34" s="348">
        <f>'Port Calcs (lift)'!I26</f>
        <v>191.03267150694558</v>
      </c>
      <c r="AZ34" s="375"/>
      <c r="BA34" s="348">
        <f>AY34</f>
        <v>191.03267150694558</v>
      </c>
      <c r="BB34" s="375"/>
      <c r="BC34" s="348">
        <f>$BA34</f>
        <v>191.03267150694558</v>
      </c>
      <c r="BD34" s="375"/>
      <c r="BE34" s="348">
        <f>$BA34</f>
        <v>191.03267150694558</v>
      </c>
      <c r="BF34" s="375"/>
      <c r="BG34" s="348">
        <f>$BA34</f>
        <v>191.03267150694558</v>
      </c>
      <c r="BH34" s="375"/>
      <c r="BI34" s="348">
        <f>'Port Calcs (lift)'!I31</f>
        <v>158.2516816350817</v>
      </c>
      <c r="BJ34" s="375"/>
      <c r="BK34" s="348">
        <f>BI34</f>
        <v>158.2516816350817</v>
      </c>
      <c r="BL34" s="375"/>
      <c r="BM34" s="1426"/>
      <c r="BQ34" s="381"/>
      <c r="BT34" s="381"/>
      <c r="BW34" s="381"/>
      <c r="BZ34" s="381"/>
      <c r="CC34" s="381"/>
      <c r="CF34" s="381"/>
      <c r="CI34" s="381"/>
      <c r="CN34" s="355"/>
      <c r="CO34" s="353">
        <v>8</v>
      </c>
      <c r="CP34" s="389"/>
      <c r="CQ34" s="388">
        <f>AW34</f>
        <v>215.61841391084357</v>
      </c>
      <c r="CR34" s="389"/>
      <c r="CS34" s="388">
        <f>AY34</f>
        <v>191.03267150694558</v>
      </c>
      <c r="CT34" s="389"/>
      <c r="CU34" s="388">
        <f>BA34</f>
        <v>191.03267150694558</v>
      </c>
      <c r="CV34" s="389"/>
      <c r="CW34" s="388">
        <f>BC34</f>
        <v>191.03267150694558</v>
      </c>
      <c r="CX34" s="389"/>
      <c r="CY34" s="388">
        <f>BE34</f>
        <v>191.03267150694558</v>
      </c>
      <c r="CZ34" s="389"/>
      <c r="DA34" s="388">
        <f>BG34</f>
        <v>191.03267150694558</v>
      </c>
      <c r="DB34" s="389"/>
      <c r="DC34" s="388">
        <f>BI34</f>
        <v>158.2516816350817</v>
      </c>
      <c r="DD34" s="389"/>
      <c r="DE34" s="388">
        <f>BK34</f>
        <v>158.2516816350817</v>
      </c>
      <c r="DF34" s="390"/>
      <c r="DG34" s="1426"/>
    </row>
    <row r="35" spans="1:116" ht="12.75" hidden="1" customHeight="1">
      <c r="F35" s="1516"/>
      <c r="H35" s="1516"/>
      <c r="J35" s="1516"/>
      <c r="L35" s="1516"/>
      <c r="N35" s="1516"/>
      <c r="P35" s="1516"/>
      <c r="R35" s="1516"/>
      <c r="T35" s="1516"/>
      <c r="V35" s="1516"/>
      <c r="AA35" s="1486">
        <f>IF(LEFT(F36,3)-LEFT(F36,1)=0.5,'1-Eng Inputs'!$C$39,0)+LEFT(F36,1)*'1-Eng Inputs'!$C$38</f>
        <v>128</v>
      </c>
      <c r="AC35" s="1486">
        <f>IF(LEFT(H36,3)-LEFT(H36,1)=0.5,'1-Eng Inputs'!$C$39,0)+LEFT(H36,1)*'1-Eng Inputs'!$C$38</f>
        <v>160</v>
      </c>
      <c r="AE35" s="1486">
        <f>IF(LEFT(J36,3)-LEFT(J36,1)=0.5,'1-Eng Inputs'!$C$39,0)+LEFT(J36,1)*'1-Eng Inputs'!$C$38</f>
        <v>160</v>
      </c>
      <c r="AG35" s="1486">
        <f>IF(LEFT(L36,3)-LEFT(L36,1)=0.5,'1-Eng Inputs'!$C$39,0)+LEFT(L36,1)*'1-Eng Inputs'!$C$38</f>
        <v>160</v>
      </c>
      <c r="AI35" s="1486">
        <f>IF(LEFT(N36,3)-LEFT(N36,1)=0.5,'1-Eng Inputs'!$C$39,0)+LEFT(N36,1)*'1-Eng Inputs'!$C$38</f>
        <v>160</v>
      </c>
      <c r="AK35" s="1486">
        <f>IF(LEFT(P36,3)-LEFT(P36,1)=0.5,'1-Eng Inputs'!$C$39,0)+LEFT(P36,1)*'1-Eng Inputs'!$C$38</f>
        <v>160</v>
      </c>
      <c r="AM35" s="1486">
        <f>IF(LEFT(R36,3)-LEFT(R36,1)=0.5,'1-Eng Inputs'!$C$39,0)+LEFT(R36,1)*'1-Eng Inputs'!$C$38</f>
        <v>160</v>
      </c>
      <c r="AO35" s="1496">
        <f>IF(LEFT(T36,3)-LEFT(T36,1)=0.5,'1-Eng Inputs'!$C$39,0)+LEFT(T36,1)*'1-Eng Inputs'!$C$38</f>
        <v>128</v>
      </c>
      <c r="AQ35" s="1496">
        <f>IF(LEFT(V36,3)-LEFT(V36,1)=0.5,'1-Eng Inputs'!$C$39,0)+LEFT(V36,1)*'1-Eng Inputs'!$C$38</f>
        <v>128</v>
      </c>
      <c r="AV35" s="1506">
        <f>(BP35*AW34)/'1-Eng Inputs'!$C$38</f>
        <v>2.2460251449046202</v>
      </c>
      <c r="AX35" s="1506">
        <f>(AW34*BR35+AY34*BS35)/'1-Eng Inputs'!$C$38</f>
        <v>2.6154553186003224</v>
      </c>
      <c r="AZ35" s="1506">
        <f>(AY34*BU35+BA34*BV35)/'1-Eng Inputs'!$C$38</f>
        <v>2.9848854922960246</v>
      </c>
      <c r="BB35" s="1506">
        <f>(BA34*BX35+BC34*BY35)/'1-Eng Inputs'!$C$38</f>
        <v>2.9848854922960246</v>
      </c>
      <c r="BD35" s="1506">
        <f>$BB35</f>
        <v>2.9848854922960246</v>
      </c>
      <c r="BF35" s="1506">
        <f>$BB35</f>
        <v>2.9848854922960246</v>
      </c>
      <c r="BH35" s="1506">
        <f>$BB35</f>
        <v>2.9848854922960246</v>
      </c>
      <c r="BJ35" s="1506">
        <f>(BI34*CJ35+BK34*CK35)/'1-Eng Inputs'!$C$38</f>
        <v>2.4726825255481515</v>
      </c>
      <c r="BL35" s="1506">
        <f>BJ35</f>
        <v>2.4726825255481515</v>
      </c>
      <c r="BP35" s="1512">
        <v>0.33333333333333331</v>
      </c>
      <c r="BR35" s="1508">
        <v>0.16666666666666666</v>
      </c>
      <c r="BS35" s="1510">
        <v>0.25</v>
      </c>
      <c r="BU35" s="1508">
        <v>0.25</v>
      </c>
      <c r="BV35" s="1510">
        <v>0.25</v>
      </c>
      <c r="BX35" s="1508">
        <v>0.25</v>
      </c>
      <c r="BY35" s="1510">
        <v>0.25</v>
      </c>
      <c r="CA35" s="1508">
        <v>0.25</v>
      </c>
      <c r="CB35" s="1510">
        <v>0.25</v>
      </c>
      <c r="CD35" s="1508">
        <v>0.25</v>
      </c>
      <c r="CE35" s="1510">
        <v>0.25</v>
      </c>
      <c r="CG35" s="1508">
        <v>0.25</v>
      </c>
      <c r="CH35" s="1510">
        <v>0.25</v>
      </c>
      <c r="CJ35" s="1508">
        <v>0.25</v>
      </c>
      <c r="CK35" s="1510">
        <v>0.25</v>
      </c>
      <c r="CP35" s="1486">
        <f>AV35</f>
        <v>2.2460251449046202</v>
      </c>
      <c r="CR35" s="1486">
        <f>AX35</f>
        <v>2.6154553186003224</v>
      </c>
      <c r="CT35" s="1486">
        <f>AZ35</f>
        <v>2.9848854922960246</v>
      </c>
      <c r="CV35" s="1486">
        <f>BB35</f>
        <v>2.9848854922960246</v>
      </c>
      <c r="CX35" s="1486">
        <f>BD35</f>
        <v>2.9848854922960246</v>
      </c>
      <c r="CZ35" s="1486">
        <f>BF35</f>
        <v>2.9848854922960246</v>
      </c>
      <c r="DB35" s="1486">
        <f>BH35</f>
        <v>2.9848854922960246</v>
      </c>
      <c r="DD35" s="1496">
        <f>BJ35</f>
        <v>2.4726825255481515</v>
      </c>
      <c r="DF35" s="1496">
        <f>DD35</f>
        <v>2.4726825255481515</v>
      </c>
    </row>
    <row r="36" spans="1:116">
      <c r="F36" s="1495">
        <f>IF($P$4="NO",ROUNDUP(CP36,0),LEFT(CP36,1)+(IF(CP36-LEFT(CP36,1)&lt;0.01,0,IF(CP36-LEFT(CP36,1)&lt;('1-Eng Inputs'!$C$39/'1-Eng Inputs'!$C$38),0.5,1))))</f>
        <v>4</v>
      </c>
      <c r="G36" s="353"/>
      <c r="H36" s="1495">
        <f>IF($P$4="NO",ROUNDUP(CR36,0),LEFT(CR36,1)+(IF(CR36-LEFT(CR36,1)&lt;0.01,0,IF(CR36-LEFT(CR36,1)&lt;('1-Eng Inputs'!$C$39/'1-Eng Inputs'!$C$38),0.5,1))))</f>
        <v>5</v>
      </c>
      <c r="I36" s="353"/>
      <c r="J36" s="1495">
        <f>IF($P$4="NO",ROUNDUP(CT36,0),LEFT(CT36,1)+(IF(CT36-LEFT(CT36,1)&lt;0.01,0,IF(CT36-LEFT(CT36,1)&lt;('1-Eng Inputs'!$C$39/'1-Eng Inputs'!$C$38),0.5,1))))</f>
        <v>5</v>
      </c>
      <c r="K36" s="353"/>
      <c r="L36" s="1495">
        <f>IF($P$4="NO",ROUNDUP(CV36,0),LEFT(CV36,1)+(IF(CV36-LEFT(CV36,1)&lt;0.01,0,IF(CV36-LEFT(CV36,1)&lt;('1-Eng Inputs'!$C$39/'1-Eng Inputs'!$C$38),0.5,1))))</f>
        <v>5</v>
      </c>
      <c r="M36" s="353"/>
      <c r="N36" s="1495">
        <f>IF($P$4="NO",ROUNDUP(CX36,0),LEFT(CX36,1)+(IF(CX36-LEFT(CX36,1)&lt;0.01,0,IF(CX36-LEFT(CX36,1)&lt;('1-Eng Inputs'!$C$39/'1-Eng Inputs'!$C$38),0.5,1))))</f>
        <v>5</v>
      </c>
      <c r="O36" s="353"/>
      <c r="P36" s="1495">
        <f>IF($P$4="NO",ROUNDUP(CZ36,0),LEFT(CZ36,1)+(IF(CZ36-LEFT(CZ36,1)&lt;0.01,0,IF(CZ36-LEFT(CZ36,1)&lt;('1-Eng Inputs'!$C$39/'1-Eng Inputs'!$C$38),0.5,1))))</f>
        <v>5</v>
      </c>
      <c r="Q36" s="353"/>
      <c r="R36" s="1495">
        <f>IF($P$4="NO",ROUNDUP(DB36,0),LEFT(DB36,1)+(IF(DB36-LEFT(DB36,1)&lt;0.01,0,IF(DB36-LEFT(DB36,1)&lt;('1-Eng Inputs'!$C$39/'1-Eng Inputs'!$C$38),0.5,1))))</f>
        <v>5</v>
      </c>
      <c r="S36" s="353"/>
      <c r="T36" s="1495">
        <f>IF($P$4="NO",ROUNDUP(DD36,0),LEFT(DD36,1)+(IF(DD36-LEFT(DD36,1)&lt;0.01,0,IF(DD36-LEFT(DD36,1)&lt;('1-Eng Inputs'!$C$39/'1-Eng Inputs'!$C$38),0.5,1))))</f>
        <v>4</v>
      </c>
      <c r="U36" s="353"/>
      <c r="V36" s="1495">
        <f>IF($P$4="NO",ROUNDUP(DF36,0),LEFT(DF36,1)+(IF(DF36-LEFT(DF36,1)&lt;0.01,0,IF(DF36-LEFT(DF36,1)&lt;('1-Eng Inputs'!$C$39/'1-Eng Inputs'!$C$38),0.5,1))))</f>
        <v>4</v>
      </c>
      <c r="AA36" s="1487"/>
      <c r="AC36" s="1487"/>
      <c r="AE36" s="1487"/>
      <c r="AG36" s="1487"/>
      <c r="AI36" s="1487"/>
      <c r="AK36" s="1487"/>
      <c r="AM36" s="1487"/>
      <c r="AO36" s="1497"/>
      <c r="AQ36" s="1497"/>
      <c r="AV36" s="1507">
        <f>AV35*factors!$B$4</f>
        <v>3.5936402318473926</v>
      </c>
      <c r="AX36" s="1507">
        <f>AX35*factors!$B$4</f>
        <v>4.1847285097605162</v>
      </c>
      <c r="AZ36" s="1507">
        <f>AZ35*factors!$B$4</f>
        <v>4.7758167876736399</v>
      </c>
      <c r="BB36" s="1507">
        <f>BB35*factors!$B$4</f>
        <v>4.7758167876736399</v>
      </c>
      <c r="BD36" s="1507">
        <f>$BB36</f>
        <v>4.7758167876736399</v>
      </c>
      <c r="BF36" s="1507">
        <f>$BB36</f>
        <v>4.7758167876736399</v>
      </c>
      <c r="BH36" s="1507">
        <f>$BB36</f>
        <v>4.7758167876736399</v>
      </c>
      <c r="BJ36" s="1507">
        <f>BJ35*factors!$B$4</f>
        <v>3.9562920408770426</v>
      </c>
      <c r="BL36" s="1507">
        <f>BJ36</f>
        <v>3.9562920408770426</v>
      </c>
      <c r="BP36" s="1513"/>
      <c r="BR36" s="1509"/>
      <c r="BS36" s="1511"/>
      <c r="BU36" s="1509"/>
      <c r="BV36" s="1511"/>
      <c r="BX36" s="1509"/>
      <c r="BY36" s="1511"/>
      <c r="CA36" s="1509"/>
      <c r="CB36" s="1511"/>
      <c r="CD36" s="1509"/>
      <c r="CE36" s="1511"/>
      <c r="CG36" s="1509"/>
      <c r="CH36" s="1511"/>
      <c r="CJ36" s="1509"/>
      <c r="CK36" s="1511"/>
      <c r="CP36" s="1487">
        <f>AV36</f>
        <v>3.5936402318473926</v>
      </c>
      <c r="CR36" s="1487">
        <f>AX36</f>
        <v>4.1847285097605162</v>
      </c>
      <c r="CT36" s="1487">
        <f>AZ36</f>
        <v>4.7758167876736399</v>
      </c>
      <c r="CV36" s="1487">
        <f>BB36</f>
        <v>4.7758167876736399</v>
      </c>
      <c r="CX36" s="1487">
        <f>BD36</f>
        <v>4.7758167876736399</v>
      </c>
      <c r="CZ36" s="1487">
        <f>BF36</f>
        <v>4.7758167876736399</v>
      </c>
      <c r="DB36" s="1487">
        <f>BH36</f>
        <v>4.7758167876736399</v>
      </c>
      <c r="DD36" s="1497">
        <f>BJ36</f>
        <v>3.9562920408770426</v>
      </c>
      <c r="DF36" s="1497">
        <f>DD36</f>
        <v>3.9562920408770426</v>
      </c>
    </row>
    <row r="37" spans="1:116">
      <c r="C37" s="349"/>
    </row>
    <row r="38" spans="1:116">
      <c r="A38" s="349" t="s">
        <v>19432</v>
      </c>
      <c r="C38" s="1426"/>
      <c r="D38" s="356"/>
      <c r="Y38" s="356"/>
      <c r="AT38" s="349" t="s">
        <v>19447</v>
      </c>
      <c r="CN38" s="356"/>
    </row>
    <row r="39" spans="1:116">
      <c r="C39" s="1426"/>
      <c r="D39" s="356"/>
      <c r="G39" s="357" t="s">
        <v>233</v>
      </c>
      <c r="V39" s="354" t="s">
        <v>215</v>
      </c>
      <c r="W39" s="354"/>
      <c r="Y39" s="356"/>
      <c r="AB39" s="456"/>
      <c r="AQ39" s="354"/>
      <c r="AR39" s="354"/>
      <c r="AT39" s="356"/>
      <c r="AW39" s="357" t="s">
        <v>233</v>
      </c>
      <c r="BL39" s="354" t="s">
        <v>215</v>
      </c>
      <c r="BP39" s="370" t="s">
        <v>19376</v>
      </c>
      <c r="CN39" s="356"/>
      <c r="CQ39" s="357" t="s">
        <v>233</v>
      </c>
      <c r="DF39" s="354" t="s">
        <v>215</v>
      </c>
    </row>
    <row r="40" spans="1:116" s="352" customFormat="1">
      <c r="C40" s="1426"/>
      <c r="D40" s="356"/>
      <c r="G40" s="352">
        <v>1</v>
      </c>
      <c r="I40" s="352">
        <v>2</v>
      </c>
      <c r="K40" s="352">
        <v>3</v>
      </c>
      <c r="M40" s="352">
        <v>3</v>
      </c>
      <c r="O40" s="352">
        <v>3</v>
      </c>
      <c r="Q40" s="352">
        <v>3</v>
      </c>
      <c r="S40" s="352">
        <v>4</v>
      </c>
      <c r="U40" s="352">
        <v>5</v>
      </c>
      <c r="X40" s="387"/>
      <c r="Y40" s="356"/>
      <c r="AB40" s="456"/>
      <c r="AD40" s="456"/>
      <c r="AF40" s="456"/>
      <c r="AH40" s="456"/>
      <c r="AJ40" s="456"/>
      <c r="AL40" s="456"/>
      <c r="AN40" s="456"/>
      <c r="AP40" s="456"/>
      <c r="AS40" s="387"/>
      <c r="AT40" s="356"/>
      <c r="AW40" s="352">
        <v>1</v>
      </c>
      <c r="AY40" s="352">
        <v>2</v>
      </c>
      <c r="BA40" s="352">
        <v>3</v>
      </c>
      <c r="BC40" s="352">
        <v>3</v>
      </c>
      <c r="BE40" s="352">
        <v>3</v>
      </c>
      <c r="BG40" s="352">
        <v>3</v>
      </c>
      <c r="BI40" s="352">
        <v>4</v>
      </c>
      <c r="BK40" s="352">
        <v>5</v>
      </c>
      <c r="BN40" s="387"/>
      <c r="BP40" s="371"/>
      <c r="BQ40" s="371"/>
      <c r="BR40" s="371"/>
      <c r="BS40" s="371"/>
      <c r="BT40" s="371"/>
      <c r="BU40" s="371"/>
      <c r="BV40" s="371"/>
      <c r="BW40" s="371"/>
      <c r="BX40" s="371"/>
      <c r="BY40" s="371"/>
      <c r="BZ40" s="371"/>
      <c r="CA40" s="371"/>
      <c r="CB40" s="371"/>
      <c r="CC40" s="371"/>
      <c r="CD40" s="371"/>
      <c r="CE40" s="371"/>
      <c r="CF40" s="371"/>
      <c r="CG40" s="371"/>
      <c r="CH40" s="371"/>
      <c r="CI40" s="371"/>
      <c r="CJ40" s="371"/>
      <c r="CK40" s="371"/>
      <c r="CM40" s="387"/>
      <c r="CN40" s="356"/>
      <c r="CQ40" s="352">
        <v>1</v>
      </c>
      <c r="CS40" s="352">
        <v>2</v>
      </c>
      <c r="CU40" s="352">
        <v>3</v>
      </c>
      <c r="CW40" s="352">
        <v>3</v>
      </c>
      <c r="CY40" s="352">
        <v>3</v>
      </c>
      <c r="DA40" s="352">
        <v>3</v>
      </c>
      <c r="DC40" s="352">
        <v>4</v>
      </c>
      <c r="DE40" s="352">
        <v>5</v>
      </c>
      <c r="DK40" s="350"/>
      <c r="DL40" s="350"/>
    </row>
    <row r="41" spans="1:116">
      <c r="F41" s="1494">
        <f>IF($P$4="NO",ROUNDUP(CP41-0.00499,0),LEFT(CP41,1)+(IF(CP41-LEFT(CP41,1)&lt;0.00499,0,IF(CP41-LEFT(CP41,1)-0.04499&lt;('1-Eng Inputs'!$C$39/'1-Eng Inputs'!$C$38),0.5,1))))</f>
        <v>3</v>
      </c>
      <c r="G41" s="353"/>
      <c r="H41" s="1494">
        <f>IF($P$4="NO",ROUNDUP(CR41-0.00499,0),LEFT(CR41,1)+(IF(CR41-LEFT(CR41,1)&lt;0.00499,0,IF(CR41-LEFT(CR41,1)-0.04499&lt;('1-Eng Inputs'!$C$39/'1-Eng Inputs'!$C$38),0.5,1))))</f>
        <v>6</v>
      </c>
      <c r="I41" s="353"/>
      <c r="J41" s="1494">
        <f>IF($P$4="NO",ROUNDUP(CT41-0.00499,0),LEFT(CT41,1)+(IF(CT41-LEFT(CT41,1)&lt;0.00499,0,IF(CT41-LEFT(CT41,1)-0.04499&lt;('1-Eng Inputs'!$C$39/'1-Eng Inputs'!$C$38),0.5,1))))</f>
        <v>6</v>
      </c>
      <c r="K41" s="353"/>
      <c r="L41" s="1494">
        <f>IF($P$4="NO",ROUNDUP(CV41-0.00499,0),LEFT(CV41,1)+(IF(CV41-LEFT(CV41,1)&lt;0.00499,0,IF(CV41-LEFT(CV41,1)-0.04499&lt;('1-Eng Inputs'!$C$39/'1-Eng Inputs'!$C$38),0.5,1))))</f>
        <v>6</v>
      </c>
      <c r="M41" s="353"/>
      <c r="N41" s="1494">
        <f>IF($P$4="NO",ROUNDUP(CX41-0.00499,0),LEFT(CX41,1)+(IF(CX41-LEFT(CX41,1)&lt;0.00499,0,IF(CX41-LEFT(CX41,1)-0.04499&lt;('1-Eng Inputs'!$C$39/'1-Eng Inputs'!$C$38),0.5,1))))</f>
        <v>6</v>
      </c>
      <c r="O41" s="353"/>
      <c r="P41" s="1494">
        <f>IF($P$4="NO",ROUNDUP(CZ41-0.00499,0),LEFT(CZ41,1)+(IF(CZ41-LEFT(CZ41,1)&lt;0.00499,0,IF(CZ41-LEFT(CZ41,1)-0.04499&lt;('1-Eng Inputs'!$C$39/'1-Eng Inputs'!$C$38),0.5,1))))</f>
        <v>6</v>
      </c>
      <c r="Q41" s="353"/>
      <c r="R41" s="1494">
        <f>IF($P$4="NO",ROUNDUP(DB41-0.00499,0),LEFT(DB41,1)+(IF(DB41-LEFT(DB41,1)&lt;0.00499,0,IF(DB41-LEFT(DB41,1)-0.04499&lt;('1-Eng Inputs'!$C$39/'1-Eng Inputs'!$C$38),0.5,1))))</f>
        <v>6</v>
      </c>
      <c r="S41" s="353"/>
      <c r="T41" s="1494">
        <f>IF($P$4="NO",ROUNDUP(DD41-0.00499,0),LEFT(DD41,1)+(IF(DD41-LEFT(DD41,1)&lt;0.00499,0,IF(DD41-LEFT(DD41,1)-0.04499&lt;('1-Eng Inputs'!$C$39/'1-Eng Inputs'!$C$38),0.5,1))))</f>
        <v>5</v>
      </c>
      <c r="U41" s="353"/>
      <c r="V41" s="1494">
        <f>IF($P$4="NO",ROUNDUP(DF41-0.00499,0),LEFT(DF41,1)+(IF(DF41-LEFT(DF41,1)&lt;0.00499,0,IF(DF41-LEFT(DF41,1)-0.04499&lt;('1-Eng Inputs'!$C$39/'1-Eng Inputs'!$C$38),0.5,1))))</f>
        <v>5</v>
      </c>
      <c r="AA41" s="1478">
        <f>IF(LEFT(F41,3)-LEFT(F41,1)=0.5,'1-Eng Inputs'!$C$39,0)+LEFT(F41,1)*'1-Eng Inputs'!$C$38</f>
        <v>96</v>
      </c>
      <c r="AC41" s="1478">
        <f>IF(LEFT(H41,3)-LEFT(H41,1)=0.5,'1-Eng Inputs'!$C$39,0)+LEFT(H41,1)*'1-Eng Inputs'!$C$38</f>
        <v>192</v>
      </c>
      <c r="AE41" s="1478">
        <f>IF(LEFT(J41,3)-LEFT(J41,1)=0.5,'1-Eng Inputs'!$C$39,0)+LEFT(J41,1)*'1-Eng Inputs'!$C$38</f>
        <v>192</v>
      </c>
      <c r="AG41" s="1478">
        <f>IF(LEFT(L41,3)-LEFT(L41,1)=0.5,'1-Eng Inputs'!$C$39,0)+LEFT(L41,1)*'1-Eng Inputs'!$C$38</f>
        <v>192</v>
      </c>
      <c r="AI41" s="1478">
        <f>IF(LEFT(N41,3)-LEFT(N41,1)=0.5,'1-Eng Inputs'!$C$39,0)+LEFT(N41,1)*'1-Eng Inputs'!$C$38</f>
        <v>192</v>
      </c>
      <c r="AK41" s="1478">
        <f>IF(LEFT(P41,3)-LEFT(P41,1)=0.5,'1-Eng Inputs'!$C$39,0)+LEFT(P41,1)*'1-Eng Inputs'!$C$38</f>
        <v>192</v>
      </c>
      <c r="AM41" s="1478">
        <f>IF(LEFT(R41,3)-LEFT(R41,1)=0.5,'1-Eng Inputs'!$C$39,0)+LEFT(R41,1)*'1-Eng Inputs'!$C$38</f>
        <v>192</v>
      </c>
      <c r="AO41" s="1484">
        <f>IF(LEFT(T41,3)-LEFT(T41,1)=0.5,'1-Eng Inputs'!$C$39,0)+LEFT(T41,1)*'1-Eng Inputs'!$C$38</f>
        <v>160</v>
      </c>
      <c r="AQ41" s="1484">
        <f>IF(LEFT(V41,3)-LEFT(V41,1)=0.5,'1-Eng Inputs'!$C$39,0)+LEFT(V41,1)*'1-Eng Inputs'!$C$38</f>
        <v>160</v>
      </c>
      <c r="AV41" s="1506">
        <f>AV42*factors!$B$3</f>
        <v>2.6952301738855442</v>
      </c>
      <c r="AX41" s="1506">
        <f>AX42*factors!$B$3</f>
        <v>5.4811233000285009</v>
      </c>
      <c r="AZ41" s="1506">
        <f>AZ42*factors!$B$3</f>
        <v>5.5717862522859125</v>
      </c>
      <c r="BB41" s="1506">
        <f>BB42*factors!$B$3</f>
        <v>5.5717862522859125</v>
      </c>
      <c r="BD41" s="1506">
        <f>$BB41</f>
        <v>5.5717862522859125</v>
      </c>
      <c r="BF41" s="1506">
        <f>$BB41</f>
        <v>5.5717862522859125</v>
      </c>
      <c r="BH41" s="1506">
        <f>$BB41</f>
        <v>5.5717862522859125</v>
      </c>
      <c r="BJ41" s="1506">
        <f>BJ42*factors!$B$3</f>
        <v>4.6156740476898817</v>
      </c>
      <c r="BL41" s="1506">
        <f>BJ41</f>
        <v>4.6156740476898817</v>
      </c>
      <c r="BP41" s="1512">
        <v>0.2857142857142857</v>
      </c>
      <c r="BR41" s="1508">
        <v>0.2857142857142857</v>
      </c>
      <c r="BS41" s="1510">
        <v>0.33333333333333331</v>
      </c>
      <c r="BU41" s="1508">
        <v>0.33333333333333331</v>
      </c>
      <c r="BV41" s="1510">
        <v>0.33333333333333331</v>
      </c>
      <c r="BX41" s="1508">
        <v>0.33333333333333331</v>
      </c>
      <c r="BY41" s="1510">
        <v>0.33333333333333331</v>
      </c>
      <c r="CA41" s="1508">
        <v>0.33333333333333331</v>
      </c>
      <c r="CB41" s="1510">
        <v>0.33333333333333331</v>
      </c>
      <c r="CD41" s="1508">
        <v>0.33333333333333331</v>
      </c>
      <c r="CE41" s="1510">
        <v>0.33333333333333331</v>
      </c>
      <c r="CG41" s="1508">
        <v>0.33333333333333331</v>
      </c>
      <c r="CH41" s="1510">
        <v>0.33333333333333331</v>
      </c>
      <c r="CJ41" s="1508">
        <v>0.33333333333333331</v>
      </c>
      <c r="CK41" s="1510">
        <v>0.33333333333333331</v>
      </c>
      <c r="CP41" s="1478">
        <f>AV41</f>
        <v>2.6952301738855442</v>
      </c>
      <c r="CR41" s="1478">
        <f>AX41</f>
        <v>5.4811233000285009</v>
      </c>
      <c r="CT41" s="1478">
        <f>AZ41</f>
        <v>5.5717862522859125</v>
      </c>
      <c r="CV41" s="1478">
        <f>BB41</f>
        <v>5.5717862522859125</v>
      </c>
      <c r="CX41" s="1478">
        <f>BD41</f>
        <v>5.5717862522859125</v>
      </c>
      <c r="CZ41" s="1478">
        <f>BF41</f>
        <v>5.5717862522859125</v>
      </c>
      <c r="DB41" s="1478">
        <f>BH41</f>
        <v>5.5717862522859125</v>
      </c>
      <c r="DD41" s="1484">
        <f>BJ41</f>
        <v>4.6156740476898817</v>
      </c>
      <c r="DF41" s="1484">
        <f>DD41</f>
        <v>4.6156740476898817</v>
      </c>
    </row>
    <row r="42" spans="1:116" ht="12.75" hidden="1" customHeight="1">
      <c r="F42" s="1495"/>
      <c r="G42" s="353"/>
      <c r="H42" s="1495"/>
      <c r="I42" s="353"/>
      <c r="J42" s="1495"/>
      <c r="K42" s="353"/>
      <c r="L42" s="1495"/>
      <c r="M42" s="353"/>
      <c r="N42" s="1495"/>
      <c r="O42" s="353"/>
      <c r="P42" s="1495"/>
      <c r="Q42" s="353"/>
      <c r="R42" s="1495"/>
      <c r="S42" s="353"/>
      <c r="T42" s="1495"/>
      <c r="U42" s="353"/>
      <c r="V42" s="1495"/>
      <c r="AA42" s="1479"/>
      <c r="AB42" s="457"/>
      <c r="AC42" s="1479"/>
      <c r="AD42" s="457"/>
      <c r="AE42" s="1479"/>
      <c r="AF42" s="457"/>
      <c r="AG42" s="1479"/>
      <c r="AH42" s="457"/>
      <c r="AI42" s="1479"/>
      <c r="AJ42" s="457"/>
      <c r="AK42" s="1479"/>
      <c r="AL42" s="457"/>
      <c r="AM42" s="1479"/>
      <c r="AN42" s="457"/>
      <c r="AO42" s="1485"/>
      <c r="AP42" s="457"/>
      <c r="AQ42" s="1485"/>
      <c r="AV42" s="1507">
        <f>(BP41*AW43)/'1-Eng Inputs'!$C$38</f>
        <v>1.9251644099182461</v>
      </c>
      <c r="AX42" s="1507">
        <f>(BR41*AW43+AY43*BS41)/'1-Eng Inputs'!$C$38</f>
        <v>3.9150880714489293</v>
      </c>
      <c r="AZ42" s="1507">
        <f>(BU41*AY43+BA43*BV41)/'1-Eng Inputs'!$C$38</f>
        <v>3.979847323061366</v>
      </c>
      <c r="BB42" s="1507">
        <f>(BX41*BA43+BC43*BY41)/'1-Eng Inputs'!$C$38</f>
        <v>3.979847323061366</v>
      </c>
      <c r="BD42" s="1507">
        <f>$BB42</f>
        <v>3.979847323061366</v>
      </c>
      <c r="BF42" s="1507">
        <f>$BB42</f>
        <v>3.979847323061366</v>
      </c>
      <c r="BH42" s="1507">
        <f>$BB42</f>
        <v>3.979847323061366</v>
      </c>
      <c r="BJ42" s="1507">
        <f>(CJ41*BI43+BK43*CK41)/'1-Eng Inputs'!$C$38</f>
        <v>3.2969100340642017</v>
      </c>
      <c r="BL42" s="1507">
        <f>BJ42</f>
        <v>3.2969100340642017</v>
      </c>
      <c r="BP42" s="1513"/>
      <c r="BR42" s="1509"/>
      <c r="BS42" s="1511"/>
      <c r="BU42" s="1509"/>
      <c r="BV42" s="1511"/>
      <c r="BX42" s="1509"/>
      <c r="BY42" s="1511"/>
      <c r="CA42" s="1509"/>
      <c r="CB42" s="1511"/>
      <c r="CD42" s="1509"/>
      <c r="CE42" s="1511"/>
      <c r="CG42" s="1509"/>
      <c r="CH42" s="1511"/>
      <c r="CJ42" s="1509"/>
      <c r="CK42" s="1511"/>
      <c r="CP42" s="1479">
        <f>AV42</f>
        <v>1.9251644099182461</v>
      </c>
      <c r="CQ42" s="386">
        <f>AB43</f>
        <v>238.08155764750069</v>
      </c>
      <c r="CR42" s="1479">
        <f>AX42</f>
        <v>3.9150880714489293</v>
      </c>
      <c r="CS42" s="386">
        <f>AD43</f>
        <v>214.00146138653707</v>
      </c>
      <c r="CT42" s="1479">
        <f>AZ42</f>
        <v>3.979847323061366</v>
      </c>
      <c r="CU42" s="386">
        <f>AF43</f>
        <v>210.59624581352057</v>
      </c>
      <c r="CV42" s="1479">
        <f>BB42</f>
        <v>3.979847323061366</v>
      </c>
      <c r="CW42" s="386">
        <f>AH43</f>
        <v>210.59624581352057</v>
      </c>
      <c r="CX42" s="1479">
        <f>BD42</f>
        <v>3.979847323061366</v>
      </c>
      <c r="CY42" s="386">
        <f>AJ43</f>
        <v>210.59624581352057</v>
      </c>
      <c r="CZ42" s="1479">
        <f>BF42</f>
        <v>3.979847323061366</v>
      </c>
      <c r="DA42" s="386">
        <f>AL43</f>
        <v>210.59624581352057</v>
      </c>
      <c r="DB42" s="1479">
        <f>BH42</f>
        <v>3.979847323061366</v>
      </c>
      <c r="DC42" s="386">
        <f>AN43</f>
        <v>173.60525647724697</v>
      </c>
      <c r="DD42" s="1485">
        <f>BJ42</f>
        <v>3.2969100340642017</v>
      </c>
      <c r="DE42" s="386">
        <f>AP43</f>
        <v>172.75234418615869</v>
      </c>
      <c r="DF42" s="1485">
        <f>DD42</f>
        <v>3.2969100340642017</v>
      </c>
    </row>
    <row r="43" spans="1:116" ht="21" customHeight="1">
      <c r="D43" s="354" t="s">
        <v>234</v>
      </c>
      <c r="E43" s="353">
        <v>1</v>
      </c>
      <c r="F43" s="389"/>
      <c r="G43" s="378" t="s">
        <v>19454</v>
      </c>
      <c r="H43" s="389"/>
      <c r="I43" s="378" t="s">
        <v>19454</v>
      </c>
      <c r="J43" s="389"/>
      <c r="K43" s="378" t="s">
        <v>19454</v>
      </c>
      <c r="L43" s="389"/>
      <c r="M43" s="378" t="s">
        <v>19454</v>
      </c>
      <c r="N43" s="389"/>
      <c r="O43" s="378" t="s">
        <v>19454</v>
      </c>
      <c r="P43" s="389"/>
      <c r="Q43" s="378" t="s">
        <v>19454</v>
      </c>
      <c r="R43" s="389"/>
      <c r="S43" s="378" t="s">
        <v>19455</v>
      </c>
      <c r="T43" s="389"/>
      <c r="U43" s="378" t="s">
        <v>19455</v>
      </c>
      <c r="V43" s="390"/>
      <c r="W43" s="1426"/>
      <c r="Y43" s="354"/>
      <c r="AA43" s="389"/>
      <c r="AB43" s="458">
        <f>(AA41*(AW43*BP41/(AV42*'1-Eng Inputs'!$C$38))/factors!$B$3+AA44*(AW43*BP44/(AV44*'1-Eng Inputs'!$C$38))+AC41*(AW43*BR41/(AX42*'1-Eng Inputs'!$C$38))/factors!$B$3+AC44*(AW43*BR44/(AX44*'1-Eng Inputs'!$C$38)))</f>
        <v>238.08155764750069</v>
      </c>
      <c r="AC43" s="389"/>
      <c r="AD43" s="458">
        <f>(AC41*(AY43*BS41/(AX42*'1-Eng Inputs'!$C$38))/factors!$B$3+AC44*(AY43*BS44/(AX44*'1-Eng Inputs'!$C$38))+AE41*(AY43*BU41/(AZ42*'1-Eng Inputs'!$C$38))/factors!$B$3+AE44*(AY43*BU44/(AZ44*'1-Eng Inputs'!$C$38)))</f>
        <v>214.00146138653707</v>
      </c>
      <c r="AE43" s="389"/>
      <c r="AF43" s="458">
        <f>(AE41*(BA43*BV41/(AZ42*'1-Eng Inputs'!$C$38))/factors!$B$3+AE44*(BA43*BV44/(AZ44*'1-Eng Inputs'!$C$38))+AG41*(BA43*BX41/(BB42*'1-Eng Inputs'!$C$38))/factors!$B$3+AG44*(BA43*BX44/(BB44*'1-Eng Inputs'!$C$38)))</f>
        <v>210.59624581352057</v>
      </c>
      <c r="AG43" s="389"/>
      <c r="AH43" s="458">
        <f>(AG41*(BC43*BY41/(BB42*'1-Eng Inputs'!$C$38))/factors!$B$3+AG44*(BC43*BY44/(BB44*'1-Eng Inputs'!$C$38))+AI41*(BC43*CA41/(BD42*'1-Eng Inputs'!$C$38))/factors!$B$3+AI44*(BC43*CA44/(BD44*'1-Eng Inputs'!$C$38)))</f>
        <v>210.59624581352057</v>
      </c>
      <c r="AI43" s="389"/>
      <c r="AJ43" s="458">
        <f>(AI41*(BE43*CB41/(BD42*'1-Eng Inputs'!$C$38))/factors!$B$3+AI44*(BE43*CB44/(BD44*'1-Eng Inputs'!$C$38))+AK41*(BE43*CD41/(BF42*'1-Eng Inputs'!$C$38))/factors!$B$3+AK44*(BE43*CD44/(BF44*'1-Eng Inputs'!$C$38)))</f>
        <v>210.59624581352057</v>
      </c>
      <c r="AK43" s="389"/>
      <c r="AL43" s="458">
        <f>(AK41*(BG43*CE41/(BF42*'1-Eng Inputs'!$C$38))/factors!$B$3+AK44*(BG43*CE44/(BF44*'1-Eng Inputs'!$C$38))+AM41*(BG43*CG41/(BH42*'1-Eng Inputs'!$C$38))/factors!$B$3+AM44*(BG43*CG44/(BH44*'1-Eng Inputs'!$C$38)))</f>
        <v>210.59624581352057</v>
      </c>
      <c r="AM43" s="389"/>
      <c r="AN43" s="458">
        <f>(AM41*(BI43*CH41/(BH42*'1-Eng Inputs'!$C$38))/factors!$B$3+AM44*(BI43*CH44/(BH44*'1-Eng Inputs'!$C$38))+AO41*(BI43*CJ41/(BJ42*'1-Eng Inputs'!$C$38))/factors!$B$3+AO44*(BI43*CJ44/(BJ44*'1-Eng Inputs'!$C$38)))</f>
        <v>173.60525647724697</v>
      </c>
      <c r="AO43" s="389"/>
      <c r="AP43" s="458">
        <f>(AO41*(BK43*CH41/(BJ42*'1-Eng Inputs'!$C$38))/factors!$B$3+AO44*(BK43*CH44/(BJ44*'1-Eng Inputs'!$C$38))+AQ41*(BK43*CJ41/(BL42*'1-Eng Inputs'!$C$38))/factors!$B$3+AQ44*(BK43*CJ44/(BL44*'1-Eng Inputs'!$C$38)))</f>
        <v>172.75234418615869</v>
      </c>
      <c r="AQ43" s="390"/>
      <c r="AR43" s="1426"/>
      <c r="AT43" s="354" t="s">
        <v>234</v>
      </c>
      <c r="AU43" s="353">
        <v>1</v>
      </c>
      <c r="AW43" s="348">
        <f>'Port Calcs (lift)'!$H$6</f>
        <v>215.61841391084357</v>
      </c>
      <c r="AX43" s="375"/>
      <c r="AY43" s="348">
        <f>'Port Calcs (lift)'!$I$6</f>
        <v>191.03267150694558</v>
      </c>
      <c r="AZ43" s="375"/>
      <c r="BA43" s="348">
        <f>'Port Calcs (lift)'!$I$6</f>
        <v>191.03267150694558</v>
      </c>
      <c r="BB43" s="375"/>
      <c r="BC43" s="348">
        <f>'Port Calcs (lift)'!$I$6</f>
        <v>191.03267150694558</v>
      </c>
      <c r="BD43" s="375"/>
      <c r="BE43" s="348">
        <f>'Port Calcs (lift)'!$I$6</f>
        <v>191.03267150694558</v>
      </c>
      <c r="BF43" s="375"/>
      <c r="BG43" s="348">
        <f>'Port Calcs (lift)'!$I$6</f>
        <v>191.03267150694558</v>
      </c>
      <c r="BH43" s="375"/>
      <c r="BI43" s="348">
        <f>'Port Calcs (lift)'!$I$11</f>
        <v>158.2516816350817</v>
      </c>
      <c r="BJ43" s="375"/>
      <c r="BK43" s="348">
        <f>'Port Calcs (lift)'!$I$11</f>
        <v>158.2516816350817</v>
      </c>
      <c r="BM43" s="1426"/>
      <c r="BQ43" s="381"/>
      <c r="BT43" s="381"/>
      <c r="BW43" s="381"/>
      <c r="BZ43" s="381"/>
      <c r="CC43" s="381"/>
      <c r="CF43" s="381"/>
      <c r="CI43" s="381"/>
      <c r="CN43" s="354" t="s">
        <v>234</v>
      </c>
      <c r="CO43" s="353">
        <v>1</v>
      </c>
      <c r="CP43" s="389"/>
      <c r="CQ43" s="388">
        <f>AW43</f>
        <v>215.61841391084357</v>
      </c>
      <c r="CR43" s="389"/>
      <c r="CS43" s="388">
        <f>AY43</f>
        <v>191.03267150694558</v>
      </c>
      <c r="CT43" s="389"/>
      <c r="CU43" s="388">
        <f>BA43</f>
        <v>191.03267150694558</v>
      </c>
      <c r="CV43" s="389"/>
      <c r="CW43" s="388">
        <f>BC43</f>
        <v>191.03267150694558</v>
      </c>
      <c r="CX43" s="389"/>
      <c r="CY43" s="388">
        <f>BE43</f>
        <v>191.03267150694558</v>
      </c>
      <c r="CZ43" s="389"/>
      <c r="DA43" s="388">
        <f>BG43</f>
        <v>191.03267150694558</v>
      </c>
      <c r="DB43" s="389"/>
      <c r="DC43" s="388">
        <f>BI43</f>
        <v>158.2516816350817</v>
      </c>
      <c r="DD43" s="389"/>
      <c r="DE43" s="388">
        <f>BK43</f>
        <v>158.2516816350817</v>
      </c>
      <c r="DF43" s="390"/>
      <c r="DG43" s="1426"/>
    </row>
    <row r="44" spans="1:116">
      <c r="F44" s="1494">
        <f>IF($P$4="NO",ROUNDUP(CP44-0.00499,0),LEFT(CP44,1)+(IF(CP44-LEFT(CP44,1)&lt;0.00499,0,IF(CP44-LEFT(CP44,1)-0.04499&lt;('1-Eng Inputs'!$C$39/'1-Eng Inputs'!$C$38),0.5,1))))</f>
        <v>4</v>
      </c>
      <c r="G44" s="353"/>
      <c r="H44" s="1494">
        <f>IF($P$4="NO",ROUNDUP(CR44-0.00499,0),LEFT(CR44,1)+(IF(CR44-LEFT(CR44,1)&lt;0.00499,0,IF(CR44-LEFT(CR44,1)-0.04499&lt;('1-Eng Inputs'!$C$39/'1-Eng Inputs'!$C$38),0.5,1))))</f>
        <v>5</v>
      </c>
      <c r="I44" s="353"/>
      <c r="J44" s="1494">
        <f>IF($P$4="NO",ROUNDUP(CT44-0.00499,0),LEFT(CT44,1)+(IF(CT44-LEFT(CT44,1)&lt;0.00499,0,IF(CT44-LEFT(CT44,1)-0.04499&lt;('1-Eng Inputs'!$C$39/'1-Eng Inputs'!$C$38),0.5,1))))</f>
        <v>5</v>
      </c>
      <c r="K44" s="353"/>
      <c r="L44" s="1494">
        <f>IF($P$4="NO",ROUNDUP(CV44-0.00499,0),LEFT(CV44,1)+(IF(CV44-LEFT(CV44,1)&lt;0.00499,0,IF(CV44-LEFT(CV44,1)-0.04499&lt;('1-Eng Inputs'!$C$39/'1-Eng Inputs'!$C$38),0.5,1))))</f>
        <v>5</v>
      </c>
      <c r="M44" s="353"/>
      <c r="N44" s="1494">
        <f>IF($P$4="NO",ROUNDUP(CX44-0.00499,0),LEFT(CX44,1)+(IF(CX44-LEFT(CX44,1)&lt;0.00499,0,IF(CX44-LEFT(CX44,1)-0.04499&lt;('1-Eng Inputs'!$C$39/'1-Eng Inputs'!$C$38),0.5,1))))</f>
        <v>5</v>
      </c>
      <c r="O44" s="353"/>
      <c r="P44" s="1494">
        <f>IF($P$4="NO",ROUNDUP(CZ44-0.00499,0),LEFT(CZ44,1)+(IF(CZ44-LEFT(CZ44,1)&lt;0.00499,0,IF(CZ44-LEFT(CZ44,1)-0.04499&lt;('1-Eng Inputs'!$C$39/'1-Eng Inputs'!$C$38),0.5,1))))</f>
        <v>5</v>
      </c>
      <c r="Q44" s="353"/>
      <c r="R44" s="1494">
        <f>IF($P$4="NO",ROUNDUP(DB44-0.00499,0),LEFT(DB44,1)+(IF(DB44-LEFT(DB44,1)&lt;0.00499,0,IF(DB44-LEFT(DB44,1)-0.04499&lt;('1-Eng Inputs'!$C$39/'1-Eng Inputs'!$C$38),0.5,1))))</f>
        <v>5</v>
      </c>
      <c r="S44" s="353"/>
      <c r="T44" s="1494">
        <f>IF($P$4="NO",ROUNDUP(DD44-0.00499,0),LEFT(DD44,1)+(IF(DD44-LEFT(DD44,1)&lt;0.00499,0,IF(DD44-LEFT(DD44,1)-0.04499&lt;('1-Eng Inputs'!$C$39/'1-Eng Inputs'!$C$38),0.5,1))))</f>
        <v>4</v>
      </c>
      <c r="U44" s="353"/>
      <c r="V44" s="1494">
        <f>IF($P$4="NO",ROUNDUP(DF44-0.00499,0),LEFT(DF44,1)+(IF(DF44-LEFT(DF44,1)&lt;0.00499,0,IF(DF44-LEFT(DF44,1)-0.04499&lt;('1-Eng Inputs'!$C$39/'1-Eng Inputs'!$C$38),0.5,1))))</f>
        <v>4</v>
      </c>
      <c r="AA44" s="1478">
        <f>IF(LEFT(F44,3)-LEFT(F44,1)=0.5,'1-Eng Inputs'!$C$39,0)+LEFT(F44,1)*'1-Eng Inputs'!$C$38</f>
        <v>128</v>
      </c>
      <c r="AC44" s="1478">
        <f>IF(LEFT(H44,3)-LEFT(H44,1)=0.5,'1-Eng Inputs'!$C$39,0)+LEFT(H44,1)*'1-Eng Inputs'!$C$38</f>
        <v>160</v>
      </c>
      <c r="AE44" s="1478">
        <f>IF(LEFT(J44,3)-LEFT(J44,1)=0.5,'1-Eng Inputs'!$C$39,0)+LEFT(J44,1)*'1-Eng Inputs'!$C$38</f>
        <v>160</v>
      </c>
      <c r="AG44" s="1478">
        <f>IF(LEFT(L44,3)-LEFT(L44,1)=0.5,'1-Eng Inputs'!$C$39,0)+LEFT(L44,1)*'1-Eng Inputs'!$C$38</f>
        <v>160</v>
      </c>
      <c r="AI44" s="1478">
        <f>IF(LEFT(N44,3)-LEFT(N44,1)=0.5,'1-Eng Inputs'!$C$39,0)+LEFT(N44,1)*'1-Eng Inputs'!$C$38</f>
        <v>160</v>
      </c>
      <c r="AK44" s="1478">
        <f>IF(LEFT(P44,3)-LEFT(P44,1)=0.5,'1-Eng Inputs'!$C$39,0)+LEFT(P44,1)*'1-Eng Inputs'!$C$38</f>
        <v>160</v>
      </c>
      <c r="AM44" s="1478">
        <f>IF(LEFT(R44,3)-LEFT(R44,1)=0.5,'1-Eng Inputs'!$C$39,0)+LEFT(R44,1)*'1-Eng Inputs'!$C$38</f>
        <v>160</v>
      </c>
      <c r="AO44" s="1484">
        <f>IF(LEFT(T44,3)-LEFT(T44,1)=0.5,'1-Eng Inputs'!$C$39,0)+LEFT(T44,1)*'1-Eng Inputs'!$C$38</f>
        <v>128</v>
      </c>
      <c r="AQ44" s="1484">
        <f>IF(LEFT(V44,3)-LEFT(V44,1)=0.5,'1-Eng Inputs'!$C$39,0)+LEFT(V44,1)*'1-Eng Inputs'!$C$38</f>
        <v>128</v>
      </c>
      <c r="AV44" s="1506">
        <f>(BP44*AW43+AW46*BP45)/'1-Eng Inputs'!$C$38</f>
        <v>3.829720910324284</v>
      </c>
      <c r="AX44" s="1506">
        <f>(AW43*BR44+AY43*BS44+AW46*BR45+AY46*BS45)/'1-Eng Inputs'!$C$38</f>
        <v>4.0821381778580745</v>
      </c>
      <c r="AZ44" s="1506">
        <f>(AY43*BU44+BA43*BV44+AY46*BU45+BA46*BV45)/'1-Eng Inputs'!$C$38</f>
        <v>4.3345554453918655</v>
      </c>
      <c r="BB44" s="1506">
        <f>(BA43*BX44+BC43*BY44+BA46*BX45+BC46*BY45)/'1-Eng Inputs'!$C$38</f>
        <v>4.3345554453918655</v>
      </c>
      <c r="BD44" s="1506">
        <f>$BB44</f>
        <v>4.3345554453918655</v>
      </c>
      <c r="BF44" s="1506">
        <f>$BB44</f>
        <v>4.3345554453918655</v>
      </c>
      <c r="BH44" s="1506">
        <f>$BB44</f>
        <v>4.3345554453918655</v>
      </c>
      <c r="BJ44" s="1506">
        <f>(BI43*CJ44+BK43*CK44+BI46*CJ45+BK46*CK45)/'1-Eng Inputs'!$C$38</f>
        <v>3.6089345758323774</v>
      </c>
      <c r="BL44" s="1506">
        <f>BJ44</f>
        <v>3.6089345758323774</v>
      </c>
      <c r="BP44" s="1512">
        <v>0.2857142857142857</v>
      </c>
      <c r="BR44" s="1508">
        <v>0.14285714285714285</v>
      </c>
      <c r="BS44" s="1510">
        <v>0.16666666666666666</v>
      </c>
      <c r="BU44" s="1508">
        <v>0.16666666666666666</v>
      </c>
      <c r="BV44" s="1510">
        <v>0.16666666666666666</v>
      </c>
      <c r="BX44" s="1508">
        <v>0.16666666666666666</v>
      </c>
      <c r="BY44" s="1510">
        <v>0.16666666666666666</v>
      </c>
      <c r="CA44" s="1508">
        <v>0.16666666666666666</v>
      </c>
      <c r="CB44" s="1510">
        <v>0.16666666666666666</v>
      </c>
      <c r="CD44" s="1508">
        <v>0.16666666666666666</v>
      </c>
      <c r="CE44" s="1510">
        <v>0.16666666666666666</v>
      </c>
      <c r="CG44" s="1508">
        <v>0.16666666666666666</v>
      </c>
      <c r="CH44" s="1510">
        <v>0.16666666666666666</v>
      </c>
      <c r="CJ44" s="1508">
        <v>0.16666666666666666</v>
      </c>
      <c r="CK44" s="1510">
        <v>0.16666666666666666</v>
      </c>
      <c r="CP44" s="1478">
        <f>AV44</f>
        <v>3.829720910324284</v>
      </c>
      <c r="CR44" s="1478">
        <f>AX44</f>
        <v>4.0821381778580745</v>
      </c>
      <c r="CT44" s="1478">
        <f>AZ44</f>
        <v>4.3345554453918655</v>
      </c>
      <c r="CV44" s="1478">
        <f>BB44</f>
        <v>4.3345554453918655</v>
      </c>
      <c r="CX44" s="1478">
        <f>BD44</f>
        <v>4.3345554453918655</v>
      </c>
      <c r="CZ44" s="1478">
        <f>BF44</f>
        <v>4.3345554453918655</v>
      </c>
      <c r="DB44" s="1478">
        <f>BH44</f>
        <v>4.3345554453918655</v>
      </c>
      <c r="DD44" s="1484">
        <f>BJ44</f>
        <v>3.6089345758323774</v>
      </c>
      <c r="DF44" s="1484">
        <f>DD44</f>
        <v>3.6089345758323774</v>
      </c>
    </row>
    <row r="45" spans="1:116" ht="12.75" hidden="1" customHeight="1">
      <c r="F45" s="1495"/>
      <c r="G45" s="353"/>
      <c r="H45" s="1495"/>
      <c r="I45" s="353"/>
      <c r="J45" s="1495"/>
      <c r="K45" s="353"/>
      <c r="L45" s="1495"/>
      <c r="M45" s="353"/>
      <c r="N45" s="1495"/>
      <c r="O45" s="353"/>
      <c r="P45" s="1495"/>
      <c r="Q45" s="353"/>
      <c r="R45" s="1495"/>
      <c r="S45" s="353"/>
      <c r="T45" s="1495"/>
      <c r="U45" s="353"/>
      <c r="V45" s="1495"/>
      <c r="AA45" s="1479"/>
      <c r="AB45" s="457"/>
      <c r="AC45" s="1479"/>
      <c r="AD45" s="457"/>
      <c r="AE45" s="1479"/>
      <c r="AF45" s="457"/>
      <c r="AG45" s="1479"/>
      <c r="AH45" s="457"/>
      <c r="AI45" s="1479"/>
      <c r="AJ45" s="457"/>
      <c r="AK45" s="1479"/>
      <c r="AL45" s="457"/>
      <c r="AM45" s="1479"/>
      <c r="AN45" s="457"/>
      <c r="AO45" s="1485"/>
      <c r="AP45" s="457"/>
      <c r="AQ45" s="1485"/>
      <c r="AV45" s="1507"/>
      <c r="AX45" s="1507"/>
      <c r="AZ45" s="1507"/>
      <c r="BB45" s="1507"/>
      <c r="BD45" s="1507"/>
      <c r="BF45" s="1507"/>
      <c r="BH45" s="1507"/>
      <c r="BJ45" s="1507"/>
      <c r="BL45" s="1507"/>
      <c r="BP45" s="1513">
        <v>0.33333333333333331</v>
      </c>
      <c r="BR45" s="1509">
        <v>0.16666666666666666</v>
      </c>
      <c r="BS45" s="1511">
        <v>0.25</v>
      </c>
      <c r="BU45" s="1509">
        <v>0.25</v>
      </c>
      <c r="BV45" s="1511">
        <v>0.25</v>
      </c>
      <c r="BX45" s="1509">
        <v>0.25</v>
      </c>
      <c r="BY45" s="1511">
        <v>0.25</v>
      </c>
      <c r="CA45" s="1509">
        <v>0.25</v>
      </c>
      <c r="CB45" s="1511">
        <v>0.25</v>
      </c>
      <c r="CD45" s="1509">
        <v>0.25</v>
      </c>
      <c r="CE45" s="1511">
        <v>0.25</v>
      </c>
      <c r="CG45" s="1509">
        <v>0.25</v>
      </c>
      <c r="CH45" s="1511">
        <v>0.25</v>
      </c>
      <c r="CJ45" s="1509">
        <v>0.25</v>
      </c>
      <c r="CK45" s="1511">
        <v>0.25</v>
      </c>
      <c r="CP45" s="1479"/>
      <c r="CQ45" s="386">
        <f>AB46</f>
        <v>206.54277003755436</v>
      </c>
      <c r="CR45" s="1479"/>
      <c r="CS45" s="386">
        <f>AD46</f>
        <v>171.02741990063504</v>
      </c>
      <c r="CT45" s="1479"/>
      <c r="CU45" s="386">
        <f>AF46</f>
        <v>171.01379272215814</v>
      </c>
      <c r="CV45" s="1479"/>
      <c r="CW45" s="386">
        <f>AH46</f>
        <v>171.01379272215814</v>
      </c>
      <c r="CX45" s="1479"/>
      <c r="CY45" s="386">
        <f>AJ46</f>
        <v>171.01379272215814</v>
      </c>
      <c r="CZ45" s="1479"/>
      <c r="DA45" s="386">
        <f>AL46</f>
        <v>171.01379272215814</v>
      </c>
      <c r="DB45" s="1479"/>
      <c r="DC45" s="386">
        <f>AN46</f>
        <v>141.64229007276739</v>
      </c>
      <c r="DD45" s="1485"/>
      <c r="DE45" s="386">
        <f>AP46</f>
        <v>140.29025275798597</v>
      </c>
      <c r="DF45" s="1485"/>
    </row>
    <row r="46" spans="1:116" ht="21" customHeight="1">
      <c r="D46" s="355"/>
      <c r="E46" s="353">
        <v>7</v>
      </c>
      <c r="F46" s="389"/>
      <c r="G46" s="378" t="s">
        <v>19453</v>
      </c>
      <c r="H46" s="389"/>
      <c r="I46" s="378" t="s">
        <v>19453</v>
      </c>
      <c r="J46" s="389"/>
      <c r="K46" s="378" t="s">
        <v>19453</v>
      </c>
      <c r="L46" s="389"/>
      <c r="M46" s="378" t="s">
        <v>19453</v>
      </c>
      <c r="N46" s="389"/>
      <c r="O46" s="378" t="s">
        <v>19453</v>
      </c>
      <c r="P46" s="389"/>
      <c r="Q46" s="378" t="s">
        <v>19453</v>
      </c>
      <c r="R46" s="389"/>
      <c r="S46" s="378" t="s">
        <v>19416</v>
      </c>
      <c r="T46" s="389"/>
      <c r="U46" s="378" t="s">
        <v>19416</v>
      </c>
      <c r="V46" s="390"/>
      <c r="W46" s="1426"/>
      <c r="Y46" s="355"/>
      <c r="AA46" s="389"/>
      <c r="AB46" s="458">
        <f>(AA44*(AW46*BP45/(AV44*'1-Eng Inputs'!$C$38))+AA47*(AW46*BP47/(AV47*'1-Eng Inputs'!$C$38))+AC44*(AW46*BR45/(AX44*'1-Eng Inputs'!$C$38))+AC47*(AW46*BR47/(AX47*'1-Eng Inputs'!$C$38)))</f>
        <v>206.54277003755436</v>
      </c>
      <c r="AC46" s="389"/>
      <c r="AD46" s="458">
        <f>(AC44*(AY46*BS45/(AX44*'1-Eng Inputs'!$C$38))+AC47*(AY46*BS47/(AX47*'1-Eng Inputs'!$C$38))+AE44*(AY46*BU45/(AZ44*'1-Eng Inputs'!$C$38))+AE47*(AY46*BU47/(AZ47*'1-Eng Inputs'!$C$38)))</f>
        <v>171.02741990063504</v>
      </c>
      <c r="AE46" s="389"/>
      <c r="AF46" s="458">
        <f>(AE44*(BA46*BV45/(AZ44*'1-Eng Inputs'!$C$38))+AE47*(BA46*BV47/(AZ47*'1-Eng Inputs'!$C$38))+AG44*(BA46*BX45/(BB44*'1-Eng Inputs'!$C$38))+AG47*(BA46*BX47/(BB47*'1-Eng Inputs'!$C$38)))</f>
        <v>171.01379272215814</v>
      </c>
      <c r="AG46" s="389"/>
      <c r="AH46" s="458">
        <f>(AG44*(BC46*BY45/(BB44*'1-Eng Inputs'!$C$38))+AG47*(BC46*BY47/(BB47*'1-Eng Inputs'!$C$38))+AI44*(BC46*CA45/(BD44*'1-Eng Inputs'!$C$38))+AI47*(BC46*CA47/(BD47*'1-Eng Inputs'!$C$38)))</f>
        <v>171.01379272215814</v>
      </c>
      <c r="AI46" s="389"/>
      <c r="AJ46" s="458">
        <f>(AI44*(BE46*CB45/(BD44*'1-Eng Inputs'!$C$38))+AI47*(BE46*CB47/(BD47*'1-Eng Inputs'!$C$38))+AK44*(BE46*CD45/(BF44*'1-Eng Inputs'!$C$38))+AK47*(BE46*CD47/(BF47*'1-Eng Inputs'!$C$38)))</f>
        <v>171.01379272215814</v>
      </c>
      <c r="AK46" s="389"/>
      <c r="AL46" s="458">
        <f>(AK44*(BG46*CE45/(BF44*'1-Eng Inputs'!$C$38))+AK47*(BG46*CE47/(BF47*'1-Eng Inputs'!$C$38))+AM44*(BG46*CG45/(BH44*'1-Eng Inputs'!$C$38))+AM47*(BG46*CG47/(BH47*'1-Eng Inputs'!$C$38)))</f>
        <v>171.01379272215814</v>
      </c>
      <c r="AM46" s="389"/>
      <c r="AN46" s="458">
        <f>(AM44*(BI46*CH45/(BH44*'1-Eng Inputs'!$C$38))+AM47*(BI46*CH47/(BH47*'1-Eng Inputs'!$C$38))+AO44*(BI46*CJ45/(BJ44*'1-Eng Inputs'!$C$38))+AO47*(BI46*CJ47/(BJ47*'1-Eng Inputs'!$C$38)))</f>
        <v>141.64229007276739</v>
      </c>
      <c r="AO46" s="389"/>
      <c r="AP46" s="458">
        <f>(AO44*(BK46*CH45/(BJ44*'1-Eng Inputs'!$C$38))+AO47*(BK46*CH47/(BJ47*'1-Eng Inputs'!$C$38))+AQ44*(BK46*CJ45/(BL44*'1-Eng Inputs'!$C$38))+AQ47*(BK46*CJ47/(BL47*'1-Eng Inputs'!$C$38)))</f>
        <v>140.29025275798597</v>
      </c>
      <c r="AQ46" s="390"/>
      <c r="AR46" s="1426"/>
      <c r="AT46" s="355"/>
      <c r="AU46" s="353">
        <v>7</v>
      </c>
      <c r="AW46" s="348">
        <f>MAX('Port Calcs (lift)'!$J$6,'Port Calcs (lift)'!$J$26)</f>
        <v>182.83742403897963</v>
      </c>
      <c r="AX46" s="375"/>
      <c r="AY46" s="348">
        <f>MAX('Port Calcs (lift)'!$K$6,'Port Calcs (lift)'!$K$26)</f>
        <v>150.05643416711567</v>
      </c>
      <c r="AZ46" s="375"/>
      <c r="BA46" s="348">
        <f>MAX('Port Calcs (lift)'!$K$6,'Port Calcs (lift)'!$K$26)</f>
        <v>150.05643416711567</v>
      </c>
      <c r="BB46" s="375"/>
      <c r="BC46" s="348">
        <f>MAX('Port Calcs (lift)'!$K$6,'Port Calcs (lift)'!$K$26)</f>
        <v>150.05643416711567</v>
      </c>
      <c r="BD46" s="375"/>
      <c r="BE46" s="348">
        <f>MAX('Port Calcs (lift)'!$K$6,'Port Calcs (lift)'!$K$26)</f>
        <v>150.05643416711567</v>
      </c>
      <c r="BF46" s="375"/>
      <c r="BG46" s="348">
        <f>MAX('Port Calcs (lift)'!$K$6,'Port Calcs (lift)'!$K$26)</f>
        <v>150.05643416711567</v>
      </c>
      <c r="BH46" s="375"/>
      <c r="BI46" s="348">
        <f>MAX('Port Calcs (lift)'!$K$11,'Port Calcs (lift)'!$K$31)</f>
        <v>125.4706917632177</v>
      </c>
      <c r="BJ46" s="375"/>
      <c r="BK46" s="348">
        <f>MAX('Port Calcs (lift)'!$K$11,'Port Calcs (lift)'!$K$31)</f>
        <v>125.4706917632177</v>
      </c>
      <c r="BM46" s="1426"/>
      <c r="BQ46" s="381"/>
      <c r="BT46" s="381"/>
      <c r="BW46" s="381"/>
      <c r="BZ46" s="381"/>
      <c r="CC46" s="381"/>
      <c r="CF46" s="381"/>
      <c r="CI46" s="381"/>
      <c r="CN46" s="355"/>
      <c r="CO46" s="353">
        <v>2</v>
      </c>
      <c r="CP46" s="389"/>
      <c r="CQ46" s="388">
        <f>AW46</f>
        <v>182.83742403897963</v>
      </c>
      <c r="CR46" s="389"/>
      <c r="CS46" s="388">
        <f>AY46</f>
        <v>150.05643416711567</v>
      </c>
      <c r="CT46" s="389"/>
      <c r="CU46" s="388">
        <f>BA46</f>
        <v>150.05643416711567</v>
      </c>
      <c r="CV46" s="389"/>
      <c r="CW46" s="388">
        <f>BC46</f>
        <v>150.05643416711567</v>
      </c>
      <c r="CX46" s="389"/>
      <c r="CY46" s="388">
        <f>BE46</f>
        <v>150.05643416711567</v>
      </c>
      <c r="CZ46" s="389"/>
      <c r="DA46" s="388">
        <f>BG46</f>
        <v>150.05643416711567</v>
      </c>
      <c r="DB46" s="389"/>
      <c r="DC46" s="388">
        <f>BI46</f>
        <v>125.4706917632177</v>
      </c>
      <c r="DD46" s="389"/>
      <c r="DE46" s="388">
        <f>BK46</f>
        <v>125.4706917632177</v>
      </c>
      <c r="DF46" s="390"/>
      <c r="DG46" s="1426"/>
    </row>
    <row r="47" spans="1:116">
      <c r="D47" s="355"/>
      <c r="F47" s="1494">
        <f>IF($P$4="NO",ROUNDUP(CP47-0.00499,0),LEFT(CP47,1)+(IF(CP47-LEFT(CP47,1)&lt;0.00499,0,IF(CP47-LEFT(CP47,1)-0.04499&lt;('1-Eng Inputs'!$C$39/'1-Eng Inputs'!$C$38),0.5,1))))</f>
        <v>5</v>
      </c>
      <c r="G47" s="353"/>
      <c r="H47" s="1494">
        <f>IF($P$4="NO",ROUNDUP(CR47-0.00499,0),LEFT(CR47,1)+(IF(CR47-LEFT(CR47,1)&lt;0.00499,0,IF(CR47-LEFT(CR47,1)-0.04499&lt;('1-Eng Inputs'!$C$39/'1-Eng Inputs'!$C$38),0.5,1))))</f>
        <v>5</v>
      </c>
      <c r="I47" s="353"/>
      <c r="J47" s="1494">
        <f>IF($P$4="NO",ROUNDUP(CT47-0.00499,0),LEFT(CT47,1)+(IF(CT47-LEFT(CT47,1)&lt;0.00499,0,IF(CT47-LEFT(CT47,1)-0.04499&lt;('1-Eng Inputs'!$C$39/'1-Eng Inputs'!$C$38),0.5,1))))</f>
        <v>6</v>
      </c>
      <c r="K47" s="353"/>
      <c r="L47" s="1494">
        <f>IF($P$4="NO",ROUNDUP(CV47-0.00499,0),LEFT(CV47,1)+(IF(CV47-LEFT(CV47,1)&lt;0.00499,0,IF(CV47-LEFT(CV47,1)-0.04499&lt;('1-Eng Inputs'!$C$39/'1-Eng Inputs'!$C$38),0.5,1))))</f>
        <v>6</v>
      </c>
      <c r="M47" s="353"/>
      <c r="N47" s="1494">
        <f>IF($P$4="NO",ROUNDUP(CX47-0.00499,0),LEFT(CX47,1)+(IF(CX47-LEFT(CX47,1)&lt;0.00499,0,IF(CX47-LEFT(CX47,1)-0.04499&lt;('1-Eng Inputs'!$C$39/'1-Eng Inputs'!$C$38),0.5,1))))</f>
        <v>6</v>
      </c>
      <c r="O47" s="353"/>
      <c r="P47" s="1494">
        <f>IF($P$4="NO",ROUNDUP(CZ47-0.00499,0),LEFT(CZ47,1)+(IF(CZ47-LEFT(CZ47,1)&lt;0.00499,0,IF(CZ47-LEFT(CZ47,1)-0.04499&lt;('1-Eng Inputs'!$C$39/'1-Eng Inputs'!$C$38),0.5,1))))</f>
        <v>6</v>
      </c>
      <c r="Q47" s="353"/>
      <c r="R47" s="1494">
        <f>IF($P$4="NO",ROUNDUP(DB47-0.00499,0),LEFT(DB47,1)+(IF(DB47-LEFT(DB47,1)&lt;0.00499,0,IF(DB47-LEFT(DB47,1)-0.04499&lt;('1-Eng Inputs'!$C$39/'1-Eng Inputs'!$C$38),0.5,1))))</f>
        <v>6</v>
      </c>
      <c r="S47" s="353"/>
      <c r="T47" s="1494">
        <f>IF($P$4="NO",ROUNDUP(DD47-0.00499,0),LEFT(DD47,1)+(IF(DD47-LEFT(DD47,1)&lt;0.00499,0,IF(DD47-LEFT(DD47,1)-0.04499&lt;('1-Eng Inputs'!$C$39/'1-Eng Inputs'!$C$38),0.5,1))))</f>
        <v>5</v>
      </c>
      <c r="U47" s="353"/>
      <c r="V47" s="1494">
        <f>IF($P$4="NO",ROUNDUP(DF47-0.00499,0),LEFT(DF47,1)+(IF(DF47-LEFT(DF47,1)&lt;0.00499,0,IF(DF47-LEFT(DF47,1)-0.04499&lt;('1-Eng Inputs'!$C$39/'1-Eng Inputs'!$C$38),0.5,1))))</f>
        <v>5</v>
      </c>
      <c r="Y47" s="355"/>
      <c r="AA47" s="1486">
        <f>IF(LEFT(F47,3)-LEFT(F47,1)=0.5,'1-Eng Inputs'!$C$39,0)+LEFT(F47,1)*'1-Eng Inputs'!$C$38</f>
        <v>160</v>
      </c>
      <c r="AC47" s="1486">
        <f>IF(LEFT(H47,3)-LEFT(H47,1)=0.5,'1-Eng Inputs'!$C$39,0)+LEFT(H47,1)*'1-Eng Inputs'!$C$38</f>
        <v>160</v>
      </c>
      <c r="AE47" s="1486">
        <f>IF(LEFT(J47,3)-LEFT(J47,1)=0.5,'1-Eng Inputs'!$C$39,0)+LEFT(J47,1)*'1-Eng Inputs'!$C$38</f>
        <v>192</v>
      </c>
      <c r="AG47" s="1486">
        <f>IF(LEFT(L47,3)-LEFT(L47,1)=0.5,'1-Eng Inputs'!$C$39,0)+LEFT(L47,1)*'1-Eng Inputs'!$C$38</f>
        <v>192</v>
      </c>
      <c r="AI47" s="1486">
        <f>IF(LEFT(N47,3)-LEFT(N47,1)=0.5,'1-Eng Inputs'!$C$39,0)+LEFT(N47,1)*'1-Eng Inputs'!$C$38</f>
        <v>192</v>
      </c>
      <c r="AK47" s="1486">
        <f>IF(LEFT(P47,3)-LEFT(P47,1)=0.5,'1-Eng Inputs'!$C$39,0)+LEFT(P47,1)*'1-Eng Inputs'!$C$38</f>
        <v>192</v>
      </c>
      <c r="AM47" s="1486">
        <f>IF(LEFT(R47,3)-LEFT(R47,1)=0.5,'1-Eng Inputs'!$C$39,0)+LEFT(R47,1)*'1-Eng Inputs'!$C$38</f>
        <v>192</v>
      </c>
      <c r="AO47" s="1496">
        <f>IF(LEFT(T47,3)-LEFT(T47,1)=0.5,'1-Eng Inputs'!$C$39,0)+LEFT(T47,1)*'1-Eng Inputs'!$C$38</f>
        <v>160</v>
      </c>
      <c r="AQ47" s="1496">
        <f>IF(LEFT(V47,3)-LEFT(V47,1)=0.5,'1-Eng Inputs'!$C$39,0)+LEFT(V47,1)*'1-Eng Inputs'!$C$38</f>
        <v>160</v>
      </c>
      <c r="AT47" s="355"/>
      <c r="AV47" s="1506">
        <f>(BP47*AW46+AW49*BP48)/'1-Eng Inputs'!$C$38</f>
        <v>4.1505816453106581</v>
      </c>
      <c r="AX47" s="1506">
        <f>(AW46*BR47+AY46*BS47+AW49*BR48+AY49*BS48)/'1-Eng Inputs'!$C$38</f>
        <v>4.7400494607339319</v>
      </c>
      <c r="AZ47" s="1506">
        <f>(AY46*BU47+BA46*BV47+AY49*BU48+BA49*BV48)/'1-Eng Inputs'!$C$38</f>
        <v>5.3295172761572065</v>
      </c>
      <c r="BB47" s="1506">
        <f>(BA46*BX47+BC46*BY47+BA49*BX48+BC49*BY48)/'1-Eng Inputs'!$C$38</f>
        <v>5.3295172761572065</v>
      </c>
      <c r="BD47" s="1506">
        <f>$BB47</f>
        <v>5.3295172761572065</v>
      </c>
      <c r="BF47" s="1506">
        <f>$BB47</f>
        <v>5.3295172761572065</v>
      </c>
      <c r="BH47" s="1506">
        <f>$BB47</f>
        <v>5.3295172761572065</v>
      </c>
      <c r="BJ47" s="1506">
        <f>(BI46*CJ47+BK46*CK47+BI49*CJ48+BK49*CK48)/'1-Eng Inputs'!$C$38</f>
        <v>4.4331620843484281</v>
      </c>
      <c r="BL47" s="1506">
        <f>BJ47</f>
        <v>4.4331620843484281</v>
      </c>
      <c r="BP47" s="1512">
        <v>0.33333333333333331</v>
      </c>
      <c r="BR47" s="1508">
        <v>0.16666666666666666</v>
      </c>
      <c r="BS47" s="1510">
        <v>0.25</v>
      </c>
      <c r="BU47" s="1508">
        <v>0.25</v>
      </c>
      <c r="BV47" s="1510">
        <v>0.25</v>
      </c>
      <c r="BX47" s="1508">
        <v>0.25</v>
      </c>
      <c r="BY47" s="1510">
        <v>0.25</v>
      </c>
      <c r="CA47" s="1508">
        <v>0.25</v>
      </c>
      <c r="CB47" s="1510">
        <v>0.25</v>
      </c>
      <c r="CD47" s="1508">
        <v>0.25</v>
      </c>
      <c r="CE47" s="1510">
        <v>0.25</v>
      </c>
      <c r="CG47" s="1508">
        <v>0.25</v>
      </c>
      <c r="CH47" s="1510">
        <v>0.25</v>
      </c>
      <c r="CJ47" s="1508">
        <v>0.25</v>
      </c>
      <c r="CK47" s="1510">
        <v>0.25</v>
      </c>
      <c r="CN47" s="355"/>
      <c r="CP47" s="1486">
        <f>AV47</f>
        <v>4.1505816453106581</v>
      </c>
      <c r="CR47" s="1486">
        <f>AX47</f>
        <v>4.7400494607339319</v>
      </c>
      <c r="CT47" s="1486">
        <f>AZ47</f>
        <v>5.3295172761572065</v>
      </c>
      <c r="CV47" s="1486">
        <f>BB47</f>
        <v>5.3295172761572065</v>
      </c>
      <c r="CX47" s="1486">
        <f>BD47</f>
        <v>5.3295172761572065</v>
      </c>
      <c r="CZ47" s="1486">
        <f>BF47</f>
        <v>5.3295172761572065</v>
      </c>
      <c r="DB47" s="1486">
        <f>BH47</f>
        <v>5.3295172761572065</v>
      </c>
      <c r="DD47" s="1496">
        <f>BJ47</f>
        <v>4.4331620843484281</v>
      </c>
      <c r="DF47" s="1496">
        <f>DD47</f>
        <v>4.4331620843484281</v>
      </c>
    </row>
    <row r="48" spans="1:116" ht="12.75" hidden="1" customHeight="1">
      <c r="D48" s="355"/>
      <c r="F48" s="1495"/>
      <c r="G48" s="353"/>
      <c r="H48" s="1495"/>
      <c r="I48" s="353"/>
      <c r="J48" s="1495"/>
      <c r="K48" s="353"/>
      <c r="L48" s="1495"/>
      <c r="M48" s="353"/>
      <c r="N48" s="1495"/>
      <c r="O48" s="353"/>
      <c r="P48" s="1495"/>
      <c r="Q48" s="353"/>
      <c r="R48" s="1495"/>
      <c r="S48" s="353"/>
      <c r="T48" s="1495"/>
      <c r="U48" s="353"/>
      <c r="V48" s="1495"/>
      <c r="Y48" s="355"/>
      <c r="AA48" s="1487"/>
      <c r="AB48" s="457"/>
      <c r="AC48" s="1487"/>
      <c r="AD48" s="457"/>
      <c r="AE48" s="1487"/>
      <c r="AF48" s="457"/>
      <c r="AG48" s="1487"/>
      <c r="AH48" s="457"/>
      <c r="AI48" s="1487"/>
      <c r="AJ48" s="457"/>
      <c r="AK48" s="1487"/>
      <c r="AL48" s="457"/>
      <c r="AM48" s="1487"/>
      <c r="AN48" s="457"/>
      <c r="AO48" s="1497"/>
      <c r="AP48" s="457"/>
      <c r="AQ48" s="1497"/>
      <c r="AT48" s="355"/>
      <c r="AV48" s="1507"/>
      <c r="AX48" s="1507"/>
      <c r="AZ48" s="1507"/>
      <c r="BB48" s="1507"/>
      <c r="BD48" s="1507"/>
      <c r="BF48" s="1507"/>
      <c r="BH48" s="1507"/>
      <c r="BJ48" s="1507"/>
      <c r="BL48" s="1507"/>
      <c r="BP48" s="1513">
        <v>0.33333333333333331</v>
      </c>
      <c r="BR48" s="1509">
        <v>0.16666666666666666</v>
      </c>
      <c r="BS48" s="1511">
        <v>0.25</v>
      </c>
      <c r="BU48" s="1509">
        <v>0.25</v>
      </c>
      <c r="BV48" s="1511">
        <v>0.25</v>
      </c>
      <c r="BX48" s="1509">
        <v>0.25</v>
      </c>
      <c r="BY48" s="1511">
        <v>0.25</v>
      </c>
      <c r="CA48" s="1509">
        <v>0.25</v>
      </c>
      <c r="CB48" s="1511">
        <v>0.25</v>
      </c>
      <c r="CD48" s="1509">
        <v>0.25</v>
      </c>
      <c r="CE48" s="1511">
        <v>0.25</v>
      </c>
      <c r="CG48" s="1509">
        <v>0.25</v>
      </c>
      <c r="CH48" s="1511">
        <v>0.25</v>
      </c>
      <c r="CJ48" s="1509">
        <v>0.25</v>
      </c>
      <c r="CK48" s="1511">
        <v>0.25</v>
      </c>
      <c r="CN48" s="355"/>
      <c r="CP48" s="1487"/>
      <c r="CQ48" s="386">
        <f>AB49</f>
        <v>247.42636271813245</v>
      </c>
      <c r="CR48" s="1487"/>
      <c r="CS48" s="386">
        <f>AD49</f>
        <v>211.20614259535475</v>
      </c>
      <c r="CT48" s="1487"/>
      <c r="CU48" s="386">
        <f>AF49</f>
        <v>207.53281860717846</v>
      </c>
      <c r="CV48" s="1487"/>
      <c r="CW48" s="386">
        <f>AH49</f>
        <v>207.53281860717846</v>
      </c>
      <c r="CX48" s="1487"/>
      <c r="CY48" s="386">
        <f>AJ49</f>
        <v>207.53281860717846</v>
      </c>
      <c r="CZ48" s="1487"/>
      <c r="DA48" s="386">
        <f>AL49</f>
        <v>207.53281860717846</v>
      </c>
      <c r="DB48" s="1487"/>
      <c r="DC48" s="386">
        <f>AN49</f>
        <v>170.58176976970219</v>
      </c>
      <c r="DD48" s="1497"/>
      <c r="DE48" s="386">
        <f>AP49</f>
        <v>169.24311734156964</v>
      </c>
      <c r="DF48" s="1497"/>
    </row>
    <row r="49" spans="1:111" ht="21" customHeight="1">
      <c r="D49" s="355"/>
      <c r="E49" s="353">
        <v>8</v>
      </c>
      <c r="F49" s="389"/>
      <c r="G49" s="378" t="s">
        <v>19456</v>
      </c>
      <c r="H49" s="389"/>
      <c r="I49" s="378" t="s">
        <v>19456</v>
      </c>
      <c r="J49" s="389"/>
      <c r="K49" s="378" t="s">
        <v>19456</v>
      </c>
      <c r="L49" s="389"/>
      <c r="M49" s="378" t="s">
        <v>19456</v>
      </c>
      <c r="N49" s="389"/>
      <c r="O49" s="378" t="s">
        <v>19456</v>
      </c>
      <c r="P49" s="389"/>
      <c r="Q49" s="378" t="s">
        <v>19456</v>
      </c>
      <c r="R49" s="389"/>
      <c r="S49" s="378" t="s">
        <v>19457</v>
      </c>
      <c r="T49" s="389"/>
      <c r="U49" s="378" t="s">
        <v>19457</v>
      </c>
      <c r="V49" s="390"/>
      <c r="W49" s="1426"/>
      <c r="Y49" s="355"/>
      <c r="AA49" s="389"/>
      <c r="AB49" s="458">
        <f>(AA47*(AW49*BP48/(AV47*'1-Eng Inputs'!$C$38))+AA50*(AW49*BP50/(AV50*'1-Eng Inputs'!$C$38))/factors!$B$4+AC47*(AW49*BR48/(AX47*'1-Eng Inputs'!$C$38))+AC50*(AW49*BR50/(AX50*'1-Eng Inputs'!$C$38))/factors!$B$4)</f>
        <v>247.42636271813245</v>
      </c>
      <c r="AC49" s="389"/>
      <c r="AD49" s="458">
        <f>(AC47*(AY49*BS48/(AX47*'1-Eng Inputs'!$C$38))+AC50*(AY49*BS50/(AX50*'1-Eng Inputs'!$C$38))/factors!$B$4+AE47*(AY49*BU48/(AZ47*'1-Eng Inputs'!$C$38))+AE50*(AY49*BU50/(AZ50*'1-Eng Inputs'!$C$38))/factors!$B$4)</f>
        <v>211.20614259535475</v>
      </c>
      <c r="AE49" s="389"/>
      <c r="AF49" s="458">
        <f>(AE47*(BA49*BV48/(AZ47*'1-Eng Inputs'!$C$38))+AE50*(BA49*BV50/(AZ50*'1-Eng Inputs'!$C$38))/factors!$B$4+AG47*(BA49*BX48/(BB47*'1-Eng Inputs'!$C$38))+AG50*(BA49*BX50/(BB50*'1-Eng Inputs'!$C$38))/factors!$B$4)</f>
        <v>207.53281860717846</v>
      </c>
      <c r="AG49" s="389"/>
      <c r="AH49" s="458">
        <f>(AG47*(BC49*BY48/(BB47*'1-Eng Inputs'!$C$38))+AG50*(BC49*BY50/(BB50*'1-Eng Inputs'!$C$38))/factors!$B$4+AI47*(BC49*CA48/(BD47*'1-Eng Inputs'!$C$38))+AI50*(BC49*CA50/(BD50*'1-Eng Inputs'!$C$38))/factors!$B$4)</f>
        <v>207.53281860717846</v>
      </c>
      <c r="AI49" s="389"/>
      <c r="AJ49" s="458">
        <f>(AI47*(BE49*CB48/(BD47*'1-Eng Inputs'!$C$38))+AI50*(BE49*CB50/(BD50*'1-Eng Inputs'!$C$38))/factors!$B$4+AK47*(BE49*CD48/(BF47*'1-Eng Inputs'!$C$38))+AK50*(BE49*CD50/(BF50*'1-Eng Inputs'!$C$38))/factors!$B$4)</f>
        <v>207.53281860717846</v>
      </c>
      <c r="AK49" s="389"/>
      <c r="AL49" s="458">
        <f>(AK47*(BG49*CE48/(BF47*'1-Eng Inputs'!$C$38))+AK50*(BG49*CE50/(BF50*'1-Eng Inputs'!$C$38))/factors!$B$4+AM47*(BG49*CG48/(BH47*'1-Eng Inputs'!$C$38))+AM50*(BG49*CG50/(BH50*'1-Eng Inputs'!$C$38))/factors!$B$4)</f>
        <v>207.53281860717846</v>
      </c>
      <c r="AM49" s="389"/>
      <c r="AN49" s="458">
        <f>(AM47*(BI49*CH48/(BH47*'1-Eng Inputs'!$C$38))+AM50*(BI49*CH50/(BH50*'1-Eng Inputs'!$C$38))/factors!$B$4+AO47*(BI49*CJ48/(BJ47*'1-Eng Inputs'!$C$38))+AO50*(BI49*CJ50/(BJ50*'1-Eng Inputs'!$C$38))/factors!$B$4)</f>
        <v>170.58176976970219</v>
      </c>
      <c r="AO49" s="389"/>
      <c r="AP49" s="458">
        <f>(AO47*(BK49*CH48/(BJ47*'1-Eng Inputs'!$C$38))+AO50*(BK49*CH50/(BJ50*'1-Eng Inputs'!$C$38))/factors!$B$4+AQ47*(BK49*CJ48/(BL47*'1-Eng Inputs'!$C$38))+AQ50*(BK49*CJ50/(BL50*'1-Eng Inputs'!$C$38))/factors!$B$4)</f>
        <v>169.24311734156964</v>
      </c>
      <c r="AQ49" s="390"/>
      <c r="AR49" s="1426"/>
      <c r="AT49" s="355"/>
      <c r="AU49" s="353">
        <v>8</v>
      </c>
      <c r="AV49" s="375"/>
      <c r="AW49" s="348">
        <f>'Port Calcs (lift)'!$H$26</f>
        <v>215.61841391084357</v>
      </c>
      <c r="AX49" s="375"/>
      <c r="AY49" s="348">
        <f>'Port Calcs (lift)'!$I$26</f>
        <v>191.03267150694558</v>
      </c>
      <c r="AZ49" s="375"/>
      <c r="BA49" s="348">
        <f>'Port Calcs (lift)'!$I$26</f>
        <v>191.03267150694558</v>
      </c>
      <c r="BB49" s="375"/>
      <c r="BC49" s="348">
        <f>'Port Calcs (lift)'!$I$26</f>
        <v>191.03267150694558</v>
      </c>
      <c r="BD49" s="375"/>
      <c r="BE49" s="348">
        <f>'Port Calcs (lift)'!$I$26</f>
        <v>191.03267150694558</v>
      </c>
      <c r="BF49" s="375"/>
      <c r="BG49" s="348">
        <f>'Port Calcs (lift)'!$I$26</f>
        <v>191.03267150694558</v>
      </c>
      <c r="BH49" s="375"/>
      <c r="BI49" s="348">
        <f>'Port Calcs (lift)'!$I$31</f>
        <v>158.2516816350817</v>
      </c>
      <c r="BJ49" s="375"/>
      <c r="BK49" s="348">
        <f>'Port Calcs (lift)'!$I$31</f>
        <v>158.2516816350817</v>
      </c>
      <c r="BL49" s="375"/>
      <c r="BM49" s="1426"/>
      <c r="BQ49" s="381"/>
      <c r="BT49" s="381"/>
      <c r="BW49" s="381"/>
      <c r="BZ49" s="381"/>
      <c r="CC49" s="381"/>
      <c r="CF49" s="381"/>
      <c r="CI49" s="381"/>
      <c r="CN49" s="355"/>
      <c r="CO49" s="353">
        <v>3</v>
      </c>
      <c r="CP49" s="389"/>
      <c r="CQ49" s="388">
        <f>AW49</f>
        <v>215.61841391084357</v>
      </c>
      <c r="CR49" s="389"/>
      <c r="CS49" s="388">
        <f>AY49</f>
        <v>191.03267150694558</v>
      </c>
      <c r="CT49" s="389"/>
      <c r="CU49" s="388">
        <f>BA49</f>
        <v>191.03267150694558</v>
      </c>
      <c r="CV49" s="389"/>
      <c r="CW49" s="388">
        <f>BC49</f>
        <v>191.03267150694558</v>
      </c>
      <c r="CX49" s="389"/>
      <c r="CY49" s="388">
        <f>BE49</f>
        <v>191.03267150694558</v>
      </c>
      <c r="CZ49" s="389"/>
      <c r="DA49" s="388">
        <f>BG49</f>
        <v>191.03267150694558</v>
      </c>
      <c r="DB49" s="389"/>
      <c r="DC49" s="388">
        <f>BI49</f>
        <v>158.2516816350817</v>
      </c>
      <c r="DD49" s="389"/>
      <c r="DE49" s="388">
        <f>BK49</f>
        <v>158.2516816350817</v>
      </c>
      <c r="DF49" s="390"/>
      <c r="DG49" s="1426"/>
    </row>
    <row r="50" spans="1:111" ht="12.75" hidden="1" customHeight="1">
      <c r="F50" s="1516"/>
      <c r="H50" s="1516"/>
      <c r="J50" s="1516"/>
      <c r="L50" s="1516"/>
      <c r="N50" s="1516"/>
      <c r="P50" s="1516"/>
      <c r="R50" s="1516"/>
      <c r="T50" s="1516"/>
      <c r="V50" s="1516"/>
      <c r="AA50" s="1486">
        <f>IF(LEFT(F51,3)-LEFT(F51,1)=0.5,'1-Eng Inputs'!$C$39,0)+LEFT(F51,1)*'1-Eng Inputs'!$C$38</f>
        <v>128</v>
      </c>
      <c r="AC50" s="1486">
        <f>IF(LEFT(H51,3)-LEFT(H51,1)=0.5,'1-Eng Inputs'!$C$39,0)+LEFT(H51,1)*'1-Eng Inputs'!$C$38</f>
        <v>160</v>
      </c>
      <c r="AE50" s="1486">
        <f>IF(LEFT(J51,3)-LEFT(J51,1)=0.5,'1-Eng Inputs'!$C$39,0)+LEFT(J51,1)*'1-Eng Inputs'!$C$38</f>
        <v>160</v>
      </c>
      <c r="AG50" s="1486">
        <f>IF(LEFT(L51,3)-LEFT(L51,1)=0.5,'1-Eng Inputs'!$C$39,0)+LEFT(L51,1)*'1-Eng Inputs'!$C$38</f>
        <v>160</v>
      </c>
      <c r="AI50" s="1486">
        <f>IF(LEFT(N51,3)-LEFT(N51,1)=0.5,'1-Eng Inputs'!$C$39,0)+LEFT(N51,1)*'1-Eng Inputs'!$C$38</f>
        <v>160</v>
      </c>
      <c r="AK50" s="1486">
        <f>IF(LEFT(P51,3)-LEFT(P51,1)=0.5,'1-Eng Inputs'!$C$39,0)+LEFT(P51,1)*'1-Eng Inputs'!$C$38</f>
        <v>160</v>
      </c>
      <c r="AM50" s="1486">
        <f>IF(LEFT(R51,3)-LEFT(R51,1)=0.5,'1-Eng Inputs'!$C$39,0)+LEFT(R51,1)*'1-Eng Inputs'!$C$38</f>
        <v>160</v>
      </c>
      <c r="AO50" s="1496">
        <f>IF(LEFT(T51,3)-LEFT(T51,1)=0.5,'1-Eng Inputs'!$C$39,0)+LEFT(T51,1)*'1-Eng Inputs'!$C$38</f>
        <v>128</v>
      </c>
      <c r="AQ50" s="1496">
        <f>IF(LEFT(V51,3)-LEFT(V51,1)=0.5,'1-Eng Inputs'!$C$39,0)+LEFT(V51,1)*'1-Eng Inputs'!$C$38</f>
        <v>128</v>
      </c>
      <c r="AV50" s="1506">
        <f>(BP50*AW49)/'1-Eng Inputs'!$C$38</f>
        <v>2.2460251449046202</v>
      </c>
      <c r="AX50" s="1506">
        <f>(AW49*BR50+AY49*BS50)/'1-Eng Inputs'!$C$38</f>
        <v>2.6154553186003224</v>
      </c>
      <c r="AZ50" s="1506">
        <f>(AY49*BU50+BA49*BV50)/'1-Eng Inputs'!$C$38</f>
        <v>2.9848854922960246</v>
      </c>
      <c r="BB50" s="1506">
        <f>(BA49*BX50+BC49*BY50)/'1-Eng Inputs'!$C$38</f>
        <v>2.9848854922960246</v>
      </c>
      <c r="BD50" s="1506">
        <f>$BB50</f>
        <v>2.9848854922960246</v>
      </c>
      <c r="BF50" s="1506">
        <f>$BB50</f>
        <v>2.9848854922960246</v>
      </c>
      <c r="BH50" s="1506">
        <f>$BB50</f>
        <v>2.9848854922960246</v>
      </c>
      <c r="BJ50" s="1506">
        <f>(BI49*CJ50+BK49*CK50)/'1-Eng Inputs'!$C$38</f>
        <v>2.4726825255481515</v>
      </c>
      <c r="BL50" s="1506">
        <f>BJ50</f>
        <v>2.4726825255481515</v>
      </c>
      <c r="BP50" s="1512">
        <v>0.33333333333333331</v>
      </c>
      <c r="BR50" s="1508">
        <v>0.16666666666666666</v>
      </c>
      <c r="BS50" s="1510">
        <v>0.25</v>
      </c>
      <c r="BU50" s="1508">
        <v>0.25</v>
      </c>
      <c r="BV50" s="1510">
        <v>0.25</v>
      </c>
      <c r="BX50" s="1508">
        <v>0.25</v>
      </c>
      <c r="BY50" s="1510">
        <v>0.25</v>
      </c>
      <c r="CA50" s="1508">
        <v>0.25</v>
      </c>
      <c r="CB50" s="1510">
        <v>0.25</v>
      </c>
      <c r="CD50" s="1508">
        <v>0.25</v>
      </c>
      <c r="CE50" s="1510">
        <v>0.25</v>
      </c>
      <c r="CG50" s="1508">
        <v>0.25</v>
      </c>
      <c r="CH50" s="1510">
        <v>0.25</v>
      </c>
      <c r="CJ50" s="1508">
        <v>0.25</v>
      </c>
      <c r="CK50" s="1510">
        <v>0.25</v>
      </c>
      <c r="CP50" s="1486">
        <f>AV50</f>
        <v>2.2460251449046202</v>
      </c>
      <c r="CR50" s="1486">
        <f>AX50</f>
        <v>2.6154553186003224</v>
      </c>
      <c r="CT50" s="1486">
        <f>AZ50</f>
        <v>2.9848854922960246</v>
      </c>
      <c r="CV50" s="1486">
        <f>BB50</f>
        <v>2.9848854922960246</v>
      </c>
      <c r="CX50" s="1486">
        <f>BD50</f>
        <v>2.9848854922960246</v>
      </c>
      <c r="CZ50" s="1486">
        <f>BF50</f>
        <v>2.9848854922960246</v>
      </c>
      <c r="DB50" s="1486">
        <f>BH50</f>
        <v>2.9848854922960246</v>
      </c>
      <c r="DD50" s="1496">
        <f>BJ50</f>
        <v>2.4726825255481515</v>
      </c>
      <c r="DF50" s="1496">
        <f>DD50</f>
        <v>2.4726825255481515</v>
      </c>
    </row>
    <row r="51" spans="1:111">
      <c r="F51" s="1495">
        <f>IF($P$4="NO",ROUNDUP(CP51,0),LEFT(CP51,1)+(IF(CP51-LEFT(CP51,1)&lt;0.01,0,IF(CP51-LEFT(CP51,1)&lt;('1-Eng Inputs'!$C$39/'1-Eng Inputs'!$C$38),0.5,1))))</f>
        <v>4</v>
      </c>
      <c r="G51" s="353"/>
      <c r="H51" s="1495">
        <f>IF($P$4="NO",ROUNDUP(CR51,0),LEFT(CR51,1)+(IF(CR51-LEFT(CR51,1)&lt;0.01,0,IF(CR51-LEFT(CR51,1)&lt;('1-Eng Inputs'!$C$39/'1-Eng Inputs'!$C$38),0.5,1))))</f>
        <v>5</v>
      </c>
      <c r="I51" s="353"/>
      <c r="J51" s="1495">
        <f>IF($P$4="NO",ROUNDUP(CT51,0),LEFT(CT51,1)+(IF(CT51-LEFT(CT51,1)&lt;0.01,0,IF(CT51-LEFT(CT51,1)&lt;('1-Eng Inputs'!$C$39/'1-Eng Inputs'!$C$38),0.5,1))))</f>
        <v>5</v>
      </c>
      <c r="K51" s="353"/>
      <c r="L51" s="1495">
        <f>IF($P$4="NO",ROUNDUP(CV51,0),LEFT(CV51,1)+(IF(CV51-LEFT(CV51,1)&lt;0.01,0,IF(CV51-LEFT(CV51,1)&lt;('1-Eng Inputs'!$C$39/'1-Eng Inputs'!$C$38),0.5,1))))</f>
        <v>5</v>
      </c>
      <c r="M51" s="353"/>
      <c r="N51" s="1495">
        <f>IF($P$4="NO",ROUNDUP(CX51,0),LEFT(CX51,1)+(IF(CX51-LEFT(CX51,1)&lt;0.01,0,IF(CX51-LEFT(CX51,1)&lt;('1-Eng Inputs'!$C$39/'1-Eng Inputs'!$C$38),0.5,1))))</f>
        <v>5</v>
      </c>
      <c r="O51" s="353"/>
      <c r="P51" s="1495">
        <f>IF($P$4="NO",ROUNDUP(CZ51,0),LEFT(CZ51,1)+(IF(CZ51-LEFT(CZ51,1)&lt;0.01,0,IF(CZ51-LEFT(CZ51,1)&lt;('1-Eng Inputs'!$C$39/'1-Eng Inputs'!$C$38),0.5,1))))</f>
        <v>5</v>
      </c>
      <c r="Q51" s="353"/>
      <c r="R51" s="1495">
        <f>IF($P$4="NO",ROUNDUP(DB51,0),LEFT(DB51,1)+(IF(DB51-LEFT(DB51,1)&lt;0.01,0,IF(DB51-LEFT(DB51,1)&lt;('1-Eng Inputs'!$C$39/'1-Eng Inputs'!$C$38),0.5,1))))</f>
        <v>5</v>
      </c>
      <c r="S51" s="353"/>
      <c r="T51" s="1495">
        <f>IF($P$4="NO",ROUNDUP(DD51,0),LEFT(DD51,1)+(IF(DD51-LEFT(DD51,1)&lt;0.01,0,IF(DD51-LEFT(DD51,1)&lt;('1-Eng Inputs'!$C$39/'1-Eng Inputs'!$C$38),0.5,1))))</f>
        <v>4</v>
      </c>
      <c r="U51" s="353"/>
      <c r="V51" s="1495">
        <f>IF($P$4="NO",ROUNDUP(DF51,0),LEFT(DF51,1)+(IF(DF51-LEFT(DF51,1)&lt;0.01,0,IF(DF51-LEFT(DF51,1)&lt;('1-Eng Inputs'!$C$39/'1-Eng Inputs'!$C$38),0.5,1))))</f>
        <v>4</v>
      </c>
      <c r="AA51" s="1487"/>
      <c r="AC51" s="1487"/>
      <c r="AE51" s="1487"/>
      <c r="AG51" s="1487"/>
      <c r="AI51" s="1487"/>
      <c r="AK51" s="1487"/>
      <c r="AM51" s="1487"/>
      <c r="AO51" s="1497"/>
      <c r="AQ51" s="1497"/>
      <c r="AV51" s="1507">
        <f>AV50*factors!$B$4</f>
        <v>3.5936402318473926</v>
      </c>
      <c r="AX51" s="1507">
        <f>AX50*factors!$B$4</f>
        <v>4.1847285097605162</v>
      </c>
      <c r="AZ51" s="1507">
        <f>AZ50*factors!$B$4</f>
        <v>4.7758167876736399</v>
      </c>
      <c r="BB51" s="1507">
        <f>BB50*factors!$B$4</f>
        <v>4.7758167876736399</v>
      </c>
      <c r="BD51" s="1507">
        <f>$BB51</f>
        <v>4.7758167876736399</v>
      </c>
      <c r="BF51" s="1507">
        <f>$BB51</f>
        <v>4.7758167876736399</v>
      </c>
      <c r="BH51" s="1507">
        <f>$BB51</f>
        <v>4.7758167876736399</v>
      </c>
      <c r="BJ51" s="1507">
        <f>BJ50*factors!$B$4</f>
        <v>3.9562920408770426</v>
      </c>
      <c r="BL51" s="1507">
        <f>BJ51</f>
        <v>3.9562920408770426</v>
      </c>
      <c r="BP51" s="1513"/>
      <c r="BR51" s="1509"/>
      <c r="BS51" s="1511"/>
      <c r="BU51" s="1509"/>
      <c r="BV51" s="1511"/>
      <c r="BX51" s="1509"/>
      <c r="BY51" s="1511"/>
      <c r="CA51" s="1509"/>
      <c r="CB51" s="1511"/>
      <c r="CD51" s="1509"/>
      <c r="CE51" s="1511"/>
      <c r="CG51" s="1509"/>
      <c r="CH51" s="1511"/>
      <c r="CJ51" s="1509"/>
      <c r="CK51" s="1511"/>
      <c r="CP51" s="1487">
        <f>AV51</f>
        <v>3.5936402318473926</v>
      </c>
      <c r="CR51" s="1487">
        <f>AX51</f>
        <v>4.1847285097605162</v>
      </c>
      <c r="CT51" s="1487">
        <f>AZ51</f>
        <v>4.7758167876736399</v>
      </c>
      <c r="CV51" s="1487">
        <f>BB51</f>
        <v>4.7758167876736399</v>
      </c>
      <c r="CX51" s="1487">
        <f>BD51</f>
        <v>4.7758167876736399</v>
      </c>
      <c r="CZ51" s="1487">
        <f>BF51</f>
        <v>4.7758167876736399</v>
      </c>
      <c r="DB51" s="1487">
        <f>BH51</f>
        <v>4.7758167876736399</v>
      </c>
      <c r="DD51" s="1497">
        <f>BJ51</f>
        <v>3.9562920408770426</v>
      </c>
      <c r="DF51" s="1497">
        <f>DD51</f>
        <v>3.9562920408770426</v>
      </c>
    </row>
    <row r="52" spans="1:111">
      <c r="C52" s="349"/>
    </row>
    <row r="53" spans="1:111">
      <c r="A53" s="349" t="s">
        <v>19433</v>
      </c>
      <c r="C53" s="1426"/>
      <c r="D53" s="356"/>
      <c r="Y53" s="356"/>
      <c r="AT53" s="349" t="s">
        <v>19448</v>
      </c>
      <c r="CN53" s="356"/>
    </row>
    <row r="54" spans="1:111">
      <c r="C54" s="1426"/>
      <c r="D54" s="356"/>
      <c r="G54" s="357" t="s">
        <v>233</v>
      </c>
      <c r="V54" s="354" t="s">
        <v>215</v>
      </c>
      <c r="W54" s="354"/>
      <c r="Y54" s="356"/>
      <c r="AB54" s="456"/>
      <c r="AQ54" s="354"/>
      <c r="AR54" s="354"/>
      <c r="AT54" s="356"/>
      <c r="AW54" s="357" t="s">
        <v>233</v>
      </c>
      <c r="BL54" s="354" t="s">
        <v>215</v>
      </c>
      <c r="BP54" s="370" t="s">
        <v>19376</v>
      </c>
      <c r="CN54" s="356"/>
      <c r="CQ54" s="357" t="s">
        <v>233</v>
      </c>
      <c r="DF54" s="354" t="s">
        <v>215</v>
      </c>
    </row>
    <row r="55" spans="1:111" s="352" customFormat="1">
      <c r="C55" s="1426"/>
      <c r="D55" s="356"/>
      <c r="G55" s="352">
        <v>1</v>
      </c>
      <c r="I55" s="352">
        <v>2</v>
      </c>
      <c r="K55" s="352">
        <v>3</v>
      </c>
      <c r="M55" s="352">
        <v>3</v>
      </c>
      <c r="O55" s="352">
        <v>3</v>
      </c>
      <c r="Q55" s="352">
        <v>3</v>
      </c>
      <c r="S55" s="352">
        <v>4</v>
      </c>
      <c r="U55" s="352">
        <v>5</v>
      </c>
      <c r="X55" s="387"/>
      <c r="Y55" s="356"/>
      <c r="AB55" s="456"/>
      <c r="AD55" s="456"/>
      <c r="AF55" s="456"/>
      <c r="AH55" s="456"/>
      <c r="AJ55" s="456"/>
      <c r="AL55" s="456"/>
      <c r="AN55" s="456"/>
      <c r="AP55" s="456"/>
      <c r="AS55" s="387"/>
      <c r="AT55" s="356"/>
      <c r="AW55" s="352">
        <v>1</v>
      </c>
      <c r="AY55" s="352">
        <v>2</v>
      </c>
      <c r="BA55" s="352">
        <v>3</v>
      </c>
      <c r="BC55" s="352">
        <v>3</v>
      </c>
      <c r="BE55" s="352">
        <v>3</v>
      </c>
      <c r="BG55" s="352">
        <v>3</v>
      </c>
      <c r="BI55" s="352">
        <v>4</v>
      </c>
      <c r="BK55" s="352">
        <v>5</v>
      </c>
      <c r="BN55" s="387"/>
      <c r="BP55" s="371"/>
      <c r="BQ55" s="371"/>
      <c r="BR55" s="371"/>
      <c r="BS55" s="371"/>
      <c r="BT55" s="371"/>
      <c r="BU55" s="371"/>
      <c r="BV55" s="371"/>
      <c r="BW55" s="371"/>
      <c r="BX55" s="371"/>
      <c r="BY55" s="371"/>
      <c r="BZ55" s="371"/>
      <c r="CA55" s="371"/>
      <c r="CB55" s="371"/>
      <c r="CC55" s="371"/>
      <c r="CD55" s="371"/>
      <c r="CE55" s="371"/>
      <c r="CF55" s="371"/>
      <c r="CG55" s="371"/>
      <c r="CH55" s="371"/>
      <c r="CI55" s="371"/>
      <c r="CJ55" s="371"/>
      <c r="CK55" s="371"/>
      <c r="CM55" s="387"/>
      <c r="CN55" s="356"/>
      <c r="CQ55" s="352">
        <v>1</v>
      </c>
      <c r="CS55" s="352">
        <v>2</v>
      </c>
      <c r="CU55" s="352">
        <v>3</v>
      </c>
      <c r="CW55" s="352">
        <v>3</v>
      </c>
      <c r="CY55" s="352">
        <v>3</v>
      </c>
      <c r="DA55" s="352">
        <v>3</v>
      </c>
      <c r="DC55" s="352">
        <v>4</v>
      </c>
      <c r="DE55" s="352">
        <v>5</v>
      </c>
    </row>
    <row r="56" spans="1:111">
      <c r="F56" s="1494">
        <f>IF($P$4="NO",ROUNDUP(CP56-0.00499,0),LEFT(CP56,1)+(IF(CP56-LEFT(CP56,1)&lt;0.00499,0,IF(CP56-LEFT(CP56,1)-0.04499&lt;('1-Eng Inputs'!$C$39/'1-Eng Inputs'!$C$38),0.5,1))))</f>
        <v>3</v>
      </c>
      <c r="G56" s="353"/>
      <c r="H56" s="1494">
        <f>IF($P$4="NO",ROUNDUP(CR56-0.00499,0),LEFT(CR56,1)+(IF(CR56-LEFT(CR56,1)&lt;0.00499,0,IF(CR56-LEFT(CR56,1)-0.04499&lt;('1-Eng Inputs'!$C$39/'1-Eng Inputs'!$C$38),0.5,1))))</f>
        <v>6</v>
      </c>
      <c r="I56" s="353"/>
      <c r="J56" s="1494">
        <f>IF($P$4="NO",ROUNDUP(CT56-0.00499,0),LEFT(CT56,1)+(IF(CT56-LEFT(CT56,1)&lt;0.00499,0,IF(CT56-LEFT(CT56,1)-0.04499&lt;('1-Eng Inputs'!$C$39/'1-Eng Inputs'!$C$38),0.5,1))))</f>
        <v>6</v>
      </c>
      <c r="K56" s="353"/>
      <c r="L56" s="1494">
        <f>IF($P$4="NO",ROUNDUP(CV56-0.00499,0),LEFT(CV56,1)+(IF(CV56-LEFT(CV56,1)&lt;0.00499,0,IF(CV56-LEFT(CV56,1)-0.04499&lt;('1-Eng Inputs'!$C$39/'1-Eng Inputs'!$C$38),0.5,1))))</f>
        <v>6</v>
      </c>
      <c r="M56" s="353"/>
      <c r="N56" s="1494">
        <f>IF($P$4="NO",ROUNDUP(CX56-0.00499,0),LEFT(CX56,1)+(IF(CX56-LEFT(CX56,1)&lt;0.00499,0,IF(CX56-LEFT(CX56,1)-0.04499&lt;('1-Eng Inputs'!$C$39/'1-Eng Inputs'!$C$38),0.5,1))))</f>
        <v>6</v>
      </c>
      <c r="O56" s="353"/>
      <c r="P56" s="1494">
        <f>IF($P$4="NO",ROUNDUP(CZ56-0.00499,0),LEFT(CZ56,1)+(IF(CZ56-LEFT(CZ56,1)&lt;0.00499,0,IF(CZ56-LEFT(CZ56,1)-0.04499&lt;('1-Eng Inputs'!$C$39/'1-Eng Inputs'!$C$38),0.5,1))))</f>
        <v>6</v>
      </c>
      <c r="Q56" s="353"/>
      <c r="R56" s="1494">
        <f>IF($P$4="NO",ROUNDUP(DB56-0.00499,0),LEFT(DB56,1)+(IF(DB56-LEFT(DB56,1)&lt;0.00499,0,IF(DB56-LEFT(DB56,1)-0.04499&lt;('1-Eng Inputs'!$C$39/'1-Eng Inputs'!$C$38),0.5,1))))</f>
        <v>6</v>
      </c>
      <c r="S56" s="353"/>
      <c r="T56" s="1494">
        <f>IF($P$4="NO",ROUNDUP(DD56-0.00499,0),LEFT(DD56,1)+(IF(DD56-LEFT(DD56,1)&lt;0.00499,0,IF(DD56-LEFT(DD56,1)-0.04499&lt;('1-Eng Inputs'!$C$39/'1-Eng Inputs'!$C$38),0.5,1))))</f>
        <v>5</v>
      </c>
      <c r="U56" s="353"/>
      <c r="V56" s="1494">
        <f>IF($P$4="NO",ROUNDUP(DF56-0.00499,0),LEFT(DF56,1)+(IF(DF56-LEFT(DF56,1)&lt;0.00499,0,IF(DF56-LEFT(DF56,1)-0.04499&lt;('1-Eng Inputs'!$C$39/'1-Eng Inputs'!$C$38),0.5,1))))</f>
        <v>5</v>
      </c>
      <c r="AA56" s="1478">
        <f>IF(LEFT(F56,3)-LEFT(F56,1)=0.5,'1-Eng Inputs'!$C$39,0)+LEFT(F56,1)*'1-Eng Inputs'!$C$38</f>
        <v>96</v>
      </c>
      <c r="AC56" s="1478">
        <f>IF(LEFT(H56,3)-LEFT(H56,1)=0.5,'1-Eng Inputs'!$C$39,0)+LEFT(H56,1)*'1-Eng Inputs'!$C$38</f>
        <v>192</v>
      </c>
      <c r="AE56" s="1478">
        <f>IF(LEFT(J56,3)-LEFT(J56,1)=0.5,'1-Eng Inputs'!$C$39,0)+LEFT(J56,1)*'1-Eng Inputs'!$C$38</f>
        <v>192</v>
      </c>
      <c r="AG56" s="1478">
        <f>IF(LEFT(L56,3)-LEFT(L56,1)=0.5,'1-Eng Inputs'!$C$39,0)+LEFT(L56,1)*'1-Eng Inputs'!$C$38</f>
        <v>192</v>
      </c>
      <c r="AI56" s="1478">
        <f>IF(LEFT(N56,3)-LEFT(N56,1)=0.5,'1-Eng Inputs'!$C$39,0)+LEFT(N56,1)*'1-Eng Inputs'!$C$38</f>
        <v>192</v>
      </c>
      <c r="AK56" s="1478">
        <f>IF(LEFT(P56,3)-LEFT(P56,1)=0.5,'1-Eng Inputs'!$C$39,0)+LEFT(P56,1)*'1-Eng Inputs'!$C$38</f>
        <v>192</v>
      </c>
      <c r="AM56" s="1478">
        <f>IF(LEFT(R56,3)-LEFT(R56,1)=0.5,'1-Eng Inputs'!$C$39,0)+LEFT(R56,1)*'1-Eng Inputs'!$C$38</f>
        <v>192</v>
      </c>
      <c r="AO56" s="1484">
        <f>IF(LEFT(T56,3)-LEFT(T56,1)=0.5,'1-Eng Inputs'!$C$39,0)+LEFT(T56,1)*'1-Eng Inputs'!$C$38</f>
        <v>160</v>
      </c>
      <c r="AQ56" s="1484">
        <f>IF(LEFT(V56,3)-LEFT(V56,1)=0.5,'1-Eng Inputs'!$C$39,0)+LEFT(V56,1)*'1-Eng Inputs'!$C$38</f>
        <v>160</v>
      </c>
      <c r="AV56" s="1506">
        <f>AV57*factors!$B$3</f>
        <v>2.6952301738855442</v>
      </c>
      <c r="AX56" s="1506">
        <f>AX57*factors!$B$3</f>
        <v>5.4811233000285009</v>
      </c>
      <c r="AZ56" s="1506">
        <f>AZ57*factors!$B$3</f>
        <v>5.5717862522859125</v>
      </c>
      <c r="BB56" s="1506">
        <f>BB57*factors!$B$3</f>
        <v>5.5717862522859125</v>
      </c>
      <c r="BD56" s="1506">
        <f>$BB56</f>
        <v>5.5717862522859125</v>
      </c>
      <c r="BF56" s="1506">
        <f>$BB56</f>
        <v>5.5717862522859125</v>
      </c>
      <c r="BH56" s="1506">
        <f>$BB56</f>
        <v>5.5717862522859125</v>
      </c>
      <c r="BJ56" s="1506">
        <f>BJ57*factors!$B$3</f>
        <v>4.6156740476898817</v>
      </c>
      <c r="BL56" s="1506">
        <f>BJ56</f>
        <v>4.6156740476898817</v>
      </c>
      <c r="BP56" s="1512">
        <v>0.2857142857142857</v>
      </c>
      <c r="BR56" s="1508">
        <v>0.2857142857142857</v>
      </c>
      <c r="BS56" s="1510">
        <v>0.33333333333333331</v>
      </c>
      <c r="BU56" s="1508">
        <v>0.33333333333333331</v>
      </c>
      <c r="BV56" s="1510">
        <v>0.33333333333333331</v>
      </c>
      <c r="BX56" s="1508">
        <v>0.33333333333333331</v>
      </c>
      <c r="BY56" s="1510">
        <v>0.33333333333333331</v>
      </c>
      <c r="CA56" s="1508">
        <v>0.33333333333333331</v>
      </c>
      <c r="CB56" s="1510">
        <v>0.33333333333333331</v>
      </c>
      <c r="CD56" s="1508">
        <v>0.33333333333333331</v>
      </c>
      <c r="CE56" s="1510">
        <v>0.33333333333333331</v>
      </c>
      <c r="CG56" s="1508">
        <v>0.33333333333333331</v>
      </c>
      <c r="CH56" s="1510">
        <v>0.33333333333333331</v>
      </c>
      <c r="CJ56" s="1508">
        <v>0.33333333333333331</v>
      </c>
      <c r="CK56" s="1510">
        <v>0.33333333333333331</v>
      </c>
      <c r="CP56" s="1478">
        <f>AV56</f>
        <v>2.6952301738855442</v>
      </c>
      <c r="CR56" s="1478">
        <f>AX56</f>
        <v>5.4811233000285009</v>
      </c>
      <c r="CT56" s="1478">
        <f>AZ56</f>
        <v>5.5717862522859125</v>
      </c>
      <c r="CV56" s="1478">
        <f>BB56</f>
        <v>5.5717862522859125</v>
      </c>
      <c r="CX56" s="1478">
        <f>BD56</f>
        <v>5.5717862522859125</v>
      </c>
      <c r="CZ56" s="1478">
        <f>BF56</f>
        <v>5.5717862522859125</v>
      </c>
      <c r="DB56" s="1478">
        <f>BH56</f>
        <v>5.5717862522859125</v>
      </c>
      <c r="DD56" s="1484">
        <f>BJ56</f>
        <v>4.6156740476898817</v>
      </c>
      <c r="DF56" s="1484">
        <f>DD56</f>
        <v>4.6156740476898817</v>
      </c>
    </row>
    <row r="57" spans="1:111" ht="12.75" hidden="1" customHeight="1">
      <c r="F57" s="1495"/>
      <c r="G57" s="353"/>
      <c r="H57" s="1495"/>
      <c r="I57" s="353"/>
      <c r="J57" s="1495"/>
      <c r="K57" s="353"/>
      <c r="L57" s="1495"/>
      <c r="M57" s="353"/>
      <c r="N57" s="1495"/>
      <c r="O57" s="353"/>
      <c r="P57" s="1495"/>
      <c r="Q57" s="353"/>
      <c r="R57" s="1495"/>
      <c r="S57" s="353"/>
      <c r="T57" s="1495"/>
      <c r="U57" s="353"/>
      <c r="V57" s="1495"/>
      <c r="AA57" s="1479"/>
      <c r="AB57" s="457">
        <f>CQ57-AB58</f>
        <v>0</v>
      </c>
      <c r="AC57" s="1479"/>
      <c r="AD57" s="457"/>
      <c r="AE57" s="1479"/>
      <c r="AF57" s="457"/>
      <c r="AG57" s="1479"/>
      <c r="AH57" s="457"/>
      <c r="AI57" s="1479"/>
      <c r="AJ57" s="457"/>
      <c r="AK57" s="1479"/>
      <c r="AL57" s="457"/>
      <c r="AM57" s="1479"/>
      <c r="AN57" s="457"/>
      <c r="AO57" s="1485"/>
      <c r="AP57" s="457"/>
      <c r="AQ57" s="1485"/>
      <c r="AV57" s="1507">
        <f>(BP56*AW58)/'1-Eng Inputs'!$C$38</f>
        <v>1.9251644099182461</v>
      </c>
      <c r="AX57" s="1507">
        <f>(BR56*AW58+AY58*BS56)/'1-Eng Inputs'!$C$38</f>
        <v>3.9150880714489293</v>
      </c>
      <c r="AZ57" s="1507">
        <f>(BU56*AY58+BA58*BV56)/'1-Eng Inputs'!$C$38</f>
        <v>3.979847323061366</v>
      </c>
      <c r="BB57" s="1507">
        <f>(BX56*BA58+BC58*BY56)/'1-Eng Inputs'!$C$38</f>
        <v>3.979847323061366</v>
      </c>
      <c r="BD57" s="1507">
        <f>$BB57</f>
        <v>3.979847323061366</v>
      </c>
      <c r="BF57" s="1507">
        <f>$BB57</f>
        <v>3.979847323061366</v>
      </c>
      <c r="BH57" s="1507">
        <f>$BB57</f>
        <v>3.979847323061366</v>
      </c>
      <c r="BJ57" s="1507">
        <f>(CJ56*BI58+BK58*CK56)/'1-Eng Inputs'!$C$38</f>
        <v>3.2969100340642017</v>
      </c>
      <c r="BL57" s="1507">
        <f>BJ57</f>
        <v>3.2969100340642017</v>
      </c>
      <c r="BP57" s="1513"/>
      <c r="BR57" s="1509"/>
      <c r="BS57" s="1511"/>
      <c r="BU57" s="1509"/>
      <c r="BV57" s="1511"/>
      <c r="BX57" s="1509"/>
      <c r="BY57" s="1511"/>
      <c r="CA57" s="1509"/>
      <c r="CB57" s="1511"/>
      <c r="CD57" s="1509"/>
      <c r="CE57" s="1511"/>
      <c r="CG57" s="1509"/>
      <c r="CH57" s="1511"/>
      <c r="CJ57" s="1509"/>
      <c r="CK57" s="1511"/>
      <c r="CP57" s="1479">
        <f>AV57</f>
        <v>1.9251644099182461</v>
      </c>
      <c r="CQ57" s="386">
        <f>AB58</f>
        <v>243.53357968659128</v>
      </c>
      <c r="CR57" s="1479">
        <f>AX57</f>
        <v>3.9150880714489293</v>
      </c>
      <c r="CS57" s="386">
        <f>AD58</f>
        <v>205.08879575744331</v>
      </c>
      <c r="CT57" s="1479">
        <f>AZ57</f>
        <v>3.979847323061366</v>
      </c>
      <c r="CU57" s="386">
        <f>AF58</f>
        <v>201.14285714285714</v>
      </c>
      <c r="CV57" s="1479">
        <f>BB57</f>
        <v>3.979847323061366</v>
      </c>
      <c r="CW57" s="386">
        <f>AH58</f>
        <v>201.14285714285714</v>
      </c>
      <c r="CX57" s="1479">
        <f>BD57</f>
        <v>3.979847323061366</v>
      </c>
      <c r="CY57" s="386">
        <f>AJ58</f>
        <v>201.14285714285714</v>
      </c>
      <c r="CZ57" s="1479">
        <f>BF57</f>
        <v>3.979847323061366</v>
      </c>
      <c r="DA57" s="386">
        <f>AL58</f>
        <v>201.14285714285714</v>
      </c>
      <c r="DB57" s="1479">
        <f>BH57</f>
        <v>3.979847323061366</v>
      </c>
      <c r="DC57" s="386">
        <f>AN58</f>
        <v>172.45634258135405</v>
      </c>
      <c r="DD57" s="1485">
        <f>BJ57</f>
        <v>3.2969100340642017</v>
      </c>
      <c r="DE57" s="386">
        <f>AP58</f>
        <v>178.28571428571428</v>
      </c>
      <c r="DF57" s="1485">
        <f>DD57</f>
        <v>3.2969100340642017</v>
      </c>
    </row>
    <row r="58" spans="1:111" ht="21" customHeight="1">
      <c r="D58" s="354" t="s">
        <v>234</v>
      </c>
      <c r="E58" s="353">
        <v>1</v>
      </c>
      <c r="F58" s="389"/>
      <c r="G58" s="378" t="s">
        <v>19453</v>
      </c>
      <c r="H58" s="389"/>
      <c r="I58" s="378" t="s">
        <v>19453</v>
      </c>
      <c r="J58" s="389"/>
      <c r="K58" s="378" t="s">
        <v>19453</v>
      </c>
      <c r="L58" s="389"/>
      <c r="M58" s="378" t="s">
        <v>19453</v>
      </c>
      <c r="N58" s="389"/>
      <c r="O58" s="378" t="s">
        <v>19453</v>
      </c>
      <c r="P58" s="389"/>
      <c r="Q58" s="378" t="s">
        <v>19453</v>
      </c>
      <c r="R58" s="389"/>
      <c r="S58" s="378" t="s">
        <v>19416</v>
      </c>
      <c r="T58" s="389"/>
      <c r="U58" s="378" t="s">
        <v>19416</v>
      </c>
      <c r="V58" s="390"/>
      <c r="W58" s="1426"/>
      <c r="Y58" s="354"/>
      <c r="AA58" s="389"/>
      <c r="AB58" s="458">
        <f>(AA56*(AW58*BP56/(AV57*'1-Eng Inputs'!$C$38))/factors!$B$3+AA59*(AW58*BP59/(AV59*'1-Eng Inputs'!$C$38))+AC56*(AW58*BR56/(AX57*'1-Eng Inputs'!$C$38))/factors!$B$3+AC59*(AW58*BR59/(AX59*'1-Eng Inputs'!$C$38)))</f>
        <v>243.53357968659128</v>
      </c>
      <c r="AC58" s="389"/>
      <c r="AD58" s="458">
        <f>(AC56*(AY58*BS56/(AX57*'1-Eng Inputs'!$C$38))/factors!$B$3+AC59*(AY58*BS59/(AX59*'1-Eng Inputs'!$C$38))+AE56*(AY58*BU56/(AZ57*'1-Eng Inputs'!$C$38))/factors!$B$3+AE59*(AY58*BU59/(AZ59*'1-Eng Inputs'!$C$38)))</f>
        <v>205.08879575744331</v>
      </c>
      <c r="AE58" s="389"/>
      <c r="AF58" s="458">
        <f>(AE56*(BA58*BV56/(AZ57*'1-Eng Inputs'!$C$38))/factors!$B$3+AE59*(BA58*BV59/(AZ59*'1-Eng Inputs'!$C$38))+AG56*(BA58*BX56/(BB57*'1-Eng Inputs'!$C$38))/factors!$B$3+AG59*(BA58*BX59/(BB59*'1-Eng Inputs'!$C$38)))</f>
        <v>201.14285714285714</v>
      </c>
      <c r="AG58" s="389"/>
      <c r="AH58" s="458">
        <f>(AG56*(BC58*BY56/(BB57*'1-Eng Inputs'!$C$38))/factors!$B$3+AG59*(BC58*BY59/(BB59*'1-Eng Inputs'!$C$38))+AI56*(BC58*CA56/(BD57*'1-Eng Inputs'!$C$38))/factors!$B$3+AI59*(BC58*CA59/(BD59*'1-Eng Inputs'!$C$38)))</f>
        <v>201.14285714285714</v>
      </c>
      <c r="AI58" s="389"/>
      <c r="AJ58" s="458">
        <f>(AI56*(BE58*CB56/(BD57*'1-Eng Inputs'!$C$38))/factors!$B$3+AI59*(BE58*CB59/(BD59*'1-Eng Inputs'!$C$38))+AK56*(BE58*CD56/(BF57*'1-Eng Inputs'!$C$38))/factors!$B$3+AK59*(BE58*CD59/(BF59*'1-Eng Inputs'!$C$38)))</f>
        <v>201.14285714285714</v>
      </c>
      <c r="AK58" s="389"/>
      <c r="AL58" s="458">
        <f>(AK56*(BG58*CE56/(BF57*'1-Eng Inputs'!$C$38))/factors!$B$3+AK59*(BG58*CE59/(BF59*'1-Eng Inputs'!$C$38))+AM56*(BG58*CG56/(BH57*'1-Eng Inputs'!$C$38))/factors!$B$3+AM59*(BG58*CG59/(BH59*'1-Eng Inputs'!$C$38)))</f>
        <v>201.14285714285714</v>
      </c>
      <c r="AM58" s="389"/>
      <c r="AN58" s="458">
        <f>(AM56*(BI58*CH56/(BH57*'1-Eng Inputs'!$C$38))/factors!$B$3+AM59*(BI58*CH59/(BH59*'1-Eng Inputs'!$C$38))+AO56*(BI58*CJ56/(BJ57*'1-Eng Inputs'!$C$38))/factors!$B$3+AO59*(BI58*CJ59/(BJ59*'1-Eng Inputs'!$C$38)))</f>
        <v>172.45634258135405</v>
      </c>
      <c r="AO58" s="389"/>
      <c r="AP58" s="458">
        <f>(AO56*(BK58*CH56/(BJ57*'1-Eng Inputs'!$C$38))/factors!$B$3+AO59*(BK58*CH59/(BJ59*'1-Eng Inputs'!$C$38))+AQ56*(BK58*CJ56/(BL57*'1-Eng Inputs'!$C$38))/factors!$B$3+AQ59*(BK58*CJ59/(BL59*'1-Eng Inputs'!$C$38)))</f>
        <v>178.28571428571428</v>
      </c>
      <c r="AQ58" s="390"/>
      <c r="AR58" s="1426"/>
      <c r="AT58" s="354" t="s">
        <v>234</v>
      </c>
      <c r="AU58" s="353">
        <v>1</v>
      </c>
      <c r="AW58" s="348">
        <f>MAX('Port Calcs (lift)'!$H$6,'Port Calcs (lift)'!$H$26)</f>
        <v>215.61841391084357</v>
      </c>
      <c r="AX58" s="375"/>
      <c r="AY58" s="348">
        <f>MAX('Port Calcs (lift)'!$I$6,'Port Calcs (lift)'!$I$26)</f>
        <v>191.03267150694558</v>
      </c>
      <c r="AZ58" s="375"/>
      <c r="BA58" s="348">
        <f>MAX('Port Calcs (lift)'!$I$6,'Port Calcs (lift)'!$I$26)</f>
        <v>191.03267150694558</v>
      </c>
      <c r="BB58" s="375"/>
      <c r="BC58" s="348">
        <f>MAX('Port Calcs (lift)'!$I$6,'Port Calcs (lift)'!$I$26)</f>
        <v>191.03267150694558</v>
      </c>
      <c r="BD58" s="375"/>
      <c r="BE58" s="348">
        <f>MAX('Port Calcs (lift)'!$I$6,'Port Calcs (lift)'!$I$26)</f>
        <v>191.03267150694558</v>
      </c>
      <c r="BF58" s="375"/>
      <c r="BG58" s="348">
        <f>MAX('Port Calcs (lift)'!$I$6,'Port Calcs (lift)'!$I$26)</f>
        <v>191.03267150694558</v>
      </c>
      <c r="BH58" s="375"/>
      <c r="BI58" s="348">
        <f>MAX('Port Calcs (lift)'!$I$11,'Port Calcs (lift)'!$I$31)</f>
        <v>158.2516816350817</v>
      </c>
      <c r="BJ58" s="375"/>
      <c r="BK58" s="348">
        <f>MAX('Port Calcs (lift)'!$I$11,'Port Calcs (lift)'!$I$31)</f>
        <v>158.2516816350817</v>
      </c>
      <c r="BM58" s="1426"/>
      <c r="BQ58" s="381"/>
      <c r="BT58" s="381"/>
      <c r="BW58" s="381"/>
      <c r="BZ58" s="381"/>
      <c r="CC58" s="381"/>
      <c r="CF58" s="381"/>
      <c r="CI58" s="381"/>
      <c r="CN58" s="354" t="s">
        <v>234</v>
      </c>
      <c r="CO58" s="353">
        <v>1</v>
      </c>
      <c r="CP58" s="389"/>
      <c r="CQ58" s="388">
        <f>AW58</f>
        <v>215.61841391084357</v>
      </c>
      <c r="CR58" s="389"/>
      <c r="CS58" s="388">
        <f>AY58</f>
        <v>191.03267150694558</v>
      </c>
      <c r="CT58" s="389"/>
      <c r="CU58" s="388">
        <f>BA58</f>
        <v>191.03267150694558</v>
      </c>
      <c r="CV58" s="389"/>
      <c r="CW58" s="388">
        <f>BC58</f>
        <v>191.03267150694558</v>
      </c>
      <c r="CX58" s="389"/>
      <c r="CY58" s="388">
        <f>BE58</f>
        <v>191.03267150694558</v>
      </c>
      <c r="CZ58" s="389"/>
      <c r="DA58" s="388">
        <f>BG58</f>
        <v>191.03267150694558</v>
      </c>
      <c r="DB58" s="389"/>
      <c r="DC58" s="388">
        <f>BI58</f>
        <v>158.2516816350817</v>
      </c>
      <c r="DD58" s="389"/>
      <c r="DE58" s="388">
        <f>BK58</f>
        <v>158.2516816350817</v>
      </c>
      <c r="DF58" s="390"/>
      <c r="DG58" s="1426"/>
    </row>
    <row r="59" spans="1:111">
      <c r="D59" s="355"/>
      <c r="F59" s="1494">
        <f>IF($P$4="NO",ROUNDUP(CP59-0.00499,0),LEFT(CP59,1)+(IF(CP59-LEFT(CP59,1)&lt;0.00499,0,IF(CP59-LEFT(CP59,1)-0.04499&lt;('1-Eng Inputs'!$C$39/'1-Eng Inputs'!$C$38),0.5,1))))</f>
        <v>5</v>
      </c>
      <c r="G59" s="353"/>
      <c r="H59" s="1494">
        <f>IF($P$4="NO",ROUNDUP(CR59-0.00499,0),LEFT(CR59,1)+(IF(CR59-LEFT(CR59,1)&lt;0.00499,0,IF(CR59-LEFT(CR59,1)-0.04499&lt;('1-Eng Inputs'!$C$39/'1-Eng Inputs'!$C$38),0.5,1))))</f>
        <v>5</v>
      </c>
      <c r="I59" s="353"/>
      <c r="J59" s="1494">
        <f>IF($P$4="NO",ROUNDUP(CT59-0.00499,0),LEFT(CT59,1)+(IF(CT59-LEFT(CT59,1)&lt;0.00499,0,IF(CT59-LEFT(CT59,1)-0.04499&lt;('1-Eng Inputs'!$C$39/'1-Eng Inputs'!$C$38),0.5,1))))</f>
        <v>5</v>
      </c>
      <c r="K59" s="353"/>
      <c r="L59" s="1494">
        <f>IF($P$4="NO",ROUNDUP(CV59-0.00499,0),LEFT(CV59,1)+(IF(CV59-LEFT(CV59,1)&lt;0.00499,0,IF(CV59-LEFT(CV59,1)-0.04499&lt;('1-Eng Inputs'!$C$39/'1-Eng Inputs'!$C$38),0.5,1))))</f>
        <v>5</v>
      </c>
      <c r="M59" s="353"/>
      <c r="N59" s="1494">
        <f>IF($P$4="NO",ROUNDUP(CX59-0.00499,0),LEFT(CX59,1)+(IF(CX59-LEFT(CX59,1)&lt;0.00499,0,IF(CX59-LEFT(CX59,1)-0.04499&lt;('1-Eng Inputs'!$C$39/'1-Eng Inputs'!$C$38),0.5,1))))</f>
        <v>5</v>
      </c>
      <c r="O59" s="353"/>
      <c r="P59" s="1494">
        <f>IF($P$4="NO",ROUNDUP(CZ59-0.00499,0),LEFT(CZ59,1)+(IF(CZ59-LEFT(CZ59,1)&lt;0.00499,0,IF(CZ59-LEFT(CZ59,1)-0.04499&lt;('1-Eng Inputs'!$C$39/'1-Eng Inputs'!$C$38),0.5,1))))</f>
        <v>5</v>
      </c>
      <c r="Q59" s="353"/>
      <c r="R59" s="1494">
        <f>IF($P$4="NO",ROUNDUP(DB59-0.00499,0),LEFT(DB59,1)+(IF(DB59-LEFT(DB59,1)&lt;0.00499,0,IF(DB59-LEFT(DB59,1)-0.04499&lt;('1-Eng Inputs'!$C$39/'1-Eng Inputs'!$C$38),0.5,1))))</f>
        <v>5</v>
      </c>
      <c r="S59" s="353"/>
      <c r="T59" s="1494">
        <f>IF($P$4="NO",ROUNDUP(DD59-0.00499,0),LEFT(DD59,1)+(IF(DD59-LEFT(DD59,1)&lt;0.00499,0,IF(DD59-LEFT(DD59,1)-0.04499&lt;('1-Eng Inputs'!$C$39/'1-Eng Inputs'!$C$38),0.5,1))))</f>
        <v>5</v>
      </c>
      <c r="U59" s="353"/>
      <c r="V59" s="1494">
        <f>IF($P$4="NO",ROUNDUP(DF59-0.00499,0),LEFT(DF59,1)+(IF(DF59-LEFT(DF59,1)&lt;0.00499,0,IF(DF59-LEFT(DF59,1)-0.04499&lt;('1-Eng Inputs'!$C$39/'1-Eng Inputs'!$C$38),0.5,1))))</f>
        <v>5</v>
      </c>
      <c r="Y59" s="355"/>
      <c r="AA59" s="1478">
        <f>IF(LEFT(F59,3)-LEFT(F59,1)=0.5,'1-Eng Inputs'!$C$39,0)+LEFT(F59,1)*'1-Eng Inputs'!$C$38</f>
        <v>160</v>
      </c>
      <c r="AC59" s="1478">
        <f>IF(LEFT(H59,3)-LEFT(H59,1)=0.5,'1-Eng Inputs'!$C$39,0)+LEFT(H59,1)*'1-Eng Inputs'!$C$38</f>
        <v>160</v>
      </c>
      <c r="AE59" s="1478">
        <f>IF(LEFT(J59,3)-LEFT(J59,1)=0.5,'1-Eng Inputs'!$C$39,0)+LEFT(J59,1)*'1-Eng Inputs'!$C$38</f>
        <v>160</v>
      </c>
      <c r="AG59" s="1478">
        <f>IF(LEFT(L59,3)-LEFT(L59,1)=0.5,'1-Eng Inputs'!$C$39,0)+LEFT(L59,1)*'1-Eng Inputs'!$C$38</f>
        <v>160</v>
      </c>
      <c r="AI59" s="1478">
        <f>IF(LEFT(N59,3)-LEFT(N59,1)=0.5,'1-Eng Inputs'!$C$39,0)+LEFT(N59,1)*'1-Eng Inputs'!$C$38</f>
        <v>160</v>
      </c>
      <c r="AK59" s="1478">
        <f>IF(LEFT(P59,3)-LEFT(P59,1)=0.5,'1-Eng Inputs'!$C$39,0)+LEFT(P59,1)*'1-Eng Inputs'!$C$38</f>
        <v>160</v>
      </c>
      <c r="AM59" s="1478">
        <f>IF(LEFT(R59,3)-LEFT(R59,1)=0.5,'1-Eng Inputs'!$C$39,0)+LEFT(R59,1)*'1-Eng Inputs'!$C$38</f>
        <v>160</v>
      </c>
      <c r="AO59" s="1484">
        <f>IF(LEFT(T59,3)-LEFT(T59,1)=0.5,'1-Eng Inputs'!$C$39,0)+LEFT(T59,1)*'1-Eng Inputs'!$C$38</f>
        <v>160</v>
      </c>
      <c r="AQ59" s="1484">
        <f>IF(LEFT(V59,3)-LEFT(V59,1)=0.5,'1-Eng Inputs'!$C$39,0)+LEFT(V59,1)*'1-Eng Inputs'!$C$38</f>
        <v>160</v>
      </c>
      <c r="AT59" s="355"/>
      <c r="AV59" s="1506">
        <f>(BP59*AW58+AW61*BP60)/'1-Eng Inputs'!$C$38</f>
        <v>4.1711895548228668</v>
      </c>
      <c r="AX59" s="1506">
        <f>(AW58*BR59+AY58*BS59+AW61*BR60+AY61*BS60)/'1-Eng Inputs'!$C$38</f>
        <v>4.5729993543247875</v>
      </c>
      <c r="AZ59" s="1506">
        <f>(AY58*BU59+BA58*BV59+AY61*BU60+BA61*BV60)/'1-Eng Inputs'!$C$38</f>
        <v>4.9748091538267074</v>
      </c>
      <c r="BB59" s="1506">
        <f>(BA58*BX59+BC58*BY59+BA61*BX60+BC61*BY60)/'1-Eng Inputs'!$C$38</f>
        <v>4.9748091538267074</v>
      </c>
      <c r="BD59" s="1506">
        <f>$BB59</f>
        <v>4.9748091538267074</v>
      </c>
      <c r="BF59" s="1506">
        <f>$BB59</f>
        <v>4.9748091538267074</v>
      </c>
      <c r="BH59" s="1506">
        <f>$BB59</f>
        <v>4.9748091538267074</v>
      </c>
      <c r="BJ59" s="1506">
        <f>(BI58*CJ59+BK58*CK59+BI61*CJ60+BK61*CK60)/'1-Eng Inputs'!$C$38</f>
        <v>4.1211375425802519</v>
      </c>
      <c r="BL59" s="1506">
        <f>BJ59</f>
        <v>4.1211375425802519</v>
      </c>
      <c r="BP59" s="1512">
        <v>0.2857142857142857</v>
      </c>
      <c r="BR59" s="1508">
        <v>0.14285714285714285</v>
      </c>
      <c r="BS59" s="1510">
        <v>0.16666666666666666</v>
      </c>
      <c r="BU59" s="1508">
        <v>0.16666666666666666</v>
      </c>
      <c r="BV59" s="1510">
        <v>0.16666666666666666</v>
      </c>
      <c r="BX59" s="1508">
        <v>0.16666666666666666</v>
      </c>
      <c r="BY59" s="1510">
        <v>0.16666666666666666</v>
      </c>
      <c r="CA59" s="1508">
        <v>0.16666666666666666</v>
      </c>
      <c r="CB59" s="1510">
        <v>0.16666666666666666</v>
      </c>
      <c r="CD59" s="1508">
        <v>0.16666666666666666</v>
      </c>
      <c r="CE59" s="1510">
        <v>0.16666666666666666</v>
      </c>
      <c r="CG59" s="1508">
        <v>0.16666666666666666</v>
      </c>
      <c r="CH59" s="1510">
        <v>0.16666666666666666</v>
      </c>
      <c r="CJ59" s="1508">
        <v>0.16666666666666666</v>
      </c>
      <c r="CK59" s="1510">
        <v>0.16666666666666666</v>
      </c>
      <c r="CN59" s="355"/>
      <c r="CP59" s="1478">
        <f>AV59</f>
        <v>4.1711895548228668</v>
      </c>
      <c r="CR59" s="1478">
        <f>AX59</f>
        <v>4.5729993543247875</v>
      </c>
      <c r="CT59" s="1478">
        <f>AZ59</f>
        <v>4.9748091538267074</v>
      </c>
      <c r="CV59" s="1478">
        <f>BB59</f>
        <v>4.9748091538267074</v>
      </c>
      <c r="CX59" s="1478">
        <f>BD59</f>
        <v>4.9748091538267074</v>
      </c>
      <c r="CZ59" s="1478">
        <f>BF59</f>
        <v>4.9748091538267074</v>
      </c>
      <c r="DB59" s="1478">
        <f>BH59</f>
        <v>4.9748091538267074</v>
      </c>
      <c r="DD59" s="1484">
        <f>BJ59</f>
        <v>4.1211375425802519</v>
      </c>
      <c r="DF59" s="1484">
        <f>DD59</f>
        <v>4.1211375425802519</v>
      </c>
    </row>
    <row r="60" spans="1:111" ht="12.75" hidden="1" customHeight="1">
      <c r="D60" s="355"/>
      <c r="F60" s="1495"/>
      <c r="G60" s="353"/>
      <c r="H60" s="1495"/>
      <c r="I60" s="353"/>
      <c r="J60" s="1495"/>
      <c r="K60" s="353"/>
      <c r="L60" s="1495"/>
      <c r="M60" s="353"/>
      <c r="N60" s="1495"/>
      <c r="O60" s="353"/>
      <c r="P60" s="1495"/>
      <c r="Q60" s="353"/>
      <c r="R60" s="1495"/>
      <c r="S60" s="353"/>
      <c r="T60" s="1495"/>
      <c r="U60" s="353"/>
      <c r="V60" s="1495"/>
      <c r="Y60" s="355"/>
      <c r="AA60" s="1479"/>
      <c r="AB60" s="457">
        <f>CQ60-AB61</f>
        <v>0</v>
      </c>
      <c r="AC60" s="1479"/>
      <c r="AD60" s="457"/>
      <c r="AE60" s="1479"/>
      <c r="AF60" s="457"/>
      <c r="AG60" s="1479"/>
      <c r="AH60" s="457">
        <f>CW60-AH61</f>
        <v>0</v>
      </c>
      <c r="AI60" s="1479"/>
      <c r="AJ60" s="457"/>
      <c r="AK60" s="1479"/>
      <c r="AL60" s="457"/>
      <c r="AM60" s="1479"/>
      <c r="AN60" s="457"/>
      <c r="AO60" s="1485"/>
      <c r="AP60" s="457"/>
      <c r="AQ60" s="1485"/>
      <c r="AT60" s="355"/>
      <c r="AV60" s="1507"/>
      <c r="AX60" s="1507"/>
      <c r="AZ60" s="1507"/>
      <c r="BB60" s="1507"/>
      <c r="BD60" s="1507"/>
      <c r="BF60" s="1507"/>
      <c r="BH60" s="1507"/>
      <c r="BJ60" s="1507"/>
      <c r="BL60" s="1507"/>
      <c r="BP60" s="1513">
        <v>0.33333333333333331</v>
      </c>
      <c r="BR60" s="1509">
        <v>0.16666666666666666</v>
      </c>
      <c r="BS60" s="1511">
        <v>0.25</v>
      </c>
      <c r="BU60" s="1509">
        <v>0.25</v>
      </c>
      <c r="BV60" s="1511">
        <v>0.25</v>
      </c>
      <c r="BX60" s="1509">
        <v>0.25</v>
      </c>
      <c r="BY60" s="1511">
        <v>0.25</v>
      </c>
      <c r="CA60" s="1509">
        <v>0.25</v>
      </c>
      <c r="CB60" s="1511">
        <v>0.25</v>
      </c>
      <c r="CD60" s="1509">
        <v>0.25</v>
      </c>
      <c r="CE60" s="1511">
        <v>0.25</v>
      </c>
      <c r="CG60" s="1509">
        <v>0.25</v>
      </c>
      <c r="CH60" s="1511">
        <v>0.25</v>
      </c>
      <c r="CJ60" s="1509">
        <v>0.25</v>
      </c>
      <c r="CK60" s="1511">
        <v>0.25</v>
      </c>
      <c r="CN60" s="355"/>
      <c r="CP60" s="1479"/>
      <c r="CQ60" s="386">
        <f>AB61</f>
        <v>248.383340384891</v>
      </c>
      <c r="CR60" s="1479"/>
      <c r="CS60" s="386">
        <f>AD61</f>
        <v>207.27999845678869</v>
      </c>
      <c r="CT60" s="1479"/>
      <c r="CU60" s="386">
        <f>AF61</f>
        <v>196</v>
      </c>
      <c r="CV60" s="1479"/>
      <c r="CW60" s="386">
        <f>AH61</f>
        <v>196</v>
      </c>
      <c r="CX60" s="1479"/>
      <c r="CY60" s="386">
        <f>AJ61</f>
        <v>196</v>
      </c>
      <c r="CZ60" s="1479"/>
      <c r="DA60" s="386">
        <f>AL61</f>
        <v>196</v>
      </c>
      <c r="DB60" s="1479"/>
      <c r="DC60" s="386">
        <f>AN61</f>
        <v>169.18331109489898</v>
      </c>
      <c r="DD60" s="1485"/>
      <c r="DE60" s="386">
        <f>AP61</f>
        <v>176</v>
      </c>
      <c r="DF60" s="1485"/>
    </row>
    <row r="61" spans="1:111" ht="21" customHeight="1">
      <c r="D61" s="355"/>
      <c r="E61" s="353">
        <v>8</v>
      </c>
      <c r="F61" s="389"/>
      <c r="G61" s="378" t="s">
        <v>19453</v>
      </c>
      <c r="H61" s="389"/>
      <c r="I61" s="378" t="s">
        <v>19453</v>
      </c>
      <c r="J61" s="389"/>
      <c r="K61" s="378" t="s">
        <v>19453</v>
      </c>
      <c r="L61" s="389"/>
      <c r="M61" s="378" t="s">
        <v>19453</v>
      </c>
      <c r="N61" s="389"/>
      <c r="O61" s="378" t="s">
        <v>19453</v>
      </c>
      <c r="P61" s="389"/>
      <c r="Q61" s="378" t="s">
        <v>19453</v>
      </c>
      <c r="R61" s="389"/>
      <c r="S61" s="378" t="s">
        <v>19416</v>
      </c>
      <c r="T61" s="389"/>
      <c r="U61" s="378" t="s">
        <v>19416</v>
      </c>
      <c r="V61" s="390"/>
      <c r="W61" s="1426"/>
      <c r="Y61" s="355"/>
      <c r="AA61" s="389"/>
      <c r="AB61" s="458">
        <f>(AA59*(AW61*BP60/(AV59*'1-Eng Inputs'!$C$38))+AA62*(AW61*BP62/(AV62*'1-Eng Inputs'!$C$38))/factors!$B$4+AC59*(AW61*BR60/(AX59*'1-Eng Inputs'!$C$38))+AC62*(AW61*BR62/(AX62*'1-Eng Inputs'!$C$38))/factors!$B$4)</f>
        <v>248.383340384891</v>
      </c>
      <c r="AC61" s="389"/>
      <c r="AD61" s="458">
        <f>(AC59*(AY61*BS60/(AX59*'1-Eng Inputs'!$C$38))+AC62*(AY61*BS62/(AX62*'1-Eng Inputs'!$C$38))/factors!$B$4+AE59*(AY61*BU60/(AZ59*'1-Eng Inputs'!$C$38))+AE62*(AY61*BU62/(AZ62*'1-Eng Inputs'!$C$38))/factors!$B$4)</f>
        <v>207.27999845678869</v>
      </c>
      <c r="AE61" s="389"/>
      <c r="AF61" s="458">
        <f>(AE59*(BA61*BV60/(AZ59*'1-Eng Inputs'!$C$38))+AE62*(BA61*BV62/(AZ62*'1-Eng Inputs'!$C$38))/factors!$B$4+AG59*(BA61*BX60/(BB59*'1-Eng Inputs'!$C$38))+AG62*(BA61*BX62/(BB62*'1-Eng Inputs'!$C$38))/factors!$B$4)</f>
        <v>196</v>
      </c>
      <c r="AG61" s="389"/>
      <c r="AH61" s="458">
        <f>(AG59*(BC61*BY60/(BB59*'1-Eng Inputs'!$C$38))+AG62*(BC61*BY62/(BB62*'1-Eng Inputs'!$C$38))/factors!$B$4+AI59*(BC61*CA60/(BD59*'1-Eng Inputs'!$C$38))+AI62*(BC61*CA62/(BD62*'1-Eng Inputs'!$C$38))/factors!$B$4)</f>
        <v>196</v>
      </c>
      <c r="AI61" s="389"/>
      <c r="AJ61" s="458">
        <f>(AI59*(BE61*CB60/(BD59*'1-Eng Inputs'!$C$38))+AI62*(BE61*CB62/(BD62*'1-Eng Inputs'!$C$38))/factors!$B$4+AK59*(BE61*CD60/(BF59*'1-Eng Inputs'!$C$38))+AK62*(BE61*CD62/(BF62*'1-Eng Inputs'!$C$38))/factors!$B$4)</f>
        <v>196</v>
      </c>
      <c r="AK61" s="389"/>
      <c r="AL61" s="458">
        <f>(AK59*(BG61*CE60/(BF59*'1-Eng Inputs'!$C$38))+AK62*(BG61*CE62/(BF62*'1-Eng Inputs'!$C$38))/factors!$B$4+AM59*(BG61*CG60/(BH59*'1-Eng Inputs'!$C$38))+AM62*(BG61*CG62/(BH62*'1-Eng Inputs'!$C$38))/factors!$B$4)</f>
        <v>196</v>
      </c>
      <c r="AM61" s="389"/>
      <c r="AN61" s="458">
        <f>(AM59*(BI61*CH60/(BH59*'1-Eng Inputs'!$C$38))+AM62*(BI61*CH62/(BH62*'1-Eng Inputs'!$C$38))/factors!$B$4+AO59*(BI61*CJ60/(BJ59*'1-Eng Inputs'!$C$38))+AO62*(BI61*CJ62/(BJ62*'1-Eng Inputs'!$C$38))/factors!$B$4)</f>
        <v>169.18331109489898</v>
      </c>
      <c r="AO61" s="389"/>
      <c r="AP61" s="458">
        <f>(AO59*(BK61*CH60/(BJ59*'1-Eng Inputs'!$C$38))+AO62*(BK61*CH62/(BJ62*'1-Eng Inputs'!$C$38))/factors!$B$4+AQ59*(BK61*CJ60/(BL59*'1-Eng Inputs'!$C$38))+AQ62*(BK61*CJ62/(BL62*'1-Eng Inputs'!$C$38))/factors!$B$4)</f>
        <v>176</v>
      </c>
      <c r="AQ61" s="390"/>
      <c r="AR61" s="1426"/>
      <c r="AT61" s="355"/>
      <c r="AU61" s="353">
        <v>8</v>
      </c>
      <c r="AV61" s="375"/>
      <c r="AW61" s="348">
        <f>MAX('Port Calcs (lift)'!$H$6,'Port Calcs (lift)'!$H$26)</f>
        <v>215.61841391084357</v>
      </c>
      <c r="AX61" s="375"/>
      <c r="AY61" s="348">
        <f>MAX('Port Calcs (lift)'!$I$6,'Port Calcs (lift)'!$I$26)</f>
        <v>191.03267150694558</v>
      </c>
      <c r="AZ61" s="375"/>
      <c r="BA61" s="348">
        <f>MAX('Port Calcs (lift)'!$I$6,'Port Calcs (lift)'!$I$26)</f>
        <v>191.03267150694558</v>
      </c>
      <c r="BB61" s="375"/>
      <c r="BC61" s="348">
        <f>MAX('Port Calcs (lift)'!$I$6,'Port Calcs (lift)'!$I$26)</f>
        <v>191.03267150694558</v>
      </c>
      <c r="BD61" s="375"/>
      <c r="BE61" s="348">
        <f>MAX('Port Calcs (lift)'!$I$6,'Port Calcs (lift)'!$I$26)</f>
        <v>191.03267150694558</v>
      </c>
      <c r="BF61" s="375"/>
      <c r="BG61" s="348">
        <f>MAX('Port Calcs (lift)'!$I$6,'Port Calcs (lift)'!$I$26)</f>
        <v>191.03267150694558</v>
      </c>
      <c r="BH61" s="375"/>
      <c r="BI61" s="348">
        <f>MAX('Port Calcs (lift)'!$I$11,'Port Calcs (lift)'!$I$31)</f>
        <v>158.2516816350817</v>
      </c>
      <c r="BJ61" s="375"/>
      <c r="BK61" s="348">
        <f>MAX('Port Calcs (lift)'!$I$11,'Port Calcs (lift)'!$I$31)</f>
        <v>158.2516816350817</v>
      </c>
      <c r="BL61" s="375"/>
      <c r="BM61" s="1426"/>
      <c r="BQ61" s="381"/>
      <c r="BT61" s="381"/>
      <c r="BW61" s="381"/>
      <c r="BZ61" s="381"/>
      <c r="CC61" s="381"/>
      <c r="CF61" s="381"/>
      <c r="CI61" s="381"/>
      <c r="CN61" s="355"/>
      <c r="CO61" s="353">
        <v>2</v>
      </c>
      <c r="CP61" s="389"/>
      <c r="CQ61" s="388">
        <f>AW61</f>
        <v>215.61841391084357</v>
      </c>
      <c r="CR61" s="389"/>
      <c r="CS61" s="388">
        <f>AY61</f>
        <v>191.03267150694558</v>
      </c>
      <c r="CT61" s="389"/>
      <c r="CU61" s="388">
        <f>BA61</f>
        <v>191.03267150694558</v>
      </c>
      <c r="CV61" s="389"/>
      <c r="CW61" s="388">
        <f>BC61</f>
        <v>191.03267150694558</v>
      </c>
      <c r="CX61" s="389"/>
      <c r="CY61" s="388">
        <f>BE61</f>
        <v>191.03267150694558</v>
      </c>
      <c r="CZ61" s="389"/>
      <c r="DA61" s="388">
        <f>BG61</f>
        <v>191.03267150694558</v>
      </c>
      <c r="DB61" s="389"/>
      <c r="DC61" s="388">
        <f>BI61</f>
        <v>158.2516816350817</v>
      </c>
      <c r="DD61" s="389"/>
      <c r="DE61" s="388">
        <f>BK61</f>
        <v>158.2516816350817</v>
      </c>
      <c r="DF61" s="390"/>
      <c r="DG61" s="1426"/>
    </row>
    <row r="62" spans="1:111" ht="12.75" hidden="1" customHeight="1">
      <c r="F62" s="1516"/>
      <c r="H62" s="1516"/>
      <c r="J62" s="1516"/>
      <c r="L62" s="1516"/>
      <c r="N62" s="1516"/>
      <c r="P62" s="1516"/>
      <c r="R62" s="1516"/>
      <c r="T62" s="1516"/>
      <c r="V62" s="1516"/>
      <c r="AA62" s="1486">
        <f>IF(LEFT(F63,3)-LEFT(F63,1)=0.5,'1-Eng Inputs'!$C$39,0)+LEFT(F63,1)*'1-Eng Inputs'!$C$38</f>
        <v>128</v>
      </c>
      <c r="AC62" s="1486">
        <f>IF(LEFT(H63,3)-LEFT(H63,1)=0.5,'1-Eng Inputs'!$C$39,0)+LEFT(H63,1)*'1-Eng Inputs'!$C$38</f>
        <v>160</v>
      </c>
      <c r="AE62" s="1486">
        <f>IF(LEFT(J63,3)-LEFT(J63,1)=0.5,'1-Eng Inputs'!$C$39,0)+LEFT(J63,1)*'1-Eng Inputs'!$C$38</f>
        <v>160</v>
      </c>
      <c r="AG62" s="1486">
        <f>IF(LEFT(L63,3)-LEFT(L63,1)=0.5,'1-Eng Inputs'!$C$39,0)+LEFT(L63,1)*'1-Eng Inputs'!$C$38</f>
        <v>160</v>
      </c>
      <c r="AI62" s="1486">
        <f>IF(LEFT(N63,3)-LEFT(N63,1)=0.5,'1-Eng Inputs'!$C$39,0)+LEFT(N63,1)*'1-Eng Inputs'!$C$38</f>
        <v>160</v>
      </c>
      <c r="AK62" s="1486">
        <f>IF(LEFT(P63,3)-LEFT(P63,1)=0.5,'1-Eng Inputs'!$C$39,0)+LEFT(P63,1)*'1-Eng Inputs'!$C$38</f>
        <v>160</v>
      </c>
      <c r="AM62" s="1486">
        <f>IF(LEFT(R63,3)-LEFT(R63,1)=0.5,'1-Eng Inputs'!$C$39,0)+LEFT(R63,1)*'1-Eng Inputs'!$C$38</f>
        <v>160</v>
      </c>
      <c r="AO62" s="1496">
        <f>IF(LEFT(T63,3)-LEFT(T63,1)=0.5,'1-Eng Inputs'!$C$39,0)+LEFT(T63,1)*'1-Eng Inputs'!$C$38</f>
        <v>128</v>
      </c>
      <c r="AQ62" s="1496">
        <f>IF(LEFT(V63,3)-LEFT(V63,1)=0.5,'1-Eng Inputs'!$C$39,0)+LEFT(V63,1)*'1-Eng Inputs'!$C$38</f>
        <v>128</v>
      </c>
      <c r="AV62" s="1506">
        <f>(BP62*AW61)/'1-Eng Inputs'!$C$38</f>
        <v>2.2460251449046202</v>
      </c>
      <c r="AX62" s="1506">
        <f>(AW61*BR62+AY61*BS62)/'1-Eng Inputs'!$C$38</f>
        <v>2.6154553186003224</v>
      </c>
      <c r="AZ62" s="1506">
        <f>(AY61*BU62+BA61*BV62)/'1-Eng Inputs'!$C$38</f>
        <v>2.9848854922960246</v>
      </c>
      <c r="BB62" s="1506">
        <f>(BA61*BX62+BC61*BY62)/'1-Eng Inputs'!$C$38</f>
        <v>2.9848854922960246</v>
      </c>
      <c r="BD62" s="1506">
        <f>$BB62</f>
        <v>2.9848854922960246</v>
      </c>
      <c r="BF62" s="1506">
        <f>$BB62</f>
        <v>2.9848854922960246</v>
      </c>
      <c r="BH62" s="1506">
        <f>$BB62</f>
        <v>2.9848854922960246</v>
      </c>
      <c r="BJ62" s="1506">
        <f>(BI61*CJ62+BK61*CK62)/'1-Eng Inputs'!$C$38</f>
        <v>2.4726825255481515</v>
      </c>
      <c r="BL62" s="1506">
        <f>BJ62</f>
        <v>2.4726825255481515</v>
      </c>
      <c r="BP62" s="1512">
        <v>0.33333333333333331</v>
      </c>
      <c r="BR62" s="1508">
        <v>0.16666666666666666</v>
      </c>
      <c r="BS62" s="1510">
        <v>0.25</v>
      </c>
      <c r="BU62" s="1508">
        <v>0.25</v>
      </c>
      <c r="BV62" s="1510">
        <v>0.25</v>
      </c>
      <c r="BX62" s="1508">
        <v>0.25</v>
      </c>
      <c r="BY62" s="1510">
        <v>0.25</v>
      </c>
      <c r="CA62" s="1508">
        <v>0.25</v>
      </c>
      <c r="CB62" s="1510">
        <v>0.25</v>
      </c>
      <c r="CD62" s="1508">
        <v>0.25</v>
      </c>
      <c r="CE62" s="1510">
        <v>0.25</v>
      </c>
      <c r="CG62" s="1508">
        <v>0.25</v>
      </c>
      <c r="CH62" s="1510">
        <v>0.25</v>
      </c>
      <c r="CJ62" s="1508">
        <v>0.25</v>
      </c>
      <c r="CK62" s="1510">
        <v>0.25</v>
      </c>
      <c r="CP62" s="1486">
        <f>AV62</f>
        <v>2.2460251449046202</v>
      </c>
      <c r="CR62" s="1486">
        <f>AX62</f>
        <v>2.6154553186003224</v>
      </c>
      <c r="CT62" s="1486">
        <f>AZ62</f>
        <v>2.9848854922960246</v>
      </c>
      <c r="CV62" s="1486">
        <f>BB62</f>
        <v>2.9848854922960246</v>
      </c>
      <c r="CX62" s="1486">
        <f>BD62</f>
        <v>2.9848854922960246</v>
      </c>
      <c r="CZ62" s="1486">
        <f>BF62</f>
        <v>2.9848854922960246</v>
      </c>
      <c r="DB62" s="1486">
        <f>BH62</f>
        <v>2.9848854922960246</v>
      </c>
      <c r="DD62" s="1496">
        <f>BJ62</f>
        <v>2.4726825255481515</v>
      </c>
      <c r="DF62" s="1496">
        <f>DD62</f>
        <v>2.4726825255481515</v>
      </c>
    </row>
    <row r="63" spans="1:111">
      <c r="F63" s="1495">
        <f>IF($P$4="NO",ROUNDUP(CP63,0),LEFT(CP63,1)+(IF(CP63-LEFT(CP63,1)&lt;0.01,0,IF(CP63-LEFT(CP63,1)&lt;('1-Eng Inputs'!$C$39/'1-Eng Inputs'!$C$38),0.5,1))))</f>
        <v>4</v>
      </c>
      <c r="G63" s="353"/>
      <c r="H63" s="1495">
        <f>IF($P$4="NO",ROUNDUP(CR63,0),LEFT(CR63,1)+(IF(CR63-LEFT(CR63,1)&lt;0.01,0,IF(CR63-LEFT(CR63,1)&lt;('1-Eng Inputs'!$C$39/'1-Eng Inputs'!$C$38),0.5,1))))</f>
        <v>5</v>
      </c>
      <c r="I63" s="353"/>
      <c r="J63" s="1495">
        <f>IF($P$4="NO",ROUNDUP(CT63,0),LEFT(CT63,1)+(IF(CT63-LEFT(CT63,1)&lt;0.01,0,IF(CT63-LEFT(CT63,1)&lt;('1-Eng Inputs'!$C$39/'1-Eng Inputs'!$C$38),0.5,1))))</f>
        <v>5</v>
      </c>
      <c r="K63" s="353"/>
      <c r="L63" s="1495">
        <f>IF($P$4="NO",ROUNDUP(CV63,0),LEFT(CV63,1)+(IF(CV63-LEFT(CV63,1)&lt;0.01,0,IF(CV63-LEFT(CV63,1)&lt;('1-Eng Inputs'!$C$39/'1-Eng Inputs'!$C$38),0.5,1))))</f>
        <v>5</v>
      </c>
      <c r="M63" s="353"/>
      <c r="N63" s="1495">
        <f>IF($P$4="NO",ROUNDUP(CX63,0),LEFT(CX63,1)+(IF(CX63-LEFT(CX63,1)&lt;0.01,0,IF(CX63-LEFT(CX63,1)&lt;('1-Eng Inputs'!$C$39/'1-Eng Inputs'!$C$38),0.5,1))))</f>
        <v>5</v>
      </c>
      <c r="O63" s="353"/>
      <c r="P63" s="1495">
        <f>IF($P$4="NO",ROUNDUP(CZ63,0),LEFT(CZ63,1)+(IF(CZ63-LEFT(CZ63,1)&lt;0.01,0,IF(CZ63-LEFT(CZ63,1)&lt;('1-Eng Inputs'!$C$39/'1-Eng Inputs'!$C$38),0.5,1))))</f>
        <v>5</v>
      </c>
      <c r="Q63" s="353"/>
      <c r="R63" s="1495">
        <f>IF($P$4="NO",ROUNDUP(DB63,0),LEFT(DB63,1)+(IF(DB63-LEFT(DB63,1)&lt;0.01,0,IF(DB63-LEFT(DB63,1)&lt;('1-Eng Inputs'!$C$39/'1-Eng Inputs'!$C$38),0.5,1))))</f>
        <v>5</v>
      </c>
      <c r="S63" s="353"/>
      <c r="T63" s="1495">
        <f>IF($P$4="NO",ROUNDUP(DD63,0),LEFT(DD63,1)+(IF(DD63-LEFT(DD63,1)&lt;0.01,0,IF(DD63-LEFT(DD63,1)&lt;('1-Eng Inputs'!$C$39/'1-Eng Inputs'!$C$38),0.5,1))))</f>
        <v>4</v>
      </c>
      <c r="U63" s="353"/>
      <c r="V63" s="1495">
        <f>IF($P$4="NO",ROUNDUP(DF63,0),LEFT(DF63,1)+(IF(DF63-LEFT(DF63,1)&lt;0.01,0,IF(DF63-LEFT(DF63,1)&lt;('1-Eng Inputs'!$C$39/'1-Eng Inputs'!$C$38),0.5,1))))</f>
        <v>4</v>
      </c>
      <c r="AA63" s="1487"/>
      <c r="AC63" s="1487"/>
      <c r="AE63" s="1487"/>
      <c r="AG63" s="1487"/>
      <c r="AI63" s="1487"/>
      <c r="AK63" s="1487"/>
      <c r="AM63" s="1487"/>
      <c r="AO63" s="1497"/>
      <c r="AQ63" s="1497"/>
      <c r="AV63" s="1507">
        <f>AV62*factors!$B$4</f>
        <v>3.5936402318473926</v>
      </c>
      <c r="AX63" s="1507">
        <f>AX62*factors!$B$4</f>
        <v>4.1847285097605162</v>
      </c>
      <c r="AZ63" s="1507">
        <f>AZ62*factors!$B$4</f>
        <v>4.7758167876736399</v>
      </c>
      <c r="BB63" s="1507">
        <f>BB62*factors!$B$4</f>
        <v>4.7758167876736399</v>
      </c>
      <c r="BD63" s="1507">
        <f>$BB63</f>
        <v>4.7758167876736399</v>
      </c>
      <c r="BF63" s="1507">
        <f>$BB63</f>
        <v>4.7758167876736399</v>
      </c>
      <c r="BH63" s="1507">
        <f>$BB63</f>
        <v>4.7758167876736399</v>
      </c>
      <c r="BJ63" s="1507">
        <f>BJ62*factors!$B$4</f>
        <v>3.9562920408770426</v>
      </c>
      <c r="BL63" s="1507">
        <f>BJ63</f>
        <v>3.9562920408770426</v>
      </c>
      <c r="BP63" s="1513"/>
      <c r="BR63" s="1509"/>
      <c r="BS63" s="1511"/>
      <c r="BU63" s="1509"/>
      <c r="BV63" s="1511"/>
      <c r="BX63" s="1509"/>
      <c r="BY63" s="1511"/>
      <c r="CA63" s="1509"/>
      <c r="CB63" s="1511"/>
      <c r="CD63" s="1509"/>
      <c r="CE63" s="1511"/>
      <c r="CG63" s="1509"/>
      <c r="CH63" s="1511"/>
      <c r="CJ63" s="1509"/>
      <c r="CK63" s="1511"/>
      <c r="CP63" s="1487">
        <f>AV63</f>
        <v>3.5936402318473926</v>
      </c>
      <c r="CR63" s="1487">
        <f>AX63</f>
        <v>4.1847285097605162</v>
      </c>
      <c r="CT63" s="1487">
        <f>AZ63</f>
        <v>4.7758167876736399</v>
      </c>
      <c r="CV63" s="1487">
        <f>BB63</f>
        <v>4.7758167876736399</v>
      </c>
      <c r="CX63" s="1487">
        <f>BD63</f>
        <v>4.7758167876736399</v>
      </c>
      <c r="CZ63" s="1487">
        <f>BF63</f>
        <v>4.7758167876736399</v>
      </c>
      <c r="DB63" s="1487">
        <f>BH63</f>
        <v>4.7758167876736399</v>
      </c>
      <c r="DD63" s="1497">
        <f>BJ63</f>
        <v>3.9562920408770426</v>
      </c>
      <c r="DF63" s="1497">
        <f>DD63</f>
        <v>3.9562920408770426</v>
      </c>
    </row>
    <row r="64" spans="1:111">
      <c r="C64" s="349"/>
    </row>
    <row r="65" spans="1:111">
      <c r="A65" s="349" t="s">
        <v>19434</v>
      </c>
      <c r="C65" s="352"/>
      <c r="D65" s="352"/>
      <c r="Y65" s="352"/>
      <c r="AT65" s="349" t="s">
        <v>19449</v>
      </c>
      <c r="CN65" s="352"/>
    </row>
    <row r="66" spans="1:111">
      <c r="A66" s="1426"/>
      <c r="C66" s="1426"/>
      <c r="D66" s="356"/>
      <c r="G66" s="357" t="s">
        <v>233</v>
      </c>
      <c r="T66" s="354" t="s">
        <v>215</v>
      </c>
      <c r="Y66" s="356"/>
      <c r="AB66" s="456"/>
      <c r="AO66" s="354"/>
      <c r="AT66" s="356"/>
      <c r="AW66" s="357" t="s">
        <v>233</v>
      </c>
      <c r="BJ66" s="354" t="s">
        <v>215</v>
      </c>
      <c r="BP66" s="370" t="s">
        <v>19376</v>
      </c>
      <c r="CN66" s="356"/>
      <c r="CQ66" s="357" t="s">
        <v>233</v>
      </c>
      <c r="DD66" s="354" t="s">
        <v>215</v>
      </c>
    </row>
    <row r="67" spans="1:111">
      <c r="A67" s="1426"/>
      <c r="C67" s="1426"/>
      <c r="D67" s="356"/>
      <c r="G67" s="352">
        <v>1</v>
      </c>
      <c r="H67" s="352"/>
      <c r="I67" s="352">
        <v>2</v>
      </c>
      <c r="J67" s="352"/>
      <c r="K67" s="352">
        <v>3</v>
      </c>
      <c r="M67" s="352">
        <v>4</v>
      </c>
      <c r="N67" s="352"/>
      <c r="O67" s="352">
        <v>5</v>
      </c>
      <c r="P67" s="352"/>
      <c r="Q67" s="352">
        <v>6</v>
      </c>
      <c r="S67" s="377">
        <v>7</v>
      </c>
      <c r="Y67" s="356"/>
      <c r="AB67" s="456"/>
      <c r="AC67" s="352"/>
      <c r="AD67" s="456"/>
      <c r="AE67" s="352"/>
      <c r="AF67" s="456"/>
      <c r="AH67" s="456"/>
      <c r="AJ67" s="456"/>
      <c r="AL67" s="456"/>
      <c r="AN67" s="456"/>
      <c r="AT67" s="356"/>
      <c r="AW67" s="352">
        <v>1</v>
      </c>
      <c r="AX67" s="352"/>
      <c r="AY67" s="352">
        <v>2</v>
      </c>
      <c r="AZ67" s="352"/>
      <c r="BA67" s="352">
        <v>3</v>
      </c>
      <c r="BC67" s="352">
        <v>4</v>
      </c>
      <c r="BD67" s="352"/>
      <c r="BE67" s="352">
        <v>5</v>
      </c>
      <c r="BF67" s="352"/>
      <c r="BG67" s="352">
        <v>6</v>
      </c>
      <c r="BI67" s="352">
        <v>7</v>
      </c>
      <c r="BK67" s="354"/>
      <c r="BP67" s="350"/>
      <c r="CN67" s="356"/>
      <c r="CQ67" s="352">
        <v>1</v>
      </c>
      <c r="CR67" s="352"/>
      <c r="CS67" s="352">
        <v>2</v>
      </c>
      <c r="CT67" s="352"/>
      <c r="CU67" s="352">
        <v>3</v>
      </c>
      <c r="CW67" s="352">
        <v>4</v>
      </c>
      <c r="CY67" s="352">
        <v>5</v>
      </c>
      <c r="DA67" s="352">
        <v>6</v>
      </c>
      <c r="DC67" s="352">
        <v>7</v>
      </c>
    </row>
    <row r="68" spans="1:111">
      <c r="F68" s="1494">
        <f>IF($P$4="NO",ROUNDUP(CP68-0.00499,0),LEFT(CP68,1)+(IF(CP68-LEFT(CP68,1)&lt;0.00499,0,IF(CP68-LEFT(CP68,1)-0.04499&lt;('1-Eng Inputs'!$C$39/'1-Eng Inputs'!$C$38),0.5,1))))</f>
        <v>5</v>
      </c>
      <c r="G68" s="353"/>
      <c r="H68" s="1494">
        <f>IF($P$4="NO",ROUNDUP(CR68-0.00499,0),LEFT(CR68,1)+(IF(CR68-LEFT(CR68,1)&lt;0.00499,0,IF(CR68-LEFT(CR68,1)-0.04499&lt;('1-Eng Inputs'!$C$39/'1-Eng Inputs'!$C$38),0.5,1))))</f>
        <v>6</v>
      </c>
      <c r="I68" s="353"/>
      <c r="J68" s="1494">
        <f>IF($P$4="NO",ROUNDUP(CT68-0.00499,0),LEFT(CT68,1)+(IF(CT68-LEFT(CT68,1)&lt;0.00499,0,IF(CT68-LEFT(CT68,1)-0.04499&lt;('1-Eng Inputs'!$C$39/'1-Eng Inputs'!$C$38),0.5,1))))</f>
        <v>8</v>
      </c>
      <c r="K68" s="353"/>
      <c r="L68" s="1494">
        <f>IF($P$4="NO",ROUNDUP(CV68-0.00499,0),LEFT(CV68,1)+(IF(CV68-LEFT(CV68,1)&lt;0.00499,0,IF(CV68-LEFT(CV68,1)-0.04499&lt;('1-Eng Inputs'!$C$39/'1-Eng Inputs'!$C$38),0.5,1))))</f>
        <v>8</v>
      </c>
      <c r="M68" s="353"/>
      <c r="N68" s="1494">
        <f>IF($P$4="NO",ROUNDUP(CX68-0.00499,0),LEFT(CX68,1)+(IF(CX68-LEFT(CX68,1)&lt;0.00499,0,IF(CX68-LEFT(CX68,1)-0.04499&lt;('1-Eng Inputs'!$C$39/'1-Eng Inputs'!$C$38),0.5,1))))</f>
        <v>8</v>
      </c>
      <c r="O68" s="353"/>
      <c r="P68" s="1494">
        <f>IF($P$4="NO",ROUNDUP(CZ68-0.00499,0),LEFT(CZ68,1)+(IF(CZ68-LEFT(CZ68,1)&lt;0.00499,0,IF(CZ68-LEFT(CZ68,1)-0.04499&lt;('1-Eng Inputs'!$C$39/'1-Eng Inputs'!$C$38),0.5,1))))</f>
        <v>8</v>
      </c>
      <c r="Q68" s="353"/>
      <c r="R68" s="1494">
        <f>IF($P$4="NO",ROUNDUP(DB68-0.00499,0),LEFT(DB68,1)+(IF(DB68-LEFT(DB68,1)&lt;0.00499,0,IF(DB68-LEFT(DB68,1)-0.04499&lt;('1-Eng Inputs'!$C$39/'1-Eng Inputs'!$C$38),0.5,1))))</f>
        <v>8</v>
      </c>
      <c r="S68" s="353"/>
      <c r="T68" s="1494">
        <f>IF($P$4="NO",ROUNDUP(DD68-0.00499,0),LEFT(DD68,1)+(IF(DD68-LEFT(DD68,1)&lt;0.00499,0,IF(DD68-LEFT(DD68,1)-0.04499&lt;('1-Eng Inputs'!$C$39/'1-Eng Inputs'!$C$38),0.5,1))))</f>
        <v>8</v>
      </c>
      <c r="AA68" s="1490">
        <f>IF(LEFT(F68,3)-LEFT(F68,1)=0.5,'1-Eng Inputs'!$C$39,0)+LEFT(F68,1)*'1-Eng Inputs'!$C$38</f>
        <v>160</v>
      </c>
      <c r="AC68" s="1490">
        <f>IF(LEFT(H68,3)-LEFT(H68,1)=0.5,'1-Eng Inputs'!$C$39,0)+LEFT(H68,1)*'1-Eng Inputs'!$C$38</f>
        <v>192</v>
      </c>
      <c r="AE68" s="1490">
        <f>IF(LEFT(J68,3)-LEFT(J68,1)=0.5,'1-Eng Inputs'!$C$39,0)+LEFT(J68,1)*'1-Eng Inputs'!$C$38</f>
        <v>256</v>
      </c>
      <c r="AG68" s="1490">
        <f>IF(LEFT(L68,3)-LEFT(L68,1)=0.5,'1-Eng Inputs'!$C$39,0)+LEFT(L68,1)*'1-Eng Inputs'!$C$38</f>
        <v>256</v>
      </c>
      <c r="AI68" s="1490">
        <f>IF(LEFT(N68,3)-LEFT(N68,1)=0.5,'1-Eng Inputs'!$C$39,0)+LEFT(N68,1)*'1-Eng Inputs'!$C$38</f>
        <v>256</v>
      </c>
      <c r="AK68" s="1490">
        <f>IF(LEFT(P68,3)-LEFT(P68,1)=0.5,'1-Eng Inputs'!$C$39,0)+LEFT(P68,1)*'1-Eng Inputs'!$C$38</f>
        <v>256</v>
      </c>
      <c r="AM68" s="1490">
        <f>IF(LEFT(R68,3)-LEFT(R68,1)=0.5,'1-Eng Inputs'!$C$39,0)+LEFT(R68,1)*'1-Eng Inputs'!$C$38</f>
        <v>256</v>
      </c>
      <c r="AO68" s="1490">
        <f>IF(LEFT(T68,3)-LEFT(T68,1)=0.5,'1-Eng Inputs'!$C$39,0)+LEFT(T68,1)*'1-Eng Inputs'!$C$38</f>
        <v>256</v>
      </c>
      <c r="AV68" s="1506">
        <f>AV69*factors!$B$3</f>
        <v>4.6981175353350189</v>
      </c>
      <c r="AX68" s="1506">
        <f>AX69*factors!$B$3</f>
        <v>5.8726469191687736</v>
      </c>
      <c r="AZ68" s="1506">
        <f>AZ69*factors!$B$3</f>
        <v>7.0471763030025283</v>
      </c>
      <c r="BB68" s="1506">
        <f>BB69*factors!$B$3</f>
        <v>7.0471763030025283</v>
      </c>
      <c r="BD68" s="1506">
        <f>BD69*factors!$B$3</f>
        <v>7.0471763030025283</v>
      </c>
      <c r="BF68" s="1506">
        <f>BF69*factors!$B$3</f>
        <v>7.0471763030025283</v>
      </c>
      <c r="BH68" s="1506">
        <f>BH69*factors!$B$3</f>
        <v>7.0471763030025283</v>
      </c>
      <c r="BJ68" s="1506">
        <f>BH68</f>
        <v>7.0471763030025283</v>
      </c>
      <c r="BP68" s="1498">
        <v>0.33333333333333331</v>
      </c>
      <c r="BQ68" s="371"/>
      <c r="BR68" s="1500">
        <v>0.16666666666666666</v>
      </c>
      <c r="BS68" s="1502">
        <v>0.25</v>
      </c>
      <c r="BT68" s="371"/>
      <c r="BU68" s="1500">
        <v>0.25</v>
      </c>
      <c r="BV68" s="1502">
        <v>0.25</v>
      </c>
      <c r="BW68" s="371"/>
      <c r="BX68" s="1500">
        <v>0.25</v>
      </c>
      <c r="BY68" s="1502">
        <v>0.25</v>
      </c>
      <c r="BZ68" s="371"/>
      <c r="CA68" s="1500">
        <v>0.25</v>
      </c>
      <c r="CB68" s="1502">
        <v>0.25</v>
      </c>
      <c r="CD68" s="1500">
        <v>0.25</v>
      </c>
      <c r="CE68" s="1502">
        <v>0.25</v>
      </c>
      <c r="CG68" s="1500">
        <v>0.25</v>
      </c>
      <c r="CH68" s="1502">
        <v>0.25</v>
      </c>
      <c r="CP68" s="1490">
        <f>AV68</f>
        <v>4.6981175353350189</v>
      </c>
      <c r="CR68" s="1490">
        <f>AX68</f>
        <v>5.8726469191687736</v>
      </c>
      <c r="CT68" s="1490">
        <f>AZ68</f>
        <v>7.0471763030025283</v>
      </c>
      <c r="CV68" s="1490">
        <f>BB68</f>
        <v>7.0471763030025283</v>
      </c>
      <c r="CX68" s="1490">
        <f>BD68</f>
        <v>7.0471763030025283</v>
      </c>
      <c r="CZ68" s="1490">
        <f>BF68</f>
        <v>7.0471763030025283</v>
      </c>
      <c r="DB68" s="1490">
        <f>BH68</f>
        <v>7.0471763030025283</v>
      </c>
      <c r="DD68" s="1490">
        <f>DB68</f>
        <v>7.0471763030025283</v>
      </c>
    </row>
    <row r="69" spans="1:111" ht="12.75" hidden="1" customHeight="1">
      <c r="F69" s="1495"/>
      <c r="G69" s="353"/>
      <c r="H69" s="1495"/>
      <c r="I69" s="353"/>
      <c r="J69" s="1495"/>
      <c r="K69" s="353"/>
      <c r="L69" s="1495"/>
      <c r="M69" s="353"/>
      <c r="N69" s="1495"/>
      <c r="O69" s="353"/>
      <c r="P69" s="1495"/>
      <c r="Q69" s="353"/>
      <c r="R69" s="1495"/>
      <c r="S69" s="353"/>
      <c r="T69" s="1495"/>
      <c r="AA69" s="1491"/>
      <c r="AB69" s="457"/>
      <c r="AC69" s="1491"/>
      <c r="AD69" s="457"/>
      <c r="AE69" s="1491"/>
      <c r="AF69" s="457"/>
      <c r="AG69" s="1491"/>
      <c r="AH69" s="457"/>
      <c r="AI69" s="1491"/>
      <c r="AJ69" s="457"/>
      <c r="AK69" s="1491"/>
      <c r="AL69" s="457"/>
      <c r="AM69" s="1491"/>
      <c r="AN69" s="457"/>
      <c r="AO69" s="1491"/>
      <c r="AV69" s="1507">
        <f>(AW70*BP68)/'1-Eng Inputs'!$C$38</f>
        <v>3.3557982395250137</v>
      </c>
      <c r="AX69" s="1507">
        <f>(AW70*BR68+AY70*BS68)/'1-Eng Inputs'!$C$38</f>
        <v>4.194747799406267</v>
      </c>
      <c r="AZ69" s="1507">
        <f>(AY70*BU68+BA70*BV68)/'1-Eng Inputs'!$C$38</f>
        <v>5.0336973592875207</v>
      </c>
      <c r="BB69" s="1507">
        <f>(BA70*BX68+BC70*BY68)/'1-Eng Inputs'!$C$38</f>
        <v>5.0336973592875207</v>
      </c>
      <c r="BD69" s="1507">
        <f>(BC70*CA68+BE70*CB68)/'1-Eng Inputs'!$C$38</f>
        <v>5.0336973592875207</v>
      </c>
      <c r="BF69" s="1507">
        <f>(BE70*CD68+BG70*CE68)/'1-Eng Inputs'!$C$38</f>
        <v>5.0336973592875207</v>
      </c>
      <c r="BH69" s="1507">
        <f>(BG70*CG68+BI70*CH68)/'1-Eng Inputs'!$C$38</f>
        <v>5.0336973592875207</v>
      </c>
      <c r="BJ69" s="1507">
        <f>BH69</f>
        <v>5.0336973592875207</v>
      </c>
      <c r="BP69" s="1499"/>
      <c r="BQ69" s="371"/>
      <c r="BR69" s="1501"/>
      <c r="BS69" s="1503"/>
      <c r="BT69" s="371"/>
      <c r="BU69" s="1501"/>
      <c r="BV69" s="1503"/>
      <c r="BW69" s="371"/>
      <c r="BX69" s="1501"/>
      <c r="BY69" s="1503"/>
      <c r="BZ69" s="371"/>
      <c r="CA69" s="1501"/>
      <c r="CB69" s="1503"/>
      <c r="CD69" s="1501"/>
      <c r="CE69" s="1503"/>
      <c r="CG69" s="1501"/>
      <c r="CH69" s="1503"/>
      <c r="CP69" s="1491">
        <f>AV69</f>
        <v>3.3557982395250137</v>
      </c>
      <c r="CQ69" s="386">
        <f>AB70</f>
        <v>345.14285714285717</v>
      </c>
      <c r="CR69" s="1491">
        <f>AX69</f>
        <v>4.194747799406267</v>
      </c>
      <c r="CS69" s="386">
        <f>AD70</f>
        <v>347.71428571428578</v>
      </c>
      <c r="CT69" s="1491">
        <f>AZ69</f>
        <v>5.0336973592875207</v>
      </c>
      <c r="CU69" s="386">
        <f>AF70</f>
        <v>362.85714285714289</v>
      </c>
      <c r="CV69" s="1491">
        <f>BB69</f>
        <v>5.0336973592875207</v>
      </c>
      <c r="CW69" s="386">
        <f>AH70</f>
        <v>362.85714285714289</v>
      </c>
      <c r="CX69" s="1491">
        <f>BD69</f>
        <v>5.0336973592875207</v>
      </c>
      <c r="CY69" s="386">
        <f>AJ70</f>
        <v>362.85714285714289</v>
      </c>
      <c r="CZ69" s="1491">
        <f>BF69</f>
        <v>5.0336973592875207</v>
      </c>
      <c r="DA69" s="386">
        <f>AL70</f>
        <v>362.85714285714289</v>
      </c>
      <c r="DB69" s="1491">
        <f>BH69</f>
        <v>5.0336973592875207</v>
      </c>
      <c r="DC69" s="386">
        <f>AN70</f>
        <v>362.85714285714289</v>
      </c>
      <c r="DD69" s="1491">
        <f>DB69</f>
        <v>5.0336973592875207</v>
      </c>
    </row>
    <row r="70" spans="1:111" ht="21" customHeight="1">
      <c r="D70" s="354" t="s">
        <v>234</v>
      </c>
      <c r="E70" s="353">
        <v>1</v>
      </c>
      <c r="F70" s="389"/>
      <c r="G70" s="378" t="s">
        <v>19458</v>
      </c>
      <c r="H70" s="389"/>
      <c r="I70" s="378" t="s">
        <v>19458</v>
      </c>
      <c r="J70" s="389"/>
      <c r="K70" s="378" t="s">
        <v>19458</v>
      </c>
      <c r="L70" s="389"/>
      <c r="M70" s="378" t="s">
        <v>19458</v>
      </c>
      <c r="N70" s="389"/>
      <c r="O70" s="378" t="s">
        <v>19458</v>
      </c>
      <c r="P70" s="389"/>
      <c r="Q70" s="378" t="s">
        <v>19458</v>
      </c>
      <c r="R70" s="390"/>
      <c r="S70" s="378" t="s">
        <v>19458</v>
      </c>
      <c r="T70" s="390"/>
      <c r="U70" s="1426"/>
      <c r="Y70" s="355"/>
      <c r="AA70" s="389"/>
      <c r="AB70" s="458">
        <f>(AA68*(AW70*BP68/(AV69*'1-Eng Inputs'!$C$38))/factors!$B$3+AA71*(AW70*BP71/(AV71*'1-Eng Inputs'!$C$38))/factors!$B$4+AC68*(AW70*BR68/(AX69*'1-Eng Inputs'!$C$38))/factors!$B$3+AC71*(AW70*BR71/(AX71*'1-Eng Inputs'!$C$38))/factors!$B$4)</f>
        <v>345.14285714285717</v>
      </c>
      <c r="AC70" s="389"/>
      <c r="AD70" s="458">
        <f>(AC68*(AY70*BS68/(AX69*'1-Eng Inputs'!$C$38))/factors!$B$3+AC71*(AY70*BS71/(AX71*'1-Eng Inputs'!$C$38))/factors!$B$4+AE68*(AY70*BU68/(AZ69*'1-Eng Inputs'!$C$38))/factors!$B$3+AE71*(AY70*BU71/(AZ71*'1-Eng Inputs'!$C$38))/factors!$B$4)</f>
        <v>347.71428571428578</v>
      </c>
      <c r="AE70" s="389"/>
      <c r="AF70" s="458">
        <f>(AE68*(BA70*BV68/(AZ69*'1-Eng Inputs'!$C$38))/factors!$B$3+AE71*(BA70*BV71/(AZ71*'1-Eng Inputs'!$C$38))/factors!$B$4+AG68*(BA70*BX68/(BB69*'1-Eng Inputs'!$C$38))/factors!$B$3+AG71*(BA70*BX71/(BB71*'1-Eng Inputs'!$C$38))/factors!$B$4)</f>
        <v>362.85714285714289</v>
      </c>
      <c r="AG70" s="389"/>
      <c r="AH70" s="458">
        <f>(AG68*(BC70*BY68/(BB69*'1-Eng Inputs'!$C$38))/factors!$B$3+AG71*(BC70*BY71/(BB71*'1-Eng Inputs'!$C$38))/factors!$B$4+AI68*(BC70*CA68/(BD69*'1-Eng Inputs'!$C$38))/factors!$B$3+AI71*(BC70*CA71/(BD71*'1-Eng Inputs'!$C$38))/factors!$B$4)</f>
        <v>362.85714285714289</v>
      </c>
      <c r="AI70" s="389"/>
      <c r="AJ70" s="458">
        <f>(AI68*(BE70*CB68/(BD69*'1-Eng Inputs'!$C$38))/factors!$B$3+AI71*(BE70*CB71/(BD71*'1-Eng Inputs'!$C$38))/factors!$B$4+AK68*(BE70*CD68/(BF69*'1-Eng Inputs'!$C$38))/factors!$B$3+AK71*(BE70*CD71/(BF71*'1-Eng Inputs'!$C$38))/factors!$B$4)</f>
        <v>362.85714285714289</v>
      </c>
      <c r="AK70" s="389"/>
      <c r="AL70" s="458">
        <f>(AK68*(BG70*CE68/(BF69*'1-Eng Inputs'!$C$38))/factors!$B$3+AK71*(BG70*CE71/(BF71*'1-Eng Inputs'!$C$38))/factors!$B$4+AM68*(BG70*CG68/(BH69*'1-Eng Inputs'!$C$38))/factors!$B$3+AM71*(BG70*CG71/(BH71*'1-Eng Inputs'!$C$38))/factors!$B$4)</f>
        <v>362.85714285714289</v>
      </c>
      <c r="AM70" s="390"/>
      <c r="AN70" s="458">
        <f>(AM68*(BI70*CE68/(BH69*'1-Eng Inputs'!$C$38))/factors!$B$3+AM71*(BI70*CE71/(BH71*'1-Eng Inputs'!$C$38))/factors!$B$4+AO68*(BI70*CG68/(BJ69*'1-Eng Inputs'!$C$38))/factors!$B$3+AO71*(BI70*CG71/(BJ71*'1-Eng Inputs'!$C$38))/factors!$B$4)</f>
        <v>362.85714285714289</v>
      </c>
      <c r="AO70" s="390"/>
      <c r="AP70" s="391"/>
      <c r="AT70" s="354" t="s">
        <v>234</v>
      </c>
      <c r="AU70" s="353">
        <v>1</v>
      </c>
      <c r="AW70" s="348">
        <f>'Port Calcs (lift)'!E37</f>
        <v>322.15663099440133</v>
      </c>
      <c r="AX70" s="375"/>
      <c r="AY70" s="348">
        <f>'Port Calcs (lift)'!E37</f>
        <v>322.15663099440133</v>
      </c>
      <c r="AZ70" s="375"/>
      <c r="BA70" s="348">
        <f>AY70</f>
        <v>322.15663099440133</v>
      </c>
      <c r="BB70" s="375"/>
      <c r="BC70" s="348">
        <f>BA70</f>
        <v>322.15663099440133</v>
      </c>
      <c r="BD70" s="375"/>
      <c r="BE70" s="348">
        <f>BC70</f>
        <v>322.15663099440133</v>
      </c>
      <c r="BF70" s="375"/>
      <c r="BG70" s="348">
        <f>BE70</f>
        <v>322.15663099440133</v>
      </c>
      <c r="BH70" s="375"/>
      <c r="BI70" s="348">
        <f>BA70</f>
        <v>322.15663099440133</v>
      </c>
      <c r="BJ70" s="375"/>
      <c r="BK70" s="1426" t="s">
        <v>237</v>
      </c>
      <c r="BP70" s="371"/>
      <c r="BQ70" s="381"/>
      <c r="BR70" s="371"/>
      <c r="BS70" s="371"/>
      <c r="BT70" s="381"/>
      <c r="BU70" s="371"/>
      <c r="BV70" s="371"/>
      <c r="BW70" s="381"/>
      <c r="BX70" s="371"/>
      <c r="BY70" s="371"/>
      <c r="BZ70" s="381"/>
      <c r="CA70" s="371"/>
      <c r="CB70" s="371"/>
      <c r="CC70" s="381"/>
      <c r="CD70" s="371"/>
      <c r="CE70" s="371"/>
      <c r="CF70" s="381"/>
      <c r="CG70" s="371"/>
      <c r="CH70" s="371"/>
      <c r="CN70" s="355"/>
      <c r="CP70" s="389"/>
      <c r="CQ70" s="388">
        <f>AW70</f>
        <v>322.15663099440133</v>
      </c>
      <c r="CR70" s="389"/>
      <c r="CS70" s="388">
        <f>AY70</f>
        <v>322.15663099440133</v>
      </c>
      <c r="CT70" s="389"/>
      <c r="CU70" s="388">
        <f>BA70</f>
        <v>322.15663099440133</v>
      </c>
      <c r="CV70" s="389"/>
      <c r="CW70" s="388">
        <f>BC70</f>
        <v>322.15663099440133</v>
      </c>
      <c r="CX70" s="389"/>
      <c r="CY70" s="388">
        <f>BE70</f>
        <v>322.15663099440133</v>
      </c>
      <c r="CZ70" s="389"/>
      <c r="DA70" s="388">
        <f>BG70</f>
        <v>322.15663099440133</v>
      </c>
      <c r="DB70" s="390"/>
      <c r="DC70" s="348">
        <f>BI70</f>
        <v>322.15663099440133</v>
      </c>
      <c r="DD70" s="390"/>
      <c r="DE70" s="1426"/>
    </row>
    <row r="71" spans="1:111" ht="12.75" hidden="1" customHeight="1">
      <c r="F71" s="1516"/>
      <c r="H71" s="1516"/>
      <c r="J71" s="1516"/>
      <c r="L71" s="1516"/>
      <c r="N71" s="1516"/>
      <c r="P71" s="1516"/>
      <c r="R71" s="1516"/>
      <c r="T71" s="1516"/>
      <c r="AA71" s="1492">
        <f>IF(LEFT(F72,3)-LEFT(F72,1)=0.5,'1-Eng Inputs'!$C$39,0)+LEFT(F72,1)*'1-Eng Inputs'!$C$38</f>
        <v>192</v>
      </c>
      <c r="AC71" s="1492">
        <f>IF(LEFT(H72,3)-LEFT(H72,1)=0.5,'1-Eng Inputs'!$C$39,0)+LEFT(H72,1)*'1-Eng Inputs'!$C$38</f>
        <v>224</v>
      </c>
      <c r="AE71" s="1492">
        <f>IF(LEFT(J72,3)-LEFT(J72,1)=0.5,'1-Eng Inputs'!$C$39,0)+LEFT(J72,1)*'1-Eng Inputs'!$C$38</f>
        <v>288</v>
      </c>
      <c r="AG71" s="1492">
        <f>IF(LEFT(L72,3)-LEFT(L72,1)=0.5,'1-Eng Inputs'!$C$39,0)+LEFT(L72,1)*'1-Eng Inputs'!$C$38</f>
        <v>288</v>
      </c>
      <c r="AI71" s="1492">
        <f>IF(LEFT(N72,3)-LEFT(N72,1)=0.5,'1-Eng Inputs'!$C$39,0)+LEFT(N72,1)*'1-Eng Inputs'!$C$38</f>
        <v>288</v>
      </c>
      <c r="AK71" s="1492">
        <f>IF(LEFT(P72,3)-LEFT(P72,1)=0.5,'1-Eng Inputs'!$C$39,0)+LEFT(P72,1)*'1-Eng Inputs'!$C$38</f>
        <v>288</v>
      </c>
      <c r="AM71" s="1492">
        <f>IF(LEFT(R72,3)-LEFT(R72,1)=0.5,'1-Eng Inputs'!$C$39,0)+LEFT(R72,1)*'1-Eng Inputs'!$C$38</f>
        <v>288</v>
      </c>
      <c r="AO71" s="1492">
        <f>IF(LEFT(T72,3)-LEFT(T72,1)=0.5,'1-Eng Inputs'!$C$39,0)+LEFT(T72,1)*'1-Eng Inputs'!$C$38</f>
        <v>288</v>
      </c>
      <c r="AV71" s="1506">
        <f>(AW70*BP71)/'1-Eng Inputs'!$C$38</f>
        <v>3.3557982395250137</v>
      </c>
      <c r="AX71" s="1506">
        <f>(AW70*BR71+AY70*BS71)/'1-Eng Inputs'!$C$38</f>
        <v>4.194747799406267</v>
      </c>
      <c r="AZ71" s="1506">
        <f>(AY70*BU71+BA70*BV71)/'1-Eng Inputs'!$C$38</f>
        <v>5.0336973592875207</v>
      </c>
      <c r="BB71" s="1506">
        <f>(BA70*BX71+BC70*BY71)/'1-Eng Inputs'!$C$38</f>
        <v>5.0336973592875207</v>
      </c>
      <c r="BD71" s="1506">
        <f>(BC70*CA71+BE70*CB71)/'1-Eng Inputs'!$C$38</f>
        <v>5.0336973592875207</v>
      </c>
      <c r="BF71" s="1506">
        <f>(BE70*CD71+BG70*CE71)/'1-Eng Inputs'!$C$38</f>
        <v>5.0336973592875207</v>
      </c>
      <c r="BH71" s="1506">
        <f>(BG70*CG71+BI70*CH71)/'1-Eng Inputs'!$C$38</f>
        <v>5.0336973592875207</v>
      </c>
      <c r="BJ71" s="1506">
        <f>BH71</f>
        <v>5.0336973592875207</v>
      </c>
      <c r="BP71" s="1498">
        <v>0.33333333333333331</v>
      </c>
      <c r="BQ71" s="371"/>
      <c r="BR71" s="1500">
        <v>0.16666666666666666</v>
      </c>
      <c r="BS71" s="1502">
        <v>0.25</v>
      </c>
      <c r="BT71" s="371"/>
      <c r="BU71" s="1500">
        <v>0.25</v>
      </c>
      <c r="BV71" s="1502">
        <v>0.25</v>
      </c>
      <c r="BW71" s="371"/>
      <c r="BX71" s="1500">
        <v>0.25</v>
      </c>
      <c r="BY71" s="1502">
        <v>0.25</v>
      </c>
      <c r="BZ71" s="371"/>
      <c r="CA71" s="1500">
        <v>0.25</v>
      </c>
      <c r="CB71" s="1502">
        <v>0.25</v>
      </c>
      <c r="CD71" s="1500">
        <v>0.25</v>
      </c>
      <c r="CE71" s="1502">
        <v>0.25</v>
      </c>
      <c r="CG71" s="1500">
        <v>0.25</v>
      </c>
      <c r="CH71" s="1502">
        <v>0.25</v>
      </c>
      <c r="CP71" s="1492">
        <f>AV71</f>
        <v>3.3557982395250137</v>
      </c>
      <c r="CR71" s="1492">
        <f>AX71</f>
        <v>4.194747799406267</v>
      </c>
      <c r="CT71" s="1492">
        <f>AZ71</f>
        <v>5.0336973592875207</v>
      </c>
      <c r="CV71" s="1492">
        <f>BB71</f>
        <v>5.0336973592875207</v>
      </c>
      <c r="CX71" s="1492">
        <f>BD71</f>
        <v>5.0336973592875207</v>
      </c>
      <c r="CZ71" s="1492">
        <f>BF71</f>
        <v>5.0336973592875207</v>
      </c>
      <c r="DB71" s="1492">
        <f>BH71</f>
        <v>5.0336973592875207</v>
      </c>
      <c r="DD71" s="1492">
        <f>DB71</f>
        <v>5.0336973592875207</v>
      </c>
    </row>
    <row r="72" spans="1:111">
      <c r="F72" s="1495">
        <f>IF($P$4="NO",ROUNDUP(CP72,0),LEFT(CP72,1)+(IF(CP72-LEFT(CP72,1)&lt;0.01,0,IF(CP72-LEFT(CP72,1)&lt;('1-Eng Inputs'!$C$39/'1-Eng Inputs'!$C$38),0.5,1))))</f>
        <v>6</v>
      </c>
      <c r="G72" s="353"/>
      <c r="H72" s="1495">
        <f>IF($P$4="NO",ROUNDUP(CR72,0),LEFT(CR72,1)+(IF(CR72-LEFT(CR72,1)&lt;0.01,0,IF(CR72-LEFT(CR72,1)&lt;('1-Eng Inputs'!$C$39/'1-Eng Inputs'!$C$38),0.5,1))))</f>
        <v>7</v>
      </c>
      <c r="I72" s="353"/>
      <c r="J72" s="1495">
        <f>IF($P$4="NO",ROUNDUP(CT72,0),LEFT(CT72,1)+(IF(CT72-LEFT(CT72,1)&lt;0.01,0,IF(CT72-LEFT(CT72,1)&lt;('1-Eng Inputs'!$C$39/'1-Eng Inputs'!$C$38),0.5,1))))</f>
        <v>9</v>
      </c>
      <c r="K72" s="353"/>
      <c r="L72" s="1495">
        <f>IF($P$4="NO",ROUNDUP(CV72,0),LEFT(CV72,1)+(IF(CV72-LEFT(CV72,1)&lt;0.01,0,IF(CV72-LEFT(CV72,1)&lt;('1-Eng Inputs'!$C$39/'1-Eng Inputs'!$C$38),0.5,1))))</f>
        <v>9</v>
      </c>
      <c r="M72" s="353"/>
      <c r="N72" s="1495">
        <f>IF($P$4="NO",ROUNDUP(CX72,0),LEFT(CX72,1)+(IF(CX72-LEFT(CX72,1)&lt;0.01,0,IF(CX72-LEFT(CX72,1)&lt;('1-Eng Inputs'!$C$39/'1-Eng Inputs'!$C$38),0.5,1))))</f>
        <v>9</v>
      </c>
      <c r="O72" s="353"/>
      <c r="P72" s="1495">
        <f>IF($P$4="NO",ROUNDUP(CZ72,0),LEFT(CZ72,1)+(IF(CZ72-LEFT(CZ72,1)&lt;0.01,0,IF(CZ72-LEFT(CZ72,1)&lt;('1-Eng Inputs'!$C$39/'1-Eng Inputs'!$C$38),0.5,1))))</f>
        <v>9</v>
      </c>
      <c r="Q72" s="353"/>
      <c r="R72" s="1495">
        <f>IF($P$4="NO",ROUNDUP(DB72,0),LEFT(DB72,1)+(IF(DB72-LEFT(DB72,1)&lt;0.01,0,IF(DB72-LEFT(DB72,1)&lt;('1-Eng Inputs'!$C$39/'1-Eng Inputs'!$C$38),0.5,1))))</f>
        <v>9</v>
      </c>
      <c r="S72" s="353"/>
      <c r="T72" s="1495">
        <f>IF($P$4="NO",ROUNDUP(DD72,0),LEFT(DD72,1)+(IF(DD72-LEFT(DD72,1)&lt;0.01,0,IF(DD72-LEFT(DD72,1)&lt;('1-Eng Inputs'!$C$39/'1-Eng Inputs'!$C$38),0.5,1))))</f>
        <v>9</v>
      </c>
      <c r="AA72" s="1493"/>
      <c r="AC72" s="1493"/>
      <c r="AE72" s="1493"/>
      <c r="AG72" s="1493"/>
      <c r="AI72" s="1493"/>
      <c r="AK72" s="1493"/>
      <c r="AM72" s="1493"/>
      <c r="AO72" s="1493"/>
      <c r="AV72" s="1507">
        <f>AV71*factors!$B$4</f>
        <v>5.3692771832400226</v>
      </c>
      <c r="AX72" s="1507">
        <f>AX71*factors!$B$4</f>
        <v>6.7115964790500273</v>
      </c>
      <c r="AZ72" s="1507">
        <f>AZ71*factors!$B$4</f>
        <v>8.0539157748600338</v>
      </c>
      <c r="BB72" s="1507">
        <f>BB71*factors!$B$4</f>
        <v>8.0539157748600338</v>
      </c>
      <c r="BD72" s="1507">
        <f>BD71*factors!$B$4</f>
        <v>8.0539157748600338</v>
      </c>
      <c r="BF72" s="1507">
        <f>BF71*factors!$B$4</f>
        <v>8.0539157748600338</v>
      </c>
      <c r="BH72" s="1507">
        <f>BH71*factors!$B$4</f>
        <v>8.0539157748600338</v>
      </c>
      <c r="BJ72" s="1507">
        <f>BH72</f>
        <v>8.0539157748600338</v>
      </c>
      <c r="BP72" s="1499"/>
      <c r="BQ72" s="371"/>
      <c r="BR72" s="1501"/>
      <c r="BS72" s="1503"/>
      <c r="BT72" s="371"/>
      <c r="BU72" s="1501"/>
      <c r="BV72" s="1503"/>
      <c r="BW72" s="371"/>
      <c r="BX72" s="1501"/>
      <c r="BY72" s="1503"/>
      <c r="BZ72" s="371"/>
      <c r="CA72" s="1501"/>
      <c r="CB72" s="1503"/>
      <c r="CD72" s="1501"/>
      <c r="CE72" s="1503"/>
      <c r="CG72" s="1501"/>
      <c r="CH72" s="1503"/>
      <c r="CP72" s="1493">
        <f>AV72</f>
        <v>5.3692771832400226</v>
      </c>
      <c r="CR72" s="1493">
        <f>AX72</f>
        <v>6.7115964790500273</v>
      </c>
      <c r="CT72" s="1493">
        <f>AZ72</f>
        <v>8.0539157748600338</v>
      </c>
      <c r="CV72" s="1493">
        <f>BB72</f>
        <v>8.0539157748600338</v>
      </c>
      <c r="CX72" s="1493">
        <f>BD72</f>
        <v>8.0539157748600338</v>
      </c>
      <c r="CZ72" s="1493">
        <f>BF72</f>
        <v>8.0539157748600338</v>
      </c>
      <c r="DB72" s="1493">
        <f>BH72</f>
        <v>8.0539157748600338</v>
      </c>
      <c r="DD72" s="1493">
        <f>DB72</f>
        <v>8.0539157748600338</v>
      </c>
    </row>
    <row r="73" spans="1:111">
      <c r="C73" s="349"/>
    </row>
    <row r="74" spans="1:111">
      <c r="A74" s="349" t="s">
        <v>19435</v>
      </c>
      <c r="C74" s="1426"/>
      <c r="D74" s="356"/>
      <c r="Y74" s="356"/>
      <c r="AT74" s="349" t="s">
        <v>19450</v>
      </c>
      <c r="CN74" s="356"/>
    </row>
    <row r="75" spans="1:111">
      <c r="C75" s="1426"/>
      <c r="D75" s="356"/>
      <c r="G75" s="357" t="s">
        <v>233</v>
      </c>
      <c r="W75" s="354"/>
      <c r="Y75" s="356"/>
      <c r="AB75" s="456"/>
      <c r="AR75" s="354"/>
      <c r="AT75" s="356"/>
      <c r="AW75" s="350" t="s">
        <v>233</v>
      </c>
      <c r="BM75" s="354"/>
      <c r="BP75" s="370" t="s">
        <v>19376</v>
      </c>
      <c r="CN75" s="356"/>
      <c r="CQ75" s="357" t="s">
        <v>233</v>
      </c>
      <c r="DG75" s="354"/>
    </row>
    <row r="76" spans="1:111" s="352" customFormat="1">
      <c r="C76" s="1426"/>
      <c r="D76" s="356"/>
      <c r="G76" s="352">
        <v>1</v>
      </c>
      <c r="I76" s="352">
        <v>2</v>
      </c>
      <c r="K76" s="352">
        <v>3</v>
      </c>
      <c r="X76" s="387"/>
      <c r="Y76" s="356"/>
      <c r="AB76" s="456"/>
      <c r="AD76" s="456"/>
      <c r="AF76" s="456"/>
      <c r="AH76" s="456"/>
      <c r="AJ76" s="456"/>
      <c r="AL76" s="456"/>
      <c r="AN76" s="456"/>
      <c r="AP76" s="456"/>
      <c r="AS76" s="387"/>
      <c r="AT76" s="356"/>
      <c r="AW76" s="352">
        <v>1</v>
      </c>
      <c r="AY76" s="352">
        <v>2</v>
      </c>
      <c r="BA76" s="352">
        <v>3</v>
      </c>
      <c r="BN76" s="387"/>
      <c r="BP76" s="371"/>
      <c r="BQ76" s="371"/>
      <c r="BR76" s="371"/>
      <c r="BS76" s="371"/>
      <c r="BT76" s="371"/>
      <c r="BU76" s="371"/>
      <c r="BV76" s="371"/>
      <c r="BW76" s="371"/>
      <c r="BX76" s="371"/>
      <c r="BY76" s="371"/>
      <c r="BZ76" s="371"/>
      <c r="CA76" s="371"/>
      <c r="CB76" s="371"/>
      <c r="CC76" s="371"/>
      <c r="CD76" s="371"/>
      <c r="CE76" s="371"/>
      <c r="CF76" s="371"/>
      <c r="CG76" s="371"/>
      <c r="CH76" s="371"/>
      <c r="CI76" s="371"/>
      <c r="CJ76" s="371"/>
      <c r="CK76" s="371"/>
      <c r="CM76" s="387"/>
      <c r="CN76" s="356"/>
      <c r="CQ76" s="352">
        <v>1</v>
      </c>
      <c r="CS76" s="352">
        <v>2</v>
      </c>
      <c r="CU76" s="352">
        <v>3</v>
      </c>
    </row>
    <row r="77" spans="1:111">
      <c r="F77" s="1494">
        <f>IF($P$4="NO",ROUNDUP(CP77-0.00499,0),LEFT(CP77,1)+(IF(CP77-LEFT(CP77,1)&lt;0.00499,0,IF(CP77-LEFT(CP77,1)-0.04499&lt;('1-Eng Inputs'!$C$39/'1-Eng Inputs'!$C$38),0.5,1))))</f>
        <v>3</v>
      </c>
      <c r="G77" s="353"/>
      <c r="H77" s="1494">
        <f>IF($P$4="NO",ROUNDUP(CR77-0.00499,0),LEFT(CR77,1)+(IF(CR77-LEFT(CR77,1)&lt;0.00499,0,IF(CR77-LEFT(CR77,1)-0.04499&lt;('1-Eng Inputs'!$C$39/'1-Eng Inputs'!$C$38),0.5,1))))</f>
        <v>6</v>
      </c>
      <c r="I77" s="353"/>
      <c r="J77" s="1494">
        <f>IF($P$4="NO",ROUNDUP(CT77-0.00499,0),LEFT(CT77,1)+(IF(CT77-LEFT(CT77,1)&lt;0.00499,0,IF(CT77-LEFT(CT77,1)-0.04499&lt;('1-Eng Inputs'!$C$39/'1-Eng Inputs'!$C$38),0.5,1))))</f>
        <v>6</v>
      </c>
      <c r="K77" s="353"/>
      <c r="L77" s="1494">
        <f>IF($P$4="NO",ROUNDUP(CV77-0.00499,0),LEFT(CV77,1)+(IF(CV77-LEFT(CV77,1)&lt;0.00499,0,IF(CV77-LEFT(CV77,1)-0.04499&lt;('1-Eng Inputs'!$C$39/'1-Eng Inputs'!$C$38),0.5,1))))</f>
        <v>3</v>
      </c>
      <c r="AA77" s="1478">
        <f>IF(LEFT(F77,3)-LEFT(F77,1)=0.5,'1-Eng Inputs'!$C$39,0)+LEFT(F77,1)*'1-Eng Inputs'!$C$38</f>
        <v>96</v>
      </c>
      <c r="AC77" s="1478">
        <f>IF(LEFT(H77,3)-LEFT(H77,1)=0.5,'1-Eng Inputs'!$C$39,0)+LEFT(H77,1)*'1-Eng Inputs'!$C$38</f>
        <v>192</v>
      </c>
      <c r="AE77" s="1478">
        <f>IF(LEFT(J77,3)-LEFT(J77,1)=0.5,'1-Eng Inputs'!$C$39,0)+LEFT(J77,1)*'1-Eng Inputs'!$C$38</f>
        <v>192</v>
      </c>
      <c r="AG77" s="1478">
        <f>IF(LEFT(L77,3)-LEFT(L77,1)=0.5,'1-Eng Inputs'!$C$39,0)+LEFT(L77,1)*'1-Eng Inputs'!$C$38</f>
        <v>96</v>
      </c>
      <c r="AV77" s="1506">
        <f>AV78*factors!$B$3</f>
        <v>2.6952301738855442</v>
      </c>
      <c r="AX77" s="1506">
        <f>AX78*factors!$B$3</f>
        <v>5.4811233000285009</v>
      </c>
      <c r="AZ77" s="1506">
        <f>AZ78*factors!$B$3</f>
        <v>5.4811233000285009</v>
      </c>
      <c r="BB77" s="1506">
        <f>BB78*factors!$B$3</f>
        <v>2.6952301738855442</v>
      </c>
      <c r="BP77" s="1512">
        <v>0.2857142857142857</v>
      </c>
      <c r="BR77" s="1508">
        <v>0.2857142857142857</v>
      </c>
      <c r="BS77" s="1510">
        <v>0.33333333333333331</v>
      </c>
      <c r="BU77" s="1508">
        <v>0.33333333333333331</v>
      </c>
      <c r="BV77" s="1510">
        <v>0.2857142857142857</v>
      </c>
      <c r="BX77" s="1512">
        <v>0.2857142857142857</v>
      </c>
      <c r="CJ77" s="350"/>
      <c r="CK77" s="350"/>
      <c r="CP77" s="1478">
        <f>AV77</f>
        <v>2.6952301738855442</v>
      </c>
      <c r="CR77" s="1478">
        <f>AX77</f>
        <v>5.4811233000285009</v>
      </c>
      <c r="CT77" s="1478">
        <f>AZ77</f>
        <v>5.4811233000285009</v>
      </c>
      <c r="CV77" s="1478">
        <f>BB77</f>
        <v>2.6952301738855442</v>
      </c>
    </row>
    <row r="78" spans="1:111" ht="12.75" hidden="1" customHeight="1">
      <c r="F78" s="1495"/>
      <c r="G78" s="353"/>
      <c r="H78" s="1495"/>
      <c r="I78" s="353"/>
      <c r="J78" s="1495"/>
      <c r="K78" s="353"/>
      <c r="L78" s="1495"/>
      <c r="AA78" s="1479"/>
      <c r="AB78" s="457"/>
      <c r="AC78" s="1479"/>
      <c r="AD78" s="457"/>
      <c r="AE78" s="1479"/>
      <c r="AF78" s="457">
        <f>CU78-AF79</f>
        <v>0</v>
      </c>
      <c r="AG78" s="1479"/>
      <c r="AV78" s="1507">
        <f>(BP77*AW79)/'1-Eng Inputs'!$C$38</f>
        <v>1.9251644099182461</v>
      </c>
      <c r="AX78" s="1507">
        <f>(BR77*AW79+AY79*BS77)/'1-Eng Inputs'!$C$38</f>
        <v>3.9150880714489293</v>
      </c>
      <c r="AZ78" s="1507">
        <f>(BU77*AY79+BA79*BV77)/'1-Eng Inputs'!$C$38</f>
        <v>3.9150880714489293</v>
      </c>
      <c r="BB78" s="1507">
        <f>(BX77*BA79)/'1-Eng Inputs'!$C$38</f>
        <v>1.9251644099182461</v>
      </c>
      <c r="BP78" s="1513"/>
      <c r="BR78" s="1509"/>
      <c r="BS78" s="1511"/>
      <c r="BU78" s="1509"/>
      <c r="BV78" s="1511"/>
      <c r="BX78" s="1513"/>
      <c r="BY78" s="350"/>
      <c r="BZ78" s="350"/>
      <c r="CA78" s="350"/>
      <c r="CB78" s="350"/>
      <c r="CC78" s="350"/>
      <c r="CD78" s="350"/>
      <c r="CE78" s="350"/>
      <c r="CF78" s="350"/>
      <c r="CG78" s="350"/>
      <c r="CH78" s="350"/>
      <c r="CI78" s="350"/>
      <c r="CJ78" s="350"/>
      <c r="CK78" s="350"/>
      <c r="CP78" s="1479">
        <f>AV78</f>
        <v>1.9251644099182461</v>
      </c>
      <c r="CQ78" s="386">
        <f>AB79</f>
        <v>238.08155764750069</v>
      </c>
      <c r="CR78" s="1479">
        <f>AX78</f>
        <v>3.9150880714489293</v>
      </c>
      <c r="CS78" s="386">
        <f>AD79</f>
        <v>217.40667695955352</v>
      </c>
      <c r="CT78" s="1479">
        <f>AZ78</f>
        <v>3.9150880714489293</v>
      </c>
      <c r="CU78" s="386">
        <f>AF79</f>
        <v>238.08155764750069</v>
      </c>
      <c r="CV78" s="1479">
        <f>BB78</f>
        <v>1.9251644099182461</v>
      </c>
    </row>
    <row r="79" spans="1:111" ht="21" customHeight="1">
      <c r="D79" s="354" t="s">
        <v>234</v>
      </c>
      <c r="E79" s="353">
        <v>1</v>
      </c>
      <c r="F79" s="389"/>
      <c r="G79" s="378" t="s">
        <v>19454</v>
      </c>
      <c r="H79" s="389"/>
      <c r="I79" s="378" t="s">
        <v>19454</v>
      </c>
      <c r="J79" s="389"/>
      <c r="K79" s="378" t="s">
        <v>19454</v>
      </c>
      <c r="L79" s="390"/>
      <c r="M79" s="1426"/>
      <c r="O79" s="1426"/>
      <c r="Q79" s="1426"/>
      <c r="S79" s="1426"/>
      <c r="U79" s="1426"/>
      <c r="W79" s="1426"/>
      <c r="Y79" s="354"/>
      <c r="AA79" s="389"/>
      <c r="AB79" s="458">
        <f>(AA77*(AW79*BP77/(AV78*'1-Eng Inputs'!$C$38))/factors!$B$3+AA80*(AW79*BP80/(AV80*'1-Eng Inputs'!$C$38))+AC77*(AW79*BR77/(AX78*'1-Eng Inputs'!$C$38))/factors!$B$3+AC80*(AW79*BR80/(AX80*'1-Eng Inputs'!$C$38)))</f>
        <v>238.08155764750069</v>
      </c>
      <c r="AC79" s="389"/>
      <c r="AD79" s="458">
        <f>(AC77*(AY79*BS77/(AX78*'1-Eng Inputs'!$C$38))/factors!$B$3+AC80*(AY79*BS80/(AX80*'1-Eng Inputs'!$C$38))+AE77*(AY79*BU77/(AZ78*'1-Eng Inputs'!$C$38))/factors!$B$3+AE80*(AY79*BU80/(AZ80*'1-Eng Inputs'!$C$38)))</f>
        <v>217.40667695955352</v>
      </c>
      <c r="AE79" s="389"/>
      <c r="AF79" s="458">
        <f>(AE77*(BA79*BV77/(AZ78*'1-Eng Inputs'!$C$38))/factors!$B$3+AE80*(BA79*BV80/(AZ80*'1-Eng Inputs'!$C$38))+AG77*(BA79*BX77/(BB78*'1-Eng Inputs'!$C$38))/factors!$B$3+AG80*(BA79*BX80/(BB80*'1-Eng Inputs'!$C$38)))</f>
        <v>238.08155764750069</v>
      </c>
      <c r="AG79" s="382"/>
      <c r="AH79" s="391"/>
      <c r="AJ79" s="391"/>
      <c r="AL79" s="391"/>
      <c r="AN79" s="391"/>
      <c r="AP79" s="391"/>
      <c r="AR79" s="1426"/>
      <c r="AT79" s="354" t="s">
        <v>234</v>
      </c>
      <c r="AU79" s="353">
        <v>1</v>
      </c>
      <c r="AW79" s="348">
        <f>'Port Calcs (lift)'!H6</f>
        <v>215.61841391084357</v>
      </c>
      <c r="AX79" s="375"/>
      <c r="AY79" s="348">
        <f>'Port Calcs (lift)'!I6</f>
        <v>191.03267150694558</v>
      </c>
      <c r="AZ79" s="375"/>
      <c r="BA79" s="348">
        <f>'Port Calcs (lift)'!H6</f>
        <v>215.61841391084357</v>
      </c>
      <c r="BB79" s="375"/>
      <c r="BC79" s="1426"/>
      <c r="BE79" s="1426"/>
      <c r="BG79" s="1426"/>
      <c r="BI79" s="1426"/>
      <c r="BK79" s="1426"/>
      <c r="BM79" s="1426"/>
      <c r="BQ79" s="381"/>
      <c r="BT79" s="381"/>
      <c r="BW79" s="381"/>
      <c r="BY79" s="350"/>
      <c r="BZ79" s="350"/>
      <c r="CA79" s="350"/>
      <c r="CB79" s="350"/>
      <c r="CC79" s="350"/>
      <c r="CD79" s="350"/>
      <c r="CE79" s="350"/>
      <c r="CF79" s="350"/>
      <c r="CG79" s="350"/>
      <c r="CH79" s="350"/>
      <c r="CI79" s="350"/>
      <c r="CJ79" s="1426"/>
      <c r="CK79" s="350"/>
      <c r="CN79" s="354" t="s">
        <v>234</v>
      </c>
      <c r="CO79" s="353">
        <v>1</v>
      </c>
      <c r="CP79" s="389"/>
      <c r="CQ79" s="388">
        <f>AW79</f>
        <v>215.61841391084357</v>
      </c>
      <c r="CR79" s="389"/>
      <c r="CS79" s="388">
        <f>AY79</f>
        <v>191.03267150694558</v>
      </c>
      <c r="CT79" s="389"/>
      <c r="CU79" s="388">
        <f>BA79</f>
        <v>215.61841391084357</v>
      </c>
      <c r="CV79" s="382"/>
      <c r="CW79" s="1426"/>
      <c r="CY79" s="1426"/>
      <c r="DA79" s="1426"/>
      <c r="DC79" s="1426"/>
      <c r="DE79" s="1426"/>
      <c r="DG79" s="1426"/>
    </row>
    <row r="80" spans="1:111">
      <c r="F80" s="1494">
        <f>IF($P$4="NO",ROUNDUP(CP80-0.00499,0),LEFT(CP80,1)+(IF(CP80-LEFT(CP80,1)&lt;0.00499,0,IF(CP80-LEFT(CP80,1)-0.04499&lt;('1-Eng Inputs'!$C$39/'1-Eng Inputs'!$C$38),0.5,1))))</f>
        <v>4</v>
      </c>
      <c r="G80" s="353"/>
      <c r="H80" s="1494">
        <f>IF($P$4="NO",ROUNDUP(CR80-0.00499,0),LEFT(CR80,1)+(IF(CR80-LEFT(CR80,1)&lt;0.00499,0,IF(CR80-LEFT(CR80,1)-0.04499&lt;('1-Eng Inputs'!$C$39/'1-Eng Inputs'!$C$38),0.5,1))))</f>
        <v>5</v>
      </c>
      <c r="I80" s="353"/>
      <c r="J80" s="1494">
        <f>IF($P$4="NO",ROUNDUP(CT80-0.00499,0),LEFT(CT80,1)+(IF(CT80-LEFT(CT80,1)&lt;0.00499,0,IF(CT80-LEFT(CT80,1)-0.04499&lt;('1-Eng Inputs'!$C$39/'1-Eng Inputs'!$C$38),0.5,1))))</f>
        <v>5</v>
      </c>
      <c r="K80" s="353"/>
      <c r="L80" s="1494">
        <f>IF($P$4="NO",ROUNDUP(CV80-0.00499,0),LEFT(CV80,1)+(IF(CV80-LEFT(CV80,1)&lt;0.00499,0,IF(CV80-LEFT(CV80,1)-0.04499&lt;('1-Eng Inputs'!$C$39/'1-Eng Inputs'!$C$38),0.5,1))))</f>
        <v>4</v>
      </c>
      <c r="AA80" s="1478">
        <f>IF(LEFT(F80,3)-LEFT(F80,1)=0.5,'1-Eng Inputs'!$C$39,0)+LEFT(F80,1)*'1-Eng Inputs'!$C$38</f>
        <v>128</v>
      </c>
      <c r="AC80" s="1478">
        <f>IF(LEFT(H80,3)-LEFT(H80,1)=0.5,'1-Eng Inputs'!$C$39,0)+LEFT(H80,1)*'1-Eng Inputs'!$C$38</f>
        <v>160</v>
      </c>
      <c r="AE80" s="1478">
        <f>IF(LEFT(J80,3)-LEFT(J80,1)=0.5,'1-Eng Inputs'!$C$39,0)+LEFT(J80,1)*'1-Eng Inputs'!$C$38</f>
        <v>160</v>
      </c>
      <c r="AG80" s="1478">
        <f>IF(LEFT(L80,3)-LEFT(L80,1)=0.5,'1-Eng Inputs'!$C$39,0)+LEFT(L80,1)*'1-Eng Inputs'!$C$38</f>
        <v>128</v>
      </c>
      <c r="AV80" s="1506">
        <f>(BP80*AW79+AW82*BP81)/'1-Eng Inputs'!$C$38</f>
        <v>3.829720910324284</v>
      </c>
      <c r="AX80" s="1506">
        <f>(AW79*BR80+AY79*BS80+AW82*BR81+AY82*BS81)/'1-Eng Inputs'!$C$38</f>
        <v>4.0821381778580745</v>
      </c>
      <c r="AZ80" s="1506">
        <f>(AY79*BU80+BA79*BV80+AY82*BU81+BA82*BV81)/'1-Eng Inputs'!$C$38</f>
        <v>4.0821381778580745</v>
      </c>
      <c r="BB80" s="1506">
        <f>(BX80*BA79+BA82*BX81)/'1-Eng Inputs'!$C$38</f>
        <v>3.829720910324284</v>
      </c>
      <c r="BP80" s="1512">
        <v>0.2857142857142857</v>
      </c>
      <c r="BR80" s="1508">
        <v>0.14285714285714285</v>
      </c>
      <c r="BS80" s="1510">
        <v>0.16666666666666666</v>
      </c>
      <c r="BU80" s="1508">
        <v>0.16666666666666666</v>
      </c>
      <c r="BV80" s="1510">
        <v>0.14285714285714285</v>
      </c>
      <c r="BX80" s="1512">
        <v>0.2857142857142857</v>
      </c>
      <c r="BY80" s="1426"/>
      <c r="BZ80" s="350"/>
      <c r="CA80" s="1426"/>
      <c r="CB80" s="350"/>
      <c r="CC80" s="1426"/>
      <c r="CD80" s="350"/>
      <c r="CE80" s="1426"/>
      <c r="CF80" s="350"/>
      <c r="CG80" s="1426"/>
      <c r="CH80" s="350"/>
      <c r="CI80" s="1426"/>
      <c r="CJ80" s="350"/>
      <c r="CK80" s="350"/>
      <c r="CP80" s="1478">
        <f>AV80</f>
        <v>3.829720910324284</v>
      </c>
      <c r="CR80" s="1478">
        <f>AX80</f>
        <v>4.0821381778580745</v>
      </c>
      <c r="CT80" s="1478">
        <f>AZ80</f>
        <v>4.0821381778580745</v>
      </c>
      <c r="CV80" s="1478">
        <f>BB80</f>
        <v>3.829720910324284</v>
      </c>
    </row>
    <row r="81" spans="4:111" ht="12.75" hidden="1" customHeight="1">
      <c r="F81" s="1495"/>
      <c r="G81" s="353"/>
      <c r="H81" s="1495"/>
      <c r="I81" s="353"/>
      <c r="J81" s="1495"/>
      <c r="K81" s="353"/>
      <c r="L81" s="1495"/>
      <c r="AA81" s="1479"/>
      <c r="AB81" s="457"/>
      <c r="AC81" s="1479"/>
      <c r="AD81" s="457"/>
      <c r="AE81" s="1479"/>
      <c r="AF81" s="457"/>
      <c r="AG81" s="1479"/>
      <c r="AV81" s="1507"/>
      <c r="AX81" s="1507"/>
      <c r="AZ81" s="1507"/>
      <c r="BB81" s="1507"/>
      <c r="BP81" s="1513">
        <v>0.33333333333333331</v>
      </c>
      <c r="BR81" s="1509">
        <v>0.16666666666666666</v>
      </c>
      <c r="BS81" s="1511">
        <v>0.25</v>
      </c>
      <c r="BU81" s="1509">
        <v>0.25</v>
      </c>
      <c r="BV81" s="1511">
        <v>0.16666666666666666</v>
      </c>
      <c r="BX81" s="1513">
        <v>0.33333333333333331</v>
      </c>
      <c r="BY81" s="350"/>
      <c r="BZ81" s="350"/>
      <c r="CA81" s="350"/>
      <c r="CB81" s="350"/>
      <c r="CC81" s="350"/>
      <c r="CD81" s="350"/>
      <c r="CE81" s="350"/>
      <c r="CF81" s="350"/>
      <c r="CG81" s="350"/>
      <c r="CH81" s="350"/>
      <c r="CI81" s="350"/>
      <c r="CJ81" s="350"/>
      <c r="CK81" s="350"/>
      <c r="CP81" s="1479"/>
      <c r="CQ81" s="386">
        <f>AB82</f>
        <v>200.83762134413831</v>
      </c>
      <c r="CR81" s="1479"/>
      <c r="CS81" s="386">
        <f>AD82</f>
        <v>180.18353648573984</v>
      </c>
      <c r="CT81" s="1479"/>
      <c r="CU81" s="386">
        <f>AF82</f>
        <v>200.83762134413834</v>
      </c>
      <c r="CV81" s="1479"/>
    </row>
    <row r="82" spans="4:111" ht="21" customHeight="1">
      <c r="D82" s="355"/>
      <c r="E82" s="353">
        <v>2</v>
      </c>
      <c r="F82" s="389"/>
      <c r="G82" s="378" t="s">
        <v>19454</v>
      </c>
      <c r="H82" s="389"/>
      <c r="I82" s="378" t="s">
        <v>19454</v>
      </c>
      <c r="J82" s="389"/>
      <c r="K82" s="378" t="s">
        <v>19454</v>
      </c>
      <c r="L82" s="390"/>
      <c r="M82" s="1426"/>
      <c r="O82" s="1426"/>
      <c r="Q82" s="1426"/>
      <c r="S82" s="1426"/>
      <c r="U82" s="1426"/>
      <c r="W82" s="1426"/>
      <c r="Y82" s="355"/>
      <c r="AA82" s="389"/>
      <c r="AB82" s="458">
        <f>(AA80*(AW82*BP81/(AV80*'1-Eng Inputs'!$C$38))+AA83*(AW82*BP83/(AV83*'1-Eng Inputs'!$C$38))+AC80*(AW82*BR81/(AX80*'1-Eng Inputs'!$C$38))+AC83*(AW82*BR83/(AX83*'1-Eng Inputs'!$C$38)))</f>
        <v>200.83762134413831</v>
      </c>
      <c r="AC82" s="389"/>
      <c r="AD82" s="458">
        <f>(AC80*(AY82*BS81/(AX80*'1-Eng Inputs'!$C$38))+AC83*(AY82*BS83/(AX83*'1-Eng Inputs'!$C$38))+AE80*(AY82*BU81/(AZ80*'1-Eng Inputs'!$C$38))+AE83*(AY82*BU83/(AZ83*'1-Eng Inputs'!$C$38)))</f>
        <v>180.18353648573984</v>
      </c>
      <c r="AE82" s="389"/>
      <c r="AF82" s="458">
        <f>(AE80*(BA82*BV81/(AZ80*'1-Eng Inputs'!$C$38))+AE83*(BA82*BV83/(AZ83*'1-Eng Inputs'!$C$38))+AG80*(BA82*BX81/(BB80*'1-Eng Inputs'!$C$38))+AG83*(BA82*BX83/(BB83*'1-Eng Inputs'!$C$38)))</f>
        <v>200.83762134413834</v>
      </c>
      <c r="AG82" s="382"/>
      <c r="AH82" s="391"/>
      <c r="AJ82" s="391"/>
      <c r="AL82" s="391"/>
      <c r="AN82" s="391"/>
      <c r="AP82" s="391"/>
      <c r="AR82" s="1426"/>
      <c r="AT82" s="355"/>
      <c r="AU82" s="353">
        <v>2</v>
      </c>
      <c r="AW82" s="348">
        <f>'Port Calcs (lift)'!J6</f>
        <v>182.83742403897963</v>
      </c>
      <c r="AX82" s="375"/>
      <c r="AY82" s="348">
        <f>'Port Calcs (lift)'!K6</f>
        <v>150.05643416711567</v>
      </c>
      <c r="AZ82" s="375"/>
      <c r="BA82" s="348">
        <f>'Port Calcs (lift)'!J6</f>
        <v>182.83742403897963</v>
      </c>
      <c r="BB82" s="375"/>
      <c r="BC82" s="1426"/>
      <c r="BE82" s="1426"/>
      <c r="BG82" s="1426"/>
      <c r="BI82" s="1426"/>
      <c r="BK82" s="1426"/>
      <c r="BM82" s="1426"/>
      <c r="BQ82" s="381"/>
      <c r="BT82" s="381"/>
      <c r="BW82" s="381"/>
      <c r="BY82" s="350"/>
      <c r="BZ82" s="350"/>
      <c r="CA82" s="350"/>
      <c r="CB82" s="350"/>
      <c r="CC82" s="350"/>
      <c r="CD82" s="350"/>
      <c r="CE82" s="350"/>
      <c r="CF82" s="350"/>
      <c r="CG82" s="350"/>
      <c r="CH82" s="350"/>
      <c r="CI82" s="350"/>
      <c r="CJ82" s="1426"/>
      <c r="CK82" s="350"/>
      <c r="CN82" s="355"/>
      <c r="CO82" s="353">
        <v>2</v>
      </c>
      <c r="CP82" s="389"/>
      <c r="CQ82" s="388">
        <f>AW82</f>
        <v>182.83742403897963</v>
      </c>
      <c r="CR82" s="389"/>
      <c r="CS82" s="388">
        <f>AY82</f>
        <v>150.05643416711567</v>
      </c>
      <c r="CT82" s="389"/>
      <c r="CU82" s="388">
        <f>BA82</f>
        <v>182.83742403897963</v>
      </c>
      <c r="CV82" s="382"/>
      <c r="CW82" s="1426"/>
      <c r="CY82" s="1426"/>
      <c r="DA82" s="1426"/>
      <c r="DC82" s="1426"/>
      <c r="DE82" s="1426"/>
      <c r="DG82" s="1426"/>
    </row>
    <row r="83" spans="4:111">
      <c r="F83" s="1494">
        <f>IF($P$4="NO",ROUNDUP(CP83-0.00499,0),LEFT(CP83,1)+(IF(CP83-LEFT(CP83,1)&lt;0.00499,0,IF(CP83-LEFT(CP83,1)-0.04499&lt;('1-Eng Inputs'!$C$39/'1-Eng Inputs'!$C$38),0.5,1))))</f>
        <v>4</v>
      </c>
      <c r="G83" s="353"/>
      <c r="H83" s="1494">
        <f>IF($P$4="NO",ROUNDUP(CR83-0.00499,0),LEFT(CR83,1)+(IF(CR83-LEFT(CR83,1)&lt;0.00499,0,IF(CR83-LEFT(CR83,1)-0.04499&lt;('1-Eng Inputs'!$C$39/'1-Eng Inputs'!$C$38),0.5,1))))</f>
        <v>5</v>
      </c>
      <c r="I83" s="353"/>
      <c r="J83" s="1494">
        <f>IF($P$4="NO",ROUNDUP(CT83-0.00499,0),LEFT(CT83,1)+(IF(CT83-LEFT(CT83,1)&lt;0.00499,0,IF(CT83-LEFT(CT83,1)-0.04499&lt;('1-Eng Inputs'!$C$39/'1-Eng Inputs'!$C$38),0.5,1))))</f>
        <v>5</v>
      </c>
      <c r="K83" s="353"/>
      <c r="L83" s="1494">
        <f>IF($P$4="NO",ROUNDUP(CV83-0.00499,0),LEFT(CV83,1)+(IF(CV83-LEFT(CV83,1)&lt;0.00499,0,IF(CV83-LEFT(CV83,1)-0.04499&lt;('1-Eng Inputs'!$C$39/'1-Eng Inputs'!$C$38),0.5,1))))</f>
        <v>4</v>
      </c>
      <c r="AA83" s="1478">
        <f>IF(LEFT(F83,3)-LEFT(F83,1)=0.5,'1-Eng Inputs'!$C$39,0)+LEFT(F83,1)*'1-Eng Inputs'!$C$38</f>
        <v>128</v>
      </c>
      <c r="AC83" s="1478">
        <f>IF(LEFT(H83,3)-LEFT(H83,1)=0.5,'1-Eng Inputs'!$C$39,0)+LEFT(H83,1)*'1-Eng Inputs'!$C$38</f>
        <v>160</v>
      </c>
      <c r="AE83" s="1478">
        <f>IF(LEFT(J83,3)-LEFT(J83,1)=0.5,'1-Eng Inputs'!$C$39,0)+LEFT(J83,1)*'1-Eng Inputs'!$C$38</f>
        <v>160</v>
      </c>
      <c r="AG83" s="1478">
        <f>IF(LEFT(L83,3)-LEFT(L83,1)=0.5,'1-Eng Inputs'!$C$39,0)+LEFT(L83,1)*'1-Eng Inputs'!$C$38</f>
        <v>128</v>
      </c>
      <c r="AV83" s="1506">
        <f>(BP83*AW82+AW85*BP84)/'1-Eng Inputs'!$C$38</f>
        <v>3.8091130008120757</v>
      </c>
      <c r="AX83" s="1506">
        <f>(AW82*BR83+AY82*BS83+AW85*BR84+AY85*BS84)/'1-Eng Inputs'!$C$38</f>
        <v>4.2491882842672197</v>
      </c>
      <c r="AZ83" s="1506">
        <f>(AY82*BU83+BA82*BV83+AY85*BU84+BA85*BV84)/'1-Eng Inputs'!$C$38</f>
        <v>4.2491882842672197</v>
      </c>
      <c r="BB83" s="1506">
        <f>(BX83*BA82+BA85*BX84)/'1-Eng Inputs'!$C$38</f>
        <v>3.8091130008120757</v>
      </c>
      <c r="BP83" s="1512">
        <v>0.33333333333333331</v>
      </c>
      <c r="BR83" s="1508">
        <v>0.16666666666666666</v>
      </c>
      <c r="BS83" s="1510">
        <v>0.25</v>
      </c>
      <c r="BU83" s="1508">
        <v>0.25</v>
      </c>
      <c r="BV83" s="1510">
        <v>0.16666666666666666</v>
      </c>
      <c r="BX83" s="1512">
        <v>0.33333333333333331</v>
      </c>
      <c r="BY83" s="1426"/>
      <c r="BZ83" s="350"/>
      <c r="CA83" s="1426"/>
      <c r="CB83" s="350"/>
      <c r="CC83" s="1426"/>
      <c r="CD83" s="350"/>
      <c r="CE83" s="1426"/>
      <c r="CF83" s="350"/>
      <c r="CG83" s="1426"/>
      <c r="CH83" s="350"/>
      <c r="CI83" s="1426"/>
      <c r="CJ83" s="350"/>
      <c r="CK83" s="350"/>
      <c r="CP83" s="1478">
        <f>AV83</f>
        <v>3.8091130008120757</v>
      </c>
      <c r="CR83" s="1478">
        <f>AX83</f>
        <v>4.2491882842672197</v>
      </c>
      <c r="CT83" s="1478">
        <f>AZ83</f>
        <v>4.2491882842672197</v>
      </c>
      <c r="CV83" s="1478">
        <f>BB83</f>
        <v>3.8091130008120757</v>
      </c>
    </row>
    <row r="84" spans="4:111" ht="12.75" hidden="1" customHeight="1">
      <c r="F84" s="1495"/>
      <c r="G84" s="353"/>
      <c r="H84" s="1495"/>
      <c r="I84" s="353"/>
      <c r="J84" s="1495"/>
      <c r="K84" s="353"/>
      <c r="L84" s="1495"/>
      <c r="AA84" s="1479"/>
      <c r="AB84" s="457"/>
      <c r="AC84" s="1479"/>
      <c r="AD84" s="457"/>
      <c r="AE84" s="1479"/>
      <c r="AF84" s="457"/>
      <c r="AG84" s="1479"/>
      <c r="AV84" s="1507"/>
      <c r="AX84" s="1507"/>
      <c r="AZ84" s="1507"/>
      <c r="BB84" s="1507"/>
      <c r="BP84" s="1513">
        <v>0.33333333333333331</v>
      </c>
      <c r="BR84" s="1509">
        <v>0.16666666666666666</v>
      </c>
      <c r="BS84" s="1511">
        <v>0.25</v>
      </c>
      <c r="BU84" s="1509">
        <v>0.25</v>
      </c>
      <c r="BV84" s="1511">
        <v>0.16666666666666666</v>
      </c>
      <c r="BX84" s="1513">
        <v>0.33333333333333331</v>
      </c>
      <c r="BY84" s="350"/>
      <c r="BZ84" s="350"/>
      <c r="CA84" s="350"/>
      <c r="CB84" s="350"/>
      <c r="CC84" s="350"/>
      <c r="CD84" s="350"/>
      <c r="CE84" s="350"/>
      <c r="CF84" s="350"/>
      <c r="CG84" s="350"/>
      <c r="CH84" s="350"/>
      <c r="CI84" s="350"/>
      <c r="CJ84" s="350"/>
      <c r="CK84" s="350"/>
      <c r="CP84" s="1479"/>
      <c r="CQ84" s="386">
        <f>AB85</f>
        <v>199.71464752297209</v>
      </c>
      <c r="CR84" s="1479"/>
      <c r="CS84" s="386">
        <f>AD85</f>
        <v>176.57070495405591</v>
      </c>
      <c r="CT84" s="1479"/>
      <c r="CU84" s="386">
        <f>AF85</f>
        <v>199.71464752297206</v>
      </c>
      <c r="CV84" s="1479"/>
    </row>
    <row r="85" spans="4:111" ht="21" customHeight="1">
      <c r="D85" s="355"/>
      <c r="E85" s="353">
        <v>3</v>
      </c>
      <c r="F85" s="389"/>
      <c r="G85" s="378" t="s">
        <v>19454</v>
      </c>
      <c r="H85" s="389"/>
      <c r="I85" s="378" t="s">
        <v>19454</v>
      </c>
      <c r="J85" s="389"/>
      <c r="K85" s="378" t="s">
        <v>19454</v>
      </c>
      <c r="L85" s="390"/>
      <c r="M85" s="1426"/>
      <c r="O85" s="1426"/>
      <c r="Q85" s="1426"/>
      <c r="S85" s="1426"/>
      <c r="U85" s="1426"/>
      <c r="W85" s="1426"/>
      <c r="Y85" s="355"/>
      <c r="AA85" s="389"/>
      <c r="AB85" s="458">
        <f>(AA83*(AW85*BP84/(AV83*'1-Eng Inputs'!$C$38))+AA86*(AW85*BP86/(AV86*'1-Eng Inputs'!$C$38))+AC83*(AW85*BR84/(AX83*'1-Eng Inputs'!$C$38))+AC86*(AW85*BR86/(AX86*'1-Eng Inputs'!$C$38)))</f>
        <v>199.71464752297209</v>
      </c>
      <c r="AC85" s="389"/>
      <c r="AD85" s="458">
        <f>(AC83*(AY85*BS84/(AX83*'1-Eng Inputs'!$C$38))+AC86*(AY85*BS86/(AX86*'1-Eng Inputs'!$C$38))+AE83*(AY85*BU84/(AZ83*'1-Eng Inputs'!$C$38))+AE86*(AY85*BU86/(AZ86*'1-Eng Inputs'!$C$38)))</f>
        <v>176.57070495405591</v>
      </c>
      <c r="AE85" s="389"/>
      <c r="AF85" s="458">
        <f>(AE83*(BA85*BV84/(AZ83*'1-Eng Inputs'!$C$38))+AE86*(BA85*BV86/(AZ86*'1-Eng Inputs'!$C$38))+AG83*(BA85*BX84/(BB83*'1-Eng Inputs'!$C$38))+AG86*(BA85*BX86/(BB86*'1-Eng Inputs'!$C$38)))</f>
        <v>199.71464752297206</v>
      </c>
      <c r="AG85" s="382"/>
      <c r="AH85" s="391"/>
      <c r="AJ85" s="391"/>
      <c r="AL85" s="391"/>
      <c r="AN85" s="391"/>
      <c r="AP85" s="391"/>
      <c r="AR85" s="1426"/>
      <c r="AT85" s="355"/>
      <c r="AU85" s="353">
        <v>3</v>
      </c>
      <c r="AW85" s="348">
        <f>AW82</f>
        <v>182.83742403897963</v>
      </c>
      <c r="AX85" s="375"/>
      <c r="AY85" s="348">
        <f>AY82</f>
        <v>150.05643416711567</v>
      </c>
      <c r="AZ85" s="375"/>
      <c r="BA85" s="348">
        <f>BA82</f>
        <v>182.83742403897963</v>
      </c>
      <c r="BB85" s="375"/>
      <c r="BC85" s="1426"/>
      <c r="BE85" s="1426"/>
      <c r="BG85" s="1426"/>
      <c r="BI85" s="1426"/>
      <c r="BK85" s="1426"/>
      <c r="BM85" s="1426"/>
      <c r="BQ85" s="381"/>
      <c r="BT85" s="381"/>
      <c r="BW85" s="381"/>
      <c r="BY85" s="350"/>
      <c r="BZ85" s="350"/>
      <c r="CA85" s="350"/>
      <c r="CB85" s="350"/>
      <c r="CC85" s="350"/>
      <c r="CD85" s="350"/>
      <c r="CE85" s="350"/>
      <c r="CF85" s="350"/>
      <c r="CG85" s="350"/>
      <c r="CH85" s="350"/>
      <c r="CI85" s="350"/>
      <c r="CJ85" s="1426"/>
      <c r="CK85" s="350"/>
      <c r="CN85" s="355"/>
      <c r="CO85" s="353">
        <v>3</v>
      </c>
      <c r="CP85" s="389"/>
      <c r="CQ85" s="388">
        <f>AW85</f>
        <v>182.83742403897963</v>
      </c>
      <c r="CR85" s="389"/>
      <c r="CS85" s="388">
        <f>AY85</f>
        <v>150.05643416711567</v>
      </c>
      <c r="CT85" s="389"/>
      <c r="CU85" s="388">
        <f>BA85</f>
        <v>182.83742403897963</v>
      </c>
      <c r="CV85" s="382"/>
      <c r="CW85" s="1426"/>
      <c r="CY85" s="1426"/>
      <c r="DA85" s="1426"/>
      <c r="DC85" s="1426"/>
      <c r="DE85" s="1426"/>
      <c r="DG85" s="1426"/>
    </row>
    <row r="86" spans="4:111">
      <c r="D86" s="355"/>
      <c r="F86" s="1494">
        <f>IF($P$4="NO",ROUNDUP(CP86-0.00499,0),LEFT(CP86,1)+(IF(CP86-LEFT(CP86,1)&lt;0.00499,0,IF(CP86-LEFT(CP86,1)-0.04499&lt;('1-Eng Inputs'!$C$39/'1-Eng Inputs'!$C$38),0.5,1))))</f>
        <v>4</v>
      </c>
      <c r="G86" s="353"/>
      <c r="H86" s="1494">
        <f>IF($P$4="NO",ROUNDUP(CR86-0.00499,0),LEFT(CR86,1)+(IF(CR86-LEFT(CR86,1)&lt;0.00499,0,IF(CR86-LEFT(CR86,1)-0.04499&lt;('1-Eng Inputs'!$C$39/'1-Eng Inputs'!$C$38),0.5,1))))</f>
        <v>5</v>
      </c>
      <c r="I86" s="353"/>
      <c r="J86" s="1494">
        <f>IF($P$4="NO",ROUNDUP(CT86-0.00499,0),LEFT(CT86,1)+(IF(CT86-LEFT(CT86,1)&lt;0.00499,0,IF(CT86-LEFT(CT86,1)-0.04499&lt;('1-Eng Inputs'!$C$39/'1-Eng Inputs'!$C$38),0.5,1))))</f>
        <v>5</v>
      </c>
      <c r="K86" s="353"/>
      <c r="L86" s="1494">
        <f>IF($P$4="NO",ROUNDUP(CV86-0.00499,0),LEFT(CV86,1)+(IF(CV86-LEFT(CV86,1)&lt;0.00499,0,IF(CV86-LEFT(CV86,1)-0.04499&lt;('1-Eng Inputs'!$C$39/'1-Eng Inputs'!$C$38),0.5,1))))</f>
        <v>4</v>
      </c>
      <c r="Y86" s="355"/>
      <c r="AA86" s="1488">
        <f>IF(LEFT(F86,3)-LEFT(F86,1)=0.5,'1-Eng Inputs'!$C$39,0)+LEFT(F86,1)*'1-Eng Inputs'!$C$38</f>
        <v>128</v>
      </c>
      <c r="AC86" s="1488">
        <f>IF(LEFT(H86,3)-LEFT(H86,1)=0.5,'1-Eng Inputs'!$C$39,0)+LEFT(H86,1)*'1-Eng Inputs'!$C$38</f>
        <v>160</v>
      </c>
      <c r="AE86" s="1488">
        <f>IF(LEFT(J86,3)-LEFT(J86,1)=0.5,'1-Eng Inputs'!$C$39,0)+LEFT(J86,1)*'1-Eng Inputs'!$C$38</f>
        <v>160</v>
      </c>
      <c r="AG86" s="1488">
        <f>IF(LEFT(L86,3)-LEFT(L86,1)=0.5,'1-Eng Inputs'!$C$39,0)+LEFT(L86,1)*'1-Eng Inputs'!$C$38</f>
        <v>128</v>
      </c>
      <c r="AT86" s="355"/>
      <c r="AV86" s="1506">
        <f>(BP86*AW85+AW88*BP87)/'1-Eng Inputs'!$C$38</f>
        <v>3.8091130008120757</v>
      </c>
      <c r="AX86" s="1506">
        <f>(AW85*BR86+AY85*BS86+AW88*BR87+AY88*BS87)/'1-Eng Inputs'!$C$38</f>
        <v>4.2491882842672197</v>
      </c>
      <c r="AZ86" s="1506">
        <f>(AY85*BU86+BA85*BV86+AY88*BU87+BA88*BV87)/'1-Eng Inputs'!$C$38</f>
        <v>4.2491882842672197</v>
      </c>
      <c r="BB86" s="1506">
        <f>(BX86*BA85+BA88*BX87)/'1-Eng Inputs'!$C$38</f>
        <v>3.8091130008120757</v>
      </c>
      <c r="BP86" s="1512">
        <v>0.33333333333333331</v>
      </c>
      <c r="BR86" s="1508">
        <v>0.16666666666666666</v>
      </c>
      <c r="BS86" s="1510">
        <v>0.25</v>
      </c>
      <c r="BU86" s="1508">
        <v>0.25</v>
      </c>
      <c r="BV86" s="1510">
        <v>0.16666666666666666</v>
      </c>
      <c r="BX86" s="1512">
        <v>0.33333333333333331</v>
      </c>
      <c r="BY86" s="1426"/>
      <c r="BZ86" s="350"/>
      <c r="CA86" s="1426"/>
      <c r="CB86" s="350"/>
      <c r="CC86" s="1426"/>
      <c r="CD86" s="350"/>
      <c r="CE86" s="1426"/>
      <c r="CF86" s="350"/>
      <c r="CG86" s="1426"/>
      <c r="CH86" s="350"/>
      <c r="CI86" s="1426"/>
      <c r="CJ86" s="350"/>
      <c r="CK86" s="350"/>
      <c r="CN86" s="355"/>
      <c r="CP86" s="1488">
        <f>AV86</f>
        <v>3.8091130008120757</v>
      </c>
      <c r="CR86" s="1488">
        <f>AX86</f>
        <v>4.2491882842672197</v>
      </c>
      <c r="CT86" s="1488">
        <f>AZ86</f>
        <v>4.2491882842672197</v>
      </c>
      <c r="CV86" s="1488">
        <f>BB86</f>
        <v>3.8091130008120757</v>
      </c>
    </row>
    <row r="87" spans="4:111" ht="12.75" hidden="1" customHeight="1">
      <c r="D87" s="355"/>
      <c r="F87" s="1495"/>
      <c r="G87" s="353"/>
      <c r="H87" s="1495"/>
      <c r="I87" s="353"/>
      <c r="J87" s="1495"/>
      <c r="K87" s="353"/>
      <c r="L87" s="1495"/>
      <c r="Y87" s="355"/>
      <c r="AA87" s="1489"/>
      <c r="AB87" s="457"/>
      <c r="AC87" s="1489"/>
      <c r="AD87" s="457"/>
      <c r="AE87" s="1489"/>
      <c r="AF87" s="457"/>
      <c r="AG87" s="1489"/>
      <c r="AT87" s="355"/>
      <c r="AV87" s="1507"/>
      <c r="AX87" s="1507"/>
      <c r="AZ87" s="1507"/>
      <c r="BB87" s="1507"/>
      <c r="BP87" s="1513">
        <v>0.33333333333333331</v>
      </c>
      <c r="BR87" s="1509">
        <v>0.16666666666666666</v>
      </c>
      <c r="BS87" s="1511">
        <v>0.25</v>
      </c>
      <c r="BU87" s="1509">
        <v>0.25</v>
      </c>
      <c r="BV87" s="1511">
        <v>0.16666666666666666</v>
      </c>
      <c r="BX87" s="1513">
        <v>0.33333333333333331</v>
      </c>
      <c r="BY87" s="350"/>
      <c r="BZ87" s="350"/>
      <c r="CA87" s="350"/>
      <c r="CB87" s="350"/>
      <c r="CC87" s="350"/>
      <c r="CD87" s="350"/>
      <c r="CE87" s="350"/>
      <c r="CF87" s="350"/>
      <c r="CG87" s="350"/>
      <c r="CH87" s="350"/>
      <c r="CI87" s="350"/>
      <c r="CJ87" s="350"/>
      <c r="CK87" s="350"/>
      <c r="CN87" s="355"/>
      <c r="CP87" s="1489"/>
      <c r="CQ87" s="386">
        <f>AB88</f>
        <v>199.71464752297209</v>
      </c>
      <c r="CR87" s="1489"/>
      <c r="CS87" s="386">
        <f>AD88</f>
        <v>176.57070495405591</v>
      </c>
      <c r="CT87" s="1489"/>
      <c r="CU87" s="386">
        <f>AF88</f>
        <v>199.71464752297206</v>
      </c>
      <c r="CV87" s="1489"/>
    </row>
    <row r="88" spans="4:111" ht="21" customHeight="1">
      <c r="D88" s="355"/>
      <c r="E88" s="353">
        <v>4</v>
      </c>
      <c r="F88" s="389"/>
      <c r="G88" s="378" t="s">
        <v>19415</v>
      </c>
      <c r="H88" s="389"/>
      <c r="I88" s="378" t="s">
        <v>19415</v>
      </c>
      <c r="J88" s="389"/>
      <c r="K88" s="378" t="s">
        <v>19415</v>
      </c>
      <c r="L88" s="390"/>
      <c r="M88" s="1426"/>
      <c r="O88" s="1426"/>
      <c r="Q88" s="1426"/>
      <c r="S88" s="1426"/>
      <c r="U88" s="1426"/>
      <c r="W88" s="1426"/>
      <c r="Y88" s="355"/>
      <c r="AA88" s="389"/>
      <c r="AB88" s="458">
        <f>(AA86*(AW88*BP87/(AV86*'1-Eng Inputs'!$C$38))+AA89*(AW88*BP89/(AV89*'1-Eng Inputs'!$C$38))+AC86*(AW88*BR87/(AX86*'1-Eng Inputs'!$C$38))+AC89*(AW88*BR89/(AX89*'1-Eng Inputs'!$C$38)))</f>
        <v>199.71464752297209</v>
      </c>
      <c r="AC88" s="389"/>
      <c r="AD88" s="458">
        <f>(AC86*(AY88*BS87/(AX86*'1-Eng Inputs'!$C$38))+AC89*(AY88*BS89/(AX89*'1-Eng Inputs'!$C$38))+AE86*(AY88*BU87/(AZ86*'1-Eng Inputs'!$C$38))+AE89*(AY88*BU89/(AZ89*'1-Eng Inputs'!$C$38)))</f>
        <v>176.57070495405591</v>
      </c>
      <c r="AE88" s="389"/>
      <c r="AF88" s="458">
        <f>(AE86*(BA88*BV87/(AZ86*'1-Eng Inputs'!$C$38))+AE89*(BA88*BV89/(AZ89*'1-Eng Inputs'!$C$38))+AG86*(BA88*BX87/(BB86*'1-Eng Inputs'!$C$38))+AG89*(BA88*BX89/(BB89*'1-Eng Inputs'!$C$38)))</f>
        <v>199.71464752297206</v>
      </c>
      <c r="AG88" s="382"/>
      <c r="AH88" s="391"/>
      <c r="AJ88" s="391"/>
      <c r="AL88" s="391"/>
      <c r="AN88" s="391"/>
      <c r="AP88" s="391"/>
      <c r="AR88" s="1426"/>
      <c r="AT88" s="355"/>
      <c r="AU88" s="353">
        <v>4</v>
      </c>
      <c r="AW88" s="348">
        <f>'Port Calcs (lift)'!J16</f>
        <v>182.83742403897963</v>
      </c>
      <c r="AX88" s="375"/>
      <c r="AY88" s="348">
        <f>'Port Calcs (lift)'!K16</f>
        <v>150.05643416711567</v>
      </c>
      <c r="AZ88" s="375"/>
      <c r="BA88" s="348">
        <f>'Port Calcs (lift)'!J16</f>
        <v>182.83742403897963</v>
      </c>
      <c r="BB88" s="375"/>
      <c r="BC88" s="1426"/>
      <c r="BE88" s="1426"/>
      <c r="BG88" s="1426"/>
      <c r="BI88" s="1426"/>
      <c r="BK88" s="1426"/>
      <c r="BM88" s="1426"/>
      <c r="BQ88" s="381"/>
      <c r="BT88" s="381"/>
      <c r="BW88" s="381"/>
      <c r="BY88" s="350"/>
      <c r="BZ88" s="350"/>
      <c r="CA88" s="350"/>
      <c r="CB88" s="350"/>
      <c r="CC88" s="350"/>
      <c r="CD88" s="350"/>
      <c r="CE88" s="350"/>
      <c r="CF88" s="350"/>
      <c r="CG88" s="350"/>
      <c r="CH88" s="350"/>
      <c r="CI88" s="350"/>
      <c r="CJ88" s="1426"/>
      <c r="CK88" s="350"/>
      <c r="CN88" s="355"/>
      <c r="CO88" s="353">
        <v>4</v>
      </c>
      <c r="CP88" s="389"/>
      <c r="CQ88" s="388">
        <f>AW88</f>
        <v>182.83742403897963</v>
      </c>
      <c r="CR88" s="389"/>
      <c r="CS88" s="388">
        <f>AY88</f>
        <v>150.05643416711567</v>
      </c>
      <c r="CT88" s="389"/>
      <c r="CU88" s="388">
        <f>BA88</f>
        <v>182.83742403897963</v>
      </c>
      <c r="CV88" s="382"/>
      <c r="CW88" s="1426"/>
      <c r="CY88" s="1426"/>
      <c r="DA88" s="1426"/>
      <c r="DC88" s="1426"/>
      <c r="DE88" s="1426"/>
      <c r="DG88" s="1426"/>
    </row>
    <row r="89" spans="4:111">
      <c r="D89" s="355"/>
      <c r="F89" s="1494">
        <f>IF($P$4="NO",ROUNDUP(CP89-0.00499,0),LEFT(CP89,1)+(IF(CP89-LEFT(CP89,1)&lt;0.00499,0,IF(CP89-LEFT(CP89,1)-0.04499&lt;('1-Eng Inputs'!$C$39/'1-Eng Inputs'!$C$38),0.5,1))))</f>
        <v>4</v>
      </c>
      <c r="G89" s="353"/>
      <c r="H89" s="1494">
        <f>IF($P$4="NO",ROUNDUP(CR89-0.00499,0),LEFT(CR89,1)+(IF(CR89-LEFT(CR89,1)&lt;0.00499,0,IF(CR89-LEFT(CR89,1)-0.04499&lt;('1-Eng Inputs'!$C$39/'1-Eng Inputs'!$C$38),0.5,1))))</f>
        <v>5</v>
      </c>
      <c r="I89" s="353"/>
      <c r="J89" s="1494">
        <f>IF($P$4="NO",ROUNDUP(CT89-0.00499,0),LEFT(CT89,1)+(IF(CT89-LEFT(CT89,1)&lt;0.00499,0,IF(CT89-LEFT(CT89,1)-0.04499&lt;('1-Eng Inputs'!$C$39/'1-Eng Inputs'!$C$38),0.5,1))))</f>
        <v>5</v>
      </c>
      <c r="K89" s="353"/>
      <c r="L89" s="1494">
        <f>IF($P$4="NO",ROUNDUP(CV89-0.00499,0),LEFT(CV89,1)+(IF(CV89-LEFT(CV89,1)&lt;0.00499,0,IF(CV89-LEFT(CV89,1)-0.04499&lt;('1-Eng Inputs'!$C$39/'1-Eng Inputs'!$C$38),0.5,1))))</f>
        <v>4</v>
      </c>
      <c r="Y89" s="355"/>
      <c r="AA89" s="1488">
        <f>IF(LEFT(F89,3)-LEFT(F89,1)=0.5,'1-Eng Inputs'!$C$39,0)+LEFT(F89,1)*'1-Eng Inputs'!$C$38</f>
        <v>128</v>
      </c>
      <c r="AC89" s="1488">
        <f>IF(LEFT(H89,3)-LEFT(H89,1)=0.5,'1-Eng Inputs'!$C$39,0)+LEFT(H89,1)*'1-Eng Inputs'!$C$38</f>
        <v>160</v>
      </c>
      <c r="AE89" s="1488">
        <f>IF(LEFT(J89,3)-LEFT(J89,1)=0.5,'1-Eng Inputs'!$C$39,0)+LEFT(J89,1)*'1-Eng Inputs'!$C$38</f>
        <v>160</v>
      </c>
      <c r="AG89" s="1488">
        <f>IF(LEFT(L89,3)-LEFT(L89,1)=0.5,'1-Eng Inputs'!$C$39,0)+LEFT(L89,1)*'1-Eng Inputs'!$C$38</f>
        <v>128</v>
      </c>
      <c r="AT89" s="355"/>
      <c r="AV89" s="1506">
        <f>(BP89*AW88+AW91*BP90)/'1-Eng Inputs'!$C$38</f>
        <v>3.8091130008120757</v>
      </c>
      <c r="AX89" s="1506">
        <f>(AW88*BR89+AY88*BS89+AW91*BR90+AY91*BS90)/'1-Eng Inputs'!$C$38</f>
        <v>4.2491882842672197</v>
      </c>
      <c r="AZ89" s="1506">
        <f>(AY88*BU89+BA88*BV89+AY91*BU90+BA91*BV90)/'1-Eng Inputs'!$C$38</f>
        <v>4.2491882842672197</v>
      </c>
      <c r="BB89" s="1506">
        <f>(BX89*BA88+BA91*BX90)/'1-Eng Inputs'!$C$38</f>
        <v>3.8091130008120757</v>
      </c>
      <c r="BP89" s="1512">
        <v>0.33333333333333331</v>
      </c>
      <c r="BR89" s="1508">
        <v>0.16666666666666666</v>
      </c>
      <c r="BS89" s="1510">
        <v>0.25</v>
      </c>
      <c r="BU89" s="1508">
        <v>0.25</v>
      </c>
      <c r="BV89" s="1510">
        <v>0.16666666666666666</v>
      </c>
      <c r="BX89" s="1512">
        <v>0.33333333333333331</v>
      </c>
      <c r="BY89" s="1426"/>
      <c r="BZ89" s="350"/>
      <c r="CA89" s="1426"/>
      <c r="CB89" s="350"/>
      <c r="CC89" s="1426"/>
      <c r="CD89" s="350"/>
      <c r="CE89" s="1426"/>
      <c r="CF89" s="350"/>
      <c r="CG89" s="1426"/>
      <c r="CH89" s="350"/>
      <c r="CI89" s="1426"/>
      <c r="CJ89" s="350"/>
      <c r="CK89" s="350"/>
      <c r="CN89" s="355"/>
      <c r="CP89" s="1488">
        <f>AV89</f>
        <v>3.8091130008120757</v>
      </c>
      <c r="CR89" s="1488">
        <f>AX89</f>
        <v>4.2491882842672197</v>
      </c>
      <c r="CT89" s="1488">
        <f>AZ89</f>
        <v>4.2491882842672197</v>
      </c>
      <c r="CV89" s="1488">
        <f>BB89</f>
        <v>3.8091130008120757</v>
      </c>
    </row>
    <row r="90" spans="4:111" ht="12.75" hidden="1" customHeight="1">
      <c r="D90" s="355"/>
      <c r="F90" s="1495"/>
      <c r="G90" s="353"/>
      <c r="H90" s="1495"/>
      <c r="I90" s="353"/>
      <c r="J90" s="1495"/>
      <c r="K90" s="353"/>
      <c r="L90" s="1495"/>
      <c r="Y90" s="355"/>
      <c r="AA90" s="1489"/>
      <c r="AB90" s="457"/>
      <c r="AC90" s="1489"/>
      <c r="AD90" s="457"/>
      <c r="AE90" s="1489"/>
      <c r="AF90" s="457"/>
      <c r="AG90" s="1489"/>
      <c r="AT90" s="355"/>
      <c r="AV90" s="1507"/>
      <c r="AX90" s="1507"/>
      <c r="AZ90" s="1507"/>
      <c r="BB90" s="1507"/>
      <c r="BP90" s="1513">
        <v>0.33333333333333331</v>
      </c>
      <c r="BR90" s="1509">
        <v>0.16666666666666666</v>
      </c>
      <c r="BS90" s="1511">
        <v>0.25</v>
      </c>
      <c r="BU90" s="1509">
        <v>0.25</v>
      </c>
      <c r="BV90" s="1511">
        <v>0.16666666666666666</v>
      </c>
      <c r="BX90" s="1513">
        <v>0.33333333333333331</v>
      </c>
      <c r="BY90" s="350"/>
      <c r="BZ90" s="350"/>
      <c r="CA90" s="350"/>
      <c r="CB90" s="350"/>
      <c r="CC90" s="350"/>
      <c r="CD90" s="350"/>
      <c r="CE90" s="350"/>
      <c r="CF90" s="350"/>
      <c r="CG90" s="350"/>
      <c r="CH90" s="350"/>
      <c r="CI90" s="350"/>
      <c r="CJ90" s="350"/>
      <c r="CK90" s="350"/>
      <c r="CN90" s="355"/>
      <c r="CP90" s="1489"/>
      <c r="CQ90" s="386">
        <f>AB91</f>
        <v>199.71464752297209</v>
      </c>
      <c r="CR90" s="1489"/>
      <c r="CS90" s="386">
        <f>AD91</f>
        <v>176.57070495405591</v>
      </c>
      <c r="CT90" s="1489"/>
      <c r="CU90" s="386">
        <f>AF91</f>
        <v>199.71464752297206</v>
      </c>
      <c r="CV90" s="1489"/>
    </row>
    <row r="91" spans="4:111" ht="21" customHeight="1">
      <c r="D91" s="355"/>
      <c r="E91" s="353">
        <v>5</v>
      </c>
      <c r="F91" s="389"/>
      <c r="G91" s="378" t="s">
        <v>19415</v>
      </c>
      <c r="H91" s="389"/>
      <c r="I91" s="378" t="s">
        <v>19415</v>
      </c>
      <c r="J91" s="389"/>
      <c r="K91" s="378" t="s">
        <v>19415</v>
      </c>
      <c r="L91" s="390"/>
      <c r="M91" s="1426"/>
      <c r="O91" s="1426"/>
      <c r="Q91" s="1426"/>
      <c r="S91" s="1426"/>
      <c r="U91" s="1426"/>
      <c r="W91" s="1426"/>
      <c r="Y91" s="355"/>
      <c r="AA91" s="389"/>
      <c r="AB91" s="458">
        <f>(AA89*(AW91*BP90/(AV89*'1-Eng Inputs'!$C$38))+AA92*(AW91*BP92/(AV92*'1-Eng Inputs'!$C$38))+AC89*(AW91*BR90/(AX89*'1-Eng Inputs'!$C$38))+AC92*(AW91*BR92/(AX92*'1-Eng Inputs'!$C$38)))</f>
        <v>199.71464752297209</v>
      </c>
      <c r="AC91" s="389"/>
      <c r="AD91" s="458">
        <f>(AC89*(AY91*BS90/(AX89*'1-Eng Inputs'!$C$38))+AC92*(AY91*BS92/(AX92*'1-Eng Inputs'!$C$38))+AE89*(AY91*BU90/(AZ89*'1-Eng Inputs'!$C$38))+AE92*(AY91*BU92/(AZ92*'1-Eng Inputs'!$C$38)))</f>
        <v>176.57070495405591</v>
      </c>
      <c r="AE91" s="389"/>
      <c r="AF91" s="458">
        <f>(AE89*(BA91*BV90/(AZ89*'1-Eng Inputs'!$C$38))+AE92*(BA91*BV92/(AZ92*'1-Eng Inputs'!$C$38))+AG89*(BA91*BX90/(BB89*'1-Eng Inputs'!$C$38))+AG92*(BA91*BX92/(BB92*'1-Eng Inputs'!$C$38)))</f>
        <v>199.71464752297206</v>
      </c>
      <c r="AG91" s="382"/>
      <c r="AH91" s="391"/>
      <c r="AJ91" s="391"/>
      <c r="AL91" s="391"/>
      <c r="AN91" s="391"/>
      <c r="AP91" s="391"/>
      <c r="AR91" s="1426"/>
      <c r="AT91" s="355"/>
      <c r="AU91" s="353">
        <v>5</v>
      </c>
      <c r="AW91" s="348">
        <f>AW88</f>
        <v>182.83742403897963</v>
      </c>
      <c r="AX91" s="375"/>
      <c r="AY91" s="348">
        <f>AY88</f>
        <v>150.05643416711567</v>
      </c>
      <c r="AZ91" s="375"/>
      <c r="BA91" s="348">
        <f>BA88</f>
        <v>182.83742403897963</v>
      </c>
      <c r="BB91" s="375"/>
      <c r="BC91" s="1426"/>
      <c r="BE91" s="1426"/>
      <c r="BG91" s="1426"/>
      <c r="BI91" s="1426"/>
      <c r="BK91" s="1426"/>
      <c r="BM91" s="1426"/>
      <c r="BQ91" s="381"/>
      <c r="BT91" s="381"/>
      <c r="BW91" s="381"/>
      <c r="BY91" s="350"/>
      <c r="BZ91" s="350"/>
      <c r="CA91" s="350"/>
      <c r="CB91" s="350"/>
      <c r="CC91" s="350"/>
      <c r="CD91" s="350"/>
      <c r="CE91" s="350"/>
      <c r="CF91" s="350"/>
      <c r="CG91" s="350"/>
      <c r="CH91" s="350"/>
      <c r="CI91" s="350"/>
      <c r="CJ91" s="1426"/>
      <c r="CK91" s="350"/>
      <c r="CN91" s="355"/>
      <c r="CO91" s="353">
        <v>5</v>
      </c>
      <c r="CP91" s="389"/>
      <c r="CQ91" s="388">
        <f>AW91</f>
        <v>182.83742403897963</v>
      </c>
      <c r="CR91" s="389"/>
      <c r="CS91" s="388">
        <f>AY91</f>
        <v>150.05643416711567</v>
      </c>
      <c r="CT91" s="389"/>
      <c r="CU91" s="388">
        <f>BA91</f>
        <v>182.83742403897963</v>
      </c>
      <c r="CV91" s="382"/>
      <c r="CW91" s="1426"/>
      <c r="CY91" s="1426"/>
      <c r="DA91" s="1426"/>
      <c r="DC91" s="1426"/>
      <c r="DE91" s="1426"/>
      <c r="DG91" s="1426"/>
    </row>
    <row r="92" spans="4:111">
      <c r="D92" s="355"/>
      <c r="F92" s="1494">
        <f>IF($P$4="NO",ROUNDUP(CP92-0.00499,0),LEFT(CP92,1)+(IF(CP92-LEFT(CP92,1)&lt;0.00499,0,IF(CP92-LEFT(CP92,1)-0.04499&lt;('1-Eng Inputs'!$C$39/'1-Eng Inputs'!$C$38),0.5,1))))</f>
        <v>4</v>
      </c>
      <c r="G92" s="353"/>
      <c r="H92" s="1494">
        <f>IF($P$4="NO",ROUNDUP(CR92-0.00499,0),LEFT(CR92,1)+(IF(CR92-LEFT(CR92,1)&lt;0.00499,0,IF(CR92-LEFT(CR92,1)-0.04499&lt;('1-Eng Inputs'!$C$39/'1-Eng Inputs'!$C$38),0.5,1))))</f>
        <v>5</v>
      </c>
      <c r="I92" s="353"/>
      <c r="J92" s="1494">
        <f>IF($P$4="NO",ROUNDUP(CT92-0.00499,0),LEFT(CT92,1)+(IF(CT92-LEFT(CT92,1)&lt;0.00499,0,IF(CT92-LEFT(CT92,1)-0.04499&lt;('1-Eng Inputs'!$C$39/'1-Eng Inputs'!$C$38),0.5,1))))</f>
        <v>5</v>
      </c>
      <c r="K92" s="353"/>
      <c r="L92" s="1494">
        <f>IF($P$4="NO",ROUNDUP(CV92-0.00499,0),LEFT(CV92,1)+(IF(CV92-LEFT(CV92,1)&lt;0.00499,0,IF(CV92-LEFT(CV92,1)-0.04499&lt;('1-Eng Inputs'!$C$39/'1-Eng Inputs'!$C$38),0.5,1))))</f>
        <v>4</v>
      </c>
      <c r="Y92" s="355"/>
      <c r="AA92" s="1488">
        <f>IF(LEFT(F92,3)-LEFT(F92,1)=0.5,'1-Eng Inputs'!$C$39,0)+LEFT(F92,1)*'1-Eng Inputs'!$C$38</f>
        <v>128</v>
      </c>
      <c r="AC92" s="1488">
        <f>IF(LEFT(H92,3)-LEFT(H92,1)=0.5,'1-Eng Inputs'!$C$39,0)+LEFT(H92,1)*'1-Eng Inputs'!$C$38</f>
        <v>160</v>
      </c>
      <c r="AE92" s="1488">
        <f>IF(LEFT(J92,3)-LEFT(J92,1)=0.5,'1-Eng Inputs'!$C$39,0)+LEFT(J92,1)*'1-Eng Inputs'!$C$38</f>
        <v>160</v>
      </c>
      <c r="AG92" s="1488">
        <f>IF(LEFT(L92,3)-LEFT(L92,1)=0.5,'1-Eng Inputs'!$C$39,0)+LEFT(L92,1)*'1-Eng Inputs'!$C$38</f>
        <v>128</v>
      </c>
      <c r="AT92" s="355"/>
      <c r="AV92" s="1506">
        <f>(BP92*AW91+AW94*BP93)/'1-Eng Inputs'!$C$38</f>
        <v>3.8091130008120757</v>
      </c>
      <c r="AX92" s="1506">
        <f>(AW91*BR92+AY91*BS92+AW94*BR93+AY94*BS93)/'1-Eng Inputs'!$C$38</f>
        <v>4.2491882842672197</v>
      </c>
      <c r="AZ92" s="1506">
        <f>(AY91*BU92+BA91*BV92+AY94*BU93+BA94*BV93)/'1-Eng Inputs'!$C$38</f>
        <v>4.2491882842672197</v>
      </c>
      <c r="BB92" s="1506">
        <f>(BX92*BA91+BA94*BX93)/'1-Eng Inputs'!$C$38</f>
        <v>3.8091130008120757</v>
      </c>
      <c r="BP92" s="1512">
        <v>0.33333333333333331</v>
      </c>
      <c r="BR92" s="1508">
        <v>0.16666666666666666</v>
      </c>
      <c r="BS92" s="1510">
        <v>0.25</v>
      </c>
      <c r="BU92" s="1508">
        <v>0.25</v>
      </c>
      <c r="BV92" s="1510">
        <v>0.16666666666666666</v>
      </c>
      <c r="BX92" s="1512">
        <v>0.33333333333333331</v>
      </c>
      <c r="BY92" s="1426"/>
      <c r="BZ92" s="350"/>
      <c r="CA92" s="1426"/>
      <c r="CB92" s="350"/>
      <c r="CC92" s="1426"/>
      <c r="CD92" s="350"/>
      <c r="CE92" s="1426"/>
      <c r="CF92" s="350"/>
      <c r="CG92" s="1426"/>
      <c r="CH92" s="350"/>
      <c r="CI92" s="1426"/>
      <c r="CJ92" s="350"/>
      <c r="CK92" s="350"/>
      <c r="CN92" s="355"/>
      <c r="CP92" s="1488">
        <f>AV92</f>
        <v>3.8091130008120757</v>
      </c>
      <c r="CR92" s="1488">
        <f>AX92</f>
        <v>4.2491882842672197</v>
      </c>
      <c r="CT92" s="1488">
        <f>AZ92</f>
        <v>4.2491882842672197</v>
      </c>
      <c r="CV92" s="1488">
        <f>BB92</f>
        <v>3.8091130008120757</v>
      </c>
    </row>
    <row r="93" spans="4:111" ht="12.75" hidden="1" customHeight="1">
      <c r="D93" s="355"/>
      <c r="F93" s="1495"/>
      <c r="G93" s="353"/>
      <c r="H93" s="1495"/>
      <c r="I93" s="353"/>
      <c r="J93" s="1495"/>
      <c r="K93" s="353"/>
      <c r="L93" s="1495"/>
      <c r="Y93" s="355"/>
      <c r="AA93" s="1489"/>
      <c r="AB93" s="457"/>
      <c r="AC93" s="1489"/>
      <c r="AD93" s="457"/>
      <c r="AE93" s="1489"/>
      <c r="AF93" s="457"/>
      <c r="AG93" s="1489"/>
      <c r="AT93" s="355"/>
      <c r="AV93" s="1507"/>
      <c r="AX93" s="1507"/>
      <c r="AZ93" s="1507"/>
      <c r="BB93" s="1507"/>
      <c r="BP93" s="1513">
        <v>0.33333333333333331</v>
      </c>
      <c r="BR93" s="1509">
        <v>0.16666666666666666</v>
      </c>
      <c r="BS93" s="1511">
        <v>0.25</v>
      </c>
      <c r="BU93" s="1509">
        <v>0.25</v>
      </c>
      <c r="BV93" s="1511">
        <v>0.16666666666666666</v>
      </c>
      <c r="BX93" s="1513">
        <v>0.33333333333333331</v>
      </c>
      <c r="BY93" s="350"/>
      <c r="BZ93" s="350"/>
      <c r="CA93" s="350"/>
      <c r="CB93" s="350"/>
      <c r="CC93" s="350"/>
      <c r="CD93" s="350"/>
      <c r="CE93" s="350"/>
      <c r="CF93" s="350"/>
      <c r="CG93" s="350"/>
      <c r="CH93" s="350"/>
      <c r="CI93" s="350"/>
      <c r="CJ93" s="350"/>
      <c r="CK93" s="350"/>
      <c r="CN93" s="355"/>
      <c r="CP93" s="1489"/>
      <c r="CQ93" s="386">
        <f>AB94</f>
        <v>199.71464752297209</v>
      </c>
      <c r="CR93" s="1489"/>
      <c r="CS93" s="386">
        <f>AD94</f>
        <v>176.57070495405591</v>
      </c>
      <c r="CT93" s="1489"/>
      <c r="CU93" s="386">
        <f>AF94</f>
        <v>199.71464752297206</v>
      </c>
      <c r="CV93" s="1489"/>
    </row>
    <row r="94" spans="4:111" ht="21" customHeight="1">
      <c r="D94" s="355"/>
      <c r="E94" s="353">
        <v>6</v>
      </c>
      <c r="F94" s="389"/>
      <c r="G94" s="378" t="s">
        <v>19456</v>
      </c>
      <c r="H94" s="389"/>
      <c r="I94" s="378" t="s">
        <v>19456</v>
      </c>
      <c r="J94" s="389"/>
      <c r="K94" s="378" t="s">
        <v>19456</v>
      </c>
      <c r="L94" s="390"/>
      <c r="M94" s="1426"/>
      <c r="O94" s="1426"/>
      <c r="Q94" s="1426"/>
      <c r="S94" s="1426"/>
      <c r="U94" s="1426"/>
      <c r="W94" s="1426"/>
      <c r="Y94" s="355"/>
      <c r="AA94" s="389"/>
      <c r="AB94" s="458">
        <f>(AA92*(AW94*BP93/(AV92*'1-Eng Inputs'!$C$38))+AA95*(AW94*BP95/(AV95*'1-Eng Inputs'!$C$38))+AC92*(AW94*BR93/(AX92*'1-Eng Inputs'!$C$38))+AC95*(AW94*BR95/(AX95*'1-Eng Inputs'!$C$38)))</f>
        <v>199.71464752297209</v>
      </c>
      <c r="AC94" s="389"/>
      <c r="AD94" s="458">
        <f>(AC92*(AY94*BS93/(AX92*'1-Eng Inputs'!$C$38))+AC95*(AY94*BS95/(AX95*'1-Eng Inputs'!$C$38))+AE92*(AY94*BU93/(AZ92*'1-Eng Inputs'!$C$38))+AE95*(AY94*BU95/(AZ95*'1-Eng Inputs'!$C$38)))</f>
        <v>176.57070495405591</v>
      </c>
      <c r="AE94" s="389"/>
      <c r="AF94" s="458">
        <f>(AE92*(BA94*BV93/(AZ92*'1-Eng Inputs'!$C$38))+AE95*(BA94*BV95/(AZ95*'1-Eng Inputs'!$C$38))+AG92*(BA94*BX93/(BB92*'1-Eng Inputs'!$C$38))+AG95*(BA94*BX95/(BB95*'1-Eng Inputs'!$C$38)))</f>
        <v>199.71464752297206</v>
      </c>
      <c r="AG94" s="382"/>
      <c r="AH94" s="391"/>
      <c r="AJ94" s="391"/>
      <c r="AL94" s="391"/>
      <c r="AN94" s="391"/>
      <c r="AP94" s="391"/>
      <c r="AR94" s="1426"/>
      <c r="AT94" s="355"/>
      <c r="AU94" s="353">
        <v>6</v>
      </c>
      <c r="AW94" s="348">
        <f>'Port Calcs (lift)'!J26</f>
        <v>182.83742403897963</v>
      </c>
      <c r="AX94" s="375"/>
      <c r="AY94" s="348">
        <f>'Port Calcs (lift)'!K26</f>
        <v>150.05643416711567</v>
      </c>
      <c r="AZ94" s="375"/>
      <c r="BA94" s="348">
        <f>'Port Calcs (lift)'!J26</f>
        <v>182.83742403897963</v>
      </c>
      <c r="BB94" s="375"/>
      <c r="BC94" s="1426"/>
      <c r="BE94" s="1426"/>
      <c r="BG94" s="1426"/>
      <c r="BI94" s="1426"/>
      <c r="BK94" s="1426"/>
      <c r="BM94" s="1426"/>
      <c r="BQ94" s="381"/>
      <c r="BT94" s="381"/>
      <c r="BW94" s="381"/>
      <c r="BY94" s="350"/>
      <c r="BZ94" s="350"/>
      <c r="CA94" s="350"/>
      <c r="CB94" s="350"/>
      <c r="CC94" s="350"/>
      <c r="CD94" s="350"/>
      <c r="CE94" s="350"/>
      <c r="CF94" s="350"/>
      <c r="CG94" s="350"/>
      <c r="CH94" s="350"/>
      <c r="CI94" s="350"/>
      <c r="CJ94" s="1426"/>
      <c r="CK94" s="350"/>
      <c r="CN94" s="355"/>
      <c r="CO94" s="353">
        <v>6</v>
      </c>
      <c r="CP94" s="389"/>
      <c r="CQ94" s="388">
        <f>AW94</f>
        <v>182.83742403897963</v>
      </c>
      <c r="CR94" s="389"/>
      <c r="CS94" s="388">
        <f>AY94</f>
        <v>150.05643416711567</v>
      </c>
      <c r="CT94" s="389"/>
      <c r="CU94" s="388">
        <f>BA94</f>
        <v>182.83742403897963</v>
      </c>
      <c r="CV94" s="382"/>
      <c r="CW94" s="1426"/>
      <c r="CY94" s="1426"/>
      <c r="DA94" s="1426"/>
      <c r="DC94" s="1426"/>
      <c r="DE94" s="1426"/>
      <c r="DG94" s="1426"/>
    </row>
    <row r="95" spans="4:111">
      <c r="D95" s="355"/>
      <c r="F95" s="1494">
        <f>IF($P$4="NO",ROUNDUP(CP95-0.00499,0),LEFT(CP95,1)+(IF(CP95-LEFT(CP95,1)&lt;0.00499,0,IF(CP95-LEFT(CP95,1)-0.04499&lt;('1-Eng Inputs'!$C$39/'1-Eng Inputs'!$C$38),0.5,1))))</f>
        <v>4</v>
      </c>
      <c r="G95" s="353"/>
      <c r="H95" s="1494">
        <f>IF($P$4="NO",ROUNDUP(CR95-0.00499,0),LEFT(CR95,1)+(IF(CR95-LEFT(CR95,1)&lt;0.00499,0,IF(CR95-LEFT(CR95,1)-0.04499&lt;('1-Eng Inputs'!$C$39/'1-Eng Inputs'!$C$38),0.5,1))))</f>
        <v>5</v>
      </c>
      <c r="I95" s="353"/>
      <c r="J95" s="1494">
        <f>IF($P$4="NO",ROUNDUP(CT95-0.00499,0),LEFT(CT95,1)+(IF(CT95-LEFT(CT95,1)&lt;0.00499,0,IF(CT95-LEFT(CT95,1)-0.04499&lt;('1-Eng Inputs'!$C$39/'1-Eng Inputs'!$C$38),0.5,1))))</f>
        <v>5</v>
      </c>
      <c r="K95" s="353"/>
      <c r="L95" s="1494">
        <f>IF($P$4="NO",ROUNDUP(CV95-0.00499,0),LEFT(CV95,1)+(IF(CV95-LEFT(CV95,1)&lt;0.00499,0,IF(CV95-LEFT(CV95,1)-0.04499&lt;('1-Eng Inputs'!$C$39/'1-Eng Inputs'!$C$38),0.5,1))))</f>
        <v>4</v>
      </c>
      <c r="Y95" s="355"/>
      <c r="AA95" s="1486">
        <f>IF(LEFT(F95,3)-LEFT(F95,1)=0.5,'1-Eng Inputs'!$C$39,0)+LEFT(F95,1)*'1-Eng Inputs'!$C$38</f>
        <v>128</v>
      </c>
      <c r="AC95" s="1486">
        <f>IF(LEFT(H95,3)-LEFT(H95,1)=0.5,'1-Eng Inputs'!$C$39,0)+LEFT(H95,1)*'1-Eng Inputs'!$C$38</f>
        <v>160</v>
      </c>
      <c r="AE95" s="1486">
        <f>IF(LEFT(J95,3)-LEFT(J95,1)=0.5,'1-Eng Inputs'!$C$39,0)+LEFT(J95,1)*'1-Eng Inputs'!$C$38</f>
        <v>160</v>
      </c>
      <c r="AG95" s="1486">
        <f>IF(LEFT(L95,3)-LEFT(L95,1)=0.5,'1-Eng Inputs'!$C$39,0)+LEFT(L95,1)*'1-Eng Inputs'!$C$38</f>
        <v>128</v>
      </c>
      <c r="AT95" s="355"/>
      <c r="AV95" s="1506">
        <f>(BP95*AW94+AW97*BP96)/'1-Eng Inputs'!$C$38</f>
        <v>3.8091130008120757</v>
      </c>
      <c r="AX95" s="1506">
        <f>(AW94*BR95+AY94*BS95+AW97*BR96+AY97*BS96)/'1-Eng Inputs'!$C$38</f>
        <v>4.2491882842672197</v>
      </c>
      <c r="AZ95" s="1506">
        <f>(AY94*BU95+BA94*BV95+AY97*BU96+BA97*BV96)/'1-Eng Inputs'!$C$38</f>
        <v>4.2491882842672197</v>
      </c>
      <c r="BB95" s="1506">
        <f>(BX95*BA94+BA97*BX96)/'1-Eng Inputs'!$C$38</f>
        <v>3.8091130008120757</v>
      </c>
      <c r="BP95" s="1512">
        <v>0.33333333333333331</v>
      </c>
      <c r="BR95" s="1508">
        <v>0.16666666666666666</v>
      </c>
      <c r="BS95" s="1510">
        <v>0.25</v>
      </c>
      <c r="BU95" s="1508">
        <v>0.25</v>
      </c>
      <c r="BV95" s="1510">
        <v>0.16666666666666666</v>
      </c>
      <c r="BX95" s="1512">
        <v>0.33333333333333331</v>
      </c>
      <c r="BY95" s="1426"/>
      <c r="BZ95" s="350"/>
      <c r="CA95" s="1426"/>
      <c r="CB95" s="350"/>
      <c r="CC95" s="1426"/>
      <c r="CD95" s="350"/>
      <c r="CE95" s="1426"/>
      <c r="CF95" s="350"/>
      <c r="CG95" s="1426"/>
      <c r="CH95" s="350"/>
      <c r="CI95" s="1426"/>
      <c r="CJ95" s="350"/>
      <c r="CK95" s="350"/>
      <c r="CN95" s="355"/>
      <c r="CP95" s="1486">
        <f>AV95</f>
        <v>3.8091130008120757</v>
      </c>
      <c r="CR95" s="1486">
        <f>AX95</f>
        <v>4.2491882842672197</v>
      </c>
      <c r="CT95" s="1486">
        <f>AZ95</f>
        <v>4.2491882842672197</v>
      </c>
      <c r="CV95" s="1486">
        <f>BB95</f>
        <v>3.8091130008120757</v>
      </c>
    </row>
    <row r="96" spans="4:111" ht="12.75" hidden="1" customHeight="1">
      <c r="D96" s="355"/>
      <c r="F96" s="1495"/>
      <c r="G96" s="353"/>
      <c r="H96" s="1495"/>
      <c r="I96" s="353"/>
      <c r="J96" s="1495"/>
      <c r="K96" s="353"/>
      <c r="L96" s="1495"/>
      <c r="Y96" s="355"/>
      <c r="AA96" s="1487"/>
      <c r="AB96" s="457"/>
      <c r="AC96" s="1487"/>
      <c r="AD96" s="457"/>
      <c r="AE96" s="1487"/>
      <c r="AF96" s="457"/>
      <c r="AG96" s="1487"/>
      <c r="AT96" s="355"/>
      <c r="AV96" s="1507"/>
      <c r="AX96" s="1507"/>
      <c r="AZ96" s="1507"/>
      <c r="BB96" s="1507"/>
      <c r="BP96" s="1513">
        <v>0.33333333333333331</v>
      </c>
      <c r="BR96" s="1509">
        <v>0.16666666666666666</v>
      </c>
      <c r="BS96" s="1511">
        <v>0.25</v>
      </c>
      <c r="BU96" s="1509">
        <v>0.25</v>
      </c>
      <c r="BV96" s="1511">
        <v>0.16666666666666666</v>
      </c>
      <c r="BX96" s="1513">
        <v>0.33333333333333331</v>
      </c>
      <c r="BY96" s="350"/>
      <c r="BZ96" s="350"/>
      <c r="CA96" s="350"/>
      <c r="CB96" s="350"/>
      <c r="CC96" s="350"/>
      <c r="CD96" s="350"/>
      <c r="CE96" s="350"/>
      <c r="CF96" s="350"/>
      <c r="CG96" s="350"/>
      <c r="CH96" s="350"/>
      <c r="CI96" s="350"/>
      <c r="CJ96" s="350"/>
      <c r="CK96" s="350"/>
      <c r="CN96" s="355"/>
      <c r="CP96" s="1487"/>
      <c r="CQ96" s="386">
        <f>AB97</f>
        <v>205.41979621638808</v>
      </c>
      <c r="CR96" s="1487"/>
      <c r="CS96" s="386">
        <f>AD97</f>
        <v>167.42821554742801</v>
      </c>
      <c r="CT96" s="1487"/>
      <c r="CU96" s="386">
        <f>AF97</f>
        <v>205.41979621638808</v>
      </c>
      <c r="CV96" s="1487"/>
    </row>
    <row r="97" spans="1:111" ht="21" customHeight="1">
      <c r="D97" s="355"/>
      <c r="E97" s="353">
        <v>7</v>
      </c>
      <c r="F97" s="389"/>
      <c r="G97" s="378" t="s">
        <v>19456</v>
      </c>
      <c r="H97" s="389"/>
      <c r="I97" s="378" t="s">
        <v>19456</v>
      </c>
      <c r="J97" s="389"/>
      <c r="K97" s="378" t="s">
        <v>19456</v>
      </c>
      <c r="L97" s="390"/>
      <c r="M97" s="1426"/>
      <c r="O97" s="1426"/>
      <c r="Q97" s="1426"/>
      <c r="S97" s="1426"/>
      <c r="U97" s="1426"/>
      <c r="W97" s="1426"/>
      <c r="Y97" s="355"/>
      <c r="AA97" s="389"/>
      <c r="AB97" s="458">
        <f>(AA95*(AW97*BP96/(AV95*'1-Eng Inputs'!$C$38))+AA98*(AW97*BP98/(AV98*'1-Eng Inputs'!$C$38))+AC95*(AW97*BR96/(AX95*'1-Eng Inputs'!$C$38))+AC98*(AW97*BR98/(AX98*'1-Eng Inputs'!$C$38)))</f>
        <v>205.41979621638808</v>
      </c>
      <c r="AC97" s="389"/>
      <c r="AD97" s="458">
        <f>(AC95*(AY97*BS96/(AX95*'1-Eng Inputs'!$C$38))+AC98*(AY97*BS98/(AX98*'1-Eng Inputs'!$C$38))+AE95*(AY97*BU96/(AZ95*'1-Eng Inputs'!$C$38))+AE98*(AY97*BU98/(AZ98*'1-Eng Inputs'!$C$38)))</f>
        <v>167.42821554742801</v>
      </c>
      <c r="AE97" s="389"/>
      <c r="AF97" s="458">
        <f>(AE95*(BA97*BV96/(AZ95*'1-Eng Inputs'!$C$38))+AE98*(BA97*BV98/(AZ98*'1-Eng Inputs'!$C$38))+AG95*(BA97*BX96/(BB95*'1-Eng Inputs'!$C$38))+AG98*(BA97*BX98/(BB98*'1-Eng Inputs'!$C$38)))</f>
        <v>205.41979621638808</v>
      </c>
      <c r="AG97" s="382"/>
      <c r="AH97" s="391"/>
      <c r="AJ97" s="391"/>
      <c r="AL97" s="391"/>
      <c r="AN97" s="391"/>
      <c r="AP97" s="391"/>
      <c r="AR97" s="1426"/>
      <c r="AT97" s="355"/>
      <c r="AU97" s="353">
        <v>7</v>
      </c>
      <c r="AW97" s="348">
        <f>AW94</f>
        <v>182.83742403897963</v>
      </c>
      <c r="AX97" s="375"/>
      <c r="AY97" s="348">
        <f>AY94</f>
        <v>150.05643416711567</v>
      </c>
      <c r="AZ97" s="375"/>
      <c r="BA97" s="348">
        <f>BA94</f>
        <v>182.83742403897963</v>
      </c>
      <c r="BB97" s="375"/>
      <c r="BC97" s="1426"/>
      <c r="BE97" s="1426"/>
      <c r="BG97" s="1426"/>
      <c r="BI97" s="1426"/>
      <c r="BK97" s="1426"/>
      <c r="BM97" s="1426"/>
      <c r="BQ97" s="381"/>
      <c r="BT97" s="381"/>
      <c r="BW97" s="381"/>
      <c r="BY97" s="350"/>
      <c r="BZ97" s="350"/>
      <c r="CA97" s="350"/>
      <c r="CB97" s="350"/>
      <c r="CC97" s="350"/>
      <c r="CD97" s="350"/>
      <c r="CE97" s="350"/>
      <c r="CF97" s="350"/>
      <c r="CG97" s="350"/>
      <c r="CH97" s="350"/>
      <c r="CI97" s="350"/>
      <c r="CJ97" s="1426"/>
      <c r="CK97" s="350"/>
      <c r="CN97" s="355"/>
      <c r="CO97" s="353">
        <v>7</v>
      </c>
      <c r="CP97" s="389"/>
      <c r="CQ97" s="388">
        <f>AW97</f>
        <v>182.83742403897963</v>
      </c>
      <c r="CR97" s="389"/>
      <c r="CS97" s="388">
        <f>AY97</f>
        <v>150.05643416711567</v>
      </c>
      <c r="CT97" s="389"/>
      <c r="CU97" s="388">
        <f>BA97</f>
        <v>182.83742403897963</v>
      </c>
      <c r="CV97" s="382"/>
      <c r="CW97" s="1426"/>
      <c r="CY97" s="1426"/>
      <c r="DA97" s="1426"/>
      <c r="DC97" s="1426"/>
      <c r="DE97" s="1426"/>
      <c r="DG97" s="1426"/>
    </row>
    <row r="98" spans="1:111">
      <c r="D98" s="355"/>
      <c r="F98" s="1494">
        <f>IF($P$4="NO",ROUNDUP(CP98-0.00499,0),LEFT(CP98,1)+(IF(CP98-LEFT(CP98,1)&lt;0.00499,0,IF(CP98-LEFT(CP98,1)-0.04499&lt;('1-Eng Inputs'!$C$39/'1-Eng Inputs'!$C$38),0.5,1))))</f>
        <v>5</v>
      </c>
      <c r="G98" s="353"/>
      <c r="H98" s="1494">
        <f>IF($P$4="NO",ROUNDUP(CR98-0.00499,0),LEFT(CR98,1)+(IF(CR98-LEFT(CR98,1)&lt;0.00499,0,IF(CR98-LEFT(CR98,1)-0.04499&lt;('1-Eng Inputs'!$C$39/'1-Eng Inputs'!$C$38),0.5,1))))</f>
        <v>5</v>
      </c>
      <c r="I98" s="353"/>
      <c r="J98" s="1494">
        <f>IF($P$4="NO",ROUNDUP(CT98-0.00499,0),LEFT(CT98,1)+(IF(CT98-LEFT(CT98,1)&lt;0.00499,0,IF(CT98-LEFT(CT98,1)-0.04499&lt;('1-Eng Inputs'!$C$39/'1-Eng Inputs'!$C$38),0.5,1))))</f>
        <v>5</v>
      </c>
      <c r="K98" s="353"/>
      <c r="L98" s="1494">
        <f>IF($P$4="NO",ROUNDUP(CV98-0.00499,0),LEFT(CV98,1)+(IF(CV98-LEFT(CV98,1)&lt;0.00499,0,IF(CV98-LEFT(CV98,1)-0.04499&lt;('1-Eng Inputs'!$C$39/'1-Eng Inputs'!$C$38),0.5,1))))</f>
        <v>5</v>
      </c>
      <c r="Y98" s="355"/>
      <c r="AA98" s="1486">
        <f>IF(LEFT(F98,3)-LEFT(F98,1)=0.5,'1-Eng Inputs'!$C$39,0)+LEFT(F98,1)*'1-Eng Inputs'!$C$38</f>
        <v>160</v>
      </c>
      <c r="AC98" s="1486">
        <f>IF(LEFT(H98,3)-LEFT(H98,1)=0.5,'1-Eng Inputs'!$C$39,0)+LEFT(H98,1)*'1-Eng Inputs'!$C$38</f>
        <v>160</v>
      </c>
      <c r="AE98" s="1486">
        <f>IF(LEFT(J98,3)-LEFT(J98,1)=0.5,'1-Eng Inputs'!$C$39,0)+LEFT(J98,1)*'1-Eng Inputs'!$C$38</f>
        <v>160</v>
      </c>
      <c r="AG98" s="1486">
        <f>IF(LEFT(L98,3)-LEFT(L98,1)=0.5,'1-Eng Inputs'!$C$39,0)+LEFT(L98,1)*'1-Eng Inputs'!$C$38</f>
        <v>160</v>
      </c>
      <c r="AT98" s="355"/>
      <c r="AV98" s="1506">
        <f>(BP98*AW97+AW100*BP99)/'1-Eng Inputs'!$C$38</f>
        <v>4.1505816453106581</v>
      </c>
      <c r="AX98" s="1506">
        <f>(AW97*BR98+AY97*BS98+AW100*BR99+AY100*BS99)/'1-Eng Inputs'!$C$38</f>
        <v>4.7400494607339319</v>
      </c>
      <c r="AZ98" s="1506">
        <f>(AY97*BU98+BA97*BV98+AY100*BU99+BA100*BV99)/'1-Eng Inputs'!$C$38</f>
        <v>4.7400494607339319</v>
      </c>
      <c r="BB98" s="1506">
        <f>(BX98*BA97+BA100*BX99)/'1-Eng Inputs'!$C$38</f>
        <v>4.1505816453106581</v>
      </c>
      <c r="BP98" s="1512">
        <v>0.33333333333333331</v>
      </c>
      <c r="BR98" s="1508">
        <v>0.16666666666666666</v>
      </c>
      <c r="BS98" s="1510">
        <v>0.25</v>
      </c>
      <c r="BU98" s="1508">
        <v>0.25</v>
      </c>
      <c r="BV98" s="1510">
        <v>0.16666666666666666</v>
      </c>
      <c r="BX98" s="1512">
        <v>0.33333333333333331</v>
      </c>
      <c r="BY98" s="1426"/>
      <c r="BZ98" s="350"/>
      <c r="CA98" s="1426"/>
      <c r="CB98" s="350"/>
      <c r="CC98" s="1426"/>
      <c r="CD98" s="350"/>
      <c r="CE98" s="1426"/>
      <c r="CF98" s="350"/>
      <c r="CG98" s="1426"/>
      <c r="CH98" s="350"/>
      <c r="CI98" s="1426"/>
      <c r="CJ98" s="350"/>
      <c r="CK98" s="350"/>
      <c r="CN98" s="355"/>
      <c r="CP98" s="1486">
        <f>AV98</f>
        <v>4.1505816453106581</v>
      </c>
      <c r="CR98" s="1486">
        <f>AX98</f>
        <v>4.7400494607339319</v>
      </c>
      <c r="CT98" s="1486">
        <f>AZ98</f>
        <v>4.7400494607339319</v>
      </c>
      <c r="CV98" s="1486">
        <f>BB98</f>
        <v>4.1505816453106581</v>
      </c>
    </row>
    <row r="99" spans="1:111" ht="12.75" hidden="1" customHeight="1">
      <c r="D99" s="355"/>
      <c r="F99" s="1495"/>
      <c r="G99" s="353"/>
      <c r="H99" s="1495"/>
      <c r="I99" s="353"/>
      <c r="J99" s="1495"/>
      <c r="K99" s="353"/>
      <c r="L99" s="1495"/>
      <c r="Y99" s="355"/>
      <c r="AA99" s="1487"/>
      <c r="AB99" s="457"/>
      <c r="AC99" s="1487"/>
      <c r="AD99" s="457"/>
      <c r="AE99" s="1487"/>
      <c r="AF99" s="457"/>
      <c r="AG99" s="1487"/>
      <c r="AT99" s="355"/>
      <c r="AV99" s="1507"/>
      <c r="AX99" s="1507"/>
      <c r="AZ99" s="1507"/>
      <c r="BB99" s="1507"/>
      <c r="BP99" s="1513">
        <v>0.33333333333333331</v>
      </c>
      <c r="BR99" s="1509">
        <v>0.16666666666666666</v>
      </c>
      <c r="BS99" s="1511">
        <v>0.25</v>
      </c>
      <c r="BU99" s="1509">
        <v>0.25</v>
      </c>
      <c r="BV99" s="1511">
        <v>0.16666666666666666</v>
      </c>
      <c r="BX99" s="1513">
        <v>0.33333333333333331</v>
      </c>
      <c r="BY99" s="350"/>
      <c r="BZ99" s="350"/>
      <c r="CA99" s="350"/>
      <c r="CB99" s="350"/>
      <c r="CC99" s="350"/>
      <c r="CD99" s="350"/>
      <c r="CE99" s="350"/>
      <c r="CF99" s="350"/>
      <c r="CG99" s="350"/>
      <c r="CH99" s="350"/>
      <c r="CI99" s="350"/>
      <c r="CJ99" s="350"/>
      <c r="CK99" s="350"/>
      <c r="CN99" s="355"/>
      <c r="CP99" s="1487"/>
      <c r="CQ99" s="386">
        <f>AB100</f>
        <v>247.42636271813245</v>
      </c>
      <c r="CR99" s="1487"/>
      <c r="CS99" s="386">
        <f>AD100</f>
        <v>214.87946658353104</v>
      </c>
      <c r="CT99" s="1487"/>
      <c r="CU99" s="386">
        <f>AF100</f>
        <v>247.42636271813242</v>
      </c>
      <c r="CV99" s="1487"/>
    </row>
    <row r="100" spans="1:111" ht="21" customHeight="1">
      <c r="D100" s="355"/>
      <c r="E100" s="353">
        <v>8</v>
      </c>
      <c r="F100" s="389"/>
      <c r="G100" s="378" t="s">
        <v>19456</v>
      </c>
      <c r="H100" s="389"/>
      <c r="I100" s="378" t="s">
        <v>19456</v>
      </c>
      <c r="J100" s="389"/>
      <c r="K100" s="378" t="s">
        <v>19456</v>
      </c>
      <c r="L100" s="390"/>
      <c r="M100" s="1426"/>
      <c r="O100" s="1426"/>
      <c r="Q100" s="1426"/>
      <c r="S100" s="1426"/>
      <c r="U100" s="1426"/>
      <c r="W100" s="1426"/>
      <c r="Y100" s="355"/>
      <c r="AA100" s="389"/>
      <c r="AB100" s="458">
        <f>(AA98*(AW100*BP99/(AV98*'1-Eng Inputs'!$C$38))+AA101*(AW100*BP101/(AV101*'1-Eng Inputs'!$C$38))/factors!$B$4+AC98*(AW100*BR99/(AX98*'1-Eng Inputs'!$C$38))+AC101*(AW100*BR101/(AX101*'1-Eng Inputs'!$C$38))/factors!$B$4)</f>
        <v>247.42636271813245</v>
      </c>
      <c r="AC100" s="389"/>
      <c r="AD100" s="458">
        <f>(AC98*(AY100*BS99/(AX98*'1-Eng Inputs'!$C$38))+AC101*(AY100*BS101/(AX101*'1-Eng Inputs'!$C$38))/factors!$B$4+AE98*(AY100*BU99/(AZ98*'1-Eng Inputs'!$C$38))+AE101*(AY100*BU101/(AZ101*'1-Eng Inputs'!$C$38))/factors!$B$4)</f>
        <v>214.87946658353104</v>
      </c>
      <c r="AE100" s="389"/>
      <c r="AF100" s="458">
        <f>(AE98*(BA100*BV99/(AZ98*'1-Eng Inputs'!$C$38))+AE101*(BA100*BV101/(AZ101*'1-Eng Inputs'!$C$38))/factors!$B$4+AG98*(BA100*BX99/(BB98*'1-Eng Inputs'!$C$38))+AG101*(BA100*BX101/(BB101*'1-Eng Inputs'!$C$38))/factors!$B$4)</f>
        <v>247.42636271813242</v>
      </c>
      <c r="AG100" s="382"/>
      <c r="AH100" s="391"/>
      <c r="AJ100" s="391"/>
      <c r="AL100" s="391"/>
      <c r="AN100" s="391"/>
      <c r="AP100" s="391"/>
      <c r="AR100" s="1426"/>
      <c r="AT100" s="355"/>
      <c r="AU100" s="353">
        <v>8</v>
      </c>
      <c r="AV100" s="375"/>
      <c r="AW100" s="348">
        <f>'Port Calcs (lift)'!H26</f>
        <v>215.61841391084357</v>
      </c>
      <c r="AX100" s="375"/>
      <c r="AY100" s="348">
        <f>'Port Calcs (lift)'!I26</f>
        <v>191.03267150694558</v>
      </c>
      <c r="AZ100" s="375"/>
      <c r="BA100" s="348">
        <f>'Port Calcs (lift)'!H26</f>
        <v>215.61841391084357</v>
      </c>
      <c r="BB100" s="375"/>
      <c r="BC100" s="1426"/>
      <c r="BE100" s="1426"/>
      <c r="BG100" s="1426"/>
      <c r="BI100" s="1426"/>
      <c r="BK100" s="1426"/>
      <c r="BM100" s="1426"/>
      <c r="BQ100" s="381"/>
      <c r="BT100" s="381"/>
      <c r="BW100" s="381"/>
      <c r="BY100" s="350"/>
      <c r="BZ100" s="350"/>
      <c r="CA100" s="350"/>
      <c r="CB100" s="350"/>
      <c r="CC100" s="350"/>
      <c r="CD100" s="350"/>
      <c r="CE100" s="350"/>
      <c r="CF100" s="350"/>
      <c r="CG100" s="350"/>
      <c r="CH100" s="350"/>
      <c r="CI100" s="350"/>
      <c r="CJ100" s="1426"/>
      <c r="CK100" s="350"/>
      <c r="CN100" s="355"/>
      <c r="CO100" s="353">
        <v>8</v>
      </c>
      <c r="CP100" s="389"/>
      <c r="CQ100" s="388">
        <f>AW100</f>
        <v>215.61841391084357</v>
      </c>
      <c r="CR100" s="389"/>
      <c r="CS100" s="388">
        <f>AY100</f>
        <v>191.03267150694558</v>
      </c>
      <c r="CT100" s="389"/>
      <c r="CU100" s="388">
        <f>BA100</f>
        <v>215.61841391084357</v>
      </c>
      <c r="CV100" s="382"/>
      <c r="CW100" s="1426"/>
      <c r="CY100" s="1426"/>
      <c r="DA100" s="1426"/>
      <c r="DC100" s="1426"/>
      <c r="DE100" s="1426"/>
      <c r="DG100" s="1426"/>
    </row>
    <row r="101" spans="1:111" ht="12.75" hidden="1" customHeight="1">
      <c r="F101" s="1516"/>
      <c r="H101" s="1516"/>
      <c r="J101" s="1516"/>
      <c r="L101" s="1516"/>
      <c r="AA101" s="1486">
        <f>IF(LEFT(F102,3)-LEFT(F102,1)=0.5,'1-Eng Inputs'!$C$39,0)+LEFT(F102,1)*'1-Eng Inputs'!$C$38</f>
        <v>128</v>
      </c>
      <c r="AC101" s="1486">
        <f>IF(LEFT(H102,3)-LEFT(H102,1)=0.5,'1-Eng Inputs'!$C$39,0)+LEFT(H102,1)*'1-Eng Inputs'!$C$38</f>
        <v>160</v>
      </c>
      <c r="AE101" s="1486">
        <f>IF(LEFT(J102,3)-LEFT(J102,1)=0.5,'1-Eng Inputs'!$C$39,0)+LEFT(J102,1)*'1-Eng Inputs'!$C$38</f>
        <v>160</v>
      </c>
      <c r="AG101" s="1486">
        <f>IF(LEFT(L102,3)-LEFT(L102,1)=0.5,'1-Eng Inputs'!$C$39,0)+LEFT(L102,1)*'1-Eng Inputs'!$C$38</f>
        <v>128</v>
      </c>
      <c r="AV101" s="1506">
        <f>(BP101*AW100)/'1-Eng Inputs'!$C$38</f>
        <v>2.2460251449046202</v>
      </c>
      <c r="AX101" s="1506">
        <f>(AW100*BR101+AY100*BS101)/'1-Eng Inputs'!$C$38</f>
        <v>2.6154553186003224</v>
      </c>
      <c r="AZ101" s="1506">
        <f>(AY100*BU101+BA100*BV101)/'1-Eng Inputs'!$C$38</f>
        <v>2.6154553186003224</v>
      </c>
      <c r="BB101" s="1506">
        <f>(BX101*BA100)/'1-Eng Inputs'!$C$38</f>
        <v>2.2460251449046202</v>
      </c>
      <c r="BP101" s="1512">
        <v>0.33333333333333331</v>
      </c>
      <c r="BR101" s="1508">
        <v>0.16666666666666666</v>
      </c>
      <c r="BS101" s="1510">
        <v>0.25</v>
      </c>
      <c r="BU101" s="1508">
        <v>0.25</v>
      </c>
      <c r="BV101" s="1510">
        <v>0.16666666666666666</v>
      </c>
      <c r="BX101" s="1512">
        <v>0.33333333333333331</v>
      </c>
      <c r="BY101" s="1426"/>
      <c r="BZ101" s="350"/>
      <c r="CA101" s="1426"/>
      <c r="CB101" s="350"/>
      <c r="CC101" s="1426"/>
      <c r="CD101" s="350"/>
      <c r="CE101" s="1426"/>
      <c r="CF101" s="350"/>
      <c r="CG101" s="1426"/>
      <c r="CH101" s="350"/>
      <c r="CI101" s="1426"/>
      <c r="CJ101" s="350"/>
      <c r="CK101" s="350"/>
      <c r="CP101" s="1486">
        <f>AV101</f>
        <v>2.2460251449046202</v>
      </c>
      <c r="CR101" s="1486">
        <f>AX101</f>
        <v>2.6154553186003224</v>
      </c>
      <c r="CT101" s="1486">
        <f>AZ101</f>
        <v>2.6154553186003224</v>
      </c>
      <c r="CV101" s="1486">
        <f>BB101</f>
        <v>2.2460251449046202</v>
      </c>
    </row>
    <row r="102" spans="1:111">
      <c r="F102" s="1495">
        <f>IF($P$4="NO",ROUNDUP(CP102,0),LEFT(CP102,1)+(IF(CP102-LEFT(CP102,1)&lt;0.01,0,IF(CP102-LEFT(CP102,1)&lt;('1-Eng Inputs'!$C$39/'1-Eng Inputs'!$C$38),0.5,1))))</f>
        <v>4</v>
      </c>
      <c r="G102" s="353"/>
      <c r="H102" s="1495">
        <f>IF($P$4="NO",ROUNDUP(CR102,0),LEFT(CR102,1)+(IF(CR102-LEFT(CR102,1)&lt;0.01,0,IF(CR102-LEFT(CR102,1)&lt;('1-Eng Inputs'!$C$39/'1-Eng Inputs'!$C$38),0.5,1))))</f>
        <v>5</v>
      </c>
      <c r="I102" s="353"/>
      <c r="J102" s="1495">
        <f>IF($P$4="NO",ROUNDUP(CT102,0),LEFT(CT102,1)+(IF(CT102-LEFT(CT102,1)&lt;0.01,0,IF(CT102-LEFT(CT102,1)&lt;('1-Eng Inputs'!$C$39/'1-Eng Inputs'!$C$38),0.5,1))))</f>
        <v>5</v>
      </c>
      <c r="K102" s="353"/>
      <c r="L102" s="1495">
        <f>IF($P$4="NO",ROUNDUP(CV102,0),LEFT(CV102,1)+(IF(CV102-LEFT(CV102,1)&lt;0.01,0,IF(CV102-LEFT(CV102,1)&lt;('1-Eng Inputs'!$C$39/'1-Eng Inputs'!$C$38),0.5,1))))</f>
        <v>4</v>
      </c>
      <c r="AA102" s="1487"/>
      <c r="AC102" s="1487"/>
      <c r="AE102" s="1487"/>
      <c r="AG102" s="1487"/>
      <c r="AV102" s="1507">
        <f>AV101*factors!$B$4</f>
        <v>3.5936402318473926</v>
      </c>
      <c r="AX102" s="1507">
        <f>AX101*factors!$B$4</f>
        <v>4.1847285097605162</v>
      </c>
      <c r="AZ102" s="1507">
        <f>AZ101*factors!$B$4</f>
        <v>4.1847285097605162</v>
      </c>
      <c r="BB102" s="1507">
        <f>BB101*factors!$B$4</f>
        <v>3.5936402318473926</v>
      </c>
      <c r="BP102" s="1513"/>
      <c r="BR102" s="1509"/>
      <c r="BS102" s="1511"/>
      <c r="BU102" s="1509"/>
      <c r="BV102" s="1511"/>
      <c r="BX102" s="1513"/>
      <c r="BY102" s="350"/>
      <c r="BZ102" s="350"/>
      <c r="CA102" s="350"/>
      <c r="CB102" s="350"/>
      <c r="CC102" s="350"/>
      <c r="CD102" s="350"/>
      <c r="CE102" s="350"/>
      <c r="CF102" s="350"/>
      <c r="CG102" s="350"/>
      <c r="CH102" s="350"/>
      <c r="CI102" s="350"/>
      <c r="CJ102" s="350"/>
      <c r="CK102" s="350"/>
      <c r="CP102" s="1487">
        <f>AV102</f>
        <v>3.5936402318473926</v>
      </c>
      <c r="CQ102" s="386"/>
      <c r="CR102" s="1487">
        <f>AX102</f>
        <v>4.1847285097605162</v>
      </c>
      <c r="CT102" s="1487">
        <f>AZ102</f>
        <v>4.1847285097605162</v>
      </c>
      <c r="CV102" s="1487">
        <f>BB102</f>
        <v>3.5936402318473926</v>
      </c>
    </row>
    <row r="103" spans="1:111">
      <c r="C103" s="349"/>
    </row>
    <row r="104" spans="1:111">
      <c r="A104" s="349" t="s">
        <v>19436</v>
      </c>
      <c r="C104" s="1426"/>
      <c r="D104" s="356"/>
      <c r="Y104" s="356"/>
      <c r="AT104" s="349" t="s">
        <v>19451</v>
      </c>
      <c r="CN104" s="356"/>
    </row>
    <row r="105" spans="1:111">
      <c r="C105" s="1426"/>
      <c r="D105" s="356"/>
      <c r="G105" s="357" t="s">
        <v>233</v>
      </c>
      <c r="W105" s="354"/>
      <c r="Y105" s="356"/>
      <c r="AB105" s="456"/>
      <c r="AR105" s="354"/>
      <c r="AT105" s="356"/>
      <c r="AW105" s="350" t="s">
        <v>233</v>
      </c>
      <c r="BM105" s="354"/>
      <c r="BP105" s="370" t="s">
        <v>19376</v>
      </c>
      <c r="CN105" s="356"/>
      <c r="CQ105" s="357" t="s">
        <v>233</v>
      </c>
      <c r="DG105" s="354"/>
    </row>
    <row r="106" spans="1:111" s="352" customFormat="1">
      <c r="C106" s="1426"/>
      <c r="D106" s="356"/>
      <c r="G106" s="352">
        <v>1</v>
      </c>
      <c r="I106" s="352">
        <v>2</v>
      </c>
      <c r="X106" s="387"/>
      <c r="Y106" s="356"/>
      <c r="AB106" s="456"/>
      <c r="AD106" s="456"/>
      <c r="AF106" s="456"/>
      <c r="AH106" s="456"/>
      <c r="AJ106" s="456"/>
      <c r="AL106" s="456"/>
      <c r="AN106" s="456"/>
      <c r="AP106" s="456"/>
      <c r="AS106" s="387"/>
      <c r="AT106" s="356"/>
      <c r="AW106" s="352">
        <v>1</v>
      </c>
      <c r="AY106" s="352">
        <v>2</v>
      </c>
      <c r="BN106" s="387"/>
      <c r="BP106" s="371"/>
      <c r="BQ106" s="371"/>
      <c r="BR106" s="371"/>
      <c r="BS106" s="371"/>
      <c r="BT106" s="371"/>
      <c r="BU106" s="371"/>
      <c r="BV106" s="371"/>
      <c r="BW106" s="371"/>
      <c r="BX106" s="371"/>
      <c r="BY106" s="371"/>
      <c r="BZ106" s="371"/>
      <c r="CA106" s="371"/>
      <c r="CB106" s="371"/>
      <c r="CC106" s="371"/>
      <c r="CD106" s="371"/>
      <c r="CE106" s="371"/>
      <c r="CF106" s="371"/>
      <c r="CG106" s="371"/>
      <c r="CH106" s="371"/>
      <c r="CI106" s="371"/>
      <c r="CJ106" s="371"/>
      <c r="CK106" s="371"/>
      <c r="CM106" s="387"/>
      <c r="CN106" s="356"/>
      <c r="CQ106" s="352">
        <v>1</v>
      </c>
      <c r="CS106" s="352">
        <v>2</v>
      </c>
    </row>
    <row r="107" spans="1:111">
      <c r="F107" s="1494">
        <f>IF($P$4="NO",ROUNDUP(CP107-0.00499,0),LEFT(CP107,1)+(IF(CP107-LEFT(CP107,1)&lt;0.00499,0,IF(CP107-LEFT(CP107,1)-0.04499&lt;('1-Eng Inputs'!$C$39/'1-Eng Inputs'!$C$38),0.5,1))))</f>
        <v>3</v>
      </c>
      <c r="G107" s="353"/>
      <c r="H107" s="1494">
        <f>IF($P$4="NO",ROUNDUP(CR107-0.00499,0),LEFT(CR107,1)+(IF(CR107-LEFT(CR107,1)&lt;0.00499,0,IF(CR107-LEFT(CR107,1)-0.04499&lt;('1-Eng Inputs'!$C$39/'1-Eng Inputs'!$C$38),0.5,1))))</f>
        <v>6</v>
      </c>
      <c r="I107" s="353"/>
      <c r="J107" s="1494">
        <f>IF($P$4="NO",ROUNDUP(CT107-0.00499,0),LEFT(CT107,1)+(IF(CT107-LEFT(CT107,1)&lt;0.00499,0,IF(CT107-LEFT(CT107,1)-0.04499&lt;('1-Eng Inputs'!$C$39/'1-Eng Inputs'!$C$38),0.5,1))))</f>
        <v>3</v>
      </c>
      <c r="AA107" s="1478">
        <f>IF(LEFT(F107,3)-LEFT(F107,1)=0.5,'1-Eng Inputs'!$C$39,0)+LEFT(F107,1)*'1-Eng Inputs'!$C$38</f>
        <v>96</v>
      </c>
      <c r="AC107" s="1478">
        <f>IF(LEFT(H107,3)-LEFT(H107,1)=0.5,'1-Eng Inputs'!$C$39,0)+LEFT(H107,1)*'1-Eng Inputs'!$C$38</f>
        <v>192</v>
      </c>
      <c r="AE107" s="1478">
        <f>IF(LEFT(J107,3)-LEFT(J107,1)=0.5,'1-Eng Inputs'!$C$39,0)+LEFT(J107,1)*'1-Eng Inputs'!$C$38</f>
        <v>96</v>
      </c>
      <c r="AV107" s="1506">
        <f>AV108*factors!$B$3</f>
        <v>2.6952301738855442</v>
      </c>
      <c r="AX107" s="1506">
        <f>AX108*factors!$B$3</f>
        <v>5.3904603477710884</v>
      </c>
      <c r="AZ107" s="1506">
        <f>AZ108*factors!$B$3</f>
        <v>2.6952301738855442</v>
      </c>
      <c r="BP107" s="1512">
        <v>0.2857142857142857</v>
      </c>
      <c r="BR107" s="1508">
        <v>0.2857142857142857</v>
      </c>
      <c r="BS107" s="1510">
        <v>0.2857142857142857</v>
      </c>
      <c r="BU107" s="1512">
        <v>0.2857142857142857</v>
      </c>
      <c r="CJ107" s="350"/>
      <c r="CK107" s="350"/>
      <c r="CP107" s="1478">
        <f>AV107</f>
        <v>2.6952301738855442</v>
      </c>
      <c r="CR107" s="1478">
        <f>AX107</f>
        <v>5.3904603477710884</v>
      </c>
      <c r="CT107" s="1478">
        <f>AZ107</f>
        <v>2.6952301738855442</v>
      </c>
    </row>
    <row r="108" spans="1:111" ht="12.75" hidden="1" customHeight="1">
      <c r="F108" s="1495"/>
      <c r="G108" s="353"/>
      <c r="H108" s="1495"/>
      <c r="I108" s="353"/>
      <c r="J108" s="1495"/>
      <c r="AA108" s="1479"/>
      <c r="AB108" s="457"/>
      <c r="AC108" s="1479"/>
      <c r="AD108" s="457"/>
      <c r="AE108" s="1479"/>
      <c r="AV108" s="1507">
        <f>(BP107*AW109)/'1-Eng Inputs'!$C$38</f>
        <v>1.9251644099182461</v>
      </c>
      <c r="AX108" s="1507">
        <f>(BR107*AW109+AY109*BS107)/'1-Eng Inputs'!$C$38</f>
        <v>3.8503288198364922</v>
      </c>
      <c r="AZ108" s="1507">
        <f>(BU107*AY109)/'1-Eng Inputs'!$C$38</f>
        <v>1.9251644099182461</v>
      </c>
      <c r="BP108" s="1513"/>
      <c r="BR108" s="1509"/>
      <c r="BS108" s="1511"/>
      <c r="BU108" s="1513"/>
      <c r="BV108" s="350"/>
      <c r="BW108" s="350"/>
      <c r="BX108" s="350"/>
      <c r="BY108" s="350"/>
      <c r="BZ108" s="350"/>
      <c r="CA108" s="350"/>
      <c r="CB108" s="350"/>
      <c r="CC108" s="350"/>
      <c r="CD108" s="350"/>
      <c r="CE108" s="350"/>
      <c r="CF108" s="350"/>
      <c r="CG108" s="350"/>
      <c r="CH108" s="350"/>
      <c r="CI108" s="350"/>
      <c r="CJ108" s="350"/>
      <c r="CK108" s="350"/>
      <c r="CP108" s="1479">
        <f>AV108</f>
        <v>1.9251644099182461</v>
      </c>
      <c r="CQ108" s="386">
        <f>AB109</f>
        <v>233.65943768736591</v>
      </c>
      <c r="CR108" s="1479">
        <f>AX108</f>
        <v>3.8503288198364922</v>
      </c>
      <c r="CS108" s="386">
        <f>AD109</f>
        <v>233.65943768736594</v>
      </c>
      <c r="CT108" s="1479">
        <f>AZ108</f>
        <v>1.9251644099182461</v>
      </c>
    </row>
    <row r="109" spans="1:111" ht="21" customHeight="1">
      <c r="D109" s="354" t="s">
        <v>234</v>
      </c>
      <c r="E109" s="353">
        <v>1</v>
      </c>
      <c r="F109" s="389"/>
      <c r="G109" s="378" t="s">
        <v>19454</v>
      </c>
      <c r="H109" s="389"/>
      <c r="I109" s="378" t="s">
        <v>19454</v>
      </c>
      <c r="J109" s="390"/>
      <c r="M109" s="1426"/>
      <c r="O109" s="1426"/>
      <c r="Q109" s="1426"/>
      <c r="S109" s="1426"/>
      <c r="U109" s="1426"/>
      <c r="W109" s="1426"/>
      <c r="Y109" s="354"/>
      <c r="AA109" s="389"/>
      <c r="AB109" s="458">
        <f>(AA107*(AW109*BP107/(AV108*'1-Eng Inputs'!$C$38))/factors!$B$3+AA110*(AW109*BP110/(AV110*'1-Eng Inputs'!$C$38))+AC107*(AW109*BR107/(AX108*'1-Eng Inputs'!$C$38))/factors!$B$3+AC110*(AW109*BR110/(AX110*'1-Eng Inputs'!$C$38)))</f>
        <v>233.65943768736591</v>
      </c>
      <c r="AC109" s="389"/>
      <c r="AD109" s="458">
        <f>(AC107*(AY109*BS107/(AX108*'1-Eng Inputs'!$C$38))/factors!$B$3+AC110*(AY109*BS110/(AX110*'1-Eng Inputs'!$C$38))+AE107*(AY109*BU107/(AZ108*'1-Eng Inputs'!$C$38))/factors!$B$3+AE110*(AY109*BU110/(AZ110*'1-Eng Inputs'!$C$38)))</f>
        <v>233.65943768736594</v>
      </c>
      <c r="AE109" s="390"/>
      <c r="AH109" s="391"/>
      <c r="AJ109" s="391"/>
      <c r="AL109" s="391"/>
      <c r="AN109" s="391"/>
      <c r="AP109" s="391"/>
      <c r="AR109" s="1426"/>
      <c r="AT109" s="354" t="s">
        <v>234</v>
      </c>
      <c r="AU109" s="353">
        <v>1</v>
      </c>
      <c r="AW109" s="348">
        <f>'Port Calcs (lift)'!H6</f>
        <v>215.61841391084357</v>
      </c>
      <c r="AX109" s="375"/>
      <c r="AY109" s="348">
        <f>'Port Calcs (lift)'!H6</f>
        <v>215.61841391084357</v>
      </c>
      <c r="AZ109" s="375"/>
      <c r="BC109" s="1426"/>
      <c r="BE109" s="1426"/>
      <c r="BG109" s="1426"/>
      <c r="BI109" s="1426"/>
      <c r="BK109" s="1426"/>
      <c r="BM109" s="1426"/>
      <c r="BQ109" s="381"/>
      <c r="BT109" s="381"/>
      <c r="BV109" s="350"/>
      <c r="BW109" s="350"/>
      <c r="BX109" s="350"/>
      <c r="BY109" s="350"/>
      <c r="BZ109" s="350"/>
      <c r="CA109" s="350"/>
      <c r="CB109" s="350"/>
      <c r="CC109" s="350"/>
      <c r="CD109" s="350"/>
      <c r="CE109" s="350"/>
      <c r="CF109" s="350"/>
      <c r="CG109" s="350"/>
      <c r="CH109" s="350"/>
      <c r="CI109" s="350"/>
      <c r="CJ109" s="1426"/>
      <c r="CK109" s="350"/>
      <c r="CN109" s="354" t="s">
        <v>234</v>
      </c>
      <c r="CO109" s="353">
        <v>1</v>
      </c>
      <c r="CP109" s="389"/>
      <c r="CQ109" s="388">
        <f>AW109</f>
        <v>215.61841391084357</v>
      </c>
      <c r="CR109" s="389"/>
      <c r="CS109" s="388">
        <f>AY109</f>
        <v>215.61841391084357</v>
      </c>
      <c r="CT109" s="382"/>
      <c r="CW109" s="1426"/>
      <c r="CY109" s="1426"/>
      <c r="DA109" s="1426"/>
      <c r="DC109" s="1426"/>
      <c r="DE109" s="1426"/>
      <c r="DG109" s="1426"/>
    </row>
    <row r="110" spans="1:111">
      <c r="F110" s="1494">
        <f>IF($P$4="NO",ROUNDUP(CP110-0.00499,0),LEFT(CP110,1)+(IF(CP110-LEFT(CP110,1)&lt;0.00499,0,IF(CP110-LEFT(CP110,1)-0.04499&lt;('1-Eng Inputs'!$C$39/'1-Eng Inputs'!$C$38),0.5,1))))</f>
        <v>4</v>
      </c>
      <c r="G110" s="353"/>
      <c r="H110" s="1494">
        <f>IF($P$4="NO",ROUNDUP(CR110-0.00499,0),LEFT(CR110,1)+(IF(CR110-LEFT(CR110,1)&lt;0.00499,0,IF(CR110-LEFT(CR110,1)-0.04499&lt;('1-Eng Inputs'!$C$39/'1-Eng Inputs'!$C$38),0.5,1))))</f>
        <v>4</v>
      </c>
      <c r="I110" s="353"/>
      <c r="J110" s="1494">
        <f>IF($P$4="NO",ROUNDUP(CT110-0.00499,0),LEFT(CT110,1)+(IF(CT110-LEFT(CT110,1)&lt;0.00499,0,IF(CT110-LEFT(CT110,1)-0.04499&lt;('1-Eng Inputs'!$C$39/'1-Eng Inputs'!$C$38),0.5,1))))</f>
        <v>4</v>
      </c>
      <c r="AA110" s="1478">
        <f>IF(LEFT(F110,3)-LEFT(F110,1)=0.5,'1-Eng Inputs'!$C$39,0)+LEFT(F110,1)*'1-Eng Inputs'!$C$38</f>
        <v>128</v>
      </c>
      <c r="AC110" s="1478">
        <f>IF(LEFT(H110,3)-LEFT(H110,1)=0.5,'1-Eng Inputs'!$C$39,0)+LEFT(H110,1)*'1-Eng Inputs'!$C$38</f>
        <v>128</v>
      </c>
      <c r="AE110" s="1478">
        <f>IF(LEFT(J110,3)-LEFT(J110,1)=0.5,'1-Eng Inputs'!$C$39,0)+LEFT(J110,1)*'1-Eng Inputs'!$C$38</f>
        <v>128</v>
      </c>
      <c r="AV110" s="1506">
        <f>(BP110*AW109+AW112*BP111)/'1-Eng Inputs'!$C$38</f>
        <v>3.829720910324284</v>
      </c>
      <c r="AX110" s="1506">
        <f>(AW109*BR110+AY109*BS110+AW112*BR111+AY112*BS111)/'1-Eng Inputs'!$C$38</f>
        <v>3.829720910324284</v>
      </c>
      <c r="AZ110" s="1506">
        <f>(BU110*AY109+AY112*BU111)/'1-Eng Inputs'!$C$38</f>
        <v>3.829720910324284</v>
      </c>
      <c r="BP110" s="1512">
        <v>0.2857142857142857</v>
      </c>
      <c r="BR110" s="1508">
        <v>0.14285714285714285</v>
      </c>
      <c r="BS110" s="1510">
        <v>0.14285714285714285</v>
      </c>
      <c r="BU110" s="1512">
        <v>0.2857142857142857</v>
      </c>
      <c r="BV110" s="350"/>
      <c r="BW110" s="350"/>
      <c r="BX110" s="350"/>
      <c r="BY110" s="1426"/>
      <c r="BZ110" s="350"/>
      <c r="CA110" s="1426"/>
      <c r="CB110" s="350"/>
      <c r="CC110" s="1426"/>
      <c r="CD110" s="350"/>
      <c r="CE110" s="1426"/>
      <c r="CF110" s="350"/>
      <c r="CG110" s="1426"/>
      <c r="CH110" s="350"/>
      <c r="CI110" s="1426"/>
      <c r="CJ110" s="350"/>
      <c r="CK110" s="350"/>
      <c r="CP110" s="1478">
        <f>AV110</f>
        <v>3.829720910324284</v>
      </c>
      <c r="CR110" s="1478">
        <f>AX110</f>
        <v>3.829720910324284</v>
      </c>
      <c r="CT110" s="1478">
        <f>AZ110</f>
        <v>3.829720910324284</v>
      </c>
    </row>
    <row r="111" spans="1:111" ht="12.75" hidden="1" customHeight="1">
      <c r="F111" s="1495"/>
      <c r="G111" s="353"/>
      <c r="H111" s="1495"/>
      <c r="I111" s="353"/>
      <c r="J111" s="1495"/>
      <c r="AA111" s="1479"/>
      <c r="AB111" s="457"/>
      <c r="AC111" s="1479"/>
      <c r="AD111" s="457"/>
      <c r="AE111" s="1479"/>
      <c r="AV111" s="1507"/>
      <c r="AX111" s="1507"/>
      <c r="AZ111" s="1507"/>
      <c r="BP111" s="1513">
        <v>0.33333333333333331</v>
      </c>
      <c r="BR111" s="1509">
        <v>0.16666666666666666</v>
      </c>
      <c r="BS111" s="1511">
        <v>0.16666666666666666</v>
      </c>
      <c r="BU111" s="1513">
        <v>0.33333333333333331</v>
      </c>
      <c r="BV111" s="350"/>
      <c r="BW111" s="350"/>
      <c r="BX111" s="350"/>
      <c r="BY111" s="350"/>
      <c r="BZ111" s="350"/>
      <c r="CA111" s="350"/>
      <c r="CB111" s="350"/>
      <c r="CC111" s="350"/>
      <c r="CD111" s="350"/>
      <c r="CE111" s="350"/>
      <c r="CF111" s="350"/>
      <c r="CG111" s="350"/>
      <c r="CH111" s="350"/>
      <c r="CI111" s="350"/>
      <c r="CJ111" s="350"/>
      <c r="CK111" s="350"/>
      <c r="CP111" s="1479"/>
      <c r="CQ111" s="386">
        <f>AB112</f>
        <v>191.4834194554912</v>
      </c>
      <c r="CR111" s="1479"/>
      <c r="CS111" s="386">
        <f>AD112</f>
        <v>191.4834194554912</v>
      </c>
      <c r="CT111" s="1479"/>
    </row>
    <row r="112" spans="1:111" ht="21" customHeight="1">
      <c r="D112" s="355"/>
      <c r="E112" s="353">
        <v>2</v>
      </c>
      <c r="F112" s="389"/>
      <c r="G112" s="378" t="s">
        <v>19454</v>
      </c>
      <c r="H112" s="389"/>
      <c r="I112" s="378" t="s">
        <v>19454</v>
      </c>
      <c r="J112" s="390"/>
      <c r="M112" s="1426"/>
      <c r="O112" s="1426"/>
      <c r="Q112" s="1426"/>
      <c r="S112" s="1426"/>
      <c r="U112" s="1426"/>
      <c r="W112" s="1426"/>
      <c r="Y112" s="355"/>
      <c r="AA112" s="389"/>
      <c r="AB112" s="458">
        <f>(AA110*(AW112*BP111/(AV110*'1-Eng Inputs'!$C$38))+AA113*(AW112*BP113/(AV113*'1-Eng Inputs'!$C$38))+AC110*(AW112*BR111/(AX110*'1-Eng Inputs'!$C$38))+AC113*(AW112*BR113/(AX113*'1-Eng Inputs'!$C$38)))</f>
        <v>191.4834194554912</v>
      </c>
      <c r="AC112" s="389"/>
      <c r="AD112" s="458">
        <f>(AC110*(AY112*BS111/(AX110*'1-Eng Inputs'!$C$38))+AC113*(AY112*BS113/(AX113*'1-Eng Inputs'!$C$38))+AE110*(AY112*BU111/(AZ110*'1-Eng Inputs'!$C$38))+AE113*(AY112*BU113/(AZ113*'1-Eng Inputs'!$C$38)))</f>
        <v>191.4834194554912</v>
      </c>
      <c r="AE112" s="390"/>
      <c r="AH112" s="391"/>
      <c r="AJ112" s="391"/>
      <c r="AL112" s="391"/>
      <c r="AN112" s="391"/>
      <c r="AP112" s="391"/>
      <c r="AR112" s="1426"/>
      <c r="AT112" s="355"/>
      <c r="AU112" s="353">
        <v>2</v>
      </c>
      <c r="AW112" s="348">
        <f>'Port Calcs (lift)'!J6</f>
        <v>182.83742403897963</v>
      </c>
      <c r="AX112" s="375"/>
      <c r="AY112" s="348">
        <f>'Port Calcs (lift)'!J6</f>
        <v>182.83742403897963</v>
      </c>
      <c r="AZ112" s="375"/>
      <c r="BC112" s="1426"/>
      <c r="BE112" s="1426"/>
      <c r="BG112" s="1426"/>
      <c r="BI112" s="1426"/>
      <c r="BK112" s="1426"/>
      <c r="BM112" s="1426"/>
      <c r="BQ112" s="381"/>
      <c r="BT112" s="381"/>
      <c r="BV112" s="350"/>
      <c r="BW112" s="350"/>
      <c r="BX112" s="350"/>
      <c r="BY112" s="350"/>
      <c r="BZ112" s="350"/>
      <c r="CA112" s="350"/>
      <c r="CB112" s="350"/>
      <c r="CC112" s="350"/>
      <c r="CD112" s="350"/>
      <c r="CE112" s="350"/>
      <c r="CF112" s="350"/>
      <c r="CG112" s="350"/>
      <c r="CH112" s="350"/>
      <c r="CI112" s="350"/>
      <c r="CJ112" s="1426"/>
      <c r="CK112" s="350"/>
      <c r="CN112" s="355"/>
      <c r="CO112" s="353">
        <v>2</v>
      </c>
      <c r="CP112" s="389"/>
      <c r="CQ112" s="388">
        <f>AW112</f>
        <v>182.83742403897963</v>
      </c>
      <c r="CR112" s="389"/>
      <c r="CS112" s="388">
        <f>AY112</f>
        <v>182.83742403897963</v>
      </c>
      <c r="CT112" s="382"/>
      <c r="CW112" s="1426"/>
      <c r="CY112" s="1426"/>
      <c r="DA112" s="1426"/>
      <c r="DC112" s="1426"/>
      <c r="DE112" s="1426"/>
      <c r="DG112" s="1426"/>
    </row>
    <row r="113" spans="4:111">
      <c r="F113" s="1494">
        <f>IF($P$4="NO",ROUNDUP(CP113-0.00499,0),LEFT(CP113,1)+(IF(CP113-LEFT(CP113,1)&lt;0.00499,0,IF(CP113-LEFT(CP113,1)-0.04499&lt;('1-Eng Inputs'!$C$39/'1-Eng Inputs'!$C$38),0.5,1))))</f>
        <v>4</v>
      </c>
      <c r="G113" s="353"/>
      <c r="H113" s="1494">
        <f>IF($P$4="NO",ROUNDUP(CR113-0.00499,0),LEFT(CR113,1)+(IF(CR113-LEFT(CR113,1)&lt;0.00499,0,IF(CR113-LEFT(CR113,1)-0.04499&lt;('1-Eng Inputs'!$C$39/'1-Eng Inputs'!$C$38),0.5,1))))</f>
        <v>4</v>
      </c>
      <c r="I113" s="353"/>
      <c r="J113" s="1494">
        <f>IF($P$4="NO",ROUNDUP(CT113-0.00499,0),LEFT(CT113,1)+(IF(CT113-LEFT(CT113,1)&lt;0.00499,0,IF(CT113-LEFT(CT113,1)-0.04499&lt;('1-Eng Inputs'!$C$39/'1-Eng Inputs'!$C$38),0.5,1))))</f>
        <v>4</v>
      </c>
      <c r="AA113" s="1478">
        <f>IF(LEFT(F113,3)-LEFT(F113,1)=0.5,'1-Eng Inputs'!$C$39,0)+LEFT(F113,1)*'1-Eng Inputs'!$C$38</f>
        <v>128</v>
      </c>
      <c r="AC113" s="1478">
        <f>IF(LEFT(H113,3)-LEFT(H113,1)=0.5,'1-Eng Inputs'!$C$39,0)+LEFT(H113,1)*'1-Eng Inputs'!$C$38</f>
        <v>128</v>
      </c>
      <c r="AE113" s="1478">
        <f>IF(LEFT(J113,3)-LEFT(J113,1)=0.5,'1-Eng Inputs'!$C$39,0)+LEFT(J113,1)*'1-Eng Inputs'!$C$38</f>
        <v>128</v>
      </c>
      <c r="AV113" s="1506">
        <f>(BP113*AW112+AW115*BP114)/'1-Eng Inputs'!$C$38</f>
        <v>3.8091130008120757</v>
      </c>
      <c r="AX113" s="1506">
        <f>(AW112*BR113+AY112*BS113+AW115*BR114+AY115*BS114)/'1-Eng Inputs'!$C$38</f>
        <v>3.8091130008120757</v>
      </c>
      <c r="AZ113" s="1506">
        <f>(BU113*AY112+AY115*BU114)/'1-Eng Inputs'!$C$38</f>
        <v>3.8091130008120757</v>
      </c>
      <c r="BP113" s="1512">
        <v>0.33333333333333331</v>
      </c>
      <c r="BR113" s="1508">
        <v>0.16666666666666666</v>
      </c>
      <c r="BS113" s="1510">
        <v>0.16666666666666666</v>
      </c>
      <c r="BU113" s="1512">
        <v>0.33333333333333331</v>
      </c>
      <c r="BV113" s="350"/>
      <c r="BW113" s="350"/>
      <c r="BX113" s="350"/>
      <c r="BY113" s="1426"/>
      <c r="BZ113" s="350"/>
      <c r="CA113" s="1426"/>
      <c r="CB113" s="350"/>
      <c r="CC113" s="1426"/>
      <c r="CD113" s="350"/>
      <c r="CE113" s="1426"/>
      <c r="CF113" s="350"/>
      <c r="CG113" s="1426"/>
      <c r="CH113" s="350"/>
      <c r="CI113" s="1426"/>
      <c r="CJ113" s="350"/>
      <c r="CK113" s="350"/>
      <c r="CP113" s="1478">
        <f>AV113</f>
        <v>3.8091130008120757</v>
      </c>
      <c r="CR113" s="1478">
        <f>AX113</f>
        <v>3.8091130008120757</v>
      </c>
      <c r="CT113" s="1478">
        <f>AZ113</f>
        <v>3.8091130008120757</v>
      </c>
    </row>
    <row r="114" spans="4:111" ht="12.75" hidden="1" customHeight="1">
      <c r="F114" s="1495"/>
      <c r="G114" s="353"/>
      <c r="H114" s="1495"/>
      <c r="I114" s="353"/>
      <c r="J114" s="1495"/>
      <c r="AA114" s="1479"/>
      <c r="AB114" s="457"/>
      <c r="AC114" s="1479"/>
      <c r="AD114" s="457"/>
      <c r="AE114" s="1479"/>
      <c r="AV114" s="1507"/>
      <c r="AX114" s="1507"/>
      <c r="AZ114" s="1507"/>
      <c r="BP114" s="1513">
        <v>0.33333333333333331</v>
      </c>
      <c r="BR114" s="1509">
        <v>0.16666666666666666</v>
      </c>
      <c r="BS114" s="1511">
        <v>0.16666666666666666</v>
      </c>
      <c r="BU114" s="1513">
        <v>0.33333333333333331</v>
      </c>
      <c r="BV114" s="350"/>
      <c r="BW114" s="350"/>
      <c r="BX114" s="350"/>
      <c r="BY114" s="350"/>
      <c r="BZ114" s="350"/>
      <c r="CA114" s="350"/>
      <c r="CB114" s="350"/>
      <c r="CC114" s="350"/>
      <c r="CD114" s="350"/>
      <c r="CE114" s="350"/>
      <c r="CF114" s="350"/>
      <c r="CG114" s="350"/>
      <c r="CH114" s="350"/>
      <c r="CI114" s="350"/>
      <c r="CJ114" s="350"/>
      <c r="CK114" s="350"/>
      <c r="CP114" s="1479"/>
      <c r="CQ114" s="386">
        <f>AB115</f>
        <v>192</v>
      </c>
      <c r="CR114" s="1479"/>
      <c r="CS114" s="386">
        <f>AD115</f>
        <v>192</v>
      </c>
      <c r="CT114" s="1479"/>
    </row>
    <row r="115" spans="4:111" ht="21" customHeight="1">
      <c r="D115" s="355"/>
      <c r="E115" s="353">
        <v>3</v>
      </c>
      <c r="F115" s="389"/>
      <c r="G115" s="378" t="s">
        <v>19454</v>
      </c>
      <c r="H115" s="389"/>
      <c r="I115" s="378" t="s">
        <v>19454</v>
      </c>
      <c r="J115" s="390"/>
      <c r="M115" s="1426"/>
      <c r="O115" s="1426"/>
      <c r="Q115" s="1426"/>
      <c r="S115" s="1426"/>
      <c r="U115" s="1426"/>
      <c r="W115" s="1426"/>
      <c r="Y115" s="355"/>
      <c r="AA115" s="389"/>
      <c r="AB115" s="458">
        <f>(AA113*(AW115*BP114/(AV113*'1-Eng Inputs'!$C$38))+AA116*(AW115*BP116/(AV116*'1-Eng Inputs'!$C$38))+AC113*(AW115*BR114/(AX113*'1-Eng Inputs'!$C$38))+AC116*(AW115*BR116/(AX116*'1-Eng Inputs'!$C$38)))</f>
        <v>192</v>
      </c>
      <c r="AC115" s="389"/>
      <c r="AD115" s="458">
        <f>(AC113*(AY115*BS114/(AX113*'1-Eng Inputs'!$C$38))+AC116*(AY115*BS116/(AX116*'1-Eng Inputs'!$C$38))+AE113*(AY115*BU114/(AZ113*'1-Eng Inputs'!$C$38))+AE116*(AY115*BU116/(AZ116*'1-Eng Inputs'!$C$38)))</f>
        <v>192</v>
      </c>
      <c r="AE115" s="390"/>
      <c r="AH115" s="391"/>
      <c r="AJ115" s="391"/>
      <c r="AL115" s="391"/>
      <c r="AN115" s="391"/>
      <c r="AP115" s="391"/>
      <c r="AR115" s="1426"/>
      <c r="AT115" s="355"/>
      <c r="AU115" s="353">
        <v>3</v>
      </c>
      <c r="AW115" s="348">
        <f>AW112</f>
        <v>182.83742403897963</v>
      </c>
      <c r="AX115" s="375"/>
      <c r="AY115" s="348">
        <f>AY112</f>
        <v>182.83742403897963</v>
      </c>
      <c r="AZ115" s="375"/>
      <c r="BC115" s="1426"/>
      <c r="BE115" s="1426"/>
      <c r="BG115" s="1426"/>
      <c r="BI115" s="1426"/>
      <c r="BK115" s="1426"/>
      <c r="BM115" s="1426"/>
      <c r="BQ115" s="381"/>
      <c r="BT115" s="381"/>
      <c r="BV115" s="350"/>
      <c r="BW115" s="350"/>
      <c r="BX115" s="350"/>
      <c r="BY115" s="350"/>
      <c r="BZ115" s="350"/>
      <c r="CA115" s="350"/>
      <c r="CB115" s="350"/>
      <c r="CC115" s="350"/>
      <c r="CD115" s="350"/>
      <c r="CE115" s="350"/>
      <c r="CF115" s="350"/>
      <c r="CG115" s="350"/>
      <c r="CH115" s="350"/>
      <c r="CI115" s="350"/>
      <c r="CJ115" s="1426"/>
      <c r="CK115" s="350"/>
      <c r="CN115" s="355"/>
      <c r="CO115" s="353">
        <v>3</v>
      </c>
      <c r="CP115" s="389"/>
      <c r="CQ115" s="388">
        <f>AW115</f>
        <v>182.83742403897963</v>
      </c>
      <c r="CR115" s="389"/>
      <c r="CS115" s="388">
        <f>AY115</f>
        <v>182.83742403897963</v>
      </c>
      <c r="CT115" s="382"/>
      <c r="CW115" s="1426"/>
      <c r="CY115" s="1426"/>
      <c r="DA115" s="1426"/>
      <c r="DC115" s="1426"/>
      <c r="DE115" s="1426"/>
      <c r="DG115" s="1426"/>
    </row>
    <row r="116" spans="4:111">
      <c r="D116" s="355"/>
      <c r="F116" s="1494">
        <f>IF($P$4="NO",ROUNDUP(CP116-0.00499,0),LEFT(CP116,1)+(IF(CP116-LEFT(CP116,1)&lt;0.00499,0,IF(CP116-LEFT(CP116,1)-0.04499&lt;('1-Eng Inputs'!$C$39/'1-Eng Inputs'!$C$38),0.5,1))))</f>
        <v>4</v>
      </c>
      <c r="G116" s="353"/>
      <c r="H116" s="1494">
        <f>IF($P$4="NO",ROUNDUP(CR116-0.00499,0),LEFT(CR116,1)+(IF(CR116-LEFT(CR116,1)&lt;0.00499,0,IF(CR116-LEFT(CR116,1)-0.04499&lt;('1-Eng Inputs'!$C$39/'1-Eng Inputs'!$C$38),0.5,1))))</f>
        <v>4</v>
      </c>
      <c r="I116" s="353"/>
      <c r="J116" s="1494">
        <f>IF($P$4="NO",ROUNDUP(CT116-0.00499,0),LEFT(CT116,1)+(IF(CT116-LEFT(CT116,1)&lt;0.00499,0,IF(CT116-LEFT(CT116,1)-0.04499&lt;('1-Eng Inputs'!$C$39/'1-Eng Inputs'!$C$38),0.5,1))))</f>
        <v>4</v>
      </c>
      <c r="Y116" s="355"/>
      <c r="AA116" s="1488">
        <f>IF(LEFT(F116,3)-LEFT(F116,1)=0.5,'1-Eng Inputs'!$C$39,0)+LEFT(F116,1)*'1-Eng Inputs'!$C$38</f>
        <v>128</v>
      </c>
      <c r="AC116" s="1488">
        <f>IF(LEFT(H116,3)-LEFT(H116,1)=0.5,'1-Eng Inputs'!$C$39,0)+LEFT(H116,1)*'1-Eng Inputs'!$C$38</f>
        <v>128</v>
      </c>
      <c r="AE116" s="1488">
        <f>IF(LEFT(J116,3)-LEFT(J116,1)=0.5,'1-Eng Inputs'!$C$39,0)+LEFT(J116,1)*'1-Eng Inputs'!$C$38</f>
        <v>128</v>
      </c>
      <c r="AT116" s="355"/>
      <c r="AV116" s="1506">
        <f>(BP116*AW115+AW118*BP117)/'1-Eng Inputs'!$C$38</f>
        <v>3.8091130008120757</v>
      </c>
      <c r="AX116" s="1506">
        <f>(AW115*BR116+AY115*BS116+AW118*BR117+AY118*BS117)/'1-Eng Inputs'!$C$38</f>
        <v>3.8091130008120757</v>
      </c>
      <c r="AZ116" s="1506">
        <f>(BU116*AY115+AY118*BU117)/'1-Eng Inputs'!$C$38</f>
        <v>3.8091130008120757</v>
      </c>
      <c r="BP116" s="1512">
        <v>0.33333333333333331</v>
      </c>
      <c r="BR116" s="1508">
        <v>0.16666666666666666</v>
      </c>
      <c r="BS116" s="1510">
        <v>0.16666666666666666</v>
      </c>
      <c r="BU116" s="1512">
        <v>0.33333333333333331</v>
      </c>
      <c r="BV116" s="350"/>
      <c r="BW116" s="350"/>
      <c r="BX116" s="350"/>
      <c r="BY116" s="1426"/>
      <c r="BZ116" s="350"/>
      <c r="CA116" s="1426"/>
      <c r="CB116" s="350"/>
      <c r="CC116" s="1426"/>
      <c r="CD116" s="350"/>
      <c r="CE116" s="1426"/>
      <c r="CF116" s="350"/>
      <c r="CG116" s="1426"/>
      <c r="CH116" s="350"/>
      <c r="CI116" s="1426"/>
      <c r="CJ116" s="350"/>
      <c r="CK116" s="350"/>
      <c r="CN116" s="355"/>
      <c r="CP116" s="1488">
        <f>AV116</f>
        <v>3.8091130008120757</v>
      </c>
      <c r="CR116" s="1488">
        <f>AX116</f>
        <v>3.8091130008120757</v>
      </c>
      <c r="CT116" s="1488">
        <f>AZ116</f>
        <v>3.8091130008120757</v>
      </c>
    </row>
    <row r="117" spans="4:111" ht="12.75" hidden="1" customHeight="1">
      <c r="D117" s="355"/>
      <c r="F117" s="1495"/>
      <c r="G117" s="353"/>
      <c r="H117" s="1495"/>
      <c r="I117" s="353"/>
      <c r="J117" s="1495"/>
      <c r="Y117" s="355"/>
      <c r="AA117" s="1489"/>
      <c r="AB117" s="457"/>
      <c r="AC117" s="1489"/>
      <c r="AD117" s="457"/>
      <c r="AE117" s="1489"/>
      <c r="AT117" s="355"/>
      <c r="AV117" s="1507"/>
      <c r="AX117" s="1507"/>
      <c r="AZ117" s="1507"/>
      <c r="BP117" s="1513">
        <v>0.33333333333333331</v>
      </c>
      <c r="BR117" s="1509">
        <v>0.16666666666666666</v>
      </c>
      <c r="BS117" s="1511">
        <v>0.16666666666666666</v>
      </c>
      <c r="BU117" s="1513">
        <v>0.33333333333333331</v>
      </c>
      <c r="BV117" s="350"/>
      <c r="BW117" s="350"/>
      <c r="BX117" s="350"/>
      <c r="BY117" s="350"/>
      <c r="BZ117" s="350"/>
      <c r="CA117" s="350"/>
      <c r="CB117" s="350"/>
      <c r="CC117" s="350"/>
      <c r="CD117" s="350"/>
      <c r="CE117" s="350"/>
      <c r="CF117" s="350"/>
      <c r="CG117" s="350"/>
      <c r="CH117" s="350"/>
      <c r="CI117" s="350"/>
      <c r="CJ117" s="350"/>
      <c r="CK117" s="350"/>
      <c r="CN117" s="355"/>
      <c r="CP117" s="1489"/>
      <c r="CQ117" s="386">
        <f>AB118</f>
        <v>192</v>
      </c>
      <c r="CR117" s="1489"/>
      <c r="CS117" s="386">
        <f>AD118</f>
        <v>192</v>
      </c>
      <c r="CT117" s="1489"/>
    </row>
    <row r="118" spans="4:111" ht="21" customHeight="1">
      <c r="D118" s="355"/>
      <c r="E118" s="353">
        <v>4</v>
      </c>
      <c r="F118" s="389"/>
      <c r="G118" s="378" t="s">
        <v>19415</v>
      </c>
      <c r="H118" s="389"/>
      <c r="I118" s="378" t="s">
        <v>19415</v>
      </c>
      <c r="J118" s="390"/>
      <c r="M118" s="1426"/>
      <c r="O118" s="1426"/>
      <c r="Q118" s="1426"/>
      <c r="S118" s="1426"/>
      <c r="U118" s="1426"/>
      <c r="W118" s="1426"/>
      <c r="Y118" s="355"/>
      <c r="AA118" s="389"/>
      <c r="AB118" s="458">
        <f>(AA116*(AW118*BP117/(AV116*'1-Eng Inputs'!$C$38))+AA119*(AW118*BP119/(AV119*'1-Eng Inputs'!$C$38))+AC116*(AW118*BR117/(AX116*'1-Eng Inputs'!$C$38))+AC119*(AW118*BR119/(AX119*'1-Eng Inputs'!$C$38)))</f>
        <v>192</v>
      </c>
      <c r="AC118" s="389"/>
      <c r="AD118" s="458">
        <f>(AC116*(AY118*BS117/(AX116*'1-Eng Inputs'!$C$38))+AC119*(AY118*BS119/(AX119*'1-Eng Inputs'!$C$38))+AE116*(AY118*BU117/(AZ116*'1-Eng Inputs'!$C$38))+AE119*(AY118*BU119/(AZ119*'1-Eng Inputs'!$C$38)))</f>
        <v>192</v>
      </c>
      <c r="AE118" s="390"/>
      <c r="AH118" s="391"/>
      <c r="AJ118" s="391"/>
      <c r="AL118" s="391"/>
      <c r="AN118" s="391"/>
      <c r="AP118" s="391"/>
      <c r="AR118" s="1426"/>
      <c r="AT118" s="355"/>
      <c r="AU118" s="353">
        <v>4</v>
      </c>
      <c r="AW118" s="348">
        <f>'Port Calcs (lift)'!J16</f>
        <v>182.83742403897963</v>
      </c>
      <c r="AX118" s="375"/>
      <c r="AY118" s="348">
        <f>'Port Calcs (lift)'!J16</f>
        <v>182.83742403897963</v>
      </c>
      <c r="AZ118" s="375"/>
      <c r="BC118" s="1426"/>
      <c r="BE118" s="1426"/>
      <c r="BG118" s="1426"/>
      <c r="BI118" s="1426"/>
      <c r="BK118" s="1426"/>
      <c r="BM118" s="1426"/>
      <c r="BQ118" s="381"/>
      <c r="BT118" s="381"/>
      <c r="BV118" s="350"/>
      <c r="BW118" s="350"/>
      <c r="BX118" s="350"/>
      <c r="BY118" s="350"/>
      <c r="BZ118" s="350"/>
      <c r="CA118" s="350"/>
      <c r="CB118" s="350"/>
      <c r="CC118" s="350"/>
      <c r="CD118" s="350"/>
      <c r="CE118" s="350"/>
      <c r="CF118" s="350"/>
      <c r="CG118" s="350"/>
      <c r="CH118" s="350"/>
      <c r="CI118" s="350"/>
      <c r="CJ118" s="1426"/>
      <c r="CK118" s="350"/>
      <c r="CN118" s="355"/>
      <c r="CO118" s="353">
        <v>4</v>
      </c>
      <c r="CP118" s="389"/>
      <c r="CQ118" s="388">
        <f>AW118</f>
        <v>182.83742403897963</v>
      </c>
      <c r="CR118" s="389"/>
      <c r="CS118" s="388">
        <f>AY118</f>
        <v>182.83742403897963</v>
      </c>
      <c r="CT118" s="382"/>
      <c r="CW118" s="1426"/>
      <c r="CY118" s="1426"/>
      <c r="DA118" s="1426"/>
      <c r="DC118" s="1426"/>
      <c r="DE118" s="1426"/>
      <c r="DG118" s="1426"/>
    </row>
    <row r="119" spans="4:111">
      <c r="D119" s="355"/>
      <c r="F119" s="1494">
        <f>IF($P$4="NO",ROUNDUP(CP119-0.00499,0),LEFT(CP119,1)+(IF(CP119-LEFT(CP119,1)&lt;0.00499,0,IF(CP119-LEFT(CP119,1)-0.04499&lt;('1-Eng Inputs'!$C$39/'1-Eng Inputs'!$C$38),0.5,1))))</f>
        <v>4</v>
      </c>
      <c r="G119" s="353"/>
      <c r="H119" s="1494">
        <f>IF($P$4="NO",ROUNDUP(CR119-0.00499,0),LEFT(CR119,1)+(IF(CR119-LEFT(CR119,1)&lt;0.00499,0,IF(CR119-LEFT(CR119,1)-0.04499&lt;('1-Eng Inputs'!$C$39/'1-Eng Inputs'!$C$38),0.5,1))))</f>
        <v>4</v>
      </c>
      <c r="I119" s="353"/>
      <c r="J119" s="1494">
        <f>IF($P$4="NO",ROUNDUP(CT119-0.00499,0),LEFT(CT119,1)+(IF(CT119-LEFT(CT119,1)&lt;0.00499,0,IF(CT119-LEFT(CT119,1)-0.04499&lt;('1-Eng Inputs'!$C$39/'1-Eng Inputs'!$C$38),0.5,1))))</f>
        <v>4</v>
      </c>
      <c r="Y119" s="355"/>
      <c r="AA119" s="1488">
        <f>IF(LEFT(F119,3)-LEFT(F119,1)=0.5,'1-Eng Inputs'!$C$39,0)+LEFT(F119,1)*'1-Eng Inputs'!$C$38</f>
        <v>128</v>
      </c>
      <c r="AC119" s="1488">
        <f>IF(LEFT(H119,3)-LEFT(H119,1)=0.5,'1-Eng Inputs'!$C$39,0)+LEFT(H119,1)*'1-Eng Inputs'!$C$38</f>
        <v>128</v>
      </c>
      <c r="AE119" s="1488">
        <f>IF(LEFT(J119,3)-LEFT(J119,1)=0.5,'1-Eng Inputs'!$C$39,0)+LEFT(J119,1)*'1-Eng Inputs'!$C$38</f>
        <v>128</v>
      </c>
      <c r="AT119" s="355"/>
      <c r="AV119" s="1506">
        <f>(BP119*AW118+AW121*BP120)/'1-Eng Inputs'!$C$38</f>
        <v>3.8091130008120757</v>
      </c>
      <c r="AX119" s="1506">
        <f>(AW118*BR119+AY118*BS119+AW121*BR120+AY121*BS120)/'1-Eng Inputs'!$C$38</f>
        <v>3.8091130008120757</v>
      </c>
      <c r="AZ119" s="1506">
        <f>(BU119*AY118+AY121*BU120)/'1-Eng Inputs'!$C$38</f>
        <v>3.8091130008120757</v>
      </c>
      <c r="BP119" s="1512">
        <v>0.33333333333333331</v>
      </c>
      <c r="BR119" s="1508">
        <v>0.16666666666666666</v>
      </c>
      <c r="BS119" s="1510">
        <v>0.16666666666666666</v>
      </c>
      <c r="BU119" s="1512">
        <v>0.33333333333333331</v>
      </c>
      <c r="BV119" s="350"/>
      <c r="BW119" s="350"/>
      <c r="BX119" s="350"/>
      <c r="BY119" s="1426"/>
      <c r="BZ119" s="350"/>
      <c r="CA119" s="1426"/>
      <c r="CB119" s="350"/>
      <c r="CC119" s="1426"/>
      <c r="CD119" s="350"/>
      <c r="CE119" s="1426"/>
      <c r="CF119" s="350"/>
      <c r="CG119" s="1426"/>
      <c r="CH119" s="350"/>
      <c r="CI119" s="1426"/>
      <c r="CJ119" s="350"/>
      <c r="CK119" s="350"/>
      <c r="CN119" s="355"/>
      <c r="CP119" s="1488">
        <f>AV119</f>
        <v>3.8091130008120757</v>
      </c>
      <c r="CR119" s="1488">
        <f>AX119</f>
        <v>3.8091130008120757</v>
      </c>
      <c r="CT119" s="1488">
        <f>AZ119</f>
        <v>3.8091130008120757</v>
      </c>
    </row>
    <row r="120" spans="4:111" ht="12.75" hidden="1" customHeight="1">
      <c r="D120" s="355"/>
      <c r="F120" s="1495"/>
      <c r="G120" s="353"/>
      <c r="H120" s="1495"/>
      <c r="I120" s="353"/>
      <c r="J120" s="1495"/>
      <c r="Y120" s="355"/>
      <c r="AA120" s="1489"/>
      <c r="AB120" s="457"/>
      <c r="AC120" s="1489"/>
      <c r="AD120" s="457"/>
      <c r="AE120" s="1489"/>
      <c r="AT120" s="355"/>
      <c r="AV120" s="1507"/>
      <c r="AX120" s="1507"/>
      <c r="AZ120" s="1507"/>
      <c r="BP120" s="1513">
        <v>0.33333333333333331</v>
      </c>
      <c r="BR120" s="1509">
        <v>0.16666666666666666</v>
      </c>
      <c r="BS120" s="1511">
        <v>0.16666666666666666</v>
      </c>
      <c r="BU120" s="1513">
        <v>0.33333333333333331</v>
      </c>
      <c r="BV120" s="350"/>
      <c r="BW120" s="350"/>
      <c r="BX120" s="350"/>
      <c r="BY120" s="350"/>
      <c r="BZ120" s="350"/>
      <c r="CA120" s="350"/>
      <c r="CB120" s="350"/>
      <c r="CC120" s="350"/>
      <c r="CD120" s="350"/>
      <c r="CE120" s="350"/>
      <c r="CF120" s="350"/>
      <c r="CG120" s="350"/>
      <c r="CH120" s="350"/>
      <c r="CI120" s="350"/>
      <c r="CJ120" s="350"/>
      <c r="CK120" s="350"/>
      <c r="CN120" s="355"/>
      <c r="CP120" s="1489"/>
      <c r="CQ120" s="386">
        <f>AB121</f>
        <v>192</v>
      </c>
      <c r="CR120" s="1489"/>
      <c r="CS120" s="386">
        <f>AD121</f>
        <v>192</v>
      </c>
      <c r="CT120" s="1489"/>
    </row>
    <row r="121" spans="4:111" ht="21" customHeight="1">
      <c r="D121" s="355"/>
      <c r="E121" s="353">
        <v>5</v>
      </c>
      <c r="F121" s="389"/>
      <c r="G121" s="378" t="s">
        <v>19415</v>
      </c>
      <c r="H121" s="389"/>
      <c r="I121" s="378" t="s">
        <v>19415</v>
      </c>
      <c r="J121" s="390"/>
      <c r="M121" s="1426"/>
      <c r="O121" s="1426"/>
      <c r="Q121" s="1426"/>
      <c r="S121" s="1426"/>
      <c r="U121" s="1426"/>
      <c r="W121" s="1426"/>
      <c r="Y121" s="355"/>
      <c r="AA121" s="389"/>
      <c r="AB121" s="458">
        <f>(AA119*(AW121*BP120/(AV119*'1-Eng Inputs'!$C$38))+AA122*(AW121*BP122/(AV122*'1-Eng Inputs'!$C$38))+AC119*(AW121*BR120/(AX119*'1-Eng Inputs'!$C$38))+AC122*(AW121*BR122/(AX122*'1-Eng Inputs'!$C$38)))</f>
        <v>192</v>
      </c>
      <c r="AC121" s="389"/>
      <c r="AD121" s="458">
        <f>(AC119*(AY121*BS120/(AX119*'1-Eng Inputs'!$C$38))+AC122*(AY121*BS122/(AX122*'1-Eng Inputs'!$C$38))+AE119*(AY121*BU120/(AZ119*'1-Eng Inputs'!$C$38))+AE122*(AY121*BU122/(AZ122*'1-Eng Inputs'!$C$38)))</f>
        <v>192</v>
      </c>
      <c r="AE121" s="390"/>
      <c r="AH121" s="391"/>
      <c r="AJ121" s="391"/>
      <c r="AL121" s="391"/>
      <c r="AN121" s="391"/>
      <c r="AP121" s="391"/>
      <c r="AR121" s="1426"/>
      <c r="AT121" s="355"/>
      <c r="AU121" s="353">
        <v>5</v>
      </c>
      <c r="AW121" s="348">
        <f>AW118</f>
        <v>182.83742403897963</v>
      </c>
      <c r="AX121" s="375"/>
      <c r="AY121" s="348">
        <f>AY118</f>
        <v>182.83742403897963</v>
      </c>
      <c r="AZ121" s="375"/>
      <c r="BC121" s="1426"/>
      <c r="BE121" s="1426"/>
      <c r="BG121" s="1426"/>
      <c r="BI121" s="1426"/>
      <c r="BK121" s="1426"/>
      <c r="BM121" s="1426"/>
      <c r="BQ121" s="381"/>
      <c r="BT121" s="381"/>
      <c r="BV121" s="350"/>
      <c r="BW121" s="350"/>
      <c r="BX121" s="350"/>
      <c r="BY121" s="350"/>
      <c r="BZ121" s="350"/>
      <c r="CA121" s="350"/>
      <c r="CB121" s="350"/>
      <c r="CC121" s="350"/>
      <c r="CD121" s="350"/>
      <c r="CE121" s="350"/>
      <c r="CF121" s="350"/>
      <c r="CG121" s="350"/>
      <c r="CH121" s="350"/>
      <c r="CI121" s="350"/>
      <c r="CJ121" s="1426"/>
      <c r="CK121" s="350"/>
      <c r="CN121" s="355"/>
      <c r="CO121" s="353">
        <v>5</v>
      </c>
      <c r="CP121" s="389"/>
      <c r="CQ121" s="388">
        <f>AW121</f>
        <v>182.83742403897963</v>
      </c>
      <c r="CR121" s="389"/>
      <c r="CS121" s="388">
        <f>AY121</f>
        <v>182.83742403897963</v>
      </c>
      <c r="CT121" s="382"/>
      <c r="CW121" s="1426"/>
      <c r="CY121" s="1426"/>
      <c r="DA121" s="1426"/>
      <c r="DC121" s="1426"/>
      <c r="DE121" s="1426"/>
      <c r="DG121" s="1426"/>
    </row>
    <row r="122" spans="4:111">
      <c r="D122" s="355"/>
      <c r="F122" s="1494">
        <f>IF($P$4="NO",ROUNDUP(CP122-0.00499,0),LEFT(CP122,1)+(IF(CP122-LEFT(CP122,1)&lt;0.00499,0,IF(CP122-LEFT(CP122,1)-0.04499&lt;('1-Eng Inputs'!$C$39/'1-Eng Inputs'!$C$38),0.5,1))))</f>
        <v>4</v>
      </c>
      <c r="G122" s="353"/>
      <c r="H122" s="1494">
        <f>IF($P$4="NO",ROUNDUP(CR122-0.00499,0),LEFT(CR122,1)+(IF(CR122-LEFT(CR122,1)&lt;0.00499,0,IF(CR122-LEFT(CR122,1)-0.04499&lt;('1-Eng Inputs'!$C$39/'1-Eng Inputs'!$C$38),0.5,1))))</f>
        <v>4</v>
      </c>
      <c r="I122" s="353"/>
      <c r="J122" s="1494">
        <f>IF($P$4="NO",ROUNDUP(CT122-0.00499,0),LEFT(CT122,1)+(IF(CT122-LEFT(CT122,1)&lt;0.00499,0,IF(CT122-LEFT(CT122,1)-0.04499&lt;('1-Eng Inputs'!$C$39/'1-Eng Inputs'!$C$38),0.5,1))))</f>
        <v>4</v>
      </c>
      <c r="Y122" s="355"/>
      <c r="AA122" s="1488">
        <f>IF(LEFT(F122,3)-LEFT(F122,1)=0.5,'1-Eng Inputs'!$C$39,0)+LEFT(F122,1)*'1-Eng Inputs'!$C$38</f>
        <v>128</v>
      </c>
      <c r="AC122" s="1488">
        <f>IF(LEFT(H122,3)-LEFT(H122,1)=0.5,'1-Eng Inputs'!$C$39,0)+LEFT(H122,1)*'1-Eng Inputs'!$C$38</f>
        <v>128</v>
      </c>
      <c r="AE122" s="1488">
        <f>IF(LEFT(J122,3)-LEFT(J122,1)=0.5,'1-Eng Inputs'!$C$39,0)+LEFT(J122,1)*'1-Eng Inputs'!$C$38</f>
        <v>128</v>
      </c>
      <c r="AT122" s="355"/>
      <c r="AV122" s="1506">
        <f>(BP122*AW121+AW124*BP123)/'1-Eng Inputs'!$C$38</f>
        <v>3.8091130008120757</v>
      </c>
      <c r="AX122" s="1506">
        <f>(AW121*BR122+AY121*BS122+AW124*BR123+AY124*BS123)/'1-Eng Inputs'!$C$38</f>
        <v>3.8091130008120757</v>
      </c>
      <c r="AZ122" s="1506">
        <f>(BU122*AY121+AY124*BU123)/'1-Eng Inputs'!$C$38</f>
        <v>3.8091130008120757</v>
      </c>
      <c r="BP122" s="1512">
        <v>0.33333333333333331</v>
      </c>
      <c r="BR122" s="1508">
        <v>0.16666666666666666</v>
      </c>
      <c r="BS122" s="1510">
        <v>0.16666666666666666</v>
      </c>
      <c r="BU122" s="1512">
        <v>0.33333333333333331</v>
      </c>
      <c r="BV122" s="350"/>
      <c r="BW122" s="350"/>
      <c r="BX122" s="350"/>
      <c r="BY122" s="1426"/>
      <c r="BZ122" s="350"/>
      <c r="CA122" s="1426"/>
      <c r="CB122" s="350"/>
      <c r="CC122" s="1426"/>
      <c r="CD122" s="350"/>
      <c r="CE122" s="1426"/>
      <c r="CF122" s="350"/>
      <c r="CG122" s="1426"/>
      <c r="CH122" s="350"/>
      <c r="CI122" s="1426"/>
      <c r="CJ122" s="350"/>
      <c r="CK122" s="350"/>
      <c r="CN122" s="355"/>
      <c r="CP122" s="1488">
        <f>AV122</f>
        <v>3.8091130008120757</v>
      </c>
      <c r="CR122" s="1488">
        <f>AX122</f>
        <v>3.8091130008120757</v>
      </c>
      <c r="CT122" s="1488">
        <f>AZ122</f>
        <v>3.8091130008120757</v>
      </c>
    </row>
    <row r="123" spans="4:111" ht="12.75" hidden="1" customHeight="1">
      <c r="D123" s="355"/>
      <c r="F123" s="1495"/>
      <c r="G123" s="353"/>
      <c r="H123" s="1495"/>
      <c r="I123" s="353"/>
      <c r="J123" s="1495"/>
      <c r="Y123" s="355"/>
      <c r="AA123" s="1489"/>
      <c r="AB123" s="457"/>
      <c r="AC123" s="1489"/>
      <c r="AD123" s="457"/>
      <c r="AE123" s="1489"/>
      <c r="AT123" s="355"/>
      <c r="AV123" s="1507"/>
      <c r="AX123" s="1507"/>
      <c r="AZ123" s="1507"/>
      <c r="BP123" s="1513">
        <v>0.33333333333333331</v>
      </c>
      <c r="BR123" s="1509">
        <v>0.16666666666666666</v>
      </c>
      <c r="BS123" s="1511">
        <v>0.16666666666666666</v>
      </c>
      <c r="BU123" s="1513">
        <v>0.33333333333333331</v>
      </c>
      <c r="BV123" s="350"/>
      <c r="BW123" s="350"/>
      <c r="BX123" s="350"/>
      <c r="BY123" s="350"/>
      <c r="BZ123" s="350"/>
      <c r="CA123" s="350"/>
      <c r="CB123" s="350"/>
      <c r="CC123" s="350"/>
      <c r="CD123" s="350"/>
      <c r="CE123" s="350"/>
      <c r="CF123" s="350"/>
      <c r="CG123" s="350"/>
      <c r="CH123" s="350"/>
      <c r="CI123" s="350"/>
      <c r="CJ123" s="350"/>
      <c r="CK123" s="350"/>
      <c r="CN123" s="355"/>
      <c r="CP123" s="1489"/>
      <c r="CQ123" s="386">
        <f>AB124</f>
        <v>192</v>
      </c>
      <c r="CR123" s="1489"/>
      <c r="CS123" s="386">
        <f>AD124</f>
        <v>192</v>
      </c>
      <c r="CT123" s="1489"/>
    </row>
    <row r="124" spans="4:111" ht="21" customHeight="1">
      <c r="D124" s="355"/>
      <c r="E124" s="353">
        <v>6</v>
      </c>
      <c r="F124" s="389"/>
      <c r="G124" s="378" t="s">
        <v>19456</v>
      </c>
      <c r="H124" s="389"/>
      <c r="I124" s="378" t="s">
        <v>19456</v>
      </c>
      <c r="J124" s="390"/>
      <c r="M124" s="1426"/>
      <c r="O124" s="1426"/>
      <c r="Q124" s="1426"/>
      <c r="S124" s="1426"/>
      <c r="U124" s="1426"/>
      <c r="W124" s="1426"/>
      <c r="Y124" s="355"/>
      <c r="AA124" s="389"/>
      <c r="AB124" s="458">
        <f>(AA122*(AW124*BP123/(AV122*'1-Eng Inputs'!$C$38))+AA125*(AW124*BP125/(AV125*'1-Eng Inputs'!$C$38))+AC122*(AW124*BR123/(AX122*'1-Eng Inputs'!$C$38))+AC125*(AW124*BR125/(AX125*'1-Eng Inputs'!$C$38)))</f>
        <v>192</v>
      </c>
      <c r="AC124" s="389"/>
      <c r="AD124" s="458">
        <f>(AC122*(AY124*BS123/(AX122*'1-Eng Inputs'!$C$38))+AC125*(AY124*BS125/(AX125*'1-Eng Inputs'!$C$38))+AE122*(AY124*BU123/(AZ122*'1-Eng Inputs'!$C$38))+AE125*(AY124*BU125/(AZ125*'1-Eng Inputs'!$C$38)))</f>
        <v>192</v>
      </c>
      <c r="AE124" s="390"/>
      <c r="AH124" s="391"/>
      <c r="AJ124" s="391"/>
      <c r="AL124" s="391"/>
      <c r="AN124" s="391"/>
      <c r="AP124" s="391"/>
      <c r="AR124" s="1426"/>
      <c r="AT124" s="355"/>
      <c r="AU124" s="353">
        <v>6</v>
      </c>
      <c r="AW124" s="348">
        <f>'Port Calcs (lift)'!J26</f>
        <v>182.83742403897963</v>
      </c>
      <c r="AX124" s="375"/>
      <c r="AY124" s="348">
        <f>'Port Calcs (lift)'!J26</f>
        <v>182.83742403897963</v>
      </c>
      <c r="AZ124" s="375"/>
      <c r="BC124" s="1426"/>
      <c r="BE124" s="1426"/>
      <c r="BG124" s="1426"/>
      <c r="BI124" s="1426"/>
      <c r="BK124" s="1426"/>
      <c r="BM124" s="1426"/>
      <c r="BQ124" s="381"/>
      <c r="BT124" s="381"/>
      <c r="BV124" s="350"/>
      <c r="BW124" s="350"/>
      <c r="BX124" s="350"/>
      <c r="BY124" s="350"/>
      <c r="BZ124" s="350"/>
      <c r="CA124" s="350"/>
      <c r="CB124" s="350"/>
      <c r="CC124" s="350"/>
      <c r="CD124" s="350"/>
      <c r="CE124" s="350"/>
      <c r="CF124" s="350"/>
      <c r="CG124" s="350"/>
      <c r="CH124" s="350"/>
      <c r="CI124" s="350"/>
      <c r="CJ124" s="1426"/>
      <c r="CK124" s="350"/>
      <c r="CN124" s="355"/>
      <c r="CO124" s="353">
        <v>6</v>
      </c>
      <c r="CP124" s="389"/>
      <c r="CQ124" s="388">
        <f>AW124</f>
        <v>182.83742403897963</v>
      </c>
      <c r="CR124" s="389"/>
      <c r="CS124" s="388">
        <f>AY124</f>
        <v>182.83742403897963</v>
      </c>
      <c r="CT124" s="382"/>
      <c r="CW124" s="1426"/>
      <c r="CY124" s="1426"/>
      <c r="DA124" s="1426"/>
      <c r="DC124" s="1426"/>
      <c r="DE124" s="1426"/>
      <c r="DG124" s="1426"/>
    </row>
    <row r="125" spans="4:111">
      <c r="D125" s="355"/>
      <c r="F125" s="1494">
        <f>IF($P$4="NO",ROUNDUP(CP125-0.00499,0),LEFT(CP125,1)+(IF(CP125-LEFT(CP125,1)&lt;0.00499,0,IF(CP125-LEFT(CP125,1)-0.04499&lt;('1-Eng Inputs'!$C$39/'1-Eng Inputs'!$C$38),0.5,1))))</f>
        <v>4</v>
      </c>
      <c r="G125" s="353"/>
      <c r="H125" s="1494">
        <f>IF($P$4="NO",ROUNDUP(CR125-0.00499,0),LEFT(CR125,1)+(IF(CR125-LEFT(CR125,1)&lt;0.00499,0,IF(CR125-LEFT(CR125,1)-0.04499&lt;('1-Eng Inputs'!$C$39/'1-Eng Inputs'!$C$38),0.5,1))))</f>
        <v>4</v>
      </c>
      <c r="I125" s="353"/>
      <c r="J125" s="1494">
        <f>IF($P$4="NO",ROUNDUP(CT125-0.00499,0),LEFT(CT125,1)+(IF(CT125-LEFT(CT125,1)&lt;0.00499,0,IF(CT125-LEFT(CT125,1)-0.04499&lt;('1-Eng Inputs'!$C$39/'1-Eng Inputs'!$C$38),0.5,1))))</f>
        <v>4</v>
      </c>
      <c r="Y125" s="355"/>
      <c r="AA125" s="1486">
        <f>IF(LEFT(F125,3)-LEFT(F125,1)=0.5,'1-Eng Inputs'!$C$39,0)+LEFT(F125,1)*'1-Eng Inputs'!$C$38</f>
        <v>128</v>
      </c>
      <c r="AC125" s="1486">
        <f>IF(LEFT(H125,3)-LEFT(H125,1)=0.5,'1-Eng Inputs'!$C$39,0)+LEFT(H125,1)*'1-Eng Inputs'!$C$38</f>
        <v>128</v>
      </c>
      <c r="AE125" s="1486">
        <f>IF(LEFT(J125,3)-LEFT(J125,1)=0.5,'1-Eng Inputs'!$C$39,0)+LEFT(J125,1)*'1-Eng Inputs'!$C$38</f>
        <v>128</v>
      </c>
      <c r="AT125" s="355"/>
      <c r="AV125" s="1506">
        <f>(BP125*AW124+AW127*BP126)/'1-Eng Inputs'!$C$38</f>
        <v>3.8091130008120757</v>
      </c>
      <c r="AX125" s="1506">
        <f>(AW124*BR125+AY124*BS125+AW127*BR126+AY127*BS126)/'1-Eng Inputs'!$C$38</f>
        <v>3.8091130008120757</v>
      </c>
      <c r="AZ125" s="1506">
        <f>(BU125*AY124+AY127*BU126)/'1-Eng Inputs'!$C$38</f>
        <v>3.8091130008120757</v>
      </c>
      <c r="BP125" s="1512">
        <v>0.33333333333333331</v>
      </c>
      <c r="BR125" s="1508">
        <v>0.16666666666666666</v>
      </c>
      <c r="BS125" s="1510">
        <v>0.16666666666666666</v>
      </c>
      <c r="BU125" s="1512">
        <v>0.33333333333333331</v>
      </c>
      <c r="BV125" s="350"/>
      <c r="BW125" s="350"/>
      <c r="BX125" s="350"/>
      <c r="BY125" s="1426"/>
      <c r="BZ125" s="350"/>
      <c r="CA125" s="1426"/>
      <c r="CB125" s="350"/>
      <c r="CC125" s="1426"/>
      <c r="CD125" s="350"/>
      <c r="CE125" s="1426"/>
      <c r="CF125" s="350"/>
      <c r="CG125" s="1426"/>
      <c r="CH125" s="350"/>
      <c r="CI125" s="1426"/>
      <c r="CJ125" s="350"/>
      <c r="CK125" s="350"/>
      <c r="CN125" s="355"/>
      <c r="CP125" s="1486">
        <f>AV125</f>
        <v>3.8091130008120757</v>
      </c>
      <c r="CR125" s="1486">
        <f>AX125</f>
        <v>3.8091130008120757</v>
      </c>
      <c r="CT125" s="1486">
        <f>AZ125</f>
        <v>3.8091130008120757</v>
      </c>
    </row>
    <row r="126" spans="4:111" ht="12.75" hidden="1" customHeight="1">
      <c r="D126" s="355"/>
      <c r="F126" s="1495"/>
      <c r="G126" s="353"/>
      <c r="H126" s="1495"/>
      <c r="I126" s="353"/>
      <c r="J126" s="1495"/>
      <c r="Y126" s="355"/>
      <c r="AA126" s="1487"/>
      <c r="AB126" s="457"/>
      <c r="AC126" s="1487"/>
      <c r="AD126" s="457"/>
      <c r="AE126" s="1487"/>
      <c r="AT126" s="355"/>
      <c r="AV126" s="1507"/>
      <c r="AX126" s="1507"/>
      <c r="AZ126" s="1507"/>
      <c r="BP126" s="1513">
        <v>0.33333333333333331</v>
      </c>
      <c r="BR126" s="1509">
        <v>0.16666666666666666</v>
      </c>
      <c r="BS126" s="1511">
        <v>0.16666666666666666</v>
      </c>
      <c r="BU126" s="1513">
        <v>0.33333333333333331</v>
      </c>
      <c r="BV126" s="350"/>
      <c r="BW126" s="350"/>
      <c r="BX126" s="350"/>
      <c r="BY126" s="350"/>
      <c r="BZ126" s="350"/>
      <c r="CA126" s="350"/>
      <c r="CB126" s="350"/>
      <c r="CC126" s="350"/>
      <c r="CD126" s="350"/>
      <c r="CE126" s="350"/>
      <c r="CF126" s="350"/>
      <c r="CG126" s="350"/>
      <c r="CH126" s="350"/>
      <c r="CI126" s="350"/>
      <c r="CJ126" s="350"/>
      <c r="CK126" s="350"/>
      <c r="CN126" s="355"/>
      <c r="CP126" s="1487"/>
      <c r="CQ126" s="386">
        <f>AB127</f>
        <v>206.12759154222999</v>
      </c>
      <c r="CR126" s="1487"/>
      <c r="CS126" s="386">
        <f>AD127</f>
        <v>206.12759154222999</v>
      </c>
      <c r="CT126" s="1487"/>
    </row>
    <row r="127" spans="4:111" ht="21" customHeight="1">
      <c r="D127" s="355"/>
      <c r="E127" s="353">
        <v>7</v>
      </c>
      <c r="F127" s="389"/>
      <c r="G127" s="378" t="s">
        <v>19456</v>
      </c>
      <c r="H127" s="389"/>
      <c r="I127" s="378" t="s">
        <v>19456</v>
      </c>
      <c r="J127" s="390"/>
      <c r="M127" s="1426"/>
      <c r="O127" s="1426"/>
      <c r="Q127" s="1426"/>
      <c r="S127" s="1426"/>
      <c r="U127" s="1426"/>
      <c r="W127" s="1426"/>
      <c r="Y127" s="355"/>
      <c r="AA127" s="389"/>
      <c r="AB127" s="458">
        <f>(AA125*(AW127*BP126/(AV125*'1-Eng Inputs'!$C$38))+AA128*(AW127*BP128/(AV128*'1-Eng Inputs'!$C$38))+AC125*(AW127*BR126/(AX125*'1-Eng Inputs'!$C$38))+AC128*(AW127*BR128/(AX128*'1-Eng Inputs'!$C$38)))</f>
        <v>206.12759154222999</v>
      </c>
      <c r="AC127" s="389"/>
      <c r="AD127" s="458">
        <f>(AC125*(AY127*BS126/(AX125*'1-Eng Inputs'!$C$38))+AC128*(AY127*BS128/(AX128*'1-Eng Inputs'!$C$38))+AE125*(AY127*BU126/(AZ125*'1-Eng Inputs'!$C$38))+AE128*(AY127*BU128/(AZ128*'1-Eng Inputs'!$C$38)))</f>
        <v>206.12759154222999</v>
      </c>
      <c r="AE127" s="390"/>
      <c r="AH127" s="391"/>
      <c r="AJ127" s="391"/>
      <c r="AL127" s="391"/>
      <c r="AN127" s="391"/>
      <c r="AP127" s="391"/>
      <c r="AR127" s="1426"/>
      <c r="AT127" s="355"/>
      <c r="AU127" s="353">
        <v>7</v>
      </c>
      <c r="AW127" s="348">
        <f>AW124</f>
        <v>182.83742403897963</v>
      </c>
      <c r="AX127" s="375"/>
      <c r="AY127" s="348">
        <f>AY124</f>
        <v>182.83742403897963</v>
      </c>
      <c r="AZ127" s="375"/>
      <c r="BC127" s="1426"/>
      <c r="BE127" s="1426"/>
      <c r="BG127" s="1426"/>
      <c r="BI127" s="1426"/>
      <c r="BK127" s="1426"/>
      <c r="BM127" s="1426"/>
      <c r="BQ127" s="381"/>
      <c r="BT127" s="381"/>
      <c r="BV127" s="350"/>
      <c r="BW127" s="350"/>
      <c r="BX127" s="350"/>
      <c r="BY127" s="350"/>
      <c r="BZ127" s="350"/>
      <c r="CA127" s="350"/>
      <c r="CB127" s="350"/>
      <c r="CC127" s="350"/>
      <c r="CD127" s="350"/>
      <c r="CE127" s="350"/>
      <c r="CF127" s="350"/>
      <c r="CG127" s="350"/>
      <c r="CH127" s="350"/>
      <c r="CI127" s="350"/>
      <c r="CJ127" s="1426"/>
      <c r="CK127" s="350"/>
      <c r="CN127" s="355"/>
      <c r="CO127" s="353">
        <v>7</v>
      </c>
      <c r="CP127" s="389"/>
      <c r="CQ127" s="388">
        <f>AW127</f>
        <v>182.83742403897963</v>
      </c>
      <c r="CR127" s="389"/>
      <c r="CS127" s="388">
        <f>AY127</f>
        <v>182.83742403897963</v>
      </c>
      <c r="CT127" s="382"/>
      <c r="CW127" s="1426"/>
      <c r="CY127" s="1426"/>
      <c r="DA127" s="1426"/>
      <c r="DC127" s="1426"/>
      <c r="DE127" s="1426"/>
      <c r="DG127" s="1426"/>
    </row>
    <row r="128" spans="4:111">
      <c r="D128" s="355"/>
      <c r="F128" s="1494">
        <f>IF($P$4="NO",ROUNDUP(CP128-0.00499,0),LEFT(CP128,1)+(IF(CP128-LEFT(CP128,1)&lt;0.00499,0,IF(CP128-LEFT(CP128,1)-0.04499&lt;('1-Eng Inputs'!$C$39/'1-Eng Inputs'!$C$38),0.5,1))))</f>
        <v>5</v>
      </c>
      <c r="G128" s="353"/>
      <c r="H128" s="1494">
        <f>IF($P$4="NO",ROUNDUP(CR128-0.00499,0),LEFT(CR128,1)+(IF(CR128-LEFT(CR128,1)&lt;0.00499,0,IF(CR128-LEFT(CR128,1)-0.04499&lt;('1-Eng Inputs'!$C$39/'1-Eng Inputs'!$C$38),0.5,1))))</f>
        <v>5</v>
      </c>
      <c r="I128" s="353"/>
      <c r="J128" s="1494">
        <f>IF($P$4="NO",ROUNDUP(CT128-0.00499,0),LEFT(CT128,1)+(IF(CT128-LEFT(CT128,1)&lt;0.00499,0,IF(CT128-LEFT(CT128,1)-0.04499&lt;('1-Eng Inputs'!$C$39/'1-Eng Inputs'!$C$38),0.5,1))))</f>
        <v>5</v>
      </c>
      <c r="Y128" s="355"/>
      <c r="AA128" s="1486">
        <f>IF(LEFT(F128,3)-LEFT(F128,1)=0.5,'1-Eng Inputs'!$C$39,0)+LEFT(F128,1)*'1-Eng Inputs'!$C$38</f>
        <v>160</v>
      </c>
      <c r="AC128" s="1486">
        <f>IF(LEFT(H128,3)-LEFT(H128,1)=0.5,'1-Eng Inputs'!$C$39,0)+LEFT(H128,1)*'1-Eng Inputs'!$C$38</f>
        <v>160</v>
      </c>
      <c r="AE128" s="1486">
        <f>IF(LEFT(J128,3)-LEFT(J128,1)=0.5,'1-Eng Inputs'!$C$39,0)+LEFT(J128,1)*'1-Eng Inputs'!$C$38</f>
        <v>160</v>
      </c>
      <c r="AT128" s="355"/>
      <c r="AV128" s="1506">
        <f>(BP128*AW127+AW130*BP129)/'1-Eng Inputs'!$C$38</f>
        <v>4.1505816453106581</v>
      </c>
      <c r="AX128" s="1506">
        <f>(AW127*BR128+AY127*BS128+AW130*BR129+AY130*BS129)/'1-Eng Inputs'!$C$38</f>
        <v>4.1505816453106581</v>
      </c>
      <c r="AZ128" s="1506">
        <f>(BU128*AY127+AY130*BU129)/'1-Eng Inputs'!$C$38</f>
        <v>4.1505816453106581</v>
      </c>
      <c r="BP128" s="1512">
        <v>0.33333333333333331</v>
      </c>
      <c r="BR128" s="1508">
        <v>0.16666666666666666</v>
      </c>
      <c r="BS128" s="1510">
        <v>0.16666666666666666</v>
      </c>
      <c r="BU128" s="1512">
        <v>0.33333333333333331</v>
      </c>
      <c r="BV128" s="350"/>
      <c r="BW128" s="350"/>
      <c r="BX128" s="350"/>
      <c r="BY128" s="1426"/>
      <c r="BZ128" s="350"/>
      <c r="CA128" s="1426"/>
      <c r="CB128" s="350"/>
      <c r="CC128" s="1426"/>
      <c r="CD128" s="350"/>
      <c r="CE128" s="1426"/>
      <c r="CF128" s="350"/>
      <c r="CG128" s="1426"/>
      <c r="CH128" s="350"/>
      <c r="CI128" s="1426"/>
      <c r="CJ128" s="350"/>
      <c r="CK128" s="350"/>
      <c r="CN128" s="355"/>
      <c r="CP128" s="1486">
        <f>AV128</f>
        <v>4.1505816453106581</v>
      </c>
      <c r="CR128" s="1486">
        <f>AX128</f>
        <v>4.1505816453106581</v>
      </c>
      <c r="CT128" s="1486">
        <f>AZ128</f>
        <v>4.1505816453106581</v>
      </c>
    </row>
    <row r="129" spans="1:111" ht="12.75" hidden="1" customHeight="1">
      <c r="D129" s="355"/>
      <c r="F129" s="1495"/>
      <c r="G129" s="353"/>
      <c r="H129" s="1495"/>
      <c r="I129" s="353"/>
      <c r="J129" s="1495"/>
      <c r="Y129" s="355"/>
      <c r="AA129" s="1487"/>
      <c r="AB129" s="457"/>
      <c r="AC129" s="1487"/>
      <c r="AD129" s="457"/>
      <c r="AE129" s="1487"/>
      <c r="AT129" s="355"/>
      <c r="AV129" s="1507"/>
      <c r="AX129" s="1507"/>
      <c r="AZ129" s="1507"/>
      <c r="BP129" s="1513">
        <v>0.33333333333333331</v>
      </c>
      <c r="BR129" s="1509">
        <v>0.16666666666666666</v>
      </c>
      <c r="BS129" s="1511">
        <v>0.16666666666666666</v>
      </c>
      <c r="BU129" s="1513">
        <v>0.33333333333333331</v>
      </c>
      <c r="BV129" s="350"/>
      <c r="BW129" s="350"/>
      <c r="BX129" s="350"/>
      <c r="BY129" s="350"/>
      <c r="BZ129" s="350"/>
      <c r="CA129" s="350"/>
      <c r="CB129" s="350"/>
      <c r="CC129" s="350"/>
      <c r="CD129" s="350"/>
      <c r="CE129" s="350"/>
      <c r="CF129" s="350"/>
      <c r="CG129" s="350"/>
      <c r="CH129" s="350"/>
      <c r="CI129" s="350"/>
      <c r="CJ129" s="350"/>
      <c r="CK129" s="350"/>
      <c r="CN129" s="355"/>
      <c r="CP129" s="1487"/>
      <c r="CQ129" s="386">
        <f>AB130</f>
        <v>249.87240845777001</v>
      </c>
      <c r="CR129" s="1487"/>
      <c r="CS129" s="386">
        <f>AD130</f>
        <v>249.87240845777001</v>
      </c>
      <c r="CT129" s="1487"/>
    </row>
    <row r="130" spans="1:111" ht="21" customHeight="1">
      <c r="D130" s="355"/>
      <c r="E130" s="353">
        <v>8</v>
      </c>
      <c r="F130" s="389"/>
      <c r="G130" s="378" t="s">
        <v>19456</v>
      </c>
      <c r="H130" s="389"/>
      <c r="I130" s="378" t="s">
        <v>19456</v>
      </c>
      <c r="J130" s="390"/>
      <c r="M130" s="1426"/>
      <c r="O130" s="1426"/>
      <c r="Q130" s="1426"/>
      <c r="S130" s="1426"/>
      <c r="U130" s="1426"/>
      <c r="W130" s="1426"/>
      <c r="Y130" s="355"/>
      <c r="AA130" s="389"/>
      <c r="AB130" s="458">
        <f>(AA128*(AW130*BP129/(AV128*'1-Eng Inputs'!$C$38))+AA131*(AW130*BP131/(AV131*'1-Eng Inputs'!$C$38))/factors!$B$4+AC128*(AW130*BR129/(AX128*'1-Eng Inputs'!$C$38))+AC131*(AW130*BR131/(AX131*'1-Eng Inputs'!$C$38))/factors!$B$4)</f>
        <v>249.87240845777001</v>
      </c>
      <c r="AC130" s="389"/>
      <c r="AD130" s="458">
        <f>(AC128*(AY130*BS129/(AX128*'1-Eng Inputs'!$C$38))+AC131*(AY130*BS131/(AX131*'1-Eng Inputs'!$C$38))/factors!$B$4+AE128*(AY130*BU129/(AZ128*'1-Eng Inputs'!$C$38))+AE131*(AY130*BU131/(AZ131*'1-Eng Inputs'!$C$38))/factors!$B$4)</f>
        <v>249.87240845777001</v>
      </c>
      <c r="AE130" s="390"/>
      <c r="AH130" s="391"/>
      <c r="AJ130" s="391"/>
      <c r="AL130" s="391"/>
      <c r="AN130" s="391"/>
      <c r="AP130" s="391"/>
      <c r="AR130" s="1426"/>
      <c r="AT130" s="355"/>
      <c r="AU130" s="353">
        <v>8</v>
      </c>
      <c r="AV130" s="375"/>
      <c r="AW130" s="348">
        <f>'Port Calcs (lift)'!H26</f>
        <v>215.61841391084357</v>
      </c>
      <c r="AX130" s="375"/>
      <c r="AY130" s="348">
        <f>'Port Calcs (lift)'!H26</f>
        <v>215.61841391084357</v>
      </c>
      <c r="AZ130" s="375"/>
      <c r="BC130" s="1426"/>
      <c r="BE130" s="1426"/>
      <c r="BG130" s="1426"/>
      <c r="BI130" s="1426"/>
      <c r="BK130" s="1426"/>
      <c r="BM130" s="1426"/>
      <c r="BQ130" s="381"/>
      <c r="BT130" s="381"/>
      <c r="BV130" s="350"/>
      <c r="BW130" s="350"/>
      <c r="BX130" s="350"/>
      <c r="BY130" s="350"/>
      <c r="BZ130" s="350"/>
      <c r="CA130" s="350"/>
      <c r="CB130" s="350"/>
      <c r="CC130" s="350"/>
      <c r="CD130" s="350"/>
      <c r="CE130" s="350"/>
      <c r="CF130" s="350"/>
      <c r="CG130" s="350"/>
      <c r="CH130" s="350"/>
      <c r="CI130" s="350"/>
      <c r="CJ130" s="1426"/>
      <c r="CK130" s="350"/>
      <c r="CN130" s="355"/>
      <c r="CO130" s="353">
        <v>8</v>
      </c>
      <c r="CP130" s="389"/>
      <c r="CQ130" s="388">
        <f>AW130</f>
        <v>215.61841391084357</v>
      </c>
      <c r="CR130" s="389"/>
      <c r="CS130" s="388">
        <f>AY130</f>
        <v>215.61841391084357</v>
      </c>
      <c r="CT130" s="382"/>
      <c r="CW130" s="1426"/>
      <c r="CY130" s="1426"/>
      <c r="DA130" s="1426"/>
      <c r="DC130" s="1426"/>
      <c r="DE130" s="1426"/>
      <c r="DG130" s="1426"/>
    </row>
    <row r="131" spans="1:111" ht="12.75" hidden="1" customHeight="1">
      <c r="F131" s="1516"/>
      <c r="H131" s="1516"/>
      <c r="J131" s="1516"/>
      <c r="AA131" s="1486">
        <f>IF(LEFT(F132,3)-LEFT(F132,1)=0.5,'1-Eng Inputs'!$C$39,0)+LEFT(F132,1)*'1-Eng Inputs'!$C$38</f>
        <v>128</v>
      </c>
      <c r="AC131" s="1486">
        <f>IF(LEFT(H132,3)-LEFT(H132,1)=0.5,'1-Eng Inputs'!$C$39,0)+LEFT(H132,1)*'1-Eng Inputs'!$C$38</f>
        <v>128</v>
      </c>
      <c r="AE131" s="1486">
        <f>IF(LEFT(J132,3)-LEFT(J132,1)=0.5,'1-Eng Inputs'!$C$39,0)+LEFT(J132,1)*'1-Eng Inputs'!$C$38</f>
        <v>128</v>
      </c>
      <c r="AV131" s="1506">
        <f>(BP131*AW130)/'1-Eng Inputs'!$C$38</f>
        <v>2.2460251449046202</v>
      </c>
      <c r="AX131" s="1506">
        <f>(AW130*BR131+AY130*BS131)/'1-Eng Inputs'!$C$38</f>
        <v>2.2460251449046202</v>
      </c>
      <c r="AZ131" s="1506">
        <f>(BU131*AY130)/'1-Eng Inputs'!$C$38</f>
        <v>2.2460251449046202</v>
      </c>
      <c r="BP131" s="1512">
        <v>0.33333333333333331</v>
      </c>
      <c r="BR131" s="1508">
        <v>0.16666666666666666</v>
      </c>
      <c r="BS131" s="1510">
        <v>0.16666666666666666</v>
      </c>
      <c r="BU131" s="1512">
        <v>0.33333333333333331</v>
      </c>
      <c r="BV131" s="350"/>
      <c r="BW131" s="350"/>
      <c r="BX131" s="350"/>
      <c r="BY131" s="1426"/>
      <c r="BZ131" s="350"/>
      <c r="CA131" s="1426"/>
      <c r="CB131" s="350"/>
      <c r="CC131" s="1426"/>
      <c r="CD131" s="350"/>
      <c r="CE131" s="1426"/>
      <c r="CF131" s="350"/>
      <c r="CG131" s="1426"/>
      <c r="CH131" s="350"/>
      <c r="CI131" s="1426"/>
      <c r="CJ131" s="350"/>
      <c r="CK131" s="350"/>
      <c r="CP131" s="1486">
        <f>AV131</f>
        <v>2.2460251449046202</v>
      </c>
      <c r="CR131" s="1486">
        <f>AX131</f>
        <v>2.2460251449046202</v>
      </c>
      <c r="CT131" s="1486">
        <f>AZ131</f>
        <v>2.2460251449046202</v>
      </c>
    </row>
    <row r="132" spans="1:111">
      <c r="F132" s="1495">
        <f>IF($P$4="NO",ROUNDUP(CP132,0),LEFT(CP132,1)+(IF(CP132-LEFT(CP132,1)&lt;0.01,0,IF(CP132-LEFT(CP132,1)&lt;('1-Eng Inputs'!$C$39/'1-Eng Inputs'!$C$38),0.5,1))))</f>
        <v>4</v>
      </c>
      <c r="G132" s="353"/>
      <c r="H132" s="1495">
        <f>IF($P$4="NO",ROUNDUP(CR132,0),LEFT(CR132,1)+(IF(CR132-LEFT(CR132,1)&lt;0.01,0,IF(CR132-LEFT(CR132,1)&lt;('1-Eng Inputs'!$C$39/'1-Eng Inputs'!$C$38),0.5,1))))</f>
        <v>4</v>
      </c>
      <c r="I132" s="353"/>
      <c r="J132" s="1495">
        <f>IF($P$4="NO",ROUNDUP(CT132,0),LEFT(CT132,1)+(IF(CT132-LEFT(CT132,1)&lt;0.01,0,IF(CT132-LEFT(CT132,1)&lt;('1-Eng Inputs'!$C$39/'1-Eng Inputs'!$C$38),0.5,1))))</f>
        <v>4</v>
      </c>
      <c r="AA132" s="1487"/>
      <c r="AC132" s="1487"/>
      <c r="AE132" s="1487"/>
      <c r="AV132" s="1507">
        <f>AV131*factors!$B$4</f>
        <v>3.5936402318473926</v>
      </c>
      <c r="AX132" s="1507">
        <f>AX131*factors!$B$4</f>
        <v>3.5936402318473926</v>
      </c>
      <c r="AZ132" s="1507">
        <f>AZ131*factors!$B$4</f>
        <v>3.5936402318473926</v>
      </c>
      <c r="BP132" s="1513"/>
      <c r="BR132" s="1509"/>
      <c r="BS132" s="1511"/>
      <c r="BU132" s="1513"/>
      <c r="BY132" s="350"/>
      <c r="BZ132" s="350"/>
      <c r="CA132" s="350"/>
      <c r="CB132" s="350"/>
      <c r="CC132" s="350"/>
      <c r="CD132" s="350"/>
      <c r="CE132" s="350"/>
      <c r="CF132" s="350"/>
      <c r="CG132" s="350"/>
      <c r="CH132" s="350"/>
      <c r="CI132" s="350"/>
      <c r="CJ132" s="350"/>
      <c r="CK132" s="350"/>
      <c r="CP132" s="1487">
        <f>AV132</f>
        <v>3.5936402318473926</v>
      </c>
      <c r="CR132" s="1487">
        <f>AX132</f>
        <v>3.5936402318473926</v>
      </c>
      <c r="CT132" s="1487">
        <f>AZ132</f>
        <v>3.5936402318473926</v>
      </c>
    </row>
    <row r="133" spans="1:111">
      <c r="C133" s="349"/>
      <c r="BY133" s="350"/>
      <c r="BZ133" s="350"/>
      <c r="CA133" s="350"/>
      <c r="CB133" s="350"/>
      <c r="CC133" s="350"/>
      <c r="CD133" s="350"/>
      <c r="CE133" s="350"/>
      <c r="CF133" s="350"/>
      <c r="CG133" s="350"/>
      <c r="CH133" s="350"/>
      <c r="CI133" s="350"/>
      <c r="CJ133" s="350"/>
    </row>
    <row r="134" spans="1:111">
      <c r="A134" s="349" t="s">
        <v>19437</v>
      </c>
      <c r="C134" s="352"/>
      <c r="D134" s="352"/>
      <c r="F134" s="375"/>
      <c r="G134" s="375"/>
      <c r="H134" s="375"/>
      <c r="I134" s="375"/>
      <c r="J134" s="375"/>
      <c r="K134" s="375"/>
      <c r="L134" s="375"/>
      <c r="M134" s="375"/>
      <c r="N134" s="375"/>
      <c r="O134" s="375"/>
      <c r="P134" s="375"/>
      <c r="Q134" s="375"/>
      <c r="R134" s="375"/>
      <c r="S134" s="375"/>
      <c r="Y134" s="352"/>
      <c r="AT134" s="349" t="s">
        <v>19452</v>
      </c>
      <c r="AW134" s="375"/>
      <c r="BP134" s="350"/>
      <c r="CN134" s="352"/>
      <c r="CQ134" s="375"/>
    </row>
    <row r="135" spans="1:111">
      <c r="C135" s="1426"/>
      <c r="D135" s="356"/>
      <c r="F135" s="375"/>
      <c r="G135" s="357" t="s">
        <v>233</v>
      </c>
      <c r="H135" s="375"/>
      <c r="I135" s="375"/>
      <c r="J135" s="375"/>
      <c r="K135" s="375"/>
      <c r="L135" s="375"/>
      <c r="M135" s="375"/>
      <c r="N135" s="375"/>
      <c r="O135" s="375"/>
      <c r="P135" s="375"/>
      <c r="Q135" s="375"/>
      <c r="R135" s="375"/>
      <c r="S135" s="375"/>
      <c r="Y135" s="356"/>
      <c r="AB135" s="456"/>
      <c r="AT135" s="356"/>
      <c r="AW135" s="357" t="s">
        <v>233</v>
      </c>
      <c r="BP135" s="370" t="s">
        <v>19376</v>
      </c>
      <c r="CN135" s="356"/>
      <c r="CQ135" s="357" t="s">
        <v>233</v>
      </c>
    </row>
    <row r="136" spans="1:111">
      <c r="C136" s="1426"/>
      <c r="D136" s="356"/>
      <c r="F136" s="375"/>
      <c r="G136" s="352">
        <v>1</v>
      </c>
      <c r="H136" s="375"/>
      <c r="I136" s="375"/>
      <c r="J136" s="375"/>
      <c r="K136" s="375"/>
      <c r="L136" s="375"/>
      <c r="M136" s="375"/>
      <c r="N136" s="375"/>
      <c r="O136" s="375"/>
      <c r="P136" s="375"/>
      <c r="Q136" s="375"/>
      <c r="R136" s="375"/>
      <c r="S136" s="375"/>
      <c r="Y136" s="356"/>
      <c r="AB136" s="456"/>
      <c r="AT136" s="356"/>
      <c r="AW136" s="352">
        <v>1</v>
      </c>
      <c r="BP136" s="350"/>
      <c r="CN136" s="356"/>
      <c r="CQ136" s="352">
        <v>1</v>
      </c>
    </row>
    <row r="137" spans="1:111">
      <c r="F137" s="1494">
        <f>IF($P$4="NO",ROUNDUP(CP137-0.00499,0),LEFT(CP137,1)+(IF(CP137-LEFT(CP137,1)&lt;0.00499,0,IF(CP137-LEFT(CP137,1)-0.04499&lt;('1-Eng Inputs'!$C$39/'1-Eng Inputs'!$C$38),0.5,1))))</f>
        <v>3</v>
      </c>
      <c r="G137" s="353"/>
      <c r="H137" s="1494">
        <f>IF($P$4="NO",ROUNDUP(CR137-0.00499,0),LEFT(CR137,1)+(IF(CR137-LEFT(CR137,1)&lt;0.00499,0,IF(CR137-LEFT(CR137,1)-0.04499&lt;('1-Eng Inputs'!$C$39/'1-Eng Inputs'!$C$38),0.5,1))))</f>
        <v>3</v>
      </c>
      <c r="I137" s="356"/>
      <c r="J137" s="356"/>
      <c r="K137" s="356"/>
      <c r="L137" s="356"/>
      <c r="M137" s="356"/>
      <c r="N137" s="356"/>
      <c r="O137" s="356"/>
      <c r="P137" s="356"/>
      <c r="Q137" s="356"/>
      <c r="R137" s="356"/>
      <c r="S137" s="356"/>
      <c r="T137" s="1426"/>
      <c r="U137" s="1426"/>
      <c r="V137" s="1426"/>
      <c r="W137" s="1426"/>
      <c r="AA137" s="1490">
        <f>IF(LEFT(F137,3)-LEFT(F137,1)=0.5,'1-Eng Inputs'!$C$39,0)+LEFT(F137,1)*'1-Eng Inputs'!$C$38</f>
        <v>96</v>
      </c>
      <c r="AC137" s="1490">
        <f>IF(LEFT(H137,3)-LEFT(H137,1)=0.5,'1-Eng Inputs'!$C$39,0)+LEFT(H137,1)*'1-Eng Inputs'!$C$38</f>
        <v>96</v>
      </c>
      <c r="AD137" s="391"/>
      <c r="AE137" s="1426"/>
      <c r="AF137" s="391"/>
      <c r="AG137" s="1426"/>
      <c r="AH137" s="391"/>
      <c r="AI137" s="1426"/>
      <c r="AJ137" s="391"/>
      <c r="AK137" s="1426"/>
      <c r="AL137" s="391"/>
      <c r="AM137" s="1426"/>
      <c r="AN137" s="391"/>
      <c r="AO137" s="1426"/>
      <c r="AP137" s="391"/>
      <c r="AQ137" s="1426"/>
      <c r="AR137" s="1426"/>
      <c r="AV137" s="1506">
        <f>AV138*factors!$B$3</f>
        <v>2.6272329596924853</v>
      </c>
      <c r="AX137" s="1506">
        <f>AX138*factors!$B$3</f>
        <v>2.6272329596924853</v>
      </c>
      <c r="AY137" s="1426"/>
      <c r="AZ137" s="1426"/>
      <c r="BA137" s="1426"/>
      <c r="BB137" s="1426"/>
      <c r="BC137" s="1426"/>
      <c r="BD137" s="1426"/>
      <c r="BE137" s="1426"/>
      <c r="BF137" s="1426"/>
      <c r="BG137" s="1426"/>
      <c r="BH137" s="1426"/>
      <c r="BI137" s="1426"/>
      <c r="BJ137" s="1426"/>
      <c r="BK137" s="1426"/>
      <c r="BL137" s="1426"/>
      <c r="BM137" s="1426"/>
      <c r="BP137" s="1512">
        <v>0.25</v>
      </c>
      <c r="BR137" s="1512">
        <v>0.25</v>
      </c>
      <c r="BU137" s="373"/>
      <c r="BV137" s="373"/>
      <c r="BW137" s="373"/>
      <c r="BX137" s="373"/>
      <c r="BY137" s="373"/>
      <c r="BZ137" s="373"/>
      <c r="CA137" s="373"/>
      <c r="CB137" s="373"/>
      <c r="CC137" s="373"/>
      <c r="CD137" s="373"/>
      <c r="CE137" s="373"/>
      <c r="CF137" s="373"/>
      <c r="CG137" s="373"/>
      <c r="CH137" s="373"/>
      <c r="CI137" s="373"/>
      <c r="CJ137" s="373"/>
      <c r="CK137" s="373"/>
      <c r="CP137" s="1490">
        <f>AV137</f>
        <v>2.6272329596924853</v>
      </c>
      <c r="CR137" s="1490">
        <f t="shared" ref="CR137:CR143" si="0">AX137</f>
        <v>2.6272329596924853</v>
      </c>
      <c r="CS137" s="1426"/>
      <c r="CT137" s="1426"/>
      <c r="CU137" s="1426"/>
      <c r="CV137" s="1426"/>
      <c r="CW137" s="1426"/>
      <c r="CX137" s="1426"/>
      <c r="CY137" s="1426"/>
      <c r="CZ137" s="1426"/>
      <c r="DA137" s="1426"/>
      <c r="DB137" s="1426"/>
      <c r="DC137" s="1426"/>
      <c r="DD137" s="1426"/>
      <c r="DE137" s="1426"/>
      <c r="DF137" s="1426"/>
      <c r="DG137" s="1426"/>
    </row>
    <row r="138" spans="1:111" ht="12.75" hidden="1" customHeight="1">
      <c r="F138" s="1495"/>
      <c r="G138" s="353"/>
      <c r="H138" s="1495"/>
      <c r="I138" s="356"/>
      <c r="J138" s="356"/>
      <c r="K138" s="356"/>
      <c r="L138" s="356"/>
      <c r="M138" s="356"/>
      <c r="N138" s="356"/>
      <c r="O138" s="356"/>
      <c r="P138" s="356"/>
      <c r="Q138" s="356"/>
      <c r="R138" s="356"/>
      <c r="S138" s="356"/>
      <c r="T138" s="1426"/>
      <c r="U138" s="1426"/>
      <c r="V138" s="1426"/>
      <c r="W138" s="1426"/>
      <c r="AA138" s="1491"/>
      <c r="AB138" s="457"/>
      <c r="AC138" s="1491"/>
      <c r="AD138" s="391"/>
      <c r="AE138" s="1426"/>
      <c r="AF138" s="391"/>
      <c r="AG138" s="1426"/>
      <c r="AH138" s="391"/>
      <c r="AI138" s="1426"/>
      <c r="AJ138" s="391"/>
      <c r="AK138" s="1426"/>
      <c r="AL138" s="391"/>
      <c r="AM138" s="1426"/>
      <c r="AN138" s="391"/>
      <c r="AO138" s="1426"/>
      <c r="AP138" s="391"/>
      <c r="AQ138" s="1426"/>
      <c r="AR138" s="1426"/>
      <c r="AV138" s="1507">
        <f>(AW139*BP137)/'1-Eng Inputs'!$C$38</f>
        <v>1.8765949712089181</v>
      </c>
      <c r="AX138" s="1507">
        <f>(AW139*BR137)/'1-Eng Inputs'!$C$38</f>
        <v>1.8765949712089181</v>
      </c>
      <c r="AY138" s="1426"/>
      <c r="AZ138" s="1426"/>
      <c r="BA138" s="1426"/>
      <c r="BB138" s="1426"/>
      <c r="BC138" s="1426"/>
      <c r="BD138" s="1426"/>
      <c r="BE138" s="1426"/>
      <c r="BF138" s="1426"/>
      <c r="BG138" s="1426"/>
      <c r="BH138" s="1426"/>
      <c r="BI138" s="1426"/>
      <c r="BJ138" s="1426"/>
      <c r="BK138" s="1426"/>
      <c r="BL138" s="1426"/>
      <c r="BM138" s="1426"/>
      <c r="BP138" s="1513"/>
      <c r="BR138" s="1513"/>
      <c r="BU138" s="373"/>
      <c r="BV138" s="373"/>
      <c r="BW138" s="373"/>
      <c r="BX138" s="373"/>
      <c r="BY138" s="373"/>
      <c r="BZ138" s="373"/>
      <c r="CA138" s="373"/>
      <c r="CB138" s="373"/>
      <c r="CC138" s="373"/>
      <c r="CD138" s="373"/>
      <c r="CE138" s="373"/>
      <c r="CF138" s="373"/>
      <c r="CG138" s="373"/>
      <c r="CH138" s="373"/>
      <c r="CI138" s="373"/>
      <c r="CJ138" s="373"/>
      <c r="CK138" s="373"/>
      <c r="CP138" s="1491">
        <f>AV138</f>
        <v>1.8765949712089181</v>
      </c>
      <c r="CQ138" s="386">
        <f>AB139</f>
        <v>265.14285714285711</v>
      </c>
      <c r="CR138" s="1491">
        <f t="shared" si="0"/>
        <v>1.8765949712089181</v>
      </c>
      <c r="CS138" s="1426"/>
      <c r="CT138" s="1426"/>
      <c r="CU138" s="1426"/>
      <c r="CV138" s="1426"/>
      <c r="CW138" s="1426"/>
      <c r="CX138" s="1426"/>
      <c r="CY138" s="1426"/>
      <c r="CZ138" s="1426"/>
      <c r="DA138" s="1426"/>
      <c r="DB138" s="1426"/>
      <c r="DC138" s="1426"/>
      <c r="DD138" s="1426"/>
      <c r="DE138" s="1426"/>
      <c r="DF138" s="1426"/>
      <c r="DG138" s="1426"/>
    </row>
    <row r="139" spans="1:111" ht="21" customHeight="1">
      <c r="D139" s="354" t="s">
        <v>234</v>
      </c>
      <c r="E139" s="353">
        <v>1</v>
      </c>
      <c r="F139" s="389"/>
      <c r="G139" s="378" t="s">
        <v>19459</v>
      </c>
      <c r="H139" s="390"/>
      <c r="I139" s="356"/>
      <c r="J139" s="356"/>
      <c r="K139" s="356"/>
      <c r="L139" s="356"/>
      <c r="M139" s="356"/>
      <c r="N139" s="356"/>
      <c r="O139" s="356"/>
      <c r="P139" s="356"/>
      <c r="Q139" s="356"/>
      <c r="R139" s="356"/>
      <c r="S139" s="356"/>
      <c r="T139" s="1426"/>
      <c r="U139" s="1426"/>
      <c r="V139" s="1426"/>
      <c r="W139" s="1426"/>
      <c r="Y139" s="354"/>
      <c r="AA139" s="389"/>
      <c r="AB139" s="458">
        <f>(AA137*(AW139*BP137/(AV138*'1-Eng Inputs'!$C$38))/factors!$B$3+AA140*(AW139*BP140/(AV140*'1-Eng Inputs'!$C$38))+AC137*(AW139*BR137/(AX138*'1-Eng Inputs'!$C$38))/factors!$B$3+AC140*(AW139*BR140/(AX140*'1-Eng Inputs'!$C$38)))</f>
        <v>265.14285714285711</v>
      </c>
      <c r="AC139" s="390"/>
      <c r="AD139" s="391"/>
      <c r="AE139" s="1426"/>
      <c r="AF139" s="391"/>
      <c r="AG139" s="1426"/>
      <c r="AH139" s="391"/>
      <c r="AI139" s="1426"/>
      <c r="AJ139" s="391"/>
      <c r="AK139" s="1426"/>
      <c r="AL139" s="391"/>
      <c r="AM139" s="1426"/>
      <c r="AN139" s="391"/>
      <c r="AO139" s="1426"/>
      <c r="AP139" s="391"/>
      <c r="AQ139" s="1426"/>
      <c r="AR139" s="1426"/>
      <c r="AT139" s="354" t="s">
        <v>234</v>
      </c>
      <c r="AU139" s="353">
        <v>1</v>
      </c>
      <c r="AW139" s="348">
        <f>'Port Calcs (lift)'!D37</f>
        <v>240.20415631474151</v>
      </c>
      <c r="AX139" s="375"/>
      <c r="AY139" s="1426"/>
      <c r="AZ139" s="1426"/>
      <c r="BA139" s="1426"/>
      <c r="BB139" s="1426"/>
      <c r="BC139" s="1426"/>
      <c r="BD139" s="1426"/>
      <c r="BE139" s="1426"/>
      <c r="BF139" s="1426"/>
      <c r="BG139" s="1426"/>
      <c r="BH139" s="1426"/>
      <c r="BI139" s="1426"/>
      <c r="BJ139" s="1426"/>
      <c r="BK139" s="1426"/>
      <c r="BL139" s="1426"/>
      <c r="BM139" s="1426"/>
      <c r="BQ139" s="381"/>
      <c r="BU139" s="373"/>
      <c r="BV139" s="373"/>
      <c r="BW139" s="373"/>
      <c r="BX139" s="373"/>
      <c r="BY139" s="373"/>
      <c r="BZ139" s="373"/>
      <c r="CA139" s="373"/>
      <c r="CB139" s="373"/>
      <c r="CC139" s="373"/>
      <c r="CD139" s="373"/>
      <c r="CE139" s="373"/>
      <c r="CF139" s="373"/>
      <c r="CG139" s="373"/>
      <c r="CH139" s="373"/>
      <c r="CI139" s="373"/>
      <c r="CJ139" s="373"/>
      <c r="CK139" s="373"/>
      <c r="CN139" s="354" t="s">
        <v>234</v>
      </c>
      <c r="CO139" s="353">
        <v>1</v>
      </c>
      <c r="CP139" s="389"/>
      <c r="CQ139" s="388">
        <f>AW139</f>
        <v>240.20415631474151</v>
      </c>
      <c r="CR139" s="390"/>
      <c r="CS139" s="1426"/>
      <c r="CT139" s="1426"/>
      <c r="CU139" s="1426"/>
      <c r="CV139" s="1426"/>
      <c r="CW139" s="1426"/>
      <c r="CX139" s="1426"/>
      <c r="CY139" s="1426"/>
      <c r="CZ139" s="1426"/>
      <c r="DA139" s="1426"/>
      <c r="DB139" s="1426"/>
      <c r="DC139" s="1426"/>
      <c r="DD139" s="1426"/>
      <c r="DE139" s="1426"/>
      <c r="DF139" s="1426"/>
      <c r="DG139" s="1426"/>
    </row>
    <row r="140" spans="1:111">
      <c r="F140" s="1494">
        <f>IF($P$4="NO",ROUNDUP(CP140,0),LEFT(CP140,1)+(IF(CP140-LEFT(CP140,1)&lt;0.01,0,IF(CP140-LEFT(CP140,1)&lt;('1-Eng Inputs'!$C$39/'1-Eng Inputs'!$C$38),0.5,1))))</f>
        <v>4</v>
      </c>
      <c r="G140" s="353"/>
      <c r="H140" s="1494">
        <f>IF($P$4="NO",ROUNDUP(CR140,0),LEFT(CR140,1)+(IF(CR140-LEFT(CR140,1)&lt;0.01,0,IF(CR140-LEFT(CR140,1)&lt;('1-Eng Inputs'!$C$39/'1-Eng Inputs'!$C$38),0.5,1))))</f>
        <v>4</v>
      </c>
      <c r="I140" s="356"/>
      <c r="J140" s="356"/>
      <c r="K140" s="356"/>
      <c r="L140" s="356"/>
      <c r="M140" s="356"/>
      <c r="N140" s="356"/>
      <c r="O140" s="356"/>
      <c r="P140" s="356"/>
      <c r="Q140" s="356"/>
      <c r="R140" s="356"/>
      <c r="S140" s="356"/>
      <c r="T140" s="1426"/>
      <c r="U140" s="1426"/>
      <c r="V140" s="1426"/>
      <c r="W140" s="1426"/>
      <c r="AA140" s="1490">
        <f>IF(LEFT(F140,3)-LEFT(F140,1)=0.5,'1-Eng Inputs'!$C$39,0)+LEFT(F140,1)*'1-Eng Inputs'!$C$38</f>
        <v>128</v>
      </c>
      <c r="AC140" s="1490">
        <f>IF(LEFT(H140,3)-LEFT(H140,1)=0.5,'1-Eng Inputs'!$C$39,0)+LEFT(H140,1)*'1-Eng Inputs'!$C$38</f>
        <v>128</v>
      </c>
      <c r="AD140" s="391"/>
      <c r="AE140" s="1426"/>
      <c r="AF140" s="391"/>
      <c r="AG140" s="1426"/>
      <c r="AH140" s="391"/>
      <c r="AI140" s="1426"/>
      <c r="AJ140" s="391"/>
      <c r="AK140" s="1426"/>
      <c r="AL140" s="391"/>
      <c r="AM140" s="1426"/>
      <c r="AN140" s="391"/>
      <c r="AO140" s="1426"/>
      <c r="AP140" s="391"/>
      <c r="AQ140" s="1426"/>
      <c r="AR140" s="1426"/>
      <c r="AV140" s="1506">
        <f>(AW139*BP140+AW142*BP141)/'1-Eng Inputs'!$C$38</f>
        <v>3.7531899424178361</v>
      </c>
      <c r="AX140" s="1506">
        <f>(AW139*BR140+AW142*BR141)/'1-Eng Inputs'!$C$38</f>
        <v>3.7531899424178361</v>
      </c>
      <c r="AY140" s="1426"/>
      <c r="AZ140" s="1426"/>
      <c r="BA140" s="1426"/>
      <c r="BB140" s="1426"/>
      <c r="BC140" s="1426"/>
      <c r="BD140" s="1426"/>
      <c r="BE140" s="1426"/>
      <c r="BF140" s="1426"/>
      <c r="BG140" s="1426"/>
      <c r="BH140" s="1426"/>
      <c r="BI140" s="1426"/>
      <c r="BJ140" s="1426"/>
      <c r="BK140" s="1426"/>
      <c r="BL140" s="1426"/>
      <c r="BM140" s="1426"/>
      <c r="BP140" s="1512">
        <v>0.25</v>
      </c>
      <c r="BR140" s="1512">
        <v>0.25</v>
      </c>
      <c r="BU140" s="373"/>
      <c r="BV140" s="373"/>
      <c r="BW140" s="373"/>
      <c r="BX140" s="373"/>
      <c r="BY140" s="373"/>
      <c r="BZ140" s="373"/>
      <c r="CA140" s="373"/>
      <c r="CB140" s="373"/>
      <c r="CC140" s="373"/>
      <c r="CD140" s="373"/>
      <c r="CE140" s="373"/>
      <c r="CF140" s="373"/>
      <c r="CG140" s="373"/>
      <c r="CH140" s="373"/>
      <c r="CI140" s="373"/>
      <c r="CJ140" s="373"/>
      <c r="CK140" s="373"/>
      <c r="CP140" s="1490">
        <f>AV140</f>
        <v>3.7531899424178361</v>
      </c>
      <c r="CR140" s="1490">
        <f t="shared" si="0"/>
        <v>3.7531899424178361</v>
      </c>
      <c r="CS140" s="1426"/>
      <c r="CT140" s="1426"/>
      <c r="CU140" s="1426"/>
      <c r="CV140" s="1426"/>
      <c r="CW140" s="1426"/>
      <c r="CX140" s="1426"/>
      <c r="CY140" s="1426"/>
      <c r="CZ140" s="1426"/>
      <c r="DA140" s="1426"/>
      <c r="DB140" s="1426"/>
      <c r="DC140" s="1426"/>
      <c r="DD140" s="1426"/>
      <c r="DE140" s="1426"/>
      <c r="DF140" s="1426"/>
      <c r="DG140" s="1426"/>
    </row>
    <row r="141" spans="1:111" hidden="1">
      <c r="F141" s="1495"/>
      <c r="G141" s="353"/>
      <c r="H141" s="1495"/>
      <c r="I141" s="356"/>
      <c r="J141" s="356"/>
      <c r="K141" s="356"/>
      <c r="L141" s="356"/>
      <c r="M141" s="356"/>
      <c r="N141" s="356"/>
      <c r="O141" s="356"/>
      <c r="P141" s="356"/>
      <c r="Q141" s="356"/>
      <c r="R141" s="356"/>
      <c r="S141" s="356"/>
      <c r="T141" s="1426"/>
      <c r="U141" s="1426"/>
      <c r="V141" s="1426"/>
      <c r="W141" s="1426"/>
      <c r="AA141" s="1491"/>
      <c r="AB141" s="457"/>
      <c r="AC141" s="1491"/>
      <c r="AD141" s="391"/>
      <c r="AE141" s="1426"/>
      <c r="AF141" s="391"/>
      <c r="AG141" s="1426"/>
      <c r="AH141" s="391"/>
      <c r="AI141" s="1426"/>
      <c r="AJ141" s="391"/>
      <c r="AK141" s="1426"/>
      <c r="AL141" s="391"/>
      <c r="AM141" s="1426"/>
      <c r="AN141" s="391"/>
      <c r="AO141" s="1426"/>
      <c r="AP141" s="391"/>
      <c r="AQ141" s="1426"/>
      <c r="AR141" s="1426"/>
      <c r="AV141" s="1507"/>
      <c r="AX141" s="1507"/>
      <c r="AY141" s="1426"/>
      <c r="AZ141" s="1426"/>
      <c r="BA141" s="1426"/>
      <c r="BB141" s="1426"/>
      <c r="BC141" s="1426"/>
      <c r="BD141" s="1426"/>
      <c r="BE141" s="1426"/>
      <c r="BF141" s="1426"/>
      <c r="BG141" s="1426"/>
      <c r="BH141" s="1426"/>
      <c r="BI141" s="1426"/>
      <c r="BJ141" s="1426"/>
      <c r="BK141" s="1426"/>
      <c r="BL141" s="1426"/>
      <c r="BM141" s="1426"/>
      <c r="BP141" s="1513">
        <v>0.25</v>
      </c>
      <c r="BR141" s="1513">
        <v>0.25</v>
      </c>
      <c r="BU141" s="373"/>
      <c r="BV141" s="373"/>
      <c r="BW141" s="373"/>
      <c r="BX141" s="373"/>
      <c r="BY141" s="373"/>
      <c r="BZ141" s="373"/>
      <c r="CA141" s="373"/>
      <c r="CB141" s="373"/>
      <c r="CC141" s="373"/>
      <c r="CD141" s="373"/>
      <c r="CE141" s="373"/>
      <c r="CF141" s="373"/>
      <c r="CG141" s="373"/>
      <c r="CH141" s="373"/>
      <c r="CI141" s="373"/>
      <c r="CJ141" s="373"/>
      <c r="CK141" s="373"/>
      <c r="CP141" s="1491"/>
      <c r="CQ141" s="386">
        <f>AB142</f>
        <v>256</v>
      </c>
      <c r="CR141" s="1491"/>
      <c r="CS141" s="1426"/>
      <c r="CT141" s="1426"/>
      <c r="CU141" s="1426"/>
      <c r="CV141" s="1426"/>
      <c r="CW141" s="1426"/>
      <c r="CX141" s="1426"/>
      <c r="CY141" s="1426"/>
      <c r="CZ141" s="1426"/>
      <c r="DA141" s="1426"/>
      <c r="DB141" s="1426"/>
      <c r="DC141" s="1426"/>
      <c r="DD141" s="1426"/>
      <c r="DE141" s="1426"/>
      <c r="DF141" s="1426"/>
      <c r="DG141" s="1426"/>
    </row>
    <row r="142" spans="1:111" ht="21" customHeight="1">
      <c r="D142" s="355"/>
      <c r="E142" s="353">
        <v>2</v>
      </c>
      <c r="F142" s="389"/>
      <c r="G142" s="378" t="s">
        <v>19459</v>
      </c>
      <c r="H142" s="390"/>
      <c r="I142" s="356"/>
      <c r="J142" s="356"/>
      <c r="K142" s="356"/>
      <c r="L142" s="356"/>
      <c r="M142" s="356"/>
      <c r="N142" s="356"/>
      <c r="O142" s="356"/>
      <c r="P142" s="356"/>
      <c r="Q142" s="356"/>
      <c r="R142" s="356"/>
      <c r="S142" s="356"/>
      <c r="T142" s="1426"/>
      <c r="U142" s="1426"/>
      <c r="V142" s="1426"/>
      <c r="W142" s="1426"/>
      <c r="Y142" s="355"/>
      <c r="AA142" s="389"/>
      <c r="AB142" s="458">
        <f>(AA140*(AW142*BP141/(AV140*'1-Eng Inputs'!$C$38))+AA143*(AW142*BP143/(AV143*'1-Eng Inputs'!$C$38))+AC140*(AW142*BR141/(AX140*'1-Eng Inputs'!$C$38))+AC143*(AW142*BR143/(AX143*'1-Eng Inputs'!$C$38)))</f>
        <v>256</v>
      </c>
      <c r="AC142" s="390"/>
      <c r="AD142" s="391"/>
      <c r="AE142" s="1426"/>
      <c r="AF142" s="391"/>
      <c r="AG142" s="1426"/>
      <c r="AH142" s="391"/>
      <c r="AI142" s="1426"/>
      <c r="AJ142" s="391"/>
      <c r="AK142" s="1426"/>
      <c r="AL142" s="391"/>
      <c r="AM142" s="1426"/>
      <c r="AN142" s="391"/>
      <c r="AO142" s="1426"/>
      <c r="AP142" s="391"/>
      <c r="AQ142" s="1426"/>
      <c r="AR142" s="1426"/>
      <c r="AT142" s="355"/>
      <c r="AU142" s="353">
        <v>2</v>
      </c>
      <c r="AW142" s="348">
        <f>'Port Calcs (lift)'!D37</f>
        <v>240.20415631474151</v>
      </c>
      <c r="AX142" s="375"/>
      <c r="AY142" s="1426"/>
      <c r="AZ142" s="1426"/>
      <c r="BA142" s="1426"/>
      <c r="BB142" s="1426"/>
      <c r="BC142" s="1426"/>
      <c r="BD142" s="1426"/>
      <c r="BE142" s="1426"/>
      <c r="BF142" s="1426"/>
      <c r="BG142" s="1426"/>
      <c r="BH142" s="1426"/>
      <c r="BI142" s="1426"/>
      <c r="BJ142" s="1426"/>
      <c r="BK142" s="1426"/>
      <c r="BL142" s="1426"/>
      <c r="BM142" s="1426"/>
      <c r="BQ142" s="381"/>
      <c r="BU142" s="373"/>
      <c r="BV142" s="373"/>
      <c r="BW142" s="373"/>
      <c r="BX142" s="373"/>
      <c r="BY142" s="373"/>
      <c r="BZ142" s="373"/>
      <c r="CA142" s="373"/>
      <c r="CB142" s="373"/>
      <c r="CC142" s="373"/>
      <c r="CD142" s="373"/>
      <c r="CE142" s="373"/>
      <c r="CF142" s="373"/>
      <c r="CG142" s="373"/>
      <c r="CH142" s="373"/>
      <c r="CI142" s="373"/>
      <c r="CJ142" s="373"/>
      <c r="CK142" s="373"/>
      <c r="CN142" s="355"/>
      <c r="CO142" s="353">
        <v>2</v>
      </c>
      <c r="CP142" s="389"/>
      <c r="CQ142" s="388">
        <f>AW142</f>
        <v>240.20415631474151</v>
      </c>
      <c r="CR142" s="390"/>
      <c r="CS142" s="1426"/>
      <c r="CT142" s="1426"/>
      <c r="CU142" s="1426"/>
      <c r="CV142" s="1426"/>
      <c r="CW142" s="1426"/>
      <c r="CX142" s="1426"/>
      <c r="CY142" s="1426"/>
      <c r="CZ142" s="1426"/>
      <c r="DA142" s="1426"/>
      <c r="DB142" s="1426"/>
      <c r="DC142" s="1426"/>
      <c r="DD142" s="1426"/>
      <c r="DE142" s="1426"/>
      <c r="DF142" s="1426"/>
      <c r="DG142" s="1426"/>
    </row>
    <row r="143" spans="1:111">
      <c r="F143" s="1494">
        <f>IF($P$4="NO",ROUNDUP(CP143,0),LEFT(CP143,1)+(IF(CP143-LEFT(CP143,1)&lt;0.01,0,IF(CP143-LEFT(CP143,1)&lt;('1-Eng Inputs'!$C$39/'1-Eng Inputs'!$C$38),0.5,1))))</f>
        <v>4</v>
      </c>
      <c r="G143" s="353"/>
      <c r="H143" s="1494">
        <f>IF($P$4="NO",ROUNDUP(CR143,0),LEFT(CR143,1)+(IF(CR143-LEFT(CR143,1)&lt;0.01,0,IF(CR143-LEFT(CR143,1)&lt;('1-Eng Inputs'!$C$39/'1-Eng Inputs'!$C$38),0.5,1))))</f>
        <v>4</v>
      </c>
      <c r="I143" s="356"/>
      <c r="J143" s="356"/>
      <c r="K143" s="356"/>
      <c r="L143" s="356"/>
      <c r="M143" s="356"/>
      <c r="N143" s="356"/>
      <c r="O143" s="356"/>
      <c r="P143" s="356"/>
      <c r="Q143" s="356"/>
      <c r="R143" s="356"/>
      <c r="S143" s="356"/>
      <c r="T143" s="1426"/>
      <c r="U143" s="1426"/>
      <c r="V143" s="1426"/>
      <c r="W143" s="1426"/>
      <c r="AA143" s="1492">
        <f>IF(LEFT(F143,3)-LEFT(F143,1)=0.5,'1-Eng Inputs'!$C$39,0)+LEFT(F143,1)*'1-Eng Inputs'!$C$38</f>
        <v>128</v>
      </c>
      <c r="AC143" s="1492">
        <f>IF(LEFT(H143,3)-LEFT(H143,1)=0.5,'1-Eng Inputs'!$C$39,0)+LEFT(H143,1)*'1-Eng Inputs'!$C$38</f>
        <v>128</v>
      </c>
      <c r="AD143" s="391"/>
      <c r="AE143" s="1426"/>
      <c r="AF143" s="391"/>
      <c r="AG143" s="1426"/>
      <c r="AH143" s="391"/>
      <c r="AI143" s="1426"/>
      <c r="AJ143" s="391"/>
      <c r="AK143" s="1426"/>
      <c r="AL143" s="391"/>
      <c r="AM143" s="1426"/>
      <c r="AN143" s="391"/>
      <c r="AO143" s="1426"/>
      <c r="AP143" s="391"/>
      <c r="AQ143" s="1426"/>
      <c r="AR143" s="1426"/>
      <c r="AV143" s="1506">
        <f>(AW142*BP143+AW148*BP144)/'1-Eng Inputs'!$C$38</f>
        <v>3.7531899424178361</v>
      </c>
      <c r="AX143" s="1506">
        <f>(AW142*BR143+AW148*BR144)/'1-Eng Inputs'!$C$38</f>
        <v>3.7531899424178361</v>
      </c>
      <c r="AY143" s="1426"/>
      <c r="AZ143" s="1426"/>
      <c r="BA143" s="1426"/>
      <c r="BB143" s="1426"/>
      <c r="BC143" s="1426"/>
      <c r="BD143" s="1426"/>
      <c r="BE143" s="1426"/>
      <c r="BF143" s="1426"/>
      <c r="BG143" s="1426"/>
      <c r="BH143" s="1426"/>
      <c r="BI143" s="1426"/>
      <c r="BJ143" s="1426"/>
      <c r="BK143" s="1426"/>
      <c r="BL143" s="1426"/>
      <c r="BM143" s="1426"/>
      <c r="BP143" s="1512">
        <v>0.25</v>
      </c>
      <c r="BR143" s="1512">
        <v>0.25</v>
      </c>
      <c r="BU143" s="373"/>
      <c r="BV143" s="373"/>
      <c r="BW143" s="373"/>
      <c r="BX143" s="373"/>
      <c r="BY143" s="373"/>
      <c r="BZ143" s="373"/>
      <c r="CA143" s="373"/>
      <c r="CB143" s="373"/>
      <c r="CC143" s="373"/>
      <c r="CD143" s="373"/>
      <c r="CE143" s="373"/>
      <c r="CF143" s="373"/>
      <c r="CG143" s="373"/>
      <c r="CH143" s="373"/>
      <c r="CI143" s="373"/>
      <c r="CJ143" s="373"/>
      <c r="CK143" s="373"/>
      <c r="CP143" s="1492">
        <f>AV143</f>
        <v>3.7531899424178361</v>
      </c>
      <c r="CR143" s="1492">
        <f t="shared" si="0"/>
        <v>3.7531899424178361</v>
      </c>
      <c r="CS143" s="1426"/>
      <c r="CT143" s="1426"/>
      <c r="CU143" s="1426"/>
      <c r="CV143" s="1426"/>
      <c r="CW143" s="1426"/>
      <c r="CX143" s="1426"/>
      <c r="CY143" s="1426"/>
      <c r="CZ143" s="1426"/>
      <c r="DA143" s="1426"/>
      <c r="DB143" s="1426"/>
      <c r="DC143" s="1426"/>
      <c r="DD143" s="1426"/>
      <c r="DE143" s="1426"/>
      <c r="DF143" s="1426"/>
      <c r="DG143" s="1426"/>
    </row>
    <row r="144" spans="1:111" hidden="1">
      <c r="F144" s="1495"/>
      <c r="G144" s="353"/>
      <c r="H144" s="1495"/>
      <c r="I144" s="356"/>
      <c r="J144" s="356"/>
      <c r="K144" s="356"/>
      <c r="L144" s="356"/>
      <c r="M144" s="356"/>
      <c r="N144" s="356"/>
      <c r="O144" s="356"/>
      <c r="P144" s="356"/>
      <c r="Q144" s="356"/>
      <c r="R144" s="356"/>
      <c r="S144" s="356"/>
      <c r="T144" s="1426"/>
      <c r="U144" s="1426"/>
      <c r="V144" s="1426"/>
      <c r="W144" s="1426"/>
      <c r="AA144" s="1493"/>
      <c r="AB144" s="457"/>
      <c r="AC144" s="1493"/>
      <c r="AD144" s="391"/>
      <c r="AE144" s="1426"/>
      <c r="AF144" s="391"/>
      <c r="AG144" s="1426"/>
      <c r="AH144" s="391"/>
      <c r="AI144" s="1426"/>
      <c r="AJ144" s="391"/>
      <c r="AK144" s="1426"/>
      <c r="AL144" s="391"/>
      <c r="AM144" s="1426"/>
      <c r="AN144" s="391"/>
      <c r="AO144" s="1426"/>
      <c r="AP144" s="391"/>
      <c r="AQ144" s="1426"/>
      <c r="AR144" s="1426"/>
      <c r="AV144" s="1507"/>
      <c r="AX144" s="1507"/>
      <c r="AY144" s="1426"/>
      <c r="AZ144" s="1426"/>
      <c r="BA144" s="1426"/>
      <c r="BB144" s="1426"/>
      <c r="BC144" s="1426"/>
      <c r="BD144" s="1426"/>
      <c r="BE144" s="1426"/>
      <c r="BF144" s="1426"/>
      <c r="BG144" s="1426"/>
      <c r="BH144" s="1426"/>
      <c r="BI144" s="1426"/>
      <c r="BJ144" s="1426"/>
      <c r="BK144" s="1426"/>
      <c r="BL144" s="1426"/>
      <c r="BM144" s="1426"/>
      <c r="BP144" s="1513">
        <v>0.25</v>
      </c>
      <c r="BR144" s="1513">
        <v>0.25</v>
      </c>
      <c r="BU144" s="373"/>
      <c r="BV144" s="373"/>
      <c r="BW144" s="373"/>
      <c r="BX144" s="373"/>
      <c r="BY144" s="373"/>
      <c r="BZ144" s="373"/>
      <c r="CA144" s="373"/>
      <c r="CB144" s="373"/>
      <c r="CC144" s="373"/>
      <c r="CD144" s="373"/>
      <c r="CE144" s="373"/>
      <c r="CF144" s="373"/>
      <c r="CG144" s="373"/>
      <c r="CH144" s="373"/>
      <c r="CI144" s="373"/>
      <c r="CJ144" s="373"/>
      <c r="CK144" s="373"/>
      <c r="CP144" s="1493"/>
      <c r="CQ144" s="386">
        <f>AB148</f>
        <v>256</v>
      </c>
      <c r="CR144" s="1493"/>
      <c r="CS144" s="1426"/>
      <c r="CT144" s="1426"/>
      <c r="CU144" s="1426"/>
      <c r="CV144" s="1426"/>
      <c r="CW144" s="1426"/>
      <c r="CX144" s="1426"/>
      <c r="CY144" s="1426"/>
      <c r="CZ144" s="1426"/>
      <c r="DA144" s="1426"/>
      <c r="DB144" s="1426"/>
      <c r="DC144" s="1426"/>
      <c r="DD144" s="1426"/>
      <c r="DE144" s="1426"/>
      <c r="DF144" s="1426"/>
      <c r="DG144" s="1426"/>
    </row>
    <row r="145" spans="4:111" ht="21" customHeight="1">
      <c r="D145" s="355"/>
      <c r="E145" s="353">
        <v>3</v>
      </c>
      <c r="F145" s="389"/>
      <c r="G145" s="378" t="s">
        <v>19459</v>
      </c>
      <c r="H145" s="390"/>
      <c r="I145" s="356"/>
      <c r="J145" s="356"/>
      <c r="K145" s="356"/>
      <c r="L145" s="356"/>
      <c r="M145" s="356"/>
      <c r="N145" s="356"/>
      <c r="O145" s="356"/>
      <c r="P145" s="356"/>
      <c r="Q145" s="356"/>
      <c r="R145" s="356"/>
      <c r="S145" s="356"/>
      <c r="T145" s="1426"/>
      <c r="U145" s="1426"/>
      <c r="V145" s="1426"/>
      <c r="W145" s="1426"/>
      <c r="Y145" s="355"/>
      <c r="AA145" s="389"/>
      <c r="AB145" s="458">
        <f>(AA143*(AW145*BP144/(AV143*'1-Eng Inputs'!$C$38))+AA146*(AW145*BP146/(AV146*'1-Eng Inputs'!$C$38))+AC143*(AW145*BR144/(AX143*'1-Eng Inputs'!$C$38))+AC146*(AW145*BR146/(AX146*'1-Eng Inputs'!$C$38)))</f>
        <v>256</v>
      </c>
      <c r="AC145" s="390"/>
      <c r="AD145" s="391"/>
      <c r="AE145" s="1426"/>
      <c r="AF145" s="391"/>
      <c r="AG145" s="1426"/>
      <c r="AH145" s="391"/>
      <c r="AI145" s="1426"/>
      <c r="AJ145" s="391"/>
      <c r="AK145" s="1426"/>
      <c r="AL145" s="391"/>
      <c r="AM145" s="1426"/>
      <c r="AN145" s="391"/>
      <c r="AO145" s="1426"/>
      <c r="AP145" s="391"/>
      <c r="AQ145" s="1426"/>
      <c r="AR145" s="1426"/>
      <c r="AT145" s="355"/>
      <c r="AU145" s="353">
        <v>3</v>
      </c>
      <c r="AW145" s="348">
        <f>AW139</f>
        <v>240.20415631474151</v>
      </c>
      <c r="AX145" s="375"/>
      <c r="AY145" s="1426"/>
      <c r="AZ145" s="1426"/>
      <c r="BA145" s="1426"/>
      <c r="BB145" s="1426"/>
      <c r="BC145" s="1426"/>
      <c r="BD145" s="1426"/>
      <c r="BE145" s="1426"/>
      <c r="BF145" s="1426"/>
      <c r="BG145" s="1426"/>
      <c r="BH145" s="1426"/>
      <c r="BI145" s="1426"/>
      <c r="BJ145" s="1426"/>
      <c r="BK145" s="1426"/>
      <c r="BL145" s="1426"/>
      <c r="BM145" s="1426"/>
      <c r="BQ145" s="381"/>
      <c r="BU145" s="373"/>
      <c r="BV145" s="373"/>
      <c r="BW145" s="373"/>
      <c r="BX145" s="373"/>
      <c r="BY145" s="373"/>
      <c r="BZ145" s="373"/>
      <c r="CA145" s="373"/>
      <c r="CB145" s="373"/>
      <c r="CC145" s="373"/>
      <c r="CD145" s="373"/>
      <c r="CE145" s="373"/>
      <c r="CF145" s="373"/>
      <c r="CG145" s="373"/>
      <c r="CH145" s="373"/>
      <c r="CI145" s="373"/>
      <c r="CJ145" s="373"/>
      <c r="CK145" s="373"/>
      <c r="CN145" s="355"/>
      <c r="CO145" s="353">
        <v>3</v>
      </c>
      <c r="CP145" s="389"/>
      <c r="CQ145" s="388">
        <f>AW145</f>
        <v>240.20415631474151</v>
      </c>
      <c r="CR145" s="390"/>
      <c r="CS145" s="1426"/>
      <c r="CT145" s="1426"/>
      <c r="CU145" s="1426"/>
      <c r="CV145" s="1426"/>
      <c r="CW145" s="1426"/>
      <c r="CX145" s="1426"/>
      <c r="CY145" s="1426"/>
      <c r="CZ145" s="1426"/>
      <c r="DA145" s="1426"/>
      <c r="DB145" s="1426"/>
      <c r="DC145" s="1426"/>
      <c r="DD145" s="1426"/>
      <c r="DE145" s="1426"/>
      <c r="DF145" s="1426"/>
      <c r="DG145" s="1426"/>
    </row>
    <row r="146" spans="4:111">
      <c r="D146" s="355"/>
      <c r="F146" s="1494">
        <f>IF($P$4="NO",ROUNDUP(CP146,0),LEFT(CP146,1)+(IF(CP146-LEFT(CP146,1)&lt;0.01,0,IF(CP146-LEFT(CP146,1)&lt;('1-Eng Inputs'!$C$39/'1-Eng Inputs'!$C$38),0.5,1))))</f>
        <v>4</v>
      </c>
      <c r="G146" s="353"/>
      <c r="H146" s="1494">
        <f>IF($P$4="NO",ROUNDUP(CR146,0),LEFT(CR146,1)+(IF(CR146-LEFT(CR146,1)&lt;0.01,0,IF(CR146-LEFT(CR146,1)&lt;('1-Eng Inputs'!$C$39/'1-Eng Inputs'!$C$38),0.5,1))))</f>
        <v>4</v>
      </c>
      <c r="I146" s="356"/>
      <c r="J146" s="356"/>
      <c r="K146" s="356"/>
      <c r="L146" s="356"/>
      <c r="M146" s="356"/>
      <c r="N146" s="356"/>
      <c r="O146" s="356"/>
      <c r="P146" s="356"/>
      <c r="Q146" s="356"/>
      <c r="R146" s="356"/>
      <c r="S146" s="356"/>
      <c r="T146" s="1426"/>
      <c r="U146" s="1426"/>
      <c r="V146" s="1426"/>
      <c r="W146" s="1426"/>
      <c r="Y146" s="355"/>
      <c r="AA146" s="1492">
        <f>IF(LEFT(F146,3)-LEFT(F146,1)=0.5,'1-Eng Inputs'!$C$39,0)+LEFT(F146,1)*'1-Eng Inputs'!$C$38</f>
        <v>128</v>
      </c>
      <c r="AC146" s="1492">
        <f>IF(LEFT(H146,3)-LEFT(H146,1)=0.5,'1-Eng Inputs'!$C$39,0)+LEFT(H146,1)*'1-Eng Inputs'!$C$38</f>
        <v>128</v>
      </c>
      <c r="AD146" s="391"/>
      <c r="AE146" s="1426"/>
      <c r="AF146" s="391"/>
      <c r="AG146" s="1426"/>
      <c r="AH146" s="391"/>
      <c r="AI146" s="1426"/>
      <c r="AJ146" s="391"/>
      <c r="AK146" s="1426"/>
      <c r="AL146" s="391"/>
      <c r="AM146" s="1426"/>
      <c r="AN146" s="391"/>
      <c r="AO146" s="1426"/>
      <c r="AP146" s="391"/>
      <c r="AQ146" s="1426"/>
      <c r="AR146" s="1426"/>
      <c r="AT146" s="355"/>
      <c r="AV146" s="1506">
        <f>(AW145*BP146+AW148*BP147)/'1-Eng Inputs'!$C$38</f>
        <v>3.7531899424178361</v>
      </c>
      <c r="AX146" s="1506">
        <f>(AW145*BR146+AW148*BR147)/'1-Eng Inputs'!$C$38</f>
        <v>3.7531899424178361</v>
      </c>
      <c r="AY146" s="1426"/>
      <c r="AZ146" s="1426"/>
      <c r="BA146" s="1426"/>
      <c r="BB146" s="1426"/>
      <c r="BC146" s="1426"/>
      <c r="BD146" s="1426"/>
      <c r="BE146" s="1426"/>
      <c r="BF146" s="1426"/>
      <c r="BG146" s="1426"/>
      <c r="BH146" s="1426"/>
      <c r="BI146" s="1426"/>
      <c r="BJ146" s="1426"/>
      <c r="BK146" s="1426"/>
      <c r="BL146" s="1426"/>
      <c r="BM146" s="1426"/>
      <c r="BP146" s="1512">
        <v>0.25</v>
      </c>
      <c r="BR146" s="1512">
        <v>0.25</v>
      </c>
      <c r="BU146" s="373"/>
      <c r="BV146" s="373"/>
      <c r="BW146" s="373"/>
      <c r="BX146" s="373"/>
      <c r="BY146" s="373"/>
      <c r="BZ146" s="373"/>
      <c r="CA146" s="373"/>
      <c r="CB146" s="373"/>
      <c r="CC146" s="373"/>
      <c r="CD146" s="373"/>
      <c r="CE146" s="373"/>
      <c r="CF146" s="373"/>
      <c r="CG146" s="373"/>
      <c r="CH146" s="373"/>
      <c r="CI146" s="373"/>
      <c r="CJ146" s="373"/>
      <c r="CK146" s="373"/>
      <c r="CN146" s="355"/>
      <c r="CP146" s="1492">
        <f>AV146</f>
        <v>3.7531899424178361</v>
      </c>
      <c r="CR146" s="1492">
        <f>AX146</f>
        <v>3.7531899424178361</v>
      </c>
      <c r="CS146" s="1426"/>
      <c r="CT146" s="1426"/>
      <c r="CU146" s="1426"/>
      <c r="CV146" s="1426"/>
      <c r="CW146" s="1426"/>
      <c r="CX146" s="1426"/>
      <c r="CY146" s="1426"/>
      <c r="CZ146" s="1426"/>
      <c r="DA146" s="1426"/>
      <c r="DB146" s="1426"/>
      <c r="DC146" s="1426"/>
      <c r="DD146" s="1426"/>
      <c r="DE146" s="1426"/>
      <c r="DF146" s="1426"/>
      <c r="DG146" s="1426"/>
    </row>
    <row r="147" spans="4:111" hidden="1">
      <c r="D147" s="355"/>
      <c r="F147" s="1495"/>
      <c r="G147" s="353"/>
      <c r="H147" s="1495"/>
      <c r="I147" s="356"/>
      <c r="J147" s="356"/>
      <c r="K147" s="356"/>
      <c r="L147" s="356"/>
      <c r="M147" s="356"/>
      <c r="N147" s="356"/>
      <c r="O147" s="356"/>
      <c r="P147" s="356"/>
      <c r="Q147" s="356"/>
      <c r="R147" s="356"/>
      <c r="S147" s="356"/>
      <c r="T147" s="1426"/>
      <c r="U147" s="1426"/>
      <c r="V147" s="1426"/>
      <c r="W147" s="1426"/>
      <c r="Y147" s="355"/>
      <c r="AA147" s="1493"/>
      <c r="AB147" s="457"/>
      <c r="AC147" s="1493"/>
      <c r="AD147" s="391"/>
      <c r="AE147" s="1426"/>
      <c r="AF147" s="391"/>
      <c r="AG147" s="1426"/>
      <c r="AH147" s="391"/>
      <c r="AI147" s="1426"/>
      <c r="AJ147" s="391"/>
      <c r="AK147" s="1426"/>
      <c r="AL147" s="391"/>
      <c r="AM147" s="1426"/>
      <c r="AN147" s="391"/>
      <c r="AO147" s="1426"/>
      <c r="AP147" s="391"/>
      <c r="AQ147" s="1426"/>
      <c r="AR147" s="1426"/>
      <c r="AT147" s="355"/>
      <c r="AV147" s="1507"/>
      <c r="AX147" s="1507"/>
      <c r="AY147" s="1426"/>
      <c r="AZ147" s="1426"/>
      <c r="BA147" s="1426"/>
      <c r="BB147" s="1426"/>
      <c r="BC147" s="1426"/>
      <c r="BD147" s="1426"/>
      <c r="BE147" s="1426"/>
      <c r="BF147" s="1426"/>
      <c r="BG147" s="1426"/>
      <c r="BH147" s="1426"/>
      <c r="BI147" s="1426"/>
      <c r="BJ147" s="1426"/>
      <c r="BK147" s="1426"/>
      <c r="BL147" s="1426"/>
      <c r="BM147" s="1426"/>
      <c r="BP147" s="1513">
        <v>0.25</v>
      </c>
      <c r="BR147" s="1513">
        <v>0.25</v>
      </c>
      <c r="BU147" s="373"/>
      <c r="BV147" s="373"/>
      <c r="BW147" s="373"/>
      <c r="BX147" s="373"/>
      <c r="BY147" s="373"/>
      <c r="BZ147" s="373"/>
      <c r="CA147" s="373"/>
      <c r="CB147" s="373"/>
      <c r="CC147" s="373"/>
      <c r="CD147" s="373"/>
      <c r="CE147" s="373"/>
      <c r="CF147" s="373"/>
      <c r="CG147" s="373"/>
      <c r="CH147" s="373"/>
      <c r="CI147" s="373"/>
      <c r="CJ147" s="373"/>
      <c r="CK147" s="373"/>
      <c r="CN147" s="355"/>
      <c r="CP147" s="1493"/>
      <c r="CQ147" s="386">
        <f>AB148</f>
        <v>256</v>
      </c>
      <c r="CR147" s="1493"/>
      <c r="CS147" s="1426"/>
      <c r="CT147" s="1426"/>
      <c r="CU147" s="1426"/>
      <c r="CV147" s="1426"/>
      <c r="CW147" s="1426"/>
      <c r="CX147" s="1426"/>
      <c r="CY147" s="1426"/>
      <c r="CZ147" s="1426"/>
      <c r="DA147" s="1426"/>
      <c r="DB147" s="1426"/>
      <c r="DC147" s="1426"/>
      <c r="DD147" s="1426"/>
      <c r="DE147" s="1426"/>
      <c r="DF147" s="1426"/>
      <c r="DG147" s="1426"/>
    </row>
    <row r="148" spans="4:111" ht="21" customHeight="1">
      <c r="D148" s="355"/>
      <c r="E148" s="353">
        <v>3</v>
      </c>
      <c r="F148" s="389"/>
      <c r="G148" s="378" t="s">
        <v>19459</v>
      </c>
      <c r="H148" s="390"/>
      <c r="I148" s="356"/>
      <c r="J148" s="356"/>
      <c r="K148" s="356"/>
      <c r="L148" s="356"/>
      <c r="M148" s="356"/>
      <c r="N148" s="356"/>
      <c r="O148" s="356"/>
      <c r="P148" s="356"/>
      <c r="Q148" s="356"/>
      <c r="R148" s="356"/>
      <c r="S148" s="356"/>
      <c r="T148" s="1426"/>
      <c r="U148" s="1426"/>
      <c r="V148" s="1426"/>
      <c r="W148" s="1426"/>
      <c r="Y148" s="355"/>
      <c r="AA148" s="389"/>
      <c r="AB148" s="458">
        <f>(AA146*(AW148*BP147/(AV146*'1-Eng Inputs'!$C$38))+AA149*(AW148*BP149/(AV149*'1-Eng Inputs'!$C$38))+AC146*(AW148*BR147/(AX146*'1-Eng Inputs'!$C$38))+AC149*(AW148*BR149/(AX149*'1-Eng Inputs'!$C$38)))</f>
        <v>256</v>
      </c>
      <c r="AC148" s="390"/>
      <c r="AD148" s="391"/>
      <c r="AE148" s="1426"/>
      <c r="AF148" s="391"/>
      <c r="AG148" s="1426"/>
      <c r="AH148" s="391"/>
      <c r="AI148" s="1426"/>
      <c r="AJ148" s="391"/>
      <c r="AK148" s="1426"/>
      <c r="AL148" s="391"/>
      <c r="AM148" s="1426"/>
      <c r="AN148" s="391"/>
      <c r="AO148" s="1426"/>
      <c r="AP148" s="391"/>
      <c r="AQ148" s="1426"/>
      <c r="AR148" s="1426"/>
      <c r="AT148" s="355"/>
      <c r="AU148" s="353">
        <v>3</v>
      </c>
      <c r="AW148" s="348">
        <f>AW142</f>
        <v>240.20415631474151</v>
      </c>
      <c r="AX148" s="375"/>
      <c r="AY148" s="1426"/>
      <c r="AZ148" s="1426"/>
      <c r="BA148" s="1426"/>
      <c r="BB148" s="1426"/>
      <c r="BC148" s="1426"/>
      <c r="BD148" s="1426"/>
      <c r="BE148" s="1426"/>
      <c r="BF148" s="1426"/>
      <c r="BG148" s="1426"/>
      <c r="BH148" s="1426"/>
      <c r="BI148" s="1426"/>
      <c r="BJ148" s="1426"/>
      <c r="BK148" s="1426"/>
      <c r="BL148" s="1426"/>
      <c r="BM148" s="1426"/>
      <c r="BQ148" s="381"/>
      <c r="BU148" s="373"/>
      <c r="BV148" s="373"/>
      <c r="BW148" s="373"/>
      <c r="BX148" s="373"/>
      <c r="BY148" s="373"/>
      <c r="BZ148" s="373"/>
      <c r="CA148" s="373"/>
      <c r="CB148" s="373"/>
      <c r="CC148" s="373"/>
      <c r="CD148" s="373"/>
      <c r="CE148" s="373"/>
      <c r="CF148" s="373"/>
      <c r="CG148" s="373"/>
      <c r="CH148" s="373"/>
      <c r="CI148" s="373"/>
      <c r="CJ148" s="373"/>
      <c r="CK148" s="373"/>
      <c r="CN148" s="355"/>
      <c r="CO148" s="353">
        <v>3</v>
      </c>
      <c r="CP148" s="389"/>
      <c r="CQ148" s="388">
        <f>AW148</f>
        <v>240.20415631474151</v>
      </c>
      <c r="CR148" s="390"/>
      <c r="CS148" s="1426"/>
      <c r="CT148" s="1426"/>
      <c r="CU148" s="1426"/>
      <c r="CV148" s="1426"/>
      <c r="CW148" s="1426"/>
      <c r="CX148" s="1426"/>
      <c r="CY148" s="1426"/>
      <c r="CZ148" s="1426"/>
      <c r="DA148" s="1426"/>
      <c r="DB148" s="1426"/>
      <c r="DC148" s="1426"/>
      <c r="DD148" s="1426"/>
      <c r="DE148" s="1426"/>
      <c r="DF148" s="1426"/>
      <c r="DG148" s="1426"/>
    </row>
    <row r="149" spans="4:111">
      <c r="D149" s="355"/>
      <c r="F149" s="1494">
        <f>IF($P$4="NO",ROUNDUP(CP149,0),LEFT(CP149,1)+(IF(CP149-LEFT(CP149,1)&lt;0.01,0,IF(CP149-LEFT(CP149,1)&lt;('1-Eng Inputs'!$C$39/'1-Eng Inputs'!$C$38),0.5,1))))</f>
        <v>4</v>
      </c>
      <c r="G149" s="353"/>
      <c r="H149" s="1494">
        <f>IF($P$4="NO",ROUNDUP(CR149,0),LEFT(CR149,1)+(IF(CR149-LEFT(CR149,1)&lt;0.01,0,IF(CR149-LEFT(CR149,1)&lt;('1-Eng Inputs'!$C$39/'1-Eng Inputs'!$C$38),0.5,1))))</f>
        <v>4</v>
      </c>
      <c r="I149" s="356"/>
      <c r="J149" s="356"/>
      <c r="K149" s="356"/>
      <c r="L149" s="356"/>
      <c r="M149" s="356"/>
      <c r="N149" s="356"/>
      <c r="O149" s="356"/>
      <c r="P149" s="356"/>
      <c r="Q149" s="356"/>
      <c r="R149" s="356"/>
      <c r="S149" s="356"/>
      <c r="T149" s="1426"/>
      <c r="U149" s="1426"/>
      <c r="V149" s="1426"/>
      <c r="W149" s="1426"/>
      <c r="Y149" s="355"/>
      <c r="AA149" s="1492">
        <f>IF(LEFT(F149,3)-LEFT(F149,1)=0.5,'1-Eng Inputs'!$C$39,0)+LEFT(F149,1)*'1-Eng Inputs'!$C$38</f>
        <v>128</v>
      </c>
      <c r="AC149" s="1492">
        <f>IF(LEFT(H149,3)-LEFT(H149,1)=0.5,'1-Eng Inputs'!$C$39,0)+LEFT(H149,1)*'1-Eng Inputs'!$C$38</f>
        <v>128</v>
      </c>
      <c r="AD149" s="391"/>
      <c r="AE149" s="1426"/>
      <c r="AF149" s="391"/>
      <c r="AG149" s="1426"/>
      <c r="AH149" s="391"/>
      <c r="AI149" s="1426"/>
      <c r="AJ149" s="391"/>
      <c r="AK149" s="1426"/>
      <c r="AL149" s="391"/>
      <c r="AM149" s="1426"/>
      <c r="AN149" s="391"/>
      <c r="AO149" s="1426"/>
      <c r="AP149" s="391"/>
      <c r="AQ149" s="1426"/>
      <c r="AR149" s="1426"/>
      <c r="AT149" s="355"/>
      <c r="AV149" s="1506">
        <f>(AW148*BP149+AW151*BP150)/'1-Eng Inputs'!$C$38</f>
        <v>3.7531899424178361</v>
      </c>
      <c r="AX149" s="1506">
        <f>(AW148*BR149+AW151*BR150)/'1-Eng Inputs'!$C$38</f>
        <v>3.7531899424178361</v>
      </c>
      <c r="AY149" s="1426"/>
      <c r="AZ149" s="1426"/>
      <c r="BA149" s="1426"/>
      <c r="BB149" s="1426"/>
      <c r="BC149" s="1426"/>
      <c r="BD149" s="1426"/>
      <c r="BE149" s="1426"/>
      <c r="BF149" s="1426"/>
      <c r="BG149" s="1426"/>
      <c r="BH149" s="1426"/>
      <c r="BI149" s="1426"/>
      <c r="BJ149" s="1426"/>
      <c r="BK149" s="1426"/>
      <c r="BL149" s="1426"/>
      <c r="BM149" s="1426"/>
      <c r="BP149" s="1512">
        <v>0.25</v>
      </c>
      <c r="BR149" s="1512">
        <v>0.25</v>
      </c>
      <c r="BU149" s="373"/>
      <c r="BV149" s="373"/>
      <c r="BW149" s="373"/>
      <c r="BX149" s="373"/>
      <c r="BY149" s="373"/>
      <c r="BZ149" s="373"/>
      <c r="CA149" s="373"/>
      <c r="CB149" s="373"/>
      <c r="CC149" s="373"/>
      <c r="CD149" s="373"/>
      <c r="CE149" s="373"/>
      <c r="CF149" s="373"/>
      <c r="CG149" s="373"/>
      <c r="CH149" s="373"/>
      <c r="CI149" s="373"/>
      <c r="CJ149" s="373"/>
      <c r="CK149" s="373"/>
      <c r="CN149" s="355"/>
      <c r="CP149" s="1492">
        <f>AV149</f>
        <v>3.7531899424178361</v>
      </c>
      <c r="CR149" s="1492">
        <f>AX149</f>
        <v>3.7531899424178361</v>
      </c>
      <c r="CS149" s="1426"/>
      <c r="CT149" s="1426"/>
      <c r="CU149" s="1426"/>
      <c r="CV149" s="1426"/>
      <c r="CW149" s="1426"/>
      <c r="CX149" s="1426"/>
      <c r="CY149" s="1426"/>
      <c r="CZ149" s="1426"/>
      <c r="DA149" s="1426"/>
      <c r="DB149" s="1426"/>
      <c r="DC149" s="1426"/>
      <c r="DD149" s="1426"/>
      <c r="DE149" s="1426"/>
      <c r="DF149" s="1426"/>
      <c r="DG149" s="1426"/>
    </row>
    <row r="150" spans="4:111" hidden="1">
      <c r="D150" s="355"/>
      <c r="F150" s="1495"/>
      <c r="G150" s="353"/>
      <c r="H150" s="1495"/>
      <c r="I150" s="356"/>
      <c r="J150" s="356"/>
      <c r="K150" s="356"/>
      <c r="L150" s="356"/>
      <c r="M150" s="356"/>
      <c r="N150" s="356"/>
      <c r="O150" s="356"/>
      <c r="P150" s="356"/>
      <c r="Q150" s="356"/>
      <c r="R150" s="356"/>
      <c r="S150" s="356"/>
      <c r="T150" s="1426"/>
      <c r="U150" s="1426"/>
      <c r="V150" s="1426"/>
      <c r="W150" s="1426"/>
      <c r="Y150" s="355"/>
      <c r="AA150" s="1493"/>
      <c r="AB150" s="457"/>
      <c r="AC150" s="1493"/>
      <c r="AD150" s="391"/>
      <c r="AE150" s="1426"/>
      <c r="AF150" s="391"/>
      <c r="AG150" s="1426"/>
      <c r="AH150" s="391"/>
      <c r="AI150" s="1426"/>
      <c r="AJ150" s="391"/>
      <c r="AK150" s="1426"/>
      <c r="AL150" s="391"/>
      <c r="AM150" s="1426"/>
      <c r="AN150" s="391"/>
      <c r="AO150" s="1426"/>
      <c r="AP150" s="391"/>
      <c r="AQ150" s="1426"/>
      <c r="AR150" s="1426"/>
      <c r="AT150" s="355"/>
      <c r="AV150" s="1507"/>
      <c r="AX150" s="1507"/>
      <c r="AY150" s="1426"/>
      <c r="AZ150" s="1426"/>
      <c r="BA150" s="1426"/>
      <c r="BB150" s="1426"/>
      <c r="BC150" s="1426"/>
      <c r="BD150" s="1426"/>
      <c r="BE150" s="1426"/>
      <c r="BF150" s="1426"/>
      <c r="BG150" s="1426"/>
      <c r="BH150" s="1426"/>
      <c r="BI150" s="1426"/>
      <c r="BJ150" s="1426"/>
      <c r="BK150" s="1426"/>
      <c r="BL150" s="1426"/>
      <c r="BM150" s="1426"/>
      <c r="BP150" s="1513">
        <v>0.25</v>
      </c>
      <c r="BR150" s="1513">
        <v>0.25</v>
      </c>
      <c r="BU150" s="373"/>
      <c r="BV150" s="373"/>
      <c r="BW150" s="373"/>
      <c r="BX150" s="373"/>
      <c r="BY150" s="373"/>
      <c r="BZ150" s="373"/>
      <c r="CA150" s="373"/>
      <c r="CB150" s="373"/>
      <c r="CC150" s="373"/>
      <c r="CD150" s="373"/>
      <c r="CE150" s="373"/>
      <c r="CF150" s="373"/>
      <c r="CG150" s="373"/>
      <c r="CH150" s="373"/>
      <c r="CI150" s="373"/>
      <c r="CJ150" s="373"/>
      <c r="CK150" s="373"/>
      <c r="CN150" s="355"/>
      <c r="CP150" s="1493"/>
      <c r="CQ150" s="386">
        <f>AB151</f>
        <v>256</v>
      </c>
      <c r="CR150" s="1493"/>
      <c r="CS150" s="1426"/>
      <c r="CT150" s="1426"/>
      <c r="CU150" s="1426"/>
      <c r="CV150" s="1426"/>
      <c r="CW150" s="1426"/>
      <c r="CX150" s="1426"/>
      <c r="CY150" s="1426"/>
      <c r="CZ150" s="1426"/>
      <c r="DA150" s="1426"/>
      <c r="DB150" s="1426"/>
      <c r="DC150" s="1426"/>
      <c r="DD150" s="1426"/>
      <c r="DE150" s="1426"/>
      <c r="DF150" s="1426"/>
      <c r="DG150" s="1426"/>
    </row>
    <row r="151" spans="4:111" ht="21" customHeight="1">
      <c r="D151" s="355"/>
      <c r="E151" s="353">
        <v>4</v>
      </c>
      <c r="F151" s="389"/>
      <c r="G151" s="378" t="s">
        <v>19459</v>
      </c>
      <c r="H151" s="390"/>
      <c r="I151" s="356"/>
      <c r="J151" s="356"/>
      <c r="K151" s="356"/>
      <c r="L151" s="356"/>
      <c r="M151" s="356"/>
      <c r="N151" s="356"/>
      <c r="O151" s="356"/>
      <c r="P151" s="356"/>
      <c r="Q151" s="356"/>
      <c r="R151" s="356"/>
      <c r="S151" s="356"/>
      <c r="T151" s="1426"/>
      <c r="U151" s="1426"/>
      <c r="V151" s="1426"/>
      <c r="W151" s="1426"/>
      <c r="Y151" s="355"/>
      <c r="AA151" s="389"/>
      <c r="AB151" s="458">
        <f>(AA149*(AW151*BP150/(AV149*'1-Eng Inputs'!$C$38))+AA152*(AW151*BP152/(AV152*'1-Eng Inputs'!$C$38))+AC149*(AW151*BR150/(AX149*'1-Eng Inputs'!$C$38))+AC152*(AW151*BR152/(AX152*'1-Eng Inputs'!$C$38)))</f>
        <v>256</v>
      </c>
      <c r="AC151" s="390"/>
      <c r="AD151" s="391"/>
      <c r="AE151" s="1426"/>
      <c r="AF151" s="391"/>
      <c r="AG151" s="1426"/>
      <c r="AH151" s="391"/>
      <c r="AI151" s="1426"/>
      <c r="AJ151" s="391"/>
      <c r="AK151" s="1426"/>
      <c r="AL151" s="391"/>
      <c r="AM151" s="1426"/>
      <c r="AN151" s="391"/>
      <c r="AO151" s="1426"/>
      <c r="AP151" s="391"/>
      <c r="AQ151" s="1426"/>
      <c r="AR151" s="1426"/>
      <c r="AT151" s="355"/>
      <c r="AU151" s="353">
        <v>4</v>
      </c>
      <c r="AW151" s="348">
        <f>AW148</f>
        <v>240.20415631474151</v>
      </c>
      <c r="AX151" s="375"/>
      <c r="AY151" s="1426"/>
      <c r="AZ151" s="1426"/>
      <c r="BA151" s="1426"/>
      <c r="BB151" s="1426"/>
      <c r="BC151" s="1426"/>
      <c r="BD151" s="1426"/>
      <c r="BE151" s="1426"/>
      <c r="BF151" s="1426"/>
      <c r="BG151" s="1426"/>
      <c r="BH151" s="1426"/>
      <c r="BI151" s="1426"/>
      <c r="BJ151" s="1426"/>
      <c r="BK151" s="1426"/>
      <c r="BL151" s="1426"/>
      <c r="BM151" s="1426"/>
      <c r="BQ151" s="381"/>
      <c r="BU151" s="373"/>
      <c r="BV151" s="373"/>
      <c r="BW151" s="373"/>
      <c r="BX151" s="373"/>
      <c r="BY151" s="373"/>
      <c r="BZ151" s="373"/>
      <c r="CA151" s="373"/>
      <c r="CB151" s="373"/>
      <c r="CC151" s="373"/>
      <c r="CD151" s="373"/>
      <c r="CE151" s="373"/>
      <c r="CF151" s="373"/>
      <c r="CG151" s="373"/>
      <c r="CH151" s="373"/>
      <c r="CI151" s="373"/>
      <c r="CJ151" s="373"/>
      <c r="CK151" s="373"/>
      <c r="CN151" s="355"/>
      <c r="CO151" s="353">
        <v>4</v>
      </c>
      <c r="CP151" s="389"/>
      <c r="CQ151" s="388">
        <f>AW151</f>
        <v>240.20415631474151</v>
      </c>
      <c r="CR151" s="390"/>
      <c r="CS151" s="1426"/>
      <c r="CT151" s="1426"/>
      <c r="CU151" s="1426"/>
      <c r="CV151" s="1426"/>
      <c r="CW151" s="1426"/>
      <c r="CX151" s="1426"/>
      <c r="CY151" s="1426"/>
      <c r="CZ151" s="1426"/>
      <c r="DA151" s="1426"/>
      <c r="DB151" s="1426"/>
      <c r="DC151" s="1426"/>
      <c r="DD151" s="1426"/>
      <c r="DE151" s="1426"/>
      <c r="DF151" s="1426"/>
      <c r="DG151" s="1426"/>
    </row>
    <row r="152" spans="4:111">
      <c r="F152" s="1494">
        <f>IF($P$4="NO",ROUNDUP(CP152,0),LEFT(CP152,1)+(IF(CP152-LEFT(CP152,1)&lt;0.01,0,IF(CP152-LEFT(CP152,1)&lt;('1-Eng Inputs'!$C$39/'1-Eng Inputs'!$C$38),0.5,1))))</f>
        <v>4</v>
      </c>
      <c r="G152" s="353"/>
      <c r="H152" s="1494">
        <f>IF($P$4="NO",ROUNDUP(CR152,0),LEFT(CR152,1)+(IF(CR152-LEFT(CR152,1)&lt;0.01,0,IF(CR152-LEFT(CR152,1)&lt;('1-Eng Inputs'!$C$39/'1-Eng Inputs'!$C$38),0.5,1))))</f>
        <v>4</v>
      </c>
      <c r="I152" s="1426"/>
      <c r="J152" s="1426"/>
      <c r="K152" s="1426"/>
      <c r="L152" s="1426"/>
      <c r="M152" s="1426"/>
      <c r="N152" s="1426"/>
      <c r="O152" s="1426"/>
      <c r="P152" s="1426"/>
      <c r="Q152" s="1426"/>
      <c r="R152" s="1426"/>
      <c r="S152" s="1426"/>
      <c r="T152" s="1426"/>
      <c r="U152" s="1426"/>
      <c r="V152" s="1426"/>
      <c r="W152" s="1426"/>
      <c r="AA152" s="1490">
        <f>IF(LEFT(F152,3)-LEFT(F152,1)=0.5,'1-Eng Inputs'!$C$39,0)+LEFT(F152,1)*'1-Eng Inputs'!$C$38</f>
        <v>128</v>
      </c>
      <c r="AC152" s="1490">
        <f>IF(LEFT(H152,3)-LEFT(H152,1)=0.5,'1-Eng Inputs'!$C$39,0)+LEFT(H152,1)*'1-Eng Inputs'!$C$38</f>
        <v>128</v>
      </c>
      <c r="AD152" s="391"/>
      <c r="AE152" s="1426"/>
      <c r="AF152" s="391"/>
      <c r="AG152" s="1426"/>
      <c r="AH152" s="391"/>
      <c r="AI152" s="1426"/>
      <c r="AJ152" s="391"/>
      <c r="AK152" s="1426"/>
      <c r="AL152" s="391"/>
      <c r="AM152" s="1426"/>
      <c r="AN152" s="391"/>
      <c r="AO152" s="1426"/>
      <c r="AP152" s="391"/>
      <c r="AQ152" s="1426"/>
      <c r="AR152" s="1426"/>
      <c r="AV152" s="1506">
        <f>(AW151*BP152+AW154*BP153)/'1-Eng Inputs'!$C$38</f>
        <v>3.7531899424178361</v>
      </c>
      <c r="AX152" s="1506">
        <f>(AW151*BR152+AW154*BR153)/'1-Eng Inputs'!$C$38</f>
        <v>3.7531899424178361</v>
      </c>
      <c r="AY152" s="1426"/>
      <c r="AZ152" s="1426"/>
      <c r="BA152" s="1426"/>
      <c r="BB152" s="1426"/>
      <c r="BC152" s="1426"/>
      <c r="BD152" s="1426"/>
      <c r="BE152" s="1426"/>
      <c r="BF152" s="1426"/>
      <c r="BG152" s="1426"/>
      <c r="BH152" s="1426"/>
      <c r="BI152" s="1426"/>
      <c r="BJ152" s="1426"/>
      <c r="BK152" s="1426"/>
      <c r="BL152" s="1426"/>
      <c r="BM152" s="1426"/>
      <c r="BP152" s="1512">
        <v>0.25</v>
      </c>
      <c r="BR152" s="1512">
        <v>0.25</v>
      </c>
      <c r="BU152" s="373"/>
      <c r="BV152" s="373"/>
      <c r="BW152" s="373"/>
      <c r="BX152" s="373"/>
      <c r="BY152" s="373"/>
      <c r="BZ152" s="373"/>
      <c r="CA152" s="373"/>
      <c r="CB152" s="373"/>
      <c r="CC152" s="373"/>
      <c r="CD152" s="373"/>
      <c r="CE152" s="373"/>
      <c r="CF152" s="373"/>
      <c r="CG152" s="373"/>
      <c r="CH152" s="373"/>
      <c r="CI152" s="373"/>
      <c r="CJ152" s="373"/>
      <c r="CK152" s="373"/>
      <c r="CP152" s="1490">
        <f>AV152</f>
        <v>3.7531899424178361</v>
      </c>
      <c r="CR152" s="1490">
        <f>AX152</f>
        <v>3.7531899424178361</v>
      </c>
      <c r="CS152" s="1426"/>
      <c r="CT152" s="1426"/>
      <c r="CU152" s="1426"/>
      <c r="CV152" s="1426"/>
      <c r="CW152" s="1426"/>
      <c r="CX152" s="1426"/>
      <c r="CY152" s="1426"/>
      <c r="CZ152" s="1426"/>
      <c r="DA152" s="1426"/>
      <c r="DB152" s="1426"/>
      <c r="DC152" s="1426"/>
      <c r="DD152" s="1426"/>
      <c r="DE152" s="1426"/>
      <c r="DF152" s="1426"/>
      <c r="DG152" s="1426"/>
    </row>
    <row r="153" spans="4:111" hidden="1">
      <c r="F153" s="1495"/>
      <c r="G153" s="353"/>
      <c r="H153" s="1495"/>
      <c r="AA153" s="1491"/>
      <c r="AB153" s="457"/>
      <c r="AC153" s="1491"/>
      <c r="AV153" s="1507"/>
      <c r="AX153" s="1507"/>
      <c r="BP153" s="1513">
        <v>0.25</v>
      </c>
      <c r="BR153" s="1513">
        <v>0.25</v>
      </c>
      <c r="CP153" s="1491"/>
      <c r="CQ153" s="386">
        <f>AB154</f>
        <v>288</v>
      </c>
      <c r="CR153" s="1491"/>
    </row>
    <row r="154" spans="4:111" ht="21" customHeight="1">
      <c r="E154" s="353">
        <v>5</v>
      </c>
      <c r="F154" s="389"/>
      <c r="G154" s="378" t="s">
        <v>19459</v>
      </c>
      <c r="H154" s="390"/>
      <c r="I154" s="1426"/>
      <c r="J154" s="1426"/>
      <c r="K154" s="1426"/>
      <c r="L154" s="1426"/>
      <c r="M154" s="1426"/>
      <c r="N154" s="1426"/>
      <c r="O154" s="1426"/>
      <c r="P154" s="1426"/>
      <c r="Q154" s="1426"/>
      <c r="R154" s="1426"/>
      <c r="S154" s="1426"/>
      <c r="T154" s="1426"/>
      <c r="U154" s="1426"/>
      <c r="V154" s="1426"/>
      <c r="W154" s="1426"/>
      <c r="AA154" s="389"/>
      <c r="AB154" s="458">
        <f>(AA152*(AW154*BP153/(AV152*'1-Eng Inputs'!$C$38))+AA155*(AW154*BP155/(AV155*'1-Eng Inputs'!$C$38))/factors!$B$4+AC152*(AW154*BR153/(AX152*'1-Eng Inputs'!$C$38))+AC155*(AW154*BR155/(AX155*'1-Eng Inputs'!$C$38))/factors!$B$4)</f>
        <v>288</v>
      </c>
      <c r="AC154" s="390"/>
      <c r="AD154" s="391"/>
      <c r="AE154" s="1426"/>
      <c r="AF154" s="391"/>
      <c r="AG154" s="1426"/>
      <c r="AH154" s="391"/>
      <c r="AI154" s="1426"/>
      <c r="AJ154" s="391"/>
      <c r="AK154" s="1426"/>
      <c r="AL154" s="391"/>
      <c r="AM154" s="1426"/>
      <c r="AN154" s="391"/>
      <c r="AO154" s="1426"/>
      <c r="AP154" s="391"/>
      <c r="AQ154" s="1426"/>
      <c r="AR154" s="1426"/>
      <c r="AU154" s="353">
        <v>5</v>
      </c>
      <c r="AW154" s="348">
        <f>'Port Calcs (lift)'!D37</f>
        <v>240.20415631474151</v>
      </c>
      <c r="AX154" s="375"/>
      <c r="AY154" s="1426"/>
      <c r="AZ154" s="1426"/>
      <c r="BA154" s="1426"/>
      <c r="BB154" s="1426"/>
      <c r="BC154" s="1426"/>
      <c r="BD154" s="1426"/>
      <c r="BE154" s="1426"/>
      <c r="BF154" s="1426"/>
      <c r="BG154" s="1426"/>
      <c r="BH154" s="1426"/>
      <c r="BI154" s="1426"/>
      <c r="BJ154" s="1426"/>
      <c r="BK154" s="1426"/>
      <c r="BL154" s="1426"/>
      <c r="BM154" s="1426"/>
      <c r="BQ154" s="381"/>
      <c r="BT154" s="373"/>
      <c r="BU154" s="373"/>
      <c r="BV154" s="373"/>
      <c r="BW154" s="373"/>
      <c r="BX154" s="373"/>
      <c r="BY154" s="373"/>
      <c r="BZ154" s="373"/>
      <c r="CA154" s="373"/>
      <c r="CB154" s="373"/>
      <c r="CC154" s="373"/>
      <c r="CD154" s="373"/>
      <c r="CE154" s="373"/>
      <c r="CF154" s="373"/>
      <c r="CG154" s="373"/>
      <c r="CH154" s="373"/>
      <c r="CI154" s="373"/>
      <c r="CJ154" s="373"/>
      <c r="CK154" s="373"/>
      <c r="CO154" s="353">
        <v>5</v>
      </c>
      <c r="CP154" s="389"/>
      <c r="CQ154" s="388">
        <f>AW154</f>
        <v>240.20415631474151</v>
      </c>
      <c r="CR154" s="390"/>
      <c r="CS154" s="1426"/>
      <c r="CT154" s="1426"/>
      <c r="CU154" s="1426"/>
      <c r="CV154" s="1426"/>
      <c r="CW154" s="1426"/>
      <c r="CX154" s="1426"/>
      <c r="CY154" s="1426"/>
      <c r="CZ154" s="1426"/>
      <c r="DA154" s="1426"/>
      <c r="DB154" s="1426"/>
      <c r="DC154" s="1426"/>
      <c r="DD154" s="1426"/>
      <c r="DE154" s="1426"/>
      <c r="DF154" s="1426"/>
      <c r="DG154" s="1426"/>
    </row>
    <row r="155" spans="4:111" ht="12.75" hidden="1" customHeight="1">
      <c r="F155" s="1516"/>
      <c r="H155" s="1516"/>
      <c r="I155" s="1426"/>
      <c r="J155" s="1426"/>
      <c r="K155" s="1426"/>
      <c r="L155" s="1426"/>
      <c r="M155" s="1426"/>
      <c r="N155" s="1426"/>
      <c r="O155" s="1426"/>
      <c r="P155" s="1426"/>
      <c r="Q155" s="1426"/>
      <c r="R155" s="1426"/>
      <c r="S155" s="1426"/>
      <c r="T155" s="1426"/>
      <c r="U155" s="1426"/>
      <c r="V155" s="1426"/>
      <c r="W155" s="1426"/>
      <c r="AA155" s="1490">
        <f>IF(LEFT(F156,3)-LEFT(F156,1)=0.5,'1-Eng Inputs'!$C$39,0)+LEFT(F156,1)*'1-Eng Inputs'!$C$38</f>
        <v>128</v>
      </c>
      <c r="AC155" s="1490">
        <f>IF(LEFT(H156,3)-LEFT(H156,1)=0.5,'1-Eng Inputs'!$C$39,0)+LEFT(H156,1)*'1-Eng Inputs'!$C$38</f>
        <v>128</v>
      </c>
      <c r="AD155" s="391"/>
      <c r="AE155" s="1426"/>
      <c r="AF155" s="391"/>
      <c r="AG155" s="1426"/>
      <c r="AH155" s="391"/>
      <c r="AI155" s="1426"/>
      <c r="AJ155" s="391"/>
      <c r="AK155" s="1426"/>
      <c r="AL155" s="391"/>
      <c r="AM155" s="1426"/>
      <c r="AN155" s="391"/>
      <c r="AO155" s="1426"/>
      <c r="AP155" s="391"/>
      <c r="AQ155" s="1426"/>
      <c r="AR155" s="1426"/>
      <c r="AV155" s="453">
        <f>(AW154*BP155+AW157*BP156)/'1-Eng Inputs'!$C$38</f>
        <v>1.8765949712089181</v>
      </c>
      <c r="AX155" s="453">
        <f>(AW154*BR155+AY157*BR156)/'1-Eng Inputs'!$C$38</f>
        <v>1.8765949712089181</v>
      </c>
      <c r="AY155" s="1426"/>
      <c r="AZ155" s="1426"/>
      <c r="BA155" s="1426"/>
      <c r="BB155" s="1426"/>
      <c r="BC155" s="1426"/>
      <c r="BD155" s="1426"/>
      <c r="BE155" s="1426"/>
      <c r="BF155" s="1426"/>
      <c r="BG155" s="1426"/>
      <c r="BH155" s="1426"/>
      <c r="BI155" s="1426"/>
      <c r="BJ155" s="1426"/>
      <c r="BK155" s="1426"/>
      <c r="BL155" s="1426"/>
      <c r="BM155" s="1426"/>
      <c r="BP155" s="1498">
        <v>0.25</v>
      </c>
      <c r="BR155" s="1498">
        <v>0.25</v>
      </c>
      <c r="BT155" s="373"/>
      <c r="BU155" s="373"/>
      <c r="BV155" s="373"/>
      <c r="BW155" s="373"/>
      <c r="BX155" s="373"/>
      <c r="BY155" s="373"/>
      <c r="BZ155" s="373"/>
      <c r="CA155" s="373"/>
      <c r="CB155" s="373"/>
      <c r="CC155" s="373"/>
      <c r="CD155" s="373"/>
      <c r="CE155" s="373"/>
      <c r="CF155" s="373"/>
      <c r="CG155" s="373"/>
      <c r="CH155" s="373"/>
      <c r="CI155" s="373"/>
      <c r="CJ155" s="373"/>
      <c r="CK155" s="373"/>
      <c r="CP155" s="1490">
        <f>AV155</f>
        <v>1.8765949712089181</v>
      </c>
      <c r="CR155" s="1490">
        <f>AX155</f>
        <v>1.8765949712089181</v>
      </c>
      <c r="CS155" s="1426"/>
      <c r="CT155" s="1426"/>
      <c r="CU155" s="1426"/>
      <c r="CV155" s="1426"/>
      <c r="CW155" s="1426"/>
      <c r="CX155" s="1426"/>
      <c r="CY155" s="1426"/>
      <c r="CZ155" s="1426"/>
      <c r="DA155" s="1426"/>
      <c r="DB155" s="1426"/>
      <c r="DC155" s="1426"/>
      <c r="DD155" s="1426"/>
      <c r="DE155" s="1426"/>
      <c r="DF155" s="1426"/>
      <c r="DG155" s="1426"/>
    </row>
    <row r="156" spans="4:111">
      <c r="F156" s="1495">
        <f>IF($P$4="NO",ROUNDUP(CP156,0),LEFT(CP156,1)+(IF(CP156-LEFT(CP156,1)&lt;0.01,0,IF(CP156-LEFT(CP156,1)&lt;('1-Eng Inputs'!$C$39/'1-Eng Inputs'!$C$38),0.5,1))))</f>
        <v>4</v>
      </c>
      <c r="G156" s="353"/>
      <c r="H156" s="1495">
        <f>IF($P$4="NO",ROUNDUP(CR156,0),LEFT(CR156,1)+(IF(CR156-LEFT(CR156,1)&lt;0.01,0,IF(CR156-LEFT(CR156,1)&lt;('1-Eng Inputs'!$C$39/'1-Eng Inputs'!$C$38),0.5,1))))</f>
        <v>4</v>
      </c>
      <c r="AA156" s="1491"/>
      <c r="AC156" s="1491"/>
      <c r="AV156" s="454">
        <f>AV155*factors!$B$4</f>
        <v>3.0025519539342689</v>
      </c>
      <c r="AX156" s="454">
        <f>AX155*factors!$B$4</f>
        <v>3.0025519539342689</v>
      </c>
      <c r="BP156" s="1499"/>
      <c r="BR156" s="1499"/>
      <c r="CP156" s="1491">
        <f>AV156</f>
        <v>3.0025519539342689</v>
      </c>
      <c r="CR156" s="1491">
        <f>AX156</f>
        <v>3.0025519539342689</v>
      </c>
    </row>
  </sheetData>
  <customSheetViews>
    <customSheetView guid="{F2CCAFB5-9C02-49AC-87E7-8695C5014AAE}" hiddenRows="1">
      <selection activeCell="H57" sqref="H57"/>
      <pageMargins left="0.7" right="0.7" top="0.75" bottom="0.75" header="0.3" footer="0.3"/>
      <pageSetup orientation="portrait" horizontalDpi="0" verticalDpi="0"/>
    </customSheetView>
  </customSheetViews>
  <mergeCells count="8">
    <mergeCell ref="CW6:CX6"/>
    <mergeCell ref="P4:Q4"/>
    <mergeCell ref="CT2:CX2"/>
    <mergeCell ref="S2:T2"/>
    <mergeCell ref="S3:T3"/>
    <mergeCell ref="CW3:CX3"/>
    <mergeCell ref="CW5:CX5"/>
    <mergeCell ref="CW4:CX4"/>
  </mergeCells>
  <conditionalFormatting sqref="P4">
    <cfRule type="cellIs" dxfId="5510" priority="3596" operator="equal">
      <formula>"YES"</formula>
    </cfRule>
  </conditionalFormatting>
  <conditionalFormatting sqref="A3:F4 G3 F11 F140 H140 F143 H143 F149 H149 F152 H152 B8:F8">
    <cfRule type="cellIs" dxfId="5509" priority="3597" operator="greaterThan">
      <formula>6.6</formula>
    </cfRule>
    <cfRule type="cellIs" dxfId="5508" priority="3598" operator="equal">
      <formula>6.5</formula>
    </cfRule>
    <cfRule type="cellIs" dxfId="5507" priority="3599" operator="equal">
      <formula>6</formula>
    </cfRule>
    <cfRule type="cellIs" dxfId="5506" priority="3600" operator="equal">
      <formula>5.5</formula>
    </cfRule>
    <cfRule type="cellIs" dxfId="5505" priority="3601" operator="equal">
      <formula>5</formula>
    </cfRule>
    <cfRule type="cellIs" dxfId="5504" priority="3602" operator="equal">
      <formula>4.5</formula>
    </cfRule>
    <cfRule type="cellIs" dxfId="5503" priority="3603" operator="equal">
      <formula>4</formula>
    </cfRule>
    <cfRule type="cellIs" dxfId="5502" priority="3604" operator="equal">
      <formula>3.5</formula>
    </cfRule>
    <cfRule type="cellIs" dxfId="5501" priority="3605" operator="equal">
      <formula>3</formula>
    </cfRule>
    <cfRule type="cellIs" dxfId="5500" priority="3606" operator="equal">
      <formula>2.5</formula>
    </cfRule>
    <cfRule type="cellIs" dxfId="5499" priority="3607" operator="equal">
      <formula>2</formula>
    </cfRule>
    <cfRule type="cellIs" dxfId="5498" priority="3608" operator="equal">
      <formula>1.5</formula>
    </cfRule>
    <cfRule type="cellIs" dxfId="5497" priority="3609" operator="equal">
      <formula>1</formula>
    </cfRule>
  </conditionalFormatting>
  <conditionalFormatting sqref="CQ13 CS13 CU13 CW13 CY13 DA13 DC13 DE13 DE16 DC16 DA16 CY16 CW16 CU16 CS16 CQ16 CQ19 CS19 CU19 CW19 CY19 DA19 DC19 DE19 DE22 DC22 DA22 CY22 CW22 CU22 CS22 CQ22 CQ25 CS25 CU25 CW25 CY25 DA25 DC25 DE25 DE28 DC28 DA28 CY28 CW28 CU28 CS28 CQ28 CQ31 CS31 CU31 CW31 CY31 DA31 DC31 DE31 DE34 DC34 DA34 CY34 CW34 CU34 CS34 CQ34 CQ43 CS43 CU43 CW43 CY43 DA43 DC43 DE43 DE46 DC46 DA46 CY46 CW46 CU46 CS46 CQ46 CQ49 CS49 CU49 CW49 CY49 DA49 DC49 DE49 DE58 DC58 DA58 CY58 CW58 CU58 CS58 CQ58 CQ61 CS61 CU61 CW61 CY61 DA61 DC61 DE61 DC70 DA70 CY70 CW70 CU70 CS70 CQ70 CQ79 CS79 CU79 CU82 CS82 CQ82 CQ85 CS85 CU85 CU88 CS88 CQ88 CQ91 CS91 CU91 CU94 CS94 CQ94 CQ97 CS97 CU97 CU100 CS100 CQ100 CQ109 CS109 CQ112 CS112 CQ115 CS115 CQ118 CS118 CQ121 CS121 CQ124 CS124 CQ127 CS127 CQ130 CS130 CQ139 CQ142 CQ151">
    <cfRule type="expression" dxfId="5496" priority="3594">
      <formula>AND(CQ12&lt;CQ13,CQ13&gt;0)</formula>
    </cfRule>
  </conditionalFormatting>
  <conditionalFormatting sqref="CQ154">
    <cfRule type="expression" dxfId="5495" priority="3551">
      <formula>CQ153&lt;CQ154</formula>
    </cfRule>
  </conditionalFormatting>
  <conditionalFormatting sqref="H11">
    <cfRule type="cellIs" dxfId="5494" priority="3538" operator="greaterThan">
      <formula>6.6</formula>
    </cfRule>
    <cfRule type="cellIs" dxfId="5493" priority="3539" operator="equal">
      <formula>6.5</formula>
    </cfRule>
    <cfRule type="cellIs" dxfId="5492" priority="3540" operator="equal">
      <formula>6</formula>
    </cfRule>
    <cfRule type="cellIs" dxfId="5491" priority="3541" operator="equal">
      <formula>5.5</formula>
    </cfRule>
    <cfRule type="cellIs" dxfId="5490" priority="3542" operator="equal">
      <formula>5</formula>
    </cfRule>
    <cfRule type="cellIs" dxfId="5489" priority="3543" operator="equal">
      <formula>4.5</formula>
    </cfRule>
    <cfRule type="cellIs" dxfId="5488" priority="3544" operator="equal">
      <formula>4</formula>
    </cfRule>
    <cfRule type="cellIs" dxfId="5487" priority="3545" operator="equal">
      <formula>3.5</formula>
    </cfRule>
    <cfRule type="cellIs" dxfId="5486" priority="3546" operator="equal">
      <formula>3</formula>
    </cfRule>
    <cfRule type="cellIs" dxfId="5485" priority="3547" operator="equal">
      <formula>2.5</formula>
    </cfRule>
    <cfRule type="cellIs" dxfId="5484" priority="3548" operator="equal">
      <formula>2</formula>
    </cfRule>
    <cfRule type="cellIs" dxfId="5483" priority="3549" operator="equal">
      <formula>1.5</formula>
    </cfRule>
    <cfRule type="cellIs" dxfId="5482" priority="3550" operator="equal">
      <formula>1</formula>
    </cfRule>
  </conditionalFormatting>
  <conditionalFormatting sqref="J11">
    <cfRule type="cellIs" dxfId="5481" priority="3525" operator="greaterThan">
      <formula>6.6</formula>
    </cfRule>
    <cfRule type="cellIs" dxfId="5480" priority="3526" operator="equal">
      <formula>6.5</formula>
    </cfRule>
    <cfRule type="cellIs" dxfId="5479" priority="3527" operator="equal">
      <formula>6</formula>
    </cfRule>
    <cfRule type="cellIs" dxfId="5478" priority="3528" operator="equal">
      <formula>5.5</formula>
    </cfRule>
    <cfRule type="cellIs" dxfId="5477" priority="3529" operator="equal">
      <formula>5</formula>
    </cfRule>
    <cfRule type="cellIs" dxfId="5476" priority="3530" operator="equal">
      <formula>4.5</formula>
    </cfRule>
    <cfRule type="cellIs" dxfId="5475" priority="3531" operator="equal">
      <formula>4</formula>
    </cfRule>
    <cfRule type="cellIs" dxfId="5474" priority="3532" operator="equal">
      <formula>3.5</formula>
    </cfRule>
    <cfRule type="cellIs" dxfId="5473" priority="3533" operator="equal">
      <formula>3</formula>
    </cfRule>
    <cfRule type="cellIs" dxfId="5472" priority="3534" operator="equal">
      <formula>2.5</formula>
    </cfRule>
    <cfRule type="cellIs" dxfId="5471" priority="3535" operator="equal">
      <formula>2</formula>
    </cfRule>
    <cfRule type="cellIs" dxfId="5470" priority="3536" operator="equal">
      <formula>1.5</formula>
    </cfRule>
    <cfRule type="cellIs" dxfId="5469" priority="3537" operator="equal">
      <formula>1</formula>
    </cfRule>
  </conditionalFormatting>
  <conditionalFormatting sqref="L11">
    <cfRule type="cellIs" dxfId="5468" priority="3512" operator="greaterThan">
      <formula>6.6</formula>
    </cfRule>
    <cfRule type="cellIs" dxfId="5467" priority="3513" operator="equal">
      <formula>6.5</formula>
    </cfRule>
    <cfRule type="cellIs" dxfId="5466" priority="3514" operator="equal">
      <formula>6</formula>
    </cfRule>
    <cfRule type="cellIs" dxfId="5465" priority="3515" operator="equal">
      <formula>5.5</formula>
    </cfRule>
    <cfRule type="cellIs" dxfId="5464" priority="3516" operator="equal">
      <formula>5</formula>
    </cfRule>
    <cfRule type="cellIs" dxfId="5463" priority="3517" operator="equal">
      <formula>4.5</formula>
    </cfRule>
    <cfRule type="cellIs" dxfId="5462" priority="3518" operator="equal">
      <formula>4</formula>
    </cfRule>
    <cfRule type="cellIs" dxfId="5461" priority="3519" operator="equal">
      <formula>3.5</formula>
    </cfRule>
    <cfRule type="cellIs" dxfId="5460" priority="3520" operator="equal">
      <formula>3</formula>
    </cfRule>
    <cfRule type="cellIs" dxfId="5459" priority="3521" operator="equal">
      <formula>2.5</formula>
    </cfRule>
    <cfRule type="cellIs" dxfId="5458" priority="3522" operator="equal">
      <formula>2</formula>
    </cfRule>
    <cfRule type="cellIs" dxfId="5457" priority="3523" operator="equal">
      <formula>1.5</formula>
    </cfRule>
    <cfRule type="cellIs" dxfId="5456" priority="3524" operator="equal">
      <formula>1</formula>
    </cfRule>
  </conditionalFormatting>
  <conditionalFormatting sqref="N11">
    <cfRule type="cellIs" dxfId="5455" priority="3499" operator="greaterThan">
      <formula>6.6</formula>
    </cfRule>
    <cfRule type="cellIs" dxfId="5454" priority="3500" operator="equal">
      <formula>6.5</formula>
    </cfRule>
    <cfRule type="cellIs" dxfId="5453" priority="3501" operator="equal">
      <formula>6</formula>
    </cfRule>
    <cfRule type="cellIs" dxfId="5452" priority="3502" operator="equal">
      <formula>5.5</formula>
    </cfRule>
    <cfRule type="cellIs" dxfId="5451" priority="3503" operator="equal">
      <formula>5</formula>
    </cfRule>
    <cfRule type="cellIs" dxfId="5450" priority="3504" operator="equal">
      <formula>4.5</formula>
    </cfRule>
    <cfRule type="cellIs" dxfId="5449" priority="3505" operator="equal">
      <formula>4</formula>
    </cfRule>
    <cfRule type="cellIs" dxfId="5448" priority="3506" operator="equal">
      <formula>3.5</formula>
    </cfRule>
    <cfRule type="cellIs" dxfId="5447" priority="3507" operator="equal">
      <formula>3</formula>
    </cfRule>
    <cfRule type="cellIs" dxfId="5446" priority="3508" operator="equal">
      <formula>2.5</formula>
    </cfRule>
    <cfRule type="cellIs" dxfId="5445" priority="3509" operator="equal">
      <formula>2</formula>
    </cfRule>
    <cfRule type="cellIs" dxfId="5444" priority="3510" operator="equal">
      <formula>1.5</formula>
    </cfRule>
    <cfRule type="cellIs" dxfId="5443" priority="3511" operator="equal">
      <formula>1</formula>
    </cfRule>
  </conditionalFormatting>
  <conditionalFormatting sqref="P11">
    <cfRule type="cellIs" dxfId="5442" priority="3486" operator="greaterThan">
      <formula>6.6</formula>
    </cfRule>
    <cfRule type="cellIs" dxfId="5441" priority="3487" operator="equal">
      <formula>6.5</formula>
    </cfRule>
    <cfRule type="cellIs" dxfId="5440" priority="3488" operator="equal">
      <formula>6</formula>
    </cfRule>
    <cfRule type="cellIs" dxfId="5439" priority="3489" operator="equal">
      <formula>5.5</formula>
    </cfRule>
    <cfRule type="cellIs" dxfId="5438" priority="3490" operator="equal">
      <formula>5</formula>
    </cfRule>
    <cfRule type="cellIs" dxfId="5437" priority="3491" operator="equal">
      <formula>4.5</formula>
    </cfRule>
    <cfRule type="cellIs" dxfId="5436" priority="3492" operator="equal">
      <formula>4</formula>
    </cfRule>
    <cfRule type="cellIs" dxfId="5435" priority="3493" operator="equal">
      <formula>3.5</formula>
    </cfRule>
    <cfRule type="cellIs" dxfId="5434" priority="3494" operator="equal">
      <formula>3</formula>
    </cfRule>
    <cfRule type="cellIs" dxfId="5433" priority="3495" operator="equal">
      <formula>2.5</formula>
    </cfRule>
    <cfRule type="cellIs" dxfId="5432" priority="3496" operator="equal">
      <formula>2</formula>
    </cfRule>
    <cfRule type="cellIs" dxfId="5431" priority="3497" operator="equal">
      <formula>1.5</formula>
    </cfRule>
    <cfRule type="cellIs" dxfId="5430" priority="3498" operator="equal">
      <formula>1</formula>
    </cfRule>
  </conditionalFormatting>
  <conditionalFormatting sqref="R11">
    <cfRule type="cellIs" dxfId="5429" priority="3473" operator="greaterThan">
      <formula>6.6</formula>
    </cfRule>
    <cfRule type="cellIs" dxfId="5428" priority="3474" operator="equal">
      <formula>6.5</formula>
    </cfRule>
    <cfRule type="cellIs" dxfId="5427" priority="3475" operator="equal">
      <formula>6</formula>
    </cfRule>
    <cfRule type="cellIs" dxfId="5426" priority="3476" operator="equal">
      <formula>5.5</formula>
    </cfRule>
    <cfRule type="cellIs" dxfId="5425" priority="3477" operator="equal">
      <formula>5</formula>
    </cfRule>
    <cfRule type="cellIs" dxfId="5424" priority="3478" operator="equal">
      <formula>4.5</formula>
    </cfRule>
    <cfRule type="cellIs" dxfId="5423" priority="3479" operator="equal">
      <formula>4</formula>
    </cfRule>
    <cfRule type="cellIs" dxfId="5422" priority="3480" operator="equal">
      <formula>3.5</formula>
    </cfRule>
    <cfRule type="cellIs" dxfId="5421" priority="3481" operator="equal">
      <formula>3</formula>
    </cfRule>
    <cfRule type="cellIs" dxfId="5420" priority="3482" operator="equal">
      <formula>2.5</formula>
    </cfRule>
    <cfRule type="cellIs" dxfId="5419" priority="3483" operator="equal">
      <formula>2</formula>
    </cfRule>
    <cfRule type="cellIs" dxfId="5418" priority="3484" operator="equal">
      <formula>1.5</formula>
    </cfRule>
    <cfRule type="cellIs" dxfId="5417" priority="3485" operator="equal">
      <formula>1</formula>
    </cfRule>
  </conditionalFormatting>
  <conditionalFormatting sqref="T11">
    <cfRule type="cellIs" dxfId="5416" priority="3460" operator="greaterThan">
      <formula>6.6</formula>
    </cfRule>
    <cfRule type="cellIs" dxfId="5415" priority="3461" operator="equal">
      <formula>6.5</formula>
    </cfRule>
    <cfRule type="cellIs" dxfId="5414" priority="3462" operator="equal">
      <formula>6</formula>
    </cfRule>
    <cfRule type="cellIs" dxfId="5413" priority="3463" operator="equal">
      <formula>5.5</formula>
    </cfRule>
    <cfRule type="cellIs" dxfId="5412" priority="3464" operator="equal">
      <formula>5</formula>
    </cfRule>
    <cfRule type="cellIs" dxfId="5411" priority="3465" operator="equal">
      <formula>4.5</formula>
    </cfRule>
    <cfRule type="cellIs" dxfId="5410" priority="3466" operator="equal">
      <formula>4</formula>
    </cfRule>
    <cfRule type="cellIs" dxfId="5409" priority="3467" operator="equal">
      <formula>3.5</formula>
    </cfRule>
    <cfRule type="cellIs" dxfId="5408" priority="3468" operator="equal">
      <formula>3</formula>
    </cfRule>
    <cfRule type="cellIs" dxfId="5407" priority="3469" operator="equal">
      <formula>2.5</formula>
    </cfRule>
    <cfRule type="cellIs" dxfId="5406" priority="3470" operator="equal">
      <formula>2</formula>
    </cfRule>
    <cfRule type="cellIs" dxfId="5405" priority="3471" operator="equal">
      <formula>1.5</formula>
    </cfRule>
    <cfRule type="cellIs" dxfId="5404" priority="3472" operator="equal">
      <formula>1</formula>
    </cfRule>
  </conditionalFormatting>
  <conditionalFormatting sqref="V11">
    <cfRule type="cellIs" dxfId="5403" priority="3447" operator="greaterThan">
      <formula>6.6</formula>
    </cfRule>
    <cfRule type="cellIs" dxfId="5402" priority="3448" operator="equal">
      <formula>6.5</formula>
    </cfRule>
    <cfRule type="cellIs" dxfId="5401" priority="3449" operator="equal">
      <formula>6</formula>
    </cfRule>
    <cfRule type="cellIs" dxfId="5400" priority="3450" operator="equal">
      <formula>5.5</formula>
    </cfRule>
    <cfRule type="cellIs" dxfId="5399" priority="3451" operator="equal">
      <formula>5</formula>
    </cfRule>
    <cfRule type="cellIs" dxfId="5398" priority="3452" operator="equal">
      <formula>4.5</formula>
    </cfRule>
    <cfRule type="cellIs" dxfId="5397" priority="3453" operator="equal">
      <formula>4</formula>
    </cfRule>
    <cfRule type="cellIs" dxfId="5396" priority="3454" operator="equal">
      <formula>3.5</formula>
    </cfRule>
    <cfRule type="cellIs" dxfId="5395" priority="3455" operator="equal">
      <formula>3</formula>
    </cfRule>
    <cfRule type="cellIs" dxfId="5394" priority="3456" operator="equal">
      <formula>2.5</formula>
    </cfRule>
    <cfRule type="cellIs" dxfId="5393" priority="3457" operator="equal">
      <formula>2</formula>
    </cfRule>
    <cfRule type="cellIs" dxfId="5392" priority="3458" operator="equal">
      <formula>1.5</formula>
    </cfRule>
    <cfRule type="cellIs" dxfId="5391" priority="3459" operator="equal">
      <formula>1</formula>
    </cfRule>
  </conditionalFormatting>
  <conditionalFormatting sqref="F14">
    <cfRule type="cellIs" dxfId="5390" priority="3434" operator="greaterThan">
      <formula>6.6</formula>
    </cfRule>
    <cfRule type="cellIs" dxfId="5389" priority="3435" operator="equal">
      <formula>6.5</formula>
    </cfRule>
    <cfRule type="cellIs" dxfId="5388" priority="3436" operator="equal">
      <formula>6</formula>
    </cfRule>
    <cfRule type="cellIs" dxfId="5387" priority="3437" operator="equal">
      <formula>5.5</formula>
    </cfRule>
    <cfRule type="cellIs" dxfId="5386" priority="3438" operator="equal">
      <formula>5</formula>
    </cfRule>
    <cfRule type="cellIs" dxfId="5385" priority="3439" operator="equal">
      <formula>4.5</formula>
    </cfRule>
    <cfRule type="cellIs" dxfId="5384" priority="3440" operator="equal">
      <formula>4</formula>
    </cfRule>
    <cfRule type="cellIs" dxfId="5383" priority="3441" operator="equal">
      <formula>3.5</formula>
    </cfRule>
    <cfRule type="cellIs" dxfId="5382" priority="3442" operator="equal">
      <formula>3</formula>
    </cfRule>
    <cfRule type="cellIs" dxfId="5381" priority="3443" operator="equal">
      <formula>2.5</formula>
    </cfRule>
    <cfRule type="cellIs" dxfId="5380" priority="3444" operator="equal">
      <formula>2</formula>
    </cfRule>
    <cfRule type="cellIs" dxfId="5379" priority="3445" operator="equal">
      <formula>1.5</formula>
    </cfRule>
    <cfRule type="cellIs" dxfId="5378" priority="3446" operator="equal">
      <formula>1</formula>
    </cfRule>
  </conditionalFormatting>
  <conditionalFormatting sqref="H14">
    <cfRule type="cellIs" dxfId="5377" priority="3421" operator="greaterThan">
      <formula>6.6</formula>
    </cfRule>
    <cfRule type="cellIs" dxfId="5376" priority="3422" operator="equal">
      <formula>6.5</formula>
    </cfRule>
    <cfRule type="cellIs" dxfId="5375" priority="3423" operator="equal">
      <formula>6</formula>
    </cfRule>
    <cfRule type="cellIs" dxfId="5374" priority="3424" operator="equal">
      <formula>5.5</formula>
    </cfRule>
    <cfRule type="cellIs" dxfId="5373" priority="3425" operator="equal">
      <formula>5</formula>
    </cfRule>
    <cfRule type="cellIs" dxfId="5372" priority="3426" operator="equal">
      <formula>4.5</formula>
    </cfRule>
    <cfRule type="cellIs" dxfId="5371" priority="3427" operator="equal">
      <formula>4</formula>
    </cfRule>
    <cfRule type="cellIs" dxfId="5370" priority="3428" operator="equal">
      <formula>3.5</formula>
    </cfRule>
    <cfRule type="cellIs" dxfId="5369" priority="3429" operator="equal">
      <formula>3</formula>
    </cfRule>
    <cfRule type="cellIs" dxfId="5368" priority="3430" operator="equal">
      <formula>2.5</formula>
    </cfRule>
    <cfRule type="cellIs" dxfId="5367" priority="3431" operator="equal">
      <formula>2</formula>
    </cfRule>
    <cfRule type="cellIs" dxfId="5366" priority="3432" operator="equal">
      <formula>1.5</formula>
    </cfRule>
    <cfRule type="cellIs" dxfId="5365" priority="3433" operator="equal">
      <formula>1</formula>
    </cfRule>
  </conditionalFormatting>
  <conditionalFormatting sqref="J14">
    <cfRule type="cellIs" dxfId="5364" priority="3408" operator="greaterThan">
      <formula>6.6</formula>
    </cfRule>
    <cfRule type="cellIs" dxfId="5363" priority="3409" operator="equal">
      <formula>6.5</formula>
    </cfRule>
    <cfRule type="cellIs" dxfId="5362" priority="3410" operator="equal">
      <formula>6</formula>
    </cfRule>
    <cfRule type="cellIs" dxfId="5361" priority="3411" operator="equal">
      <formula>5.5</formula>
    </cfRule>
    <cfRule type="cellIs" dxfId="5360" priority="3412" operator="equal">
      <formula>5</formula>
    </cfRule>
    <cfRule type="cellIs" dxfId="5359" priority="3413" operator="equal">
      <formula>4.5</formula>
    </cfRule>
    <cfRule type="cellIs" dxfId="5358" priority="3414" operator="equal">
      <formula>4</formula>
    </cfRule>
    <cfRule type="cellIs" dxfId="5357" priority="3415" operator="equal">
      <formula>3.5</formula>
    </cfRule>
    <cfRule type="cellIs" dxfId="5356" priority="3416" operator="equal">
      <formula>3</formula>
    </cfRule>
    <cfRule type="cellIs" dxfId="5355" priority="3417" operator="equal">
      <formula>2.5</formula>
    </cfRule>
    <cfRule type="cellIs" dxfId="5354" priority="3418" operator="equal">
      <formula>2</formula>
    </cfRule>
    <cfRule type="cellIs" dxfId="5353" priority="3419" operator="equal">
      <formula>1.5</formula>
    </cfRule>
    <cfRule type="cellIs" dxfId="5352" priority="3420" operator="equal">
      <formula>1</formula>
    </cfRule>
  </conditionalFormatting>
  <conditionalFormatting sqref="L14">
    <cfRule type="cellIs" dxfId="5351" priority="3395" operator="greaterThan">
      <formula>6.6</formula>
    </cfRule>
    <cfRule type="cellIs" dxfId="5350" priority="3396" operator="equal">
      <formula>6.5</formula>
    </cfRule>
    <cfRule type="cellIs" dxfId="5349" priority="3397" operator="equal">
      <formula>6</formula>
    </cfRule>
    <cfRule type="cellIs" dxfId="5348" priority="3398" operator="equal">
      <formula>5.5</formula>
    </cfRule>
    <cfRule type="cellIs" dxfId="5347" priority="3399" operator="equal">
      <formula>5</formula>
    </cfRule>
    <cfRule type="cellIs" dxfId="5346" priority="3400" operator="equal">
      <formula>4.5</formula>
    </cfRule>
    <cfRule type="cellIs" dxfId="5345" priority="3401" operator="equal">
      <formula>4</formula>
    </cfRule>
    <cfRule type="cellIs" dxfId="5344" priority="3402" operator="equal">
      <formula>3.5</formula>
    </cfRule>
    <cfRule type="cellIs" dxfId="5343" priority="3403" operator="equal">
      <formula>3</formula>
    </cfRule>
    <cfRule type="cellIs" dxfId="5342" priority="3404" operator="equal">
      <formula>2.5</formula>
    </cfRule>
    <cfRule type="cellIs" dxfId="5341" priority="3405" operator="equal">
      <formula>2</formula>
    </cfRule>
    <cfRule type="cellIs" dxfId="5340" priority="3406" operator="equal">
      <formula>1.5</formula>
    </cfRule>
    <cfRule type="cellIs" dxfId="5339" priority="3407" operator="equal">
      <formula>1</formula>
    </cfRule>
  </conditionalFormatting>
  <conditionalFormatting sqref="N14">
    <cfRule type="cellIs" dxfId="5338" priority="3382" operator="greaterThan">
      <formula>6.6</formula>
    </cfRule>
    <cfRule type="cellIs" dxfId="5337" priority="3383" operator="equal">
      <formula>6.5</formula>
    </cfRule>
    <cfRule type="cellIs" dxfId="5336" priority="3384" operator="equal">
      <formula>6</formula>
    </cfRule>
    <cfRule type="cellIs" dxfId="5335" priority="3385" operator="equal">
      <formula>5.5</formula>
    </cfRule>
    <cfRule type="cellIs" dxfId="5334" priority="3386" operator="equal">
      <formula>5</formula>
    </cfRule>
    <cfRule type="cellIs" dxfId="5333" priority="3387" operator="equal">
      <formula>4.5</formula>
    </cfRule>
    <cfRule type="cellIs" dxfId="5332" priority="3388" operator="equal">
      <formula>4</formula>
    </cfRule>
    <cfRule type="cellIs" dxfId="5331" priority="3389" operator="equal">
      <formula>3.5</formula>
    </cfRule>
    <cfRule type="cellIs" dxfId="5330" priority="3390" operator="equal">
      <formula>3</formula>
    </cfRule>
    <cfRule type="cellIs" dxfId="5329" priority="3391" operator="equal">
      <formula>2.5</formula>
    </cfRule>
    <cfRule type="cellIs" dxfId="5328" priority="3392" operator="equal">
      <formula>2</formula>
    </cfRule>
    <cfRule type="cellIs" dxfId="5327" priority="3393" operator="equal">
      <formula>1.5</formula>
    </cfRule>
    <cfRule type="cellIs" dxfId="5326" priority="3394" operator="equal">
      <formula>1</formula>
    </cfRule>
  </conditionalFormatting>
  <conditionalFormatting sqref="P14">
    <cfRule type="cellIs" dxfId="5325" priority="3369" operator="greaterThan">
      <formula>6.6</formula>
    </cfRule>
    <cfRule type="cellIs" dxfId="5324" priority="3370" operator="equal">
      <formula>6.5</formula>
    </cfRule>
    <cfRule type="cellIs" dxfId="5323" priority="3371" operator="equal">
      <formula>6</formula>
    </cfRule>
    <cfRule type="cellIs" dxfId="5322" priority="3372" operator="equal">
      <formula>5.5</formula>
    </cfRule>
    <cfRule type="cellIs" dxfId="5321" priority="3373" operator="equal">
      <formula>5</formula>
    </cfRule>
    <cfRule type="cellIs" dxfId="5320" priority="3374" operator="equal">
      <formula>4.5</formula>
    </cfRule>
    <cfRule type="cellIs" dxfId="5319" priority="3375" operator="equal">
      <formula>4</formula>
    </cfRule>
    <cfRule type="cellIs" dxfId="5318" priority="3376" operator="equal">
      <formula>3.5</formula>
    </cfRule>
    <cfRule type="cellIs" dxfId="5317" priority="3377" operator="equal">
      <formula>3</formula>
    </cfRule>
    <cfRule type="cellIs" dxfId="5316" priority="3378" operator="equal">
      <formula>2.5</formula>
    </cfRule>
    <cfRule type="cellIs" dxfId="5315" priority="3379" operator="equal">
      <formula>2</formula>
    </cfRule>
    <cfRule type="cellIs" dxfId="5314" priority="3380" operator="equal">
      <formula>1.5</formula>
    </cfRule>
    <cfRule type="cellIs" dxfId="5313" priority="3381" operator="equal">
      <formula>1</formula>
    </cfRule>
  </conditionalFormatting>
  <conditionalFormatting sqref="R14">
    <cfRule type="cellIs" dxfId="5312" priority="3356" operator="greaterThan">
      <formula>6.6</formula>
    </cfRule>
    <cfRule type="cellIs" dxfId="5311" priority="3357" operator="equal">
      <formula>6.5</formula>
    </cfRule>
    <cfRule type="cellIs" dxfId="5310" priority="3358" operator="equal">
      <formula>6</formula>
    </cfRule>
    <cfRule type="cellIs" dxfId="5309" priority="3359" operator="equal">
      <formula>5.5</formula>
    </cfRule>
    <cfRule type="cellIs" dxfId="5308" priority="3360" operator="equal">
      <formula>5</formula>
    </cfRule>
    <cfRule type="cellIs" dxfId="5307" priority="3361" operator="equal">
      <formula>4.5</formula>
    </cfRule>
    <cfRule type="cellIs" dxfId="5306" priority="3362" operator="equal">
      <formula>4</formula>
    </cfRule>
    <cfRule type="cellIs" dxfId="5305" priority="3363" operator="equal">
      <formula>3.5</formula>
    </cfRule>
    <cfRule type="cellIs" dxfId="5304" priority="3364" operator="equal">
      <formula>3</formula>
    </cfRule>
    <cfRule type="cellIs" dxfId="5303" priority="3365" operator="equal">
      <formula>2.5</formula>
    </cfRule>
    <cfRule type="cellIs" dxfId="5302" priority="3366" operator="equal">
      <formula>2</formula>
    </cfRule>
    <cfRule type="cellIs" dxfId="5301" priority="3367" operator="equal">
      <formula>1.5</formula>
    </cfRule>
    <cfRule type="cellIs" dxfId="5300" priority="3368" operator="equal">
      <formula>1</formula>
    </cfRule>
  </conditionalFormatting>
  <conditionalFormatting sqref="T14">
    <cfRule type="cellIs" dxfId="5299" priority="3343" operator="greaterThan">
      <formula>6.6</formula>
    </cfRule>
    <cfRule type="cellIs" dxfId="5298" priority="3344" operator="equal">
      <formula>6.5</formula>
    </cfRule>
    <cfRule type="cellIs" dxfId="5297" priority="3345" operator="equal">
      <formula>6</formula>
    </cfRule>
    <cfRule type="cellIs" dxfId="5296" priority="3346" operator="equal">
      <formula>5.5</formula>
    </cfRule>
    <cfRule type="cellIs" dxfId="5295" priority="3347" operator="equal">
      <formula>5</formula>
    </cfRule>
    <cfRule type="cellIs" dxfId="5294" priority="3348" operator="equal">
      <formula>4.5</formula>
    </cfRule>
    <cfRule type="cellIs" dxfId="5293" priority="3349" operator="equal">
      <formula>4</formula>
    </cfRule>
    <cfRule type="cellIs" dxfId="5292" priority="3350" operator="equal">
      <formula>3.5</formula>
    </cfRule>
    <cfRule type="cellIs" dxfId="5291" priority="3351" operator="equal">
      <formula>3</formula>
    </cfRule>
    <cfRule type="cellIs" dxfId="5290" priority="3352" operator="equal">
      <formula>2.5</formula>
    </cfRule>
    <cfRule type="cellIs" dxfId="5289" priority="3353" operator="equal">
      <formula>2</formula>
    </cfRule>
    <cfRule type="cellIs" dxfId="5288" priority="3354" operator="equal">
      <formula>1.5</formula>
    </cfRule>
    <cfRule type="cellIs" dxfId="5287" priority="3355" operator="equal">
      <formula>1</formula>
    </cfRule>
  </conditionalFormatting>
  <conditionalFormatting sqref="V14">
    <cfRule type="cellIs" dxfId="5286" priority="3330" operator="greaterThan">
      <formula>6.6</formula>
    </cfRule>
    <cfRule type="cellIs" dxfId="5285" priority="3331" operator="equal">
      <formula>6.5</formula>
    </cfRule>
    <cfRule type="cellIs" dxfId="5284" priority="3332" operator="equal">
      <formula>6</formula>
    </cfRule>
    <cfRule type="cellIs" dxfId="5283" priority="3333" operator="equal">
      <formula>5.5</formula>
    </cfRule>
    <cfRule type="cellIs" dxfId="5282" priority="3334" operator="equal">
      <formula>5</formula>
    </cfRule>
    <cfRule type="cellIs" dxfId="5281" priority="3335" operator="equal">
      <formula>4.5</formula>
    </cfRule>
    <cfRule type="cellIs" dxfId="5280" priority="3336" operator="equal">
      <formula>4</formula>
    </cfRule>
    <cfRule type="cellIs" dxfId="5279" priority="3337" operator="equal">
      <formula>3.5</formula>
    </cfRule>
    <cfRule type="cellIs" dxfId="5278" priority="3338" operator="equal">
      <formula>3</formula>
    </cfRule>
    <cfRule type="cellIs" dxfId="5277" priority="3339" operator="equal">
      <formula>2.5</formula>
    </cfRule>
    <cfRule type="cellIs" dxfId="5276" priority="3340" operator="equal">
      <formula>2</formula>
    </cfRule>
    <cfRule type="cellIs" dxfId="5275" priority="3341" operator="equal">
      <formula>1.5</formula>
    </cfRule>
    <cfRule type="cellIs" dxfId="5274" priority="3342" operator="equal">
      <formula>1</formula>
    </cfRule>
  </conditionalFormatting>
  <conditionalFormatting sqref="F17">
    <cfRule type="cellIs" dxfId="5273" priority="3317" operator="greaterThan">
      <formula>6.6</formula>
    </cfRule>
    <cfRule type="cellIs" dxfId="5272" priority="3318" operator="equal">
      <formula>6.5</formula>
    </cfRule>
    <cfRule type="cellIs" dxfId="5271" priority="3319" operator="equal">
      <formula>6</formula>
    </cfRule>
    <cfRule type="cellIs" dxfId="5270" priority="3320" operator="equal">
      <formula>5.5</formula>
    </cfRule>
    <cfRule type="cellIs" dxfId="5269" priority="3321" operator="equal">
      <formula>5</formula>
    </cfRule>
    <cfRule type="cellIs" dxfId="5268" priority="3322" operator="equal">
      <formula>4.5</formula>
    </cfRule>
    <cfRule type="cellIs" dxfId="5267" priority="3323" operator="equal">
      <formula>4</formula>
    </cfRule>
    <cfRule type="cellIs" dxfId="5266" priority="3324" operator="equal">
      <formula>3.5</formula>
    </cfRule>
    <cfRule type="cellIs" dxfId="5265" priority="3325" operator="equal">
      <formula>3</formula>
    </cfRule>
    <cfRule type="cellIs" dxfId="5264" priority="3326" operator="equal">
      <formula>2.5</formula>
    </cfRule>
    <cfRule type="cellIs" dxfId="5263" priority="3327" operator="equal">
      <formula>2</formula>
    </cfRule>
    <cfRule type="cellIs" dxfId="5262" priority="3328" operator="equal">
      <formula>1.5</formula>
    </cfRule>
    <cfRule type="cellIs" dxfId="5261" priority="3329" operator="equal">
      <formula>1</formula>
    </cfRule>
  </conditionalFormatting>
  <conditionalFormatting sqref="H17">
    <cfRule type="cellIs" dxfId="5260" priority="3304" operator="greaterThan">
      <formula>6.6</formula>
    </cfRule>
    <cfRule type="cellIs" dxfId="5259" priority="3305" operator="equal">
      <formula>6.5</formula>
    </cfRule>
    <cfRule type="cellIs" dxfId="5258" priority="3306" operator="equal">
      <formula>6</formula>
    </cfRule>
    <cfRule type="cellIs" dxfId="5257" priority="3307" operator="equal">
      <formula>5.5</formula>
    </cfRule>
    <cfRule type="cellIs" dxfId="5256" priority="3308" operator="equal">
      <formula>5</formula>
    </cfRule>
    <cfRule type="cellIs" dxfId="5255" priority="3309" operator="equal">
      <formula>4.5</formula>
    </cfRule>
    <cfRule type="cellIs" dxfId="5254" priority="3310" operator="equal">
      <formula>4</formula>
    </cfRule>
    <cfRule type="cellIs" dxfId="5253" priority="3311" operator="equal">
      <formula>3.5</formula>
    </cfRule>
    <cfRule type="cellIs" dxfId="5252" priority="3312" operator="equal">
      <formula>3</formula>
    </cfRule>
    <cfRule type="cellIs" dxfId="5251" priority="3313" operator="equal">
      <formula>2.5</formula>
    </cfRule>
    <cfRule type="cellIs" dxfId="5250" priority="3314" operator="equal">
      <formula>2</formula>
    </cfRule>
    <cfRule type="cellIs" dxfId="5249" priority="3315" operator="equal">
      <formula>1.5</formula>
    </cfRule>
    <cfRule type="cellIs" dxfId="5248" priority="3316" operator="equal">
      <formula>1</formula>
    </cfRule>
  </conditionalFormatting>
  <conditionalFormatting sqref="J17">
    <cfRule type="cellIs" dxfId="5247" priority="3291" operator="greaterThan">
      <formula>6.6</formula>
    </cfRule>
    <cfRule type="cellIs" dxfId="5246" priority="3292" operator="equal">
      <formula>6.5</formula>
    </cfRule>
    <cfRule type="cellIs" dxfId="5245" priority="3293" operator="equal">
      <formula>6</formula>
    </cfRule>
    <cfRule type="cellIs" dxfId="5244" priority="3294" operator="equal">
      <formula>5.5</formula>
    </cfRule>
    <cfRule type="cellIs" dxfId="5243" priority="3295" operator="equal">
      <formula>5</formula>
    </cfRule>
    <cfRule type="cellIs" dxfId="5242" priority="3296" operator="equal">
      <formula>4.5</formula>
    </cfRule>
    <cfRule type="cellIs" dxfId="5241" priority="3297" operator="equal">
      <formula>4</formula>
    </cfRule>
    <cfRule type="cellIs" dxfId="5240" priority="3298" operator="equal">
      <formula>3.5</formula>
    </cfRule>
    <cfRule type="cellIs" dxfId="5239" priority="3299" operator="equal">
      <formula>3</formula>
    </cfRule>
    <cfRule type="cellIs" dxfId="5238" priority="3300" operator="equal">
      <formula>2.5</formula>
    </cfRule>
    <cfRule type="cellIs" dxfId="5237" priority="3301" operator="equal">
      <formula>2</formula>
    </cfRule>
    <cfRule type="cellIs" dxfId="5236" priority="3302" operator="equal">
      <formula>1.5</formula>
    </cfRule>
    <cfRule type="cellIs" dxfId="5235" priority="3303" operator="equal">
      <formula>1</formula>
    </cfRule>
  </conditionalFormatting>
  <conditionalFormatting sqref="L17">
    <cfRule type="cellIs" dxfId="5234" priority="3278" operator="greaterThan">
      <formula>6.6</formula>
    </cfRule>
    <cfRule type="cellIs" dxfId="5233" priority="3279" operator="equal">
      <formula>6.5</formula>
    </cfRule>
    <cfRule type="cellIs" dxfId="5232" priority="3280" operator="equal">
      <formula>6</formula>
    </cfRule>
    <cfRule type="cellIs" dxfId="5231" priority="3281" operator="equal">
      <formula>5.5</formula>
    </cfRule>
    <cfRule type="cellIs" dxfId="5230" priority="3282" operator="equal">
      <formula>5</formula>
    </cfRule>
    <cfRule type="cellIs" dxfId="5229" priority="3283" operator="equal">
      <formula>4.5</formula>
    </cfRule>
    <cfRule type="cellIs" dxfId="5228" priority="3284" operator="equal">
      <formula>4</formula>
    </cfRule>
    <cfRule type="cellIs" dxfId="5227" priority="3285" operator="equal">
      <formula>3.5</formula>
    </cfRule>
    <cfRule type="cellIs" dxfId="5226" priority="3286" operator="equal">
      <formula>3</formula>
    </cfRule>
    <cfRule type="cellIs" dxfId="5225" priority="3287" operator="equal">
      <formula>2.5</formula>
    </cfRule>
    <cfRule type="cellIs" dxfId="5224" priority="3288" operator="equal">
      <formula>2</formula>
    </cfRule>
    <cfRule type="cellIs" dxfId="5223" priority="3289" operator="equal">
      <formula>1.5</formula>
    </cfRule>
    <cfRule type="cellIs" dxfId="5222" priority="3290" operator="equal">
      <formula>1</formula>
    </cfRule>
  </conditionalFormatting>
  <conditionalFormatting sqref="N17">
    <cfRule type="cellIs" dxfId="5221" priority="3265" operator="greaterThan">
      <formula>6.6</formula>
    </cfRule>
    <cfRule type="cellIs" dxfId="5220" priority="3266" operator="equal">
      <formula>6.5</formula>
    </cfRule>
    <cfRule type="cellIs" dxfId="5219" priority="3267" operator="equal">
      <formula>6</formula>
    </cfRule>
    <cfRule type="cellIs" dxfId="5218" priority="3268" operator="equal">
      <formula>5.5</formula>
    </cfRule>
    <cfRule type="cellIs" dxfId="5217" priority="3269" operator="equal">
      <formula>5</formula>
    </cfRule>
    <cfRule type="cellIs" dxfId="5216" priority="3270" operator="equal">
      <formula>4.5</formula>
    </cfRule>
    <cfRule type="cellIs" dxfId="5215" priority="3271" operator="equal">
      <formula>4</formula>
    </cfRule>
    <cfRule type="cellIs" dxfId="5214" priority="3272" operator="equal">
      <formula>3.5</formula>
    </cfRule>
    <cfRule type="cellIs" dxfId="5213" priority="3273" operator="equal">
      <formula>3</formula>
    </cfRule>
    <cfRule type="cellIs" dxfId="5212" priority="3274" operator="equal">
      <formula>2.5</formula>
    </cfRule>
    <cfRule type="cellIs" dxfId="5211" priority="3275" operator="equal">
      <formula>2</formula>
    </cfRule>
    <cfRule type="cellIs" dxfId="5210" priority="3276" operator="equal">
      <formula>1.5</formula>
    </cfRule>
    <cfRule type="cellIs" dxfId="5209" priority="3277" operator="equal">
      <formula>1</formula>
    </cfRule>
  </conditionalFormatting>
  <conditionalFormatting sqref="P17">
    <cfRule type="cellIs" dxfId="5208" priority="3252" operator="greaterThan">
      <formula>6.6</formula>
    </cfRule>
    <cfRule type="cellIs" dxfId="5207" priority="3253" operator="equal">
      <formula>6.5</formula>
    </cfRule>
    <cfRule type="cellIs" dxfId="5206" priority="3254" operator="equal">
      <formula>6</formula>
    </cfRule>
    <cfRule type="cellIs" dxfId="5205" priority="3255" operator="equal">
      <formula>5.5</formula>
    </cfRule>
    <cfRule type="cellIs" dxfId="5204" priority="3256" operator="equal">
      <formula>5</formula>
    </cfRule>
    <cfRule type="cellIs" dxfId="5203" priority="3257" operator="equal">
      <formula>4.5</formula>
    </cfRule>
    <cfRule type="cellIs" dxfId="5202" priority="3258" operator="equal">
      <formula>4</formula>
    </cfRule>
    <cfRule type="cellIs" dxfId="5201" priority="3259" operator="equal">
      <formula>3.5</formula>
    </cfRule>
    <cfRule type="cellIs" dxfId="5200" priority="3260" operator="equal">
      <formula>3</formula>
    </cfRule>
    <cfRule type="cellIs" dxfId="5199" priority="3261" operator="equal">
      <formula>2.5</formula>
    </cfRule>
    <cfRule type="cellIs" dxfId="5198" priority="3262" operator="equal">
      <formula>2</formula>
    </cfRule>
    <cfRule type="cellIs" dxfId="5197" priority="3263" operator="equal">
      <formula>1.5</formula>
    </cfRule>
    <cfRule type="cellIs" dxfId="5196" priority="3264" operator="equal">
      <formula>1</formula>
    </cfRule>
  </conditionalFormatting>
  <conditionalFormatting sqref="R17">
    <cfRule type="cellIs" dxfId="5195" priority="3239" operator="greaterThan">
      <formula>6.6</formula>
    </cfRule>
    <cfRule type="cellIs" dxfId="5194" priority="3240" operator="equal">
      <formula>6.5</formula>
    </cfRule>
    <cfRule type="cellIs" dxfId="5193" priority="3241" operator="equal">
      <formula>6</formula>
    </cfRule>
    <cfRule type="cellIs" dxfId="5192" priority="3242" operator="equal">
      <formula>5.5</formula>
    </cfRule>
    <cfRule type="cellIs" dxfId="5191" priority="3243" operator="equal">
      <formula>5</formula>
    </cfRule>
    <cfRule type="cellIs" dxfId="5190" priority="3244" operator="equal">
      <formula>4.5</formula>
    </cfRule>
    <cfRule type="cellIs" dxfId="5189" priority="3245" operator="equal">
      <formula>4</formula>
    </cfRule>
    <cfRule type="cellIs" dxfId="5188" priority="3246" operator="equal">
      <formula>3.5</formula>
    </cfRule>
    <cfRule type="cellIs" dxfId="5187" priority="3247" operator="equal">
      <formula>3</formula>
    </cfRule>
    <cfRule type="cellIs" dxfId="5186" priority="3248" operator="equal">
      <formula>2.5</formula>
    </cfRule>
    <cfRule type="cellIs" dxfId="5185" priority="3249" operator="equal">
      <formula>2</formula>
    </cfRule>
    <cfRule type="cellIs" dxfId="5184" priority="3250" operator="equal">
      <formula>1.5</formula>
    </cfRule>
    <cfRule type="cellIs" dxfId="5183" priority="3251" operator="equal">
      <formula>1</formula>
    </cfRule>
  </conditionalFormatting>
  <conditionalFormatting sqref="T17">
    <cfRule type="cellIs" dxfId="5182" priority="3226" operator="greaterThan">
      <formula>6.6</formula>
    </cfRule>
    <cfRule type="cellIs" dxfId="5181" priority="3227" operator="equal">
      <formula>6.5</formula>
    </cfRule>
    <cfRule type="cellIs" dxfId="5180" priority="3228" operator="equal">
      <formula>6</formula>
    </cfRule>
    <cfRule type="cellIs" dxfId="5179" priority="3229" operator="equal">
      <formula>5.5</formula>
    </cfRule>
    <cfRule type="cellIs" dxfId="5178" priority="3230" operator="equal">
      <formula>5</formula>
    </cfRule>
    <cfRule type="cellIs" dxfId="5177" priority="3231" operator="equal">
      <formula>4.5</formula>
    </cfRule>
    <cfRule type="cellIs" dxfId="5176" priority="3232" operator="equal">
      <formula>4</formula>
    </cfRule>
    <cfRule type="cellIs" dxfId="5175" priority="3233" operator="equal">
      <formula>3.5</formula>
    </cfRule>
    <cfRule type="cellIs" dxfId="5174" priority="3234" operator="equal">
      <formula>3</formula>
    </cfRule>
    <cfRule type="cellIs" dxfId="5173" priority="3235" operator="equal">
      <formula>2.5</formula>
    </cfRule>
    <cfRule type="cellIs" dxfId="5172" priority="3236" operator="equal">
      <formula>2</formula>
    </cfRule>
    <cfRule type="cellIs" dxfId="5171" priority="3237" operator="equal">
      <formula>1.5</formula>
    </cfRule>
    <cfRule type="cellIs" dxfId="5170" priority="3238" operator="equal">
      <formula>1</formula>
    </cfRule>
  </conditionalFormatting>
  <conditionalFormatting sqref="V17">
    <cfRule type="cellIs" dxfId="5169" priority="3213" operator="greaterThan">
      <formula>6.6</formula>
    </cfRule>
    <cfRule type="cellIs" dxfId="5168" priority="3214" operator="equal">
      <formula>6.5</formula>
    </cfRule>
    <cfRule type="cellIs" dxfId="5167" priority="3215" operator="equal">
      <formula>6</formula>
    </cfRule>
    <cfRule type="cellIs" dxfId="5166" priority="3216" operator="equal">
      <formula>5.5</formula>
    </cfRule>
    <cfRule type="cellIs" dxfId="5165" priority="3217" operator="equal">
      <formula>5</formula>
    </cfRule>
    <cfRule type="cellIs" dxfId="5164" priority="3218" operator="equal">
      <formula>4.5</formula>
    </cfRule>
    <cfRule type="cellIs" dxfId="5163" priority="3219" operator="equal">
      <formula>4</formula>
    </cfRule>
    <cfRule type="cellIs" dxfId="5162" priority="3220" operator="equal">
      <formula>3.5</formula>
    </cfRule>
    <cfRule type="cellIs" dxfId="5161" priority="3221" operator="equal">
      <formula>3</formula>
    </cfRule>
    <cfRule type="cellIs" dxfId="5160" priority="3222" operator="equal">
      <formula>2.5</formula>
    </cfRule>
    <cfRule type="cellIs" dxfId="5159" priority="3223" operator="equal">
      <formula>2</formula>
    </cfRule>
    <cfRule type="cellIs" dxfId="5158" priority="3224" operator="equal">
      <formula>1.5</formula>
    </cfRule>
    <cfRule type="cellIs" dxfId="5157" priority="3225" operator="equal">
      <formula>1</formula>
    </cfRule>
  </conditionalFormatting>
  <conditionalFormatting sqref="F20">
    <cfRule type="cellIs" dxfId="5156" priority="3200" operator="greaterThan">
      <formula>6.6</formula>
    </cfRule>
    <cfRule type="cellIs" dxfId="5155" priority="3201" operator="equal">
      <formula>6.5</formula>
    </cfRule>
    <cfRule type="cellIs" dxfId="5154" priority="3202" operator="equal">
      <formula>6</formula>
    </cfRule>
    <cfRule type="cellIs" dxfId="5153" priority="3203" operator="equal">
      <formula>5.5</formula>
    </cfRule>
    <cfRule type="cellIs" dxfId="5152" priority="3204" operator="equal">
      <formula>5</formula>
    </cfRule>
    <cfRule type="cellIs" dxfId="5151" priority="3205" operator="equal">
      <formula>4.5</formula>
    </cfRule>
    <cfRule type="cellIs" dxfId="5150" priority="3206" operator="equal">
      <formula>4</formula>
    </cfRule>
    <cfRule type="cellIs" dxfId="5149" priority="3207" operator="equal">
      <formula>3.5</formula>
    </cfRule>
    <cfRule type="cellIs" dxfId="5148" priority="3208" operator="equal">
      <formula>3</formula>
    </cfRule>
    <cfRule type="cellIs" dxfId="5147" priority="3209" operator="equal">
      <formula>2.5</formula>
    </cfRule>
    <cfRule type="cellIs" dxfId="5146" priority="3210" operator="equal">
      <formula>2</formula>
    </cfRule>
    <cfRule type="cellIs" dxfId="5145" priority="3211" operator="equal">
      <formula>1.5</formula>
    </cfRule>
    <cfRule type="cellIs" dxfId="5144" priority="3212" operator="equal">
      <formula>1</formula>
    </cfRule>
  </conditionalFormatting>
  <conditionalFormatting sqref="H20">
    <cfRule type="cellIs" dxfId="5143" priority="3187" operator="greaterThan">
      <formula>6.6</formula>
    </cfRule>
    <cfRule type="cellIs" dxfId="5142" priority="3188" operator="equal">
      <formula>6.5</formula>
    </cfRule>
    <cfRule type="cellIs" dxfId="5141" priority="3189" operator="equal">
      <formula>6</formula>
    </cfRule>
    <cfRule type="cellIs" dxfId="5140" priority="3190" operator="equal">
      <formula>5.5</formula>
    </cfRule>
    <cfRule type="cellIs" dxfId="5139" priority="3191" operator="equal">
      <formula>5</formula>
    </cfRule>
    <cfRule type="cellIs" dxfId="5138" priority="3192" operator="equal">
      <formula>4.5</formula>
    </cfRule>
    <cfRule type="cellIs" dxfId="5137" priority="3193" operator="equal">
      <formula>4</formula>
    </cfRule>
    <cfRule type="cellIs" dxfId="5136" priority="3194" operator="equal">
      <formula>3.5</formula>
    </cfRule>
    <cfRule type="cellIs" dxfId="5135" priority="3195" operator="equal">
      <formula>3</formula>
    </cfRule>
    <cfRule type="cellIs" dxfId="5134" priority="3196" operator="equal">
      <formula>2.5</formula>
    </cfRule>
    <cfRule type="cellIs" dxfId="5133" priority="3197" operator="equal">
      <formula>2</formula>
    </cfRule>
    <cfRule type="cellIs" dxfId="5132" priority="3198" operator="equal">
      <formula>1.5</formula>
    </cfRule>
    <cfRule type="cellIs" dxfId="5131" priority="3199" operator="equal">
      <formula>1</formula>
    </cfRule>
  </conditionalFormatting>
  <conditionalFormatting sqref="J20">
    <cfRule type="cellIs" dxfId="5130" priority="3174" operator="greaterThan">
      <formula>6.6</formula>
    </cfRule>
    <cfRule type="cellIs" dxfId="5129" priority="3175" operator="equal">
      <formula>6.5</formula>
    </cfRule>
    <cfRule type="cellIs" dxfId="5128" priority="3176" operator="equal">
      <formula>6</formula>
    </cfRule>
    <cfRule type="cellIs" dxfId="5127" priority="3177" operator="equal">
      <formula>5.5</formula>
    </cfRule>
    <cfRule type="cellIs" dxfId="5126" priority="3178" operator="equal">
      <formula>5</formula>
    </cfRule>
    <cfRule type="cellIs" dxfId="5125" priority="3179" operator="equal">
      <formula>4.5</formula>
    </cfRule>
    <cfRule type="cellIs" dxfId="5124" priority="3180" operator="equal">
      <formula>4</formula>
    </cfRule>
    <cfRule type="cellIs" dxfId="5123" priority="3181" operator="equal">
      <formula>3.5</formula>
    </cfRule>
    <cfRule type="cellIs" dxfId="5122" priority="3182" operator="equal">
      <formula>3</formula>
    </cfRule>
    <cfRule type="cellIs" dxfId="5121" priority="3183" operator="equal">
      <formula>2.5</formula>
    </cfRule>
    <cfRule type="cellIs" dxfId="5120" priority="3184" operator="equal">
      <formula>2</formula>
    </cfRule>
    <cfRule type="cellIs" dxfId="5119" priority="3185" operator="equal">
      <formula>1.5</formula>
    </cfRule>
    <cfRule type="cellIs" dxfId="5118" priority="3186" operator="equal">
      <formula>1</formula>
    </cfRule>
  </conditionalFormatting>
  <conditionalFormatting sqref="L20">
    <cfRule type="cellIs" dxfId="5117" priority="3161" operator="greaterThan">
      <formula>6.6</formula>
    </cfRule>
    <cfRule type="cellIs" dxfId="5116" priority="3162" operator="equal">
      <formula>6.5</formula>
    </cfRule>
    <cfRule type="cellIs" dxfId="5115" priority="3163" operator="equal">
      <formula>6</formula>
    </cfRule>
    <cfRule type="cellIs" dxfId="5114" priority="3164" operator="equal">
      <formula>5.5</formula>
    </cfRule>
    <cfRule type="cellIs" dxfId="5113" priority="3165" operator="equal">
      <formula>5</formula>
    </cfRule>
    <cfRule type="cellIs" dxfId="5112" priority="3166" operator="equal">
      <formula>4.5</formula>
    </cfRule>
    <cfRule type="cellIs" dxfId="5111" priority="3167" operator="equal">
      <formula>4</formula>
    </cfRule>
    <cfRule type="cellIs" dxfId="5110" priority="3168" operator="equal">
      <formula>3.5</formula>
    </cfRule>
    <cfRule type="cellIs" dxfId="5109" priority="3169" operator="equal">
      <formula>3</formula>
    </cfRule>
    <cfRule type="cellIs" dxfId="5108" priority="3170" operator="equal">
      <formula>2.5</formula>
    </cfRule>
    <cfRule type="cellIs" dxfId="5107" priority="3171" operator="equal">
      <formula>2</formula>
    </cfRule>
    <cfRule type="cellIs" dxfId="5106" priority="3172" operator="equal">
      <formula>1.5</formula>
    </cfRule>
    <cfRule type="cellIs" dxfId="5105" priority="3173" operator="equal">
      <formula>1</formula>
    </cfRule>
  </conditionalFormatting>
  <conditionalFormatting sqref="N20">
    <cfRule type="cellIs" dxfId="5104" priority="3148" operator="greaterThan">
      <formula>6.6</formula>
    </cfRule>
    <cfRule type="cellIs" dxfId="5103" priority="3149" operator="equal">
      <formula>6.5</formula>
    </cfRule>
    <cfRule type="cellIs" dxfId="5102" priority="3150" operator="equal">
      <formula>6</formula>
    </cfRule>
    <cfRule type="cellIs" dxfId="5101" priority="3151" operator="equal">
      <formula>5.5</formula>
    </cfRule>
    <cfRule type="cellIs" dxfId="5100" priority="3152" operator="equal">
      <formula>5</formula>
    </cfRule>
    <cfRule type="cellIs" dxfId="5099" priority="3153" operator="equal">
      <formula>4.5</formula>
    </cfRule>
    <cfRule type="cellIs" dxfId="5098" priority="3154" operator="equal">
      <formula>4</formula>
    </cfRule>
    <cfRule type="cellIs" dxfId="5097" priority="3155" operator="equal">
      <formula>3.5</formula>
    </cfRule>
    <cfRule type="cellIs" dxfId="5096" priority="3156" operator="equal">
      <formula>3</formula>
    </cfRule>
    <cfRule type="cellIs" dxfId="5095" priority="3157" operator="equal">
      <formula>2.5</formula>
    </cfRule>
    <cfRule type="cellIs" dxfId="5094" priority="3158" operator="equal">
      <formula>2</formula>
    </cfRule>
    <cfRule type="cellIs" dxfId="5093" priority="3159" operator="equal">
      <formula>1.5</formula>
    </cfRule>
    <cfRule type="cellIs" dxfId="5092" priority="3160" operator="equal">
      <formula>1</formula>
    </cfRule>
  </conditionalFormatting>
  <conditionalFormatting sqref="P20">
    <cfRule type="cellIs" dxfId="5091" priority="3135" operator="greaterThan">
      <formula>6.6</formula>
    </cfRule>
    <cfRule type="cellIs" dxfId="5090" priority="3136" operator="equal">
      <formula>6.5</formula>
    </cfRule>
    <cfRule type="cellIs" dxfId="5089" priority="3137" operator="equal">
      <formula>6</formula>
    </cfRule>
    <cfRule type="cellIs" dxfId="5088" priority="3138" operator="equal">
      <formula>5.5</formula>
    </cfRule>
    <cfRule type="cellIs" dxfId="5087" priority="3139" operator="equal">
      <formula>5</formula>
    </cfRule>
    <cfRule type="cellIs" dxfId="5086" priority="3140" operator="equal">
      <formula>4.5</formula>
    </cfRule>
    <cfRule type="cellIs" dxfId="5085" priority="3141" operator="equal">
      <formula>4</formula>
    </cfRule>
    <cfRule type="cellIs" dxfId="5084" priority="3142" operator="equal">
      <formula>3.5</formula>
    </cfRule>
    <cfRule type="cellIs" dxfId="5083" priority="3143" operator="equal">
      <formula>3</formula>
    </cfRule>
    <cfRule type="cellIs" dxfId="5082" priority="3144" operator="equal">
      <formula>2.5</formula>
    </cfRule>
    <cfRule type="cellIs" dxfId="5081" priority="3145" operator="equal">
      <formula>2</formula>
    </cfRule>
    <cfRule type="cellIs" dxfId="5080" priority="3146" operator="equal">
      <formula>1.5</formula>
    </cfRule>
    <cfRule type="cellIs" dxfId="5079" priority="3147" operator="equal">
      <formula>1</formula>
    </cfRule>
  </conditionalFormatting>
  <conditionalFormatting sqref="R20">
    <cfRule type="cellIs" dxfId="5078" priority="3122" operator="greaterThan">
      <formula>6.6</formula>
    </cfRule>
    <cfRule type="cellIs" dxfId="5077" priority="3123" operator="equal">
      <formula>6.5</formula>
    </cfRule>
    <cfRule type="cellIs" dxfId="5076" priority="3124" operator="equal">
      <formula>6</formula>
    </cfRule>
    <cfRule type="cellIs" dxfId="5075" priority="3125" operator="equal">
      <formula>5.5</formula>
    </cfRule>
    <cfRule type="cellIs" dxfId="5074" priority="3126" operator="equal">
      <formula>5</formula>
    </cfRule>
    <cfRule type="cellIs" dxfId="5073" priority="3127" operator="equal">
      <formula>4.5</formula>
    </cfRule>
    <cfRule type="cellIs" dxfId="5072" priority="3128" operator="equal">
      <formula>4</formula>
    </cfRule>
    <cfRule type="cellIs" dxfId="5071" priority="3129" operator="equal">
      <formula>3.5</formula>
    </cfRule>
    <cfRule type="cellIs" dxfId="5070" priority="3130" operator="equal">
      <formula>3</formula>
    </cfRule>
    <cfRule type="cellIs" dxfId="5069" priority="3131" operator="equal">
      <formula>2.5</formula>
    </cfRule>
    <cfRule type="cellIs" dxfId="5068" priority="3132" operator="equal">
      <formula>2</formula>
    </cfRule>
    <cfRule type="cellIs" dxfId="5067" priority="3133" operator="equal">
      <formula>1.5</formula>
    </cfRule>
    <cfRule type="cellIs" dxfId="5066" priority="3134" operator="equal">
      <formula>1</formula>
    </cfRule>
  </conditionalFormatting>
  <conditionalFormatting sqref="T20">
    <cfRule type="cellIs" dxfId="5065" priority="3109" operator="greaterThan">
      <formula>6.6</formula>
    </cfRule>
    <cfRule type="cellIs" dxfId="5064" priority="3110" operator="equal">
      <formula>6.5</formula>
    </cfRule>
    <cfRule type="cellIs" dxfId="5063" priority="3111" operator="equal">
      <formula>6</formula>
    </cfRule>
    <cfRule type="cellIs" dxfId="5062" priority="3112" operator="equal">
      <formula>5.5</formula>
    </cfRule>
    <cfRule type="cellIs" dxfId="5061" priority="3113" operator="equal">
      <formula>5</formula>
    </cfRule>
    <cfRule type="cellIs" dxfId="5060" priority="3114" operator="equal">
      <formula>4.5</formula>
    </cfRule>
    <cfRule type="cellIs" dxfId="5059" priority="3115" operator="equal">
      <formula>4</formula>
    </cfRule>
    <cfRule type="cellIs" dxfId="5058" priority="3116" operator="equal">
      <formula>3.5</formula>
    </cfRule>
    <cfRule type="cellIs" dxfId="5057" priority="3117" operator="equal">
      <formula>3</formula>
    </cfRule>
    <cfRule type="cellIs" dxfId="5056" priority="3118" operator="equal">
      <formula>2.5</formula>
    </cfRule>
    <cfRule type="cellIs" dxfId="5055" priority="3119" operator="equal">
      <formula>2</formula>
    </cfRule>
    <cfRule type="cellIs" dxfId="5054" priority="3120" operator="equal">
      <formula>1.5</formula>
    </cfRule>
    <cfRule type="cellIs" dxfId="5053" priority="3121" operator="equal">
      <formula>1</formula>
    </cfRule>
  </conditionalFormatting>
  <conditionalFormatting sqref="V20">
    <cfRule type="cellIs" dxfId="5052" priority="3096" operator="greaterThan">
      <formula>6.6</formula>
    </cfRule>
    <cfRule type="cellIs" dxfId="5051" priority="3097" operator="equal">
      <formula>6.5</formula>
    </cfRule>
    <cfRule type="cellIs" dxfId="5050" priority="3098" operator="equal">
      <formula>6</formula>
    </cfRule>
    <cfRule type="cellIs" dxfId="5049" priority="3099" operator="equal">
      <formula>5.5</formula>
    </cfRule>
    <cfRule type="cellIs" dxfId="5048" priority="3100" operator="equal">
      <formula>5</formula>
    </cfRule>
    <cfRule type="cellIs" dxfId="5047" priority="3101" operator="equal">
      <formula>4.5</formula>
    </cfRule>
    <cfRule type="cellIs" dxfId="5046" priority="3102" operator="equal">
      <formula>4</formula>
    </cfRule>
    <cfRule type="cellIs" dxfId="5045" priority="3103" operator="equal">
      <formula>3.5</formula>
    </cfRule>
    <cfRule type="cellIs" dxfId="5044" priority="3104" operator="equal">
      <formula>3</formula>
    </cfRule>
    <cfRule type="cellIs" dxfId="5043" priority="3105" operator="equal">
      <formula>2.5</formula>
    </cfRule>
    <cfRule type="cellIs" dxfId="5042" priority="3106" operator="equal">
      <formula>2</formula>
    </cfRule>
    <cfRule type="cellIs" dxfId="5041" priority="3107" operator="equal">
      <formula>1.5</formula>
    </cfRule>
    <cfRule type="cellIs" dxfId="5040" priority="3108" operator="equal">
      <formula>1</formula>
    </cfRule>
  </conditionalFormatting>
  <conditionalFormatting sqref="F23">
    <cfRule type="cellIs" dxfId="5039" priority="3083" operator="greaterThan">
      <formula>6.6</formula>
    </cfRule>
    <cfRule type="cellIs" dxfId="5038" priority="3084" operator="equal">
      <formula>6.5</formula>
    </cfRule>
    <cfRule type="cellIs" dxfId="5037" priority="3085" operator="equal">
      <formula>6</formula>
    </cfRule>
    <cfRule type="cellIs" dxfId="5036" priority="3086" operator="equal">
      <formula>5.5</formula>
    </cfRule>
    <cfRule type="cellIs" dxfId="5035" priority="3087" operator="equal">
      <formula>5</formula>
    </cfRule>
    <cfRule type="cellIs" dxfId="5034" priority="3088" operator="equal">
      <formula>4.5</formula>
    </cfRule>
    <cfRule type="cellIs" dxfId="5033" priority="3089" operator="equal">
      <formula>4</formula>
    </cfRule>
    <cfRule type="cellIs" dxfId="5032" priority="3090" operator="equal">
      <formula>3.5</formula>
    </cfRule>
    <cfRule type="cellIs" dxfId="5031" priority="3091" operator="equal">
      <formula>3</formula>
    </cfRule>
    <cfRule type="cellIs" dxfId="5030" priority="3092" operator="equal">
      <formula>2.5</formula>
    </cfRule>
    <cfRule type="cellIs" dxfId="5029" priority="3093" operator="equal">
      <formula>2</formula>
    </cfRule>
    <cfRule type="cellIs" dxfId="5028" priority="3094" operator="equal">
      <formula>1.5</formula>
    </cfRule>
    <cfRule type="cellIs" dxfId="5027" priority="3095" operator="equal">
      <formula>1</formula>
    </cfRule>
  </conditionalFormatting>
  <conditionalFormatting sqref="H23">
    <cfRule type="cellIs" dxfId="5026" priority="3070" operator="greaterThan">
      <formula>6.6</formula>
    </cfRule>
    <cfRule type="cellIs" dxfId="5025" priority="3071" operator="equal">
      <formula>6.5</formula>
    </cfRule>
    <cfRule type="cellIs" dxfId="5024" priority="3072" operator="equal">
      <formula>6</formula>
    </cfRule>
    <cfRule type="cellIs" dxfId="5023" priority="3073" operator="equal">
      <formula>5.5</formula>
    </cfRule>
    <cfRule type="cellIs" dxfId="5022" priority="3074" operator="equal">
      <formula>5</formula>
    </cfRule>
    <cfRule type="cellIs" dxfId="5021" priority="3075" operator="equal">
      <formula>4.5</formula>
    </cfRule>
    <cfRule type="cellIs" dxfId="5020" priority="3076" operator="equal">
      <formula>4</formula>
    </cfRule>
    <cfRule type="cellIs" dxfId="5019" priority="3077" operator="equal">
      <formula>3.5</formula>
    </cfRule>
    <cfRule type="cellIs" dxfId="5018" priority="3078" operator="equal">
      <formula>3</formula>
    </cfRule>
    <cfRule type="cellIs" dxfId="5017" priority="3079" operator="equal">
      <formula>2.5</formula>
    </cfRule>
    <cfRule type="cellIs" dxfId="5016" priority="3080" operator="equal">
      <formula>2</formula>
    </cfRule>
    <cfRule type="cellIs" dxfId="5015" priority="3081" operator="equal">
      <formula>1.5</formula>
    </cfRule>
    <cfRule type="cellIs" dxfId="5014" priority="3082" operator="equal">
      <formula>1</formula>
    </cfRule>
  </conditionalFormatting>
  <conditionalFormatting sqref="J23">
    <cfRule type="cellIs" dxfId="5013" priority="3057" operator="greaterThan">
      <formula>6.6</formula>
    </cfRule>
    <cfRule type="cellIs" dxfId="5012" priority="3058" operator="equal">
      <formula>6.5</formula>
    </cfRule>
    <cfRule type="cellIs" dxfId="5011" priority="3059" operator="equal">
      <formula>6</formula>
    </cfRule>
    <cfRule type="cellIs" dxfId="5010" priority="3060" operator="equal">
      <formula>5.5</formula>
    </cfRule>
    <cfRule type="cellIs" dxfId="5009" priority="3061" operator="equal">
      <formula>5</formula>
    </cfRule>
    <cfRule type="cellIs" dxfId="5008" priority="3062" operator="equal">
      <formula>4.5</formula>
    </cfRule>
    <cfRule type="cellIs" dxfId="5007" priority="3063" operator="equal">
      <formula>4</formula>
    </cfRule>
    <cfRule type="cellIs" dxfId="5006" priority="3064" operator="equal">
      <formula>3.5</formula>
    </cfRule>
    <cfRule type="cellIs" dxfId="5005" priority="3065" operator="equal">
      <formula>3</formula>
    </cfRule>
    <cfRule type="cellIs" dxfId="5004" priority="3066" operator="equal">
      <formula>2.5</formula>
    </cfRule>
    <cfRule type="cellIs" dxfId="5003" priority="3067" operator="equal">
      <formula>2</formula>
    </cfRule>
    <cfRule type="cellIs" dxfId="5002" priority="3068" operator="equal">
      <formula>1.5</formula>
    </cfRule>
    <cfRule type="cellIs" dxfId="5001" priority="3069" operator="equal">
      <formula>1</formula>
    </cfRule>
  </conditionalFormatting>
  <conditionalFormatting sqref="L23">
    <cfRule type="cellIs" dxfId="5000" priority="3044" operator="greaterThan">
      <formula>6.6</formula>
    </cfRule>
    <cfRule type="cellIs" dxfId="4999" priority="3045" operator="equal">
      <formula>6.5</formula>
    </cfRule>
    <cfRule type="cellIs" dxfId="4998" priority="3046" operator="equal">
      <formula>6</formula>
    </cfRule>
    <cfRule type="cellIs" dxfId="4997" priority="3047" operator="equal">
      <formula>5.5</formula>
    </cfRule>
    <cfRule type="cellIs" dxfId="4996" priority="3048" operator="equal">
      <formula>5</formula>
    </cfRule>
    <cfRule type="cellIs" dxfId="4995" priority="3049" operator="equal">
      <formula>4.5</formula>
    </cfRule>
    <cfRule type="cellIs" dxfId="4994" priority="3050" operator="equal">
      <formula>4</formula>
    </cfRule>
    <cfRule type="cellIs" dxfId="4993" priority="3051" operator="equal">
      <formula>3.5</formula>
    </cfRule>
    <cfRule type="cellIs" dxfId="4992" priority="3052" operator="equal">
      <formula>3</formula>
    </cfRule>
    <cfRule type="cellIs" dxfId="4991" priority="3053" operator="equal">
      <formula>2.5</formula>
    </cfRule>
    <cfRule type="cellIs" dxfId="4990" priority="3054" operator="equal">
      <formula>2</formula>
    </cfRule>
    <cfRule type="cellIs" dxfId="4989" priority="3055" operator="equal">
      <formula>1.5</formula>
    </cfRule>
    <cfRule type="cellIs" dxfId="4988" priority="3056" operator="equal">
      <formula>1</formula>
    </cfRule>
  </conditionalFormatting>
  <conditionalFormatting sqref="N23">
    <cfRule type="cellIs" dxfId="4987" priority="3031" operator="greaterThan">
      <formula>6.6</formula>
    </cfRule>
    <cfRule type="cellIs" dxfId="4986" priority="3032" operator="equal">
      <formula>6.5</formula>
    </cfRule>
    <cfRule type="cellIs" dxfId="4985" priority="3033" operator="equal">
      <formula>6</formula>
    </cfRule>
    <cfRule type="cellIs" dxfId="4984" priority="3034" operator="equal">
      <formula>5.5</formula>
    </cfRule>
    <cfRule type="cellIs" dxfId="4983" priority="3035" operator="equal">
      <formula>5</formula>
    </cfRule>
    <cfRule type="cellIs" dxfId="4982" priority="3036" operator="equal">
      <formula>4.5</formula>
    </cfRule>
    <cfRule type="cellIs" dxfId="4981" priority="3037" operator="equal">
      <formula>4</formula>
    </cfRule>
    <cfRule type="cellIs" dxfId="4980" priority="3038" operator="equal">
      <formula>3.5</formula>
    </cfRule>
    <cfRule type="cellIs" dxfId="4979" priority="3039" operator="equal">
      <formula>3</formula>
    </cfRule>
    <cfRule type="cellIs" dxfId="4978" priority="3040" operator="equal">
      <formula>2.5</formula>
    </cfRule>
    <cfRule type="cellIs" dxfId="4977" priority="3041" operator="equal">
      <formula>2</formula>
    </cfRule>
    <cfRule type="cellIs" dxfId="4976" priority="3042" operator="equal">
      <formula>1.5</formula>
    </cfRule>
    <cfRule type="cellIs" dxfId="4975" priority="3043" operator="equal">
      <formula>1</formula>
    </cfRule>
  </conditionalFormatting>
  <conditionalFormatting sqref="P23">
    <cfRule type="cellIs" dxfId="4974" priority="3018" operator="greaterThan">
      <formula>6.6</formula>
    </cfRule>
    <cfRule type="cellIs" dxfId="4973" priority="3019" operator="equal">
      <formula>6.5</formula>
    </cfRule>
    <cfRule type="cellIs" dxfId="4972" priority="3020" operator="equal">
      <formula>6</formula>
    </cfRule>
    <cfRule type="cellIs" dxfId="4971" priority="3021" operator="equal">
      <formula>5.5</formula>
    </cfRule>
    <cfRule type="cellIs" dxfId="4970" priority="3022" operator="equal">
      <formula>5</formula>
    </cfRule>
    <cfRule type="cellIs" dxfId="4969" priority="3023" operator="equal">
      <formula>4.5</formula>
    </cfRule>
    <cfRule type="cellIs" dxfId="4968" priority="3024" operator="equal">
      <formula>4</formula>
    </cfRule>
    <cfRule type="cellIs" dxfId="4967" priority="3025" operator="equal">
      <formula>3.5</formula>
    </cfRule>
    <cfRule type="cellIs" dxfId="4966" priority="3026" operator="equal">
      <formula>3</formula>
    </cfRule>
    <cfRule type="cellIs" dxfId="4965" priority="3027" operator="equal">
      <formula>2.5</formula>
    </cfRule>
    <cfRule type="cellIs" dxfId="4964" priority="3028" operator="equal">
      <formula>2</formula>
    </cfRule>
    <cfRule type="cellIs" dxfId="4963" priority="3029" operator="equal">
      <formula>1.5</formula>
    </cfRule>
    <cfRule type="cellIs" dxfId="4962" priority="3030" operator="equal">
      <formula>1</formula>
    </cfRule>
  </conditionalFormatting>
  <conditionalFormatting sqref="R23">
    <cfRule type="cellIs" dxfId="4961" priority="3005" operator="greaterThan">
      <formula>6.6</formula>
    </cfRule>
    <cfRule type="cellIs" dxfId="4960" priority="3006" operator="equal">
      <formula>6.5</formula>
    </cfRule>
    <cfRule type="cellIs" dxfId="4959" priority="3007" operator="equal">
      <formula>6</formula>
    </cfRule>
    <cfRule type="cellIs" dxfId="4958" priority="3008" operator="equal">
      <formula>5.5</formula>
    </cfRule>
    <cfRule type="cellIs" dxfId="4957" priority="3009" operator="equal">
      <formula>5</formula>
    </cfRule>
    <cfRule type="cellIs" dxfId="4956" priority="3010" operator="equal">
      <formula>4.5</formula>
    </cfRule>
    <cfRule type="cellIs" dxfId="4955" priority="3011" operator="equal">
      <formula>4</formula>
    </cfRule>
    <cfRule type="cellIs" dxfId="4954" priority="3012" operator="equal">
      <formula>3.5</formula>
    </cfRule>
    <cfRule type="cellIs" dxfId="4953" priority="3013" operator="equal">
      <formula>3</formula>
    </cfRule>
    <cfRule type="cellIs" dxfId="4952" priority="3014" operator="equal">
      <formula>2.5</formula>
    </cfRule>
    <cfRule type="cellIs" dxfId="4951" priority="3015" operator="equal">
      <formula>2</formula>
    </cfRule>
    <cfRule type="cellIs" dxfId="4950" priority="3016" operator="equal">
      <formula>1.5</formula>
    </cfRule>
    <cfRule type="cellIs" dxfId="4949" priority="3017" operator="equal">
      <formula>1</formula>
    </cfRule>
  </conditionalFormatting>
  <conditionalFormatting sqref="T23">
    <cfRule type="cellIs" dxfId="4948" priority="2992" operator="greaterThan">
      <formula>6.6</formula>
    </cfRule>
    <cfRule type="cellIs" dxfId="4947" priority="2993" operator="equal">
      <formula>6.5</formula>
    </cfRule>
    <cfRule type="cellIs" dxfId="4946" priority="2994" operator="equal">
      <formula>6</formula>
    </cfRule>
    <cfRule type="cellIs" dxfId="4945" priority="2995" operator="equal">
      <formula>5.5</formula>
    </cfRule>
    <cfRule type="cellIs" dxfId="4944" priority="2996" operator="equal">
      <formula>5</formula>
    </cfRule>
    <cfRule type="cellIs" dxfId="4943" priority="2997" operator="equal">
      <formula>4.5</formula>
    </cfRule>
    <cfRule type="cellIs" dxfId="4942" priority="2998" operator="equal">
      <formula>4</formula>
    </cfRule>
    <cfRule type="cellIs" dxfId="4941" priority="2999" operator="equal">
      <formula>3.5</formula>
    </cfRule>
    <cfRule type="cellIs" dxfId="4940" priority="3000" operator="equal">
      <formula>3</formula>
    </cfRule>
    <cfRule type="cellIs" dxfId="4939" priority="3001" operator="equal">
      <formula>2.5</formula>
    </cfRule>
    <cfRule type="cellIs" dxfId="4938" priority="3002" operator="equal">
      <formula>2</formula>
    </cfRule>
    <cfRule type="cellIs" dxfId="4937" priority="3003" operator="equal">
      <formula>1.5</formula>
    </cfRule>
    <cfRule type="cellIs" dxfId="4936" priority="3004" operator="equal">
      <formula>1</formula>
    </cfRule>
  </conditionalFormatting>
  <conditionalFormatting sqref="V23">
    <cfRule type="cellIs" dxfId="4935" priority="2979" operator="greaterThan">
      <formula>6.6</formula>
    </cfRule>
    <cfRule type="cellIs" dxfId="4934" priority="2980" operator="equal">
      <formula>6.5</formula>
    </cfRule>
    <cfRule type="cellIs" dxfId="4933" priority="2981" operator="equal">
      <formula>6</formula>
    </cfRule>
    <cfRule type="cellIs" dxfId="4932" priority="2982" operator="equal">
      <formula>5.5</formula>
    </cfRule>
    <cfRule type="cellIs" dxfId="4931" priority="2983" operator="equal">
      <formula>5</formula>
    </cfRule>
    <cfRule type="cellIs" dxfId="4930" priority="2984" operator="equal">
      <formula>4.5</formula>
    </cfRule>
    <cfRule type="cellIs" dxfId="4929" priority="2985" operator="equal">
      <formula>4</formula>
    </cfRule>
    <cfRule type="cellIs" dxfId="4928" priority="2986" operator="equal">
      <formula>3.5</formula>
    </cfRule>
    <cfRule type="cellIs" dxfId="4927" priority="2987" operator="equal">
      <formula>3</formula>
    </cfRule>
    <cfRule type="cellIs" dxfId="4926" priority="2988" operator="equal">
      <formula>2.5</formula>
    </cfRule>
    <cfRule type="cellIs" dxfId="4925" priority="2989" operator="equal">
      <formula>2</formula>
    </cfRule>
    <cfRule type="cellIs" dxfId="4924" priority="2990" operator="equal">
      <formula>1.5</formula>
    </cfRule>
    <cfRule type="cellIs" dxfId="4923" priority="2991" operator="equal">
      <formula>1</formula>
    </cfRule>
  </conditionalFormatting>
  <conditionalFormatting sqref="F26">
    <cfRule type="cellIs" dxfId="4922" priority="2966" operator="greaterThan">
      <formula>6.6</formula>
    </cfRule>
    <cfRule type="cellIs" dxfId="4921" priority="2967" operator="equal">
      <formula>6.5</formula>
    </cfRule>
    <cfRule type="cellIs" dxfId="4920" priority="2968" operator="equal">
      <formula>6</formula>
    </cfRule>
    <cfRule type="cellIs" dxfId="4919" priority="2969" operator="equal">
      <formula>5.5</formula>
    </cfRule>
    <cfRule type="cellIs" dxfId="4918" priority="2970" operator="equal">
      <formula>5</formula>
    </cfRule>
    <cfRule type="cellIs" dxfId="4917" priority="2971" operator="equal">
      <formula>4.5</formula>
    </cfRule>
    <cfRule type="cellIs" dxfId="4916" priority="2972" operator="equal">
      <formula>4</formula>
    </cfRule>
    <cfRule type="cellIs" dxfId="4915" priority="2973" operator="equal">
      <formula>3.5</formula>
    </cfRule>
    <cfRule type="cellIs" dxfId="4914" priority="2974" operator="equal">
      <formula>3</formula>
    </cfRule>
    <cfRule type="cellIs" dxfId="4913" priority="2975" operator="equal">
      <formula>2.5</formula>
    </cfRule>
    <cfRule type="cellIs" dxfId="4912" priority="2976" operator="equal">
      <formula>2</formula>
    </cfRule>
    <cfRule type="cellIs" dxfId="4911" priority="2977" operator="equal">
      <formula>1.5</formula>
    </cfRule>
    <cfRule type="cellIs" dxfId="4910" priority="2978" operator="equal">
      <formula>1</formula>
    </cfRule>
  </conditionalFormatting>
  <conditionalFormatting sqref="H26">
    <cfRule type="cellIs" dxfId="4909" priority="2953" operator="greaterThan">
      <formula>6.6</formula>
    </cfRule>
    <cfRule type="cellIs" dxfId="4908" priority="2954" operator="equal">
      <formula>6.5</formula>
    </cfRule>
    <cfRule type="cellIs" dxfId="4907" priority="2955" operator="equal">
      <formula>6</formula>
    </cfRule>
    <cfRule type="cellIs" dxfId="4906" priority="2956" operator="equal">
      <formula>5.5</formula>
    </cfRule>
    <cfRule type="cellIs" dxfId="4905" priority="2957" operator="equal">
      <formula>5</formula>
    </cfRule>
    <cfRule type="cellIs" dxfId="4904" priority="2958" operator="equal">
      <formula>4.5</formula>
    </cfRule>
    <cfRule type="cellIs" dxfId="4903" priority="2959" operator="equal">
      <formula>4</formula>
    </cfRule>
    <cfRule type="cellIs" dxfId="4902" priority="2960" operator="equal">
      <formula>3.5</formula>
    </cfRule>
    <cfRule type="cellIs" dxfId="4901" priority="2961" operator="equal">
      <formula>3</formula>
    </cfRule>
    <cfRule type="cellIs" dxfId="4900" priority="2962" operator="equal">
      <formula>2.5</formula>
    </cfRule>
    <cfRule type="cellIs" dxfId="4899" priority="2963" operator="equal">
      <formula>2</formula>
    </cfRule>
    <cfRule type="cellIs" dxfId="4898" priority="2964" operator="equal">
      <formula>1.5</formula>
    </cfRule>
    <cfRule type="cellIs" dxfId="4897" priority="2965" operator="equal">
      <formula>1</formula>
    </cfRule>
  </conditionalFormatting>
  <conditionalFormatting sqref="J26">
    <cfRule type="cellIs" dxfId="4896" priority="2940" operator="greaterThan">
      <formula>6.6</formula>
    </cfRule>
    <cfRule type="cellIs" dxfId="4895" priority="2941" operator="equal">
      <formula>6.5</formula>
    </cfRule>
    <cfRule type="cellIs" dxfId="4894" priority="2942" operator="equal">
      <formula>6</formula>
    </cfRule>
    <cfRule type="cellIs" dxfId="4893" priority="2943" operator="equal">
      <formula>5.5</formula>
    </cfRule>
    <cfRule type="cellIs" dxfId="4892" priority="2944" operator="equal">
      <formula>5</formula>
    </cfRule>
    <cfRule type="cellIs" dxfId="4891" priority="2945" operator="equal">
      <formula>4.5</formula>
    </cfRule>
    <cfRule type="cellIs" dxfId="4890" priority="2946" operator="equal">
      <formula>4</formula>
    </cfRule>
    <cfRule type="cellIs" dxfId="4889" priority="2947" operator="equal">
      <formula>3.5</formula>
    </cfRule>
    <cfRule type="cellIs" dxfId="4888" priority="2948" operator="equal">
      <formula>3</formula>
    </cfRule>
    <cfRule type="cellIs" dxfId="4887" priority="2949" operator="equal">
      <formula>2.5</formula>
    </cfRule>
    <cfRule type="cellIs" dxfId="4886" priority="2950" operator="equal">
      <formula>2</formula>
    </cfRule>
    <cfRule type="cellIs" dxfId="4885" priority="2951" operator="equal">
      <formula>1.5</formula>
    </cfRule>
    <cfRule type="cellIs" dxfId="4884" priority="2952" operator="equal">
      <formula>1</formula>
    </cfRule>
  </conditionalFormatting>
  <conditionalFormatting sqref="L26">
    <cfRule type="cellIs" dxfId="4883" priority="2927" operator="greaterThan">
      <formula>6.6</formula>
    </cfRule>
    <cfRule type="cellIs" dxfId="4882" priority="2928" operator="equal">
      <formula>6.5</formula>
    </cfRule>
    <cfRule type="cellIs" dxfId="4881" priority="2929" operator="equal">
      <formula>6</formula>
    </cfRule>
    <cfRule type="cellIs" dxfId="4880" priority="2930" operator="equal">
      <formula>5.5</formula>
    </cfRule>
    <cfRule type="cellIs" dxfId="4879" priority="2931" operator="equal">
      <formula>5</formula>
    </cfRule>
    <cfRule type="cellIs" dxfId="4878" priority="2932" operator="equal">
      <formula>4.5</formula>
    </cfRule>
    <cfRule type="cellIs" dxfId="4877" priority="2933" operator="equal">
      <formula>4</formula>
    </cfRule>
    <cfRule type="cellIs" dxfId="4876" priority="2934" operator="equal">
      <formula>3.5</formula>
    </cfRule>
    <cfRule type="cellIs" dxfId="4875" priority="2935" operator="equal">
      <formula>3</formula>
    </cfRule>
    <cfRule type="cellIs" dxfId="4874" priority="2936" operator="equal">
      <formula>2.5</formula>
    </cfRule>
    <cfRule type="cellIs" dxfId="4873" priority="2937" operator="equal">
      <formula>2</formula>
    </cfRule>
    <cfRule type="cellIs" dxfId="4872" priority="2938" operator="equal">
      <formula>1.5</formula>
    </cfRule>
    <cfRule type="cellIs" dxfId="4871" priority="2939" operator="equal">
      <formula>1</formula>
    </cfRule>
  </conditionalFormatting>
  <conditionalFormatting sqref="N26">
    <cfRule type="cellIs" dxfId="4870" priority="2914" operator="greaterThan">
      <formula>6.6</formula>
    </cfRule>
    <cfRule type="cellIs" dxfId="4869" priority="2915" operator="equal">
      <formula>6.5</formula>
    </cfRule>
    <cfRule type="cellIs" dxfId="4868" priority="2916" operator="equal">
      <formula>6</formula>
    </cfRule>
    <cfRule type="cellIs" dxfId="4867" priority="2917" operator="equal">
      <formula>5.5</formula>
    </cfRule>
    <cfRule type="cellIs" dxfId="4866" priority="2918" operator="equal">
      <formula>5</formula>
    </cfRule>
    <cfRule type="cellIs" dxfId="4865" priority="2919" operator="equal">
      <formula>4.5</formula>
    </cfRule>
    <cfRule type="cellIs" dxfId="4864" priority="2920" operator="equal">
      <formula>4</formula>
    </cfRule>
    <cfRule type="cellIs" dxfId="4863" priority="2921" operator="equal">
      <formula>3.5</formula>
    </cfRule>
    <cfRule type="cellIs" dxfId="4862" priority="2922" operator="equal">
      <formula>3</formula>
    </cfRule>
    <cfRule type="cellIs" dxfId="4861" priority="2923" operator="equal">
      <formula>2.5</formula>
    </cfRule>
    <cfRule type="cellIs" dxfId="4860" priority="2924" operator="equal">
      <formula>2</formula>
    </cfRule>
    <cfRule type="cellIs" dxfId="4859" priority="2925" operator="equal">
      <formula>1.5</formula>
    </cfRule>
    <cfRule type="cellIs" dxfId="4858" priority="2926" operator="equal">
      <formula>1</formula>
    </cfRule>
  </conditionalFormatting>
  <conditionalFormatting sqref="P26">
    <cfRule type="cellIs" dxfId="4857" priority="2901" operator="greaterThan">
      <formula>6.6</formula>
    </cfRule>
    <cfRule type="cellIs" dxfId="4856" priority="2902" operator="equal">
      <formula>6.5</formula>
    </cfRule>
    <cfRule type="cellIs" dxfId="4855" priority="2903" operator="equal">
      <formula>6</formula>
    </cfRule>
    <cfRule type="cellIs" dxfId="4854" priority="2904" operator="equal">
      <formula>5.5</formula>
    </cfRule>
    <cfRule type="cellIs" dxfId="4853" priority="2905" operator="equal">
      <formula>5</formula>
    </cfRule>
    <cfRule type="cellIs" dxfId="4852" priority="2906" operator="equal">
      <formula>4.5</formula>
    </cfRule>
    <cfRule type="cellIs" dxfId="4851" priority="2907" operator="equal">
      <formula>4</formula>
    </cfRule>
    <cfRule type="cellIs" dxfId="4850" priority="2908" operator="equal">
      <formula>3.5</formula>
    </cfRule>
    <cfRule type="cellIs" dxfId="4849" priority="2909" operator="equal">
      <formula>3</formula>
    </cfRule>
    <cfRule type="cellIs" dxfId="4848" priority="2910" operator="equal">
      <formula>2.5</formula>
    </cfRule>
    <cfRule type="cellIs" dxfId="4847" priority="2911" operator="equal">
      <formula>2</formula>
    </cfRule>
    <cfRule type="cellIs" dxfId="4846" priority="2912" operator="equal">
      <formula>1.5</formula>
    </cfRule>
    <cfRule type="cellIs" dxfId="4845" priority="2913" operator="equal">
      <formula>1</formula>
    </cfRule>
  </conditionalFormatting>
  <conditionalFormatting sqref="R26">
    <cfRule type="cellIs" dxfId="4844" priority="2888" operator="greaterThan">
      <formula>6.6</formula>
    </cfRule>
    <cfRule type="cellIs" dxfId="4843" priority="2889" operator="equal">
      <formula>6.5</formula>
    </cfRule>
    <cfRule type="cellIs" dxfId="4842" priority="2890" operator="equal">
      <formula>6</formula>
    </cfRule>
    <cfRule type="cellIs" dxfId="4841" priority="2891" operator="equal">
      <formula>5.5</formula>
    </cfRule>
    <cfRule type="cellIs" dxfId="4840" priority="2892" operator="equal">
      <formula>5</formula>
    </cfRule>
    <cfRule type="cellIs" dxfId="4839" priority="2893" operator="equal">
      <formula>4.5</formula>
    </cfRule>
    <cfRule type="cellIs" dxfId="4838" priority="2894" operator="equal">
      <formula>4</formula>
    </cfRule>
    <cfRule type="cellIs" dxfId="4837" priority="2895" operator="equal">
      <formula>3.5</formula>
    </cfRule>
    <cfRule type="cellIs" dxfId="4836" priority="2896" operator="equal">
      <formula>3</formula>
    </cfRule>
    <cfRule type="cellIs" dxfId="4835" priority="2897" operator="equal">
      <formula>2.5</formula>
    </cfRule>
    <cfRule type="cellIs" dxfId="4834" priority="2898" operator="equal">
      <formula>2</formula>
    </cfRule>
    <cfRule type="cellIs" dxfId="4833" priority="2899" operator="equal">
      <formula>1.5</formula>
    </cfRule>
    <cfRule type="cellIs" dxfId="4832" priority="2900" operator="equal">
      <formula>1</formula>
    </cfRule>
  </conditionalFormatting>
  <conditionalFormatting sqref="T26">
    <cfRule type="cellIs" dxfId="4831" priority="2875" operator="greaterThan">
      <formula>6.6</formula>
    </cfRule>
    <cfRule type="cellIs" dxfId="4830" priority="2876" operator="equal">
      <formula>6.5</formula>
    </cfRule>
    <cfRule type="cellIs" dxfId="4829" priority="2877" operator="equal">
      <formula>6</formula>
    </cfRule>
    <cfRule type="cellIs" dxfId="4828" priority="2878" operator="equal">
      <formula>5.5</formula>
    </cfRule>
    <cfRule type="cellIs" dxfId="4827" priority="2879" operator="equal">
      <formula>5</formula>
    </cfRule>
    <cfRule type="cellIs" dxfId="4826" priority="2880" operator="equal">
      <formula>4.5</formula>
    </cfRule>
    <cfRule type="cellIs" dxfId="4825" priority="2881" operator="equal">
      <formula>4</formula>
    </cfRule>
    <cfRule type="cellIs" dxfId="4824" priority="2882" operator="equal">
      <formula>3.5</formula>
    </cfRule>
    <cfRule type="cellIs" dxfId="4823" priority="2883" operator="equal">
      <formula>3</formula>
    </cfRule>
    <cfRule type="cellIs" dxfId="4822" priority="2884" operator="equal">
      <formula>2.5</formula>
    </cfRule>
    <cfRule type="cellIs" dxfId="4821" priority="2885" operator="equal">
      <formula>2</formula>
    </cfRule>
    <cfRule type="cellIs" dxfId="4820" priority="2886" operator="equal">
      <formula>1.5</formula>
    </cfRule>
    <cfRule type="cellIs" dxfId="4819" priority="2887" operator="equal">
      <formula>1</formula>
    </cfRule>
  </conditionalFormatting>
  <conditionalFormatting sqref="V26">
    <cfRule type="cellIs" dxfId="4818" priority="2862" operator="greaterThan">
      <formula>6.6</formula>
    </cfRule>
    <cfRule type="cellIs" dxfId="4817" priority="2863" operator="equal">
      <formula>6.5</formula>
    </cfRule>
    <cfRule type="cellIs" dxfId="4816" priority="2864" operator="equal">
      <formula>6</formula>
    </cfRule>
    <cfRule type="cellIs" dxfId="4815" priority="2865" operator="equal">
      <formula>5.5</formula>
    </cfRule>
    <cfRule type="cellIs" dxfId="4814" priority="2866" operator="equal">
      <formula>5</formula>
    </cfRule>
    <cfRule type="cellIs" dxfId="4813" priority="2867" operator="equal">
      <formula>4.5</formula>
    </cfRule>
    <cfRule type="cellIs" dxfId="4812" priority="2868" operator="equal">
      <formula>4</formula>
    </cfRule>
    <cfRule type="cellIs" dxfId="4811" priority="2869" operator="equal">
      <formula>3.5</formula>
    </cfRule>
    <cfRule type="cellIs" dxfId="4810" priority="2870" operator="equal">
      <formula>3</formula>
    </cfRule>
    <cfRule type="cellIs" dxfId="4809" priority="2871" operator="equal">
      <formula>2.5</formula>
    </cfRule>
    <cfRule type="cellIs" dxfId="4808" priority="2872" operator="equal">
      <formula>2</formula>
    </cfRule>
    <cfRule type="cellIs" dxfId="4807" priority="2873" operator="equal">
      <formula>1.5</formula>
    </cfRule>
    <cfRule type="cellIs" dxfId="4806" priority="2874" operator="equal">
      <formula>1</formula>
    </cfRule>
  </conditionalFormatting>
  <conditionalFormatting sqref="F29">
    <cfRule type="cellIs" dxfId="4805" priority="2849" operator="greaterThan">
      <formula>6.6</formula>
    </cfRule>
    <cfRule type="cellIs" dxfId="4804" priority="2850" operator="equal">
      <formula>6.5</formula>
    </cfRule>
    <cfRule type="cellIs" dxfId="4803" priority="2851" operator="equal">
      <formula>6</formula>
    </cfRule>
    <cfRule type="cellIs" dxfId="4802" priority="2852" operator="equal">
      <formula>5.5</formula>
    </cfRule>
    <cfRule type="cellIs" dxfId="4801" priority="2853" operator="equal">
      <formula>5</formula>
    </cfRule>
    <cfRule type="cellIs" dxfId="4800" priority="2854" operator="equal">
      <formula>4.5</formula>
    </cfRule>
    <cfRule type="cellIs" dxfId="4799" priority="2855" operator="equal">
      <formula>4</formula>
    </cfRule>
    <cfRule type="cellIs" dxfId="4798" priority="2856" operator="equal">
      <formula>3.5</formula>
    </cfRule>
    <cfRule type="cellIs" dxfId="4797" priority="2857" operator="equal">
      <formula>3</formula>
    </cfRule>
    <cfRule type="cellIs" dxfId="4796" priority="2858" operator="equal">
      <formula>2.5</formula>
    </cfRule>
    <cfRule type="cellIs" dxfId="4795" priority="2859" operator="equal">
      <formula>2</formula>
    </cfRule>
    <cfRule type="cellIs" dxfId="4794" priority="2860" operator="equal">
      <formula>1.5</formula>
    </cfRule>
    <cfRule type="cellIs" dxfId="4793" priority="2861" operator="equal">
      <formula>1</formula>
    </cfRule>
  </conditionalFormatting>
  <conditionalFormatting sqref="H29">
    <cfRule type="cellIs" dxfId="4792" priority="2836" operator="greaterThan">
      <formula>6.6</formula>
    </cfRule>
    <cfRule type="cellIs" dxfId="4791" priority="2837" operator="equal">
      <formula>6.5</formula>
    </cfRule>
    <cfRule type="cellIs" dxfId="4790" priority="2838" operator="equal">
      <formula>6</formula>
    </cfRule>
    <cfRule type="cellIs" dxfId="4789" priority="2839" operator="equal">
      <formula>5.5</formula>
    </cfRule>
    <cfRule type="cellIs" dxfId="4788" priority="2840" operator="equal">
      <formula>5</formula>
    </cfRule>
    <cfRule type="cellIs" dxfId="4787" priority="2841" operator="equal">
      <formula>4.5</formula>
    </cfRule>
    <cfRule type="cellIs" dxfId="4786" priority="2842" operator="equal">
      <formula>4</formula>
    </cfRule>
    <cfRule type="cellIs" dxfId="4785" priority="2843" operator="equal">
      <formula>3.5</formula>
    </cfRule>
    <cfRule type="cellIs" dxfId="4784" priority="2844" operator="equal">
      <formula>3</formula>
    </cfRule>
    <cfRule type="cellIs" dxfId="4783" priority="2845" operator="equal">
      <formula>2.5</formula>
    </cfRule>
    <cfRule type="cellIs" dxfId="4782" priority="2846" operator="equal">
      <formula>2</formula>
    </cfRule>
    <cfRule type="cellIs" dxfId="4781" priority="2847" operator="equal">
      <formula>1.5</formula>
    </cfRule>
    <cfRule type="cellIs" dxfId="4780" priority="2848" operator="equal">
      <formula>1</formula>
    </cfRule>
  </conditionalFormatting>
  <conditionalFormatting sqref="J29">
    <cfRule type="cellIs" dxfId="4779" priority="2823" operator="greaterThan">
      <formula>6.6</formula>
    </cfRule>
    <cfRule type="cellIs" dxfId="4778" priority="2824" operator="equal">
      <formula>6.5</formula>
    </cfRule>
    <cfRule type="cellIs" dxfId="4777" priority="2825" operator="equal">
      <formula>6</formula>
    </cfRule>
    <cfRule type="cellIs" dxfId="4776" priority="2826" operator="equal">
      <formula>5.5</formula>
    </cfRule>
    <cfRule type="cellIs" dxfId="4775" priority="2827" operator="equal">
      <formula>5</formula>
    </cfRule>
    <cfRule type="cellIs" dxfId="4774" priority="2828" operator="equal">
      <formula>4.5</formula>
    </cfRule>
    <cfRule type="cellIs" dxfId="4773" priority="2829" operator="equal">
      <formula>4</formula>
    </cfRule>
    <cfRule type="cellIs" dxfId="4772" priority="2830" operator="equal">
      <formula>3.5</formula>
    </cfRule>
    <cfRule type="cellIs" dxfId="4771" priority="2831" operator="equal">
      <formula>3</formula>
    </cfRule>
    <cfRule type="cellIs" dxfId="4770" priority="2832" operator="equal">
      <formula>2.5</formula>
    </cfRule>
    <cfRule type="cellIs" dxfId="4769" priority="2833" operator="equal">
      <formula>2</formula>
    </cfRule>
    <cfRule type="cellIs" dxfId="4768" priority="2834" operator="equal">
      <formula>1.5</formula>
    </cfRule>
    <cfRule type="cellIs" dxfId="4767" priority="2835" operator="equal">
      <formula>1</formula>
    </cfRule>
  </conditionalFormatting>
  <conditionalFormatting sqref="L29">
    <cfRule type="cellIs" dxfId="4766" priority="2810" operator="greaterThan">
      <formula>6.6</formula>
    </cfRule>
    <cfRule type="cellIs" dxfId="4765" priority="2811" operator="equal">
      <formula>6.5</formula>
    </cfRule>
    <cfRule type="cellIs" dxfId="4764" priority="2812" operator="equal">
      <formula>6</formula>
    </cfRule>
    <cfRule type="cellIs" dxfId="4763" priority="2813" operator="equal">
      <formula>5.5</formula>
    </cfRule>
    <cfRule type="cellIs" dxfId="4762" priority="2814" operator="equal">
      <formula>5</formula>
    </cfRule>
    <cfRule type="cellIs" dxfId="4761" priority="2815" operator="equal">
      <formula>4.5</formula>
    </cfRule>
    <cfRule type="cellIs" dxfId="4760" priority="2816" operator="equal">
      <formula>4</formula>
    </cfRule>
    <cfRule type="cellIs" dxfId="4759" priority="2817" operator="equal">
      <formula>3.5</formula>
    </cfRule>
    <cfRule type="cellIs" dxfId="4758" priority="2818" operator="equal">
      <formula>3</formula>
    </cfRule>
    <cfRule type="cellIs" dxfId="4757" priority="2819" operator="equal">
      <formula>2.5</formula>
    </cfRule>
    <cfRule type="cellIs" dxfId="4756" priority="2820" operator="equal">
      <formula>2</formula>
    </cfRule>
    <cfRule type="cellIs" dxfId="4755" priority="2821" operator="equal">
      <formula>1.5</formula>
    </cfRule>
    <cfRule type="cellIs" dxfId="4754" priority="2822" operator="equal">
      <formula>1</formula>
    </cfRule>
  </conditionalFormatting>
  <conditionalFormatting sqref="N29">
    <cfRule type="cellIs" dxfId="4753" priority="2797" operator="greaterThan">
      <formula>6.6</formula>
    </cfRule>
    <cfRule type="cellIs" dxfId="4752" priority="2798" operator="equal">
      <formula>6.5</formula>
    </cfRule>
    <cfRule type="cellIs" dxfId="4751" priority="2799" operator="equal">
      <formula>6</formula>
    </cfRule>
    <cfRule type="cellIs" dxfId="4750" priority="2800" operator="equal">
      <formula>5.5</formula>
    </cfRule>
    <cfRule type="cellIs" dxfId="4749" priority="2801" operator="equal">
      <formula>5</formula>
    </cfRule>
    <cfRule type="cellIs" dxfId="4748" priority="2802" operator="equal">
      <formula>4.5</formula>
    </cfRule>
    <cfRule type="cellIs" dxfId="4747" priority="2803" operator="equal">
      <formula>4</formula>
    </cfRule>
    <cfRule type="cellIs" dxfId="4746" priority="2804" operator="equal">
      <formula>3.5</formula>
    </cfRule>
    <cfRule type="cellIs" dxfId="4745" priority="2805" operator="equal">
      <formula>3</formula>
    </cfRule>
    <cfRule type="cellIs" dxfId="4744" priority="2806" operator="equal">
      <formula>2.5</formula>
    </cfRule>
    <cfRule type="cellIs" dxfId="4743" priority="2807" operator="equal">
      <formula>2</formula>
    </cfRule>
    <cfRule type="cellIs" dxfId="4742" priority="2808" operator="equal">
      <formula>1.5</formula>
    </cfRule>
    <cfRule type="cellIs" dxfId="4741" priority="2809" operator="equal">
      <formula>1</formula>
    </cfRule>
  </conditionalFormatting>
  <conditionalFormatting sqref="P29">
    <cfRule type="cellIs" dxfId="4740" priority="2784" operator="greaterThan">
      <formula>6.6</formula>
    </cfRule>
    <cfRule type="cellIs" dxfId="4739" priority="2785" operator="equal">
      <formula>6.5</formula>
    </cfRule>
    <cfRule type="cellIs" dxfId="4738" priority="2786" operator="equal">
      <formula>6</formula>
    </cfRule>
    <cfRule type="cellIs" dxfId="4737" priority="2787" operator="equal">
      <formula>5.5</formula>
    </cfRule>
    <cfRule type="cellIs" dxfId="4736" priority="2788" operator="equal">
      <formula>5</formula>
    </cfRule>
    <cfRule type="cellIs" dxfId="4735" priority="2789" operator="equal">
      <formula>4.5</formula>
    </cfRule>
    <cfRule type="cellIs" dxfId="4734" priority="2790" operator="equal">
      <formula>4</formula>
    </cfRule>
    <cfRule type="cellIs" dxfId="4733" priority="2791" operator="equal">
      <formula>3.5</formula>
    </cfRule>
    <cfRule type="cellIs" dxfId="4732" priority="2792" operator="equal">
      <formula>3</formula>
    </cfRule>
    <cfRule type="cellIs" dxfId="4731" priority="2793" operator="equal">
      <formula>2.5</formula>
    </cfRule>
    <cfRule type="cellIs" dxfId="4730" priority="2794" operator="equal">
      <formula>2</formula>
    </cfRule>
    <cfRule type="cellIs" dxfId="4729" priority="2795" operator="equal">
      <formula>1.5</formula>
    </cfRule>
    <cfRule type="cellIs" dxfId="4728" priority="2796" operator="equal">
      <formula>1</formula>
    </cfRule>
  </conditionalFormatting>
  <conditionalFormatting sqref="R29">
    <cfRule type="cellIs" dxfId="4727" priority="2771" operator="greaterThan">
      <formula>6.6</formula>
    </cfRule>
    <cfRule type="cellIs" dxfId="4726" priority="2772" operator="equal">
      <formula>6.5</formula>
    </cfRule>
    <cfRule type="cellIs" dxfId="4725" priority="2773" operator="equal">
      <formula>6</formula>
    </cfRule>
    <cfRule type="cellIs" dxfId="4724" priority="2774" operator="equal">
      <formula>5.5</formula>
    </cfRule>
    <cfRule type="cellIs" dxfId="4723" priority="2775" operator="equal">
      <formula>5</formula>
    </cfRule>
    <cfRule type="cellIs" dxfId="4722" priority="2776" operator="equal">
      <formula>4.5</formula>
    </cfRule>
    <cfRule type="cellIs" dxfId="4721" priority="2777" operator="equal">
      <formula>4</formula>
    </cfRule>
    <cfRule type="cellIs" dxfId="4720" priority="2778" operator="equal">
      <formula>3.5</formula>
    </cfRule>
    <cfRule type="cellIs" dxfId="4719" priority="2779" operator="equal">
      <formula>3</formula>
    </cfRule>
    <cfRule type="cellIs" dxfId="4718" priority="2780" operator="equal">
      <formula>2.5</formula>
    </cfRule>
    <cfRule type="cellIs" dxfId="4717" priority="2781" operator="equal">
      <formula>2</formula>
    </cfRule>
    <cfRule type="cellIs" dxfId="4716" priority="2782" operator="equal">
      <formula>1.5</formula>
    </cfRule>
    <cfRule type="cellIs" dxfId="4715" priority="2783" operator="equal">
      <formula>1</formula>
    </cfRule>
  </conditionalFormatting>
  <conditionalFormatting sqref="T29">
    <cfRule type="cellIs" dxfId="4714" priority="2758" operator="greaterThan">
      <formula>6.6</formula>
    </cfRule>
    <cfRule type="cellIs" dxfId="4713" priority="2759" operator="equal">
      <formula>6.5</formula>
    </cfRule>
    <cfRule type="cellIs" dxfId="4712" priority="2760" operator="equal">
      <formula>6</formula>
    </cfRule>
    <cfRule type="cellIs" dxfId="4711" priority="2761" operator="equal">
      <formula>5.5</formula>
    </cfRule>
    <cfRule type="cellIs" dxfId="4710" priority="2762" operator="equal">
      <formula>5</formula>
    </cfRule>
    <cfRule type="cellIs" dxfId="4709" priority="2763" operator="equal">
      <formula>4.5</formula>
    </cfRule>
    <cfRule type="cellIs" dxfId="4708" priority="2764" operator="equal">
      <formula>4</formula>
    </cfRule>
    <cfRule type="cellIs" dxfId="4707" priority="2765" operator="equal">
      <formula>3.5</formula>
    </cfRule>
    <cfRule type="cellIs" dxfId="4706" priority="2766" operator="equal">
      <formula>3</formula>
    </cfRule>
    <cfRule type="cellIs" dxfId="4705" priority="2767" operator="equal">
      <formula>2.5</formula>
    </cfRule>
    <cfRule type="cellIs" dxfId="4704" priority="2768" operator="equal">
      <formula>2</formula>
    </cfRule>
    <cfRule type="cellIs" dxfId="4703" priority="2769" operator="equal">
      <formula>1.5</formula>
    </cfRule>
    <cfRule type="cellIs" dxfId="4702" priority="2770" operator="equal">
      <formula>1</formula>
    </cfRule>
  </conditionalFormatting>
  <conditionalFormatting sqref="V29">
    <cfRule type="cellIs" dxfId="4701" priority="2745" operator="greaterThan">
      <formula>6.6</formula>
    </cfRule>
    <cfRule type="cellIs" dxfId="4700" priority="2746" operator="equal">
      <formula>6.5</formula>
    </cfRule>
    <cfRule type="cellIs" dxfId="4699" priority="2747" operator="equal">
      <formula>6</formula>
    </cfRule>
    <cfRule type="cellIs" dxfId="4698" priority="2748" operator="equal">
      <formula>5.5</formula>
    </cfRule>
    <cfRule type="cellIs" dxfId="4697" priority="2749" operator="equal">
      <formula>5</formula>
    </cfRule>
    <cfRule type="cellIs" dxfId="4696" priority="2750" operator="equal">
      <formula>4.5</formula>
    </cfRule>
    <cfRule type="cellIs" dxfId="4695" priority="2751" operator="equal">
      <formula>4</formula>
    </cfRule>
    <cfRule type="cellIs" dxfId="4694" priority="2752" operator="equal">
      <formula>3.5</formula>
    </cfRule>
    <cfRule type="cellIs" dxfId="4693" priority="2753" operator="equal">
      <formula>3</formula>
    </cfRule>
    <cfRule type="cellIs" dxfId="4692" priority="2754" operator="equal">
      <formula>2.5</formula>
    </cfRule>
    <cfRule type="cellIs" dxfId="4691" priority="2755" operator="equal">
      <formula>2</formula>
    </cfRule>
    <cfRule type="cellIs" dxfId="4690" priority="2756" operator="equal">
      <formula>1.5</formula>
    </cfRule>
    <cfRule type="cellIs" dxfId="4689" priority="2757" operator="equal">
      <formula>1</formula>
    </cfRule>
  </conditionalFormatting>
  <conditionalFormatting sqref="F32">
    <cfRule type="cellIs" dxfId="4688" priority="2732" operator="greaterThan">
      <formula>6.6</formula>
    </cfRule>
    <cfRule type="cellIs" dxfId="4687" priority="2733" operator="equal">
      <formula>6.5</formula>
    </cfRule>
    <cfRule type="cellIs" dxfId="4686" priority="2734" operator="equal">
      <formula>6</formula>
    </cfRule>
    <cfRule type="cellIs" dxfId="4685" priority="2735" operator="equal">
      <formula>5.5</formula>
    </cfRule>
    <cfRule type="cellIs" dxfId="4684" priority="2736" operator="equal">
      <formula>5</formula>
    </cfRule>
    <cfRule type="cellIs" dxfId="4683" priority="2737" operator="equal">
      <formula>4.5</formula>
    </cfRule>
    <cfRule type="cellIs" dxfId="4682" priority="2738" operator="equal">
      <formula>4</formula>
    </cfRule>
    <cfRule type="cellIs" dxfId="4681" priority="2739" operator="equal">
      <formula>3.5</formula>
    </cfRule>
    <cfRule type="cellIs" dxfId="4680" priority="2740" operator="equal">
      <formula>3</formula>
    </cfRule>
    <cfRule type="cellIs" dxfId="4679" priority="2741" operator="equal">
      <formula>2.5</formula>
    </cfRule>
    <cfRule type="cellIs" dxfId="4678" priority="2742" operator="equal">
      <formula>2</formula>
    </cfRule>
    <cfRule type="cellIs" dxfId="4677" priority="2743" operator="equal">
      <formula>1.5</formula>
    </cfRule>
    <cfRule type="cellIs" dxfId="4676" priority="2744" operator="equal">
      <formula>1</formula>
    </cfRule>
  </conditionalFormatting>
  <conditionalFormatting sqref="H32">
    <cfRule type="cellIs" dxfId="4675" priority="2719" operator="greaterThan">
      <formula>6.6</formula>
    </cfRule>
    <cfRule type="cellIs" dxfId="4674" priority="2720" operator="equal">
      <formula>6.5</formula>
    </cfRule>
    <cfRule type="cellIs" dxfId="4673" priority="2721" operator="equal">
      <formula>6</formula>
    </cfRule>
    <cfRule type="cellIs" dxfId="4672" priority="2722" operator="equal">
      <formula>5.5</formula>
    </cfRule>
    <cfRule type="cellIs" dxfId="4671" priority="2723" operator="equal">
      <formula>5</formula>
    </cfRule>
    <cfRule type="cellIs" dxfId="4670" priority="2724" operator="equal">
      <formula>4.5</formula>
    </cfRule>
    <cfRule type="cellIs" dxfId="4669" priority="2725" operator="equal">
      <formula>4</formula>
    </cfRule>
    <cfRule type="cellIs" dxfId="4668" priority="2726" operator="equal">
      <formula>3.5</formula>
    </cfRule>
    <cfRule type="cellIs" dxfId="4667" priority="2727" operator="equal">
      <formula>3</formula>
    </cfRule>
    <cfRule type="cellIs" dxfId="4666" priority="2728" operator="equal">
      <formula>2.5</formula>
    </cfRule>
    <cfRule type="cellIs" dxfId="4665" priority="2729" operator="equal">
      <formula>2</formula>
    </cfRule>
    <cfRule type="cellIs" dxfId="4664" priority="2730" operator="equal">
      <formula>1.5</formula>
    </cfRule>
    <cfRule type="cellIs" dxfId="4663" priority="2731" operator="equal">
      <formula>1</formula>
    </cfRule>
  </conditionalFormatting>
  <conditionalFormatting sqref="J32">
    <cfRule type="cellIs" dxfId="4662" priority="2706" operator="greaterThan">
      <formula>6.6</formula>
    </cfRule>
    <cfRule type="cellIs" dxfId="4661" priority="2707" operator="equal">
      <formula>6.5</formula>
    </cfRule>
    <cfRule type="cellIs" dxfId="4660" priority="2708" operator="equal">
      <formula>6</formula>
    </cfRule>
    <cfRule type="cellIs" dxfId="4659" priority="2709" operator="equal">
      <formula>5.5</formula>
    </cfRule>
    <cfRule type="cellIs" dxfId="4658" priority="2710" operator="equal">
      <formula>5</formula>
    </cfRule>
    <cfRule type="cellIs" dxfId="4657" priority="2711" operator="equal">
      <formula>4.5</formula>
    </cfRule>
    <cfRule type="cellIs" dxfId="4656" priority="2712" operator="equal">
      <formula>4</formula>
    </cfRule>
    <cfRule type="cellIs" dxfId="4655" priority="2713" operator="equal">
      <formula>3.5</formula>
    </cfRule>
    <cfRule type="cellIs" dxfId="4654" priority="2714" operator="equal">
      <formula>3</formula>
    </cfRule>
    <cfRule type="cellIs" dxfId="4653" priority="2715" operator="equal">
      <formula>2.5</formula>
    </cfRule>
    <cfRule type="cellIs" dxfId="4652" priority="2716" operator="equal">
      <formula>2</formula>
    </cfRule>
    <cfRule type="cellIs" dxfId="4651" priority="2717" operator="equal">
      <formula>1.5</formula>
    </cfRule>
    <cfRule type="cellIs" dxfId="4650" priority="2718" operator="equal">
      <formula>1</formula>
    </cfRule>
  </conditionalFormatting>
  <conditionalFormatting sqref="L32">
    <cfRule type="cellIs" dxfId="4649" priority="2693" operator="greaterThan">
      <formula>6.6</formula>
    </cfRule>
    <cfRule type="cellIs" dxfId="4648" priority="2694" operator="equal">
      <formula>6.5</formula>
    </cfRule>
    <cfRule type="cellIs" dxfId="4647" priority="2695" operator="equal">
      <formula>6</formula>
    </cfRule>
    <cfRule type="cellIs" dxfId="4646" priority="2696" operator="equal">
      <formula>5.5</formula>
    </cfRule>
    <cfRule type="cellIs" dxfId="4645" priority="2697" operator="equal">
      <formula>5</formula>
    </cfRule>
    <cfRule type="cellIs" dxfId="4644" priority="2698" operator="equal">
      <formula>4.5</formula>
    </cfRule>
    <cfRule type="cellIs" dxfId="4643" priority="2699" operator="equal">
      <formula>4</formula>
    </cfRule>
    <cfRule type="cellIs" dxfId="4642" priority="2700" operator="equal">
      <formula>3.5</formula>
    </cfRule>
    <cfRule type="cellIs" dxfId="4641" priority="2701" operator="equal">
      <formula>3</formula>
    </cfRule>
    <cfRule type="cellIs" dxfId="4640" priority="2702" operator="equal">
      <formula>2.5</formula>
    </cfRule>
    <cfRule type="cellIs" dxfId="4639" priority="2703" operator="equal">
      <formula>2</formula>
    </cfRule>
    <cfRule type="cellIs" dxfId="4638" priority="2704" operator="equal">
      <formula>1.5</formula>
    </cfRule>
    <cfRule type="cellIs" dxfId="4637" priority="2705" operator="equal">
      <formula>1</formula>
    </cfRule>
  </conditionalFormatting>
  <conditionalFormatting sqref="N32">
    <cfRule type="cellIs" dxfId="4636" priority="2680" operator="greaterThan">
      <formula>6.6</formula>
    </cfRule>
    <cfRule type="cellIs" dxfId="4635" priority="2681" operator="equal">
      <formula>6.5</formula>
    </cfRule>
    <cfRule type="cellIs" dxfId="4634" priority="2682" operator="equal">
      <formula>6</formula>
    </cfRule>
    <cfRule type="cellIs" dxfId="4633" priority="2683" operator="equal">
      <formula>5.5</formula>
    </cfRule>
    <cfRule type="cellIs" dxfId="4632" priority="2684" operator="equal">
      <formula>5</formula>
    </cfRule>
    <cfRule type="cellIs" dxfId="4631" priority="2685" operator="equal">
      <formula>4.5</formula>
    </cfRule>
    <cfRule type="cellIs" dxfId="4630" priority="2686" operator="equal">
      <formula>4</formula>
    </cfRule>
    <cfRule type="cellIs" dxfId="4629" priority="2687" operator="equal">
      <formula>3.5</formula>
    </cfRule>
    <cfRule type="cellIs" dxfId="4628" priority="2688" operator="equal">
      <formula>3</formula>
    </cfRule>
    <cfRule type="cellIs" dxfId="4627" priority="2689" operator="equal">
      <formula>2.5</formula>
    </cfRule>
    <cfRule type="cellIs" dxfId="4626" priority="2690" operator="equal">
      <formula>2</formula>
    </cfRule>
    <cfRule type="cellIs" dxfId="4625" priority="2691" operator="equal">
      <formula>1.5</formula>
    </cfRule>
    <cfRule type="cellIs" dxfId="4624" priority="2692" operator="equal">
      <formula>1</formula>
    </cfRule>
  </conditionalFormatting>
  <conditionalFormatting sqref="P32">
    <cfRule type="cellIs" dxfId="4623" priority="2667" operator="greaterThan">
      <formula>6.6</formula>
    </cfRule>
    <cfRule type="cellIs" dxfId="4622" priority="2668" operator="equal">
      <formula>6.5</formula>
    </cfRule>
    <cfRule type="cellIs" dxfId="4621" priority="2669" operator="equal">
      <formula>6</formula>
    </cfRule>
    <cfRule type="cellIs" dxfId="4620" priority="2670" operator="equal">
      <formula>5.5</formula>
    </cfRule>
    <cfRule type="cellIs" dxfId="4619" priority="2671" operator="equal">
      <formula>5</formula>
    </cfRule>
    <cfRule type="cellIs" dxfId="4618" priority="2672" operator="equal">
      <formula>4.5</formula>
    </cfRule>
    <cfRule type="cellIs" dxfId="4617" priority="2673" operator="equal">
      <formula>4</formula>
    </cfRule>
    <cfRule type="cellIs" dxfId="4616" priority="2674" operator="equal">
      <formula>3.5</formula>
    </cfRule>
    <cfRule type="cellIs" dxfId="4615" priority="2675" operator="equal">
      <formula>3</formula>
    </cfRule>
    <cfRule type="cellIs" dxfId="4614" priority="2676" operator="equal">
      <formula>2.5</formula>
    </cfRule>
    <cfRule type="cellIs" dxfId="4613" priority="2677" operator="equal">
      <formula>2</formula>
    </cfRule>
    <cfRule type="cellIs" dxfId="4612" priority="2678" operator="equal">
      <formula>1.5</formula>
    </cfRule>
    <cfRule type="cellIs" dxfId="4611" priority="2679" operator="equal">
      <formula>1</formula>
    </cfRule>
  </conditionalFormatting>
  <conditionalFormatting sqref="R32">
    <cfRule type="cellIs" dxfId="4610" priority="2654" operator="greaterThan">
      <formula>6.6</formula>
    </cfRule>
    <cfRule type="cellIs" dxfId="4609" priority="2655" operator="equal">
      <formula>6.5</formula>
    </cfRule>
    <cfRule type="cellIs" dxfId="4608" priority="2656" operator="equal">
      <formula>6</formula>
    </cfRule>
    <cfRule type="cellIs" dxfId="4607" priority="2657" operator="equal">
      <formula>5.5</formula>
    </cfRule>
    <cfRule type="cellIs" dxfId="4606" priority="2658" operator="equal">
      <formula>5</formula>
    </cfRule>
    <cfRule type="cellIs" dxfId="4605" priority="2659" operator="equal">
      <formula>4.5</formula>
    </cfRule>
    <cfRule type="cellIs" dxfId="4604" priority="2660" operator="equal">
      <formula>4</formula>
    </cfRule>
    <cfRule type="cellIs" dxfId="4603" priority="2661" operator="equal">
      <formula>3.5</formula>
    </cfRule>
    <cfRule type="cellIs" dxfId="4602" priority="2662" operator="equal">
      <formula>3</formula>
    </cfRule>
    <cfRule type="cellIs" dxfId="4601" priority="2663" operator="equal">
      <formula>2.5</formula>
    </cfRule>
    <cfRule type="cellIs" dxfId="4600" priority="2664" operator="equal">
      <formula>2</formula>
    </cfRule>
    <cfRule type="cellIs" dxfId="4599" priority="2665" operator="equal">
      <formula>1.5</formula>
    </cfRule>
    <cfRule type="cellIs" dxfId="4598" priority="2666" operator="equal">
      <formula>1</formula>
    </cfRule>
  </conditionalFormatting>
  <conditionalFormatting sqref="T32">
    <cfRule type="cellIs" dxfId="4597" priority="2641" operator="greaterThan">
      <formula>6.6</formula>
    </cfRule>
    <cfRule type="cellIs" dxfId="4596" priority="2642" operator="equal">
      <formula>6.5</formula>
    </cfRule>
    <cfRule type="cellIs" dxfId="4595" priority="2643" operator="equal">
      <formula>6</formula>
    </cfRule>
    <cfRule type="cellIs" dxfId="4594" priority="2644" operator="equal">
      <formula>5.5</formula>
    </cfRule>
    <cfRule type="cellIs" dxfId="4593" priority="2645" operator="equal">
      <formula>5</formula>
    </cfRule>
    <cfRule type="cellIs" dxfId="4592" priority="2646" operator="equal">
      <formula>4.5</formula>
    </cfRule>
    <cfRule type="cellIs" dxfId="4591" priority="2647" operator="equal">
      <formula>4</formula>
    </cfRule>
    <cfRule type="cellIs" dxfId="4590" priority="2648" operator="equal">
      <formula>3.5</formula>
    </cfRule>
    <cfRule type="cellIs" dxfId="4589" priority="2649" operator="equal">
      <formula>3</formula>
    </cfRule>
    <cfRule type="cellIs" dxfId="4588" priority="2650" operator="equal">
      <formula>2.5</formula>
    </cfRule>
    <cfRule type="cellIs" dxfId="4587" priority="2651" operator="equal">
      <formula>2</formula>
    </cfRule>
    <cfRule type="cellIs" dxfId="4586" priority="2652" operator="equal">
      <formula>1.5</formula>
    </cfRule>
    <cfRule type="cellIs" dxfId="4585" priority="2653" operator="equal">
      <formula>1</formula>
    </cfRule>
  </conditionalFormatting>
  <conditionalFormatting sqref="V32">
    <cfRule type="cellIs" dxfId="4584" priority="2628" operator="greaterThan">
      <formula>6.6</formula>
    </cfRule>
    <cfRule type="cellIs" dxfId="4583" priority="2629" operator="equal">
      <formula>6.5</formula>
    </cfRule>
    <cfRule type="cellIs" dxfId="4582" priority="2630" operator="equal">
      <formula>6</formula>
    </cfRule>
    <cfRule type="cellIs" dxfId="4581" priority="2631" operator="equal">
      <formula>5.5</formula>
    </cfRule>
    <cfRule type="cellIs" dxfId="4580" priority="2632" operator="equal">
      <formula>5</formula>
    </cfRule>
    <cfRule type="cellIs" dxfId="4579" priority="2633" operator="equal">
      <formula>4.5</formula>
    </cfRule>
    <cfRule type="cellIs" dxfId="4578" priority="2634" operator="equal">
      <formula>4</formula>
    </cfRule>
    <cfRule type="cellIs" dxfId="4577" priority="2635" operator="equal">
      <formula>3.5</formula>
    </cfRule>
    <cfRule type="cellIs" dxfId="4576" priority="2636" operator="equal">
      <formula>3</formula>
    </cfRule>
    <cfRule type="cellIs" dxfId="4575" priority="2637" operator="equal">
      <formula>2.5</formula>
    </cfRule>
    <cfRule type="cellIs" dxfId="4574" priority="2638" operator="equal">
      <formula>2</formula>
    </cfRule>
    <cfRule type="cellIs" dxfId="4573" priority="2639" operator="equal">
      <formula>1.5</formula>
    </cfRule>
    <cfRule type="cellIs" dxfId="4572" priority="2640" operator="equal">
      <formula>1</formula>
    </cfRule>
  </conditionalFormatting>
  <conditionalFormatting sqref="F41">
    <cfRule type="cellIs" dxfId="4571" priority="2615" operator="greaterThan">
      <formula>6.6</formula>
    </cfRule>
    <cfRule type="cellIs" dxfId="4570" priority="2616" operator="equal">
      <formula>6.5</formula>
    </cfRule>
    <cfRule type="cellIs" dxfId="4569" priority="2617" operator="equal">
      <formula>6</formula>
    </cfRule>
    <cfRule type="cellIs" dxfId="4568" priority="2618" operator="equal">
      <formula>5.5</formula>
    </cfRule>
    <cfRule type="cellIs" dxfId="4567" priority="2619" operator="equal">
      <formula>5</formula>
    </cfRule>
    <cfRule type="cellIs" dxfId="4566" priority="2620" operator="equal">
      <formula>4.5</formula>
    </cfRule>
    <cfRule type="cellIs" dxfId="4565" priority="2621" operator="equal">
      <formula>4</formula>
    </cfRule>
    <cfRule type="cellIs" dxfId="4564" priority="2622" operator="equal">
      <formula>3.5</formula>
    </cfRule>
    <cfRule type="cellIs" dxfId="4563" priority="2623" operator="equal">
      <formula>3</formula>
    </cfRule>
    <cfRule type="cellIs" dxfId="4562" priority="2624" operator="equal">
      <formula>2.5</formula>
    </cfRule>
    <cfRule type="cellIs" dxfId="4561" priority="2625" operator="equal">
      <formula>2</formula>
    </cfRule>
    <cfRule type="cellIs" dxfId="4560" priority="2626" operator="equal">
      <formula>1.5</formula>
    </cfRule>
    <cfRule type="cellIs" dxfId="4559" priority="2627" operator="equal">
      <formula>1</formula>
    </cfRule>
  </conditionalFormatting>
  <conditionalFormatting sqref="H41">
    <cfRule type="cellIs" dxfId="4558" priority="2602" operator="greaterThan">
      <formula>6.6</formula>
    </cfRule>
    <cfRule type="cellIs" dxfId="4557" priority="2603" operator="equal">
      <formula>6.5</formula>
    </cfRule>
    <cfRule type="cellIs" dxfId="4556" priority="2604" operator="equal">
      <formula>6</formula>
    </cfRule>
    <cfRule type="cellIs" dxfId="4555" priority="2605" operator="equal">
      <formula>5.5</formula>
    </cfRule>
    <cfRule type="cellIs" dxfId="4554" priority="2606" operator="equal">
      <formula>5</formula>
    </cfRule>
    <cfRule type="cellIs" dxfId="4553" priority="2607" operator="equal">
      <formula>4.5</formula>
    </cfRule>
    <cfRule type="cellIs" dxfId="4552" priority="2608" operator="equal">
      <formula>4</formula>
    </cfRule>
    <cfRule type="cellIs" dxfId="4551" priority="2609" operator="equal">
      <formula>3.5</formula>
    </cfRule>
    <cfRule type="cellIs" dxfId="4550" priority="2610" operator="equal">
      <formula>3</formula>
    </cfRule>
    <cfRule type="cellIs" dxfId="4549" priority="2611" operator="equal">
      <formula>2.5</formula>
    </cfRule>
    <cfRule type="cellIs" dxfId="4548" priority="2612" operator="equal">
      <formula>2</formula>
    </cfRule>
    <cfRule type="cellIs" dxfId="4547" priority="2613" operator="equal">
      <formula>1.5</formula>
    </cfRule>
    <cfRule type="cellIs" dxfId="4546" priority="2614" operator="equal">
      <formula>1</formula>
    </cfRule>
  </conditionalFormatting>
  <conditionalFormatting sqref="J41">
    <cfRule type="cellIs" dxfId="4545" priority="2589" operator="greaterThan">
      <formula>6.6</formula>
    </cfRule>
    <cfRule type="cellIs" dxfId="4544" priority="2590" operator="equal">
      <formula>6.5</formula>
    </cfRule>
    <cfRule type="cellIs" dxfId="4543" priority="2591" operator="equal">
      <formula>6</formula>
    </cfRule>
    <cfRule type="cellIs" dxfId="4542" priority="2592" operator="equal">
      <formula>5.5</formula>
    </cfRule>
    <cfRule type="cellIs" dxfId="4541" priority="2593" operator="equal">
      <formula>5</formula>
    </cfRule>
    <cfRule type="cellIs" dxfId="4540" priority="2594" operator="equal">
      <formula>4.5</formula>
    </cfRule>
    <cfRule type="cellIs" dxfId="4539" priority="2595" operator="equal">
      <formula>4</formula>
    </cfRule>
    <cfRule type="cellIs" dxfId="4538" priority="2596" operator="equal">
      <formula>3.5</formula>
    </cfRule>
    <cfRule type="cellIs" dxfId="4537" priority="2597" operator="equal">
      <formula>3</formula>
    </cfRule>
    <cfRule type="cellIs" dxfId="4536" priority="2598" operator="equal">
      <formula>2.5</formula>
    </cfRule>
    <cfRule type="cellIs" dxfId="4535" priority="2599" operator="equal">
      <formula>2</formula>
    </cfRule>
    <cfRule type="cellIs" dxfId="4534" priority="2600" operator="equal">
      <formula>1.5</formula>
    </cfRule>
    <cfRule type="cellIs" dxfId="4533" priority="2601" operator="equal">
      <formula>1</formula>
    </cfRule>
  </conditionalFormatting>
  <conditionalFormatting sqref="L41">
    <cfRule type="cellIs" dxfId="4532" priority="2576" operator="greaterThan">
      <formula>6.6</formula>
    </cfRule>
    <cfRule type="cellIs" dxfId="4531" priority="2577" operator="equal">
      <formula>6.5</formula>
    </cfRule>
    <cfRule type="cellIs" dxfId="4530" priority="2578" operator="equal">
      <formula>6</formula>
    </cfRule>
    <cfRule type="cellIs" dxfId="4529" priority="2579" operator="equal">
      <formula>5.5</formula>
    </cfRule>
    <cfRule type="cellIs" dxfId="4528" priority="2580" operator="equal">
      <formula>5</formula>
    </cfRule>
    <cfRule type="cellIs" dxfId="4527" priority="2581" operator="equal">
      <formula>4.5</formula>
    </cfRule>
    <cfRule type="cellIs" dxfId="4526" priority="2582" operator="equal">
      <formula>4</formula>
    </cfRule>
    <cfRule type="cellIs" dxfId="4525" priority="2583" operator="equal">
      <formula>3.5</formula>
    </cfRule>
    <cfRule type="cellIs" dxfId="4524" priority="2584" operator="equal">
      <formula>3</formula>
    </cfRule>
    <cfRule type="cellIs" dxfId="4523" priority="2585" operator="equal">
      <formula>2.5</formula>
    </cfRule>
    <cfRule type="cellIs" dxfId="4522" priority="2586" operator="equal">
      <formula>2</formula>
    </cfRule>
    <cfRule type="cellIs" dxfId="4521" priority="2587" operator="equal">
      <formula>1.5</formula>
    </cfRule>
    <cfRule type="cellIs" dxfId="4520" priority="2588" operator="equal">
      <formula>1</formula>
    </cfRule>
  </conditionalFormatting>
  <conditionalFormatting sqref="N41">
    <cfRule type="cellIs" dxfId="4519" priority="2563" operator="greaterThan">
      <formula>6.6</formula>
    </cfRule>
    <cfRule type="cellIs" dxfId="4518" priority="2564" operator="equal">
      <formula>6.5</formula>
    </cfRule>
    <cfRule type="cellIs" dxfId="4517" priority="2565" operator="equal">
      <formula>6</formula>
    </cfRule>
    <cfRule type="cellIs" dxfId="4516" priority="2566" operator="equal">
      <formula>5.5</formula>
    </cfRule>
    <cfRule type="cellIs" dxfId="4515" priority="2567" operator="equal">
      <formula>5</formula>
    </cfRule>
    <cfRule type="cellIs" dxfId="4514" priority="2568" operator="equal">
      <formula>4.5</formula>
    </cfRule>
    <cfRule type="cellIs" dxfId="4513" priority="2569" operator="equal">
      <formula>4</formula>
    </cfRule>
    <cfRule type="cellIs" dxfId="4512" priority="2570" operator="equal">
      <formula>3.5</formula>
    </cfRule>
    <cfRule type="cellIs" dxfId="4511" priority="2571" operator="equal">
      <formula>3</formula>
    </cfRule>
    <cfRule type="cellIs" dxfId="4510" priority="2572" operator="equal">
      <formula>2.5</formula>
    </cfRule>
    <cfRule type="cellIs" dxfId="4509" priority="2573" operator="equal">
      <formula>2</formula>
    </cfRule>
    <cfRule type="cellIs" dxfId="4508" priority="2574" operator="equal">
      <formula>1.5</formula>
    </cfRule>
    <cfRule type="cellIs" dxfId="4507" priority="2575" operator="equal">
      <formula>1</formula>
    </cfRule>
  </conditionalFormatting>
  <conditionalFormatting sqref="P41">
    <cfRule type="cellIs" dxfId="4506" priority="2550" operator="greaterThan">
      <formula>6.6</formula>
    </cfRule>
    <cfRule type="cellIs" dxfId="4505" priority="2551" operator="equal">
      <formula>6.5</formula>
    </cfRule>
    <cfRule type="cellIs" dxfId="4504" priority="2552" operator="equal">
      <formula>6</formula>
    </cfRule>
    <cfRule type="cellIs" dxfId="4503" priority="2553" operator="equal">
      <formula>5.5</formula>
    </cfRule>
    <cfRule type="cellIs" dxfId="4502" priority="2554" operator="equal">
      <formula>5</formula>
    </cfRule>
    <cfRule type="cellIs" dxfId="4501" priority="2555" operator="equal">
      <formula>4.5</formula>
    </cfRule>
    <cfRule type="cellIs" dxfId="4500" priority="2556" operator="equal">
      <formula>4</formula>
    </cfRule>
    <cfRule type="cellIs" dxfId="4499" priority="2557" operator="equal">
      <formula>3.5</formula>
    </cfRule>
    <cfRule type="cellIs" dxfId="4498" priority="2558" operator="equal">
      <formula>3</formula>
    </cfRule>
    <cfRule type="cellIs" dxfId="4497" priority="2559" operator="equal">
      <formula>2.5</formula>
    </cfRule>
    <cfRule type="cellIs" dxfId="4496" priority="2560" operator="equal">
      <formula>2</formula>
    </cfRule>
    <cfRule type="cellIs" dxfId="4495" priority="2561" operator="equal">
      <formula>1.5</formula>
    </cfRule>
    <cfRule type="cellIs" dxfId="4494" priority="2562" operator="equal">
      <formula>1</formula>
    </cfRule>
  </conditionalFormatting>
  <conditionalFormatting sqref="R41">
    <cfRule type="cellIs" dxfId="4493" priority="2537" operator="greaterThan">
      <formula>6.6</formula>
    </cfRule>
    <cfRule type="cellIs" dxfId="4492" priority="2538" operator="equal">
      <formula>6.5</formula>
    </cfRule>
    <cfRule type="cellIs" dxfId="4491" priority="2539" operator="equal">
      <formula>6</formula>
    </cfRule>
    <cfRule type="cellIs" dxfId="4490" priority="2540" operator="equal">
      <formula>5.5</formula>
    </cfRule>
    <cfRule type="cellIs" dxfId="4489" priority="2541" operator="equal">
      <formula>5</formula>
    </cfRule>
    <cfRule type="cellIs" dxfId="4488" priority="2542" operator="equal">
      <formula>4.5</formula>
    </cfRule>
    <cfRule type="cellIs" dxfId="4487" priority="2543" operator="equal">
      <formula>4</formula>
    </cfRule>
    <cfRule type="cellIs" dxfId="4486" priority="2544" operator="equal">
      <formula>3.5</formula>
    </cfRule>
    <cfRule type="cellIs" dxfId="4485" priority="2545" operator="equal">
      <formula>3</formula>
    </cfRule>
    <cfRule type="cellIs" dxfId="4484" priority="2546" operator="equal">
      <formula>2.5</formula>
    </cfRule>
    <cfRule type="cellIs" dxfId="4483" priority="2547" operator="equal">
      <formula>2</formula>
    </cfRule>
    <cfRule type="cellIs" dxfId="4482" priority="2548" operator="equal">
      <formula>1.5</formula>
    </cfRule>
    <cfRule type="cellIs" dxfId="4481" priority="2549" operator="equal">
      <formula>1</formula>
    </cfRule>
  </conditionalFormatting>
  <conditionalFormatting sqref="T41">
    <cfRule type="cellIs" dxfId="4480" priority="2524" operator="greaterThan">
      <formula>6.6</formula>
    </cfRule>
    <cfRule type="cellIs" dxfId="4479" priority="2525" operator="equal">
      <formula>6.5</formula>
    </cfRule>
    <cfRule type="cellIs" dxfId="4478" priority="2526" operator="equal">
      <formula>6</formula>
    </cfRule>
    <cfRule type="cellIs" dxfId="4477" priority="2527" operator="equal">
      <formula>5.5</formula>
    </cfRule>
    <cfRule type="cellIs" dxfId="4476" priority="2528" operator="equal">
      <formula>5</formula>
    </cfRule>
    <cfRule type="cellIs" dxfId="4475" priority="2529" operator="equal">
      <formula>4.5</formula>
    </cfRule>
    <cfRule type="cellIs" dxfId="4474" priority="2530" operator="equal">
      <formula>4</formula>
    </cfRule>
    <cfRule type="cellIs" dxfId="4473" priority="2531" operator="equal">
      <formula>3.5</formula>
    </cfRule>
    <cfRule type="cellIs" dxfId="4472" priority="2532" operator="equal">
      <formula>3</formula>
    </cfRule>
    <cfRule type="cellIs" dxfId="4471" priority="2533" operator="equal">
      <formula>2.5</formula>
    </cfRule>
    <cfRule type="cellIs" dxfId="4470" priority="2534" operator="equal">
      <formula>2</formula>
    </cfRule>
    <cfRule type="cellIs" dxfId="4469" priority="2535" operator="equal">
      <formula>1.5</formula>
    </cfRule>
    <cfRule type="cellIs" dxfId="4468" priority="2536" operator="equal">
      <formula>1</formula>
    </cfRule>
  </conditionalFormatting>
  <conditionalFormatting sqref="V41">
    <cfRule type="cellIs" dxfId="4467" priority="2511" operator="greaterThan">
      <formula>6.6</formula>
    </cfRule>
    <cfRule type="cellIs" dxfId="4466" priority="2512" operator="equal">
      <formula>6.5</formula>
    </cfRule>
    <cfRule type="cellIs" dxfId="4465" priority="2513" operator="equal">
      <formula>6</formula>
    </cfRule>
    <cfRule type="cellIs" dxfId="4464" priority="2514" operator="equal">
      <formula>5.5</formula>
    </cfRule>
    <cfRule type="cellIs" dxfId="4463" priority="2515" operator="equal">
      <formula>5</formula>
    </cfRule>
    <cfRule type="cellIs" dxfId="4462" priority="2516" operator="equal">
      <formula>4.5</formula>
    </cfRule>
    <cfRule type="cellIs" dxfId="4461" priority="2517" operator="equal">
      <formula>4</formula>
    </cfRule>
    <cfRule type="cellIs" dxfId="4460" priority="2518" operator="equal">
      <formula>3.5</formula>
    </cfRule>
    <cfRule type="cellIs" dxfId="4459" priority="2519" operator="equal">
      <formula>3</formula>
    </cfRule>
    <cfRule type="cellIs" dxfId="4458" priority="2520" operator="equal">
      <formula>2.5</formula>
    </cfRule>
    <cfRule type="cellIs" dxfId="4457" priority="2521" operator="equal">
      <formula>2</formula>
    </cfRule>
    <cfRule type="cellIs" dxfId="4456" priority="2522" operator="equal">
      <formula>1.5</formula>
    </cfRule>
    <cfRule type="cellIs" dxfId="4455" priority="2523" operator="equal">
      <formula>1</formula>
    </cfRule>
  </conditionalFormatting>
  <conditionalFormatting sqref="F44">
    <cfRule type="cellIs" dxfId="4454" priority="2498" operator="greaterThan">
      <formula>6.6</formula>
    </cfRule>
    <cfRule type="cellIs" dxfId="4453" priority="2499" operator="equal">
      <formula>6.5</formula>
    </cfRule>
    <cfRule type="cellIs" dxfId="4452" priority="2500" operator="equal">
      <formula>6</formula>
    </cfRule>
    <cfRule type="cellIs" dxfId="4451" priority="2501" operator="equal">
      <formula>5.5</formula>
    </cfRule>
    <cfRule type="cellIs" dxfId="4450" priority="2502" operator="equal">
      <formula>5</formula>
    </cfRule>
    <cfRule type="cellIs" dxfId="4449" priority="2503" operator="equal">
      <formula>4.5</formula>
    </cfRule>
    <cfRule type="cellIs" dxfId="4448" priority="2504" operator="equal">
      <formula>4</formula>
    </cfRule>
    <cfRule type="cellIs" dxfId="4447" priority="2505" operator="equal">
      <formula>3.5</formula>
    </cfRule>
    <cfRule type="cellIs" dxfId="4446" priority="2506" operator="equal">
      <formula>3</formula>
    </cfRule>
    <cfRule type="cellIs" dxfId="4445" priority="2507" operator="equal">
      <formula>2.5</formula>
    </cfRule>
    <cfRule type="cellIs" dxfId="4444" priority="2508" operator="equal">
      <formula>2</formula>
    </cfRule>
    <cfRule type="cellIs" dxfId="4443" priority="2509" operator="equal">
      <formula>1.5</formula>
    </cfRule>
    <cfRule type="cellIs" dxfId="4442" priority="2510" operator="equal">
      <formula>1</formula>
    </cfRule>
  </conditionalFormatting>
  <conditionalFormatting sqref="H44">
    <cfRule type="cellIs" dxfId="4441" priority="2485" operator="greaterThan">
      <formula>6.6</formula>
    </cfRule>
    <cfRule type="cellIs" dxfId="4440" priority="2486" operator="equal">
      <formula>6.5</formula>
    </cfRule>
    <cfRule type="cellIs" dxfId="4439" priority="2487" operator="equal">
      <formula>6</formula>
    </cfRule>
    <cfRule type="cellIs" dxfId="4438" priority="2488" operator="equal">
      <formula>5.5</formula>
    </cfRule>
    <cfRule type="cellIs" dxfId="4437" priority="2489" operator="equal">
      <formula>5</formula>
    </cfRule>
    <cfRule type="cellIs" dxfId="4436" priority="2490" operator="equal">
      <formula>4.5</formula>
    </cfRule>
    <cfRule type="cellIs" dxfId="4435" priority="2491" operator="equal">
      <formula>4</formula>
    </cfRule>
    <cfRule type="cellIs" dxfId="4434" priority="2492" operator="equal">
      <formula>3.5</formula>
    </cfRule>
    <cfRule type="cellIs" dxfId="4433" priority="2493" operator="equal">
      <formula>3</formula>
    </cfRule>
    <cfRule type="cellIs" dxfId="4432" priority="2494" operator="equal">
      <formula>2.5</formula>
    </cfRule>
    <cfRule type="cellIs" dxfId="4431" priority="2495" operator="equal">
      <formula>2</formula>
    </cfRule>
    <cfRule type="cellIs" dxfId="4430" priority="2496" operator="equal">
      <formula>1.5</formula>
    </cfRule>
    <cfRule type="cellIs" dxfId="4429" priority="2497" operator="equal">
      <formula>1</formula>
    </cfRule>
  </conditionalFormatting>
  <conditionalFormatting sqref="J44">
    <cfRule type="cellIs" dxfId="4428" priority="2472" operator="greaterThan">
      <formula>6.6</formula>
    </cfRule>
    <cfRule type="cellIs" dxfId="4427" priority="2473" operator="equal">
      <formula>6.5</formula>
    </cfRule>
    <cfRule type="cellIs" dxfId="4426" priority="2474" operator="equal">
      <formula>6</formula>
    </cfRule>
    <cfRule type="cellIs" dxfId="4425" priority="2475" operator="equal">
      <formula>5.5</formula>
    </cfRule>
    <cfRule type="cellIs" dxfId="4424" priority="2476" operator="equal">
      <formula>5</formula>
    </cfRule>
    <cfRule type="cellIs" dxfId="4423" priority="2477" operator="equal">
      <formula>4.5</formula>
    </cfRule>
    <cfRule type="cellIs" dxfId="4422" priority="2478" operator="equal">
      <formula>4</formula>
    </cfRule>
    <cfRule type="cellIs" dxfId="4421" priority="2479" operator="equal">
      <formula>3.5</formula>
    </cfRule>
    <cfRule type="cellIs" dxfId="4420" priority="2480" operator="equal">
      <formula>3</formula>
    </cfRule>
    <cfRule type="cellIs" dxfId="4419" priority="2481" operator="equal">
      <formula>2.5</formula>
    </cfRule>
    <cfRule type="cellIs" dxfId="4418" priority="2482" operator="equal">
      <formula>2</formula>
    </cfRule>
    <cfRule type="cellIs" dxfId="4417" priority="2483" operator="equal">
      <formula>1.5</formula>
    </cfRule>
    <cfRule type="cellIs" dxfId="4416" priority="2484" operator="equal">
      <formula>1</formula>
    </cfRule>
  </conditionalFormatting>
  <conditionalFormatting sqref="L44">
    <cfRule type="cellIs" dxfId="4415" priority="2459" operator="greaterThan">
      <formula>6.6</formula>
    </cfRule>
    <cfRule type="cellIs" dxfId="4414" priority="2460" operator="equal">
      <formula>6.5</formula>
    </cfRule>
    <cfRule type="cellIs" dxfId="4413" priority="2461" operator="equal">
      <formula>6</formula>
    </cfRule>
    <cfRule type="cellIs" dxfId="4412" priority="2462" operator="equal">
      <formula>5.5</formula>
    </cfRule>
    <cfRule type="cellIs" dxfId="4411" priority="2463" operator="equal">
      <formula>5</formula>
    </cfRule>
    <cfRule type="cellIs" dxfId="4410" priority="2464" operator="equal">
      <formula>4.5</formula>
    </cfRule>
    <cfRule type="cellIs" dxfId="4409" priority="2465" operator="equal">
      <formula>4</formula>
    </cfRule>
    <cfRule type="cellIs" dxfId="4408" priority="2466" operator="equal">
      <formula>3.5</formula>
    </cfRule>
    <cfRule type="cellIs" dxfId="4407" priority="2467" operator="equal">
      <formula>3</formula>
    </cfRule>
    <cfRule type="cellIs" dxfId="4406" priority="2468" operator="equal">
      <formula>2.5</formula>
    </cfRule>
    <cfRule type="cellIs" dxfId="4405" priority="2469" operator="equal">
      <formula>2</formula>
    </cfRule>
    <cfRule type="cellIs" dxfId="4404" priority="2470" operator="equal">
      <formula>1.5</formula>
    </cfRule>
    <cfRule type="cellIs" dxfId="4403" priority="2471" operator="equal">
      <formula>1</formula>
    </cfRule>
  </conditionalFormatting>
  <conditionalFormatting sqref="N44">
    <cfRule type="cellIs" dxfId="4402" priority="2446" operator="greaterThan">
      <formula>6.6</formula>
    </cfRule>
    <cfRule type="cellIs" dxfId="4401" priority="2447" operator="equal">
      <formula>6.5</formula>
    </cfRule>
    <cfRule type="cellIs" dxfId="4400" priority="2448" operator="equal">
      <formula>6</formula>
    </cfRule>
    <cfRule type="cellIs" dxfId="4399" priority="2449" operator="equal">
      <formula>5.5</formula>
    </cfRule>
    <cfRule type="cellIs" dxfId="4398" priority="2450" operator="equal">
      <formula>5</formula>
    </cfRule>
    <cfRule type="cellIs" dxfId="4397" priority="2451" operator="equal">
      <formula>4.5</formula>
    </cfRule>
    <cfRule type="cellIs" dxfId="4396" priority="2452" operator="equal">
      <formula>4</formula>
    </cfRule>
    <cfRule type="cellIs" dxfId="4395" priority="2453" operator="equal">
      <formula>3.5</formula>
    </cfRule>
    <cfRule type="cellIs" dxfId="4394" priority="2454" operator="equal">
      <formula>3</formula>
    </cfRule>
    <cfRule type="cellIs" dxfId="4393" priority="2455" operator="equal">
      <formula>2.5</formula>
    </cfRule>
    <cfRule type="cellIs" dxfId="4392" priority="2456" operator="equal">
      <formula>2</formula>
    </cfRule>
    <cfRule type="cellIs" dxfId="4391" priority="2457" operator="equal">
      <formula>1.5</formula>
    </cfRule>
    <cfRule type="cellIs" dxfId="4390" priority="2458" operator="equal">
      <formula>1</formula>
    </cfRule>
  </conditionalFormatting>
  <conditionalFormatting sqref="P44">
    <cfRule type="cellIs" dxfId="4389" priority="2433" operator="greaterThan">
      <formula>6.6</formula>
    </cfRule>
    <cfRule type="cellIs" dxfId="4388" priority="2434" operator="equal">
      <formula>6.5</formula>
    </cfRule>
    <cfRule type="cellIs" dxfId="4387" priority="2435" operator="equal">
      <formula>6</formula>
    </cfRule>
    <cfRule type="cellIs" dxfId="4386" priority="2436" operator="equal">
      <formula>5.5</formula>
    </cfRule>
    <cfRule type="cellIs" dxfId="4385" priority="2437" operator="equal">
      <formula>5</formula>
    </cfRule>
    <cfRule type="cellIs" dxfId="4384" priority="2438" operator="equal">
      <formula>4.5</formula>
    </cfRule>
    <cfRule type="cellIs" dxfId="4383" priority="2439" operator="equal">
      <formula>4</formula>
    </cfRule>
    <cfRule type="cellIs" dxfId="4382" priority="2440" operator="equal">
      <formula>3.5</formula>
    </cfRule>
    <cfRule type="cellIs" dxfId="4381" priority="2441" operator="equal">
      <formula>3</formula>
    </cfRule>
    <cfRule type="cellIs" dxfId="4380" priority="2442" operator="equal">
      <formula>2.5</formula>
    </cfRule>
    <cfRule type="cellIs" dxfId="4379" priority="2443" operator="equal">
      <formula>2</formula>
    </cfRule>
    <cfRule type="cellIs" dxfId="4378" priority="2444" operator="equal">
      <formula>1.5</formula>
    </cfRule>
    <cfRule type="cellIs" dxfId="4377" priority="2445" operator="equal">
      <formula>1</formula>
    </cfRule>
  </conditionalFormatting>
  <conditionalFormatting sqref="R44">
    <cfRule type="cellIs" dxfId="4376" priority="2420" operator="greaterThan">
      <formula>6.6</formula>
    </cfRule>
    <cfRule type="cellIs" dxfId="4375" priority="2421" operator="equal">
      <formula>6.5</formula>
    </cfRule>
    <cfRule type="cellIs" dxfId="4374" priority="2422" operator="equal">
      <formula>6</formula>
    </cfRule>
    <cfRule type="cellIs" dxfId="4373" priority="2423" operator="equal">
      <formula>5.5</formula>
    </cfRule>
    <cfRule type="cellIs" dxfId="4372" priority="2424" operator="equal">
      <formula>5</formula>
    </cfRule>
    <cfRule type="cellIs" dxfId="4371" priority="2425" operator="equal">
      <formula>4.5</formula>
    </cfRule>
    <cfRule type="cellIs" dxfId="4370" priority="2426" operator="equal">
      <formula>4</formula>
    </cfRule>
    <cfRule type="cellIs" dxfId="4369" priority="2427" operator="equal">
      <formula>3.5</formula>
    </cfRule>
    <cfRule type="cellIs" dxfId="4368" priority="2428" operator="equal">
      <formula>3</formula>
    </cfRule>
    <cfRule type="cellIs" dxfId="4367" priority="2429" operator="equal">
      <formula>2.5</formula>
    </cfRule>
    <cfRule type="cellIs" dxfId="4366" priority="2430" operator="equal">
      <formula>2</formula>
    </cfRule>
    <cfRule type="cellIs" dxfId="4365" priority="2431" operator="equal">
      <formula>1.5</formula>
    </cfRule>
    <cfRule type="cellIs" dxfId="4364" priority="2432" operator="equal">
      <formula>1</formula>
    </cfRule>
  </conditionalFormatting>
  <conditionalFormatting sqref="T44">
    <cfRule type="cellIs" dxfId="4363" priority="2407" operator="greaterThan">
      <formula>6.6</formula>
    </cfRule>
    <cfRule type="cellIs" dxfId="4362" priority="2408" operator="equal">
      <formula>6.5</formula>
    </cfRule>
    <cfRule type="cellIs" dxfId="4361" priority="2409" operator="equal">
      <formula>6</formula>
    </cfRule>
    <cfRule type="cellIs" dxfId="4360" priority="2410" operator="equal">
      <formula>5.5</formula>
    </cfRule>
    <cfRule type="cellIs" dxfId="4359" priority="2411" operator="equal">
      <formula>5</formula>
    </cfRule>
    <cfRule type="cellIs" dxfId="4358" priority="2412" operator="equal">
      <formula>4.5</formula>
    </cfRule>
    <cfRule type="cellIs" dxfId="4357" priority="2413" operator="equal">
      <formula>4</formula>
    </cfRule>
    <cfRule type="cellIs" dxfId="4356" priority="2414" operator="equal">
      <formula>3.5</formula>
    </cfRule>
    <cfRule type="cellIs" dxfId="4355" priority="2415" operator="equal">
      <formula>3</formula>
    </cfRule>
    <cfRule type="cellIs" dxfId="4354" priority="2416" operator="equal">
      <formula>2.5</formula>
    </cfRule>
    <cfRule type="cellIs" dxfId="4353" priority="2417" operator="equal">
      <formula>2</formula>
    </cfRule>
    <cfRule type="cellIs" dxfId="4352" priority="2418" operator="equal">
      <formula>1.5</formula>
    </cfRule>
    <cfRule type="cellIs" dxfId="4351" priority="2419" operator="equal">
      <formula>1</formula>
    </cfRule>
  </conditionalFormatting>
  <conditionalFormatting sqref="V44">
    <cfRule type="cellIs" dxfId="4350" priority="2394" operator="greaterThan">
      <formula>6.6</formula>
    </cfRule>
    <cfRule type="cellIs" dxfId="4349" priority="2395" operator="equal">
      <formula>6.5</formula>
    </cfRule>
    <cfRule type="cellIs" dxfId="4348" priority="2396" operator="equal">
      <formula>6</formula>
    </cfRule>
    <cfRule type="cellIs" dxfId="4347" priority="2397" operator="equal">
      <formula>5.5</formula>
    </cfRule>
    <cfRule type="cellIs" dxfId="4346" priority="2398" operator="equal">
      <formula>5</formula>
    </cfRule>
    <cfRule type="cellIs" dxfId="4345" priority="2399" operator="equal">
      <formula>4.5</formula>
    </cfRule>
    <cfRule type="cellIs" dxfId="4344" priority="2400" operator="equal">
      <formula>4</formula>
    </cfRule>
    <cfRule type="cellIs" dxfId="4343" priority="2401" operator="equal">
      <formula>3.5</formula>
    </cfRule>
    <cfRule type="cellIs" dxfId="4342" priority="2402" operator="equal">
      <formula>3</formula>
    </cfRule>
    <cfRule type="cellIs" dxfId="4341" priority="2403" operator="equal">
      <formula>2.5</formula>
    </cfRule>
    <cfRule type="cellIs" dxfId="4340" priority="2404" operator="equal">
      <formula>2</formula>
    </cfRule>
    <cfRule type="cellIs" dxfId="4339" priority="2405" operator="equal">
      <formula>1.5</formula>
    </cfRule>
    <cfRule type="cellIs" dxfId="4338" priority="2406" operator="equal">
      <formula>1</formula>
    </cfRule>
  </conditionalFormatting>
  <conditionalFormatting sqref="F47">
    <cfRule type="cellIs" dxfId="4337" priority="2381" operator="greaterThan">
      <formula>6.6</formula>
    </cfRule>
    <cfRule type="cellIs" dxfId="4336" priority="2382" operator="equal">
      <formula>6.5</formula>
    </cfRule>
    <cfRule type="cellIs" dxfId="4335" priority="2383" operator="equal">
      <formula>6</formula>
    </cfRule>
    <cfRule type="cellIs" dxfId="4334" priority="2384" operator="equal">
      <formula>5.5</formula>
    </cfRule>
    <cfRule type="cellIs" dxfId="4333" priority="2385" operator="equal">
      <formula>5</formula>
    </cfRule>
    <cfRule type="cellIs" dxfId="4332" priority="2386" operator="equal">
      <formula>4.5</formula>
    </cfRule>
    <cfRule type="cellIs" dxfId="4331" priority="2387" operator="equal">
      <formula>4</formula>
    </cfRule>
    <cfRule type="cellIs" dxfId="4330" priority="2388" operator="equal">
      <formula>3.5</formula>
    </cfRule>
    <cfRule type="cellIs" dxfId="4329" priority="2389" operator="equal">
      <formula>3</formula>
    </cfRule>
    <cfRule type="cellIs" dxfId="4328" priority="2390" operator="equal">
      <formula>2.5</formula>
    </cfRule>
    <cfRule type="cellIs" dxfId="4327" priority="2391" operator="equal">
      <formula>2</formula>
    </cfRule>
    <cfRule type="cellIs" dxfId="4326" priority="2392" operator="equal">
      <formula>1.5</formula>
    </cfRule>
    <cfRule type="cellIs" dxfId="4325" priority="2393" operator="equal">
      <formula>1</formula>
    </cfRule>
  </conditionalFormatting>
  <conditionalFormatting sqref="H47">
    <cfRule type="cellIs" dxfId="4324" priority="2368" operator="greaterThan">
      <formula>6.6</formula>
    </cfRule>
    <cfRule type="cellIs" dxfId="4323" priority="2369" operator="equal">
      <formula>6.5</formula>
    </cfRule>
    <cfRule type="cellIs" dxfId="4322" priority="2370" operator="equal">
      <formula>6</formula>
    </cfRule>
    <cfRule type="cellIs" dxfId="4321" priority="2371" operator="equal">
      <formula>5.5</formula>
    </cfRule>
    <cfRule type="cellIs" dxfId="4320" priority="2372" operator="equal">
      <formula>5</formula>
    </cfRule>
    <cfRule type="cellIs" dxfId="4319" priority="2373" operator="equal">
      <formula>4.5</formula>
    </cfRule>
    <cfRule type="cellIs" dxfId="4318" priority="2374" operator="equal">
      <formula>4</formula>
    </cfRule>
    <cfRule type="cellIs" dxfId="4317" priority="2375" operator="equal">
      <formula>3.5</formula>
    </cfRule>
    <cfRule type="cellIs" dxfId="4316" priority="2376" operator="equal">
      <formula>3</formula>
    </cfRule>
    <cfRule type="cellIs" dxfId="4315" priority="2377" operator="equal">
      <formula>2.5</formula>
    </cfRule>
    <cfRule type="cellIs" dxfId="4314" priority="2378" operator="equal">
      <formula>2</formula>
    </cfRule>
    <cfRule type="cellIs" dxfId="4313" priority="2379" operator="equal">
      <formula>1.5</formula>
    </cfRule>
    <cfRule type="cellIs" dxfId="4312" priority="2380" operator="equal">
      <formula>1</formula>
    </cfRule>
  </conditionalFormatting>
  <conditionalFormatting sqref="J47">
    <cfRule type="cellIs" dxfId="4311" priority="2355" operator="greaterThan">
      <formula>6.6</formula>
    </cfRule>
    <cfRule type="cellIs" dxfId="4310" priority="2356" operator="equal">
      <formula>6.5</formula>
    </cfRule>
    <cfRule type="cellIs" dxfId="4309" priority="2357" operator="equal">
      <formula>6</formula>
    </cfRule>
    <cfRule type="cellIs" dxfId="4308" priority="2358" operator="equal">
      <formula>5.5</formula>
    </cfRule>
    <cfRule type="cellIs" dxfId="4307" priority="2359" operator="equal">
      <formula>5</formula>
    </cfRule>
    <cfRule type="cellIs" dxfId="4306" priority="2360" operator="equal">
      <formula>4.5</formula>
    </cfRule>
    <cfRule type="cellIs" dxfId="4305" priority="2361" operator="equal">
      <formula>4</formula>
    </cfRule>
    <cfRule type="cellIs" dxfId="4304" priority="2362" operator="equal">
      <formula>3.5</formula>
    </cfRule>
    <cfRule type="cellIs" dxfId="4303" priority="2363" operator="equal">
      <formula>3</formula>
    </cfRule>
    <cfRule type="cellIs" dxfId="4302" priority="2364" operator="equal">
      <formula>2.5</formula>
    </cfRule>
    <cfRule type="cellIs" dxfId="4301" priority="2365" operator="equal">
      <formula>2</formula>
    </cfRule>
    <cfRule type="cellIs" dxfId="4300" priority="2366" operator="equal">
      <formula>1.5</formula>
    </cfRule>
    <cfRule type="cellIs" dxfId="4299" priority="2367" operator="equal">
      <formula>1</formula>
    </cfRule>
  </conditionalFormatting>
  <conditionalFormatting sqref="L47">
    <cfRule type="cellIs" dxfId="4298" priority="2342" operator="greaterThan">
      <formula>6.6</formula>
    </cfRule>
    <cfRule type="cellIs" dxfId="4297" priority="2343" operator="equal">
      <formula>6.5</formula>
    </cfRule>
    <cfRule type="cellIs" dxfId="4296" priority="2344" operator="equal">
      <formula>6</formula>
    </cfRule>
    <cfRule type="cellIs" dxfId="4295" priority="2345" operator="equal">
      <formula>5.5</formula>
    </cfRule>
    <cfRule type="cellIs" dxfId="4294" priority="2346" operator="equal">
      <formula>5</formula>
    </cfRule>
    <cfRule type="cellIs" dxfId="4293" priority="2347" operator="equal">
      <formula>4.5</formula>
    </cfRule>
    <cfRule type="cellIs" dxfId="4292" priority="2348" operator="equal">
      <formula>4</formula>
    </cfRule>
    <cfRule type="cellIs" dxfId="4291" priority="2349" operator="equal">
      <formula>3.5</formula>
    </cfRule>
    <cfRule type="cellIs" dxfId="4290" priority="2350" operator="equal">
      <formula>3</formula>
    </cfRule>
    <cfRule type="cellIs" dxfId="4289" priority="2351" operator="equal">
      <formula>2.5</formula>
    </cfRule>
    <cfRule type="cellIs" dxfId="4288" priority="2352" operator="equal">
      <formula>2</formula>
    </cfRule>
    <cfRule type="cellIs" dxfId="4287" priority="2353" operator="equal">
      <formula>1.5</formula>
    </cfRule>
    <cfRule type="cellIs" dxfId="4286" priority="2354" operator="equal">
      <formula>1</formula>
    </cfRule>
  </conditionalFormatting>
  <conditionalFormatting sqref="N47">
    <cfRule type="cellIs" dxfId="4285" priority="2329" operator="greaterThan">
      <formula>6.6</formula>
    </cfRule>
    <cfRule type="cellIs" dxfId="4284" priority="2330" operator="equal">
      <formula>6.5</formula>
    </cfRule>
    <cfRule type="cellIs" dxfId="4283" priority="2331" operator="equal">
      <formula>6</formula>
    </cfRule>
    <cfRule type="cellIs" dxfId="4282" priority="2332" operator="equal">
      <formula>5.5</formula>
    </cfRule>
    <cfRule type="cellIs" dxfId="4281" priority="2333" operator="equal">
      <formula>5</formula>
    </cfRule>
    <cfRule type="cellIs" dxfId="4280" priority="2334" operator="equal">
      <formula>4.5</formula>
    </cfRule>
    <cfRule type="cellIs" dxfId="4279" priority="2335" operator="equal">
      <formula>4</formula>
    </cfRule>
    <cfRule type="cellIs" dxfId="4278" priority="2336" operator="equal">
      <formula>3.5</formula>
    </cfRule>
    <cfRule type="cellIs" dxfId="4277" priority="2337" operator="equal">
      <formula>3</formula>
    </cfRule>
    <cfRule type="cellIs" dxfId="4276" priority="2338" operator="equal">
      <formula>2.5</formula>
    </cfRule>
    <cfRule type="cellIs" dxfId="4275" priority="2339" operator="equal">
      <formula>2</formula>
    </cfRule>
    <cfRule type="cellIs" dxfId="4274" priority="2340" operator="equal">
      <formula>1.5</formula>
    </cfRule>
    <cfRule type="cellIs" dxfId="4273" priority="2341" operator="equal">
      <formula>1</formula>
    </cfRule>
  </conditionalFormatting>
  <conditionalFormatting sqref="P47">
    <cfRule type="cellIs" dxfId="4272" priority="2316" operator="greaterThan">
      <formula>6.6</formula>
    </cfRule>
    <cfRule type="cellIs" dxfId="4271" priority="2317" operator="equal">
      <formula>6.5</formula>
    </cfRule>
    <cfRule type="cellIs" dxfId="4270" priority="2318" operator="equal">
      <formula>6</formula>
    </cfRule>
    <cfRule type="cellIs" dxfId="4269" priority="2319" operator="equal">
      <formula>5.5</formula>
    </cfRule>
    <cfRule type="cellIs" dxfId="4268" priority="2320" operator="equal">
      <formula>5</formula>
    </cfRule>
    <cfRule type="cellIs" dxfId="4267" priority="2321" operator="equal">
      <formula>4.5</formula>
    </cfRule>
    <cfRule type="cellIs" dxfId="4266" priority="2322" operator="equal">
      <formula>4</formula>
    </cfRule>
    <cfRule type="cellIs" dxfId="4265" priority="2323" operator="equal">
      <formula>3.5</formula>
    </cfRule>
    <cfRule type="cellIs" dxfId="4264" priority="2324" operator="equal">
      <formula>3</formula>
    </cfRule>
    <cfRule type="cellIs" dxfId="4263" priority="2325" operator="equal">
      <formula>2.5</formula>
    </cfRule>
    <cfRule type="cellIs" dxfId="4262" priority="2326" operator="equal">
      <formula>2</formula>
    </cfRule>
    <cfRule type="cellIs" dxfId="4261" priority="2327" operator="equal">
      <formula>1.5</formula>
    </cfRule>
    <cfRule type="cellIs" dxfId="4260" priority="2328" operator="equal">
      <formula>1</formula>
    </cfRule>
  </conditionalFormatting>
  <conditionalFormatting sqref="R47">
    <cfRule type="cellIs" dxfId="4259" priority="2303" operator="greaterThan">
      <formula>6.6</formula>
    </cfRule>
    <cfRule type="cellIs" dxfId="4258" priority="2304" operator="equal">
      <formula>6.5</formula>
    </cfRule>
    <cfRule type="cellIs" dxfId="4257" priority="2305" operator="equal">
      <formula>6</formula>
    </cfRule>
    <cfRule type="cellIs" dxfId="4256" priority="2306" operator="equal">
      <formula>5.5</formula>
    </cfRule>
    <cfRule type="cellIs" dxfId="4255" priority="2307" operator="equal">
      <formula>5</formula>
    </cfRule>
    <cfRule type="cellIs" dxfId="4254" priority="2308" operator="equal">
      <formula>4.5</formula>
    </cfRule>
    <cfRule type="cellIs" dxfId="4253" priority="2309" operator="equal">
      <formula>4</formula>
    </cfRule>
    <cfRule type="cellIs" dxfId="4252" priority="2310" operator="equal">
      <formula>3.5</formula>
    </cfRule>
    <cfRule type="cellIs" dxfId="4251" priority="2311" operator="equal">
      <formula>3</formula>
    </cfRule>
    <cfRule type="cellIs" dxfId="4250" priority="2312" operator="equal">
      <formula>2.5</formula>
    </cfRule>
    <cfRule type="cellIs" dxfId="4249" priority="2313" operator="equal">
      <formula>2</formula>
    </cfRule>
    <cfRule type="cellIs" dxfId="4248" priority="2314" operator="equal">
      <formula>1.5</formula>
    </cfRule>
    <cfRule type="cellIs" dxfId="4247" priority="2315" operator="equal">
      <formula>1</formula>
    </cfRule>
  </conditionalFormatting>
  <conditionalFormatting sqref="T47">
    <cfRule type="cellIs" dxfId="4246" priority="2290" operator="greaterThan">
      <formula>6.6</formula>
    </cfRule>
    <cfRule type="cellIs" dxfId="4245" priority="2291" operator="equal">
      <formula>6.5</formula>
    </cfRule>
    <cfRule type="cellIs" dxfId="4244" priority="2292" operator="equal">
      <formula>6</formula>
    </cfRule>
    <cfRule type="cellIs" dxfId="4243" priority="2293" operator="equal">
      <formula>5.5</formula>
    </cfRule>
    <cfRule type="cellIs" dxfId="4242" priority="2294" operator="equal">
      <formula>5</formula>
    </cfRule>
    <cfRule type="cellIs" dxfId="4241" priority="2295" operator="equal">
      <formula>4.5</formula>
    </cfRule>
    <cfRule type="cellIs" dxfId="4240" priority="2296" operator="equal">
      <formula>4</formula>
    </cfRule>
    <cfRule type="cellIs" dxfId="4239" priority="2297" operator="equal">
      <formula>3.5</formula>
    </cfRule>
    <cfRule type="cellIs" dxfId="4238" priority="2298" operator="equal">
      <formula>3</formula>
    </cfRule>
    <cfRule type="cellIs" dxfId="4237" priority="2299" operator="equal">
      <formula>2.5</formula>
    </cfRule>
    <cfRule type="cellIs" dxfId="4236" priority="2300" operator="equal">
      <formula>2</formula>
    </cfRule>
    <cfRule type="cellIs" dxfId="4235" priority="2301" operator="equal">
      <formula>1.5</formula>
    </cfRule>
    <cfRule type="cellIs" dxfId="4234" priority="2302" operator="equal">
      <formula>1</formula>
    </cfRule>
  </conditionalFormatting>
  <conditionalFormatting sqref="V47">
    <cfRule type="cellIs" dxfId="4233" priority="2277" operator="greaterThan">
      <formula>6.6</formula>
    </cfRule>
    <cfRule type="cellIs" dxfId="4232" priority="2278" operator="equal">
      <formula>6.5</formula>
    </cfRule>
    <cfRule type="cellIs" dxfId="4231" priority="2279" operator="equal">
      <formula>6</formula>
    </cfRule>
    <cfRule type="cellIs" dxfId="4230" priority="2280" operator="equal">
      <formula>5.5</formula>
    </cfRule>
    <cfRule type="cellIs" dxfId="4229" priority="2281" operator="equal">
      <formula>5</formula>
    </cfRule>
    <cfRule type="cellIs" dxfId="4228" priority="2282" operator="equal">
      <formula>4.5</formula>
    </cfRule>
    <cfRule type="cellIs" dxfId="4227" priority="2283" operator="equal">
      <formula>4</formula>
    </cfRule>
    <cfRule type="cellIs" dxfId="4226" priority="2284" operator="equal">
      <formula>3.5</formula>
    </cfRule>
    <cfRule type="cellIs" dxfId="4225" priority="2285" operator="equal">
      <formula>3</formula>
    </cfRule>
    <cfRule type="cellIs" dxfId="4224" priority="2286" operator="equal">
      <formula>2.5</formula>
    </cfRule>
    <cfRule type="cellIs" dxfId="4223" priority="2287" operator="equal">
      <formula>2</formula>
    </cfRule>
    <cfRule type="cellIs" dxfId="4222" priority="2288" operator="equal">
      <formula>1.5</formula>
    </cfRule>
    <cfRule type="cellIs" dxfId="4221" priority="2289" operator="equal">
      <formula>1</formula>
    </cfRule>
  </conditionalFormatting>
  <conditionalFormatting sqref="F56">
    <cfRule type="cellIs" dxfId="4220" priority="2264" operator="greaterThan">
      <formula>6.6</formula>
    </cfRule>
    <cfRule type="cellIs" dxfId="4219" priority="2265" operator="equal">
      <formula>6.5</formula>
    </cfRule>
    <cfRule type="cellIs" dxfId="4218" priority="2266" operator="equal">
      <formula>6</formula>
    </cfRule>
    <cfRule type="cellIs" dxfId="4217" priority="2267" operator="equal">
      <formula>5.5</formula>
    </cfRule>
    <cfRule type="cellIs" dxfId="4216" priority="2268" operator="equal">
      <formula>5</formula>
    </cfRule>
    <cfRule type="cellIs" dxfId="4215" priority="2269" operator="equal">
      <formula>4.5</formula>
    </cfRule>
    <cfRule type="cellIs" dxfId="4214" priority="2270" operator="equal">
      <formula>4</formula>
    </cfRule>
    <cfRule type="cellIs" dxfId="4213" priority="2271" operator="equal">
      <formula>3.5</formula>
    </cfRule>
    <cfRule type="cellIs" dxfId="4212" priority="2272" operator="equal">
      <formula>3</formula>
    </cfRule>
    <cfRule type="cellIs" dxfId="4211" priority="2273" operator="equal">
      <formula>2.5</formula>
    </cfRule>
    <cfRule type="cellIs" dxfId="4210" priority="2274" operator="equal">
      <formula>2</formula>
    </cfRule>
    <cfRule type="cellIs" dxfId="4209" priority="2275" operator="equal">
      <formula>1.5</formula>
    </cfRule>
    <cfRule type="cellIs" dxfId="4208" priority="2276" operator="equal">
      <formula>1</formula>
    </cfRule>
  </conditionalFormatting>
  <conditionalFormatting sqref="H56">
    <cfRule type="cellIs" dxfId="4207" priority="2251" operator="greaterThan">
      <formula>6.6</formula>
    </cfRule>
    <cfRule type="cellIs" dxfId="4206" priority="2252" operator="equal">
      <formula>6.5</formula>
    </cfRule>
    <cfRule type="cellIs" dxfId="4205" priority="2253" operator="equal">
      <formula>6</formula>
    </cfRule>
    <cfRule type="cellIs" dxfId="4204" priority="2254" operator="equal">
      <formula>5.5</formula>
    </cfRule>
    <cfRule type="cellIs" dxfId="4203" priority="2255" operator="equal">
      <formula>5</formula>
    </cfRule>
    <cfRule type="cellIs" dxfId="4202" priority="2256" operator="equal">
      <formula>4.5</formula>
    </cfRule>
    <cfRule type="cellIs" dxfId="4201" priority="2257" operator="equal">
      <formula>4</formula>
    </cfRule>
    <cfRule type="cellIs" dxfId="4200" priority="2258" operator="equal">
      <formula>3.5</formula>
    </cfRule>
    <cfRule type="cellIs" dxfId="4199" priority="2259" operator="equal">
      <formula>3</formula>
    </cfRule>
    <cfRule type="cellIs" dxfId="4198" priority="2260" operator="equal">
      <formula>2.5</formula>
    </cfRule>
    <cfRule type="cellIs" dxfId="4197" priority="2261" operator="equal">
      <formula>2</formula>
    </cfRule>
    <cfRule type="cellIs" dxfId="4196" priority="2262" operator="equal">
      <formula>1.5</formula>
    </cfRule>
    <cfRule type="cellIs" dxfId="4195" priority="2263" operator="equal">
      <formula>1</formula>
    </cfRule>
  </conditionalFormatting>
  <conditionalFormatting sqref="J56">
    <cfRule type="cellIs" dxfId="4194" priority="2238" operator="greaterThan">
      <formula>6.6</formula>
    </cfRule>
    <cfRule type="cellIs" dxfId="4193" priority="2239" operator="equal">
      <formula>6.5</formula>
    </cfRule>
    <cfRule type="cellIs" dxfId="4192" priority="2240" operator="equal">
      <formula>6</formula>
    </cfRule>
    <cfRule type="cellIs" dxfId="4191" priority="2241" operator="equal">
      <formula>5.5</formula>
    </cfRule>
    <cfRule type="cellIs" dxfId="4190" priority="2242" operator="equal">
      <formula>5</formula>
    </cfRule>
    <cfRule type="cellIs" dxfId="4189" priority="2243" operator="equal">
      <formula>4.5</formula>
    </cfRule>
    <cfRule type="cellIs" dxfId="4188" priority="2244" operator="equal">
      <formula>4</formula>
    </cfRule>
    <cfRule type="cellIs" dxfId="4187" priority="2245" operator="equal">
      <formula>3.5</formula>
    </cfRule>
    <cfRule type="cellIs" dxfId="4186" priority="2246" operator="equal">
      <formula>3</formula>
    </cfRule>
    <cfRule type="cellIs" dxfId="4185" priority="2247" operator="equal">
      <formula>2.5</formula>
    </cfRule>
    <cfRule type="cellIs" dxfId="4184" priority="2248" operator="equal">
      <formula>2</formula>
    </cfRule>
    <cfRule type="cellIs" dxfId="4183" priority="2249" operator="equal">
      <formula>1.5</formula>
    </cfRule>
    <cfRule type="cellIs" dxfId="4182" priority="2250" operator="equal">
      <formula>1</formula>
    </cfRule>
  </conditionalFormatting>
  <conditionalFormatting sqref="L56">
    <cfRule type="cellIs" dxfId="4181" priority="2225" operator="greaterThan">
      <formula>6.6</formula>
    </cfRule>
    <cfRule type="cellIs" dxfId="4180" priority="2226" operator="equal">
      <formula>6.5</formula>
    </cfRule>
    <cfRule type="cellIs" dxfId="4179" priority="2227" operator="equal">
      <formula>6</formula>
    </cfRule>
    <cfRule type="cellIs" dxfId="4178" priority="2228" operator="equal">
      <formula>5.5</formula>
    </cfRule>
    <cfRule type="cellIs" dxfId="4177" priority="2229" operator="equal">
      <formula>5</formula>
    </cfRule>
    <cfRule type="cellIs" dxfId="4176" priority="2230" operator="equal">
      <formula>4.5</formula>
    </cfRule>
    <cfRule type="cellIs" dxfId="4175" priority="2231" operator="equal">
      <formula>4</formula>
    </cfRule>
    <cfRule type="cellIs" dxfId="4174" priority="2232" operator="equal">
      <formula>3.5</formula>
    </cfRule>
    <cfRule type="cellIs" dxfId="4173" priority="2233" operator="equal">
      <formula>3</formula>
    </cfRule>
    <cfRule type="cellIs" dxfId="4172" priority="2234" operator="equal">
      <formula>2.5</formula>
    </cfRule>
    <cfRule type="cellIs" dxfId="4171" priority="2235" operator="equal">
      <formula>2</formula>
    </cfRule>
    <cfRule type="cellIs" dxfId="4170" priority="2236" operator="equal">
      <formula>1.5</formula>
    </cfRule>
    <cfRule type="cellIs" dxfId="4169" priority="2237" operator="equal">
      <formula>1</formula>
    </cfRule>
  </conditionalFormatting>
  <conditionalFormatting sqref="N56">
    <cfRule type="cellIs" dxfId="4168" priority="2212" operator="greaterThan">
      <formula>6.6</formula>
    </cfRule>
    <cfRule type="cellIs" dxfId="4167" priority="2213" operator="equal">
      <formula>6.5</formula>
    </cfRule>
    <cfRule type="cellIs" dxfId="4166" priority="2214" operator="equal">
      <formula>6</formula>
    </cfRule>
    <cfRule type="cellIs" dxfId="4165" priority="2215" operator="equal">
      <formula>5.5</formula>
    </cfRule>
    <cfRule type="cellIs" dxfId="4164" priority="2216" operator="equal">
      <formula>5</formula>
    </cfRule>
    <cfRule type="cellIs" dxfId="4163" priority="2217" operator="equal">
      <formula>4.5</formula>
    </cfRule>
    <cfRule type="cellIs" dxfId="4162" priority="2218" operator="equal">
      <formula>4</formula>
    </cfRule>
    <cfRule type="cellIs" dxfId="4161" priority="2219" operator="equal">
      <formula>3.5</formula>
    </cfRule>
    <cfRule type="cellIs" dxfId="4160" priority="2220" operator="equal">
      <formula>3</formula>
    </cfRule>
    <cfRule type="cellIs" dxfId="4159" priority="2221" operator="equal">
      <formula>2.5</formula>
    </cfRule>
    <cfRule type="cellIs" dxfId="4158" priority="2222" operator="equal">
      <formula>2</formula>
    </cfRule>
    <cfRule type="cellIs" dxfId="4157" priority="2223" operator="equal">
      <formula>1.5</formula>
    </cfRule>
    <cfRule type="cellIs" dxfId="4156" priority="2224" operator="equal">
      <formula>1</formula>
    </cfRule>
  </conditionalFormatting>
  <conditionalFormatting sqref="P56">
    <cfRule type="cellIs" dxfId="4155" priority="2199" operator="greaterThan">
      <formula>6.6</formula>
    </cfRule>
    <cfRule type="cellIs" dxfId="4154" priority="2200" operator="equal">
      <formula>6.5</formula>
    </cfRule>
    <cfRule type="cellIs" dxfId="4153" priority="2201" operator="equal">
      <formula>6</formula>
    </cfRule>
    <cfRule type="cellIs" dxfId="4152" priority="2202" operator="equal">
      <formula>5.5</formula>
    </cfRule>
    <cfRule type="cellIs" dxfId="4151" priority="2203" operator="equal">
      <formula>5</formula>
    </cfRule>
    <cfRule type="cellIs" dxfId="4150" priority="2204" operator="equal">
      <formula>4.5</formula>
    </cfRule>
    <cfRule type="cellIs" dxfId="4149" priority="2205" operator="equal">
      <formula>4</formula>
    </cfRule>
    <cfRule type="cellIs" dxfId="4148" priority="2206" operator="equal">
      <formula>3.5</formula>
    </cfRule>
    <cfRule type="cellIs" dxfId="4147" priority="2207" operator="equal">
      <formula>3</formula>
    </cfRule>
    <cfRule type="cellIs" dxfId="4146" priority="2208" operator="equal">
      <formula>2.5</formula>
    </cfRule>
    <cfRule type="cellIs" dxfId="4145" priority="2209" operator="equal">
      <formula>2</formula>
    </cfRule>
    <cfRule type="cellIs" dxfId="4144" priority="2210" operator="equal">
      <formula>1.5</formula>
    </cfRule>
    <cfRule type="cellIs" dxfId="4143" priority="2211" operator="equal">
      <formula>1</formula>
    </cfRule>
  </conditionalFormatting>
  <conditionalFormatting sqref="R56">
    <cfRule type="cellIs" dxfId="4142" priority="2186" operator="greaterThan">
      <formula>6.6</formula>
    </cfRule>
    <cfRule type="cellIs" dxfId="4141" priority="2187" operator="equal">
      <formula>6.5</formula>
    </cfRule>
    <cfRule type="cellIs" dxfId="4140" priority="2188" operator="equal">
      <formula>6</formula>
    </cfRule>
    <cfRule type="cellIs" dxfId="4139" priority="2189" operator="equal">
      <formula>5.5</formula>
    </cfRule>
    <cfRule type="cellIs" dxfId="4138" priority="2190" operator="equal">
      <formula>5</formula>
    </cfRule>
    <cfRule type="cellIs" dxfId="4137" priority="2191" operator="equal">
      <formula>4.5</formula>
    </cfRule>
    <cfRule type="cellIs" dxfId="4136" priority="2192" operator="equal">
      <formula>4</formula>
    </cfRule>
    <cfRule type="cellIs" dxfId="4135" priority="2193" operator="equal">
      <formula>3.5</formula>
    </cfRule>
    <cfRule type="cellIs" dxfId="4134" priority="2194" operator="equal">
      <formula>3</formula>
    </cfRule>
    <cfRule type="cellIs" dxfId="4133" priority="2195" operator="equal">
      <formula>2.5</formula>
    </cfRule>
    <cfRule type="cellIs" dxfId="4132" priority="2196" operator="equal">
      <formula>2</formula>
    </cfRule>
    <cfRule type="cellIs" dxfId="4131" priority="2197" operator="equal">
      <formula>1.5</formula>
    </cfRule>
    <cfRule type="cellIs" dxfId="4130" priority="2198" operator="equal">
      <formula>1</formula>
    </cfRule>
  </conditionalFormatting>
  <conditionalFormatting sqref="T56">
    <cfRule type="cellIs" dxfId="4129" priority="2173" operator="greaterThan">
      <formula>6.6</formula>
    </cfRule>
    <cfRule type="cellIs" dxfId="4128" priority="2174" operator="equal">
      <formula>6.5</formula>
    </cfRule>
    <cfRule type="cellIs" dxfId="4127" priority="2175" operator="equal">
      <formula>6</formula>
    </cfRule>
    <cfRule type="cellIs" dxfId="4126" priority="2176" operator="equal">
      <formula>5.5</formula>
    </cfRule>
    <cfRule type="cellIs" dxfId="4125" priority="2177" operator="equal">
      <formula>5</formula>
    </cfRule>
    <cfRule type="cellIs" dxfId="4124" priority="2178" operator="equal">
      <formula>4.5</formula>
    </cfRule>
    <cfRule type="cellIs" dxfId="4123" priority="2179" operator="equal">
      <formula>4</formula>
    </cfRule>
    <cfRule type="cellIs" dxfId="4122" priority="2180" operator="equal">
      <formula>3.5</formula>
    </cfRule>
    <cfRule type="cellIs" dxfId="4121" priority="2181" operator="equal">
      <formula>3</formula>
    </cfRule>
    <cfRule type="cellIs" dxfId="4120" priority="2182" operator="equal">
      <formula>2.5</formula>
    </cfRule>
    <cfRule type="cellIs" dxfId="4119" priority="2183" operator="equal">
      <formula>2</formula>
    </cfRule>
    <cfRule type="cellIs" dxfId="4118" priority="2184" operator="equal">
      <formula>1.5</formula>
    </cfRule>
    <cfRule type="cellIs" dxfId="4117" priority="2185" operator="equal">
      <formula>1</formula>
    </cfRule>
  </conditionalFormatting>
  <conditionalFormatting sqref="V56">
    <cfRule type="cellIs" dxfId="4116" priority="2160" operator="greaterThan">
      <formula>6.6</formula>
    </cfRule>
    <cfRule type="cellIs" dxfId="4115" priority="2161" operator="equal">
      <formula>6.5</formula>
    </cfRule>
    <cfRule type="cellIs" dxfId="4114" priority="2162" operator="equal">
      <formula>6</formula>
    </cfRule>
    <cfRule type="cellIs" dxfId="4113" priority="2163" operator="equal">
      <formula>5.5</formula>
    </cfRule>
    <cfRule type="cellIs" dxfId="4112" priority="2164" operator="equal">
      <formula>5</formula>
    </cfRule>
    <cfRule type="cellIs" dxfId="4111" priority="2165" operator="equal">
      <formula>4.5</formula>
    </cfRule>
    <cfRule type="cellIs" dxfId="4110" priority="2166" operator="equal">
      <formula>4</formula>
    </cfRule>
    <cfRule type="cellIs" dxfId="4109" priority="2167" operator="equal">
      <formula>3.5</formula>
    </cfRule>
    <cfRule type="cellIs" dxfId="4108" priority="2168" operator="equal">
      <formula>3</formula>
    </cfRule>
    <cfRule type="cellIs" dxfId="4107" priority="2169" operator="equal">
      <formula>2.5</formula>
    </cfRule>
    <cfRule type="cellIs" dxfId="4106" priority="2170" operator="equal">
      <formula>2</formula>
    </cfRule>
    <cfRule type="cellIs" dxfId="4105" priority="2171" operator="equal">
      <formula>1.5</formula>
    </cfRule>
    <cfRule type="cellIs" dxfId="4104" priority="2172" operator="equal">
      <formula>1</formula>
    </cfRule>
  </conditionalFormatting>
  <conditionalFormatting sqref="F59">
    <cfRule type="cellIs" dxfId="4103" priority="2147" operator="greaterThan">
      <formula>6.6</formula>
    </cfRule>
    <cfRule type="cellIs" dxfId="4102" priority="2148" operator="equal">
      <formula>6.5</formula>
    </cfRule>
    <cfRule type="cellIs" dxfId="4101" priority="2149" operator="equal">
      <formula>6</formula>
    </cfRule>
    <cfRule type="cellIs" dxfId="4100" priority="2150" operator="equal">
      <formula>5.5</formula>
    </cfRule>
    <cfRule type="cellIs" dxfId="4099" priority="2151" operator="equal">
      <formula>5</formula>
    </cfRule>
    <cfRule type="cellIs" dxfId="4098" priority="2152" operator="equal">
      <formula>4.5</formula>
    </cfRule>
    <cfRule type="cellIs" dxfId="4097" priority="2153" operator="equal">
      <formula>4</formula>
    </cfRule>
    <cfRule type="cellIs" dxfId="4096" priority="2154" operator="equal">
      <formula>3.5</formula>
    </cfRule>
    <cfRule type="cellIs" dxfId="4095" priority="2155" operator="equal">
      <formula>3</formula>
    </cfRule>
    <cfRule type="cellIs" dxfId="4094" priority="2156" operator="equal">
      <formula>2.5</formula>
    </cfRule>
    <cfRule type="cellIs" dxfId="4093" priority="2157" operator="equal">
      <formula>2</formula>
    </cfRule>
    <cfRule type="cellIs" dxfId="4092" priority="2158" operator="equal">
      <formula>1.5</formula>
    </cfRule>
    <cfRule type="cellIs" dxfId="4091" priority="2159" operator="equal">
      <formula>1</formula>
    </cfRule>
  </conditionalFormatting>
  <conditionalFormatting sqref="H59">
    <cfRule type="cellIs" dxfId="4090" priority="2134" operator="greaterThan">
      <formula>6.6</formula>
    </cfRule>
    <cfRule type="cellIs" dxfId="4089" priority="2135" operator="equal">
      <formula>6.5</formula>
    </cfRule>
    <cfRule type="cellIs" dxfId="4088" priority="2136" operator="equal">
      <formula>6</formula>
    </cfRule>
    <cfRule type="cellIs" dxfId="4087" priority="2137" operator="equal">
      <formula>5.5</formula>
    </cfRule>
    <cfRule type="cellIs" dxfId="4086" priority="2138" operator="equal">
      <formula>5</formula>
    </cfRule>
    <cfRule type="cellIs" dxfId="4085" priority="2139" operator="equal">
      <formula>4.5</formula>
    </cfRule>
    <cfRule type="cellIs" dxfId="4084" priority="2140" operator="equal">
      <formula>4</formula>
    </cfRule>
    <cfRule type="cellIs" dxfId="4083" priority="2141" operator="equal">
      <formula>3.5</formula>
    </cfRule>
    <cfRule type="cellIs" dxfId="4082" priority="2142" operator="equal">
      <formula>3</formula>
    </cfRule>
    <cfRule type="cellIs" dxfId="4081" priority="2143" operator="equal">
      <formula>2.5</formula>
    </cfRule>
    <cfRule type="cellIs" dxfId="4080" priority="2144" operator="equal">
      <formula>2</formula>
    </cfRule>
    <cfRule type="cellIs" dxfId="4079" priority="2145" operator="equal">
      <formula>1.5</formula>
    </cfRule>
    <cfRule type="cellIs" dxfId="4078" priority="2146" operator="equal">
      <formula>1</formula>
    </cfRule>
  </conditionalFormatting>
  <conditionalFormatting sqref="J59">
    <cfRule type="cellIs" dxfId="4077" priority="2121" operator="greaterThan">
      <formula>6.6</formula>
    </cfRule>
    <cfRule type="cellIs" dxfId="4076" priority="2122" operator="equal">
      <formula>6.5</formula>
    </cfRule>
    <cfRule type="cellIs" dxfId="4075" priority="2123" operator="equal">
      <formula>6</formula>
    </cfRule>
    <cfRule type="cellIs" dxfId="4074" priority="2124" operator="equal">
      <formula>5.5</formula>
    </cfRule>
    <cfRule type="cellIs" dxfId="4073" priority="2125" operator="equal">
      <formula>5</formula>
    </cfRule>
    <cfRule type="cellIs" dxfId="4072" priority="2126" operator="equal">
      <formula>4.5</formula>
    </cfRule>
    <cfRule type="cellIs" dxfId="4071" priority="2127" operator="equal">
      <formula>4</formula>
    </cfRule>
    <cfRule type="cellIs" dxfId="4070" priority="2128" operator="equal">
      <formula>3.5</formula>
    </cfRule>
    <cfRule type="cellIs" dxfId="4069" priority="2129" operator="equal">
      <formula>3</formula>
    </cfRule>
    <cfRule type="cellIs" dxfId="4068" priority="2130" operator="equal">
      <formula>2.5</formula>
    </cfRule>
    <cfRule type="cellIs" dxfId="4067" priority="2131" operator="equal">
      <formula>2</formula>
    </cfRule>
    <cfRule type="cellIs" dxfId="4066" priority="2132" operator="equal">
      <formula>1.5</formula>
    </cfRule>
    <cfRule type="cellIs" dxfId="4065" priority="2133" operator="equal">
      <formula>1</formula>
    </cfRule>
  </conditionalFormatting>
  <conditionalFormatting sqref="L59">
    <cfRule type="cellIs" dxfId="4064" priority="2108" operator="greaterThan">
      <formula>6.6</formula>
    </cfRule>
    <cfRule type="cellIs" dxfId="4063" priority="2109" operator="equal">
      <formula>6.5</formula>
    </cfRule>
    <cfRule type="cellIs" dxfId="4062" priority="2110" operator="equal">
      <formula>6</formula>
    </cfRule>
    <cfRule type="cellIs" dxfId="4061" priority="2111" operator="equal">
      <formula>5.5</formula>
    </cfRule>
    <cfRule type="cellIs" dxfId="4060" priority="2112" operator="equal">
      <formula>5</formula>
    </cfRule>
    <cfRule type="cellIs" dxfId="4059" priority="2113" operator="equal">
      <formula>4.5</formula>
    </cfRule>
    <cfRule type="cellIs" dxfId="4058" priority="2114" operator="equal">
      <formula>4</formula>
    </cfRule>
    <cfRule type="cellIs" dxfId="4057" priority="2115" operator="equal">
      <formula>3.5</formula>
    </cfRule>
    <cfRule type="cellIs" dxfId="4056" priority="2116" operator="equal">
      <formula>3</formula>
    </cfRule>
    <cfRule type="cellIs" dxfId="4055" priority="2117" operator="equal">
      <formula>2.5</formula>
    </cfRule>
    <cfRule type="cellIs" dxfId="4054" priority="2118" operator="equal">
      <formula>2</formula>
    </cfRule>
    <cfRule type="cellIs" dxfId="4053" priority="2119" operator="equal">
      <formula>1.5</formula>
    </cfRule>
    <cfRule type="cellIs" dxfId="4052" priority="2120" operator="equal">
      <formula>1</formula>
    </cfRule>
  </conditionalFormatting>
  <conditionalFormatting sqref="N59">
    <cfRule type="cellIs" dxfId="4051" priority="2095" operator="greaterThan">
      <formula>6.6</formula>
    </cfRule>
    <cfRule type="cellIs" dxfId="4050" priority="2096" operator="equal">
      <formula>6.5</formula>
    </cfRule>
    <cfRule type="cellIs" dxfId="4049" priority="2097" operator="equal">
      <formula>6</formula>
    </cfRule>
    <cfRule type="cellIs" dxfId="4048" priority="2098" operator="equal">
      <formula>5.5</formula>
    </cfRule>
    <cfRule type="cellIs" dxfId="4047" priority="2099" operator="equal">
      <formula>5</formula>
    </cfRule>
    <cfRule type="cellIs" dxfId="4046" priority="2100" operator="equal">
      <formula>4.5</formula>
    </cfRule>
    <cfRule type="cellIs" dxfId="4045" priority="2101" operator="equal">
      <formula>4</formula>
    </cfRule>
    <cfRule type="cellIs" dxfId="4044" priority="2102" operator="equal">
      <formula>3.5</formula>
    </cfRule>
    <cfRule type="cellIs" dxfId="4043" priority="2103" operator="equal">
      <formula>3</formula>
    </cfRule>
    <cfRule type="cellIs" dxfId="4042" priority="2104" operator="equal">
      <formula>2.5</formula>
    </cfRule>
    <cfRule type="cellIs" dxfId="4041" priority="2105" operator="equal">
      <formula>2</formula>
    </cfRule>
    <cfRule type="cellIs" dxfId="4040" priority="2106" operator="equal">
      <formula>1.5</formula>
    </cfRule>
    <cfRule type="cellIs" dxfId="4039" priority="2107" operator="equal">
      <formula>1</formula>
    </cfRule>
  </conditionalFormatting>
  <conditionalFormatting sqref="P59">
    <cfRule type="cellIs" dxfId="4038" priority="2082" operator="greaterThan">
      <formula>6.6</formula>
    </cfRule>
    <cfRule type="cellIs" dxfId="4037" priority="2083" operator="equal">
      <formula>6.5</formula>
    </cfRule>
    <cfRule type="cellIs" dxfId="4036" priority="2084" operator="equal">
      <formula>6</formula>
    </cfRule>
    <cfRule type="cellIs" dxfId="4035" priority="2085" operator="equal">
      <formula>5.5</formula>
    </cfRule>
    <cfRule type="cellIs" dxfId="4034" priority="2086" operator="equal">
      <formula>5</formula>
    </cfRule>
    <cfRule type="cellIs" dxfId="4033" priority="2087" operator="equal">
      <formula>4.5</formula>
    </cfRule>
    <cfRule type="cellIs" dxfId="4032" priority="2088" operator="equal">
      <formula>4</formula>
    </cfRule>
    <cfRule type="cellIs" dxfId="4031" priority="2089" operator="equal">
      <formula>3.5</formula>
    </cfRule>
    <cfRule type="cellIs" dxfId="4030" priority="2090" operator="equal">
      <formula>3</formula>
    </cfRule>
    <cfRule type="cellIs" dxfId="4029" priority="2091" operator="equal">
      <formula>2.5</formula>
    </cfRule>
    <cfRule type="cellIs" dxfId="4028" priority="2092" operator="equal">
      <formula>2</formula>
    </cfRule>
    <cfRule type="cellIs" dxfId="4027" priority="2093" operator="equal">
      <formula>1.5</formula>
    </cfRule>
    <cfRule type="cellIs" dxfId="4026" priority="2094" operator="equal">
      <formula>1</formula>
    </cfRule>
  </conditionalFormatting>
  <conditionalFormatting sqref="R59">
    <cfRule type="cellIs" dxfId="4025" priority="2069" operator="greaterThan">
      <formula>6.6</formula>
    </cfRule>
    <cfRule type="cellIs" dxfId="4024" priority="2070" operator="equal">
      <formula>6.5</formula>
    </cfRule>
    <cfRule type="cellIs" dxfId="4023" priority="2071" operator="equal">
      <formula>6</formula>
    </cfRule>
    <cfRule type="cellIs" dxfId="4022" priority="2072" operator="equal">
      <formula>5.5</formula>
    </cfRule>
    <cfRule type="cellIs" dxfId="4021" priority="2073" operator="equal">
      <formula>5</formula>
    </cfRule>
    <cfRule type="cellIs" dxfId="4020" priority="2074" operator="equal">
      <formula>4.5</formula>
    </cfRule>
    <cfRule type="cellIs" dxfId="4019" priority="2075" operator="equal">
      <formula>4</formula>
    </cfRule>
    <cfRule type="cellIs" dxfId="4018" priority="2076" operator="equal">
      <formula>3.5</formula>
    </cfRule>
    <cfRule type="cellIs" dxfId="4017" priority="2077" operator="equal">
      <formula>3</formula>
    </cfRule>
    <cfRule type="cellIs" dxfId="4016" priority="2078" operator="equal">
      <formula>2.5</formula>
    </cfRule>
    <cfRule type="cellIs" dxfId="4015" priority="2079" operator="equal">
      <formula>2</formula>
    </cfRule>
    <cfRule type="cellIs" dxfId="4014" priority="2080" operator="equal">
      <formula>1.5</formula>
    </cfRule>
    <cfRule type="cellIs" dxfId="4013" priority="2081" operator="equal">
      <formula>1</formula>
    </cfRule>
  </conditionalFormatting>
  <conditionalFormatting sqref="T59">
    <cfRule type="cellIs" dxfId="4012" priority="2056" operator="greaterThan">
      <formula>6.6</formula>
    </cfRule>
    <cfRule type="cellIs" dxfId="4011" priority="2057" operator="equal">
      <formula>6.5</formula>
    </cfRule>
    <cfRule type="cellIs" dxfId="4010" priority="2058" operator="equal">
      <formula>6</formula>
    </cfRule>
    <cfRule type="cellIs" dxfId="4009" priority="2059" operator="equal">
      <formula>5.5</formula>
    </cfRule>
    <cfRule type="cellIs" dxfId="4008" priority="2060" operator="equal">
      <formula>5</formula>
    </cfRule>
    <cfRule type="cellIs" dxfId="4007" priority="2061" operator="equal">
      <formula>4.5</formula>
    </cfRule>
    <cfRule type="cellIs" dxfId="4006" priority="2062" operator="equal">
      <formula>4</formula>
    </cfRule>
    <cfRule type="cellIs" dxfId="4005" priority="2063" operator="equal">
      <formula>3.5</formula>
    </cfRule>
    <cfRule type="cellIs" dxfId="4004" priority="2064" operator="equal">
      <formula>3</formula>
    </cfRule>
    <cfRule type="cellIs" dxfId="4003" priority="2065" operator="equal">
      <formula>2.5</formula>
    </cfRule>
    <cfRule type="cellIs" dxfId="4002" priority="2066" operator="equal">
      <formula>2</formula>
    </cfRule>
    <cfRule type="cellIs" dxfId="4001" priority="2067" operator="equal">
      <formula>1.5</formula>
    </cfRule>
    <cfRule type="cellIs" dxfId="4000" priority="2068" operator="equal">
      <formula>1</formula>
    </cfRule>
  </conditionalFormatting>
  <conditionalFormatting sqref="V59">
    <cfRule type="cellIs" dxfId="3999" priority="2043" operator="greaterThan">
      <formula>6.6</formula>
    </cfRule>
    <cfRule type="cellIs" dxfId="3998" priority="2044" operator="equal">
      <formula>6.5</formula>
    </cfRule>
    <cfRule type="cellIs" dxfId="3997" priority="2045" operator="equal">
      <formula>6</formula>
    </cfRule>
    <cfRule type="cellIs" dxfId="3996" priority="2046" operator="equal">
      <formula>5.5</formula>
    </cfRule>
    <cfRule type="cellIs" dxfId="3995" priority="2047" operator="equal">
      <formula>5</formula>
    </cfRule>
    <cfRule type="cellIs" dxfId="3994" priority="2048" operator="equal">
      <formula>4.5</formula>
    </cfRule>
    <cfRule type="cellIs" dxfId="3993" priority="2049" operator="equal">
      <formula>4</formula>
    </cfRule>
    <cfRule type="cellIs" dxfId="3992" priority="2050" operator="equal">
      <formula>3.5</formula>
    </cfRule>
    <cfRule type="cellIs" dxfId="3991" priority="2051" operator="equal">
      <formula>3</formula>
    </cfRule>
    <cfRule type="cellIs" dxfId="3990" priority="2052" operator="equal">
      <formula>2.5</formula>
    </cfRule>
    <cfRule type="cellIs" dxfId="3989" priority="2053" operator="equal">
      <formula>2</formula>
    </cfRule>
    <cfRule type="cellIs" dxfId="3988" priority="2054" operator="equal">
      <formula>1.5</formula>
    </cfRule>
    <cfRule type="cellIs" dxfId="3987" priority="2055" operator="equal">
      <formula>1</formula>
    </cfRule>
  </conditionalFormatting>
  <conditionalFormatting sqref="F68">
    <cfRule type="cellIs" dxfId="3986" priority="1692" operator="greaterThan">
      <formula>6.6</formula>
    </cfRule>
    <cfRule type="cellIs" dxfId="3985" priority="1693" operator="equal">
      <formula>6.5</formula>
    </cfRule>
    <cfRule type="cellIs" dxfId="3984" priority="1694" operator="equal">
      <formula>6</formula>
    </cfRule>
    <cfRule type="cellIs" dxfId="3983" priority="1695" operator="equal">
      <formula>5.5</formula>
    </cfRule>
    <cfRule type="cellIs" dxfId="3982" priority="1696" operator="equal">
      <formula>5</formula>
    </cfRule>
    <cfRule type="cellIs" dxfId="3981" priority="1697" operator="equal">
      <formula>4.5</formula>
    </cfRule>
    <cfRule type="cellIs" dxfId="3980" priority="1698" operator="equal">
      <formula>4</formula>
    </cfRule>
    <cfRule type="cellIs" dxfId="3979" priority="1699" operator="equal">
      <formula>3.5</formula>
    </cfRule>
    <cfRule type="cellIs" dxfId="3978" priority="1700" operator="equal">
      <formula>3</formula>
    </cfRule>
    <cfRule type="cellIs" dxfId="3977" priority="1701" operator="equal">
      <formula>2.5</formula>
    </cfRule>
    <cfRule type="cellIs" dxfId="3976" priority="1702" operator="equal">
      <formula>2</formula>
    </cfRule>
    <cfRule type="cellIs" dxfId="3975" priority="1703" operator="equal">
      <formula>1.5</formula>
    </cfRule>
    <cfRule type="cellIs" dxfId="3974" priority="1704" operator="equal">
      <formula>1</formula>
    </cfRule>
  </conditionalFormatting>
  <conditionalFormatting sqref="J77">
    <cfRule type="cellIs" dxfId="3973" priority="1458" operator="greaterThan">
      <formula>6.6</formula>
    </cfRule>
    <cfRule type="cellIs" dxfId="3972" priority="1459" operator="equal">
      <formula>6.5</formula>
    </cfRule>
    <cfRule type="cellIs" dxfId="3971" priority="1460" operator="equal">
      <formula>6</formula>
    </cfRule>
    <cfRule type="cellIs" dxfId="3970" priority="1461" operator="equal">
      <formula>5.5</formula>
    </cfRule>
    <cfRule type="cellIs" dxfId="3969" priority="1462" operator="equal">
      <formula>5</formula>
    </cfRule>
    <cfRule type="cellIs" dxfId="3968" priority="1463" operator="equal">
      <formula>4.5</formula>
    </cfRule>
    <cfRule type="cellIs" dxfId="3967" priority="1464" operator="equal">
      <formula>4</formula>
    </cfRule>
    <cfRule type="cellIs" dxfId="3966" priority="1465" operator="equal">
      <formula>3.5</formula>
    </cfRule>
    <cfRule type="cellIs" dxfId="3965" priority="1466" operator="equal">
      <formula>3</formula>
    </cfRule>
    <cfRule type="cellIs" dxfId="3964" priority="1467" operator="equal">
      <formula>2.5</formula>
    </cfRule>
    <cfRule type="cellIs" dxfId="3963" priority="1468" operator="equal">
      <formula>2</formula>
    </cfRule>
    <cfRule type="cellIs" dxfId="3962" priority="1469" operator="equal">
      <formula>1.5</formula>
    </cfRule>
    <cfRule type="cellIs" dxfId="3961" priority="1470" operator="equal">
      <formula>1</formula>
    </cfRule>
  </conditionalFormatting>
  <conditionalFormatting sqref="H68">
    <cfRule type="cellIs" dxfId="3960" priority="1679" operator="greaterThan">
      <formula>6.6</formula>
    </cfRule>
    <cfRule type="cellIs" dxfId="3959" priority="1680" operator="equal">
      <formula>6.5</formula>
    </cfRule>
    <cfRule type="cellIs" dxfId="3958" priority="1681" operator="equal">
      <formula>6</formula>
    </cfRule>
    <cfRule type="cellIs" dxfId="3957" priority="1682" operator="equal">
      <formula>5.5</formula>
    </cfRule>
    <cfRule type="cellIs" dxfId="3956" priority="1683" operator="equal">
      <formula>5</formula>
    </cfRule>
    <cfRule type="cellIs" dxfId="3955" priority="1684" operator="equal">
      <formula>4.5</formula>
    </cfRule>
    <cfRule type="cellIs" dxfId="3954" priority="1685" operator="equal">
      <formula>4</formula>
    </cfRule>
    <cfRule type="cellIs" dxfId="3953" priority="1686" operator="equal">
      <formula>3.5</formula>
    </cfRule>
    <cfRule type="cellIs" dxfId="3952" priority="1687" operator="equal">
      <formula>3</formula>
    </cfRule>
    <cfRule type="cellIs" dxfId="3951" priority="1688" operator="equal">
      <formula>2.5</formula>
    </cfRule>
    <cfRule type="cellIs" dxfId="3950" priority="1689" operator="equal">
      <formula>2</formula>
    </cfRule>
    <cfRule type="cellIs" dxfId="3949" priority="1690" operator="equal">
      <formula>1.5</formula>
    </cfRule>
    <cfRule type="cellIs" dxfId="3948" priority="1691" operator="equal">
      <formula>1</formula>
    </cfRule>
  </conditionalFormatting>
  <conditionalFormatting sqref="J68">
    <cfRule type="cellIs" dxfId="3947" priority="1666" operator="greaterThan">
      <formula>6.6</formula>
    </cfRule>
    <cfRule type="cellIs" dxfId="3946" priority="1667" operator="equal">
      <formula>6.5</formula>
    </cfRule>
    <cfRule type="cellIs" dxfId="3945" priority="1668" operator="equal">
      <formula>6</formula>
    </cfRule>
    <cfRule type="cellIs" dxfId="3944" priority="1669" operator="equal">
      <formula>5.5</formula>
    </cfRule>
    <cfRule type="cellIs" dxfId="3943" priority="1670" operator="equal">
      <formula>5</formula>
    </cfRule>
    <cfRule type="cellIs" dxfId="3942" priority="1671" operator="equal">
      <formula>4.5</formula>
    </cfRule>
    <cfRule type="cellIs" dxfId="3941" priority="1672" operator="equal">
      <formula>4</formula>
    </cfRule>
    <cfRule type="cellIs" dxfId="3940" priority="1673" operator="equal">
      <formula>3.5</formula>
    </cfRule>
    <cfRule type="cellIs" dxfId="3939" priority="1674" operator="equal">
      <formula>3</formula>
    </cfRule>
    <cfRule type="cellIs" dxfId="3938" priority="1675" operator="equal">
      <formula>2.5</formula>
    </cfRule>
    <cfRule type="cellIs" dxfId="3937" priority="1676" operator="equal">
      <formula>2</formula>
    </cfRule>
    <cfRule type="cellIs" dxfId="3936" priority="1677" operator="equal">
      <formula>1.5</formula>
    </cfRule>
    <cfRule type="cellIs" dxfId="3935" priority="1678" operator="equal">
      <formula>1</formula>
    </cfRule>
  </conditionalFormatting>
  <conditionalFormatting sqref="L68">
    <cfRule type="cellIs" dxfId="3934" priority="1653" operator="greaterThan">
      <formula>6.6</formula>
    </cfRule>
    <cfRule type="cellIs" dxfId="3933" priority="1654" operator="equal">
      <formula>6.5</formula>
    </cfRule>
    <cfRule type="cellIs" dxfId="3932" priority="1655" operator="equal">
      <formula>6</formula>
    </cfRule>
    <cfRule type="cellIs" dxfId="3931" priority="1656" operator="equal">
      <formula>5.5</formula>
    </cfRule>
    <cfRule type="cellIs" dxfId="3930" priority="1657" operator="equal">
      <formula>5</formula>
    </cfRule>
    <cfRule type="cellIs" dxfId="3929" priority="1658" operator="equal">
      <formula>4.5</formula>
    </cfRule>
    <cfRule type="cellIs" dxfId="3928" priority="1659" operator="equal">
      <formula>4</formula>
    </cfRule>
    <cfRule type="cellIs" dxfId="3927" priority="1660" operator="equal">
      <formula>3.5</formula>
    </cfRule>
    <cfRule type="cellIs" dxfId="3926" priority="1661" operator="equal">
      <formula>3</formula>
    </cfRule>
    <cfRule type="cellIs" dxfId="3925" priority="1662" operator="equal">
      <formula>2.5</formula>
    </cfRule>
    <cfRule type="cellIs" dxfId="3924" priority="1663" operator="equal">
      <formula>2</formula>
    </cfRule>
    <cfRule type="cellIs" dxfId="3923" priority="1664" operator="equal">
      <formula>1.5</formula>
    </cfRule>
    <cfRule type="cellIs" dxfId="3922" priority="1665" operator="equal">
      <formula>1</formula>
    </cfRule>
  </conditionalFormatting>
  <conditionalFormatting sqref="N68">
    <cfRule type="cellIs" dxfId="3921" priority="1640" operator="greaterThan">
      <formula>6.6</formula>
    </cfRule>
    <cfRule type="cellIs" dxfId="3920" priority="1641" operator="equal">
      <formula>6.5</formula>
    </cfRule>
    <cfRule type="cellIs" dxfId="3919" priority="1642" operator="equal">
      <formula>6</formula>
    </cfRule>
    <cfRule type="cellIs" dxfId="3918" priority="1643" operator="equal">
      <formula>5.5</formula>
    </cfRule>
    <cfRule type="cellIs" dxfId="3917" priority="1644" operator="equal">
      <formula>5</formula>
    </cfRule>
    <cfRule type="cellIs" dxfId="3916" priority="1645" operator="equal">
      <formula>4.5</formula>
    </cfRule>
    <cfRule type="cellIs" dxfId="3915" priority="1646" operator="equal">
      <formula>4</formula>
    </cfRule>
    <cfRule type="cellIs" dxfId="3914" priority="1647" operator="equal">
      <formula>3.5</formula>
    </cfRule>
    <cfRule type="cellIs" dxfId="3913" priority="1648" operator="equal">
      <formula>3</formula>
    </cfRule>
    <cfRule type="cellIs" dxfId="3912" priority="1649" operator="equal">
      <formula>2.5</formula>
    </cfRule>
    <cfRule type="cellIs" dxfId="3911" priority="1650" operator="equal">
      <formula>2</formula>
    </cfRule>
    <cfRule type="cellIs" dxfId="3910" priority="1651" operator="equal">
      <formula>1.5</formula>
    </cfRule>
    <cfRule type="cellIs" dxfId="3909" priority="1652" operator="equal">
      <formula>1</formula>
    </cfRule>
  </conditionalFormatting>
  <conditionalFormatting sqref="P68">
    <cfRule type="cellIs" dxfId="3908" priority="1627" operator="greaterThan">
      <formula>6.6</formula>
    </cfRule>
    <cfRule type="cellIs" dxfId="3907" priority="1628" operator="equal">
      <formula>6.5</formula>
    </cfRule>
    <cfRule type="cellIs" dxfId="3906" priority="1629" operator="equal">
      <formula>6</formula>
    </cfRule>
    <cfRule type="cellIs" dxfId="3905" priority="1630" operator="equal">
      <formula>5.5</formula>
    </cfRule>
    <cfRule type="cellIs" dxfId="3904" priority="1631" operator="equal">
      <formula>5</formula>
    </cfRule>
    <cfRule type="cellIs" dxfId="3903" priority="1632" operator="equal">
      <formula>4.5</formula>
    </cfRule>
    <cfRule type="cellIs" dxfId="3902" priority="1633" operator="equal">
      <formula>4</formula>
    </cfRule>
    <cfRule type="cellIs" dxfId="3901" priority="1634" operator="equal">
      <formula>3.5</formula>
    </cfRule>
    <cfRule type="cellIs" dxfId="3900" priority="1635" operator="equal">
      <formula>3</formula>
    </cfRule>
    <cfRule type="cellIs" dxfId="3899" priority="1636" operator="equal">
      <formula>2.5</formula>
    </cfRule>
    <cfRule type="cellIs" dxfId="3898" priority="1637" operator="equal">
      <formula>2</formula>
    </cfRule>
    <cfRule type="cellIs" dxfId="3897" priority="1638" operator="equal">
      <formula>1.5</formula>
    </cfRule>
    <cfRule type="cellIs" dxfId="3896" priority="1639" operator="equal">
      <formula>1</formula>
    </cfRule>
  </conditionalFormatting>
  <conditionalFormatting sqref="R68">
    <cfRule type="cellIs" dxfId="3895" priority="1614" operator="greaterThan">
      <formula>6.6</formula>
    </cfRule>
    <cfRule type="cellIs" dxfId="3894" priority="1615" operator="equal">
      <formula>6.5</formula>
    </cfRule>
    <cfRule type="cellIs" dxfId="3893" priority="1616" operator="equal">
      <formula>6</formula>
    </cfRule>
    <cfRule type="cellIs" dxfId="3892" priority="1617" operator="equal">
      <formula>5.5</formula>
    </cfRule>
    <cfRule type="cellIs" dxfId="3891" priority="1618" operator="equal">
      <formula>5</formula>
    </cfRule>
    <cfRule type="cellIs" dxfId="3890" priority="1619" operator="equal">
      <formula>4.5</formula>
    </cfRule>
    <cfRule type="cellIs" dxfId="3889" priority="1620" operator="equal">
      <formula>4</formula>
    </cfRule>
    <cfRule type="cellIs" dxfId="3888" priority="1621" operator="equal">
      <formula>3.5</formula>
    </cfRule>
    <cfRule type="cellIs" dxfId="3887" priority="1622" operator="equal">
      <formula>3</formula>
    </cfRule>
    <cfRule type="cellIs" dxfId="3886" priority="1623" operator="equal">
      <formula>2.5</formula>
    </cfRule>
    <cfRule type="cellIs" dxfId="3885" priority="1624" operator="equal">
      <formula>2</formula>
    </cfRule>
    <cfRule type="cellIs" dxfId="3884" priority="1625" operator="equal">
      <formula>1.5</formula>
    </cfRule>
    <cfRule type="cellIs" dxfId="3883" priority="1626" operator="equal">
      <formula>1</formula>
    </cfRule>
  </conditionalFormatting>
  <conditionalFormatting sqref="T68">
    <cfRule type="cellIs" dxfId="3882" priority="1601" operator="greaterThan">
      <formula>6.6</formula>
    </cfRule>
    <cfRule type="cellIs" dxfId="3881" priority="1602" operator="equal">
      <formula>6.5</formula>
    </cfRule>
    <cfRule type="cellIs" dxfId="3880" priority="1603" operator="equal">
      <formula>6</formula>
    </cfRule>
    <cfRule type="cellIs" dxfId="3879" priority="1604" operator="equal">
      <formula>5.5</formula>
    </cfRule>
    <cfRule type="cellIs" dxfId="3878" priority="1605" operator="equal">
      <formula>5</formula>
    </cfRule>
    <cfRule type="cellIs" dxfId="3877" priority="1606" operator="equal">
      <formula>4.5</formula>
    </cfRule>
    <cfRule type="cellIs" dxfId="3876" priority="1607" operator="equal">
      <formula>4</formula>
    </cfRule>
    <cfRule type="cellIs" dxfId="3875" priority="1608" operator="equal">
      <formula>3.5</formula>
    </cfRule>
    <cfRule type="cellIs" dxfId="3874" priority="1609" operator="equal">
      <formula>3</formula>
    </cfRule>
    <cfRule type="cellIs" dxfId="3873" priority="1610" operator="equal">
      <formula>2.5</formula>
    </cfRule>
    <cfRule type="cellIs" dxfId="3872" priority="1611" operator="equal">
      <formula>2</formula>
    </cfRule>
    <cfRule type="cellIs" dxfId="3871" priority="1612" operator="equal">
      <formula>1.5</formula>
    </cfRule>
    <cfRule type="cellIs" dxfId="3870" priority="1613" operator="equal">
      <formula>1</formula>
    </cfRule>
  </conditionalFormatting>
  <conditionalFormatting sqref="L95">
    <cfRule type="cellIs" dxfId="3869" priority="1133" operator="greaterThan">
      <formula>6.6</formula>
    </cfRule>
    <cfRule type="cellIs" dxfId="3868" priority="1134" operator="equal">
      <formula>6.5</formula>
    </cfRule>
    <cfRule type="cellIs" dxfId="3867" priority="1135" operator="equal">
      <formula>6</formula>
    </cfRule>
    <cfRule type="cellIs" dxfId="3866" priority="1136" operator="equal">
      <formula>5.5</formula>
    </cfRule>
    <cfRule type="cellIs" dxfId="3865" priority="1137" operator="equal">
      <formula>5</formula>
    </cfRule>
    <cfRule type="cellIs" dxfId="3864" priority="1138" operator="equal">
      <formula>4.5</formula>
    </cfRule>
    <cfRule type="cellIs" dxfId="3863" priority="1139" operator="equal">
      <formula>4</formula>
    </cfRule>
    <cfRule type="cellIs" dxfId="3862" priority="1140" operator="equal">
      <formula>3.5</formula>
    </cfRule>
    <cfRule type="cellIs" dxfId="3861" priority="1141" operator="equal">
      <formula>3</formula>
    </cfRule>
    <cfRule type="cellIs" dxfId="3860" priority="1142" operator="equal">
      <formula>2.5</formula>
    </cfRule>
    <cfRule type="cellIs" dxfId="3859" priority="1143" operator="equal">
      <formula>2</formula>
    </cfRule>
    <cfRule type="cellIs" dxfId="3858" priority="1144" operator="equal">
      <formula>1.5</formula>
    </cfRule>
    <cfRule type="cellIs" dxfId="3857" priority="1145" operator="equal">
      <formula>1</formula>
    </cfRule>
  </conditionalFormatting>
  <conditionalFormatting sqref="F77">
    <cfRule type="cellIs" dxfId="3856" priority="1484" operator="greaterThan">
      <formula>6.6</formula>
    </cfRule>
    <cfRule type="cellIs" dxfId="3855" priority="1485" operator="equal">
      <formula>6.5</formula>
    </cfRule>
    <cfRule type="cellIs" dxfId="3854" priority="1486" operator="equal">
      <formula>6</formula>
    </cfRule>
    <cfRule type="cellIs" dxfId="3853" priority="1487" operator="equal">
      <formula>5.5</formula>
    </cfRule>
    <cfRule type="cellIs" dxfId="3852" priority="1488" operator="equal">
      <formula>5</formula>
    </cfRule>
    <cfRule type="cellIs" dxfId="3851" priority="1489" operator="equal">
      <formula>4.5</formula>
    </cfRule>
    <cfRule type="cellIs" dxfId="3850" priority="1490" operator="equal">
      <formula>4</formula>
    </cfRule>
    <cfRule type="cellIs" dxfId="3849" priority="1491" operator="equal">
      <formula>3.5</formula>
    </cfRule>
    <cfRule type="cellIs" dxfId="3848" priority="1492" operator="equal">
      <formula>3</formula>
    </cfRule>
    <cfRule type="cellIs" dxfId="3847" priority="1493" operator="equal">
      <formula>2.5</formula>
    </cfRule>
    <cfRule type="cellIs" dxfId="3846" priority="1494" operator="equal">
      <formula>2</formula>
    </cfRule>
    <cfRule type="cellIs" dxfId="3845" priority="1495" operator="equal">
      <formula>1.5</formula>
    </cfRule>
    <cfRule type="cellIs" dxfId="3844" priority="1496" operator="equal">
      <formula>1</formula>
    </cfRule>
  </conditionalFormatting>
  <conditionalFormatting sqref="H77">
    <cfRule type="cellIs" dxfId="3843" priority="1471" operator="greaterThan">
      <formula>6.6</formula>
    </cfRule>
    <cfRule type="cellIs" dxfId="3842" priority="1472" operator="equal">
      <formula>6.5</formula>
    </cfRule>
    <cfRule type="cellIs" dxfId="3841" priority="1473" operator="equal">
      <formula>6</formula>
    </cfRule>
    <cfRule type="cellIs" dxfId="3840" priority="1474" operator="equal">
      <formula>5.5</formula>
    </cfRule>
    <cfRule type="cellIs" dxfId="3839" priority="1475" operator="equal">
      <formula>5</formula>
    </cfRule>
    <cfRule type="cellIs" dxfId="3838" priority="1476" operator="equal">
      <formula>4.5</formula>
    </cfRule>
    <cfRule type="cellIs" dxfId="3837" priority="1477" operator="equal">
      <formula>4</formula>
    </cfRule>
    <cfRule type="cellIs" dxfId="3836" priority="1478" operator="equal">
      <formula>3.5</formula>
    </cfRule>
    <cfRule type="cellIs" dxfId="3835" priority="1479" operator="equal">
      <formula>3</formula>
    </cfRule>
    <cfRule type="cellIs" dxfId="3834" priority="1480" operator="equal">
      <formula>2.5</formula>
    </cfRule>
    <cfRule type="cellIs" dxfId="3833" priority="1481" operator="equal">
      <formula>2</formula>
    </cfRule>
    <cfRule type="cellIs" dxfId="3832" priority="1482" operator="equal">
      <formula>1.5</formula>
    </cfRule>
    <cfRule type="cellIs" dxfId="3831" priority="1483" operator="equal">
      <formula>1</formula>
    </cfRule>
  </conditionalFormatting>
  <conditionalFormatting sqref="L77">
    <cfRule type="cellIs" dxfId="3830" priority="1445" operator="greaterThan">
      <formula>6.6</formula>
    </cfRule>
    <cfRule type="cellIs" dxfId="3829" priority="1446" operator="equal">
      <formula>6.5</formula>
    </cfRule>
    <cfRule type="cellIs" dxfId="3828" priority="1447" operator="equal">
      <formula>6</formula>
    </cfRule>
    <cfRule type="cellIs" dxfId="3827" priority="1448" operator="equal">
      <formula>5.5</formula>
    </cfRule>
    <cfRule type="cellIs" dxfId="3826" priority="1449" operator="equal">
      <formula>5</formula>
    </cfRule>
    <cfRule type="cellIs" dxfId="3825" priority="1450" operator="equal">
      <formula>4.5</formula>
    </cfRule>
    <cfRule type="cellIs" dxfId="3824" priority="1451" operator="equal">
      <formula>4</formula>
    </cfRule>
    <cfRule type="cellIs" dxfId="3823" priority="1452" operator="equal">
      <formula>3.5</formula>
    </cfRule>
    <cfRule type="cellIs" dxfId="3822" priority="1453" operator="equal">
      <formula>3</formula>
    </cfRule>
    <cfRule type="cellIs" dxfId="3821" priority="1454" operator="equal">
      <formula>2.5</formula>
    </cfRule>
    <cfRule type="cellIs" dxfId="3820" priority="1455" operator="equal">
      <formula>2</formula>
    </cfRule>
    <cfRule type="cellIs" dxfId="3819" priority="1456" operator="equal">
      <formula>1.5</formula>
    </cfRule>
    <cfRule type="cellIs" dxfId="3818" priority="1457" operator="equal">
      <formula>1</formula>
    </cfRule>
  </conditionalFormatting>
  <conditionalFormatting sqref="F80">
    <cfRule type="cellIs" dxfId="3817" priority="1432" operator="greaterThan">
      <formula>6.6</formula>
    </cfRule>
    <cfRule type="cellIs" dxfId="3816" priority="1433" operator="equal">
      <formula>6.5</formula>
    </cfRule>
    <cfRule type="cellIs" dxfId="3815" priority="1434" operator="equal">
      <formula>6</formula>
    </cfRule>
    <cfRule type="cellIs" dxfId="3814" priority="1435" operator="equal">
      <formula>5.5</formula>
    </cfRule>
    <cfRule type="cellIs" dxfId="3813" priority="1436" operator="equal">
      <formula>5</formula>
    </cfRule>
    <cfRule type="cellIs" dxfId="3812" priority="1437" operator="equal">
      <formula>4.5</formula>
    </cfRule>
    <cfRule type="cellIs" dxfId="3811" priority="1438" operator="equal">
      <formula>4</formula>
    </cfRule>
    <cfRule type="cellIs" dxfId="3810" priority="1439" operator="equal">
      <formula>3.5</formula>
    </cfRule>
    <cfRule type="cellIs" dxfId="3809" priority="1440" operator="equal">
      <formula>3</formula>
    </cfRule>
    <cfRule type="cellIs" dxfId="3808" priority="1441" operator="equal">
      <formula>2.5</formula>
    </cfRule>
    <cfRule type="cellIs" dxfId="3807" priority="1442" operator="equal">
      <formula>2</formula>
    </cfRule>
    <cfRule type="cellIs" dxfId="3806" priority="1443" operator="equal">
      <formula>1.5</formula>
    </cfRule>
    <cfRule type="cellIs" dxfId="3805" priority="1444" operator="equal">
      <formula>1</formula>
    </cfRule>
  </conditionalFormatting>
  <conditionalFormatting sqref="H80">
    <cfRule type="cellIs" dxfId="3804" priority="1419" operator="greaterThan">
      <formula>6.6</formula>
    </cfRule>
    <cfRule type="cellIs" dxfId="3803" priority="1420" operator="equal">
      <formula>6.5</formula>
    </cfRule>
    <cfRule type="cellIs" dxfId="3802" priority="1421" operator="equal">
      <formula>6</formula>
    </cfRule>
    <cfRule type="cellIs" dxfId="3801" priority="1422" operator="equal">
      <formula>5.5</formula>
    </cfRule>
    <cfRule type="cellIs" dxfId="3800" priority="1423" operator="equal">
      <formula>5</formula>
    </cfRule>
    <cfRule type="cellIs" dxfId="3799" priority="1424" operator="equal">
      <formula>4.5</formula>
    </cfRule>
    <cfRule type="cellIs" dxfId="3798" priority="1425" operator="equal">
      <formula>4</formula>
    </cfRule>
    <cfRule type="cellIs" dxfId="3797" priority="1426" operator="equal">
      <formula>3.5</formula>
    </cfRule>
    <cfRule type="cellIs" dxfId="3796" priority="1427" operator="equal">
      <formula>3</formula>
    </cfRule>
    <cfRule type="cellIs" dxfId="3795" priority="1428" operator="equal">
      <formula>2.5</formula>
    </cfRule>
    <cfRule type="cellIs" dxfId="3794" priority="1429" operator="equal">
      <formula>2</formula>
    </cfRule>
    <cfRule type="cellIs" dxfId="3793" priority="1430" operator="equal">
      <formula>1.5</formula>
    </cfRule>
    <cfRule type="cellIs" dxfId="3792" priority="1431" operator="equal">
      <formula>1</formula>
    </cfRule>
  </conditionalFormatting>
  <conditionalFormatting sqref="J80">
    <cfRule type="cellIs" dxfId="3791" priority="1406" operator="greaterThan">
      <formula>6.6</formula>
    </cfRule>
    <cfRule type="cellIs" dxfId="3790" priority="1407" operator="equal">
      <formula>6.5</formula>
    </cfRule>
    <cfRule type="cellIs" dxfId="3789" priority="1408" operator="equal">
      <formula>6</formula>
    </cfRule>
    <cfRule type="cellIs" dxfId="3788" priority="1409" operator="equal">
      <formula>5.5</formula>
    </cfRule>
    <cfRule type="cellIs" dxfId="3787" priority="1410" operator="equal">
      <formula>5</formula>
    </cfRule>
    <cfRule type="cellIs" dxfId="3786" priority="1411" operator="equal">
      <formula>4.5</formula>
    </cfRule>
    <cfRule type="cellIs" dxfId="3785" priority="1412" operator="equal">
      <formula>4</formula>
    </cfRule>
    <cfRule type="cellIs" dxfId="3784" priority="1413" operator="equal">
      <formula>3.5</formula>
    </cfRule>
    <cfRule type="cellIs" dxfId="3783" priority="1414" operator="equal">
      <formula>3</formula>
    </cfRule>
    <cfRule type="cellIs" dxfId="3782" priority="1415" operator="equal">
      <formula>2.5</formula>
    </cfRule>
    <cfRule type="cellIs" dxfId="3781" priority="1416" operator="equal">
      <formula>2</formula>
    </cfRule>
    <cfRule type="cellIs" dxfId="3780" priority="1417" operator="equal">
      <formula>1.5</formula>
    </cfRule>
    <cfRule type="cellIs" dxfId="3779" priority="1418" operator="equal">
      <formula>1</formula>
    </cfRule>
  </conditionalFormatting>
  <conditionalFormatting sqref="L80">
    <cfRule type="cellIs" dxfId="3778" priority="1393" operator="greaterThan">
      <formula>6.6</formula>
    </cfRule>
    <cfRule type="cellIs" dxfId="3777" priority="1394" operator="equal">
      <formula>6.5</formula>
    </cfRule>
    <cfRule type="cellIs" dxfId="3776" priority="1395" operator="equal">
      <formula>6</formula>
    </cfRule>
    <cfRule type="cellIs" dxfId="3775" priority="1396" operator="equal">
      <formula>5.5</formula>
    </cfRule>
    <cfRule type="cellIs" dxfId="3774" priority="1397" operator="equal">
      <formula>5</formula>
    </cfRule>
    <cfRule type="cellIs" dxfId="3773" priority="1398" operator="equal">
      <formula>4.5</formula>
    </cfRule>
    <cfRule type="cellIs" dxfId="3772" priority="1399" operator="equal">
      <formula>4</formula>
    </cfRule>
    <cfRule type="cellIs" dxfId="3771" priority="1400" operator="equal">
      <formula>3.5</formula>
    </cfRule>
    <cfRule type="cellIs" dxfId="3770" priority="1401" operator="equal">
      <formula>3</formula>
    </cfRule>
    <cfRule type="cellIs" dxfId="3769" priority="1402" operator="equal">
      <formula>2.5</formula>
    </cfRule>
    <cfRule type="cellIs" dxfId="3768" priority="1403" operator="equal">
      <formula>2</formula>
    </cfRule>
    <cfRule type="cellIs" dxfId="3767" priority="1404" operator="equal">
      <formula>1.5</formula>
    </cfRule>
    <cfRule type="cellIs" dxfId="3766" priority="1405" operator="equal">
      <formula>1</formula>
    </cfRule>
  </conditionalFormatting>
  <conditionalFormatting sqref="F83">
    <cfRule type="cellIs" dxfId="3765" priority="1380" operator="greaterThan">
      <formula>6.6</formula>
    </cfRule>
    <cfRule type="cellIs" dxfId="3764" priority="1381" operator="equal">
      <formula>6.5</formula>
    </cfRule>
    <cfRule type="cellIs" dxfId="3763" priority="1382" operator="equal">
      <formula>6</formula>
    </cfRule>
    <cfRule type="cellIs" dxfId="3762" priority="1383" operator="equal">
      <formula>5.5</formula>
    </cfRule>
    <cfRule type="cellIs" dxfId="3761" priority="1384" operator="equal">
      <formula>5</formula>
    </cfRule>
    <cfRule type="cellIs" dxfId="3760" priority="1385" operator="equal">
      <formula>4.5</formula>
    </cfRule>
    <cfRule type="cellIs" dxfId="3759" priority="1386" operator="equal">
      <formula>4</formula>
    </cfRule>
    <cfRule type="cellIs" dxfId="3758" priority="1387" operator="equal">
      <formula>3.5</formula>
    </cfRule>
    <cfRule type="cellIs" dxfId="3757" priority="1388" operator="equal">
      <formula>3</formula>
    </cfRule>
    <cfRule type="cellIs" dxfId="3756" priority="1389" operator="equal">
      <formula>2.5</formula>
    </cfRule>
    <cfRule type="cellIs" dxfId="3755" priority="1390" operator="equal">
      <formula>2</formula>
    </cfRule>
    <cfRule type="cellIs" dxfId="3754" priority="1391" operator="equal">
      <formula>1.5</formula>
    </cfRule>
    <cfRule type="cellIs" dxfId="3753" priority="1392" operator="equal">
      <formula>1</formula>
    </cfRule>
  </conditionalFormatting>
  <conditionalFormatting sqref="H83">
    <cfRule type="cellIs" dxfId="3752" priority="1367" operator="greaterThan">
      <formula>6.6</formula>
    </cfRule>
    <cfRule type="cellIs" dxfId="3751" priority="1368" operator="equal">
      <formula>6.5</formula>
    </cfRule>
    <cfRule type="cellIs" dxfId="3750" priority="1369" operator="equal">
      <formula>6</formula>
    </cfRule>
    <cfRule type="cellIs" dxfId="3749" priority="1370" operator="equal">
      <formula>5.5</formula>
    </cfRule>
    <cfRule type="cellIs" dxfId="3748" priority="1371" operator="equal">
      <formula>5</formula>
    </cfRule>
    <cfRule type="cellIs" dxfId="3747" priority="1372" operator="equal">
      <formula>4.5</formula>
    </cfRule>
    <cfRule type="cellIs" dxfId="3746" priority="1373" operator="equal">
      <formula>4</formula>
    </cfRule>
    <cfRule type="cellIs" dxfId="3745" priority="1374" operator="equal">
      <formula>3.5</formula>
    </cfRule>
    <cfRule type="cellIs" dxfId="3744" priority="1375" operator="equal">
      <formula>3</formula>
    </cfRule>
    <cfRule type="cellIs" dxfId="3743" priority="1376" operator="equal">
      <formula>2.5</formula>
    </cfRule>
    <cfRule type="cellIs" dxfId="3742" priority="1377" operator="equal">
      <formula>2</formula>
    </cfRule>
    <cfRule type="cellIs" dxfId="3741" priority="1378" operator="equal">
      <formula>1.5</formula>
    </cfRule>
    <cfRule type="cellIs" dxfId="3740" priority="1379" operator="equal">
      <formula>1</formula>
    </cfRule>
  </conditionalFormatting>
  <conditionalFormatting sqref="J83">
    <cfRule type="cellIs" dxfId="3739" priority="1354" operator="greaterThan">
      <formula>6.6</formula>
    </cfRule>
    <cfRule type="cellIs" dxfId="3738" priority="1355" operator="equal">
      <formula>6.5</formula>
    </cfRule>
    <cfRule type="cellIs" dxfId="3737" priority="1356" operator="equal">
      <formula>6</formula>
    </cfRule>
    <cfRule type="cellIs" dxfId="3736" priority="1357" operator="equal">
      <formula>5.5</formula>
    </cfRule>
    <cfRule type="cellIs" dxfId="3735" priority="1358" operator="equal">
      <formula>5</formula>
    </cfRule>
    <cfRule type="cellIs" dxfId="3734" priority="1359" operator="equal">
      <formula>4.5</formula>
    </cfRule>
    <cfRule type="cellIs" dxfId="3733" priority="1360" operator="equal">
      <formula>4</formula>
    </cfRule>
    <cfRule type="cellIs" dxfId="3732" priority="1361" operator="equal">
      <formula>3.5</formula>
    </cfRule>
    <cfRule type="cellIs" dxfId="3731" priority="1362" operator="equal">
      <formula>3</formula>
    </cfRule>
    <cfRule type="cellIs" dxfId="3730" priority="1363" operator="equal">
      <formula>2.5</formula>
    </cfRule>
    <cfRule type="cellIs" dxfId="3729" priority="1364" operator="equal">
      <formula>2</formula>
    </cfRule>
    <cfRule type="cellIs" dxfId="3728" priority="1365" operator="equal">
      <formula>1.5</formula>
    </cfRule>
    <cfRule type="cellIs" dxfId="3727" priority="1366" operator="equal">
      <formula>1</formula>
    </cfRule>
  </conditionalFormatting>
  <conditionalFormatting sqref="L83">
    <cfRule type="cellIs" dxfId="3726" priority="1341" operator="greaterThan">
      <formula>6.6</formula>
    </cfRule>
    <cfRule type="cellIs" dxfId="3725" priority="1342" operator="equal">
      <formula>6.5</formula>
    </cfRule>
    <cfRule type="cellIs" dxfId="3724" priority="1343" operator="equal">
      <formula>6</formula>
    </cfRule>
    <cfRule type="cellIs" dxfId="3723" priority="1344" operator="equal">
      <formula>5.5</formula>
    </cfRule>
    <cfRule type="cellIs" dxfId="3722" priority="1345" operator="equal">
      <formula>5</formula>
    </cfRule>
    <cfRule type="cellIs" dxfId="3721" priority="1346" operator="equal">
      <formula>4.5</formula>
    </cfRule>
    <cfRule type="cellIs" dxfId="3720" priority="1347" operator="equal">
      <formula>4</formula>
    </cfRule>
    <cfRule type="cellIs" dxfId="3719" priority="1348" operator="equal">
      <formula>3.5</formula>
    </cfRule>
    <cfRule type="cellIs" dxfId="3718" priority="1349" operator="equal">
      <formula>3</formula>
    </cfRule>
    <cfRule type="cellIs" dxfId="3717" priority="1350" operator="equal">
      <formula>2.5</formula>
    </cfRule>
    <cfRule type="cellIs" dxfId="3716" priority="1351" operator="equal">
      <formula>2</formula>
    </cfRule>
    <cfRule type="cellIs" dxfId="3715" priority="1352" operator="equal">
      <formula>1.5</formula>
    </cfRule>
    <cfRule type="cellIs" dxfId="3714" priority="1353" operator="equal">
      <formula>1</formula>
    </cfRule>
  </conditionalFormatting>
  <conditionalFormatting sqref="F86">
    <cfRule type="cellIs" dxfId="3713" priority="1328" operator="greaterThan">
      <formula>6.6</formula>
    </cfRule>
    <cfRule type="cellIs" dxfId="3712" priority="1329" operator="equal">
      <formula>6.5</formula>
    </cfRule>
    <cfRule type="cellIs" dxfId="3711" priority="1330" operator="equal">
      <formula>6</formula>
    </cfRule>
    <cfRule type="cellIs" dxfId="3710" priority="1331" operator="equal">
      <formula>5.5</formula>
    </cfRule>
    <cfRule type="cellIs" dxfId="3709" priority="1332" operator="equal">
      <formula>5</formula>
    </cfRule>
    <cfRule type="cellIs" dxfId="3708" priority="1333" operator="equal">
      <formula>4.5</formula>
    </cfRule>
    <cfRule type="cellIs" dxfId="3707" priority="1334" operator="equal">
      <formula>4</formula>
    </cfRule>
    <cfRule type="cellIs" dxfId="3706" priority="1335" operator="equal">
      <formula>3.5</formula>
    </cfRule>
    <cfRule type="cellIs" dxfId="3705" priority="1336" operator="equal">
      <formula>3</formula>
    </cfRule>
    <cfRule type="cellIs" dxfId="3704" priority="1337" operator="equal">
      <formula>2.5</formula>
    </cfRule>
    <cfRule type="cellIs" dxfId="3703" priority="1338" operator="equal">
      <formula>2</formula>
    </cfRule>
    <cfRule type="cellIs" dxfId="3702" priority="1339" operator="equal">
      <formula>1.5</formula>
    </cfRule>
    <cfRule type="cellIs" dxfId="3701" priority="1340" operator="equal">
      <formula>1</formula>
    </cfRule>
  </conditionalFormatting>
  <conditionalFormatting sqref="H86">
    <cfRule type="cellIs" dxfId="3700" priority="1315" operator="greaterThan">
      <formula>6.6</formula>
    </cfRule>
    <cfRule type="cellIs" dxfId="3699" priority="1316" operator="equal">
      <formula>6.5</formula>
    </cfRule>
    <cfRule type="cellIs" dxfId="3698" priority="1317" operator="equal">
      <formula>6</formula>
    </cfRule>
    <cfRule type="cellIs" dxfId="3697" priority="1318" operator="equal">
      <formula>5.5</formula>
    </cfRule>
    <cfRule type="cellIs" dxfId="3696" priority="1319" operator="equal">
      <formula>5</formula>
    </cfRule>
    <cfRule type="cellIs" dxfId="3695" priority="1320" operator="equal">
      <formula>4.5</formula>
    </cfRule>
    <cfRule type="cellIs" dxfId="3694" priority="1321" operator="equal">
      <formula>4</formula>
    </cfRule>
    <cfRule type="cellIs" dxfId="3693" priority="1322" operator="equal">
      <formula>3.5</formula>
    </cfRule>
    <cfRule type="cellIs" dxfId="3692" priority="1323" operator="equal">
      <formula>3</formula>
    </cfRule>
    <cfRule type="cellIs" dxfId="3691" priority="1324" operator="equal">
      <formula>2.5</formula>
    </cfRule>
    <cfRule type="cellIs" dxfId="3690" priority="1325" operator="equal">
      <formula>2</formula>
    </cfRule>
    <cfRule type="cellIs" dxfId="3689" priority="1326" operator="equal">
      <formula>1.5</formula>
    </cfRule>
    <cfRule type="cellIs" dxfId="3688" priority="1327" operator="equal">
      <formula>1</formula>
    </cfRule>
  </conditionalFormatting>
  <conditionalFormatting sqref="J86">
    <cfRule type="cellIs" dxfId="3687" priority="1302" operator="greaterThan">
      <formula>6.6</formula>
    </cfRule>
    <cfRule type="cellIs" dxfId="3686" priority="1303" operator="equal">
      <formula>6.5</formula>
    </cfRule>
    <cfRule type="cellIs" dxfId="3685" priority="1304" operator="equal">
      <formula>6</formula>
    </cfRule>
    <cfRule type="cellIs" dxfId="3684" priority="1305" operator="equal">
      <formula>5.5</formula>
    </cfRule>
    <cfRule type="cellIs" dxfId="3683" priority="1306" operator="equal">
      <formula>5</formula>
    </cfRule>
    <cfRule type="cellIs" dxfId="3682" priority="1307" operator="equal">
      <formula>4.5</formula>
    </cfRule>
    <cfRule type="cellIs" dxfId="3681" priority="1308" operator="equal">
      <formula>4</formula>
    </cfRule>
    <cfRule type="cellIs" dxfId="3680" priority="1309" operator="equal">
      <formula>3.5</formula>
    </cfRule>
    <cfRule type="cellIs" dxfId="3679" priority="1310" operator="equal">
      <formula>3</formula>
    </cfRule>
    <cfRule type="cellIs" dxfId="3678" priority="1311" operator="equal">
      <formula>2.5</formula>
    </cfRule>
    <cfRule type="cellIs" dxfId="3677" priority="1312" operator="equal">
      <formula>2</formula>
    </cfRule>
    <cfRule type="cellIs" dxfId="3676" priority="1313" operator="equal">
      <formula>1.5</formula>
    </cfRule>
    <cfRule type="cellIs" dxfId="3675" priority="1314" operator="equal">
      <formula>1</formula>
    </cfRule>
  </conditionalFormatting>
  <conditionalFormatting sqref="L86">
    <cfRule type="cellIs" dxfId="3674" priority="1289" operator="greaterThan">
      <formula>6.6</formula>
    </cfRule>
    <cfRule type="cellIs" dxfId="3673" priority="1290" operator="equal">
      <formula>6.5</formula>
    </cfRule>
    <cfRule type="cellIs" dxfId="3672" priority="1291" operator="equal">
      <formula>6</formula>
    </cfRule>
    <cfRule type="cellIs" dxfId="3671" priority="1292" operator="equal">
      <formula>5.5</formula>
    </cfRule>
    <cfRule type="cellIs" dxfId="3670" priority="1293" operator="equal">
      <formula>5</formula>
    </cfRule>
    <cfRule type="cellIs" dxfId="3669" priority="1294" operator="equal">
      <formula>4.5</formula>
    </cfRule>
    <cfRule type="cellIs" dxfId="3668" priority="1295" operator="equal">
      <formula>4</formula>
    </cfRule>
    <cfRule type="cellIs" dxfId="3667" priority="1296" operator="equal">
      <formula>3.5</formula>
    </cfRule>
    <cfRule type="cellIs" dxfId="3666" priority="1297" operator="equal">
      <formula>3</formula>
    </cfRule>
    <cfRule type="cellIs" dxfId="3665" priority="1298" operator="equal">
      <formula>2.5</formula>
    </cfRule>
    <cfRule type="cellIs" dxfId="3664" priority="1299" operator="equal">
      <formula>2</formula>
    </cfRule>
    <cfRule type="cellIs" dxfId="3663" priority="1300" operator="equal">
      <formula>1.5</formula>
    </cfRule>
    <cfRule type="cellIs" dxfId="3662" priority="1301" operator="equal">
      <formula>1</formula>
    </cfRule>
  </conditionalFormatting>
  <conditionalFormatting sqref="F89">
    <cfRule type="cellIs" dxfId="3661" priority="1276" operator="greaterThan">
      <formula>6.6</formula>
    </cfRule>
    <cfRule type="cellIs" dxfId="3660" priority="1277" operator="equal">
      <formula>6.5</formula>
    </cfRule>
    <cfRule type="cellIs" dxfId="3659" priority="1278" operator="equal">
      <formula>6</formula>
    </cfRule>
    <cfRule type="cellIs" dxfId="3658" priority="1279" operator="equal">
      <formula>5.5</formula>
    </cfRule>
    <cfRule type="cellIs" dxfId="3657" priority="1280" operator="equal">
      <formula>5</formula>
    </cfRule>
    <cfRule type="cellIs" dxfId="3656" priority="1281" operator="equal">
      <formula>4.5</formula>
    </cfRule>
    <cfRule type="cellIs" dxfId="3655" priority="1282" operator="equal">
      <formula>4</formula>
    </cfRule>
    <cfRule type="cellIs" dxfId="3654" priority="1283" operator="equal">
      <formula>3.5</formula>
    </cfRule>
    <cfRule type="cellIs" dxfId="3653" priority="1284" operator="equal">
      <formula>3</formula>
    </cfRule>
    <cfRule type="cellIs" dxfId="3652" priority="1285" operator="equal">
      <formula>2.5</formula>
    </cfRule>
    <cfRule type="cellIs" dxfId="3651" priority="1286" operator="equal">
      <formula>2</formula>
    </cfRule>
    <cfRule type="cellIs" dxfId="3650" priority="1287" operator="equal">
      <formula>1.5</formula>
    </cfRule>
    <cfRule type="cellIs" dxfId="3649" priority="1288" operator="equal">
      <formula>1</formula>
    </cfRule>
  </conditionalFormatting>
  <conditionalFormatting sqref="H89">
    <cfRule type="cellIs" dxfId="3648" priority="1263" operator="greaterThan">
      <formula>6.6</formula>
    </cfRule>
    <cfRule type="cellIs" dxfId="3647" priority="1264" operator="equal">
      <formula>6.5</formula>
    </cfRule>
    <cfRule type="cellIs" dxfId="3646" priority="1265" operator="equal">
      <formula>6</formula>
    </cfRule>
    <cfRule type="cellIs" dxfId="3645" priority="1266" operator="equal">
      <formula>5.5</formula>
    </cfRule>
    <cfRule type="cellIs" dxfId="3644" priority="1267" operator="equal">
      <formula>5</formula>
    </cfRule>
    <cfRule type="cellIs" dxfId="3643" priority="1268" operator="equal">
      <formula>4.5</formula>
    </cfRule>
    <cfRule type="cellIs" dxfId="3642" priority="1269" operator="equal">
      <formula>4</formula>
    </cfRule>
    <cfRule type="cellIs" dxfId="3641" priority="1270" operator="equal">
      <formula>3.5</formula>
    </cfRule>
    <cfRule type="cellIs" dxfId="3640" priority="1271" operator="equal">
      <formula>3</formula>
    </cfRule>
    <cfRule type="cellIs" dxfId="3639" priority="1272" operator="equal">
      <formula>2.5</formula>
    </cfRule>
    <cfRule type="cellIs" dxfId="3638" priority="1273" operator="equal">
      <formula>2</formula>
    </cfRule>
    <cfRule type="cellIs" dxfId="3637" priority="1274" operator="equal">
      <formula>1.5</formula>
    </cfRule>
    <cfRule type="cellIs" dxfId="3636" priority="1275" operator="equal">
      <formula>1</formula>
    </cfRule>
  </conditionalFormatting>
  <conditionalFormatting sqref="J89">
    <cfRule type="cellIs" dxfId="3635" priority="1250" operator="greaterThan">
      <formula>6.6</formula>
    </cfRule>
    <cfRule type="cellIs" dxfId="3634" priority="1251" operator="equal">
      <formula>6.5</formula>
    </cfRule>
    <cfRule type="cellIs" dxfId="3633" priority="1252" operator="equal">
      <formula>6</formula>
    </cfRule>
    <cfRule type="cellIs" dxfId="3632" priority="1253" operator="equal">
      <formula>5.5</formula>
    </cfRule>
    <cfRule type="cellIs" dxfId="3631" priority="1254" operator="equal">
      <formula>5</formula>
    </cfRule>
    <cfRule type="cellIs" dxfId="3630" priority="1255" operator="equal">
      <formula>4.5</formula>
    </cfRule>
    <cfRule type="cellIs" dxfId="3629" priority="1256" operator="equal">
      <formula>4</formula>
    </cfRule>
    <cfRule type="cellIs" dxfId="3628" priority="1257" operator="equal">
      <formula>3.5</formula>
    </cfRule>
    <cfRule type="cellIs" dxfId="3627" priority="1258" operator="equal">
      <formula>3</formula>
    </cfRule>
    <cfRule type="cellIs" dxfId="3626" priority="1259" operator="equal">
      <formula>2.5</formula>
    </cfRule>
    <cfRule type="cellIs" dxfId="3625" priority="1260" operator="equal">
      <formula>2</formula>
    </cfRule>
    <cfRule type="cellIs" dxfId="3624" priority="1261" operator="equal">
      <formula>1.5</formula>
    </cfRule>
    <cfRule type="cellIs" dxfId="3623" priority="1262" operator="equal">
      <formula>1</formula>
    </cfRule>
  </conditionalFormatting>
  <conditionalFormatting sqref="L89">
    <cfRule type="cellIs" dxfId="3622" priority="1237" operator="greaterThan">
      <formula>6.6</formula>
    </cfRule>
    <cfRule type="cellIs" dxfId="3621" priority="1238" operator="equal">
      <formula>6.5</formula>
    </cfRule>
    <cfRule type="cellIs" dxfId="3620" priority="1239" operator="equal">
      <formula>6</formula>
    </cfRule>
    <cfRule type="cellIs" dxfId="3619" priority="1240" operator="equal">
      <formula>5.5</formula>
    </cfRule>
    <cfRule type="cellIs" dxfId="3618" priority="1241" operator="equal">
      <formula>5</formula>
    </cfRule>
    <cfRule type="cellIs" dxfId="3617" priority="1242" operator="equal">
      <formula>4.5</formula>
    </cfRule>
    <cfRule type="cellIs" dxfId="3616" priority="1243" operator="equal">
      <formula>4</formula>
    </cfRule>
    <cfRule type="cellIs" dxfId="3615" priority="1244" operator="equal">
      <formula>3.5</formula>
    </cfRule>
    <cfRule type="cellIs" dxfId="3614" priority="1245" operator="equal">
      <formula>3</formula>
    </cfRule>
    <cfRule type="cellIs" dxfId="3613" priority="1246" operator="equal">
      <formula>2.5</formula>
    </cfRule>
    <cfRule type="cellIs" dxfId="3612" priority="1247" operator="equal">
      <formula>2</formula>
    </cfRule>
    <cfRule type="cellIs" dxfId="3611" priority="1248" operator="equal">
      <formula>1.5</formula>
    </cfRule>
    <cfRule type="cellIs" dxfId="3610" priority="1249" operator="equal">
      <formula>1</formula>
    </cfRule>
  </conditionalFormatting>
  <conditionalFormatting sqref="F92">
    <cfRule type="cellIs" dxfId="3609" priority="1224" operator="greaterThan">
      <formula>6.6</formula>
    </cfRule>
    <cfRule type="cellIs" dxfId="3608" priority="1225" operator="equal">
      <formula>6.5</formula>
    </cfRule>
    <cfRule type="cellIs" dxfId="3607" priority="1226" operator="equal">
      <formula>6</formula>
    </cfRule>
    <cfRule type="cellIs" dxfId="3606" priority="1227" operator="equal">
      <formula>5.5</formula>
    </cfRule>
    <cfRule type="cellIs" dxfId="3605" priority="1228" operator="equal">
      <formula>5</formula>
    </cfRule>
    <cfRule type="cellIs" dxfId="3604" priority="1229" operator="equal">
      <formula>4.5</formula>
    </cfRule>
    <cfRule type="cellIs" dxfId="3603" priority="1230" operator="equal">
      <formula>4</formula>
    </cfRule>
    <cfRule type="cellIs" dxfId="3602" priority="1231" operator="equal">
      <formula>3.5</formula>
    </cfRule>
    <cfRule type="cellIs" dxfId="3601" priority="1232" operator="equal">
      <formula>3</formula>
    </cfRule>
    <cfRule type="cellIs" dxfId="3600" priority="1233" operator="equal">
      <formula>2.5</formula>
    </cfRule>
    <cfRule type="cellIs" dxfId="3599" priority="1234" operator="equal">
      <formula>2</formula>
    </cfRule>
    <cfRule type="cellIs" dxfId="3598" priority="1235" operator="equal">
      <formula>1.5</formula>
    </cfRule>
    <cfRule type="cellIs" dxfId="3597" priority="1236" operator="equal">
      <formula>1</formula>
    </cfRule>
  </conditionalFormatting>
  <conditionalFormatting sqref="H92">
    <cfRule type="cellIs" dxfId="3596" priority="1211" operator="greaterThan">
      <formula>6.6</formula>
    </cfRule>
    <cfRule type="cellIs" dxfId="3595" priority="1212" operator="equal">
      <formula>6.5</formula>
    </cfRule>
    <cfRule type="cellIs" dxfId="3594" priority="1213" operator="equal">
      <formula>6</formula>
    </cfRule>
    <cfRule type="cellIs" dxfId="3593" priority="1214" operator="equal">
      <formula>5.5</formula>
    </cfRule>
    <cfRule type="cellIs" dxfId="3592" priority="1215" operator="equal">
      <formula>5</formula>
    </cfRule>
    <cfRule type="cellIs" dxfId="3591" priority="1216" operator="equal">
      <formula>4.5</formula>
    </cfRule>
    <cfRule type="cellIs" dxfId="3590" priority="1217" operator="equal">
      <formula>4</formula>
    </cfRule>
    <cfRule type="cellIs" dxfId="3589" priority="1218" operator="equal">
      <formula>3.5</formula>
    </cfRule>
    <cfRule type="cellIs" dxfId="3588" priority="1219" operator="equal">
      <formula>3</formula>
    </cfRule>
    <cfRule type="cellIs" dxfId="3587" priority="1220" operator="equal">
      <formula>2.5</formula>
    </cfRule>
    <cfRule type="cellIs" dxfId="3586" priority="1221" operator="equal">
      <formula>2</formula>
    </cfRule>
    <cfRule type="cellIs" dxfId="3585" priority="1222" operator="equal">
      <formula>1.5</formula>
    </cfRule>
    <cfRule type="cellIs" dxfId="3584" priority="1223" operator="equal">
      <formula>1</formula>
    </cfRule>
  </conditionalFormatting>
  <conditionalFormatting sqref="J92">
    <cfRule type="cellIs" dxfId="3583" priority="1198" operator="greaterThan">
      <formula>6.6</formula>
    </cfRule>
    <cfRule type="cellIs" dxfId="3582" priority="1199" operator="equal">
      <formula>6.5</formula>
    </cfRule>
    <cfRule type="cellIs" dxfId="3581" priority="1200" operator="equal">
      <formula>6</formula>
    </cfRule>
    <cfRule type="cellIs" dxfId="3580" priority="1201" operator="equal">
      <formula>5.5</formula>
    </cfRule>
    <cfRule type="cellIs" dxfId="3579" priority="1202" operator="equal">
      <formula>5</formula>
    </cfRule>
    <cfRule type="cellIs" dxfId="3578" priority="1203" operator="equal">
      <formula>4.5</formula>
    </cfRule>
    <cfRule type="cellIs" dxfId="3577" priority="1204" operator="equal">
      <formula>4</formula>
    </cfRule>
    <cfRule type="cellIs" dxfId="3576" priority="1205" operator="equal">
      <formula>3.5</formula>
    </cfRule>
    <cfRule type="cellIs" dxfId="3575" priority="1206" operator="equal">
      <formula>3</formula>
    </cfRule>
    <cfRule type="cellIs" dxfId="3574" priority="1207" operator="equal">
      <formula>2.5</formula>
    </cfRule>
    <cfRule type="cellIs" dxfId="3573" priority="1208" operator="equal">
      <formula>2</formula>
    </cfRule>
    <cfRule type="cellIs" dxfId="3572" priority="1209" operator="equal">
      <formula>1.5</formula>
    </cfRule>
    <cfRule type="cellIs" dxfId="3571" priority="1210" operator="equal">
      <formula>1</formula>
    </cfRule>
  </conditionalFormatting>
  <conditionalFormatting sqref="L92">
    <cfRule type="cellIs" dxfId="3570" priority="1185" operator="greaterThan">
      <formula>6.6</formula>
    </cfRule>
    <cfRule type="cellIs" dxfId="3569" priority="1186" operator="equal">
      <formula>6.5</formula>
    </cfRule>
    <cfRule type="cellIs" dxfId="3568" priority="1187" operator="equal">
      <formula>6</formula>
    </cfRule>
    <cfRule type="cellIs" dxfId="3567" priority="1188" operator="equal">
      <formula>5.5</formula>
    </cfRule>
    <cfRule type="cellIs" dxfId="3566" priority="1189" operator="equal">
      <formula>5</formula>
    </cfRule>
    <cfRule type="cellIs" dxfId="3565" priority="1190" operator="equal">
      <formula>4.5</formula>
    </cfRule>
    <cfRule type="cellIs" dxfId="3564" priority="1191" operator="equal">
      <formula>4</formula>
    </cfRule>
    <cfRule type="cellIs" dxfId="3563" priority="1192" operator="equal">
      <formula>3.5</formula>
    </cfRule>
    <cfRule type="cellIs" dxfId="3562" priority="1193" operator="equal">
      <formula>3</formula>
    </cfRule>
    <cfRule type="cellIs" dxfId="3561" priority="1194" operator="equal">
      <formula>2.5</formula>
    </cfRule>
    <cfRule type="cellIs" dxfId="3560" priority="1195" operator="equal">
      <formula>2</formula>
    </cfRule>
    <cfRule type="cellIs" dxfId="3559" priority="1196" operator="equal">
      <formula>1.5</formula>
    </cfRule>
    <cfRule type="cellIs" dxfId="3558" priority="1197" operator="equal">
      <formula>1</formula>
    </cfRule>
  </conditionalFormatting>
  <conditionalFormatting sqref="F95">
    <cfRule type="cellIs" dxfId="3557" priority="1172" operator="greaterThan">
      <formula>6.6</formula>
    </cfRule>
    <cfRule type="cellIs" dxfId="3556" priority="1173" operator="equal">
      <formula>6.5</formula>
    </cfRule>
    <cfRule type="cellIs" dxfId="3555" priority="1174" operator="equal">
      <formula>6</formula>
    </cfRule>
    <cfRule type="cellIs" dxfId="3554" priority="1175" operator="equal">
      <formula>5.5</formula>
    </cfRule>
    <cfRule type="cellIs" dxfId="3553" priority="1176" operator="equal">
      <formula>5</formula>
    </cfRule>
    <cfRule type="cellIs" dxfId="3552" priority="1177" operator="equal">
      <formula>4.5</formula>
    </cfRule>
    <cfRule type="cellIs" dxfId="3551" priority="1178" operator="equal">
      <formula>4</formula>
    </cfRule>
    <cfRule type="cellIs" dxfId="3550" priority="1179" operator="equal">
      <formula>3.5</formula>
    </cfRule>
    <cfRule type="cellIs" dxfId="3549" priority="1180" operator="equal">
      <formula>3</formula>
    </cfRule>
    <cfRule type="cellIs" dxfId="3548" priority="1181" operator="equal">
      <formula>2.5</formula>
    </cfRule>
    <cfRule type="cellIs" dxfId="3547" priority="1182" operator="equal">
      <formula>2</formula>
    </cfRule>
    <cfRule type="cellIs" dxfId="3546" priority="1183" operator="equal">
      <formula>1.5</formula>
    </cfRule>
    <cfRule type="cellIs" dxfId="3545" priority="1184" operator="equal">
      <formula>1</formula>
    </cfRule>
  </conditionalFormatting>
  <conditionalFormatting sqref="H95">
    <cfRule type="cellIs" dxfId="3544" priority="1159" operator="greaterThan">
      <formula>6.6</formula>
    </cfRule>
    <cfRule type="cellIs" dxfId="3543" priority="1160" operator="equal">
      <formula>6.5</formula>
    </cfRule>
    <cfRule type="cellIs" dxfId="3542" priority="1161" operator="equal">
      <formula>6</formula>
    </cfRule>
    <cfRule type="cellIs" dxfId="3541" priority="1162" operator="equal">
      <formula>5.5</formula>
    </cfRule>
    <cfRule type="cellIs" dxfId="3540" priority="1163" operator="equal">
      <formula>5</formula>
    </cfRule>
    <cfRule type="cellIs" dxfId="3539" priority="1164" operator="equal">
      <formula>4.5</formula>
    </cfRule>
    <cfRule type="cellIs" dxfId="3538" priority="1165" operator="equal">
      <formula>4</formula>
    </cfRule>
    <cfRule type="cellIs" dxfId="3537" priority="1166" operator="equal">
      <formula>3.5</formula>
    </cfRule>
    <cfRule type="cellIs" dxfId="3536" priority="1167" operator="equal">
      <formula>3</formula>
    </cfRule>
    <cfRule type="cellIs" dxfId="3535" priority="1168" operator="equal">
      <formula>2.5</formula>
    </cfRule>
    <cfRule type="cellIs" dxfId="3534" priority="1169" operator="equal">
      <formula>2</formula>
    </cfRule>
    <cfRule type="cellIs" dxfId="3533" priority="1170" operator="equal">
      <formula>1.5</formula>
    </cfRule>
    <cfRule type="cellIs" dxfId="3532" priority="1171" operator="equal">
      <formula>1</formula>
    </cfRule>
  </conditionalFormatting>
  <conditionalFormatting sqref="J95">
    <cfRule type="cellIs" dxfId="3531" priority="1146" operator="greaterThan">
      <formula>6.6</formula>
    </cfRule>
    <cfRule type="cellIs" dxfId="3530" priority="1147" operator="equal">
      <formula>6.5</formula>
    </cfRule>
    <cfRule type="cellIs" dxfId="3529" priority="1148" operator="equal">
      <formula>6</formula>
    </cfRule>
    <cfRule type="cellIs" dxfId="3528" priority="1149" operator="equal">
      <formula>5.5</formula>
    </cfRule>
    <cfRule type="cellIs" dxfId="3527" priority="1150" operator="equal">
      <formula>5</formula>
    </cfRule>
    <cfRule type="cellIs" dxfId="3526" priority="1151" operator="equal">
      <formula>4.5</formula>
    </cfRule>
    <cfRule type="cellIs" dxfId="3525" priority="1152" operator="equal">
      <formula>4</formula>
    </cfRule>
    <cfRule type="cellIs" dxfId="3524" priority="1153" operator="equal">
      <formula>3.5</formula>
    </cfRule>
    <cfRule type="cellIs" dxfId="3523" priority="1154" operator="equal">
      <formula>3</formula>
    </cfRule>
    <cfRule type="cellIs" dxfId="3522" priority="1155" operator="equal">
      <formula>2.5</formula>
    </cfRule>
    <cfRule type="cellIs" dxfId="3521" priority="1156" operator="equal">
      <formula>2</formula>
    </cfRule>
    <cfRule type="cellIs" dxfId="3520" priority="1157" operator="equal">
      <formula>1.5</formula>
    </cfRule>
    <cfRule type="cellIs" dxfId="3519" priority="1158" operator="equal">
      <formula>1</formula>
    </cfRule>
  </conditionalFormatting>
  <conditionalFormatting sqref="F98">
    <cfRule type="cellIs" dxfId="3518" priority="1120" operator="greaterThan">
      <formula>6.6</formula>
    </cfRule>
    <cfRule type="cellIs" dxfId="3517" priority="1121" operator="equal">
      <formula>6.5</formula>
    </cfRule>
    <cfRule type="cellIs" dxfId="3516" priority="1122" operator="equal">
      <formula>6</formula>
    </cfRule>
    <cfRule type="cellIs" dxfId="3515" priority="1123" operator="equal">
      <formula>5.5</formula>
    </cfRule>
    <cfRule type="cellIs" dxfId="3514" priority="1124" operator="equal">
      <formula>5</formula>
    </cfRule>
    <cfRule type="cellIs" dxfId="3513" priority="1125" operator="equal">
      <formula>4.5</formula>
    </cfRule>
    <cfRule type="cellIs" dxfId="3512" priority="1126" operator="equal">
      <formula>4</formula>
    </cfRule>
    <cfRule type="cellIs" dxfId="3511" priority="1127" operator="equal">
      <formula>3.5</formula>
    </cfRule>
    <cfRule type="cellIs" dxfId="3510" priority="1128" operator="equal">
      <formula>3</formula>
    </cfRule>
    <cfRule type="cellIs" dxfId="3509" priority="1129" operator="equal">
      <formula>2.5</formula>
    </cfRule>
    <cfRule type="cellIs" dxfId="3508" priority="1130" operator="equal">
      <formula>2</formula>
    </cfRule>
    <cfRule type="cellIs" dxfId="3507" priority="1131" operator="equal">
      <formula>1.5</formula>
    </cfRule>
    <cfRule type="cellIs" dxfId="3506" priority="1132" operator="equal">
      <formula>1</formula>
    </cfRule>
  </conditionalFormatting>
  <conditionalFormatting sqref="H98">
    <cfRule type="cellIs" dxfId="3505" priority="1107" operator="greaterThan">
      <formula>6.6</formula>
    </cfRule>
    <cfRule type="cellIs" dxfId="3504" priority="1108" operator="equal">
      <formula>6.5</formula>
    </cfRule>
    <cfRule type="cellIs" dxfId="3503" priority="1109" operator="equal">
      <formula>6</formula>
    </cfRule>
    <cfRule type="cellIs" dxfId="3502" priority="1110" operator="equal">
      <formula>5.5</formula>
    </cfRule>
    <cfRule type="cellIs" dxfId="3501" priority="1111" operator="equal">
      <formula>5</formula>
    </cfRule>
    <cfRule type="cellIs" dxfId="3500" priority="1112" operator="equal">
      <formula>4.5</formula>
    </cfRule>
    <cfRule type="cellIs" dxfId="3499" priority="1113" operator="equal">
      <formula>4</formula>
    </cfRule>
    <cfRule type="cellIs" dxfId="3498" priority="1114" operator="equal">
      <formula>3.5</formula>
    </cfRule>
    <cfRule type="cellIs" dxfId="3497" priority="1115" operator="equal">
      <formula>3</formula>
    </cfRule>
    <cfRule type="cellIs" dxfId="3496" priority="1116" operator="equal">
      <formula>2.5</formula>
    </cfRule>
    <cfRule type="cellIs" dxfId="3495" priority="1117" operator="equal">
      <formula>2</formula>
    </cfRule>
    <cfRule type="cellIs" dxfId="3494" priority="1118" operator="equal">
      <formula>1.5</formula>
    </cfRule>
    <cfRule type="cellIs" dxfId="3493" priority="1119" operator="equal">
      <formula>1</formula>
    </cfRule>
  </conditionalFormatting>
  <conditionalFormatting sqref="J98">
    <cfRule type="cellIs" dxfId="3492" priority="1094" operator="greaterThan">
      <formula>6.6</formula>
    </cfRule>
    <cfRule type="cellIs" dxfId="3491" priority="1095" operator="equal">
      <formula>6.5</formula>
    </cfRule>
    <cfRule type="cellIs" dxfId="3490" priority="1096" operator="equal">
      <formula>6</formula>
    </cfRule>
    <cfRule type="cellIs" dxfId="3489" priority="1097" operator="equal">
      <formula>5.5</formula>
    </cfRule>
    <cfRule type="cellIs" dxfId="3488" priority="1098" operator="equal">
      <formula>5</formula>
    </cfRule>
    <cfRule type="cellIs" dxfId="3487" priority="1099" operator="equal">
      <formula>4.5</formula>
    </cfRule>
    <cfRule type="cellIs" dxfId="3486" priority="1100" operator="equal">
      <formula>4</formula>
    </cfRule>
    <cfRule type="cellIs" dxfId="3485" priority="1101" operator="equal">
      <formula>3.5</formula>
    </cfRule>
    <cfRule type="cellIs" dxfId="3484" priority="1102" operator="equal">
      <formula>3</formula>
    </cfRule>
    <cfRule type="cellIs" dxfId="3483" priority="1103" operator="equal">
      <formula>2.5</formula>
    </cfRule>
    <cfRule type="cellIs" dxfId="3482" priority="1104" operator="equal">
      <formula>2</formula>
    </cfRule>
    <cfRule type="cellIs" dxfId="3481" priority="1105" operator="equal">
      <formula>1.5</formula>
    </cfRule>
    <cfRule type="cellIs" dxfId="3480" priority="1106" operator="equal">
      <formula>1</formula>
    </cfRule>
  </conditionalFormatting>
  <conditionalFormatting sqref="L98">
    <cfRule type="cellIs" dxfId="3479" priority="1081" operator="greaterThan">
      <formula>6.6</formula>
    </cfRule>
    <cfRule type="cellIs" dxfId="3478" priority="1082" operator="equal">
      <formula>6.5</formula>
    </cfRule>
    <cfRule type="cellIs" dxfId="3477" priority="1083" operator="equal">
      <formula>6</formula>
    </cfRule>
    <cfRule type="cellIs" dxfId="3476" priority="1084" operator="equal">
      <formula>5.5</formula>
    </cfRule>
    <cfRule type="cellIs" dxfId="3475" priority="1085" operator="equal">
      <formula>5</formula>
    </cfRule>
    <cfRule type="cellIs" dxfId="3474" priority="1086" operator="equal">
      <formula>4.5</formula>
    </cfRule>
    <cfRule type="cellIs" dxfId="3473" priority="1087" operator="equal">
      <formula>4</formula>
    </cfRule>
    <cfRule type="cellIs" dxfId="3472" priority="1088" operator="equal">
      <formula>3.5</formula>
    </cfRule>
    <cfRule type="cellIs" dxfId="3471" priority="1089" operator="equal">
      <formula>3</formula>
    </cfRule>
    <cfRule type="cellIs" dxfId="3470" priority="1090" operator="equal">
      <formula>2.5</formula>
    </cfRule>
    <cfRule type="cellIs" dxfId="3469" priority="1091" operator="equal">
      <formula>2</formula>
    </cfRule>
    <cfRule type="cellIs" dxfId="3468" priority="1092" operator="equal">
      <formula>1.5</formula>
    </cfRule>
    <cfRule type="cellIs" dxfId="3467" priority="1093" operator="equal">
      <formula>1</formula>
    </cfRule>
  </conditionalFormatting>
  <conditionalFormatting sqref="F107">
    <cfRule type="cellIs" dxfId="3466" priority="1016" operator="greaterThan">
      <formula>6.6</formula>
    </cfRule>
    <cfRule type="cellIs" dxfId="3465" priority="1017" operator="equal">
      <formula>6.5</formula>
    </cfRule>
    <cfRule type="cellIs" dxfId="3464" priority="1018" operator="equal">
      <formula>6</formula>
    </cfRule>
    <cfRule type="cellIs" dxfId="3463" priority="1019" operator="equal">
      <formula>5.5</formula>
    </cfRule>
    <cfRule type="cellIs" dxfId="3462" priority="1020" operator="equal">
      <formula>5</formula>
    </cfRule>
    <cfRule type="cellIs" dxfId="3461" priority="1021" operator="equal">
      <formula>4.5</formula>
    </cfRule>
    <cfRule type="cellIs" dxfId="3460" priority="1022" operator="equal">
      <formula>4</formula>
    </cfRule>
    <cfRule type="cellIs" dxfId="3459" priority="1023" operator="equal">
      <formula>3.5</formula>
    </cfRule>
    <cfRule type="cellIs" dxfId="3458" priority="1024" operator="equal">
      <formula>3</formula>
    </cfRule>
    <cfRule type="cellIs" dxfId="3457" priority="1025" operator="equal">
      <formula>2.5</formula>
    </cfRule>
    <cfRule type="cellIs" dxfId="3456" priority="1026" operator="equal">
      <formula>2</formula>
    </cfRule>
    <cfRule type="cellIs" dxfId="3455" priority="1027" operator="equal">
      <formula>1.5</formula>
    </cfRule>
    <cfRule type="cellIs" dxfId="3454" priority="1028" operator="equal">
      <formula>1</formula>
    </cfRule>
  </conditionalFormatting>
  <conditionalFormatting sqref="H107">
    <cfRule type="cellIs" dxfId="3453" priority="1003" operator="greaterThan">
      <formula>6.6</formula>
    </cfRule>
    <cfRule type="cellIs" dxfId="3452" priority="1004" operator="equal">
      <formula>6.5</formula>
    </cfRule>
    <cfRule type="cellIs" dxfId="3451" priority="1005" operator="equal">
      <formula>6</formula>
    </cfRule>
    <cfRule type="cellIs" dxfId="3450" priority="1006" operator="equal">
      <formula>5.5</formula>
    </cfRule>
    <cfRule type="cellIs" dxfId="3449" priority="1007" operator="equal">
      <formula>5</formula>
    </cfRule>
    <cfRule type="cellIs" dxfId="3448" priority="1008" operator="equal">
      <formula>4.5</formula>
    </cfRule>
    <cfRule type="cellIs" dxfId="3447" priority="1009" operator="equal">
      <formula>4</formula>
    </cfRule>
    <cfRule type="cellIs" dxfId="3446" priority="1010" operator="equal">
      <formula>3.5</formula>
    </cfRule>
    <cfRule type="cellIs" dxfId="3445" priority="1011" operator="equal">
      <formula>3</formula>
    </cfRule>
    <cfRule type="cellIs" dxfId="3444" priority="1012" operator="equal">
      <formula>2.5</formula>
    </cfRule>
    <cfRule type="cellIs" dxfId="3443" priority="1013" operator="equal">
      <formula>2</formula>
    </cfRule>
    <cfRule type="cellIs" dxfId="3442" priority="1014" operator="equal">
      <formula>1.5</formula>
    </cfRule>
    <cfRule type="cellIs" dxfId="3441" priority="1015" operator="equal">
      <formula>1</formula>
    </cfRule>
  </conditionalFormatting>
  <conditionalFormatting sqref="J107">
    <cfRule type="cellIs" dxfId="3440" priority="990" operator="greaterThan">
      <formula>6.6</formula>
    </cfRule>
    <cfRule type="cellIs" dxfId="3439" priority="991" operator="equal">
      <formula>6.5</formula>
    </cfRule>
    <cfRule type="cellIs" dxfId="3438" priority="992" operator="equal">
      <formula>6</formula>
    </cfRule>
    <cfRule type="cellIs" dxfId="3437" priority="993" operator="equal">
      <formula>5.5</formula>
    </cfRule>
    <cfRule type="cellIs" dxfId="3436" priority="994" operator="equal">
      <formula>5</formula>
    </cfRule>
    <cfRule type="cellIs" dxfId="3435" priority="995" operator="equal">
      <formula>4.5</formula>
    </cfRule>
    <cfRule type="cellIs" dxfId="3434" priority="996" operator="equal">
      <formula>4</formula>
    </cfRule>
    <cfRule type="cellIs" dxfId="3433" priority="997" operator="equal">
      <formula>3.5</formula>
    </cfRule>
    <cfRule type="cellIs" dxfId="3432" priority="998" operator="equal">
      <formula>3</formula>
    </cfRule>
    <cfRule type="cellIs" dxfId="3431" priority="999" operator="equal">
      <formula>2.5</formula>
    </cfRule>
    <cfRule type="cellIs" dxfId="3430" priority="1000" operator="equal">
      <formula>2</formula>
    </cfRule>
    <cfRule type="cellIs" dxfId="3429" priority="1001" operator="equal">
      <formula>1.5</formula>
    </cfRule>
    <cfRule type="cellIs" dxfId="3428" priority="1002" operator="equal">
      <formula>1</formula>
    </cfRule>
  </conditionalFormatting>
  <conditionalFormatting sqref="F110">
    <cfRule type="cellIs" dxfId="3427" priority="977" operator="greaterThan">
      <formula>6.6</formula>
    </cfRule>
    <cfRule type="cellIs" dxfId="3426" priority="978" operator="equal">
      <formula>6.5</formula>
    </cfRule>
    <cfRule type="cellIs" dxfId="3425" priority="979" operator="equal">
      <formula>6</formula>
    </cfRule>
    <cfRule type="cellIs" dxfId="3424" priority="980" operator="equal">
      <formula>5.5</formula>
    </cfRule>
    <cfRule type="cellIs" dxfId="3423" priority="981" operator="equal">
      <formula>5</formula>
    </cfRule>
    <cfRule type="cellIs" dxfId="3422" priority="982" operator="equal">
      <formula>4.5</formula>
    </cfRule>
    <cfRule type="cellIs" dxfId="3421" priority="983" operator="equal">
      <formula>4</formula>
    </cfRule>
    <cfRule type="cellIs" dxfId="3420" priority="984" operator="equal">
      <formula>3.5</formula>
    </cfRule>
    <cfRule type="cellIs" dxfId="3419" priority="985" operator="equal">
      <formula>3</formula>
    </cfRule>
    <cfRule type="cellIs" dxfId="3418" priority="986" operator="equal">
      <formula>2.5</formula>
    </cfRule>
    <cfRule type="cellIs" dxfId="3417" priority="987" operator="equal">
      <formula>2</formula>
    </cfRule>
    <cfRule type="cellIs" dxfId="3416" priority="988" operator="equal">
      <formula>1.5</formula>
    </cfRule>
    <cfRule type="cellIs" dxfId="3415" priority="989" operator="equal">
      <formula>1</formula>
    </cfRule>
  </conditionalFormatting>
  <conditionalFormatting sqref="H110">
    <cfRule type="cellIs" dxfId="3414" priority="964" operator="greaterThan">
      <formula>6.6</formula>
    </cfRule>
    <cfRule type="cellIs" dxfId="3413" priority="965" operator="equal">
      <formula>6.5</formula>
    </cfRule>
    <cfRule type="cellIs" dxfId="3412" priority="966" operator="equal">
      <formula>6</formula>
    </cfRule>
    <cfRule type="cellIs" dxfId="3411" priority="967" operator="equal">
      <formula>5.5</formula>
    </cfRule>
    <cfRule type="cellIs" dxfId="3410" priority="968" operator="equal">
      <formula>5</formula>
    </cfRule>
    <cfRule type="cellIs" dxfId="3409" priority="969" operator="equal">
      <formula>4.5</formula>
    </cfRule>
    <cfRule type="cellIs" dxfId="3408" priority="970" operator="equal">
      <formula>4</formula>
    </cfRule>
    <cfRule type="cellIs" dxfId="3407" priority="971" operator="equal">
      <formula>3.5</formula>
    </cfRule>
    <cfRule type="cellIs" dxfId="3406" priority="972" operator="equal">
      <formula>3</formula>
    </cfRule>
    <cfRule type="cellIs" dxfId="3405" priority="973" operator="equal">
      <formula>2.5</formula>
    </cfRule>
    <cfRule type="cellIs" dxfId="3404" priority="974" operator="equal">
      <formula>2</formula>
    </cfRule>
    <cfRule type="cellIs" dxfId="3403" priority="975" operator="equal">
      <formula>1.5</formula>
    </cfRule>
    <cfRule type="cellIs" dxfId="3402" priority="976" operator="equal">
      <formula>1</formula>
    </cfRule>
  </conditionalFormatting>
  <conditionalFormatting sqref="J110">
    <cfRule type="cellIs" dxfId="3401" priority="951" operator="greaterThan">
      <formula>6.6</formula>
    </cfRule>
    <cfRule type="cellIs" dxfId="3400" priority="952" operator="equal">
      <formula>6.5</formula>
    </cfRule>
    <cfRule type="cellIs" dxfId="3399" priority="953" operator="equal">
      <formula>6</formula>
    </cfRule>
    <cfRule type="cellIs" dxfId="3398" priority="954" operator="equal">
      <formula>5.5</formula>
    </cfRule>
    <cfRule type="cellIs" dxfId="3397" priority="955" operator="equal">
      <formula>5</formula>
    </cfRule>
    <cfRule type="cellIs" dxfId="3396" priority="956" operator="equal">
      <formula>4.5</formula>
    </cfRule>
    <cfRule type="cellIs" dxfId="3395" priority="957" operator="equal">
      <formula>4</formula>
    </cfRule>
    <cfRule type="cellIs" dxfId="3394" priority="958" operator="equal">
      <formula>3.5</formula>
    </cfRule>
    <cfRule type="cellIs" dxfId="3393" priority="959" operator="equal">
      <formula>3</formula>
    </cfRule>
    <cfRule type="cellIs" dxfId="3392" priority="960" operator="equal">
      <formula>2.5</formula>
    </cfRule>
    <cfRule type="cellIs" dxfId="3391" priority="961" operator="equal">
      <formula>2</formula>
    </cfRule>
    <cfRule type="cellIs" dxfId="3390" priority="962" operator="equal">
      <formula>1.5</formula>
    </cfRule>
    <cfRule type="cellIs" dxfId="3389" priority="963" operator="equal">
      <formula>1</formula>
    </cfRule>
  </conditionalFormatting>
  <conditionalFormatting sqref="F113">
    <cfRule type="cellIs" dxfId="3388" priority="938" operator="greaterThan">
      <formula>6.6</formula>
    </cfRule>
    <cfRule type="cellIs" dxfId="3387" priority="939" operator="equal">
      <formula>6.5</formula>
    </cfRule>
    <cfRule type="cellIs" dxfId="3386" priority="940" operator="equal">
      <formula>6</formula>
    </cfRule>
    <cfRule type="cellIs" dxfId="3385" priority="941" operator="equal">
      <formula>5.5</formula>
    </cfRule>
    <cfRule type="cellIs" dxfId="3384" priority="942" operator="equal">
      <formula>5</formula>
    </cfRule>
    <cfRule type="cellIs" dxfId="3383" priority="943" operator="equal">
      <formula>4.5</formula>
    </cfRule>
    <cfRule type="cellIs" dxfId="3382" priority="944" operator="equal">
      <formula>4</formula>
    </cfRule>
    <cfRule type="cellIs" dxfId="3381" priority="945" operator="equal">
      <formula>3.5</formula>
    </cfRule>
    <cfRule type="cellIs" dxfId="3380" priority="946" operator="equal">
      <formula>3</formula>
    </cfRule>
    <cfRule type="cellIs" dxfId="3379" priority="947" operator="equal">
      <formula>2.5</formula>
    </cfRule>
    <cfRule type="cellIs" dxfId="3378" priority="948" operator="equal">
      <formula>2</formula>
    </cfRule>
    <cfRule type="cellIs" dxfId="3377" priority="949" operator="equal">
      <formula>1.5</formula>
    </cfRule>
    <cfRule type="cellIs" dxfId="3376" priority="950" operator="equal">
      <formula>1</formula>
    </cfRule>
  </conditionalFormatting>
  <conditionalFormatting sqref="H113">
    <cfRule type="cellIs" dxfId="3375" priority="925" operator="greaterThan">
      <formula>6.6</formula>
    </cfRule>
    <cfRule type="cellIs" dxfId="3374" priority="926" operator="equal">
      <formula>6.5</formula>
    </cfRule>
    <cfRule type="cellIs" dxfId="3373" priority="927" operator="equal">
      <formula>6</formula>
    </cfRule>
    <cfRule type="cellIs" dxfId="3372" priority="928" operator="equal">
      <formula>5.5</formula>
    </cfRule>
    <cfRule type="cellIs" dxfId="3371" priority="929" operator="equal">
      <formula>5</formula>
    </cfRule>
    <cfRule type="cellIs" dxfId="3370" priority="930" operator="equal">
      <formula>4.5</formula>
    </cfRule>
    <cfRule type="cellIs" dxfId="3369" priority="931" operator="equal">
      <formula>4</formula>
    </cfRule>
    <cfRule type="cellIs" dxfId="3368" priority="932" operator="equal">
      <formula>3.5</formula>
    </cfRule>
    <cfRule type="cellIs" dxfId="3367" priority="933" operator="equal">
      <formula>3</formula>
    </cfRule>
    <cfRule type="cellIs" dxfId="3366" priority="934" operator="equal">
      <formula>2.5</formula>
    </cfRule>
    <cfRule type="cellIs" dxfId="3365" priority="935" operator="equal">
      <formula>2</formula>
    </cfRule>
    <cfRule type="cellIs" dxfId="3364" priority="936" operator="equal">
      <formula>1.5</formula>
    </cfRule>
    <cfRule type="cellIs" dxfId="3363" priority="937" operator="equal">
      <formula>1</formula>
    </cfRule>
  </conditionalFormatting>
  <conditionalFormatting sqref="J113">
    <cfRule type="cellIs" dxfId="3362" priority="912" operator="greaterThan">
      <formula>6.6</formula>
    </cfRule>
    <cfRule type="cellIs" dxfId="3361" priority="913" operator="equal">
      <formula>6.5</formula>
    </cfRule>
    <cfRule type="cellIs" dxfId="3360" priority="914" operator="equal">
      <formula>6</formula>
    </cfRule>
    <cfRule type="cellIs" dxfId="3359" priority="915" operator="equal">
      <formula>5.5</formula>
    </cfRule>
    <cfRule type="cellIs" dxfId="3358" priority="916" operator="equal">
      <formula>5</formula>
    </cfRule>
    <cfRule type="cellIs" dxfId="3357" priority="917" operator="equal">
      <formula>4.5</formula>
    </cfRule>
    <cfRule type="cellIs" dxfId="3356" priority="918" operator="equal">
      <formula>4</formula>
    </cfRule>
    <cfRule type="cellIs" dxfId="3355" priority="919" operator="equal">
      <formula>3.5</formula>
    </cfRule>
    <cfRule type="cellIs" dxfId="3354" priority="920" operator="equal">
      <formula>3</formula>
    </cfRule>
    <cfRule type="cellIs" dxfId="3353" priority="921" operator="equal">
      <formula>2.5</formula>
    </cfRule>
    <cfRule type="cellIs" dxfId="3352" priority="922" operator="equal">
      <formula>2</formula>
    </cfRule>
    <cfRule type="cellIs" dxfId="3351" priority="923" operator="equal">
      <formula>1.5</formula>
    </cfRule>
    <cfRule type="cellIs" dxfId="3350" priority="924" operator="equal">
      <formula>1</formula>
    </cfRule>
  </conditionalFormatting>
  <conditionalFormatting sqref="F116">
    <cfRule type="cellIs" dxfId="3349" priority="899" operator="greaterThan">
      <formula>6.6</formula>
    </cfRule>
    <cfRule type="cellIs" dxfId="3348" priority="900" operator="equal">
      <formula>6.5</formula>
    </cfRule>
    <cfRule type="cellIs" dxfId="3347" priority="901" operator="equal">
      <formula>6</formula>
    </cfRule>
    <cfRule type="cellIs" dxfId="3346" priority="902" operator="equal">
      <formula>5.5</formula>
    </cfRule>
    <cfRule type="cellIs" dxfId="3345" priority="903" operator="equal">
      <formula>5</formula>
    </cfRule>
    <cfRule type="cellIs" dxfId="3344" priority="904" operator="equal">
      <formula>4.5</formula>
    </cfRule>
    <cfRule type="cellIs" dxfId="3343" priority="905" operator="equal">
      <formula>4</formula>
    </cfRule>
    <cfRule type="cellIs" dxfId="3342" priority="906" operator="equal">
      <formula>3.5</formula>
    </cfRule>
    <cfRule type="cellIs" dxfId="3341" priority="907" operator="equal">
      <formula>3</formula>
    </cfRule>
    <cfRule type="cellIs" dxfId="3340" priority="908" operator="equal">
      <formula>2.5</formula>
    </cfRule>
    <cfRule type="cellIs" dxfId="3339" priority="909" operator="equal">
      <formula>2</formula>
    </cfRule>
    <cfRule type="cellIs" dxfId="3338" priority="910" operator="equal">
      <formula>1.5</formula>
    </cfRule>
    <cfRule type="cellIs" dxfId="3337" priority="911" operator="equal">
      <formula>1</formula>
    </cfRule>
  </conditionalFormatting>
  <conditionalFormatting sqref="H116">
    <cfRule type="cellIs" dxfId="3336" priority="886" operator="greaterThan">
      <formula>6.6</formula>
    </cfRule>
    <cfRule type="cellIs" dxfId="3335" priority="887" operator="equal">
      <formula>6.5</formula>
    </cfRule>
    <cfRule type="cellIs" dxfId="3334" priority="888" operator="equal">
      <formula>6</formula>
    </cfRule>
    <cfRule type="cellIs" dxfId="3333" priority="889" operator="equal">
      <formula>5.5</formula>
    </cfRule>
    <cfRule type="cellIs" dxfId="3332" priority="890" operator="equal">
      <formula>5</formula>
    </cfRule>
    <cfRule type="cellIs" dxfId="3331" priority="891" operator="equal">
      <formula>4.5</formula>
    </cfRule>
    <cfRule type="cellIs" dxfId="3330" priority="892" operator="equal">
      <formula>4</formula>
    </cfRule>
    <cfRule type="cellIs" dxfId="3329" priority="893" operator="equal">
      <formula>3.5</formula>
    </cfRule>
    <cfRule type="cellIs" dxfId="3328" priority="894" operator="equal">
      <formula>3</formula>
    </cfRule>
    <cfRule type="cellIs" dxfId="3327" priority="895" operator="equal">
      <formula>2.5</formula>
    </cfRule>
    <cfRule type="cellIs" dxfId="3326" priority="896" operator="equal">
      <formula>2</formula>
    </cfRule>
    <cfRule type="cellIs" dxfId="3325" priority="897" operator="equal">
      <formula>1.5</formula>
    </cfRule>
    <cfRule type="cellIs" dxfId="3324" priority="898" operator="equal">
      <formula>1</formula>
    </cfRule>
  </conditionalFormatting>
  <conditionalFormatting sqref="J116">
    <cfRule type="cellIs" dxfId="3323" priority="873" operator="greaterThan">
      <formula>6.6</formula>
    </cfRule>
    <cfRule type="cellIs" dxfId="3322" priority="874" operator="equal">
      <formula>6.5</formula>
    </cfRule>
    <cfRule type="cellIs" dxfId="3321" priority="875" operator="equal">
      <formula>6</formula>
    </cfRule>
    <cfRule type="cellIs" dxfId="3320" priority="876" operator="equal">
      <formula>5.5</formula>
    </cfRule>
    <cfRule type="cellIs" dxfId="3319" priority="877" operator="equal">
      <formula>5</formula>
    </cfRule>
    <cfRule type="cellIs" dxfId="3318" priority="878" operator="equal">
      <formula>4.5</formula>
    </cfRule>
    <cfRule type="cellIs" dxfId="3317" priority="879" operator="equal">
      <formula>4</formula>
    </cfRule>
    <cfRule type="cellIs" dxfId="3316" priority="880" operator="equal">
      <formula>3.5</formula>
    </cfRule>
    <cfRule type="cellIs" dxfId="3315" priority="881" operator="equal">
      <formula>3</formula>
    </cfRule>
    <cfRule type="cellIs" dxfId="3314" priority="882" operator="equal">
      <formula>2.5</formula>
    </cfRule>
    <cfRule type="cellIs" dxfId="3313" priority="883" operator="equal">
      <formula>2</formula>
    </cfRule>
    <cfRule type="cellIs" dxfId="3312" priority="884" operator="equal">
      <formula>1.5</formula>
    </cfRule>
    <cfRule type="cellIs" dxfId="3311" priority="885" operator="equal">
      <formula>1</formula>
    </cfRule>
  </conditionalFormatting>
  <conditionalFormatting sqref="F119">
    <cfRule type="cellIs" dxfId="3310" priority="860" operator="greaterThan">
      <formula>6.6</formula>
    </cfRule>
    <cfRule type="cellIs" dxfId="3309" priority="861" operator="equal">
      <formula>6.5</formula>
    </cfRule>
    <cfRule type="cellIs" dxfId="3308" priority="862" operator="equal">
      <formula>6</formula>
    </cfRule>
    <cfRule type="cellIs" dxfId="3307" priority="863" operator="equal">
      <formula>5.5</formula>
    </cfRule>
    <cfRule type="cellIs" dxfId="3306" priority="864" operator="equal">
      <formula>5</formula>
    </cfRule>
    <cfRule type="cellIs" dxfId="3305" priority="865" operator="equal">
      <formula>4.5</formula>
    </cfRule>
    <cfRule type="cellIs" dxfId="3304" priority="866" operator="equal">
      <formula>4</formula>
    </cfRule>
    <cfRule type="cellIs" dxfId="3303" priority="867" operator="equal">
      <formula>3.5</formula>
    </cfRule>
    <cfRule type="cellIs" dxfId="3302" priority="868" operator="equal">
      <formula>3</formula>
    </cfRule>
    <cfRule type="cellIs" dxfId="3301" priority="869" operator="equal">
      <formula>2.5</formula>
    </cfRule>
    <cfRule type="cellIs" dxfId="3300" priority="870" operator="equal">
      <formula>2</formula>
    </cfRule>
    <cfRule type="cellIs" dxfId="3299" priority="871" operator="equal">
      <formula>1.5</formula>
    </cfRule>
    <cfRule type="cellIs" dxfId="3298" priority="872" operator="equal">
      <formula>1</formula>
    </cfRule>
  </conditionalFormatting>
  <conditionalFormatting sqref="H119">
    <cfRule type="cellIs" dxfId="3297" priority="847" operator="greaterThan">
      <formula>6.6</formula>
    </cfRule>
    <cfRule type="cellIs" dxfId="3296" priority="848" operator="equal">
      <formula>6.5</formula>
    </cfRule>
    <cfRule type="cellIs" dxfId="3295" priority="849" operator="equal">
      <formula>6</formula>
    </cfRule>
    <cfRule type="cellIs" dxfId="3294" priority="850" operator="equal">
      <formula>5.5</formula>
    </cfRule>
    <cfRule type="cellIs" dxfId="3293" priority="851" operator="equal">
      <formula>5</formula>
    </cfRule>
    <cfRule type="cellIs" dxfId="3292" priority="852" operator="equal">
      <formula>4.5</formula>
    </cfRule>
    <cfRule type="cellIs" dxfId="3291" priority="853" operator="equal">
      <formula>4</formula>
    </cfRule>
    <cfRule type="cellIs" dxfId="3290" priority="854" operator="equal">
      <formula>3.5</formula>
    </cfRule>
    <cfRule type="cellIs" dxfId="3289" priority="855" operator="equal">
      <formula>3</formula>
    </cfRule>
    <cfRule type="cellIs" dxfId="3288" priority="856" operator="equal">
      <formula>2.5</formula>
    </cfRule>
    <cfRule type="cellIs" dxfId="3287" priority="857" operator="equal">
      <formula>2</formula>
    </cfRule>
    <cfRule type="cellIs" dxfId="3286" priority="858" operator="equal">
      <formula>1.5</formula>
    </cfRule>
    <cfRule type="cellIs" dxfId="3285" priority="859" operator="equal">
      <formula>1</formula>
    </cfRule>
  </conditionalFormatting>
  <conditionalFormatting sqref="J119">
    <cfRule type="cellIs" dxfId="3284" priority="834" operator="greaterThan">
      <formula>6.6</formula>
    </cfRule>
    <cfRule type="cellIs" dxfId="3283" priority="835" operator="equal">
      <formula>6.5</formula>
    </cfRule>
    <cfRule type="cellIs" dxfId="3282" priority="836" operator="equal">
      <formula>6</formula>
    </cfRule>
    <cfRule type="cellIs" dxfId="3281" priority="837" operator="equal">
      <formula>5.5</formula>
    </cfRule>
    <cfRule type="cellIs" dxfId="3280" priority="838" operator="equal">
      <formula>5</formula>
    </cfRule>
    <cfRule type="cellIs" dxfId="3279" priority="839" operator="equal">
      <formula>4.5</formula>
    </cfRule>
    <cfRule type="cellIs" dxfId="3278" priority="840" operator="equal">
      <formula>4</formula>
    </cfRule>
    <cfRule type="cellIs" dxfId="3277" priority="841" operator="equal">
      <formula>3.5</formula>
    </cfRule>
    <cfRule type="cellIs" dxfId="3276" priority="842" operator="equal">
      <formula>3</formula>
    </cfRule>
    <cfRule type="cellIs" dxfId="3275" priority="843" operator="equal">
      <formula>2.5</formula>
    </cfRule>
    <cfRule type="cellIs" dxfId="3274" priority="844" operator="equal">
      <formula>2</formula>
    </cfRule>
    <cfRule type="cellIs" dxfId="3273" priority="845" operator="equal">
      <formula>1.5</formula>
    </cfRule>
    <cfRule type="cellIs" dxfId="3272" priority="846" operator="equal">
      <formula>1</formula>
    </cfRule>
  </conditionalFormatting>
  <conditionalFormatting sqref="F122">
    <cfRule type="cellIs" dxfId="3271" priority="821" operator="greaterThan">
      <formula>6.6</formula>
    </cfRule>
    <cfRule type="cellIs" dxfId="3270" priority="822" operator="equal">
      <formula>6.5</formula>
    </cfRule>
    <cfRule type="cellIs" dxfId="3269" priority="823" operator="equal">
      <formula>6</formula>
    </cfRule>
    <cfRule type="cellIs" dxfId="3268" priority="824" operator="equal">
      <formula>5.5</formula>
    </cfRule>
    <cfRule type="cellIs" dxfId="3267" priority="825" operator="equal">
      <formula>5</formula>
    </cfRule>
    <cfRule type="cellIs" dxfId="3266" priority="826" operator="equal">
      <formula>4.5</formula>
    </cfRule>
    <cfRule type="cellIs" dxfId="3265" priority="827" operator="equal">
      <formula>4</formula>
    </cfRule>
    <cfRule type="cellIs" dxfId="3264" priority="828" operator="equal">
      <formula>3.5</formula>
    </cfRule>
    <cfRule type="cellIs" dxfId="3263" priority="829" operator="equal">
      <formula>3</formula>
    </cfRule>
    <cfRule type="cellIs" dxfId="3262" priority="830" operator="equal">
      <formula>2.5</formula>
    </cfRule>
    <cfRule type="cellIs" dxfId="3261" priority="831" operator="equal">
      <formula>2</formula>
    </cfRule>
    <cfRule type="cellIs" dxfId="3260" priority="832" operator="equal">
      <formula>1.5</formula>
    </cfRule>
    <cfRule type="cellIs" dxfId="3259" priority="833" operator="equal">
      <formula>1</formula>
    </cfRule>
  </conditionalFormatting>
  <conditionalFormatting sqref="H122">
    <cfRule type="cellIs" dxfId="3258" priority="808" operator="greaterThan">
      <formula>6.6</formula>
    </cfRule>
    <cfRule type="cellIs" dxfId="3257" priority="809" operator="equal">
      <formula>6.5</formula>
    </cfRule>
    <cfRule type="cellIs" dxfId="3256" priority="810" operator="equal">
      <formula>6</formula>
    </cfRule>
    <cfRule type="cellIs" dxfId="3255" priority="811" operator="equal">
      <formula>5.5</formula>
    </cfRule>
    <cfRule type="cellIs" dxfId="3254" priority="812" operator="equal">
      <formula>5</formula>
    </cfRule>
    <cfRule type="cellIs" dxfId="3253" priority="813" operator="equal">
      <formula>4.5</formula>
    </cfRule>
    <cfRule type="cellIs" dxfId="3252" priority="814" operator="equal">
      <formula>4</formula>
    </cfRule>
    <cfRule type="cellIs" dxfId="3251" priority="815" operator="equal">
      <formula>3.5</formula>
    </cfRule>
    <cfRule type="cellIs" dxfId="3250" priority="816" operator="equal">
      <formula>3</formula>
    </cfRule>
    <cfRule type="cellIs" dxfId="3249" priority="817" operator="equal">
      <formula>2.5</formula>
    </cfRule>
    <cfRule type="cellIs" dxfId="3248" priority="818" operator="equal">
      <formula>2</formula>
    </cfRule>
    <cfRule type="cellIs" dxfId="3247" priority="819" operator="equal">
      <formula>1.5</formula>
    </cfRule>
    <cfRule type="cellIs" dxfId="3246" priority="820" operator="equal">
      <formula>1</formula>
    </cfRule>
  </conditionalFormatting>
  <conditionalFormatting sqref="J122">
    <cfRule type="cellIs" dxfId="3245" priority="795" operator="greaterThan">
      <formula>6.6</formula>
    </cfRule>
    <cfRule type="cellIs" dxfId="3244" priority="796" operator="equal">
      <formula>6.5</formula>
    </cfRule>
    <cfRule type="cellIs" dxfId="3243" priority="797" operator="equal">
      <formula>6</formula>
    </cfRule>
    <cfRule type="cellIs" dxfId="3242" priority="798" operator="equal">
      <formula>5.5</formula>
    </cfRule>
    <cfRule type="cellIs" dxfId="3241" priority="799" operator="equal">
      <formula>5</formula>
    </cfRule>
    <cfRule type="cellIs" dxfId="3240" priority="800" operator="equal">
      <formula>4.5</formula>
    </cfRule>
    <cfRule type="cellIs" dxfId="3239" priority="801" operator="equal">
      <formula>4</formula>
    </cfRule>
    <cfRule type="cellIs" dxfId="3238" priority="802" operator="equal">
      <formula>3.5</formula>
    </cfRule>
    <cfRule type="cellIs" dxfId="3237" priority="803" operator="equal">
      <formula>3</formula>
    </cfRule>
    <cfRule type="cellIs" dxfId="3236" priority="804" operator="equal">
      <formula>2.5</formula>
    </cfRule>
    <cfRule type="cellIs" dxfId="3235" priority="805" operator="equal">
      <formula>2</formula>
    </cfRule>
    <cfRule type="cellIs" dxfId="3234" priority="806" operator="equal">
      <formula>1.5</formula>
    </cfRule>
    <cfRule type="cellIs" dxfId="3233" priority="807" operator="equal">
      <formula>1</formula>
    </cfRule>
  </conditionalFormatting>
  <conditionalFormatting sqref="F125">
    <cfRule type="cellIs" dxfId="3232" priority="782" operator="greaterThan">
      <formula>6.6</formula>
    </cfRule>
    <cfRule type="cellIs" dxfId="3231" priority="783" operator="equal">
      <formula>6.5</formula>
    </cfRule>
    <cfRule type="cellIs" dxfId="3230" priority="784" operator="equal">
      <formula>6</formula>
    </cfRule>
    <cfRule type="cellIs" dxfId="3229" priority="785" operator="equal">
      <formula>5.5</formula>
    </cfRule>
    <cfRule type="cellIs" dxfId="3228" priority="786" operator="equal">
      <formula>5</formula>
    </cfRule>
    <cfRule type="cellIs" dxfId="3227" priority="787" operator="equal">
      <formula>4.5</formula>
    </cfRule>
    <cfRule type="cellIs" dxfId="3226" priority="788" operator="equal">
      <formula>4</formula>
    </cfRule>
    <cfRule type="cellIs" dxfId="3225" priority="789" operator="equal">
      <formula>3.5</formula>
    </cfRule>
    <cfRule type="cellIs" dxfId="3224" priority="790" operator="equal">
      <formula>3</formula>
    </cfRule>
    <cfRule type="cellIs" dxfId="3223" priority="791" operator="equal">
      <formula>2.5</formula>
    </cfRule>
    <cfRule type="cellIs" dxfId="3222" priority="792" operator="equal">
      <formula>2</formula>
    </cfRule>
    <cfRule type="cellIs" dxfId="3221" priority="793" operator="equal">
      <formula>1.5</formula>
    </cfRule>
    <cfRule type="cellIs" dxfId="3220" priority="794" operator="equal">
      <formula>1</formula>
    </cfRule>
  </conditionalFormatting>
  <conditionalFormatting sqref="H125">
    <cfRule type="cellIs" dxfId="3219" priority="769" operator="greaterThan">
      <formula>6.6</formula>
    </cfRule>
    <cfRule type="cellIs" dxfId="3218" priority="770" operator="equal">
      <formula>6.5</formula>
    </cfRule>
    <cfRule type="cellIs" dxfId="3217" priority="771" operator="equal">
      <formula>6</formula>
    </cfRule>
    <cfRule type="cellIs" dxfId="3216" priority="772" operator="equal">
      <formula>5.5</formula>
    </cfRule>
    <cfRule type="cellIs" dxfId="3215" priority="773" operator="equal">
      <formula>5</formula>
    </cfRule>
    <cfRule type="cellIs" dxfId="3214" priority="774" operator="equal">
      <formula>4.5</formula>
    </cfRule>
    <cfRule type="cellIs" dxfId="3213" priority="775" operator="equal">
      <formula>4</formula>
    </cfRule>
    <cfRule type="cellIs" dxfId="3212" priority="776" operator="equal">
      <formula>3.5</formula>
    </cfRule>
    <cfRule type="cellIs" dxfId="3211" priority="777" operator="equal">
      <formula>3</formula>
    </cfRule>
    <cfRule type="cellIs" dxfId="3210" priority="778" operator="equal">
      <formula>2.5</formula>
    </cfRule>
    <cfRule type="cellIs" dxfId="3209" priority="779" operator="equal">
      <formula>2</formula>
    </cfRule>
    <cfRule type="cellIs" dxfId="3208" priority="780" operator="equal">
      <formula>1.5</formula>
    </cfRule>
    <cfRule type="cellIs" dxfId="3207" priority="781" operator="equal">
      <formula>1</formula>
    </cfRule>
  </conditionalFormatting>
  <conditionalFormatting sqref="J125">
    <cfRule type="cellIs" dxfId="3206" priority="756" operator="greaterThan">
      <formula>6.6</formula>
    </cfRule>
    <cfRule type="cellIs" dxfId="3205" priority="757" operator="equal">
      <formula>6.5</formula>
    </cfRule>
    <cfRule type="cellIs" dxfId="3204" priority="758" operator="equal">
      <formula>6</formula>
    </cfRule>
    <cfRule type="cellIs" dxfId="3203" priority="759" operator="equal">
      <formula>5.5</formula>
    </cfRule>
    <cfRule type="cellIs" dxfId="3202" priority="760" operator="equal">
      <formula>5</formula>
    </cfRule>
    <cfRule type="cellIs" dxfId="3201" priority="761" operator="equal">
      <formula>4.5</formula>
    </cfRule>
    <cfRule type="cellIs" dxfId="3200" priority="762" operator="equal">
      <formula>4</formula>
    </cfRule>
    <cfRule type="cellIs" dxfId="3199" priority="763" operator="equal">
      <formula>3.5</formula>
    </cfRule>
    <cfRule type="cellIs" dxfId="3198" priority="764" operator="equal">
      <formula>3</formula>
    </cfRule>
    <cfRule type="cellIs" dxfId="3197" priority="765" operator="equal">
      <formula>2.5</formula>
    </cfRule>
    <cfRule type="cellIs" dxfId="3196" priority="766" operator="equal">
      <formula>2</formula>
    </cfRule>
    <cfRule type="cellIs" dxfId="3195" priority="767" operator="equal">
      <formula>1.5</formula>
    </cfRule>
    <cfRule type="cellIs" dxfId="3194" priority="768" operator="equal">
      <formula>1</formula>
    </cfRule>
  </conditionalFormatting>
  <conditionalFormatting sqref="F128">
    <cfRule type="cellIs" dxfId="3193" priority="743" operator="greaterThan">
      <formula>6.6</formula>
    </cfRule>
    <cfRule type="cellIs" dxfId="3192" priority="744" operator="equal">
      <formula>6.5</formula>
    </cfRule>
    <cfRule type="cellIs" dxfId="3191" priority="745" operator="equal">
      <formula>6</formula>
    </cfRule>
    <cfRule type="cellIs" dxfId="3190" priority="746" operator="equal">
      <formula>5.5</formula>
    </cfRule>
    <cfRule type="cellIs" dxfId="3189" priority="747" operator="equal">
      <formula>5</formula>
    </cfRule>
    <cfRule type="cellIs" dxfId="3188" priority="748" operator="equal">
      <formula>4.5</formula>
    </cfRule>
    <cfRule type="cellIs" dxfId="3187" priority="749" operator="equal">
      <formula>4</formula>
    </cfRule>
    <cfRule type="cellIs" dxfId="3186" priority="750" operator="equal">
      <formula>3.5</formula>
    </cfRule>
    <cfRule type="cellIs" dxfId="3185" priority="751" operator="equal">
      <formula>3</formula>
    </cfRule>
    <cfRule type="cellIs" dxfId="3184" priority="752" operator="equal">
      <formula>2.5</formula>
    </cfRule>
    <cfRule type="cellIs" dxfId="3183" priority="753" operator="equal">
      <formula>2</formula>
    </cfRule>
    <cfRule type="cellIs" dxfId="3182" priority="754" operator="equal">
      <formula>1.5</formula>
    </cfRule>
    <cfRule type="cellIs" dxfId="3181" priority="755" operator="equal">
      <formula>1</formula>
    </cfRule>
  </conditionalFormatting>
  <conditionalFormatting sqref="H128">
    <cfRule type="cellIs" dxfId="3180" priority="730" operator="greaterThan">
      <formula>6.6</formula>
    </cfRule>
    <cfRule type="cellIs" dxfId="3179" priority="731" operator="equal">
      <formula>6.5</formula>
    </cfRule>
    <cfRule type="cellIs" dxfId="3178" priority="732" operator="equal">
      <formula>6</formula>
    </cfRule>
    <cfRule type="cellIs" dxfId="3177" priority="733" operator="equal">
      <formula>5.5</formula>
    </cfRule>
    <cfRule type="cellIs" dxfId="3176" priority="734" operator="equal">
      <formula>5</formula>
    </cfRule>
    <cfRule type="cellIs" dxfId="3175" priority="735" operator="equal">
      <formula>4.5</formula>
    </cfRule>
    <cfRule type="cellIs" dxfId="3174" priority="736" operator="equal">
      <formula>4</formula>
    </cfRule>
    <cfRule type="cellIs" dxfId="3173" priority="737" operator="equal">
      <formula>3.5</formula>
    </cfRule>
    <cfRule type="cellIs" dxfId="3172" priority="738" operator="equal">
      <formula>3</formula>
    </cfRule>
    <cfRule type="cellIs" dxfId="3171" priority="739" operator="equal">
      <formula>2.5</formula>
    </cfRule>
    <cfRule type="cellIs" dxfId="3170" priority="740" operator="equal">
      <formula>2</formula>
    </cfRule>
    <cfRule type="cellIs" dxfId="3169" priority="741" operator="equal">
      <formula>1.5</formula>
    </cfRule>
    <cfRule type="cellIs" dxfId="3168" priority="742" operator="equal">
      <formula>1</formula>
    </cfRule>
  </conditionalFormatting>
  <conditionalFormatting sqref="J128">
    <cfRule type="cellIs" dxfId="3167" priority="717" operator="greaterThan">
      <formula>6.6</formula>
    </cfRule>
    <cfRule type="cellIs" dxfId="3166" priority="718" operator="equal">
      <formula>6.5</formula>
    </cfRule>
    <cfRule type="cellIs" dxfId="3165" priority="719" operator="equal">
      <formula>6</formula>
    </cfRule>
    <cfRule type="cellIs" dxfId="3164" priority="720" operator="equal">
      <formula>5.5</formula>
    </cfRule>
    <cfRule type="cellIs" dxfId="3163" priority="721" operator="equal">
      <formula>5</formula>
    </cfRule>
    <cfRule type="cellIs" dxfId="3162" priority="722" operator="equal">
      <formula>4.5</formula>
    </cfRule>
    <cfRule type="cellIs" dxfId="3161" priority="723" operator="equal">
      <formula>4</formula>
    </cfRule>
    <cfRule type="cellIs" dxfId="3160" priority="724" operator="equal">
      <formula>3.5</formula>
    </cfRule>
    <cfRule type="cellIs" dxfId="3159" priority="725" operator="equal">
      <formula>3</formula>
    </cfRule>
    <cfRule type="cellIs" dxfId="3158" priority="726" operator="equal">
      <formula>2.5</formula>
    </cfRule>
    <cfRule type="cellIs" dxfId="3157" priority="727" operator="equal">
      <formula>2</formula>
    </cfRule>
    <cfRule type="cellIs" dxfId="3156" priority="728" operator="equal">
      <formula>1.5</formula>
    </cfRule>
    <cfRule type="cellIs" dxfId="3155" priority="729" operator="equal">
      <formula>1</formula>
    </cfRule>
  </conditionalFormatting>
  <conditionalFormatting sqref="F137">
    <cfRule type="cellIs" dxfId="3154" priority="665" operator="greaterThan">
      <formula>6.6</formula>
    </cfRule>
    <cfRule type="cellIs" dxfId="3153" priority="666" operator="equal">
      <formula>6.5</formula>
    </cfRule>
    <cfRule type="cellIs" dxfId="3152" priority="667" operator="equal">
      <formula>6</formula>
    </cfRule>
    <cfRule type="cellIs" dxfId="3151" priority="668" operator="equal">
      <formula>5.5</formula>
    </cfRule>
    <cfRule type="cellIs" dxfId="3150" priority="669" operator="equal">
      <formula>5</formula>
    </cfRule>
    <cfRule type="cellIs" dxfId="3149" priority="670" operator="equal">
      <formula>4.5</formula>
    </cfRule>
    <cfRule type="cellIs" dxfId="3148" priority="671" operator="equal">
      <formula>4</formula>
    </cfRule>
    <cfRule type="cellIs" dxfId="3147" priority="672" operator="equal">
      <formula>3.5</formula>
    </cfRule>
    <cfRule type="cellIs" dxfId="3146" priority="673" operator="equal">
      <formula>3</formula>
    </cfRule>
    <cfRule type="cellIs" dxfId="3145" priority="674" operator="equal">
      <formula>2.5</formula>
    </cfRule>
    <cfRule type="cellIs" dxfId="3144" priority="675" operator="equal">
      <formula>2</formula>
    </cfRule>
    <cfRule type="cellIs" dxfId="3143" priority="676" operator="equal">
      <formula>1.5</formula>
    </cfRule>
    <cfRule type="cellIs" dxfId="3142" priority="677" operator="equal">
      <formula>1</formula>
    </cfRule>
  </conditionalFormatting>
  <conditionalFormatting sqref="H137">
    <cfRule type="cellIs" dxfId="3141" priority="652" operator="greaterThan">
      <formula>6.6</formula>
    </cfRule>
    <cfRule type="cellIs" dxfId="3140" priority="653" operator="equal">
      <formula>6.5</formula>
    </cfRule>
    <cfRule type="cellIs" dxfId="3139" priority="654" operator="equal">
      <formula>6</formula>
    </cfRule>
    <cfRule type="cellIs" dxfId="3138" priority="655" operator="equal">
      <formula>5.5</formula>
    </cfRule>
    <cfRule type="cellIs" dxfId="3137" priority="656" operator="equal">
      <formula>5</formula>
    </cfRule>
    <cfRule type="cellIs" dxfId="3136" priority="657" operator="equal">
      <formula>4.5</formula>
    </cfRule>
    <cfRule type="cellIs" dxfId="3135" priority="658" operator="equal">
      <formula>4</formula>
    </cfRule>
    <cfRule type="cellIs" dxfId="3134" priority="659" operator="equal">
      <formula>3.5</formula>
    </cfRule>
    <cfRule type="cellIs" dxfId="3133" priority="660" operator="equal">
      <formula>3</formula>
    </cfRule>
    <cfRule type="cellIs" dxfId="3132" priority="661" operator="equal">
      <formula>2.5</formula>
    </cfRule>
    <cfRule type="cellIs" dxfId="3131" priority="662" operator="equal">
      <formula>2</formula>
    </cfRule>
    <cfRule type="cellIs" dxfId="3130" priority="663" operator="equal">
      <formula>1.5</formula>
    </cfRule>
    <cfRule type="cellIs" dxfId="3129" priority="664" operator="equal">
      <formula>1</formula>
    </cfRule>
  </conditionalFormatting>
  <conditionalFormatting sqref="F156">
    <cfRule type="cellIs" dxfId="3128" priority="613" operator="greaterThan">
      <formula>6.6</formula>
    </cfRule>
    <cfRule type="cellIs" dxfId="3127" priority="614" operator="equal">
      <formula>6.5</formula>
    </cfRule>
    <cfRule type="cellIs" dxfId="3126" priority="615" operator="equal">
      <formula>6</formula>
    </cfRule>
    <cfRule type="cellIs" dxfId="3125" priority="616" operator="equal">
      <formula>5.5</formula>
    </cfRule>
    <cfRule type="cellIs" dxfId="3124" priority="617" operator="equal">
      <formula>5</formula>
    </cfRule>
    <cfRule type="cellIs" dxfId="3123" priority="618" operator="equal">
      <formula>4.5</formula>
    </cfRule>
    <cfRule type="cellIs" dxfId="3122" priority="619" operator="equal">
      <formula>4</formula>
    </cfRule>
    <cfRule type="cellIs" dxfId="3121" priority="620" operator="equal">
      <formula>3.5</formula>
    </cfRule>
    <cfRule type="cellIs" dxfId="3120" priority="621" operator="equal">
      <formula>3</formula>
    </cfRule>
    <cfRule type="cellIs" dxfId="3119" priority="622" operator="equal">
      <formula>2.5</formula>
    </cfRule>
    <cfRule type="cellIs" dxfId="3118" priority="623" operator="equal">
      <formula>2</formula>
    </cfRule>
    <cfRule type="cellIs" dxfId="3117" priority="624" operator="equal">
      <formula>1.5</formula>
    </cfRule>
    <cfRule type="cellIs" dxfId="3116" priority="625" operator="equal">
      <formula>1</formula>
    </cfRule>
  </conditionalFormatting>
  <conditionalFormatting sqref="CQ148">
    <cfRule type="expression" dxfId="3115" priority="4257">
      <formula>AND(CQ144&lt;CQ148,CQ148&gt;0)</formula>
    </cfRule>
  </conditionalFormatting>
  <conditionalFormatting sqref="F146 H146">
    <cfRule type="cellIs" dxfId="3114" priority="599" operator="greaterThan">
      <formula>6.6</formula>
    </cfRule>
    <cfRule type="cellIs" dxfId="3113" priority="600" operator="equal">
      <formula>6.5</formula>
    </cfRule>
    <cfRule type="cellIs" dxfId="3112" priority="601" operator="equal">
      <formula>6</formula>
    </cfRule>
    <cfRule type="cellIs" dxfId="3111" priority="602" operator="equal">
      <formula>5.5</formula>
    </cfRule>
    <cfRule type="cellIs" dxfId="3110" priority="603" operator="equal">
      <formula>5</formula>
    </cfRule>
    <cfRule type="cellIs" dxfId="3109" priority="604" operator="equal">
      <formula>4.5</formula>
    </cfRule>
    <cfRule type="cellIs" dxfId="3108" priority="605" operator="equal">
      <formula>4</formula>
    </cfRule>
    <cfRule type="cellIs" dxfId="3107" priority="606" operator="equal">
      <formula>3.5</formula>
    </cfRule>
    <cfRule type="cellIs" dxfId="3106" priority="607" operator="equal">
      <formula>3</formula>
    </cfRule>
    <cfRule type="cellIs" dxfId="3105" priority="608" operator="equal">
      <formula>2.5</formula>
    </cfRule>
    <cfRule type="cellIs" dxfId="3104" priority="609" operator="equal">
      <formula>2</formula>
    </cfRule>
    <cfRule type="cellIs" dxfId="3103" priority="610" operator="equal">
      <formula>1.5</formula>
    </cfRule>
    <cfRule type="cellIs" dxfId="3102" priority="611" operator="equal">
      <formula>1</formula>
    </cfRule>
  </conditionalFormatting>
  <conditionalFormatting sqref="CQ145">
    <cfRule type="expression" dxfId="3101" priority="612">
      <formula>AND(CQ141&lt;CQ145,CQ145&gt;0)</formula>
    </cfRule>
  </conditionalFormatting>
  <conditionalFormatting sqref="H156">
    <cfRule type="cellIs" dxfId="3100" priority="586" operator="greaterThan">
      <formula>6.6</formula>
    </cfRule>
    <cfRule type="cellIs" dxfId="3099" priority="587" operator="equal">
      <formula>6.5</formula>
    </cfRule>
    <cfRule type="cellIs" dxfId="3098" priority="588" operator="equal">
      <formula>6</formula>
    </cfRule>
    <cfRule type="cellIs" dxfId="3097" priority="589" operator="equal">
      <formula>5.5</formula>
    </cfRule>
    <cfRule type="cellIs" dxfId="3096" priority="590" operator="equal">
      <formula>5</formula>
    </cfRule>
    <cfRule type="cellIs" dxfId="3095" priority="591" operator="equal">
      <formula>4.5</formula>
    </cfRule>
    <cfRule type="cellIs" dxfId="3094" priority="592" operator="equal">
      <formula>4</formula>
    </cfRule>
    <cfRule type="cellIs" dxfId="3093" priority="593" operator="equal">
      <formula>3.5</formula>
    </cfRule>
    <cfRule type="cellIs" dxfId="3092" priority="594" operator="equal">
      <formula>3</formula>
    </cfRule>
    <cfRule type="cellIs" dxfId="3091" priority="595" operator="equal">
      <formula>2.5</formula>
    </cfRule>
    <cfRule type="cellIs" dxfId="3090" priority="596" operator="equal">
      <formula>2</formula>
    </cfRule>
    <cfRule type="cellIs" dxfId="3089" priority="597" operator="equal">
      <formula>1.5</formula>
    </cfRule>
    <cfRule type="cellIs" dxfId="3088" priority="598" operator="equal">
      <formula>1</formula>
    </cfRule>
  </conditionalFormatting>
  <conditionalFormatting sqref="R36">
    <cfRule type="cellIs" dxfId="3087" priority="27" operator="greaterThan">
      <formula>6.6</formula>
    </cfRule>
    <cfRule type="cellIs" dxfId="3086" priority="28" operator="equal">
      <formula>6.5</formula>
    </cfRule>
    <cfRule type="cellIs" dxfId="3085" priority="29" operator="equal">
      <formula>6</formula>
    </cfRule>
    <cfRule type="cellIs" dxfId="3084" priority="30" operator="equal">
      <formula>5.5</formula>
    </cfRule>
    <cfRule type="cellIs" dxfId="3083" priority="31" operator="equal">
      <formula>5</formula>
    </cfRule>
    <cfRule type="cellIs" dxfId="3082" priority="32" operator="equal">
      <formula>4.5</formula>
    </cfRule>
    <cfRule type="cellIs" dxfId="3081" priority="33" operator="equal">
      <formula>4</formula>
    </cfRule>
    <cfRule type="cellIs" dxfId="3080" priority="34" operator="equal">
      <formula>3.5</formula>
    </cfRule>
    <cfRule type="cellIs" dxfId="3079" priority="35" operator="equal">
      <formula>3</formula>
    </cfRule>
    <cfRule type="cellIs" dxfId="3078" priority="36" operator="equal">
      <formula>2.5</formula>
    </cfRule>
    <cfRule type="cellIs" dxfId="3077" priority="37" operator="equal">
      <formula>2</formula>
    </cfRule>
    <cfRule type="cellIs" dxfId="3076" priority="38" operator="equal">
      <formula>1.5</formula>
    </cfRule>
    <cfRule type="cellIs" dxfId="3075" priority="39" operator="equal">
      <formula>1</formula>
    </cfRule>
  </conditionalFormatting>
  <conditionalFormatting sqref="F132">
    <cfRule type="cellIs" dxfId="3074" priority="534" operator="greaterThan">
      <formula>6.6</formula>
    </cfRule>
    <cfRule type="cellIs" dxfId="3073" priority="535" operator="equal">
      <formula>6.5</formula>
    </cfRule>
    <cfRule type="cellIs" dxfId="3072" priority="536" operator="equal">
      <formula>6</formula>
    </cfRule>
    <cfRule type="cellIs" dxfId="3071" priority="537" operator="equal">
      <formula>5.5</formula>
    </cfRule>
    <cfRule type="cellIs" dxfId="3070" priority="538" operator="equal">
      <formula>5</formula>
    </cfRule>
    <cfRule type="cellIs" dxfId="3069" priority="539" operator="equal">
      <formula>4.5</formula>
    </cfRule>
    <cfRule type="cellIs" dxfId="3068" priority="540" operator="equal">
      <formula>4</formula>
    </cfRule>
    <cfRule type="cellIs" dxfId="3067" priority="541" operator="equal">
      <formula>3.5</formula>
    </cfRule>
    <cfRule type="cellIs" dxfId="3066" priority="542" operator="equal">
      <formula>3</formula>
    </cfRule>
    <cfRule type="cellIs" dxfId="3065" priority="543" operator="equal">
      <formula>2.5</formula>
    </cfRule>
    <cfRule type="cellIs" dxfId="3064" priority="544" operator="equal">
      <formula>2</formula>
    </cfRule>
    <cfRule type="cellIs" dxfId="3063" priority="545" operator="equal">
      <formula>1.5</formula>
    </cfRule>
    <cfRule type="cellIs" dxfId="3062" priority="546" operator="equal">
      <formula>1</formula>
    </cfRule>
  </conditionalFormatting>
  <conditionalFormatting sqref="H132">
    <cfRule type="cellIs" dxfId="3061" priority="521" operator="greaterThan">
      <formula>6.6</formula>
    </cfRule>
    <cfRule type="cellIs" dxfId="3060" priority="522" operator="equal">
      <formula>6.5</formula>
    </cfRule>
    <cfRule type="cellIs" dxfId="3059" priority="523" operator="equal">
      <formula>6</formula>
    </cfRule>
    <cfRule type="cellIs" dxfId="3058" priority="524" operator="equal">
      <formula>5.5</formula>
    </cfRule>
    <cfRule type="cellIs" dxfId="3057" priority="525" operator="equal">
      <formula>5</formula>
    </cfRule>
    <cfRule type="cellIs" dxfId="3056" priority="526" operator="equal">
      <formula>4.5</formula>
    </cfRule>
    <cfRule type="cellIs" dxfId="3055" priority="527" operator="equal">
      <formula>4</formula>
    </cfRule>
    <cfRule type="cellIs" dxfId="3054" priority="528" operator="equal">
      <formula>3.5</formula>
    </cfRule>
    <cfRule type="cellIs" dxfId="3053" priority="529" operator="equal">
      <formula>3</formula>
    </cfRule>
    <cfRule type="cellIs" dxfId="3052" priority="530" operator="equal">
      <formula>2.5</formula>
    </cfRule>
    <cfRule type="cellIs" dxfId="3051" priority="531" operator="equal">
      <formula>2</formula>
    </cfRule>
    <cfRule type="cellIs" dxfId="3050" priority="532" operator="equal">
      <formula>1.5</formula>
    </cfRule>
    <cfRule type="cellIs" dxfId="3049" priority="533" operator="equal">
      <formula>1</formula>
    </cfRule>
  </conditionalFormatting>
  <conditionalFormatting sqref="J132">
    <cfRule type="cellIs" dxfId="3048" priority="508" operator="greaterThan">
      <formula>6.6</formula>
    </cfRule>
    <cfRule type="cellIs" dxfId="3047" priority="509" operator="equal">
      <formula>6.5</formula>
    </cfRule>
    <cfRule type="cellIs" dxfId="3046" priority="510" operator="equal">
      <formula>6</formula>
    </cfRule>
    <cfRule type="cellIs" dxfId="3045" priority="511" operator="equal">
      <formula>5.5</formula>
    </cfRule>
    <cfRule type="cellIs" dxfId="3044" priority="512" operator="equal">
      <formula>5</formula>
    </cfRule>
    <cfRule type="cellIs" dxfId="3043" priority="513" operator="equal">
      <formula>4.5</formula>
    </cfRule>
    <cfRule type="cellIs" dxfId="3042" priority="514" operator="equal">
      <formula>4</formula>
    </cfRule>
    <cfRule type="cellIs" dxfId="3041" priority="515" operator="equal">
      <formula>3.5</formula>
    </cfRule>
    <cfRule type="cellIs" dxfId="3040" priority="516" operator="equal">
      <formula>3</formula>
    </cfRule>
    <cfRule type="cellIs" dxfId="3039" priority="517" operator="equal">
      <formula>2.5</formula>
    </cfRule>
    <cfRule type="cellIs" dxfId="3038" priority="518" operator="equal">
      <formula>2</formula>
    </cfRule>
    <cfRule type="cellIs" dxfId="3037" priority="519" operator="equal">
      <formula>1.5</formula>
    </cfRule>
    <cfRule type="cellIs" dxfId="3036" priority="520" operator="equal">
      <formula>1</formula>
    </cfRule>
  </conditionalFormatting>
  <conditionalFormatting sqref="F102">
    <cfRule type="cellIs" dxfId="3035" priority="495" operator="greaterThan">
      <formula>6.6</formula>
    </cfRule>
    <cfRule type="cellIs" dxfId="3034" priority="496" operator="equal">
      <formula>6.5</formula>
    </cfRule>
    <cfRule type="cellIs" dxfId="3033" priority="497" operator="equal">
      <formula>6</formula>
    </cfRule>
    <cfRule type="cellIs" dxfId="3032" priority="498" operator="equal">
      <formula>5.5</formula>
    </cfRule>
    <cfRule type="cellIs" dxfId="3031" priority="499" operator="equal">
      <formula>5</formula>
    </cfRule>
    <cfRule type="cellIs" dxfId="3030" priority="500" operator="equal">
      <formula>4.5</formula>
    </cfRule>
    <cfRule type="cellIs" dxfId="3029" priority="501" operator="equal">
      <formula>4</formula>
    </cfRule>
    <cfRule type="cellIs" dxfId="3028" priority="502" operator="equal">
      <formula>3.5</formula>
    </cfRule>
    <cfRule type="cellIs" dxfId="3027" priority="503" operator="equal">
      <formula>3</formula>
    </cfRule>
    <cfRule type="cellIs" dxfId="3026" priority="504" operator="equal">
      <formula>2.5</formula>
    </cfRule>
    <cfRule type="cellIs" dxfId="3025" priority="505" operator="equal">
      <formula>2</formula>
    </cfRule>
    <cfRule type="cellIs" dxfId="3024" priority="506" operator="equal">
      <formula>1.5</formula>
    </cfRule>
    <cfRule type="cellIs" dxfId="3023" priority="507" operator="equal">
      <formula>1</formula>
    </cfRule>
  </conditionalFormatting>
  <conditionalFormatting sqref="V36">
    <cfRule type="cellIs" dxfId="3022" priority="1" operator="greaterThan">
      <formula>6.6</formula>
    </cfRule>
    <cfRule type="cellIs" dxfId="3021" priority="2" operator="equal">
      <formula>6.5</formula>
    </cfRule>
    <cfRule type="cellIs" dxfId="3020" priority="3" operator="equal">
      <formula>6</formula>
    </cfRule>
    <cfRule type="cellIs" dxfId="3019" priority="4" operator="equal">
      <formula>5.5</formula>
    </cfRule>
    <cfRule type="cellIs" dxfId="3018" priority="5" operator="equal">
      <formula>5</formula>
    </cfRule>
    <cfRule type="cellIs" dxfId="3017" priority="6" operator="equal">
      <formula>4.5</formula>
    </cfRule>
    <cfRule type="cellIs" dxfId="3016" priority="7" operator="equal">
      <formula>4</formula>
    </cfRule>
    <cfRule type="cellIs" dxfId="3015" priority="8" operator="equal">
      <formula>3.5</formula>
    </cfRule>
    <cfRule type="cellIs" dxfId="3014" priority="9" operator="equal">
      <formula>3</formula>
    </cfRule>
    <cfRule type="cellIs" dxfId="3013" priority="10" operator="equal">
      <formula>2.5</formula>
    </cfRule>
    <cfRule type="cellIs" dxfId="3012" priority="11" operator="equal">
      <formula>2</formula>
    </cfRule>
    <cfRule type="cellIs" dxfId="3011" priority="12" operator="equal">
      <formula>1.5</formula>
    </cfRule>
    <cfRule type="cellIs" dxfId="3010" priority="13" operator="equal">
      <formula>1</formula>
    </cfRule>
  </conditionalFormatting>
  <conditionalFormatting sqref="H102">
    <cfRule type="cellIs" dxfId="3009" priority="482" operator="greaterThan">
      <formula>6.6</formula>
    </cfRule>
    <cfRule type="cellIs" dxfId="3008" priority="483" operator="equal">
      <formula>6.5</formula>
    </cfRule>
    <cfRule type="cellIs" dxfId="3007" priority="484" operator="equal">
      <formula>6</formula>
    </cfRule>
    <cfRule type="cellIs" dxfId="3006" priority="485" operator="equal">
      <formula>5.5</formula>
    </cfRule>
    <cfRule type="cellIs" dxfId="3005" priority="486" operator="equal">
      <formula>5</formula>
    </cfRule>
    <cfRule type="cellIs" dxfId="3004" priority="487" operator="equal">
      <formula>4.5</formula>
    </cfRule>
    <cfRule type="cellIs" dxfId="3003" priority="488" operator="equal">
      <formula>4</formula>
    </cfRule>
    <cfRule type="cellIs" dxfId="3002" priority="489" operator="equal">
      <formula>3.5</formula>
    </cfRule>
    <cfRule type="cellIs" dxfId="3001" priority="490" operator="equal">
      <formula>3</formula>
    </cfRule>
    <cfRule type="cellIs" dxfId="3000" priority="491" operator="equal">
      <formula>2.5</formula>
    </cfRule>
    <cfRule type="cellIs" dxfId="2999" priority="492" operator="equal">
      <formula>2</formula>
    </cfRule>
    <cfRule type="cellIs" dxfId="2998" priority="493" operator="equal">
      <formula>1.5</formula>
    </cfRule>
    <cfRule type="cellIs" dxfId="2997" priority="494" operator="equal">
      <formula>1</formula>
    </cfRule>
  </conditionalFormatting>
  <conditionalFormatting sqref="J102">
    <cfRule type="cellIs" dxfId="2996" priority="469" operator="greaterThan">
      <formula>6.6</formula>
    </cfRule>
    <cfRule type="cellIs" dxfId="2995" priority="470" operator="equal">
      <formula>6.5</formula>
    </cfRule>
    <cfRule type="cellIs" dxfId="2994" priority="471" operator="equal">
      <formula>6</formula>
    </cfRule>
    <cfRule type="cellIs" dxfId="2993" priority="472" operator="equal">
      <formula>5.5</formula>
    </cfRule>
    <cfRule type="cellIs" dxfId="2992" priority="473" operator="equal">
      <formula>5</formula>
    </cfRule>
    <cfRule type="cellIs" dxfId="2991" priority="474" operator="equal">
      <formula>4.5</formula>
    </cfRule>
    <cfRule type="cellIs" dxfId="2990" priority="475" operator="equal">
      <formula>4</formula>
    </cfRule>
    <cfRule type="cellIs" dxfId="2989" priority="476" operator="equal">
      <formula>3.5</formula>
    </cfRule>
    <cfRule type="cellIs" dxfId="2988" priority="477" operator="equal">
      <formula>3</formula>
    </cfRule>
    <cfRule type="cellIs" dxfId="2987" priority="478" operator="equal">
      <formula>2.5</formula>
    </cfRule>
    <cfRule type="cellIs" dxfId="2986" priority="479" operator="equal">
      <formula>2</formula>
    </cfRule>
    <cfRule type="cellIs" dxfId="2985" priority="480" operator="equal">
      <formula>1.5</formula>
    </cfRule>
    <cfRule type="cellIs" dxfId="2984" priority="481" operator="equal">
      <formula>1</formula>
    </cfRule>
  </conditionalFormatting>
  <conditionalFormatting sqref="L102">
    <cfRule type="cellIs" dxfId="2983" priority="456" operator="greaterThan">
      <formula>6.6</formula>
    </cfRule>
    <cfRule type="cellIs" dxfId="2982" priority="457" operator="equal">
      <formula>6.5</formula>
    </cfRule>
    <cfRule type="cellIs" dxfId="2981" priority="458" operator="equal">
      <formula>6</formula>
    </cfRule>
    <cfRule type="cellIs" dxfId="2980" priority="459" operator="equal">
      <formula>5.5</formula>
    </cfRule>
    <cfRule type="cellIs" dxfId="2979" priority="460" operator="equal">
      <formula>5</formula>
    </cfRule>
    <cfRule type="cellIs" dxfId="2978" priority="461" operator="equal">
      <formula>4.5</formula>
    </cfRule>
    <cfRule type="cellIs" dxfId="2977" priority="462" operator="equal">
      <formula>4</formula>
    </cfRule>
    <cfRule type="cellIs" dxfId="2976" priority="463" operator="equal">
      <formula>3.5</formula>
    </cfRule>
    <cfRule type="cellIs" dxfId="2975" priority="464" operator="equal">
      <formula>3</formula>
    </cfRule>
    <cfRule type="cellIs" dxfId="2974" priority="465" operator="equal">
      <formula>2.5</formula>
    </cfRule>
    <cfRule type="cellIs" dxfId="2973" priority="466" operator="equal">
      <formula>2</formula>
    </cfRule>
    <cfRule type="cellIs" dxfId="2972" priority="467" operator="equal">
      <formula>1.5</formula>
    </cfRule>
    <cfRule type="cellIs" dxfId="2971" priority="468" operator="equal">
      <formula>1</formula>
    </cfRule>
  </conditionalFormatting>
  <conditionalFormatting sqref="F72">
    <cfRule type="cellIs" dxfId="2970" priority="443" operator="greaterThan">
      <formula>6.6</formula>
    </cfRule>
    <cfRule type="cellIs" dxfId="2969" priority="444" operator="equal">
      <formula>6.5</formula>
    </cfRule>
    <cfRule type="cellIs" dxfId="2968" priority="445" operator="equal">
      <formula>6</formula>
    </cfRule>
    <cfRule type="cellIs" dxfId="2967" priority="446" operator="equal">
      <formula>5.5</formula>
    </cfRule>
    <cfRule type="cellIs" dxfId="2966" priority="447" operator="equal">
      <formula>5</formula>
    </cfRule>
    <cfRule type="cellIs" dxfId="2965" priority="448" operator="equal">
      <formula>4.5</formula>
    </cfRule>
    <cfRule type="cellIs" dxfId="2964" priority="449" operator="equal">
      <formula>4</formula>
    </cfRule>
    <cfRule type="cellIs" dxfId="2963" priority="450" operator="equal">
      <formula>3.5</formula>
    </cfRule>
    <cfRule type="cellIs" dxfId="2962" priority="451" operator="equal">
      <formula>3</formula>
    </cfRule>
    <cfRule type="cellIs" dxfId="2961" priority="452" operator="equal">
      <formula>2.5</formula>
    </cfRule>
    <cfRule type="cellIs" dxfId="2960" priority="453" operator="equal">
      <formula>2</formula>
    </cfRule>
    <cfRule type="cellIs" dxfId="2959" priority="454" operator="equal">
      <formula>1.5</formula>
    </cfRule>
    <cfRule type="cellIs" dxfId="2958" priority="455" operator="equal">
      <formula>1</formula>
    </cfRule>
  </conditionalFormatting>
  <conditionalFormatting sqref="H72">
    <cfRule type="cellIs" dxfId="2957" priority="430" operator="greaterThan">
      <formula>6.6</formula>
    </cfRule>
    <cfRule type="cellIs" dxfId="2956" priority="431" operator="equal">
      <formula>6.5</formula>
    </cfRule>
    <cfRule type="cellIs" dxfId="2955" priority="432" operator="equal">
      <formula>6</formula>
    </cfRule>
    <cfRule type="cellIs" dxfId="2954" priority="433" operator="equal">
      <formula>5.5</formula>
    </cfRule>
    <cfRule type="cellIs" dxfId="2953" priority="434" operator="equal">
      <formula>5</formula>
    </cfRule>
    <cfRule type="cellIs" dxfId="2952" priority="435" operator="equal">
      <formula>4.5</formula>
    </cfRule>
    <cfRule type="cellIs" dxfId="2951" priority="436" operator="equal">
      <formula>4</formula>
    </cfRule>
    <cfRule type="cellIs" dxfId="2950" priority="437" operator="equal">
      <formula>3.5</formula>
    </cfRule>
    <cfRule type="cellIs" dxfId="2949" priority="438" operator="equal">
      <formula>3</formula>
    </cfRule>
    <cfRule type="cellIs" dxfId="2948" priority="439" operator="equal">
      <formula>2.5</formula>
    </cfRule>
    <cfRule type="cellIs" dxfId="2947" priority="440" operator="equal">
      <formula>2</formula>
    </cfRule>
    <cfRule type="cellIs" dxfId="2946" priority="441" operator="equal">
      <formula>1.5</formula>
    </cfRule>
    <cfRule type="cellIs" dxfId="2945" priority="442" operator="equal">
      <formula>1</formula>
    </cfRule>
  </conditionalFormatting>
  <conditionalFormatting sqref="J72">
    <cfRule type="cellIs" dxfId="2944" priority="417" operator="greaterThan">
      <formula>6.6</formula>
    </cfRule>
    <cfRule type="cellIs" dxfId="2943" priority="418" operator="equal">
      <formula>6.5</formula>
    </cfRule>
    <cfRule type="cellIs" dxfId="2942" priority="419" operator="equal">
      <formula>6</formula>
    </cfRule>
    <cfRule type="cellIs" dxfId="2941" priority="420" operator="equal">
      <formula>5.5</formula>
    </cfRule>
    <cfRule type="cellIs" dxfId="2940" priority="421" operator="equal">
      <formula>5</formula>
    </cfRule>
    <cfRule type="cellIs" dxfId="2939" priority="422" operator="equal">
      <formula>4.5</formula>
    </cfRule>
    <cfRule type="cellIs" dxfId="2938" priority="423" operator="equal">
      <formula>4</formula>
    </cfRule>
    <cfRule type="cellIs" dxfId="2937" priority="424" operator="equal">
      <formula>3.5</formula>
    </cfRule>
    <cfRule type="cellIs" dxfId="2936" priority="425" operator="equal">
      <formula>3</formula>
    </cfRule>
    <cfRule type="cellIs" dxfId="2935" priority="426" operator="equal">
      <formula>2.5</formula>
    </cfRule>
    <cfRule type="cellIs" dxfId="2934" priority="427" operator="equal">
      <formula>2</formula>
    </cfRule>
    <cfRule type="cellIs" dxfId="2933" priority="428" operator="equal">
      <formula>1.5</formula>
    </cfRule>
    <cfRule type="cellIs" dxfId="2932" priority="429" operator="equal">
      <formula>1</formula>
    </cfRule>
  </conditionalFormatting>
  <conditionalFormatting sqref="L72">
    <cfRule type="cellIs" dxfId="2931" priority="404" operator="greaterThan">
      <formula>6.6</formula>
    </cfRule>
    <cfRule type="cellIs" dxfId="2930" priority="405" operator="equal">
      <formula>6.5</formula>
    </cfRule>
    <cfRule type="cellIs" dxfId="2929" priority="406" operator="equal">
      <formula>6</formula>
    </cfRule>
    <cfRule type="cellIs" dxfId="2928" priority="407" operator="equal">
      <formula>5.5</formula>
    </cfRule>
    <cfRule type="cellIs" dxfId="2927" priority="408" operator="equal">
      <formula>5</formula>
    </cfRule>
    <cfRule type="cellIs" dxfId="2926" priority="409" operator="equal">
      <formula>4.5</formula>
    </cfRule>
    <cfRule type="cellIs" dxfId="2925" priority="410" operator="equal">
      <formula>4</formula>
    </cfRule>
    <cfRule type="cellIs" dxfId="2924" priority="411" operator="equal">
      <formula>3.5</formula>
    </cfRule>
    <cfRule type="cellIs" dxfId="2923" priority="412" operator="equal">
      <formula>3</formula>
    </cfRule>
    <cfRule type="cellIs" dxfId="2922" priority="413" operator="equal">
      <formula>2.5</formula>
    </cfRule>
    <cfRule type="cellIs" dxfId="2921" priority="414" operator="equal">
      <formula>2</formula>
    </cfRule>
    <cfRule type="cellIs" dxfId="2920" priority="415" operator="equal">
      <formula>1.5</formula>
    </cfRule>
    <cfRule type="cellIs" dxfId="2919" priority="416" operator="equal">
      <formula>1</formula>
    </cfRule>
  </conditionalFormatting>
  <conditionalFormatting sqref="N72">
    <cfRule type="cellIs" dxfId="2918" priority="391" operator="greaterThan">
      <formula>6.6</formula>
    </cfRule>
    <cfRule type="cellIs" dxfId="2917" priority="392" operator="equal">
      <formula>6.5</formula>
    </cfRule>
    <cfRule type="cellIs" dxfId="2916" priority="393" operator="equal">
      <formula>6</formula>
    </cfRule>
    <cfRule type="cellIs" dxfId="2915" priority="394" operator="equal">
      <formula>5.5</formula>
    </cfRule>
    <cfRule type="cellIs" dxfId="2914" priority="395" operator="equal">
      <formula>5</formula>
    </cfRule>
    <cfRule type="cellIs" dxfId="2913" priority="396" operator="equal">
      <formula>4.5</formula>
    </cfRule>
    <cfRule type="cellIs" dxfId="2912" priority="397" operator="equal">
      <formula>4</formula>
    </cfRule>
    <cfRule type="cellIs" dxfId="2911" priority="398" operator="equal">
      <formula>3.5</formula>
    </cfRule>
    <cfRule type="cellIs" dxfId="2910" priority="399" operator="equal">
      <formula>3</formula>
    </cfRule>
    <cfRule type="cellIs" dxfId="2909" priority="400" operator="equal">
      <formula>2.5</formula>
    </cfRule>
    <cfRule type="cellIs" dxfId="2908" priority="401" operator="equal">
      <formula>2</formula>
    </cfRule>
    <cfRule type="cellIs" dxfId="2907" priority="402" operator="equal">
      <formula>1.5</formula>
    </cfRule>
    <cfRule type="cellIs" dxfId="2906" priority="403" operator="equal">
      <formula>1</formula>
    </cfRule>
  </conditionalFormatting>
  <conditionalFormatting sqref="P72">
    <cfRule type="cellIs" dxfId="2905" priority="378" operator="greaterThan">
      <formula>6.6</formula>
    </cfRule>
    <cfRule type="cellIs" dxfId="2904" priority="379" operator="equal">
      <formula>6.5</formula>
    </cfRule>
    <cfRule type="cellIs" dxfId="2903" priority="380" operator="equal">
      <formula>6</formula>
    </cfRule>
    <cfRule type="cellIs" dxfId="2902" priority="381" operator="equal">
      <formula>5.5</formula>
    </cfRule>
    <cfRule type="cellIs" dxfId="2901" priority="382" operator="equal">
      <formula>5</formula>
    </cfRule>
    <cfRule type="cellIs" dxfId="2900" priority="383" operator="equal">
      <formula>4.5</formula>
    </cfRule>
    <cfRule type="cellIs" dxfId="2899" priority="384" operator="equal">
      <formula>4</formula>
    </cfRule>
    <cfRule type="cellIs" dxfId="2898" priority="385" operator="equal">
      <formula>3.5</formula>
    </cfRule>
    <cfRule type="cellIs" dxfId="2897" priority="386" operator="equal">
      <formula>3</formula>
    </cfRule>
    <cfRule type="cellIs" dxfId="2896" priority="387" operator="equal">
      <formula>2.5</formula>
    </cfRule>
    <cfRule type="cellIs" dxfId="2895" priority="388" operator="equal">
      <formula>2</formula>
    </cfRule>
    <cfRule type="cellIs" dxfId="2894" priority="389" operator="equal">
      <formula>1.5</formula>
    </cfRule>
    <cfRule type="cellIs" dxfId="2893" priority="390" operator="equal">
      <formula>1</formula>
    </cfRule>
  </conditionalFormatting>
  <conditionalFormatting sqref="R72">
    <cfRule type="cellIs" dxfId="2892" priority="365" operator="greaterThan">
      <formula>6.6</formula>
    </cfRule>
    <cfRule type="cellIs" dxfId="2891" priority="366" operator="equal">
      <formula>6.5</formula>
    </cfRule>
    <cfRule type="cellIs" dxfId="2890" priority="367" operator="equal">
      <formula>6</formula>
    </cfRule>
    <cfRule type="cellIs" dxfId="2889" priority="368" operator="equal">
      <formula>5.5</formula>
    </cfRule>
    <cfRule type="cellIs" dxfId="2888" priority="369" operator="equal">
      <formula>5</formula>
    </cfRule>
    <cfRule type="cellIs" dxfId="2887" priority="370" operator="equal">
      <formula>4.5</formula>
    </cfRule>
    <cfRule type="cellIs" dxfId="2886" priority="371" operator="equal">
      <formula>4</formula>
    </cfRule>
    <cfRule type="cellIs" dxfId="2885" priority="372" operator="equal">
      <formula>3.5</formula>
    </cfRule>
    <cfRule type="cellIs" dxfId="2884" priority="373" operator="equal">
      <formula>3</formula>
    </cfRule>
    <cfRule type="cellIs" dxfId="2883" priority="374" operator="equal">
      <formula>2.5</formula>
    </cfRule>
    <cfRule type="cellIs" dxfId="2882" priority="375" operator="equal">
      <formula>2</formula>
    </cfRule>
    <cfRule type="cellIs" dxfId="2881" priority="376" operator="equal">
      <formula>1.5</formula>
    </cfRule>
    <cfRule type="cellIs" dxfId="2880" priority="377" operator="equal">
      <formula>1</formula>
    </cfRule>
  </conditionalFormatting>
  <conditionalFormatting sqref="T72">
    <cfRule type="cellIs" dxfId="2879" priority="352" operator="greaterThan">
      <formula>6.6</formula>
    </cfRule>
    <cfRule type="cellIs" dxfId="2878" priority="353" operator="equal">
      <formula>6.5</formula>
    </cfRule>
    <cfRule type="cellIs" dxfId="2877" priority="354" operator="equal">
      <formula>6</formula>
    </cfRule>
    <cfRule type="cellIs" dxfId="2876" priority="355" operator="equal">
      <formula>5.5</formula>
    </cfRule>
    <cfRule type="cellIs" dxfId="2875" priority="356" operator="equal">
      <formula>5</formula>
    </cfRule>
    <cfRule type="cellIs" dxfId="2874" priority="357" operator="equal">
      <formula>4.5</formula>
    </cfRule>
    <cfRule type="cellIs" dxfId="2873" priority="358" operator="equal">
      <formula>4</formula>
    </cfRule>
    <cfRule type="cellIs" dxfId="2872" priority="359" operator="equal">
      <formula>3.5</formula>
    </cfRule>
    <cfRule type="cellIs" dxfId="2871" priority="360" operator="equal">
      <formula>3</formula>
    </cfRule>
    <cfRule type="cellIs" dxfId="2870" priority="361" operator="equal">
      <formula>2.5</formula>
    </cfRule>
    <cfRule type="cellIs" dxfId="2869" priority="362" operator="equal">
      <formula>2</formula>
    </cfRule>
    <cfRule type="cellIs" dxfId="2868" priority="363" operator="equal">
      <formula>1.5</formula>
    </cfRule>
    <cfRule type="cellIs" dxfId="2867" priority="364" operator="equal">
      <formula>1</formula>
    </cfRule>
  </conditionalFormatting>
  <conditionalFormatting sqref="F63">
    <cfRule type="cellIs" dxfId="2866" priority="339" operator="greaterThan">
      <formula>6.6</formula>
    </cfRule>
    <cfRule type="cellIs" dxfId="2865" priority="340" operator="equal">
      <formula>6.5</formula>
    </cfRule>
    <cfRule type="cellIs" dxfId="2864" priority="341" operator="equal">
      <formula>6</formula>
    </cfRule>
    <cfRule type="cellIs" dxfId="2863" priority="342" operator="equal">
      <formula>5.5</formula>
    </cfRule>
    <cfRule type="cellIs" dxfId="2862" priority="343" operator="equal">
      <formula>5</formula>
    </cfRule>
    <cfRule type="cellIs" dxfId="2861" priority="344" operator="equal">
      <formula>4.5</formula>
    </cfRule>
    <cfRule type="cellIs" dxfId="2860" priority="345" operator="equal">
      <formula>4</formula>
    </cfRule>
    <cfRule type="cellIs" dxfId="2859" priority="346" operator="equal">
      <formula>3.5</formula>
    </cfRule>
    <cfRule type="cellIs" dxfId="2858" priority="347" operator="equal">
      <formula>3</formula>
    </cfRule>
    <cfRule type="cellIs" dxfId="2857" priority="348" operator="equal">
      <formula>2.5</formula>
    </cfRule>
    <cfRule type="cellIs" dxfId="2856" priority="349" operator="equal">
      <formula>2</formula>
    </cfRule>
    <cfRule type="cellIs" dxfId="2855" priority="350" operator="equal">
      <formula>1.5</formula>
    </cfRule>
    <cfRule type="cellIs" dxfId="2854" priority="351" operator="equal">
      <formula>1</formula>
    </cfRule>
  </conditionalFormatting>
  <conditionalFormatting sqref="H63">
    <cfRule type="cellIs" dxfId="2853" priority="326" operator="greaterThan">
      <formula>6.6</formula>
    </cfRule>
    <cfRule type="cellIs" dxfId="2852" priority="327" operator="equal">
      <formula>6.5</formula>
    </cfRule>
    <cfRule type="cellIs" dxfId="2851" priority="328" operator="equal">
      <formula>6</formula>
    </cfRule>
    <cfRule type="cellIs" dxfId="2850" priority="329" operator="equal">
      <formula>5.5</formula>
    </cfRule>
    <cfRule type="cellIs" dxfId="2849" priority="330" operator="equal">
      <formula>5</formula>
    </cfRule>
    <cfRule type="cellIs" dxfId="2848" priority="331" operator="equal">
      <formula>4.5</formula>
    </cfRule>
    <cfRule type="cellIs" dxfId="2847" priority="332" operator="equal">
      <formula>4</formula>
    </cfRule>
    <cfRule type="cellIs" dxfId="2846" priority="333" operator="equal">
      <formula>3.5</formula>
    </cfRule>
    <cfRule type="cellIs" dxfId="2845" priority="334" operator="equal">
      <formula>3</formula>
    </cfRule>
    <cfRule type="cellIs" dxfId="2844" priority="335" operator="equal">
      <formula>2.5</formula>
    </cfRule>
    <cfRule type="cellIs" dxfId="2843" priority="336" operator="equal">
      <formula>2</formula>
    </cfRule>
    <cfRule type="cellIs" dxfId="2842" priority="337" operator="equal">
      <formula>1.5</formula>
    </cfRule>
    <cfRule type="cellIs" dxfId="2841" priority="338" operator="equal">
      <formula>1</formula>
    </cfRule>
  </conditionalFormatting>
  <conditionalFormatting sqref="J63">
    <cfRule type="cellIs" dxfId="2840" priority="313" operator="greaterThan">
      <formula>6.6</formula>
    </cfRule>
    <cfRule type="cellIs" dxfId="2839" priority="314" operator="equal">
      <formula>6.5</formula>
    </cfRule>
    <cfRule type="cellIs" dxfId="2838" priority="315" operator="equal">
      <formula>6</formula>
    </cfRule>
    <cfRule type="cellIs" dxfId="2837" priority="316" operator="equal">
      <formula>5.5</formula>
    </cfRule>
    <cfRule type="cellIs" dxfId="2836" priority="317" operator="equal">
      <formula>5</formula>
    </cfRule>
    <cfRule type="cellIs" dxfId="2835" priority="318" operator="equal">
      <formula>4.5</formula>
    </cfRule>
    <cfRule type="cellIs" dxfId="2834" priority="319" operator="equal">
      <formula>4</formula>
    </cfRule>
    <cfRule type="cellIs" dxfId="2833" priority="320" operator="equal">
      <formula>3.5</formula>
    </cfRule>
    <cfRule type="cellIs" dxfId="2832" priority="321" operator="equal">
      <formula>3</formula>
    </cfRule>
    <cfRule type="cellIs" dxfId="2831" priority="322" operator="equal">
      <formula>2.5</formula>
    </cfRule>
    <cfRule type="cellIs" dxfId="2830" priority="323" operator="equal">
      <formula>2</formula>
    </cfRule>
    <cfRule type="cellIs" dxfId="2829" priority="324" operator="equal">
      <formula>1.5</formula>
    </cfRule>
    <cfRule type="cellIs" dxfId="2828" priority="325" operator="equal">
      <formula>1</formula>
    </cfRule>
  </conditionalFormatting>
  <conditionalFormatting sqref="L63">
    <cfRule type="cellIs" dxfId="2827" priority="300" operator="greaterThan">
      <formula>6.6</formula>
    </cfRule>
    <cfRule type="cellIs" dxfId="2826" priority="301" operator="equal">
      <formula>6.5</formula>
    </cfRule>
    <cfRule type="cellIs" dxfId="2825" priority="302" operator="equal">
      <formula>6</formula>
    </cfRule>
    <cfRule type="cellIs" dxfId="2824" priority="303" operator="equal">
      <formula>5.5</formula>
    </cfRule>
    <cfRule type="cellIs" dxfId="2823" priority="304" operator="equal">
      <formula>5</formula>
    </cfRule>
    <cfRule type="cellIs" dxfId="2822" priority="305" operator="equal">
      <formula>4.5</formula>
    </cfRule>
    <cfRule type="cellIs" dxfId="2821" priority="306" operator="equal">
      <formula>4</formula>
    </cfRule>
    <cfRule type="cellIs" dxfId="2820" priority="307" operator="equal">
      <formula>3.5</formula>
    </cfRule>
    <cfRule type="cellIs" dxfId="2819" priority="308" operator="equal">
      <formula>3</formula>
    </cfRule>
    <cfRule type="cellIs" dxfId="2818" priority="309" operator="equal">
      <formula>2.5</formula>
    </cfRule>
    <cfRule type="cellIs" dxfId="2817" priority="310" operator="equal">
      <formula>2</formula>
    </cfRule>
    <cfRule type="cellIs" dxfId="2816" priority="311" operator="equal">
      <formula>1.5</formula>
    </cfRule>
    <cfRule type="cellIs" dxfId="2815" priority="312" operator="equal">
      <formula>1</formula>
    </cfRule>
  </conditionalFormatting>
  <conditionalFormatting sqref="N63">
    <cfRule type="cellIs" dxfId="2814" priority="287" operator="greaterThan">
      <formula>6.6</formula>
    </cfRule>
    <cfRule type="cellIs" dxfId="2813" priority="288" operator="equal">
      <formula>6.5</formula>
    </cfRule>
    <cfRule type="cellIs" dxfId="2812" priority="289" operator="equal">
      <formula>6</formula>
    </cfRule>
    <cfRule type="cellIs" dxfId="2811" priority="290" operator="equal">
      <formula>5.5</formula>
    </cfRule>
    <cfRule type="cellIs" dxfId="2810" priority="291" operator="equal">
      <formula>5</formula>
    </cfRule>
    <cfRule type="cellIs" dxfId="2809" priority="292" operator="equal">
      <formula>4.5</formula>
    </cfRule>
    <cfRule type="cellIs" dxfId="2808" priority="293" operator="equal">
      <formula>4</formula>
    </cfRule>
    <cfRule type="cellIs" dxfId="2807" priority="294" operator="equal">
      <formula>3.5</formula>
    </cfRule>
    <cfRule type="cellIs" dxfId="2806" priority="295" operator="equal">
      <formula>3</formula>
    </cfRule>
    <cfRule type="cellIs" dxfId="2805" priority="296" operator="equal">
      <formula>2.5</formula>
    </cfRule>
    <cfRule type="cellIs" dxfId="2804" priority="297" operator="equal">
      <formula>2</formula>
    </cfRule>
    <cfRule type="cellIs" dxfId="2803" priority="298" operator="equal">
      <formula>1.5</formula>
    </cfRule>
    <cfRule type="cellIs" dxfId="2802" priority="299" operator="equal">
      <formula>1</formula>
    </cfRule>
  </conditionalFormatting>
  <conditionalFormatting sqref="P63">
    <cfRule type="cellIs" dxfId="2801" priority="274" operator="greaterThan">
      <formula>6.6</formula>
    </cfRule>
    <cfRule type="cellIs" dxfId="2800" priority="275" operator="equal">
      <formula>6.5</formula>
    </cfRule>
    <cfRule type="cellIs" dxfId="2799" priority="276" operator="equal">
      <formula>6</formula>
    </cfRule>
    <cfRule type="cellIs" dxfId="2798" priority="277" operator="equal">
      <formula>5.5</formula>
    </cfRule>
    <cfRule type="cellIs" dxfId="2797" priority="278" operator="equal">
      <formula>5</formula>
    </cfRule>
    <cfRule type="cellIs" dxfId="2796" priority="279" operator="equal">
      <formula>4.5</formula>
    </cfRule>
    <cfRule type="cellIs" dxfId="2795" priority="280" operator="equal">
      <formula>4</formula>
    </cfRule>
    <cfRule type="cellIs" dxfId="2794" priority="281" operator="equal">
      <formula>3.5</formula>
    </cfRule>
    <cfRule type="cellIs" dxfId="2793" priority="282" operator="equal">
      <formula>3</formula>
    </cfRule>
    <cfRule type="cellIs" dxfId="2792" priority="283" operator="equal">
      <formula>2.5</formula>
    </cfRule>
    <cfRule type="cellIs" dxfId="2791" priority="284" operator="equal">
      <formula>2</formula>
    </cfRule>
    <cfRule type="cellIs" dxfId="2790" priority="285" operator="equal">
      <formula>1.5</formula>
    </cfRule>
    <cfRule type="cellIs" dxfId="2789" priority="286" operator="equal">
      <formula>1</formula>
    </cfRule>
  </conditionalFormatting>
  <conditionalFormatting sqref="R63">
    <cfRule type="cellIs" dxfId="2788" priority="261" operator="greaterThan">
      <formula>6.6</formula>
    </cfRule>
    <cfRule type="cellIs" dxfId="2787" priority="262" operator="equal">
      <formula>6.5</formula>
    </cfRule>
    <cfRule type="cellIs" dxfId="2786" priority="263" operator="equal">
      <formula>6</formula>
    </cfRule>
    <cfRule type="cellIs" dxfId="2785" priority="264" operator="equal">
      <formula>5.5</formula>
    </cfRule>
    <cfRule type="cellIs" dxfId="2784" priority="265" operator="equal">
      <formula>5</formula>
    </cfRule>
    <cfRule type="cellIs" dxfId="2783" priority="266" operator="equal">
      <formula>4.5</formula>
    </cfRule>
    <cfRule type="cellIs" dxfId="2782" priority="267" operator="equal">
      <formula>4</formula>
    </cfRule>
    <cfRule type="cellIs" dxfId="2781" priority="268" operator="equal">
      <formula>3.5</formula>
    </cfRule>
    <cfRule type="cellIs" dxfId="2780" priority="269" operator="equal">
      <formula>3</formula>
    </cfRule>
    <cfRule type="cellIs" dxfId="2779" priority="270" operator="equal">
      <formula>2.5</formula>
    </cfRule>
    <cfRule type="cellIs" dxfId="2778" priority="271" operator="equal">
      <formula>2</formula>
    </cfRule>
    <cfRule type="cellIs" dxfId="2777" priority="272" operator="equal">
      <formula>1.5</formula>
    </cfRule>
    <cfRule type="cellIs" dxfId="2776" priority="273" operator="equal">
      <formula>1</formula>
    </cfRule>
  </conditionalFormatting>
  <conditionalFormatting sqref="T63">
    <cfRule type="cellIs" dxfId="2775" priority="248" operator="greaterThan">
      <formula>6.6</formula>
    </cfRule>
    <cfRule type="cellIs" dxfId="2774" priority="249" operator="equal">
      <formula>6.5</formula>
    </cfRule>
    <cfRule type="cellIs" dxfId="2773" priority="250" operator="equal">
      <formula>6</formula>
    </cfRule>
    <cfRule type="cellIs" dxfId="2772" priority="251" operator="equal">
      <formula>5.5</formula>
    </cfRule>
    <cfRule type="cellIs" dxfId="2771" priority="252" operator="equal">
      <formula>5</formula>
    </cfRule>
    <cfRule type="cellIs" dxfId="2770" priority="253" operator="equal">
      <formula>4.5</formula>
    </cfRule>
    <cfRule type="cellIs" dxfId="2769" priority="254" operator="equal">
      <formula>4</formula>
    </cfRule>
    <cfRule type="cellIs" dxfId="2768" priority="255" operator="equal">
      <formula>3.5</formula>
    </cfRule>
    <cfRule type="cellIs" dxfId="2767" priority="256" operator="equal">
      <formula>3</formula>
    </cfRule>
    <cfRule type="cellIs" dxfId="2766" priority="257" operator="equal">
      <formula>2.5</formula>
    </cfRule>
    <cfRule type="cellIs" dxfId="2765" priority="258" operator="equal">
      <formula>2</formula>
    </cfRule>
    <cfRule type="cellIs" dxfId="2764" priority="259" operator="equal">
      <formula>1.5</formula>
    </cfRule>
    <cfRule type="cellIs" dxfId="2763" priority="260" operator="equal">
      <formula>1</formula>
    </cfRule>
  </conditionalFormatting>
  <conditionalFormatting sqref="V63">
    <cfRule type="cellIs" dxfId="2762" priority="235" operator="greaterThan">
      <formula>6.6</formula>
    </cfRule>
    <cfRule type="cellIs" dxfId="2761" priority="236" operator="equal">
      <formula>6.5</formula>
    </cfRule>
    <cfRule type="cellIs" dxfId="2760" priority="237" operator="equal">
      <formula>6</formula>
    </cfRule>
    <cfRule type="cellIs" dxfId="2759" priority="238" operator="equal">
      <formula>5.5</formula>
    </cfRule>
    <cfRule type="cellIs" dxfId="2758" priority="239" operator="equal">
      <formula>5</formula>
    </cfRule>
    <cfRule type="cellIs" dxfId="2757" priority="240" operator="equal">
      <formula>4.5</formula>
    </cfRule>
    <cfRule type="cellIs" dxfId="2756" priority="241" operator="equal">
      <formula>4</formula>
    </cfRule>
    <cfRule type="cellIs" dxfId="2755" priority="242" operator="equal">
      <formula>3.5</formula>
    </cfRule>
    <cfRule type="cellIs" dxfId="2754" priority="243" operator="equal">
      <formula>3</formula>
    </cfRule>
    <cfRule type="cellIs" dxfId="2753" priority="244" operator="equal">
      <formula>2.5</formula>
    </cfRule>
    <cfRule type="cellIs" dxfId="2752" priority="245" operator="equal">
      <formula>2</formula>
    </cfRule>
    <cfRule type="cellIs" dxfId="2751" priority="246" operator="equal">
      <formula>1.5</formula>
    </cfRule>
    <cfRule type="cellIs" dxfId="2750" priority="247" operator="equal">
      <formula>1</formula>
    </cfRule>
  </conditionalFormatting>
  <conditionalFormatting sqref="F51">
    <cfRule type="cellIs" dxfId="2749" priority="222" operator="greaterThan">
      <formula>6.6</formula>
    </cfRule>
    <cfRule type="cellIs" dxfId="2748" priority="223" operator="equal">
      <formula>6.5</formula>
    </cfRule>
    <cfRule type="cellIs" dxfId="2747" priority="224" operator="equal">
      <formula>6</formula>
    </cfRule>
    <cfRule type="cellIs" dxfId="2746" priority="225" operator="equal">
      <formula>5.5</formula>
    </cfRule>
    <cfRule type="cellIs" dxfId="2745" priority="226" operator="equal">
      <formula>5</formula>
    </cfRule>
    <cfRule type="cellIs" dxfId="2744" priority="227" operator="equal">
      <formula>4.5</formula>
    </cfRule>
    <cfRule type="cellIs" dxfId="2743" priority="228" operator="equal">
      <formula>4</formula>
    </cfRule>
    <cfRule type="cellIs" dxfId="2742" priority="229" operator="equal">
      <formula>3.5</formula>
    </cfRule>
    <cfRule type="cellIs" dxfId="2741" priority="230" operator="equal">
      <formula>3</formula>
    </cfRule>
    <cfRule type="cellIs" dxfId="2740" priority="231" operator="equal">
      <formula>2.5</formula>
    </cfRule>
    <cfRule type="cellIs" dxfId="2739" priority="232" operator="equal">
      <formula>2</formula>
    </cfRule>
    <cfRule type="cellIs" dxfId="2738" priority="233" operator="equal">
      <formula>1.5</formula>
    </cfRule>
    <cfRule type="cellIs" dxfId="2737" priority="234" operator="equal">
      <formula>1</formula>
    </cfRule>
  </conditionalFormatting>
  <conditionalFormatting sqref="H51">
    <cfRule type="cellIs" dxfId="2736" priority="209" operator="greaterThan">
      <formula>6.6</formula>
    </cfRule>
    <cfRule type="cellIs" dxfId="2735" priority="210" operator="equal">
      <formula>6.5</formula>
    </cfRule>
    <cfRule type="cellIs" dxfId="2734" priority="211" operator="equal">
      <formula>6</formula>
    </cfRule>
    <cfRule type="cellIs" dxfId="2733" priority="212" operator="equal">
      <formula>5.5</formula>
    </cfRule>
    <cfRule type="cellIs" dxfId="2732" priority="213" operator="equal">
      <formula>5</formula>
    </cfRule>
    <cfRule type="cellIs" dxfId="2731" priority="214" operator="equal">
      <formula>4.5</formula>
    </cfRule>
    <cfRule type="cellIs" dxfId="2730" priority="215" operator="equal">
      <formula>4</formula>
    </cfRule>
    <cfRule type="cellIs" dxfId="2729" priority="216" operator="equal">
      <formula>3.5</formula>
    </cfRule>
    <cfRule type="cellIs" dxfId="2728" priority="217" operator="equal">
      <formula>3</formula>
    </cfRule>
    <cfRule type="cellIs" dxfId="2727" priority="218" operator="equal">
      <formula>2.5</formula>
    </cfRule>
    <cfRule type="cellIs" dxfId="2726" priority="219" operator="equal">
      <formula>2</formula>
    </cfRule>
    <cfRule type="cellIs" dxfId="2725" priority="220" operator="equal">
      <formula>1.5</formula>
    </cfRule>
    <cfRule type="cellIs" dxfId="2724" priority="221" operator="equal">
      <formula>1</formula>
    </cfRule>
  </conditionalFormatting>
  <conditionalFormatting sqref="J51">
    <cfRule type="cellIs" dxfId="2723" priority="196" operator="greaterThan">
      <formula>6.6</formula>
    </cfRule>
    <cfRule type="cellIs" dxfId="2722" priority="197" operator="equal">
      <formula>6.5</formula>
    </cfRule>
    <cfRule type="cellIs" dxfId="2721" priority="198" operator="equal">
      <formula>6</formula>
    </cfRule>
    <cfRule type="cellIs" dxfId="2720" priority="199" operator="equal">
      <formula>5.5</formula>
    </cfRule>
    <cfRule type="cellIs" dxfId="2719" priority="200" operator="equal">
      <formula>5</formula>
    </cfRule>
    <cfRule type="cellIs" dxfId="2718" priority="201" operator="equal">
      <formula>4.5</formula>
    </cfRule>
    <cfRule type="cellIs" dxfId="2717" priority="202" operator="equal">
      <formula>4</formula>
    </cfRule>
    <cfRule type="cellIs" dxfId="2716" priority="203" operator="equal">
      <formula>3.5</formula>
    </cfRule>
    <cfRule type="cellIs" dxfId="2715" priority="204" operator="equal">
      <formula>3</formula>
    </cfRule>
    <cfRule type="cellIs" dxfId="2714" priority="205" operator="equal">
      <formula>2.5</formula>
    </cfRule>
    <cfRule type="cellIs" dxfId="2713" priority="206" operator="equal">
      <formula>2</formula>
    </cfRule>
    <cfRule type="cellIs" dxfId="2712" priority="207" operator="equal">
      <formula>1.5</formula>
    </cfRule>
    <cfRule type="cellIs" dxfId="2711" priority="208" operator="equal">
      <formula>1</formula>
    </cfRule>
  </conditionalFormatting>
  <conditionalFormatting sqref="L51">
    <cfRule type="cellIs" dxfId="2710" priority="183" operator="greaterThan">
      <formula>6.6</formula>
    </cfRule>
    <cfRule type="cellIs" dxfId="2709" priority="184" operator="equal">
      <formula>6.5</formula>
    </cfRule>
    <cfRule type="cellIs" dxfId="2708" priority="185" operator="equal">
      <formula>6</formula>
    </cfRule>
    <cfRule type="cellIs" dxfId="2707" priority="186" operator="equal">
      <formula>5.5</formula>
    </cfRule>
    <cfRule type="cellIs" dxfId="2706" priority="187" operator="equal">
      <formula>5</formula>
    </cfRule>
    <cfRule type="cellIs" dxfId="2705" priority="188" operator="equal">
      <formula>4.5</formula>
    </cfRule>
    <cfRule type="cellIs" dxfId="2704" priority="189" operator="equal">
      <formula>4</formula>
    </cfRule>
    <cfRule type="cellIs" dxfId="2703" priority="190" operator="equal">
      <formula>3.5</formula>
    </cfRule>
    <cfRule type="cellIs" dxfId="2702" priority="191" operator="equal">
      <formula>3</formula>
    </cfRule>
    <cfRule type="cellIs" dxfId="2701" priority="192" operator="equal">
      <formula>2.5</formula>
    </cfRule>
    <cfRule type="cellIs" dxfId="2700" priority="193" operator="equal">
      <formula>2</formula>
    </cfRule>
    <cfRule type="cellIs" dxfId="2699" priority="194" operator="equal">
      <formula>1.5</formula>
    </cfRule>
    <cfRule type="cellIs" dxfId="2698" priority="195" operator="equal">
      <formula>1</formula>
    </cfRule>
  </conditionalFormatting>
  <conditionalFormatting sqref="N51">
    <cfRule type="cellIs" dxfId="2697" priority="170" operator="greaterThan">
      <formula>6.6</formula>
    </cfRule>
    <cfRule type="cellIs" dxfId="2696" priority="171" operator="equal">
      <formula>6.5</formula>
    </cfRule>
    <cfRule type="cellIs" dxfId="2695" priority="172" operator="equal">
      <formula>6</formula>
    </cfRule>
    <cfRule type="cellIs" dxfId="2694" priority="173" operator="equal">
      <formula>5.5</formula>
    </cfRule>
    <cfRule type="cellIs" dxfId="2693" priority="174" operator="equal">
      <formula>5</formula>
    </cfRule>
    <cfRule type="cellIs" dxfId="2692" priority="175" operator="equal">
      <formula>4.5</formula>
    </cfRule>
    <cfRule type="cellIs" dxfId="2691" priority="176" operator="equal">
      <formula>4</formula>
    </cfRule>
    <cfRule type="cellIs" dxfId="2690" priority="177" operator="equal">
      <formula>3.5</formula>
    </cfRule>
    <cfRule type="cellIs" dxfId="2689" priority="178" operator="equal">
      <formula>3</formula>
    </cfRule>
    <cfRule type="cellIs" dxfId="2688" priority="179" operator="equal">
      <formula>2.5</formula>
    </cfRule>
    <cfRule type="cellIs" dxfId="2687" priority="180" operator="equal">
      <formula>2</formula>
    </cfRule>
    <cfRule type="cellIs" dxfId="2686" priority="181" operator="equal">
      <formula>1.5</formula>
    </cfRule>
    <cfRule type="cellIs" dxfId="2685" priority="182" operator="equal">
      <formula>1</formula>
    </cfRule>
  </conditionalFormatting>
  <conditionalFormatting sqref="P51">
    <cfRule type="cellIs" dxfId="2684" priority="157" operator="greaterThan">
      <formula>6.6</formula>
    </cfRule>
    <cfRule type="cellIs" dxfId="2683" priority="158" operator="equal">
      <formula>6.5</formula>
    </cfRule>
    <cfRule type="cellIs" dxfId="2682" priority="159" operator="equal">
      <formula>6</formula>
    </cfRule>
    <cfRule type="cellIs" dxfId="2681" priority="160" operator="equal">
      <formula>5.5</formula>
    </cfRule>
    <cfRule type="cellIs" dxfId="2680" priority="161" operator="equal">
      <formula>5</formula>
    </cfRule>
    <cfRule type="cellIs" dxfId="2679" priority="162" operator="equal">
      <formula>4.5</formula>
    </cfRule>
    <cfRule type="cellIs" dxfId="2678" priority="163" operator="equal">
      <formula>4</formula>
    </cfRule>
    <cfRule type="cellIs" dxfId="2677" priority="164" operator="equal">
      <formula>3.5</formula>
    </cfRule>
    <cfRule type="cellIs" dxfId="2676" priority="165" operator="equal">
      <formula>3</formula>
    </cfRule>
    <cfRule type="cellIs" dxfId="2675" priority="166" operator="equal">
      <formula>2.5</formula>
    </cfRule>
    <cfRule type="cellIs" dxfId="2674" priority="167" operator="equal">
      <formula>2</formula>
    </cfRule>
    <cfRule type="cellIs" dxfId="2673" priority="168" operator="equal">
      <formula>1.5</formula>
    </cfRule>
    <cfRule type="cellIs" dxfId="2672" priority="169" operator="equal">
      <formula>1</formula>
    </cfRule>
  </conditionalFormatting>
  <conditionalFormatting sqref="R51">
    <cfRule type="cellIs" dxfId="2671" priority="144" operator="greaterThan">
      <formula>6.6</formula>
    </cfRule>
    <cfRule type="cellIs" dxfId="2670" priority="145" operator="equal">
      <formula>6.5</formula>
    </cfRule>
    <cfRule type="cellIs" dxfId="2669" priority="146" operator="equal">
      <formula>6</formula>
    </cfRule>
    <cfRule type="cellIs" dxfId="2668" priority="147" operator="equal">
      <formula>5.5</formula>
    </cfRule>
    <cfRule type="cellIs" dxfId="2667" priority="148" operator="equal">
      <formula>5</formula>
    </cfRule>
    <cfRule type="cellIs" dxfId="2666" priority="149" operator="equal">
      <formula>4.5</formula>
    </cfRule>
    <cfRule type="cellIs" dxfId="2665" priority="150" operator="equal">
      <formula>4</formula>
    </cfRule>
    <cfRule type="cellIs" dxfId="2664" priority="151" operator="equal">
      <formula>3.5</formula>
    </cfRule>
    <cfRule type="cellIs" dxfId="2663" priority="152" operator="equal">
      <formula>3</formula>
    </cfRule>
    <cfRule type="cellIs" dxfId="2662" priority="153" operator="equal">
      <formula>2.5</formula>
    </cfRule>
    <cfRule type="cellIs" dxfId="2661" priority="154" operator="equal">
      <formula>2</formula>
    </cfRule>
    <cfRule type="cellIs" dxfId="2660" priority="155" operator="equal">
      <formula>1.5</formula>
    </cfRule>
    <cfRule type="cellIs" dxfId="2659" priority="156" operator="equal">
      <formula>1</formula>
    </cfRule>
  </conditionalFormatting>
  <conditionalFormatting sqref="T51">
    <cfRule type="cellIs" dxfId="2658" priority="131" operator="greaterThan">
      <formula>6.6</formula>
    </cfRule>
    <cfRule type="cellIs" dxfId="2657" priority="132" operator="equal">
      <formula>6.5</formula>
    </cfRule>
    <cfRule type="cellIs" dxfId="2656" priority="133" operator="equal">
      <formula>6</formula>
    </cfRule>
    <cfRule type="cellIs" dxfId="2655" priority="134" operator="equal">
      <formula>5.5</formula>
    </cfRule>
    <cfRule type="cellIs" dxfId="2654" priority="135" operator="equal">
      <formula>5</formula>
    </cfRule>
    <cfRule type="cellIs" dxfId="2653" priority="136" operator="equal">
      <formula>4.5</formula>
    </cfRule>
    <cfRule type="cellIs" dxfId="2652" priority="137" operator="equal">
      <formula>4</formula>
    </cfRule>
    <cfRule type="cellIs" dxfId="2651" priority="138" operator="equal">
      <formula>3.5</formula>
    </cfRule>
    <cfRule type="cellIs" dxfId="2650" priority="139" operator="equal">
      <formula>3</formula>
    </cfRule>
    <cfRule type="cellIs" dxfId="2649" priority="140" operator="equal">
      <formula>2.5</formula>
    </cfRule>
    <cfRule type="cellIs" dxfId="2648" priority="141" operator="equal">
      <formula>2</formula>
    </cfRule>
    <cfRule type="cellIs" dxfId="2647" priority="142" operator="equal">
      <formula>1.5</formula>
    </cfRule>
    <cfRule type="cellIs" dxfId="2646" priority="143" operator="equal">
      <formula>1</formula>
    </cfRule>
  </conditionalFormatting>
  <conditionalFormatting sqref="V51">
    <cfRule type="cellIs" dxfId="2645" priority="118" operator="greaterThan">
      <formula>6.6</formula>
    </cfRule>
    <cfRule type="cellIs" dxfId="2644" priority="119" operator="equal">
      <formula>6.5</formula>
    </cfRule>
    <cfRule type="cellIs" dxfId="2643" priority="120" operator="equal">
      <formula>6</formula>
    </cfRule>
    <cfRule type="cellIs" dxfId="2642" priority="121" operator="equal">
      <formula>5.5</formula>
    </cfRule>
    <cfRule type="cellIs" dxfId="2641" priority="122" operator="equal">
      <formula>5</formula>
    </cfRule>
    <cfRule type="cellIs" dxfId="2640" priority="123" operator="equal">
      <formula>4.5</formula>
    </cfRule>
    <cfRule type="cellIs" dxfId="2639" priority="124" operator="equal">
      <formula>4</formula>
    </cfRule>
    <cfRule type="cellIs" dxfId="2638" priority="125" operator="equal">
      <formula>3.5</formula>
    </cfRule>
    <cfRule type="cellIs" dxfId="2637" priority="126" operator="equal">
      <formula>3</formula>
    </cfRule>
    <cfRule type="cellIs" dxfId="2636" priority="127" operator="equal">
      <formula>2.5</formula>
    </cfRule>
    <cfRule type="cellIs" dxfId="2635" priority="128" operator="equal">
      <formula>2</formula>
    </cfRule>
    <cfRule type="cellIs" dxfId="2634" priority="129" operator="equal">
      <formula>1.5</formula>
    </cfRule>
    <cfRule type="cellIs" dxfId="2633" priority="130" operator="equal">
      <formula>1</formula>
    </cfRule>
  </conditionalFormatting>
  <conditionalFormatting sqref="F36">
    <cfRule type="cellIs" dxfId="2632" priority="105" operator="greaterThan">
      <formula>6.6</formula>
    </cfRule>
    <cfRule type="cellIs" dxfId="2631" priority="106" operator="equal">
      <formula>6.5</formula>
    </cfRule>
    <cfRule type="cellIs" dxfId="2630" priority="107" operator="equal">
      <formula>6</formula>
    </cfRule>
    <cfRule type="cellIs" dxfId="2629" priority="108" operator="equal">
      <formula>5.5</formula>
    </cfRule>
    <cfRule type="cellIs" dxfId="2628" priority="109" operator="equal">
      <formula>5</formula>
    </cfRule>
    <cfRule type="cellIs" dxfId="2627" priority="110" operator="equal">
      <formula>4.5</formula>
    </cfRule>
    <cfRule type="cellIs" dxfId="2626" priority="111" operator="equal">
      <formula>4</formula>
    </cfRule>
    <cfRule type="cellIs" dxfId="2625" priority="112" operator="equal">
      <formula>3.5</formula>
    </cfRule>
    <cfRule type="cellIs" dxfId="2624" priority="113" operator="equal">
      <formula>3</formula>
    </cfRule>
    <cfRule type="cellIs" dxfId="2623" priority="114" operator="equal">
      <formula>2.5</formula>
    </cfRule>
    <cfRule type="cellIs" dxfId="2622" priority="115" operator="equal">
      <formula>2</formula>
    </cfRule>
    <cfRule type="cellIs" dxfId="2621" priority="116" operator="equal">
      <formula>1.5</formula>
    </cfRule>
    <cfRule type="cellIs" dxfId="2620" priority="117" operator="equal">
      <formula>1</formula>
    </cfRule>
  </conditionalFormatting>
  <conditionalFormatting sqref="H36">
    <cfRule type="cellIs" dxfId="2619" priority="92" operator="greaterThan">
      <formula>6.6</formula>
    </cfRule>
    <cfRule type="cellIs" dxfId="2618" priority="93" operator="equal">
      <formula>6.5</formula>
    </cfRule>
    <cfRule type="cellIs" dxfId="2617" priority="94" operator="equal">
      <formula>6</formula>
    </cfRule>
    <cfRule type="cellIs" dxfId="2616" priority="95" operator="equal">
      <formula>5.5</formula>
    </cfRule>
    <cfRule type="cellIs" dxfId="2615" priority="96" operator="equal">
      <formula>5</formula>
    </cfRule>
    <cfRule type="cellIs" dxfId="2614" priority="97" operator="equal">
      <formula>4.5</formula>
    </cfRule>
    <cfRule type="cellIs" dxfId="2613" priority="98" operator="equal">
      <formula>4</formula>
    </cfRule>
    <cfRule type="cellIs" dxfId="2612" priority="99" operator="equal">
      <formula>3.5</formula>
    </cfRule>
    <cfRule type="cellIs" dxfId="2611" priority="100" operator="equal">
      <formula>3</formula>
    </cfRule>
    <cfRule type="cellIs" dxfId="2610" priority="101" operator="equal">
      <formula>2.5</formula>
    </cfRule>
    <cfRule type="cellIs" dxfId="2609" priority="102" operator="equal">
      <formula>2</formula>
    </cfRule>
    <cfRule type="cellIs" dxfId="2608" priority="103" operator="equal">
      <formula>1.5</formula>
    </cfRule>
    <cfRule type="cellIs" dxfId="2607" priority="104" operator="equal">
      <formula>1</formula>
    </cfRule>
  </conditionalFormatting>
  <conditionalFormatting sqref="J36">
    <cfRule type="cellIs" dxfId="2606" priority="79" operator="greaterThan">
      <formula>6.6</formula>
    </cfRule>
    <cfRule type="cellIs" dxfId="2605" priority="80" operator="equal">
      <formula>6.5</formula>
    </cfRule>
    <cfRule type="cellIs" dxfId="2604" priority="81" operator="equal">
      <formula>6</formula>
    </cfRule>
    <cfRule type="cellIs" dxfId="2603" priority="82" operator="equal">
      <formula>5.5</formula>
    </cfRule>
    <cfRule type="cellIs" dxfId="2602" priority="83" operator="equal">
      <formula>5</formula>
    </cfRule>
    <cfRule type="cellIs" dxfId="2601" priority="84" operator="equal">
      <formula>4.5</formula>
    </cfRule>
    <cfRule type="cellIs" dxfId="2600" priority="85" operator="equal">
      <formula>4</formula>
    </cfRule>
    <cfRule type="cellIs" dxfId="2599" priority="86" operator="equal">
      <formula>3.5</formula>
    </cfRule>
    <cfRule type="cellIs" dxfId="2598" priority="87" operator="equal">
      <formula>3</formula>
    </cfRule>
    <cfRule type="cellIs" dxfId="2597" priority="88" operator="equal">
      <formula>2.5</formula>
    </cfRule>
    <cfRule type="cellIs" dxfId="2596" priority="89" operator="equal">
      <formula>2</formula>
    </cfRule>
    <cfRule type="cellIs" dxfId="2595" priority="90" operator="equal">
      <formula>1.5</formula>
    </cfRule>
    <cfRule type="cellIs" dxfId="2594" priority="91" operator="equal">
      <formula>1</formula>
    </cfRule>
  </conditionalFormatting>
  <conditionalFormatting sqref="L36">
    <cfRule type="cellIs" dxfId="2593" priority="66" operator="greaterThan">
      <formula>6.6</formula>
    </cfRule>
    <cfRule type="cellIs" dxfId="2592" priority="67" operator="equal">
      <formula>6.5</formula>
    </cfRule>
    <cfRule type="cellIs" dxfId="2591" priority="68" operator="equal">
      <formula>6</formula>
    </cfRule>
    <cfRule type="cellIs" dxfId="2590" priority="69" operator="equal">
      <formula>5.5</formula>
    </cfRule>
    <cfRule type="cellIs" dxfId="2589" priority="70" operator="equal">
      <formula>5</formula>
    </cfRule>
    <cfRule type="cellIs" dxfId="2588" priority="71" operator="equal">
      <formula>4.5</formula>
    </cfRule>
    <cfRule type="cellIs" dxfId="2587" priority="72" operator="equal">
      <formula>4</formula>
    </cfRule>
    <cfRule type="cellIs" dxfId="2586" priority="73" operator="equal">
      <formula>3.5</formula>
    </cfRule>
    <cfRule type="cellIs" dxfId="2585" priority="74" operator="equal">
      <formula>3</formula>
    </cfRule>
    <cfRule type="cellIs" dxfId="2584" priority="75" operator="equal">
      <formula>2.5</formula>
    </cfRule>
    <cfRule type="cellIs" dxfId="2583" priority="76" operator="equal">
      <formula>2</formula>
    </cfRule>
    <cfRule type="cellIs" dxfId="2582" priority="77" operator="equal">
      <formula>1.5</formula>
    </cfRule>
    <cfRule type="cellIs" dxfId="2581" priority="78" operator="equal">
      <formula>1</formula>
    </cfRule>
  </conditionalFormatting>
  <conditionalFormatting sqref="N36">
    <cfRule type="cellIs" dxfId="2580" priority="53" operator="greaterThan">
      <formula>6.6</formula>
    </cfRule>
    <cfRule type="cellIs" dxfId="2579" priority="54" operator="equal">
      <formula>6.5</formula>
    </cfRule>
    <cfRule type="cellIs" dxfId="2578" priority="55" operator="equal">
      <formula>6</formula>
    </cfRule>
    <cfRule type="cellIs" dxfId="2577" priority="56" operator="equal">
      <formula>5.5</formula>
    </cfRule>
    <cfRule type="cellIs" dxfId="2576" priority="57" operator="equal">
      <formula>5</formula>
    </cfRule>
    <cfRule type="cellIs" dxfId="2575" priority="58" operator="equal">
      <formula>4.5</formula>
    </cfRule>
    <cfRule type="cellIs" dxfId="2574" priority="59" operator="equal">
      <formula>4</formula>
    </cfRule>
    <cfRule type="cellIs" dxfId="2573" priority="60" operator="equal">
      <formula>3.5</formula>
    </cfRule>
    <cfRule type="cellIs" dxfId="2572" priority="61" operator="equal">
      <formula>3</formula>
    </cfRule>
    <cfRule type="cellIs" dxfId="2571" priority="62" operator="equal">
      <formula>2.5</formula>
    </cfRule>
    <cfRule type="cellIs" dxfId="2570" priority="63" operator="equal">
      <formula>2</formula>
    </cfRule>
    <cfRule type="cellIs" dxfId="2569" priority="64" operator="equal">
      <formula>1.5</formula>
    </cfRule>
    <cfRule type="cellIs" dxfId="2568" priority="65" operator="equal">
      <formula>1</formula>
    </cfRule>
  </conditionalFormatting>
  <conditionalFormatting sqref="P36">
    <cfRule type="cellIs" dxfId="2567" priority="40" operator="greaterThan">
      <formula>6.6</formula>
    </cfRule>
    <cfRule type="cellIs" dxfId="2566" priority="41" operator="equal">
      <formula>6.5</formula>
    </cfRule>
    <cfRule type="cellIs" dxfId="2565" priority="42" operator="equal">
      <formula>6</formula>
    </cfRule>
    <cfRule type="cellIs" dxfId="2564" priority="43" operator="equal">
      <formula>5.5</formula>
    </cfRule>
    <cfRule type="cellIs" dxfId="2563" priority="44" operator="equal">
      <formula>5</formula>
    </cfRule>
    <cfRule type="cellIs" dxfId="2562" priority="45" operator="equal">
      <formula>4.5</formula>
    </cfRule>
    <cfRule type="cellIs" dxfId="2561" priority="46" operator="equal">
      <formula>4</formula>
    </cfRule>
    <cfRule type="cellIs" dxfId="2560" priority="47" operator="equal">
      <formula>3.5</formula>
    </cfRule>
    <cfRule type="cellIs" dxfId="2559" priority="48" operator="equal">
      <formula>3</formula>
    </cfRule>
    <cfRule type="cellIs" dxfId="2558" priority="49" operator="equal">
      <formula>2.5</formula>
    </cfRule>
    <cfRule type="cellIs" dxfId="2557" priority="50" operator="equal">
      <formula>2</formula>
    </cfRule>
    <cfRule type="cellIs" dxfId="2556" priority="51" operator="equal">
      <formula>1.5</formula>
    </cfRule>
    <cfRule type="cellIs" dxfId="2555" priority="52" operator="equal">
      <formula>1</formula>
    </cfRule>
  </conditionalFormatting>
  <conditionalFormatting sqref="T36">
    <cfRule type="cellIs" dxfId="2554" priority="14" operator="greaterThan">
      <formula>6.6</formula>
    </cfRule>
    <cfRule type="cellIs" dxfId="2553" priority="15" operator="equal">
      <formula>6.5</formula>
    </cfRule>
    <cfRule type="cellIs" dxfId="2552" priority="16" operator="equal">
      <formula>6</formula>
    </cfRule>
    <cfRule type="cellIs" dxfId="2551" priority="17" operator="equal">
      <formula>5.5</formula>
    </cfRule>
    <cfRule type="cellIs" dxfId="2550" priority="18" operator="equal">
      <formula>5</formula>
    </cfRule>
    <cfRule type="cellIs" dxfId="2549" priority="19" operator="equal">
      <formula>4.5</formula>
    </cfRule>
    <cfRule type="cellIs" dxfId="2548" priority="20" operator="equal">
      <formula>4</formula>
    </cfRule>
    <cfRule type="cellIs" dxfId="2547" priority="21" operator="equal">
      <formula>3.5</formula>
    </cfRule>
    <cfRule type="cellIs" dxfId="2546" priority="22" operator="equal">
      <formula>3</formula>
    </cfRule>
    <cfRule type="cellIs" dxfId="2545" priority="23" operator="equal">
      <formula>2.5</formula>
    </cfRule>
    <cfRule type="cellIs" dxfId="2544" priority="24" operator="equal">
      <formula>2</formula>
    </cfRule>
    <cfRule type="cellIs" dxfId="2543" priority="25" operator="equal">
      <formula>1.5</formula>
    </cfRule>
    <cfRule type="cellIs" dxfId="2542" priority="26" operator="equal">
      <formula>1</formula>
    </cfRule>
  </conditionalFormatting>
  <dataValidations count="1">
    <dataValidation type="list" allowBlank="1" showInputMessage="1" showErrorMessage="1" sqref="P4" xr:uid="{00000000-0002-0000-1400-000000000000}">
      <formula1>YesNo</formula1>
    </dataValidation>
  </dataValidations>
  <pageMargins left="0.7" right="0.7" top="0.75" bottom="0.75" header="0.3" footer="0.3"/>
  <pageSetup orientation="portrait" r:id="rId1"/>
  <headerFooter>
    <oddHeader>&amp;L&amp;A&amp;C&amp;D&amp;R&amp;G</oddHeader>
    <oddFooter>&amp;L&amp;F&amp;R&amp;P of &amp;N</oddFooter>
  </headerFooter>
  <rowBreaks count="2" manualBreakCount="2">
    <brk id="51" max="22" man="1"/>
    <brk id="103" max="22"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'Land Coeffs 10deg'!$A$8:$A$14</xm:f>
          </x14:formula1>
          <xm:sqref>CT2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55A648"/>
  </sheetPr>
  <dimension ref="A1:HF57"/>
  <sheetViews>
    <sheetView view="pageBreakPreview" zoomScale="55" zoomScaleNormal="100" zoomScaleSheetLayoutView="55" zoomScalePageLayoutView="70" workbookViewId="0"/>
  </sheetViews>
  <sheetFormatPr defaultColWidth="3.28515625" defaultRowHeight="13.5" customHeight="1"/>
  <cols>
    <col min="1" max="61" width="3.28515625" style="396" customWidth="1"/>
    <col min="62" max="90" width="3.28515625" style="396"/>
    <col min="91" max="91" width="0.7109375" style="396" customWidth="1"/>
    <col min="92" max="92" width="3.140625" style="396" customWidth="1"/>
    <col min="93" max="120" width="3.28515625" style="396"/>
    <col min="121" max="121" width="3.28515625" style="396" customWidth="1"/>
    <col min="122" max="122" width="0.7109375" style="396" customWidth="1"/>
    <col min="123" max="153" width="3.28515625" style="396" customWidth="1"/>
    <col min="154" max="154" width="4.7109375" style="396" customWidth="1"/>
    <col min="155" max="158" width="3.28515625" style="396" customWidth="1"/>
    <col min="159" max="159" width="3.42578125" style="396" customWidth="1"/>
    <col min="160" max="161" width="3.28515625" style="396" customWidth="1"/>
    <col min="162" max="162" width="3.42578125" style="396" customWidth="1"/>
    <col min="163" max="164" width="3.28515625" style="396" customWidth="1"/>
    <col min="165" max="165" width="3.42578125" style="396" customWidth="1"/>
    <col min="166" max="167" width="3.28515625" style="396" customWidth="1"/>
    <col min="168" max="168" width="3.42578125" style="396" customWidth="1"/>
    <col min="169" max="170" width="3.28515625" style="396" customWidth="1"/>
    <col min="171" max="171" width="3.42578125" style="396" customWidth="1"/>
    <col min="172" max="173" width="3.28515625" style="396" customWidth="1"/>
    <col min="174" max="174" width="3.42578125" style="396" customWidth="1"/>
    <col min="175" max="176" width="3.28515625" style="396" customWidth="1"/>
    <col min="177" max="177" width="3.42578125" style="396" customWidth="1"/>
    <col min="178" max="179" width="3.28515625" style="396" customWidth="1"/>
    <col min="180" max="180" width="3.42578125" style="396" customWidth="1"/>
    <col min="181" max="182" width="3.28515625" style="396" customWidth="1"/>
    <col min="183" max="183" width="3.7109375" style="396" customWidth="1"/>
    <col min="184" max="184" width="4.7109375" style="396" bestFit="1" customWidth="1"/>
    <col min="185" max="187" width="3.28515625" style="396"/>
    <col min="188" max="188" width="3.28515625" style="396" customWidth="1"/>
    <col min="189" max="190" width="3.28515625" style="396"/>
    <col min="191" max="191" width="3.28515625" style="396" customWidth="1"/>
    <col min="192" max="193" width="3.28515625" style="396"/>
    <col min="194" max="194" width="3.28515625" style="396" customWidth="1"/>
    <col min="195" max="196" width="3.28515625" style="396"/>
    <col min="197" max="197" width="3.28515625" style="396" customWidth="1"/>
    <col min="198" max="199" width="3.28515625" style="396"/>
    <col min="200" max="200" width="3.28515625" style="396" customWidth="1"/>
    <col min="201" max="202" width="3.28515625" style="396"/>
    <col min="203" max="203" width="3.28515625" style="396" customWidth="1"/>
    <col min="204" max="205" width="3.28515625" style="396"/>
    <col min="206" max="206" width="3.28515625" style="396" customWidth="1"/>
    <col min="207" max="211" width="3.42578125" style="396" customWidth="1"/>
    <col min="212" max="212" width="3.28515625" style="396" customWidth="1"/>
    <col min="213" max="215" width="5.140625" style="396" customWidth="1"/>
    <col min="216" max="16384" width="3.28515625" style="396"/>
  </cols>
  <sheetData>
    <row r="1" spans="1:214" s="408" customFormat="1" ht="13.5" customHeight="1">
      <c r="A1" s="407"/>
      <c r="B1" s="407"/>
      <c r="D1" s="402"/>
      <c r="E1" s="402"/>
      <c r="F1" s="402"/>
      <c r="G1" s="402"/>
      <c r="H1" s="402"/>
      <c r="I1" s="402"/>
      <c r="J1" s="402"/>
      <c r="K1" s="402"/>
      <c r="L1" s="402"/>
      <c r="M1" s="402"/>
      <c r="N1" s="402"/>
      <c r="O1" s="402"/>
      <c r="P1" s="402"/>
      <c r="Q1" s="402"/>
      <c r="R1" s="402"/>
      <c r="S1" s="402"/>
      <c r="T1" s="402"/>
      <c r="U1" s="402"/>
      <c r="V1" s="402"/>
      <c r="W1" s="402"/>
      <c r="X1" s="402"/>
      <c r="Y1" s="402"/>
      <c r="Z1" s="402"/>
      <c r="AA1" s="402"/>
      <c r="AB1" s="402"/>
      <c r="AC1" s="402"/>
      <c r="AD1" s="402"/>
      <c r="AE1" s="402" t="str">
        <f>"Uplift, Sliding, &amp; Seismic Calculations for the Proposed Project in "&amp;J13</f>
        <v>Uplift, Sliding, &amp; Seismic Calculations for the Proposed Project in Reno, NV 89523</v>
      </c>
      <c r="AF1" s="402"/>
      <c r="AG1" s="402"/>
      <c r="AH1" s="402"/>
      <c r="AI1" s="402"/>
      <c r="AJ1" s="402"/>
      <c r="AK1" s="402"/>
      <c r="AL1" s="402"/>
      <c r="AM1" s="402"/>
      <c r="AN1" s="402"/>
      <c r="AO1" s="402"/>
      <c r="AP1" s="402"/>
      <c r="AQ1" s="402"/>
      <c r="AR1" s="402"/>
      <c r="AS1" s="402"/>
      <c r="AT1" s="402"/>
      <c r="AU1" s="402"/>
      <c r="AV1" s="402"/>
      <c r="AW1" s="402"/>
      <c r="AX1" s="402"/>
      <c r="AY1" s="402"/>
      <c r="AZ1" s="402"/>
      <c r="BA1" s="402"/>
      <c r="BB1" s="402"/>
      <c r="BC1" s="402"/>
      <c r="BD1" s="402"/>
      <c r="BE1" s="402"/>
      <c r="BF1" s="402"/>
      <c r="BG1" s="402"/>
      <c r="BH1" s="402"/>
      <c r="BI1" s="402" t="str">
        <f>"Uplift, Sliding, &amp; Seismic Calculations for the Proposed Project in "&amp;J13</f>
        <v>Uplift, Sliding, &amp; Seismic Calculations for the Proposed Project in Reno, NV 89523</v>
      </c>
      <c r="BJ1" s="402"/>
      <c r="CN1" s="408" t="str">
        <f>"Uplift, Sliding, &amp; Seismic Calculations for the Proposed Project in "&amp;J13</f>
        <v>Uplift, Sliding, &amp; Seismic Calculations for the Proposed Project in Reno, NV 89523</v>
      </c>
      <c r="DS1" s="408" t="str">
        <f>$BI$1</f>
        <v>Uplift, Sliding, &amp; Seismic Calculations for the Proposed Project in Reno, NV 89523</v>
      </c>
      <c r="DT1" s="409" t="str">
        <f>"Uplift, Sliding, &amp; Seismic Calculations for the Proposed Project in "&amp;J13</f>
        <v>Uplift, Sliding, &amp; Seismic Calculations for the Proposed Project in Reno, NV 89523</v>
      </c>
      <c r="DU1" s="409"/>
      <c r="DV1" s="409"/>
      <c r="DW1" s="409"/>
      <c r="DX1" s="409"/>
      <c r="DY1" s="409"/>
      <c r="DZ1" s="409"/>
      <c r="EA1" s="409"/>
      <c r="EB1" s="409"/>
      <c r="EC1" s="409"/>
      <c r="ED1" s="409"/>
      <c r="EE1" s="409"/>
      <c r="EF1" s="409"/>
      <c r="EG1" s="409"/>
      <c r="EH1" s="409"/>
      <c r="EI1" s="409"/>
      <c r="EJ1" s="409"/>
      <c r="EK1" s="409"/>
      <c r="EL1" s="409"/>
      <c r="EM1" s="409"/>
      <c r="EN1" s="409"/>
      <c r="EO1" s="409"/>
      <c r="EP1" s="409"/>
      <c r="EQ1" s="409"/>
      <c r="ER1" s="409"/>
      <c r="ES1" s="409"/>
      <c r="ET1" s="409"/>
      <c r="EU1" s="409"/>
      <c r="EV1" s="409"/>
      <c r="EW1" s="409"/>
      <c r="EX1" s="408" t="str">
        <f>"Uplift, Sliding, &amp; Seismic Calculations for the Proposed Project in "&amp;J13</f>
        <v>Uplift, Sliding, &amp; Seismic Calculations for the Proposed Project in Reno, NV 89523</v>
      </c>
      <c r="EY1" s="409"/>
      <c r="EZ1" s="409"/>
      <c r="FA1" s="409"/>
      <c r="FB1" s="409"/>
      <c r="FC1" s="409"/>
      <c r="FD1" s="409"/>
      <c r="FE1" s="409"/>
      <c r="FF1" s="409"/>
      <c r="FG1" s="409"/>
      <c r="FH1" s="409"/>
      <c r="FI1" s="409"/>
      <c r="FJ1" s="409"/>
      <c r="FK1" s="409"/>
      <c r="FL1" s="409"/>
      <c r="FM1" s="409"/>
      <c r="FN1" s="409"/>
      <c r="FO1" s="409"/>
      <c r="FP1" s="409"/>
      <c r="FQ1" s="409"/>
      <c r="FR1" s="409"/>
      <c r="FS1" s="409"/>
      <c r="FT1" s="409"/>
      <c r="FU1" s="409"/>
      <c r="FV1" s="409"/>
      <c r="FW1" s="409"/>
      <c r="FX1" s="409"/>
      <c r="FY1" s="409"/>
      <c r="FZ1" s="409"/>
      <c r="GA1" s="409"/>
      <c r="GB1" s="408" t="str">
        <f>"Uplift, Sliding, &amp; Seismic Calculations for the Proposed Project in "&amp;J13</f>
        <v>Uplift, Sliding, &amp; Seismic Calculations for the Proposed Project in Reno, NV 89523</v>
      </c>
    </row>
    <row r="2" spans="1:214" ht="13.5" customHeight="1">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J2" s="394"/>
      <c r="DS2" s="394"/>
      <c r="DT2" s="394"/>
      <c r="DU2" s="394"/>
      <c r="DV2" s="394"/>
      <c r="DW2" s="394"/>
      <c r="DX2" s="394"/>
      <c r="DY2" s="394"/>
      <c r="DZ2" s="394"/>
      <c r="EA2" s="394"/>
      <c r="EB2" s="394"/>
      <c r="EC2" s="394"/>
      <c r="ED2" s="394"/>
      <c r="EE2" s="394"/>
      <c r="EF2" s="394"/>
      <c r="EG2" s="394"/>
      <c r="EH2" s="394"/>
      <c r="EI2" s="394"/>
      <c r="EJ2" s="394"/>
      <c r="EK2" s="394"/>
      <c r="EL2" s="394"/>
      <c r="EM2" s="394"/>
      <c r="EN2" s="394"/>
      <c r="EO2" s="394"/>
      <c r="EP2" s="394"/>
      <c r="EQ2" s="394"/>
      <c r="ER2" s="394"/>
      <c r="ES2" s="394"/>
      <c r="ET2" s="394"/>
      <c r="EU2" s="394"/>
      <c r="EV2" s="394"/>
      <c r="EW2" s="394"/>
      <c r="EX2" s="394"/>
      <c r="EY2" s="394"/>
      <c r="EZ2" s="394"/>
      <c r="FA2" s="394"/>
      <c r="FB2" s="394"/>
      <c r="FC2" s="394"/>
      <c r="FD2" s="394"/>
      <c r="FE2" s="394"/>
      <c r="FF2" s="394"/>
      <c r="FG2" s="394"/>
      <c r="FH2" s="394"/>
      <c r="FI2" s="394"/>
      <c r="FJ2" s="394"/>
      <c r="FK2" s="394"/>
      <c r="FL2" s="394"/>
      <c r="FM2" s="394"/>
      <c r="FN2" s="394"/>
      <c r="FO2" s="394"/>
      <c r="FP2" s="394"/>
      <c r="FQ2" s="394"/>
      <c r="FR2" s="394"/>
      <c r="FS2" s="394"/>
      <c r="FT2" s="394"/>
      <c r="FU2" s="394"/>
      <c r="FV2" s="394"/>
      <c r="FW2" s="394"/>
      <c r="FX2" s="394"/>
      <c r="FY2" s="394"/>
      <c r="FZ2" s="394"/>
      <c r="GA2" s="394"/>
    </row>
    <row r="3" spans="1:214" ht="13.5" customHeight="1">
      <c r="G3" s="395"/>
      <c r="H3" s="395"/>
      <c r="BJ3" s="401"/>
      <c r="BK3" s="401"/>
      <c r="BL3" s="401"/>
      <c r="BM3" s="401"/>
      <c r="BN3" s="401"/>
      <c r="BO3" s="401"/>
      <c r="BP3" s="401"/>
      <c r="BQ3" s="401"/>
      <c r="BR3" s="401"/>
      <c r="BS3" s="401"/>
      <c r="BT3" s="401"/>
      <c r="BU3" s="401"/>
      <c r="BV3" s="401"/>
      <c r="BW3" s="401"/>
      <c r="BX3" s="401"/>
      <c r="BY3" s="401"/>
      <c r="BZ3" s="401"/>
      <c r="CA3" s="401"/>
      <c r="CB3" s="401"/>
      <c r="CC3" s="401"/>
      <c r="CD3" s="401"/>
      <c r="CE3" s="401"/>
      <c r="CF3" s="401"/>
      <c r="CG3" s="401"/>
      <c r="CH3" s="401"/>
      <c r="CI3" s="401"/>
      <c r="CJ3" s="401"/>
      <c r="CK3" s="401"/>
      <c r="CL3" s="401"/>
      <c r="CM3" s="763"/>
    </row>
    <row r="4" spans="1:214" ht="13.5" customHeight="1">
      <c r="A4" s="2359" t="s">
        <v>19463</v>
      </c>
      <c r="B4" s="2359"/>
      <c r="C4" s="2359"/>
      <c r="D4" s="2359"/>
      <c r="E4" s="2359"/>
      <c r="F4" s="2359"/>
      <c r="G4" s="2359"/>
      <c r="H4" s="2359"/>
      <c r="I4" s="2359"/>
      <c r="J4" s="2359"/>
      <c r="K4" s="2359"/>
      <c r="L4" s="2359"/>
      <c r="M4" s="2359"/>
      <c r="N4" s="2359"/>
      <c r="O4" s="2359"/>
      <c r="P4" s="2359"/>
      <c r="Q4" s="2359"/>
      <c r="R4" s="2359"/>
      <c r="S4" s="2359"/>
      <c r="T4" s="2359"/>
      <c r="U4" s="2359"/>
      <c r="V4" s="2359"/>
      <c r="W4" s="2359"/>
      <c r="X4" s="2359"/>
      <c r="Y4" s="2359"/>
      <c r="Z4" s="2359"/>
      <c r="AA4" s="2359"/>
      <c r="AB4" s="2359"/>
      <c r="AC4" s="2359"/>
      <c r="AD4" s="2359"/>
      <c r="AE4" s="2235" t="s">
        <v>19981</v>
      </c>
      <c r="AF4" s="2235"/>
      <c r="AG4" s="2235"/>
      <c r="AH4" s="2235"/>
      <c r="AI4" s="2235"/>
      <c r="AJ4" s="2235"/>
      <c r="AK4" s="2235"/>
      <c r="AL4" s="2235"/>
      <c r="AM4" s="2235"/>
      <c r="AN4" s="2235"/>
      <c r="AO4" s="2235"/>
      <c r="AP4" s="2235"/>
      <c r="AQ4" s="2235"/>
      <c r="AR4" s="2235"/>
      <c r="AS4" s="2235"/>
      <c r="AT4" s="2235"/>
      <c r="AU4" s="2235"/>
      <c r="AV4" s="2235"/>
      <c r="AW4" s="2235"/>
      <c r="AX4" s="2235"/>
      <c r="AY4" s="2235"/>
      <c r="AZ4" s="2235"/>
      <c r="BA4" s="2235"/>
      <c r="BB4" s="2235"/>
      <c r="BC4" s="2235"/>
      <c r="BD4" s="2235"/>
      <c r="BE4" s="2235"/>
      <c r="BF4" s="2235"/>
      <c r="BG4" s="2235"/>
      <c r="BH4" s="2235"/>
      <c r="BN4" s="2313" t="s">
        <v>19484</v>
      </c>
      <c r="BO4" s="2313"/>
      <c r="BP4" s="2313"/>
      <c r="BQ4" s="2313"/>
      <c r="BR4" s="2313"/>
      <c r="BS4" s="2313"/>
      <c r="BT4" s="2313"/>
      <c r="BU4" s="2313"/>
      <c r="BV4" s="2313"/>
      <c r="BW4" s="2313"/>
      <c r="BX4" s="2313"/>
      <c r="BY4" s="2313"/>
      <c r="BZ4" s="2313"/>
      <c r="CA4" s="2313"/>
      <c r="CB4" s="2313"/>
      <c r="CC4" s="2313"/>
      <c r="CD4" s="2313"/>
      <c r="CE4" s="2313"/>
      <c r="CF4" s="2313"/>
      <c r="CN4" s="2210" t="str">
        <f>"Table 4: Ballast to Resist Uplift Calculations for Project Proposed in "&amp;J13</f>
        <v>Table 4: Ballast to Resist Uplift Calculations for Project Proposed in Reno, NV 89523</v>
      </c>
      <c r="CO4" s="2210"/>
      <c r="CP4" s="2210"/>
      <c r="CQ4" s="2210"/>
      <c r="CR4" s="2210"/>
      <c r="CS4" s="2210"/>
      <c r="CT4" s="2210"/>
      <c r="CU4" s="2210"/>
      <c r="CV4" s="2210"/>
      <c r="CW4" s="2210"/>
      <c r="CX4" s="2210"/>
      <c r="CY4" s="2210"/>
      <c r="CZ4" s="2210"/>
      <c r="DA4" s="2210"/>
      <c r="DB4" s="2210"/>
      <c r="DC4" s="2210"/>
      <c r="DD4" s="2210"/>
      <c r="DE4" s="2210"/>
      <c r="DF4" s="2210"/>
      <c r="DG4" s="2210"/>
      <c r="DH4" s="2210"/>
      <c r="DI4" s="2210"/>
      <c r="DJ4" s="2210"/>
      <c r="DK4" s="2210"/>
      <c r="DL4" s="2210"/>
      <c r="DM4" s="2210"/>
      <c r="DN4" s="2210"/>
      <c r="DO4" s="2210"/>
      <c r="DP4" s="2210"/>
      <c r="DQ4" s="2210"/>
      <c r="DS4" s="2236" t="s">
        <v>20028</v>
      </c>
      <c r="DT4" s="2236"/>
      <c r="DU4" s="2236"/>
      <c r="DV4" s="2236"/>
      <c r="DW4" s="2236"/>
      <c r="DX4" s="2236"/>
      <c r="DY4" s="2236"/>
      <c r="DZ4" s="2236"/>
      <c r="EA4" s="2236"/>
      <c r="EB4" s="2236"/>
      <c r="EC4" s="2236"/>
      <c r="ED4" s="2236"/>
      <c r="EE4" s="2236"/>
      <c r="EF4" s="2236"/>
      <c r="EG4" s="2236"/>
      <c r="EH4" s="2236"/>
      <c r="EI4" s="2236"/>
      <c r="EJ4" s="2236"/>
      <c r="EK4" s="2236"/>
      <c r="EL4" s="2236"/>
      <c r="EM4" s="2236"/>
      <c r="EN4" s="2236"/>
      <c r="EO4" s="2236"/>
      <c r="EP4" s="2236"/>
      <c r="EQ4" s="2236"/>
      <c r="ER4" s="2236"/>
      <c r="ES4" s="2236"/>
      <c r="ET4" s="2236"/>
      <c r="EU4" s="2236"/>
      <c r="EV4" s="2236"/>
      <c r="EW4" s="2236"/>
      <c r="EX4" s="2296" t="s">
        <v>20008</v>
      </c>
      <c r="EY4" s="2296"/>
      <c r="EZ4" s="2296"/>
      <c r="FA4" s="2296"/>
      <c r="FB4" s="2296"/>
      <c r="FC4" s="2296"/>
      <c r="FD4" s="2296"/>
      <c r="FE4" s="2296"/>
      <c r="FF4" s="2296"/>
      <c r="FG4" s="2296"/>
      <c r="FH4" s="2296"/>
      <c r="FI4" s="2296"/>
      <c r="FJ4" s="2296"/>
      <c r="FK4" s="2296"/>
      <c r="FL4" s="2296"/>
      <c r="FM4" s="2296"/>
      <c r="FN4" s="2296"/>
      <c r="FO4" s="2296"/>
      <c r="FP4" s="2296"/>
      <c r="FQ4" s="2296"/>
      <c r="FR4" s="2296"/>
      <c r="FS4" s="2296"/>
      <c r="FT4" s="2296"/>
      <c r="FU4" s="2296"/>
      <c r="FV4" s="2296"/>
      <c r="FW4" s="2296"/>
      <c r="FX4" s="2296"/>
      <c r="FY4" s="2296"/>
      <c r="FZ4" s="2296"/>
      <c r="GA4" s="2296"/>
      <c r="GB4" s="2209" t="s">
        <v>20016</v>
      </c>
      <c r="GC4" s="2209"/>
      <c r="GD4" s="2209"/>
      <c r="GE4" s="2209"/>
      <c r="GF4" s="2209"/>
      <c r="GG4" s="2209"/>
      <c r="GH4" s="2209"/>
      <c r="GI4" s="2209"/>
      <c r="GJ4" s="2209"/>
      <c r="GK4" s="2209"/>
      <c r="GL4" s="2209"/>
      <c r="GM4" s="2209"/>
      <c r="GN4" s="2209"/>
      <c r="GO4" s="2209"/>
      <c r="GP4" s="2209"/>
      <c r="GQ4" s="2209"/>
      <c r="GR4" s="2209"/>
      <c r="GS4" s="2209"/>
      <c r="GT4" s="2209"/>
      <c r="GU4" s="2209"/>
      <c r="GV4" s="2209"/>
      <c r="GW4" s="2209"/>
      <c r="GX4" s="2209"/>
      <c r="GY4" s="2209"/>
      <c r="GZ4" s="2209"/>
      <c r="HA4" s="2209"/>
      <c r="HB4" s="2209"/>
      <c r="HC4" s="2209"/>
      <c r="HD4" s="2209"/>
      <c r="HF4" s="401"/>
    </row>
    <row r="5" spans="1:214" ht="13.5" customHeight="1">
      <c r="A5" s="2359"/>
      <c r="B5" s="2359"/>
      <c r="C5" s="2359"/>
      <c r="D5" s="2359"/>
      <c r="E5" s="2359"/>
      <c r="F5" s="2359"/>
      <c r="G5" s="2359"/>
      <c r="H5" s="2359"/>
      <c r="I5" s="2359"/>
      <c r="J5" s="2359"/>
      <c r="K5" s="2359"/>
      <c r="L5" s="2359"/>
      <c r="M5" s="2359"/>
      <c r="N5" s="2359"/>
      <c r="O5" s="2359"/>
      <c r="P5" s="2359"/>
      <c r="Q5" s="2359"/>
      <c r="R5" s="2359"/>
      <c r="S5" s="2359"/>
      <c r="T5" s="2359"/>
      <c r="U5" s="2359"/>
      <c r="V5" s="2359"/>
      <c r="W5" s="2359"/>
      <c r="X5" s="2359"/>
      <c r="Y5" s="2359"/>
      <c r="Z5" s="2359"/>
      <c r="AA5" s="2359"/>
      <c r="AB5" s="2359"/>
      <c r="AC5" s="2359"/>
      <c r="AD5" s="2359"/>
      <c r="AE5" s="2235"/>
      <c r="AF5" s="2235"/>
      <c r="AG5" s="2235"/>
      <c r="AH5" s="2235"/>
      <c r="AI5" s="2235"/>
      <c r="AJ5" s="2235"/>
      <c r="AK5" s="2235"/>
      <c r="AL5" s="2235"/>
      <c r="AM5" s="2235"/>
      <c r="AN5" s="2235"/>
      <c r="AO5" s="2235"/>
      <c r="AP5" s="2235"/>
      <c r="AQ5" s="2235"/>
      <c r="AR5" s="2235"/>
      <c r="AS5" s="2235"/>
      <c r="AT5" s="2235"/>
      <c r="AU5" s="2235"/>
      <c r="AV5" s="2235"/>
      <c r="AW5" s="2235"/>
      <c r="AX5" s="2235"/>
      <c r="AY5" s="2235"/>
      <c r="AZ5" s="2235"/>
      <c r="BA5" s="2235"/>
      <c r="BB5" s="2235"/>
      <c r="BC5" s="2235"/>
      <c r="BD5" s="2235"/>
      <c r="BE5" s="2235"/>
      <c r="BF5" s="2235"/>
      <c r="BG5" s="2235"/>
      <c r="BH5" s="2235"/>
      <c r="BN5" s="2301" t="s">
        <v>20317</v>
      </c>
      <c r="BO5" s="2302"/>
      <c r="BP5" s="2302"/>
      <c r="BQ5" s="2302"/>
      <c r="BR5" s="2302"/>
      <c r="BS5" s="2302"/>
      <c r="BT5" s="2302"/>
      <c r="BU5" s="2302"/>
      <c r="BV5" s="2302"/>
      <c r="BW5" s="2302"/>
      <c r="BX5" s="2302"/>
      <c r="BY5" s="2302"/>
      <c r="BZ5" s="2302"/>
      <c r="CA5" s="2302"/>
      <c r="CB5" s="2302"/>
      <c r="CC5" s="2303"/>
      <c r="CD5" s="2317">
        <f>IF('1-Eng Inputs'!$C$3="EcoFoot 5D",factors!D1,factors!B1)</f>
        <v>14.52</v>
      </c>
      <c r="CE5" s="2318"/>
      <c r="CF5" s="866" t="s">
        <v>19360</v>
      </c>
      <c r="DS5" s="2236"/>
      <c r="DT5" s="2236"/>
      <c r="DU5" s="2236"/>
      <c r="DV5" s="2236"/>
      <c r="DW5" s="2236"/>
      <c r="DX5" s="2236"/>
      <c r="DY5" s="2236"/>
      <c r="DZ5" s="2236"/>
      <c r="EA5" s="2236"/>
      <c r="EB5" s="2236"/>
      <c r="EC5" s="2236"/>
      <c r="ED5" s="2236"/>
      <c r="EE5" s="2236"/>
      <c r="EF5" s="2236"/>
      <c r="EG5" s="2236"/>
      <c r="EH5" s="2236"/>
      <c r="EI5" s="2236"/>
      <c r="EJ5" s="2236"/>
      <c r="EK5" s="2236"/>
      <c r="EL5" s="2236"/>
      <c r="EM5" s="2236"/>
      <c r="EN5" s="2236"/>
      <c r="EO5" s="2236"/>
      <c r="EP5" s="2236"/>
      <c r="EQ5" s="2236"/>
      <c r="ER5" s="2236"/>
      <c r="ES5" s="2236"/>
      <c r="ET5" s="2236"/>
      <c r="EU5" s="2236"/>
      <c r="EV5" s="2236"/>
      <c r="EW5" s="2236"/>
      <c r="FD5" s="416"/>
      <c r="FO5" s="416"/>
      <c r="FP5" s="416"/>
      <c r="FQ5" s="416"/>
      <c r="FR5" s="416"/>
      <c r="FS5" s="416"/>
      <c r="FT5" s="416"/>
      <c r="FU5" s="416"/>
      <c r="FV5" s="416"/>
      <c r="FW5" s="416"/>
      <c r="FX5" s="416"/>
      <c r="FY5" s="416"/>
      <c r="FZ5" s="416"/>
      <c r="GA5" s="416"/>
      <c r="GB5" s="2209"/>
      <c r="GC5" s="2209"/>
      <c r="GD5" s="2209"/>
      <c r="GE5" s="2209"/>
      <c r="GF5" s="2209"/>
      <c r="GG5" s="2209"/>
      <c r="GH5" s="2209"/>
      <c r="GI5" s="2209"/>
      <c r="GJ5" s="2209"/>
      <c r="GK5" s="2209"/>
      <c r="GL5" s="2209"/>
      <c r="GM5" s="2209"/>
      <c r="GN5" s="2209"/>
      <c r="GO5" s="2209"/>
      <c r="GP5" s="2209"/>
      <c r="GQ5" s="2209"/>
      <c r="GR5" s="2209"/>
      <c r="GS5" s="2209"/>
      <c r="GT5" s="2209"/>
      <c r="GU5" s="2209"/>
      <c r="GV5" s="2209"/>
      <c r="GW5" s="2209"/>
      <c r="GX5" s="2209"/>
      <c r="GY5" s="2209"/>
      <c r="GZ5" s="2209"/>
      <c r="HA5" s="2209"/>
      <c r="HB5" s="2209"/>
      <c r="HC5" s="2209"/>
      <c r="HD5" s="2209"/>
      <c r="HF5" s="401"/>
    </row>
    <row r="6" spans="1:214" ht="13.5" customHeight="1" thickBot="1">
      <c r="A6" s="2359"/>
      <c r="B6" s="2359"/>
      <c r="C6" s="2359"/>
      <c r="D6" s="2359"/>
      <c r="E6" s="2359"/>
      <c r="F6" s="2359"/>
      <c r="G6" s="2359"/>
      <c r="H6" s="2359"/>
      <c r="I6" s="2359"/>
      <c r="J6" s="2359"/>
      <c r="K6" s="2359"/>
      <c r="L6" s="2359"/>
      <c r="M6" s="2359"/>
      <c r="N6" s="2359"/>
      <c r="O6" s="2359"/>
      <c r="P6" s="2359"/>
      <c r="Q6" s="2359"/>
      <c r="R6" s="2359"/>
      <c r="S6" s="2359"/>
      <c r="T6" s="2359"/>
      <c r="U6" s="2359"/>
      <c r="V6" s="2359"/>
      <c r="W6" s="2359"/>
      <c r="X6" s="2359"/>
      <c r="Y6" s="2359"/>
      <c r="Z6" s="2359"/>
      <c r="AA6" s="2359"/>
      <c r="AB6" s="2359"/>
      <c r="AC6" s="2359"/>
      <c r="AD6" s="2359"/>
      <c r="AE6" s="2307" t="s">
        <v>20226</v>
      </c>
      <c r="AF6" s="2307"/>
      <c r="AG6" s="2307"/>
      <c r="AH6" s="2307"/>
      <c r="AI6" s="2307"/>
      <c r="AJ6" s="2307"/>
      <c r="AK6" s="2307"/>
      <c r="AL6" s="2307"/>
      <c r="AM6" s="2307"/>
      <c r="AN6" s="2307"/>
      <c r="AO6" s="2307"/>
      <c r="AP6" s="2307"/>
      <c r="AQ6" s="2307"/>
      <c r="AR6" s="2307"/>
      <c r="AS6" s="2307"/>
      <c r="AT6" s="2307"/>
      <c r="AU6" s="2307"/>
      <c r="AV6" s="2307"/>
      <c r="AW6" s="2307"/>
      <c r="AX6" s="2307"/>
      <c r="AY6" s="2307"/>
      <c r="AZ6" s="2307"/>
      <c r="BA6" s="2307"/>
      <c r="BB6" s="2307"/>
      <c r="BC6" s="2307"/>
      <c r="BD6" s="2307"/>
      <c r="BE6" s="2307"/>
      <c r="BF6" s="2307"/>
      <c r="BG6" s="2307"/>
      <c r="BH6" s="2307"/>
      <c r="BN6" s="2301" t="s">
        <v>28</v>
      </c>
      <c r="BO6" s="2302"/>
      <c r="BP6" s="2302"/>
      <c r="BQ6" s="2302"/>
      <c r="BR6" s="2302"/>
      <c r="BS6" s="2302"/>
      <c r="BT6" s="2302"/>
      <c r="BU6" s="2302"/>
      <c r="BV6" s="2302"/>
      <c r="BW6" s="2302"/>
      <c r="BX6" s="2302"/>
      <c r="BY6" s="2302"/>
      <c r="BZ6" s="2302"/>
      <c r="CA6" s="2302"/>
      <c r="CB6" s="2302"/>
      <c r="CC6" s="2303"/>
      <c r="CD6" s="2301">
        <f>factors!B2</f>
        <v>32</v>
      </c>
      <c r="CE6" s="2302"/>
      <c r="CF6" s="866" t="s">
        <v>19360</v>
      </c>
      <c r="DH6" s="2295" t="s">
        <v>19984</v>
      </c>
      <c r="DI6" s="2295"/>
      <c r="DJ6" s="2295"/>
      <c r="DK6" s="2295"/>
      <c r="DL6" s="2295"/>
      <c r="DM6" s="2295"/>
      <c r="DN6" s="2295"/>
      <c r="DO6" s="2295"/>
      <c r="DS6" s="2236"/>
      <c r="DT6" s="2236"/>
      <c r="DU6" s="2236"/>
      <c r="DV6" s="2236"/>
      <c r="DW6" s="2236"/>
      <c r="DX6" s="2236"/>
      <c r="DY6" s="2236"/>
      <c r="DZ6" s="2236"/>
      <c r="EA6" s="2236"/>
      <c r="EB6" s="2236"/>
      <c r="EC6" s="2236"/>
      <c r="ED6" s="2236"/>
      <c r="EE6" s="2236"/>
      <c r="EF6" s="2236"/>
      <c r="EG6" s="2236"/>
      <c r="EH6" s="2236"/>
      <c r="EI6" s="2236"/>
      <c r="EJ6" s="2236"/>
      <c r="EK6" s="2236"/>
      <c r="EL6" s="2236"/>
      <c r="EM6" s="2236"/>
      <c r="EN6" s="2236"/>
      <c r="EO6" s="2236"/>
      <c r="EP6" s="2236"/>
      <c r="EQ6" s="2236"/>
      <c r="ER6" s="2236"/>
      <c r="ES6" s="2236"/>
      <c r="ET6" s="2236"/>
      <c r="EU6" s="2236"/>
      <c r="EV6" s="2236"/>
      <c r="EW6" s="2236"/>
      <c r="EZ6" s="881" t="s">
        <v>19979</v>
      </c>
      <c r="FI6" s="2233" t="s">
        <v>20012</v>
      </c>
      <c r="FJ6" s="2233"/>
      <c r="FK6" s="2233"/>
      <c r="FL6" s="2233"/>
      <c r="FM6" s="2233"/>
      <c r="FN6" s="2233"/>
      <c r="FO6" s="2233"/>
      <c r="FP6" s="2233"/>
      <c r="FS6" s="881" t="s">
        <v>19980</v>
      </c>
      <c r="HB6" s="870"/>
      <c r="HC6" s="870"/>
      <c r="HF6" s="401"/>
    </row>
    <row r="7" spans="1:214" ht="13.5" customHeight="1">
      <c r="A7" s="2354" t="s">
        <v>20150</v>
      </c>
      <c r="B7" s="2354"/>
      <c r="C7" s="2354"/>
      <c r="D7" s="2354"/>
      <c r="E7" s="2354"/>
      <c r="F7" s="2354"/>
      <c r="G7" s="2354"/>
      <c r="H7" s="2354"/>
      <c r="I7" s="2354"/>
      <c r="J7" s="2354"/>
      <c r="K7" s="2354"/>
      <c r="L7" s="2354"/>
      <c r="M7" s="2354"/>
      <c r="N7" s="2354"/>
      <c r="O7" s="2354"/>
      <c r="P7" s="2354"/>
      <c r="Q7" s="2354"/>
      <c r="R7" s="2354"/>
      <c r="S7" s="2354"/>
      <c r="T7" s="2354"/>
      <c r="U7" s="2354"/>
      <c r="V7" s="2354"/>
      <c r="W7" s="2354"/>
      <c r="X7" s="2354"/>
      <c r="Y7" s="2354"/>
      <c r="Z7" s="2354"/>
      <c r="AA7" s="2354"/>
      <c r="AB7" s="2354"/>
      <c r="AC7" s="2354"/>
      <c r="AD7" s="2354"/>
      <c r="AE7" s="2307"/>
      <c r="AF7" s="2307"/>
      <c r="AG7" s="2307"/>
      <c r="AH7" s="2307"/>
      <c r="AI7" s="2307"/>
      <c r="AJ7" s="2307"/>
      <c r="AK7" s="2307"/>
      <c r="AL7" s="2307"/>
      <c r="AM7" s="2307"/>
      <c r="AN7" s="2307"/>
      <c r="AO7" s="2307"/>
      <c r="AP7" s="2307"/>
      <c r="AQ7" s="2307"/>
      <c r="AR7" s="2307"/>
      <c r="AS7" s="2307"/>
      <c r="AT7" s="2307"/>
      <c r="AU7" s="2307"/>
      <c r="AV7" s="2307"/>
      <c r="AW7" s="2307"/>
      <c r="AX7" s="2307"/>
      <c r="AY7" s="2307"/>
      <c r="AZ7" s="2307"/>
      <c r="BA7" s="2307"/>
      <c r="BB7" s="2307"/>
      <c r="BC7" s="2307"/>
      <c r="BD7" s="2307"/>
      <c r="BE7" s="2307"/>
      <c r="BF7" s="2307"/>
      <c r="BG7" s="2307"/>
      <c r="BH7" s="2307"/>
      <c r="BN7" s="2301" t="s">
        <v>19853</v>
      </c>
      <c r="BO7" s="2302"/>
      <c r="BP7" s="2302"/>
      <c r="BQ7" s="2302"/>
      <c r="BR7" s="2302"/>
      <c r="BS7" s="2302"/>
      <c r="BT7" s="2302"/>
      <c r="BU7" s="2302"/>
      <c r="BV7" s="2302"/>
      <c r="BW7" s="2302"/>
      <c r="BX7" s="2302"/>
      <c r="BY7" s="2302"/>
      <c r="BZ7" s="2302"/>
      <c r="CA7" s="2302"/>
      <c r="CB7" s="2302"/>
      <c r="CC7" s="2303"/>
      <c r="CD7" s="2301">
        <f>IF('1-Eng Inputs'!$C$3="EcoFoot 5D",factors!D3,factors!B3)</f>
        <v>1.4</v>
      </c>
      <c r="CE7" s="2302"/>
      <c r="CF7" s="866"/>
      <c r="CP7" s="397"/>
      <c r="CQ7" s="397"/>
      <c r="CR7" s="397"/>
      <c r="CS7" s="397"/>
      <c r="CT7" s="397"/>
      <c r="CU7" s="397"/>
      <c r="CV7" s="397"/>
      <c r="CW7" s="397"/>
      <c r="CX7" s="397"/>
      <c r="CY7" s="397"/>
      <c r="CZ7" s="397"/>
      <c r="DA7" s="397"/>
      <c r="DB7" s="397"/>
      <c r="DC7" s="397"/>
      <c r="DD7" s="411"/>
      <c r="DF7" s="2231" t="s">
        <v>19411</v>
      </c>
      <c r="DG7" s="2231"/>
      <c r="DH7" s="2231" t="str">
        <f>IF('1-Eng Inputs'!$C$3="EcoFoot 2+","2x2","3x2")</f>
        <v>2x2</v>
      </c>
      <c r="DI7" s="2231"/>
      <c r="DJ7" s="2231" t="str">
        <f>IF('1-Eng Inputs'!$C$3="EcoFoot 2+","2x3","3x3")</f>
        <v>2x3</v>
      </c>
      <c r="DK7" s="2231"/>
      <c r="DL7" s="2231" t="str">
        <f>IF('1-Eng Inputs'!$C$3="EcoFoot 2+","3x3","5x3")</f>
        <v>3x3</v>
      </c>
      <c r="DM7" s="2231"/>
      <c r="DN7" s="2231" t="s">
        <v>19412</v>
      </c>
      <c r="DO7" s="2231"/>
      <c r="DP7" s="2231"/>
      <c r="DS7" s="2236"/>
      <c r="DT7" s="2236"/>
      <c r="DU7" s="2236"/>
      <c r="DV7" s="2236"/>
      <c r="DW7" s="2236"/>
      <c r="DX7" s="2236"/>
      <c r="DY7" s="2236"/>
      <c r="DZ7" s="2236"/>
      <c r="EA7" s="2236"/>
      <c r="EB7" s="2236"/>
      <c r="EC7" s="2236"/>
      <c r="ED7" s="2236"/>
      <c r="EE7" s="2236"/>
      <c r="EF7" s="2236"/>
      <c r="EG7" s="2236"/>
      <c r="EH7" s="2236"/>
      <c r="EI7" s="2236"/>
      <c r="EJ7" s="2236"/>
      <c r="EK7" s="2236"/>
      <c r="EL7" s="2236"/>
      <c r="EM7" s="2236"/>
      <c r="EN7" s="2236"/>
      <c r="EO7" s="2236"/>
      <c r="EP7" s="2236"/>
      <c r="EQ7" s="2236"/>
      <c r="ER7" s="2236"/>
      <c r="ES7" s="2236"/>
      <c r="ET7" s="2236"/>
      <c r="EU7" s="2236"/>
      <c r="EV7" s="2236"/>
      <c r="EW7" s="2236"/>
      <c r="EY7" s="893"/>
      <c r="EZ7" s="418"/>
      <c r="FA7" s="2218"/>
      <c r="FB7" s="2218"/>
      <c r="FC7" s="418"/>
      <c r="FD7" s="2218"/>
      <c r="FE7" s="2218"/>
      <c r="FF7" s="418"/>
      <c r="FG7" s="894"/>
      <c r="FI7" s="2233"/>
      <c r="FJ7" s="2233"/>
      <c r="FK7" s="2233"/>
      <c r="FL7" s="2233"/>
      <c r="FM7" s="2233"/>
      <c r="FN7" s="2233"/>
      <c r="FO7" s="2233"/>
      <c r="FP7" s="2233"/>
      <c r="FR7" s="872"/>
      <c r="FS7" s="2216"/>
      <c r="FT7" s="2217"/>
      <c r="FU7" s="873"/>
      <c r="FV7" s="2216"/>
      <c r="FW7" s="2217"/>
      <c r="FX7" s="874"/>
      <c r="HB7" s="870"/>
      <c r="HC7" s="870"/>
      <c r="HF7" s="401"/>
    </row>
    <row r="8" spans="1:214" ht="13.5" customHeight="1">
      <c r="A8" s="2354"/>
      <c r="B8" s="2354"/>
      <c r="C8" s="2354"/>
      <c r="D8" s="2354"/>
      <c r="E8" s="2354"/>
      <c r="F8" s="2354"/>
      <c r="G8" s="2354"/>
      <c r="H8" s="2354"/>
      <c r="I8" s="2354"/>
      <c r="J8" s="2354"/>
      <c r="K8" s="2354"/>
      <c r="L8" s="2354"/>
      <c r="M8" s="2354"/>
      <c r="N8" s="2354"/>
      <c r="O8" s="2354"/>
      <c r="P8" s="2354"/>
      <c r="Q8" s="2354"/>
      <c r="R8" s="2354"/>
      <c r="S8" s="2354"/>
      <c r="T8" s="2354"/>
      <c r="U8" s="2354"/>
      <c r="V8" s="2354"/>
      <c r="W8" s="2354"/>
      <c r="X8" s="2354"/>
      <c r="Y8" s="2354"/>
      <c r="Z8" s="2354"/>
      <c r="AA8" s="2354"/>
      <c r="AB8" s="2354"/>
      <c r="AC8" s="2354"/>
      <c r="AD8" s="2354"/>
      <c r="AE8" s="2307"/>
      <c r="AF8" s="2307"/>
      <c r="AG8" s="2307"/>
      <c r="AH8" s="2307"/>
      <c r="AI8" s="2307"/>
      <c r="AJ8" s="2307"/>
      <c r="AK8" s="2307"/>
      <c r="AL8" s="2307"/>
      <c r="AM8" s="2307"/>
      <c r="AN8" s="2307"/>
      <c r="AO8" s="2307"/>
      <c r="AP8" s="2307"/>
      <c r="AQ8" s="2307"/>
      <c r="AR8" s="2307"/>
      <c r="AS8" s="2307"/>
      <c r="AT8" s="2307"/>
      <c r="AU8" s="2307"/>
      <c r="AV8" s="2307"/>
      <c r="AW8" s="2307"/>
      <c r="AX8" s="2307"/>
      <c r="AY8" s="2307"/>
      <c r="AZ8" s="2307"/>
      <c r="BA8" s="2307"/>
      <c r="BB8" s="2307"/>
      <c r="BC8" s="2307"/>
      <c r="BD8" s="2307"/>
      <c r="BE8" s="2307"/>
      <c r="BF8" s="2307"/>
      <c r="BG8" s="2307"/>
      <c r="BH8" s="2307"/>
      <c r="BN8" s="2301" t="s">
        <v>19854</v>
      </c>
      <c r="BO8" s="2302"/>
      <c r="BP8" s="2302"/>
      <c r="BQ8" s="2302"/>
      <c r="BR8" s="2302"/>
      <c r="BS8" s="2302"/>
      <c r="BT8" s="2302"/>
      <c r="BU8" s="2302"/>
      <c r="BV8" s="2302"/>
      <c r="BW8" s="2302"/>
      <c r="BX8" s="2302"/>
      <c r="BY8" s="2302"/>
      <c r="BZ8" s="2302"/>
      <c r="CA8" s="2302"/>
      <c r="CB8" s="2302"/>
      <c r="CC8" s="2303"/>
      <c r="CD8" s="2301">
        <f>IF('1-Eng Inputs'!$C$3="EcoFoot 5D",factors!D4,factors!B4)</f>
        <v>1.6</v>
      </c>
      <c r="CE8" s="2302"/>
      <c r="CF8" s="866"/>
      <c r="CO8" s="399"/>
      <c r="CP8" s="411"/>
      <c r="CQ8" s="411"/>
      <c r="CR8" s="411"/>
      <c r="CS8" s="411"/>
      <c r="CT8" s="411"/>
      <c r="CU8" s="411"/>
      <c r="CV8" s="411"/>
      <c r="CW8" s="411"/>
      <c r="CX8" s="411"/>
      <c r="CY8" s="411"/>
      <c r="CZ8" s="411"/>
      <c r="DA8" s="411"/>
      <c r="DB8" s="411"/>
      <c r="DC8" s="411"/>
      <c r="DD8" s="411"/>
      <c r="DF8" s="2231"/>
      <c r="DG8" s="2231"/>
      <c r="DH8" s="2232"/>
      <c r="DI8" s="2232"/>
      <c r="DJ8" s="2232"/>
      <c r="DK8" s="2232"/>
      <c r="DL8" s="2232"/>
      <c r="DM8" s="2232"/>
      <c r="DN8" s="2231"/>
      <c r="DO8" s="2231"/>
      <c r="DP8" s="2231"/>
      <c r="DS8" s="2236"/>
      <c r="DT8" s="2236"/>
      <c r="DU8" s="2236"/>
      <c r="DV8" s="2236"/>
      <c r="DW8" s="2236"/>
      <c r="DX8" s="2236"/>
      <c r="DY8" s="2236"/>
      <c r="DZ8" s="2236"/>
      <c r="EA8" s="2236"/>
      <c r="EB8" s="2236"/>
      <c r="EC8" s="2236"/>
      <c r="ED8" s="2236"/>
      <c r="EE8" s="2236"/>
      <c r="EF8" s="2236"/>
      <c r="EG8" s="2236"/>
      <c r="EH8" s="2236"/>
      <c r="EI8" s="2236"/>
      <c r="EJ8" s="2236"/>
      <c r="EK8" s="2236"/>
      <c r="EL8" s="2236"/>
      <c r="EM8" s="2236"/>
      <c r="EN8" s="2236"/>
      <c r="EO8" s="2236"/>
      <c r="EP8" s="2236"/>
      <c r="EQ8" s="2236"/>
      <c r="ER8" s="2236"/>
      <c r="ES8" s="2236"/>
      <c r="ET8" s="2236"/>
      <c r="EU8" s="2236"/>
      <c r="EV8" s="2236"/>
      <c r="EW8" s="2236"/>
      <c r="EY8" s="419"/>
      <c r="EZ8" s="417">
        <v>2</v>
      </c>
      <c r="FA8" s="2223"/>
      <c r="FB8" s="2223"/>
      <c r="FC8" s="417">
        <v>2</v>
      </c>
      <c r="FD8" s="2212"/>
      <c r="FE8" s="2213"/>
      <c r="FF8" s="422">
        <v>1</v>
      </c>
      <c r="FG8" s="420"/>
      <c r="FJ8" s="416"/>
      <c r="FK8" s="416"/>
      <c r="FL8" s="416"/>
      <c r="FM8" s="416"/>
      <c r="FN8" s="416"/>
      <c r="FO8" s="865"/>
      <c r="FP8" s="865"/>
      <c r="FR8" s="875"/>
      <c r="FS8" s="2256">
        <v>2</v>
      </c>
      <c r="FT8" s="2257"/>
      <c r="FU8" s="876"/>
      <c r="FV8" s="2221">
        <v>1</v>
      </c>
      <c r="FW8" s="2222"/>
      <c r="FX8" s="877"/>
      <c r="GA8" s="416"/>
      <c r="GB8" s="899"/>
      <c r="GC8" s="2211" t="s">
        <v>20019</v>
      </c>
      <c r="GD8" s="2211"/>
      <c r="GE8" s="2211"/>
      <c r="GF8" s="2211"/>
      <c r="GG8" s="2211"/>
      <c r="GH8" s="2211"/>
      <c r="GI8" s="2211"/>
      <c r="GJ8" s="2211"/>
      <c r="GK8" s="2211"/>
      <c r="GL8" s="2211"/>
      <c r="GM8" s="2211"/>
      <c r="GN8" s="2211"/>
      <c r="GO8" s="2211"/>
      <c r="GP8" s="2211"/>
      <c r="GQ8" s="2211"/>
      <c r="GR8" s="2211"/>
      <c r="GS8" s="2211"/>
      <c r="GT8" s="2211"/>
      <c r="GU8" s="2211"/>
      <c r="GV8" s="2211"/>
      <c r="GW8" s="2211"/>
      <c r="GX8" s="870"/>
      <c r="GY8" s="870"/>
      <c r="GZ8" s="870"/>
      <c r="HA8" s="870"/>
      <c r="HB8" s="871"/>
      <c r="HC8" s="871"/>
      <c r="HD8" s="871"/>
      <c r="HE8" s="871"/>
      <c r="HF8" s="401"/>
    </row>
    <row r="9" spans="1:214" ht="13.5" customHeight="1">
      <c r="A9" s="395"/>
      <c r="B9" s="395"/>
      <c r="F9" s="395"/>
      <c r="G9" s="395"/>
      <c r="H9" s="395"/>
      <c r="I9" s="395"/>
      <c r="J9" s="395"/>
      <c r="K9" s="395"/>
      <c r="L9" s="395"/>
      <c r="M9" s="395"/>
      <c r="N9" s="395"/>
      <c r="O9" s="395"/>
      <c r="P9" s="395"/>
      <c r="Q9" s="395"/>
      <c r="R9" s="395"/>
      <c r="S9" s="395"/>
      <c r="T9" s="395"/>
      <c r="U9" s="395"/>
      <c r="V9" s="395"/>
      <c r="W9" s="395"/>
      <c r="X9" s="395"/>
      <c r="Y9" s="395"/>
      <c r="Z9" s="395"/>
      <c r="AA9" s="395"/>
      <c r="AB9" s="395"/>
      <c r="AC9" s="395"/>
      <c r="AD9" s="395"/>
      <c r="AE9" s="2307"/>
      <c r="AF9" s="2307"/>
      <c r="AG9" s="2307"/>
      <c r="AH9" s="2307"/>
      <c r="AI9" s="2307"/>
      <c r="AJ9" s="2307"/>
      <c r="AK9" s="2307"/>
      <c r="AL9" s="2307"/>
      <c r="AM9" s="2307"/>
      <c r="AN9" s="2307"/>
      <c r="AO9" s="2307"/>
      <c r="AP9" s="2307"/>
      <c r="AQ9" s="2307"/>
      <c r="AR9" s="2307"/>
      <c r="AS9" s="2307"/>
      <c r="AT9" s="2307"/>
      <c r="AU9" s="2307"/>
      <c r="AV9" s="2307"/>
      <c r="AW9" s="2307"/>
      <c r="AX9" s="2307"/>
      <c r="AY9" s="2307"/>
      <c r="AZ9" s="2307"/>
      <c r="BA9" s="2307"/>
      <c r="BB9" s="2307"/>
      <c r="BC9" s="2307"/>
      <c r="BD9" s="2307"/>
      <c r="BE9" s="2307"/>
      <c r="BF9" s="2307"/>
      <c r="BG9" s="2307"/>
      <c r="BH9" s="2307"/>
      <c r="BI9" s="401"/>
      <c r="BJ9" s="401"/>
      <c r="BK9" s="401"/>
      <c r="BL9" s="401"/>
      <c r="BM9" s="401"/>
      <c r="BN9" s="2301" t="s">
        <v>19977</v>
      </c>
      <c r="BO9" s="2302"/>
      <c r="BP9" s="2302"/>
      <c r="BQ9" s="2302"/>
      <c r="BR9" s="2302"/>
      <c r="BS9" s="2302"/>
      <c r="BT9" s="2302"/>
      <c r="BU9" s="2302"/>
      <c r="BV9" s="2302"/>
      <c r="BW9" s="2302"/>
      <c r="BX9" s="2302"/>
      <c r="BY9" s="2302"/>
      <c r="BZ9" s="2302"/>
      <c r="CA9" s="2302"/>
      <c r="CB9" s="2302"/>
      <c r="CC9" s="2303"/>
      <c r="CD9" s="2301">
        <f>IF(OR('1-Eng Inputs'!$C$3="EcoFoot 5D",'1-Eng Inputs'!C37="Portrait"),factors!B14,factors!B13)</f>
        <v>21.305699248681336</v>
      </c>
      <c r="CE9" s="2302"/>
      <c r="CF9" s="866" t="s">
        <v>19460</v>
      </c>
      <c r="CH9" s="401"/>
      <c r="CI9" s="401"/>
      <c r="CJ9" s="401"/>
      <c r="CK9" s="401"/>
      <c r="CL9" s="401"/>
      <c r="CM9" s="763"/>
      <c r="CO9" s="2226" t="s">
        <v>19413</v>
      </c>
      <c r="CP9" s="1194" t="s">
        <v>206</v>
      </c>
      <c r="CQ9" s="1166"/>
      <c r="CR9" s="1166"/>
      <c r="CS9" s="1166"/>
      <c r="CT9" s="1166"/>
      <c r="CU9" s="1166"/>
      <c r="CV9" s="1166"/>
      <c r="CW9" s="1166"/>
      <c r="CX9" s="1166"/>
      <c r="CY9" s="1166"/>
      <c r="CZ9" s="1166"/>
      <c r="DA9" s="1166"/>
      <c r="DB9" s="1166"/>
      <c r="DC9" s="1166"/>
      <c r="DD9" s="1166"/>
      <c r="DE9" s="1167"/>
      <c r="DF9" s="2339" t="s">
        <v>87</v>
      </c>
      <c r="DG9" s="2340"/>
      <c r="DH9" s="2352">
        <f>IF('1-Eng Inputs'!$C$3="EcoFoot 5D",'Land Calcs 5deg (lift)'!J4,IF('1-Eng Inputs'!$C$37="Landscape",'Land Calcs 10deg (lift)'!H3,'Port Calcs (lift)'!H3))</f>
        <v>-12.693465879070645</v>
      </c>
      <c r="DI9" s="2353"/>
      <c r="DJ9" s="2224">
        <f>IF('1-Eng Inputs'!$C$3="EcoFoot 5D",'Land Calcs 5deg (lift)'!O4,IF('1-Eng Inputs'!$C$37="Landscape",'Land Calcs 10deg (lift)'!J3,'Port Calcs (lift)'!J3))</f>
        <v>-11.154863954334807</v>
      </c>
      <c r="DK9" s="2224"/>
      <c r="DL9" s="2224">
        <f>IF('1-Eng Inputs'!$C$3="EcoFoot 5D",'Land Calcs 5deg (lift)'!Q4,IF('1-Eng Inputs'!$C$37="Landscape",'Land Calcs 10deg (lift)'!K3,'Port Calcs (lift)'!K3))</f>
        <v>-9.2316115484150139</v>
      </c>
      <c r="DM9" s="2225"/>
      <c r="DN9" s="2224">
        <f>IF('1-Eng Inputs'!$C$3="EcoFoot 5D",'Land Calcs 5deg (lift)'!X4,IF('1-Eng Inputs'!$C$37="Landscape",'Land Calcs 10deg (lift)'!L3,'Port Calcs (lift)'!L3))</f>
        <v>23.848329833405451</v>
      </c>
      <c r="DO9" s="2224"/>
      <c r="DP9" s="2225"/>
      <c r="DS9" s="2236"/>
      <c r="DT9" s="2236"/>
      <c r="DU9" s="2236"/>
      <c r="DV9" s="2236"/>
      <c r="DW9" s="2236"/>
      <c r="DX9" s="2236"/>
      <c r="DY9" s="2236"/>
      <c r="DZ9" s="2236"/>
      <c r="EA9" s="2236"/>
      <c r="EB9" s="2236"/>
      <c r="EC9" s="2236"/>
      <c r="ED9" s="2236"/>
      <c r="EE9" s="2236"/>
      <c r="EF9" s="2236"/>
      <c r="EG9" s="2236"/>
      <c r="EH9" s="2236"/>
      <c r="EI9" s="2236"/>
      <c r="EJ9" s="2236"/>
      <c r="EK9" s="2236"/>
      <c r="EL9" s="2236"/>
      <c r="EM9" s="2236"/>
      <c r="EN9" s="2236"/>
      <c r="EO9" s="2236"/>
      <c r="EP9" s="2236"/>
      <c r="EQ9" s="2236"/>
      <c r="ER9" s="2236"/>
      <c r="ES9" s="2236"/>
      <c r="ET9" s="2236"/>
      <c r="EU9" s="2236"/>
      <c r="EV9" s="2236"/>
      <c r="EW9" s="2236"/>
      <c r="EY9" s="2220"/>
      <c r="EZ9" s="2223"/>
      <c r="FA9" s="2219">
        <v>52.47</v>
      </c>
      <c r="FB9" s="2219"/>
      <c r="FC9" s="2214"/>
      <c r="FD9" s="2237">
        <v>27.36</v>
      </c>
      <c r="FE9" s="2238"/>
      <c r="FF9" s="2214"/>
      <c r="FG9" s="891"/>
      <c r="FI9" s="2233" t="s">
        <v>20006</v>
      </c>
      <c r="FJ9" s="2233"/>
      <c r="FK9" s="2233"/>
      <c r="FL9" s="2233"/>
      <c r="FM9" s="2233"/>
      <c r="FN9" s="2233"/>
      <c r="FO9" s="2233"/>
      <c r="FP9" s="2233"/>
      <c r="FQ9" s="898"/>
      <c r="FR9" s="875"/>
      <c r="FS9" s="2258">
        <v>52.47</v>
      </c>
      <c r="FT9" s="2259"/>
      <c r="FU9" s="876"/>
      <c r="FV9" s="2258">
        <v>27.36</v>
      </c>
      <c r="FW9" s="2259"/>
      <c r="FX9" s="877"/>
      <c r="GB9" s="899"/>
      <c r="GC9" s="2197" t="s">
        <v>20017</v>
      </c>
      <c r="GD9" s="2197"/>
      <c r="GE9" s="2197"/>
      <c r="GF9" s="2197"/>
      <c r="GG9" s="2197"/>
      <c r="GH9" s="2197"/>
      <c r="GI9" s="2197"/>
      <c r="GJ9" s="2197"/>
      <c r="GK9" s="2197"/>
      <c r="GL9" s="2197"/>
      <c r="GM9" s="2197"/>
      <c r="GN9" s="2197"/>
      <c r="GO9" s="2197"/>
      <c r="GP9" s="2197"/>
      <c r="GQ9" s="2197"/>
      <c r="GR9" s="2197"/>
      <c r="GS9" s="2197"/>
      <c r="GT9" s="2197"/>
      <c r="GU9" s="2197"/>
      <c r="GV9" s="2197"/>
      <c r="GW9" s="2197"/>
      <c r="GX9" s="2195">
        <f>GX11/GX10</f>
        <v>-0.33</v>
      </c>
      <c r="GY9" s="2195"/>
      <c r="GZ9" s="2196"/>
      <c r="HA9" s="903"/>
      <c r="HB9" s="900"/>
      <c r="HC9" s="871"/>
      <c r="HD9" s="871"/>
      <c r="HE9" s="871"/>
      <c r="HF9" s="401"/>
    </row>
    <row r="10" spans="1:214" ht="13.5" customHeight="1">
      <c r="A10" s="395"/>
      <c r="B10" s="395"/>
      <c r="D10" s="911" t="s">
        <v>19704</v>
      </c>
      <c r="E10" s="912"/>
      <c r="F10" s="913"/>
      <c r="G10" s="913"/>
      <c r="H10" s="913"/>
      <c r="I10" s="913"/>
      <c r="J10" s="2360" t="str">
        <f>'1-Eng Inputs'!C7</f>
        <v xml:space="preserve">Namaste Solar </v>
      </c>
      <c r="K10" s="2361"/>
      <c r="L10" s="2361"/>
      <c r="M10" s="2361"/>
      <c r="N10" s="2361"/>
      <c r="O10" s="2361"/>
      <c r="P10" s="2361"/>
      <c r="Q10" s="2361"/>
      <c r="R10" s="2361"/>
      <c r="S10" s="2361"/>
      <c r="T10" s="2361"/>
      <c r="U10" s="2361"/>
      <c r="V10" s="2361"/>
      <c r="W10" s="2362"/>
      <c r="X10" s="395"/>
      <c r="Y10" s="395"/>
      <c r="Z10" s="395"/>
      <c r="AA10" s="395"/>
      <c r="AB10" s="395"/>
      <c r="AC10" s="395"/>
      <c r="AD10" s="395"/>
      <c r="AE10" s="2307"/>
      <c r="AF10" s="2307"/>
      <c r="AG10" s="2307"/>
      <c r="AH10" s="2307"/>
      <c r="AI10" s="2307"/>
      <c r="AJ10" s="2307"/>
      <c r="AK10" s="2307"/>
      <c r="AL10" s="2307"/>
      <c r="AM10" s="2307"/>
      <c r="AN10" s="2307"/>
      <c r="AO10" s="2307"/>
      <c r="AP10" s="2307"/>
      <c r="AQ10" s="2307"/>
      <c r="AR10" s="2307"/>
      <c r="AS10" s="2307"/>
      <c r="AT10" s="2307"/>
      <c r="AU10" s="2307"/>
      <c r="AV10" s="2307"/>
      <c r="AW10" s="2307"/>
      <c r="AX10" s="2307"/>
      <c r="AY10" s="2307"/>
      <c r="AZ10" s="2307"/>
      <c r="BA10" s="2307"/>
      <c r="BB10" s="2307"/>
      <c r="BC10" s="2307"/>
      <c r="BD10" s="2307"/>
      <c r="BE10" s="2307"/>
      <c r="BF10" s="2307"/>
      <c r="BG10" s="2307"/>
      <c r="BH10" s="2307"/>
      <c r="BI10" s="401"/>
      <c r="BJ10" s="401"/>
      <c r="BK10" s="401"/>
      <c r="BL10" s="401"/>
      <c r="BM10" s="401"/>
      <c r="BN10" s="2301" t="s">
        <v>19976</v>
      </c>
      <c r="BO10" s="2302"/>
      <c r="BP10" s="2302"/>
      <c r="BQ10" s="2302"/>
      <c r="BR10" s="2302"/>
      <c r="BS10" s="2302"/>
      <c r="BT10" s="2302"/>
      <c r="BU10" s="2302"/>
      <c r="BV10" s="2302"/>
      <c r="BW10" s="2302"/>
      <c r="BX10" s="2302"/>
      <c r="BY10" s="2302"/>
      <c r="BZ10" s="2302"/>
      <c r="CA10" s="2302"/>
      <c r="CB10" s="2302"/>
      <c r="CC10" s="2303"/>
      <c r="CD10" s="2317">
        <f>IF(OR('1-Eng Inputs'!$C$3="EcoFoot 5D",'1-Eng Inputs'!C37="Portrait"),factors!B16,factors!B15)</f>
        <v>3.4792708333333326</v>
      </c>
      <c r="CE10" s="2318"/>
      <c r="CF10" s="866" t="s">
        <v>19460</v>
      </c>
      <c r="CH10" s="401"/>
      <c r="CI10" s="401"/>
      <c r="CJ10" s="401"/>
      <c r="CK10" s="401"/>
      <c r="CL10" s="401"/>
      <c r="CM10" s="763"/>
      <c r="CO10" s="2227"/>
      <c r="CP10" s="1195" t="s">
        <v>103</v>
      </c>
      <c r="CQ10" s="1168"/>
      <c r="CR10" s="1168"/>
      <c r="CS10" s="1168"/>
      <c r="CT10" s="1168"/>
      <c r="CU10" s="1168"/>
      <c r="CV10" s="1168"/>
      <c r="CW10" s="1168"/>
      <c r="CX10" s="1168"/>
      <c r="CY10" s="1168"/>
      <c r="CZ10" s="1168"/>
      <c r="DA10" s="1168"/>
      <c r="DB10" s="1168"/>
      <c r="DC10" s="1168"/>
      <c r="DD10" s="1168"/>
      <c r="DE10" s="1169"/>
      <c r="DF10" s="2336" t="s">
        <v>19360</v>
      </c>
      <c r="DG10" s="2337"/>
      <c r="DH10" s="2355">
        <f>IF('1-Eng Inputs'!$C$3="EcoFoot 5D",'Land Calcs 5deg (lift)'!J5,IF('1-Eng Inputs'!$C$37="Landscape",'Land Calcs 10deg (lift)'!H4,'Port Calcs (lift)'!H4))</f>
        <v>-270.44316644287761</v>
      </c>
      <c r="DI10" s="2356"/>
      <c r="DJ10" s="2277">
        <f>IF('1-Eng Inputs'!$C$3="EcoFoot 5D",'Land Calcs 5deg (lift)'!O5,IF('1-Eng Inputs'!$C$37="Landscape",'Land Calcs 10deg (lift)'!J4,'Port Calcs (lift)'!J4))</f>
        <v>-237.66217657101362</v>
      </c>
      <c r="DK10" s="2277"/>
      <c r="DL10" s="2277">
        <f>IF('1-Eng Inputs'!$C$3="EcoFoot 5D",'Land Calcs 5deg (lift)'!Q5,IF('1-Eng Inputs'!$C$37="Landscape",'Land Calcs 10deg (lift)'!K4,'Port Calcs (lift)'!K4))</f>
        <v>-196.68593923118371</v>
      </c>
      <c r="DM10" s="2278"/>
      <c r="DN10" s="2277"/>
      <c r="DO10" s="2277"/>
      <c r="DP10" s="2278"/>
      <c r="DS10" s="2236"/>
      <c r="DT10" s="2236"/>
      <c r="DU10" s="2236"/>
      <c r="DV10" s="2236"/>
      <c r="DW10" s="2236"/>
      <c r="DX10" s="2236"/>
      <c r="DY10" s="2236"/>
      <c r="DZ10" s="2236"/>
      <c r="EA10" s="2236"/>
      <c r="EB10" s="2236"/>
      <c r="EC10" s="2236"/>
      <c r="ED10" s="2236"/>
      <c r="EE10" s="2236"/>
      <c r="EF10" s="2236"/>
      <c r="EG10" s="2236"/>
      <c r="EH10" s="2236"/>
      <c r="EI10" s="2236"/>
      <c r="EJ10" s="2236"/>
      <c r="EK10" s="2236"/>
      <c r="EL10" s="2236"/>
      <c r="EM10" s="2236"/>
      <c r="EN10" s="2236"/>
      <c r="EO10" s="2236"/>
      <c r="EP10" s="2236"/>
      <c r="EQ10" s="2236"/>
      <c r="ER10" s="2236"/>
      <c r="ES10" s="2236"/>
      <c r="ET10" s="2236"/>
      <c r="EU10" s="2236"/>
      <c r="EV10" s="2236"/>
      <c r="EW10" s="2236"/>
      <c r="EY10" s="2220"/>
      <c r="EZ10" s="2223"/>
      <c r="FA10" s="2219"/>
      <c r="FB10" s="2219"/>
      <c r="FC10" s="2215"/>
      <c r="FD10" s="2239"/>
      <c r="FE10" s="2240"/>
      <c r="FF10" s="2215"/>
      <c r="FG10" s="892"/>
      <c r="FI10" s="2233"/>
      <c r="FJ10" s="2233"/>
      <c r="FK10" s="2233"/>
      <c r="FL10" s="2233"/>
      <c r="FM10" s="2233"/>
      <c r="FN10" s="2233"/>
      <c r="FO10" s="2233"/>
      <c r="FP10" s="2233"/>
      <c r="FQ10" s="898"/>
      <c r="FR10" s="875"/>
      <c r="FS10" s="2258"/>
      <c r="FT10" s="2259"/>
      <c r="FU10" s="876"/>
      <c r="FV10" s="2258"/>
      <c r="FW10" s="2259"/>
      <c r="FX10" s="877"/>
      <c r="GB10" s="899"/>
      <c r="GC10" s="2197" t="s">
        <v>20018</v>
      </c>
      <c r="GD10" s="2197"/>
      <c r="GE10" s="2197"/>
      <c r="GF10" s="2197"/>
      <c r="GG10" s="2197"/>
      <c r="GH10" s="2197"/>
      <c r="GI10" s="2197"/>
      <c r="GJ10" s="2197"/>
      <c r="GK10" s="2197"/>
      <c r="GL10" s="2197"/>
      <c r="GM10" s="2197"/>
      <c r="GN10" s="2197"/>
      <c r="GO10" s="2197"/>
      <c r="GP10" s="2197"/>
      <c r="GQ10" s="2197"/>
      <c r="GR10" s="2197"/>
      <c r="GS10" s="2197"/>
      <c r="GT10" s="2197"/>
      <c r="GU10" s="2197"/>
      <c r="GV10" s="2197"/>
      <c r="GW10" s="2197"/>
      <c r="GX10" s="2206">
        <f>factors!$B$39</f>
        <v>38.465048118395892</v>
      </c>
      <c r="GY10" s="2206"/>
      <c r="GZ10" s="2207"/>
      <c r="HA10" s="903"/>
      <c r="HB10" s="871"/>
      <c r="HC10" s="871"/>
      <c r="HD10" s="871"/>
      <c r="HE10" s="871"/>
      <c r="HF10" s="401"/>
    </row>
    <row r="11" spans="1:214" ht="13.5" customHeight="1">
      <c r="A11" s="395"/>
      <c r="B11" s="395"/>
      <c r="D11" s="914" t="s">
        <v>19486</v>
      </c>
      <c r="E11" s="867"/>
      <c r="F11" s="867"/>
      <c r="G11" s="867"/>
      <c r="H11" s="867"/>
      <c r="I11" s="867"/>
      <c r="J11" s="2363" t="str">
        <f>'1-Eng Inputs'!C8</f>
        <v>Patagonia Reno</v>
      </c>
      <c r="K11" s="2364"/>
      <c r="L11" s="2364"/>
      <c r="M11" s="2364"/>
      <c r="N11" s="2364"/>
      <c r="O11" s="2364"/>
      <c r="P11" s="2364"/>
      <c r="Q11" s="2364"/>
      <c r="R11" s="2364"/>
      <c r="S11" s="2364"/>
      <c r="T11" s="2364"/>
      <c r="U11" s="2364"/>
      <c r="V11" s="2364"/>
      <c r="W11" s="2365"/>
      <c r="X11" s="395"/>
      <c r="Y11" s="395"/>
      <c r="Z11" s="395"/>
      <c r="AA11" s="395"/>
      <c r="AB11" s="395"/>
      <c r="AC11" s="395"/>
      <c r="AD11" s="395"/>
      <c r="AE11" s="2307"/>
      <c r="AF11" s="2307"/>
      <c r="AG11" s="2307"/>
      <c r="AH11" s="2307"/>
      <c r="AI11" s="2307"/>
      <c r="AJ11" s="2307"/>
      <c r="AK11" s="2307"/>
      <c r="AL11" s="2307"/>
      <c r="AM11" s="2307"/>
      <c r="AN11" s="2307"/>
      <c r="AO11" s="2307"/>
      <c r="AP11" s="2307"/>
      <c r="AQ11" s="2307"/>
      <c r="AR11" s="2307"/>
      <c r="AS11" s="2307"/>
      <c r="AT11" s="2307"/>
      <c r="AU11" s="2307"/>
      <c r="AV11" s="2307"/>
      <c r="AW11" s="2307"/>
      <c r="AX11" s="2307"/>
      <c r="AY11" s="2307"/>
      <c r="AZ11" s="2307"/>
      <c r="BA11" s="2307"/>
      <c r="BB11" s="2307"/>
      <c r="BC11" s="2307"/>
      <c r="BD11" s="2307"/>
      <c r="BE11" s="2307"/>
      <c r="BF11" s="2307"/>
      <c r="BG11" s="2307"/>
      <c r="BH11" s="2307"/>
      <c r="BI11" s="395"/>
      <c r="BJ11" s="395"/>
      <c r="BN11" s="2301" t="s">
        <v>19978</v>
      </c>
      <c r="BO11" s="2302"/>
      <c r="BP11" s="2302"/>
      <c r="BQ11" s="2302"/>
      <c r="BR11" s="2302"/>
      <c r="BS11" s="2302"/>
      <c r="BT11" s="2302"/>
      <c r="BU11" s="2302"/>
      <c r="BV11" s="2302"/>
      <c r="BW11" s="2302"/>
      <c r="BX11" s="2302"/>
      <c r="BY11" s="2302"/>
      <c r="BZ11" s="2302"/>
      <c r="CA11" s="2302"/>
      <c r="CB11" s="2302"/>
      <c r="CC11" s="2303"/>
      <c r="CD11" s="2301">
        <f>IF('1-Eng Inputs'!$C$3="EcoFoot 5D",factors!D12,factors!B12)</f>
        <v>63.019999999999996</v>
      </c>
      <c r="CE11" s="2302"/>
      <c r="CF11" s="866" t="s">
        <v>19360</v>
      </c>
      <c r="CO11" s="2227"/>
      <c r="CP11" s="1195" t="str">
        <f>"DLFUz=Uplift design load using ASD combo #7 = dLF1*0.6 + WLFUz*"&amp;IF('1-Eng Inputs'!$C$35=2010,"0.6","1.0")</f>
        <v>DLFUz=Uplift design load using ASD combo #7 = dLF1*0.6 + WLFUz*0.6</v>
      </c>
      <c r="CQ11" s="1168"/>
      <c r="CR11" s="1168"/>
      <c r="CS11" s="1168"/>
      <c r="CT11" s="1168"/>
      <c r="CU11" s="1168"/>
      <c r="CV11" s="1168"/>
      <c r="CW11" s="1168"/>
      <c r="CX11" s="1168"/>
      <c r="CY11" s="1168"/>
      <c r="CZ11" s="1168"/>
      <c r="DA11" s="1168"/>
      <c r="DB11" s="1168"/>
      <c r="DC11" s="1168"/>
      <c r="DD11" s="1168"/>
      <c r="DE11" s="1169"/>
      <c r="DF11" s="2336" t="s">
        <v>39</v>
      </c>
      <c r="DG11" s="2337"/>
      <c r="DH11" s="2355">
        <f>IF('1-Eng Inputs'!$C$3="EcoFoot 5D",'Land Calcs 5deg (lift)'!J6,IF('1-Eng Inputs'!$C$37="Landscape",'Land Calcs 10deg (lift)'!H5,'Port Calcs (lift)'!H5))</f>
        <v>-124.45389986572657</v>
      </c>
      <c r="DI11" s="2356"/>
      <c r="DJ11" s="2277">
        <f>IF('1-Eng Inputs'!$C$3="EcoFoot 5D",'Land Calcs 5deg (lift)'!O6,IF('1-Eng Inputs'!$C$37="Landscape",'Land Calcs 10deg (lift)'!J5,'Port Calcs (lift)'!J5))</f>
        <v>-104.78530594260816</v>
      </c>
      <c r="DK11" s="2277"/>
      <c r="DL11" s="2277">
        <f>IF('1-Eng Inputs'!$C$3="EcoFoot 5D",'Land Calcs 5deg (lift)'!Q6,IF('1-Eng Inputs'!$C$37="Landscape",'Land Calcs 10deg (lift)'!K5,'Port Calcs (lift)'!K5))</f>
        <v>-80.199563538710223</v>
      </c>
      <c r="DM11" s="2278"/>
      <c r="DN11" s="2277"/>
      <c r="DO11" s="2277"/>
      <c r="DP11" s="2278"/>
      <c r="DS11" s="2236"/>
      <c r="DT11" s="2236"/>
      <c r="DU11" s="2236"/>
      <c r="DV11" s="2236"/>
      <c r="DW11" s="2236"/>
      <c r="DX11" s="2236"/>
      <c r="DY11" s="2236"/>
      <c r="DZ11" s="2236"/>
      <c r="EA11" s="2236"/>
      <c r="EB11" s="2236"/>
      <c r="EC11" s="2236"/>
      <c r="ED11" s="2236"/>
      <c r="EE11" s="2236"/>
      <c r="EF11" s="2236"/>
      <c r="EG11" s="2236"/>
      <c r="EH11" s="2236"/>
      <c r="EI11" s="2236"/>
      <c r="EJ11" s="2236"/>
      <c r="EK11" s="2236"/>
      <c r="EL11" s="2236"/>
      <c r="EM11" s="2236"/>
      <c r="EN11" s="2236"/>
      <c r="EO11" s="2236"/>
      <c r="EP11" s="2236"/>
      <c r="EQ11" s="2236"/>
      <c r="ER11" s="2236"/>
      <c r="ES11" s="2236"/>
      <c r="ET11" s="2236"/>
      <c r="EU11" s="2236"/>
      <c r="EV11" s="2236"/>
      <c r="EW11" s="2236"/>
      <c r="EY11" s="419"/>
      <c r="EZ11" s="417">
        <v>2</v>
      </c>
      <c r="FA11" s="2223"/>
      <c r="FB11" s="2223"/>
      <c r="FC11" s="417">
        <v>2</v>
      </c>
      <c r="FD11" s="2212"/>
      <c r="FE11" s="2213"/>
      <c r="FF11" s="422">
        <v>1</v>
      </c>
      <c r="FG11" s="420"/>
      <c r="FI11" s="2233"/>
      <c r="FJ11" s="2233"/>
      <c r="FK11" s="2233"/>
      <c r="FL11" s="2233"/>
      <c r="FM11" s="2233"/>
      <c r="FN11" s="2233"/>
      <c r="FO11" s="2233"/>
      <c r="FP11" s="2233"/>
      <c r="FQ11" s="898"/>
      <c r="FR11" s="875"/>
      <c r="FS11" s="2256">
        <v>2</v>
      </c>
      <c r="FT11" s="2257"/>
      <c r="FU11" s="876"/>
      <c r="FV11" s="2221">
        <v>1</v>
      </c>
      <c r="FW11" s="2222"/>
      <c r="FX11" s="877"/>
      <c r="GA11" s="416"/>
      <c r="GB11" s="899"/>
      <c r="GC11" s="2197" t="s">
        <v>20020</v>
      </c>
      <c r="GD11" s="2197"/>
      <c r="GE11" s="2197"/>
      <c r="GF11" s="2197"/>
      <c r="GG11" s="2197"/>
      <c r="GH11" s="2197"/>
      <c r="GI11" s="2197"/>
      <c r="GJ11" s="2197"/>
      <c r="GK11" s="2197"/>
      <c r="GL11" s="2197"/>
      <c r="GM11" s="2197"/>
      <c r="GN11" s="2197"/>
      <c r="GO11" s="2197"/>
      <c r="GP11" s="2197"/>
      <c r="GQ11" s="2197"/>
      <c r="GR11" s="2197"/>
      <c r="GS11" s="2197"/>
      <c r="GT11" s="2197"/>
      <c r="GU11" s="2197"/>
      <c r="GV11" s="2197"/>
      <c r="GW11" s="2197"/>
      <c r="GX11" s="2195">
        <f>$DH$9</f>
        <v>-12.693465879070645</v>
      </c>
      <c r="GY11" s="2195"/>
      <c r="GZ11" s="2196"/>
      <c r="HA11" s="904" t="s">
        <v>87</v>
      </c>
      <c r="HB11" s="901"/>
      <c r="HC11" s="871"/>
      <c r="HD11" s="871"/>
      <c r="HE11" s="871"/>
      <c r="HF11" s="401"/>
    </row>
    <row r="12" spans="1:214" ht="13.5" customHeight="1">
      <c r="A12" s="395"/>
      <c r="B12" s="395"/>
      <c r="C12" s="395"/>
      <c r="D12" s="914" t="s">
        <v>19487</v>
      </c>
      <c r="E12" s="867"/>
      <c r="F12" s="867"/>
      <c r="G12" s="867"/>
      <c r="H12" s="867"/>
      <c r="I12" s="414"/>
      <c r="J12" s="2363" t="str">
        <f>'1-Eng Inputs'!C9</f>
        <v xml:space="preserve">7590 Suagr Pine Court </v>
      </c>
      <c r="K12" s="2364"/>
      <c r="L12" s="2364"/>
      <c r="M12" s="2364"/>
      <c r="N12" s="2364"/>
      <c r="O12" s="2364"/>
      <c r="P12" s="2364"/>
      <c r="Q12" s="2364"/>
      <c r="R12" s="2364"/>
      <c r="S12" s="2364"/>
      <c r="T12" s="2364"/>
      <c r="U12" s="2364"/>
      <c r="V12" s="2364"/>
      <c r="W12" s="2365"/>
      <c r="X12" s="395"/>
      <c r="Y12" s="395"/>
      <c r="Z12" s="395"/>
      <c r="AA12" s="395"/>
      <c r="AB12" s="395"/>
      <c r="AC12" s="395"/>
      <c r="AD12" s="395"/>
      <c r="AE12" s="2307"/>
      <c r="AF12" s="2307"/>
      <c r="AG12" s="2307"/>
      <c r="AH12" s="2307"/>
      <c r="AI12" s="2307"/>
      <c r="AJ12" s="2307"/>
      <c r="AK12" s="2307"/>
      <c r="AL12" s="2307"/>
      <c r="AM12" s="2307"/>
      <c r="AN12" s="2307"/>
      <c r="AO12" s="2307"/>
      <c r="AP12" s="2307"/>
      <c r="AQ12" s="2307"/>
      <c r="AR12" s="2307"/>
      <c r="AS12" s="2307"/>
      <c r="AT12" s="2307"/>
      <c r="AU12" s="2307"/>
      <c r="AV12" s="2307"/>
      <c r="AW12" s="2307"/>
      <c r="AX12" s="2307"/>
      <c r="AY12" s="2307"/>
      <c r="AZ12" s="2307"/>
      <c r="BA12" s="2307"/>
      <c r="BB12" s="2307"/>
      <c r="BC12" s="2307"/>
      <c r="BD12" s="2307"/>
      <c r="BE12" s="2307"/>
      <c r="BF12" s="2307"/>
      <c r="BG12" s="2307"/>
      <c r="BH12" s="2307"/>
      <c r="BI12" s="395"/>
      <c r="BJ12" s="395"/>
      <c r="BN12" s="2304" t="s">
        <v>19855</v>
      </c>
      <c r="BO12" s="2305"/>
      <c r="BP12" s="2305"/>
      <c r="BQ12" s="2305"/>
      <c r="BR12" s="2305"/>
      <c r="BS12" s="2305"/>
      <c r="BT12" s="2305"/>
      <c r="BU12" s="2305"/>
      <c r="BV12" s="2305"/>
      <c r="BW12" s="2305"/>
      <c r="BX12" s="2305"/>
      <c r="BY12" s="2305"/>
      <c r="BZ12" s="2305"/>
      <c r="CA12" s="2305"/>
      <c r="CB12" s="2305"/>
      <c r="CC12" s="2306"/>
      <c r="CD12" s="2304">
        <f>factors!B8</f>
        <v>48</v>
      </c>
      <c r="CE12" s="2305"/>
      <c r="CF12" s="760" t="s">
        <v>19402</v>
      </c>
      <c r="CO12" s="2228"/>
      <c r="CP12" s="1196" t="str">
        <f>"BWuz=ballast weight required to resist wind uplift= -DLFUz/0.6"</f>
        <v>BWuz=ballast weight required to resist wind uplift= -DLFUz/0.6</v>
      </c>
      <c r="CQ12" s="1170"/>
      <c r="CR12" s="1170"/>
      <c r="CS12" s="1170"/>
      <c r="CT12" s="1170"/>
      <c r="CU12" s="1170"/>
      <c r="CV12" s="1170"/>
      <c r="CW12" s="1170"/>
      <c r="CX12" s="1170"/>
      <c r="CY12" s="1170"/>
      <c r="CZ12" s="1170"/>
      <c r="DA12" s="1170"/>
      <c r="DB12" s="1170"/>
      <c r="DC12" s="1170"/>
      <c r="DD12" s="1170"/>
      <c r="DE12" s="1171"/>
      <c r="DF12" s="2333" t="s">
        <v>39</v>
      </c>
      <c r="DG12" s="2334"/>
      <c r="DH12" s="2357">
        <f>IF('1-Eng Inputs'!$C$3="EcoFoot 5D",'Land Calcs 5deg (lift)'!J7,IF('1-Eng Inputs'!$C$37="Landscape",'Land Calcs 10deg (lift)'!H6,'Port Calcs (lift)'!H6))</f>
        <v>207.42316644287763</v>
      </c>
      <c r="DI12" s="2358"/>
      <c r="DJ12" s="2229">
        <f>IF('1-Eng Inputs'!$C$3="EcoFoot 5D",'Land Calcs 5deg (lift)'!O7,IF('1-Eng Inputs'!$C$37="Landscape",'Land Calcs 10deg (lift)'!J6,'Port Calcs (lift)'!J6))</f>
        <v>174.64217657101361</v>
      </c>
      <c r="DK12" s="2229"/>
      <c r="DL12" s="2229">
        <f>IF('1-Eng Inputs'!$C$3="EcoFoot 5D",'Land Calcs 5deg (lift)'!Q7,IF('1-Eng Inputs'!$C$37="Landscape",'Land Calcs 10deg (lift)'!K6,'Port Calcs (lift)'!K6))</f>
        <v>133.6659392311837</v>
      </c>
      <c r="DM12" s="2230"/>
      <c r="DN12" s="2229"/>
      <c r="DO12" s="2229"/>
      <c r="DP12" s="2230"/>
      <c r="DS12" s="2236"/>
      <c r="DT12" s="2236"/>
      <c r="DU12" s="2236"/>
      <c r="DV12" s="2236"/>
      <c r="DW12" s="2236"/>
      <c r="DX12" s="2236"/>
      <c r="DY12" s="2236"/>
      <c r="DZ12" s="2236"/>
      <c r="EA12" s="2236"/>
      <c r="EB12" s="2236"/>
      <c r="EC12" s="2236"/>
      <c r="ED12" s="2236"/>
      <c r="EE12" s="2236"/>
      <c r="EF12" s="2236"/>
      <c r="EG12" s="2236"/>
      <c r="EH12" s="2236"/>
      <c r="EI12" s="2236"/>
      <c r="EJ12" s="2236"/>
      <c r="EK12" s="2236"/>
      <c r="EL12" s="2236"/>
      <c r="EM12" s="2236"/>
      <c r="EN12" s="2236"/>
      <c r="EO12" s="2236"/>
      <c r="EP12" s="2236"/>
      <c r="EQ12" s="2236"/>
      <c r="ER12" s="2236"/>
      <c r="ES12" s="2236"/>
      <c r="ET12" s="2236"/>
      <c r="EU12" s="2236"/>
      <c r="EV12" s="2236"/>
      <c r="EW12" s="2236"/>
      <c r="EY12" s="2220"/>
      <c r="EZ12" s="2223"/>
      <c r="FA12" s="2219">
        <v>52.47</v>
      </c>
      <c r="FB12" s="2219"/>
      <c r="FC12" s="2214"/>
      <c r="FD12" s="2237">
        <v>27.36</v>
      </c>
      <c r="FE12" s="2238"/>
      <c r="FF12" s="2214"/>
      <c r="FG12" s="891"/>
      <c r="FO12" s="416"/>
      <c r="FP12" s="416"/>
      <c r="FQ12" s="416"/>
      <c r="FR12" s="875"/>
      <c r="FS12" s="2258">
        <v>52.47</v>
      </c>
      <c r="FT12" s="2259"/>
      <c r="FU12" s="876"/>
      <c r="FV12" s="2258">
        <v>27.36</v>
      </c>
      <c r="FW12" s="2259"/>
      <c r="FX12" s="877"/>
      <c r="GB12" s="899"/>
      <c r="GC12" s="2197" t="s">
        <v>20021</v>
      </c>
      <c r="GD12" s="2197"/>
      <c r="GE12" s="2197"/>
      <c r="GF12" s="2197"/>
      <c r="GG12" s="2197"/>
      <c r="GH12" s="2197"/>
      <c r="GI12" s="2197"/>
      <c r="GJ12" s="2197"/>
      <c r="GK12" s="2197"/>
      <c r="GL12" s="2197"/>
      <c r="GM12" s="2197"/>
      <c r="GN12" s="2197"/>
      <c r="GO12" s="2197"/>
      <c r="GP12" s="2197"/>
      <c r="GQ12" s="2197"/>
      <c r="GR12" s="2197"/>
      <c r="GS12" s="2197"/>
      <c r="GT12" s="2197"/>
      <c r="GU12" s="2197"/>
      <c r="GV12" s="2197"/>
      <c r="GW12" s="2197"/>
      <c r="GX12" s="2195">
        <f>'1-Eng Inputs'!$C$18*'1-Eng Inputs'!$C$19/144</f>
        <v>21.587916666666668</v>
      </c>
      <c r="GY12" s="2195"/>
      <c r="GZ12" s="2196"/>
      <c r="HA12" s="903" t="s">
        <v>19922</v>
      </c>
      <c r="HB12" s="871"/>
      <c r="HC12" s="871"/>
      <c r="HD12" s="871"/>
      <c r="HE12" s="871"/>
      <c r="HF12" s="401"/>
    </row>
    <row r="13" spans="1:214" ht="13.5" customHeight="1">
      <c r="A13" s="395"/>
      <c r="B13" s="395"/>
      <c r="C13" s="395"/>
      <c r="D13" s="914"/>
      <c r="E13" s="867"/>
      <c r="F13" s="867"/>
      <c r="G13" s="867"/>
      <c r="H13" s="867"/>
      <c r="I13" s="867"/>
      <c r="J13" s="2363" t="str">
        <f>(VLOOKUP('1-Eng Inputs'!C10,ZIPS!A3:B41874,2))&amp;", "&amp;(VLOOKUP('1-Eng Inputs'!C10,ZIPS!A3:C41874,3))&amp;" "&amp;'1-Eng Inputs'!C10</f>
        <v>Reno, NV 89523</v>
      </c>
      <c r="K13" s="2364"/>
      <c r="L13" s="2364"/>
      <c r="M13" s="2364"/>
      <c r="N13" s="2364"/>
      <c r="O13" s="2364"/>
      <c r="P13" s="2364"/>
      <c r="Q13" s="2364"/>
      <c r="R13" s="2364"/>
      <c r="S13" s="2364"/>
      <c r="T13" s="2364"/>
      <c r="U13" s="2364"/>
      <c r="V13" s="2364"/>
      <c r="W13" s="2365"/>
      <c r="AE13" s="2307"/>
      <c r="AF13" s="2307"/>
      <c r="AG13" s="2307"/>
      <c r="AH13" s="2307"/>
      <c r="AI13" s="2307"/>
      <c r="AJ13" s="2307"/>
      <c r="AK13" s="2307"/>
      <c r="AL13" s="2307"/>
      <c r="AM13" s="2307"/>
      <c r="AN13" s="2307"/>
      <c r="AO13" s="2307"/>
      <c r="AP13" s="2307"/>
      <c r="AQ13" s="2307"/>
      <c r="AR13" s="2307"/>
      <c r="AS13" s="2307"/>
      <c r="AT13" s="2307"/>
      <c r="AU13" s="2307"/>
      <c r="AV13" s="2307"/>
      <c r="AW13" s="2307"/>
      <c r="AX13" s="2307"/>
      <c r="AY13" s="2307"/>
      <c r="AZ13" s="2307"/>
      <c r="BA13" s="2307"/>
      <c r="BB13" s="2307"/>
      <c r="BC13" s="2307"/>
      <c r="BD13" s="2307"/>
      <c r="BE13" s="2307"/>
      <c r="BF13" s="2307"/>
      <c r="BG13" s="2307"/>
      <c r="BH13" s="2307"/>
      <c r="BN13" s="2301" t="s">
        <v>19967</v>
      </c>
      <c r="BO13" s="2302"/>
      <c r="BP13" s="2302"/>
      <c r="BQ13" s="2302"/>
      <c r="BR13" s="2302"/>
      <c r="BS13" s="2302"/>
      <c r="BT13" s="2302"/>
      <c r="BU13" s="2302"/>
      <c r="BV13" s="2302"/>
      <c r="BW13" s="2302"/>
      <c r="BX13" s="2302"/>
      <c r="BY13" s="2302"/>
      <c r="BZ13" s="2302"/>
      <c r="CA13" s="2302"/>
      <c r="CB13" s="2302"/>
      <c r="CC13" s="2303"/>
      <c r="CD13" s="2301">
        <f>factors!B5</f>
        <v>0.6</v>
      </c>
      <c r="CE13" s="2302"/>
      <c r="CF13" s="404"/>
      <c r="CO13" s="2226" t="s">
        <v>231</v>
      </c>
      <c r="CP13" s="1192" t="s">
        <v>206</v>
      </c>
      <c r="CQ13" s="1168"/>
      <c r="CR13" s="1168"/>
      <c r="CS13" s="1168"/>
      <c r="CT13" s="1168"/>
      <c r="CU13" s="1168"/>
      <c r="CV13" s="1168"/>
      <c r="CW13" s="1168"/>
      <c r="CX13" s="1168"/>
      <c r="CY13" s="1168"/>
      <c r="CZ13" s="1168"/>
      <c r="DA13" s="1168"/>
      <c r="DB13" s="1168"/>
      <c r="DC13" s="1168"/>
      <c r="DD13" s="1168"/>
      <c r="DE13" s="1169"/>
      <c r="DF13" s="2339" t="s">
        <v>87</v>
      </c>
      <c r="DG13" s="2340"/>
      <c r="DH13" s="2298">
        <f>IF('1-Eng Inputs'!$C$3="EcoFoot 5D",'Land Calcs 5deg (lift)'!J9,IF('1-Eng Inputs'!$C$37="Landscape",'Land Calcs 10deg (lift)'!H8,'Port Calcs (lift)'!H8))</f>
        <v>-10.000912510782932</v>
      </c>
      <c r="DI13" s="2224"/>
      <c r="DJ13" s="2224">
        <f>IF('1-Eng Inputs'!$C$3="EcoFoot 5D",'Land Calcs 5deg (lift)'!O9,IF('1-Eng Inputs'!$C$37="Landscape",'Land Calcs 10deg (lift)'!J8,'Port Calcs (lift)'!J8))</f>
        <v>-8.8469610672310548</v>
      </c>
      <c r="DK13" s="2224"/>
      <c r="DL13" s="2224">
        <f>IF('1-Eng Inputs'!$C$3="EcoFoot 5D",'Land Calcs 5deg (lift)'!Q9,IF('1-Eng Inputs'!$C$37="Landscape",'Land Calcs 10deg (lift)'!K8,'Port Calcs (lift)'!K8))</f>
        <v>-7.6930096236791785</v>
      </c>
      <c r="DM13" s="2225"/>
      <c r="DN13" s="2224">
        <f>IF('1-Eng Inputs'!$C$3="EcoFoot 5D",'Land Calcs 5deg (lift)'!X9,IF('1-Eng Inputs'!$C$37="Landscape",'Land Calcs 10deg (lift)'!L8,'Port Calcs (lift)'!L8))</f>
        <v>21.925077427485657</v>
      </c>
      <c r="DO13" s="2224"/>
      <c r="DP13" s="2225"/>
      <c r="DS13" s="2236"/>
      <c r="DT13" s="2236"/>
      <c r="DU13" s="2236"/>
      <c r="DV13" s="2236"/>
      <c r="DW13" s="2236"/>
      <c r="DX13" s="2236"/>
      <c r="DY13" s="2236"/>
      <c r="DZ13" s="2236"/>
      <c r="EA13" s="2236"/>
      <c r="EB13" s="2236"/>
      <c r="EC13" s="2236"/>
      <c r="ED13" s="2236"/>
      <c r="EE13" s="2236"/>
      <c r="EF13" s="2236"/>
      <c r="EG13" s="2236"/>
      <c r="EH13" s="2236"/>
      <c r="EI13" s="2236"/>
      <c r="EJ13" s="2236"/>
      <c r="EK13" s="2236"/>
      <c r="EL13" s="2236"/>
      <c r="EM13" s="2236"/>
      <c r="EN13" s="2236"/>
      <c r="EO13" s="2236"/>
      <c r="EP13" s="2236"/>
      <c r="EQ13" s="2236"/>
      <c r="ER13" s="2236"/>
      <c r="ES13" s="2236"/>
      <c r="ET13" s="2236"/>
      <c r="EU13" s="2236"/>
      <c r="EV13" s="2236"/>
      <c r="EW13" s="2236"/>
      <c r="EY13" s="2220"/>
      <c r="EZ13" s="2223"/>
      <c r="FA13" s="2219"/>
      <c r="FB13" s="2219"/>
      <c r="FC13" s="2215"/>
      <c r="FD13" s="2239"/>
      <c r="FE13" s="2240"/>
      <c r="FF13" s="2215"/>
      <c r="FG13" s="892"/>
      <c r="FI13" s="2233" t="s">
        <v>20031</v>
      </c>
      <c r="FJ13" s="2233"/>
      <c r="FK13" s="2233"/>
      <c r="FL13" s="2233"/>
      <c r="FM13" s="2233"/>
      <c r="FN13" s="2233"/>
      <c r="FO13" s="2233"/>
      <c r="FP13" s="2233"/>
      <c r="FR13" s="875"/>
      <c r="FS13" s="2258"/>
      <c r="FT13" s="2259"/>
      <c r="FU13" s="876"/>
      <c r="FV13" s="2258"/>
      <c r="FW13" s="2259"/>
      <c r="FX13" s="877"/>
      <c r="GB13" s="899"/>
      <c r="GC13" s="2204" t="s">
        <v>20022</v>
      </c>
      <c r="GD13" s="2204"/>
      <c r="GE13" s="2204"/>
      <c r="GF13" s="2204"/>
      <c r="GG13" s="2204"/>
      <c r="GH13" s="2204"/>
      <c r="GI13" s="2204"/>
      <c r="GJ13" s="2204"/>
      <c r="GK13" s="2204"/>
      <c r="GL13" s="2204"/>
      <c r="GM13" s="2204"/>
      <c r="GN13" s="2204"/>
      <c r="GO13" s="2204"/>
      <c r="GP13" s="2204"/>
      <c r="GQ13" s="2204"/>
      <c r="GR13" s="2204"/>
      <c r="GS13" s="2204"/>
      <c r="GT13" s="2204"/>
      <c r="GU13" s="2204"/>
      <c r="GV13" s="2204"/>
      <c r="GW13" s="2204"/>
      <c r="GX13" s="2195">
        <f>IF('1-Eng Inputs'!$C$3="EcoFoot 5D",factors!$B$43,IF('1-Eng Inputs'!$C$37="Landscape",factors!$B$41,factors!$B$42))</f>
        <v>9.274669319793702</v>
      </c>
      <c r="GY13" s="2195"/>
      <c r="GZ13" s="2196"/>
      <c r="HA13" s="903" t="s">
        <v>19281</v>
      </c>
      <c r="HB13" s="871"/>
      <c r="HC13" s="871"/>
      <c r="HD13" s="871"/>
      <c r="HE13" s="871"/>
      <c r="HF13" s="401"/>
    </row>
    <row r="14" spans="1:214" ht="13.5" customHeight="1">
      <c r="B14" s="395"/>
      <c r="C14" s="395"/>
      <c r="D14" s="914"/>
      <c r="E14" s="867"/>
      <c r="F14" s="867"/>
      <c r="G14" s="867"/>
      <c r="H14" s="867"/>
      <c r="I14" s="867"/>
      <c r="J14" s="2363"/>
      <c r="K14" s="2364"/>
      <c r="L14" s="2364"/>
      <c r="M14" s="2364"/>
      <c r="N14" s="2364"/>
      <c r="O14" s="2364"/>
      <c r="P14" s="2364"/>
      <c r="Q14" s="2364"/>
      <c r="R14" s="2364"/>
      <c r="S14" s="2364"/>
      <c r="T14" s="2364"/>
      <c r="U14" s="2364"/>
      <c r="V14" s="2364"/>
      <c r="W14" s="2365"/>
      <c r="X14" s="395"/>
      <c r="Y14" s="395"/>
      <c r="Z14" s="395"/>
      <c r="AA14" s="395"/>
      <c r="AB14" s="395"/>
      <c r="AC14" s="395"/>
      <c r="AD14" s="395"/>
      <c r="AE14" s="2307"/>
      <c r="AF14" s="2307"/>
      <c r="AG14" s="2307"/>
      <c r="AH14" s="2307"/>
      <c r="AI14" s="2307"/>
      <c r="AJ14" s="2307"/>
      <c r="AK14" s="2307"/>
      <c r="AL14" s="2307"/>
      <c r="AM14" s="2307"/>
      <c r="AN14" s="2307"/>
      <c r="AO14" s="2307"/>
      <c r="AP14" s="2307"/>
      <c r="AQ14" s="2307"/>
      <c r="AR14" s="2307"/>
      <c r="AS14" s="2307"/>
      <c r="AT14" s="2307"/>
      <c r="AU14" s="2307"/>
      <c r="AV14" s="2307"/>
      <c r="AW14" s="2307"/>
      <c r="AX14" s="2307"/>
      <c r="AY14" s="2307"/>
      <c r="AZ14" s="2307"/>
      <c r="BA14" s="2307"/>
      <c r="BB14" s="2307"/>
      <c r="BC14" s="2307"/>
      <c r="BD14" s="2307"/>
      <c r="BE14" s="2307"/>
      <c r="BF14" s="2307"/>
      <c r="BG14" s="2307"/>
      <c r="BH14" s="2307"/>
      <c r="BI14" s="395"/>
      <c r="BJ14" s="395"/>
      <c r="BN14" s="2301" t="s">
        <v>19966</v>
      </c>
      <c r="BO14" s="2302"/>
      <c r="BP14" s="2302"/>
      <c r="BQ14" s="2302"/>
      <c r="BR14" s="2302"/>
      <c r="BS14" s="2302"/>
      <c r="BT14" s="2302"/>
      <c r="BU14" s="2302"/>
      <c r="BV14" s="2302"/>
      <c r="BW14" s="2302"/>
      <c r="BX14" s="2302"/>
      <c r="BY14" s="2302"/>
      <c r="BZ14" s="2302"/>
      <c r="CA14" s="2302"/>
      <c r="CB14" s="2302"/>
      <c r="CC14" s="2303"/>
      <c r="CD14" s="2301">
        <f>factors!B7</f>
        <v>1</v>
      </c>
      <c r="CE14" s="2302"/>
      <c r="CF14" s="404"/>
      <c r="CO14" s="2227"/>
      <c r="CP14" s="1192" t="s">
        <v>103</v>
      </c>
      <c r="CQ14" s="1168"/>
      <c r="CR14" s="1168"/>
      <c r="CS14" s="1168"/>
      <c r="CT14" s="1168"/>
      <c r="CU14" s="1168"/>
      <c r="CV14" s="1168"/>
      <c r="CW14" s="1168"/>
      <c r="CX14" s="1168"/>
      <c r="CY14" s="1168"/>
      <c r="CZ14" s="1168"/>
      <c r="DA14" s="1168"/>
      <c r="DB14" s="1168"/>
      <c r="DC14" s="1168"/>
      <c r="DD14" s="1168"/>
      <c r="DE14" s="1169"/>
      <c r="DF14" s="2336" t="s">
        <v>39</v>
      </c>
      <c r="DG14" s="2337"/>
      <c r="DH14" s="2325">
        <f>IF('1-Eng Inputs'!$C$3="EcoFoot 5D",'Land Calcs 5deg (lift)'!J10,IF('1-Eng Inputs'!$C$37="Landscape",'Land Calcs 10deg (lift)'!H9,'Port Calcs (lift)'!H9))</f>
        <v>-213.07643416711568</v>
      </c>
      <c r="DI14" s="2277"/>
      <c r="DJ14" s="2277">
        <f>IF('1-Eng Inputs'!$C$3="EcoFoot 5D",'Land Calcs 5deg (lift)'!O10,IF('1-Eng Inputs'!$C$37="Landscape",'Land Calcs 10deg (lift)'!J9,'Port Calcs (lift)'!J9))</f>
        <v>-188.49069176321771</v>
      </c>
      <c r="DK14" s="2277"/>
      <c r="DL14" s="2277">
        <f>IF('1-Eng Inputs'!$C$3="EcoFoot 5D",'Land Calcs 5deg (lift)'!Q10,IF('1-Eng Inputs'!$C$37="Landscape",'Land Calcs 10deg (lift)'!K9,'Port Calcs (lift)'!K9))</f>
        <v>-163.90494935931977</v>
      </c>
      <c r="DM14" s="2278"/>
      <c r="DN14" s="2277"/>
      <c r="DO14" s="2277"/>
      <c r="DP14" s="2278"/>
      <c r="DS14" s="2250" t="s">
        <v>20003</v>
      </c>
      <c r="DT14" s="2250"/>
      <c r="DU14" s="2250"/>
      <c r="DV14" s="2250"/>
      <c r="DW14" s="2250"/>
      <c r="DX14" s="2250"/>
      <c r="DY14" s="2250"/>
      <c r="DZ14" s="2250"/>
      <c r="EA14" s="2250"/>
      <c r="EB14" s="2250"/>
      <c r="EC14" s="2250"/>
      <c r="ED14" s="2250"/>
      <c r="EE14" s="2250"/>
      <c r="EF14" s="2250"/>
      <c r="EG14" s="2250"/>
      <c r="EH14" s="2250"/>
      <c r="EI14" s="2250"/>
      <c r="EJ14" s="2250"/>
      <c r="EK14" s="2250"/>
      <c r="EL14" s="2250"/>
      <c r="EM14" s="2250"/>
      <c r="EN14" s="2250"/>
      <c r="EO14" s="2250"/>
      <c r="EP14" s="2250"/>
      <c r="EQ14" s="2250"/>
      <c r="ER14" s="2250"/>
      <c r="ES14" s="2250"/>
      <c r="ET14" s="2250"/>
      <c r="EU14" s="2250"/>
      <c r="EV14" s="2250"/>
      <c r="EW14" s="2250"/>
      <c r="EY14" s="419"/>
      <c r="EZ14" s="417">
        <v>2</v>
      </c>
      <c r="FA14" s="2212"/>
      <c r="FB14" s="2213"/>
      <c r="FC14" s="417">
        <v>2</v>
      </c>
      <c r="FD14" s="2212"/>
      <c r="FE14" s="2213"/>
      <c r="FF14" s="422">
        <v>1</v>
      </c>
      <c r="FG14" s="420"/>
      <c r="FI14" s="2233"/>
      <c r="FJ14" s="2233"/>
      <c r="FK14" s="2233"/>
      <c r="FL14" s="2233"/>
      <c r="FM14" s="2233"/>
      <c r="FN14" s="2233"/>
      <c r="FO14" s="2233"/>
      <c r="FP14" s="2233"/>
      <c r="FR14" s="875"/>
      <c r="FS14" s="2256">
        <v>2</v>
      </c>
      <c r="FT14" s="2257"/>
      <c r="FU14" s="876"/>
      <c r="FV14" s="2221">
        <v>1</v>
      </c>
      <c r="FW14" s="2222"/>
      <c r="FX14" s="877"/>
      <c r="GA14" s="416"/>
      <c r="GB14" s="899"/>
      <c r="GC14" s="2197" t="s">
        <v>20023</v>
      </c>
      <c r="GD14" s="2197"/>
      <c r="GE14" s="2197"/>
      <c r="GF14" s="2197"/>
      <c r="GG14" s="2197"/>
      <c r="GH14" s="2197"/>
      <c r="GI14" s="2197"/>
      <c r="GJ14" s="2197"/>
      <c r="GK14" s="2197"/>
      <c r="GL14" s="2197"/>
      <c r="GM14" s="2197"/>
      <c r="GN14" s="2197"/>
      <c r="GO14" s="2197"/>
      <c r="GP14" s="2197"/>
      <c r="GQ14" s="2197"/>
      <c r="GR14" s="2197"/>
      <c r="GS14" s="2197"/>
      <c r="GT14" s="2197"/>
      <c r="GU14" s="2197"/>
      <c r="GV14" s="2197"/>
      <c r="GW14" s="2197"/>
      <c r="GX14" s="2195">
        <f>GX12*COS(RADIANS(GX13))</f>
        <v>21.305699248681339</v>
      </c>
      <c r="GY14" s="2195"/>
      <c r="GZ14" s="2196"/>
      <c r="HA14" s="903" t="s">
        <v>19922</v>
      </c>
      <c r="HB14" s="901"/>
      <c r="HC14" s="871"/>
      <c r="HD14" s="871"/>
      <c r="HE14" s="871"/>
      <c r="HF14" s="401"/>
    </row>
    <row r="15" spans="1:214" ht="13.5" customHeight="1" thickBot="1">
      <c r="A15" s="395"/>
      <c r="B15" s="395"/>
      <c r="C15" s="395"/>
      <c r="D15" s="915" t="s">
        <v>19464</v>
      </c>
      <c r="E15" s="916"/>
      <c r="F15" s="916"/>
      <c r="G15" s="916"/>
      <c r="H15" s="916"/>
      <c r="I15" s="917"/>
      <c r="J15" s="2366">
        <f ca="1">TODAY()</f>
        <v>43287</v>
      </c>
      <c r="K15" s="2367"/>
      <c r="L15" s="2367"/>
      <c r="M15" s="2367"/>
      <c r="N15" s="2367"/>
      <c r="O15" s="2367"/>
      <c r="P15" s="2367"/>
      <c r="Q15" s="2367"/>
      <c r="R15" s="2367"/>
      <c r="S15" s="2367"/>
      <c r="T15" s="2367"/>
      <c r="U15" s="2367"/>
      <c r="V15" s="2367"/>
      <c r="W15" s="2368"/>
      <c r="X15" s="395"/>
      <c r="Y15" s="395"/>
      <c r="Z15" s="395"/>
      <c r="AA15" s="395"/>
      <c r="AB15" s="395"/>
      <c r="AC15" s="395"/>
      <c r="AD15" s="395"/>
      <c r="AE15" s="2307"/>
      <c r="AF15" s="2307"/>
      <c r="AG15" s="2307"/>
      <c r="AH15" s="2307"/>
      <c r="AI15" s="2307"/>
      <c r="AJ15" s="2307"/>
      <c r="AK15" s="2307"/>
      <c r="AL15" s="2307"/>
      <c r="AM15" s="2307"/>
      <c r="AN15" s="2307"/>
      <c r="AO15" s="2307"/>
      <c r="AP15" s="2307"/>
      <c r="AQ15" s="2307"/>
      <c r="AR15" s="2307"/>
      <c r="AS15" s="2307"/>
      <c r="AT15" s="2307"/>
      <c r="AU15" s="2307"/>
      <c r="AV15" s="2307"/>
      <c r="AW15" s="2307"/>
      <c r="AX15" s="2307"/>
      <c r="AY15" s="2307"/>
      <c r="AZ15" s="2307"/>
      <c r="BA15" s="2307"/>
      <c r="BB15" s="2307"/>
      <c r="BC15" s="2307"/>
      <c r="BD15" s="2307"/>
      <c r="BE15" s="2307"/>
      <c r="BF15" s="2307"/>
      <c r="BG15" s="2307"/>
      <c r="BH15" s="2307"/>
      <c r="BI15" s="395"/>
      <c r="BJ15" s="395"/>
      <c r="BN15" s="2301" t="s">
        <v>19968</v>
      </c>
      <c r="BO15" s="2302"/>
      <c r="BP15" s="2302"/>
      <c r="BQ15" s="2302"/>
      <c r="BR15" s="2302"/>
      <c r="BS15" s="2302"/>
      <c r="BT15" s="2302"/>
      <c r="BU15" s="2302"/>
      <c r="BV15" s="2302"/>
      <c r="BW15" s="2302"/>
      <c r="BX15" s="2302"/>
      <c r="BY15" s="2302"/>
      <c r="BZ15" s="2302"/>
      <c r="CA15" s="2302"/>
      <c r="CB15" s="2302"/>
      <c r="CC15" s="2303"/>
      <c r="CD15" s="2301">
        <f>factors!B25</f>
        <v>9.5</v>
      </c>
      <c r="CE15" s="2302"/>
      <c r="CF15" s="403"/>
      <c r="CO15" s="2227"/>
      <c r="CP15" s="1192" t="str">
        <f>"DLFUz=Uplift design load using ASD combo #7 = dLF1*0.6 + WLFUz*"&amp;IF('1-Eng Inputs'!$C$35=2010,"0.6","1.0")</f>
        <v>DLFUz=Uplift design load using ASD combo #7 = dLF1*0.6 + WLFUz*0.6</v>
      </c>
      <c r="CQ15" s="1168"/>
      <c r="CR15" s="1168"/>
      <c r="CS15" s="1168"/>
      <c r="CT15" s="1168"/>
      <c r="CU15" s="1168"/>
      <c r="CV15" s="1168"/>
      <c r="CW15" s="1168"/>
      <c r="CX15" s="1168"/>
      <c r="CY15" s="1168"/>
      <c r="CZ15" s="1168"/>
      <c r="DA15" s="1168"/>
      <c r="DB15" s="1168"/>
      <c r="DC15" s="1168"/>
      <c r="DD15" s="1168"/>
      <c r="DE15" s="1169"/>
      <c r="DF15" s="2336" t="s">
        <v>39</v>
      </c>
      <c r="DG15" s="2337"/>
      <c r="DH15" s="2325">
        <f>IF('1-Eng Inputs'!$C$3="EcoFoot 5D",'Land Calcs 5deg (lift)'!J11,IF('1-Eng Inputs'!$C$37="Landscape",'Land Calcs 10deg (lift)'!H10,'Port Calcs (lift)'!H10))</f>
        <v>-90.033860500269398</v>
      </c>
      <c r="DI15" s="2277"/>
      <c r="DJ15" s="2277">
        <f>IF('1-Eng Inputs'!$C$3="EcoFoot 5D",'Land Calcs 5deg (lift)'!O11,IF('1-Eng Inputs'!$C$37="Landscape",'Land Calcs 10deg (lift)'!J10,'Port Calcs (lift)'!J10))</f>
        <v>-75.282415057930621</v>
      </c>
      <c r="DK15" s="2277"/>
      <c r="DL15" s="2277">
        <f>IF('1-Eng Inputs'!$C$3="EcoFoot 5D",'Land Calcs 5deg (lift)'!Q11,IF('1-Eng Inputs'!$C$37="Landscape",'Land Calcs 10deg (lift)'!K10,'Port Calcs (lift)'!K10))</f>
        <v>-60.530969615591857</v>
      </c>
      <c r="DM15" s="2278"/>
      <c r="DN15" s="2277"/>
      <c r="DO15" s="2277"/>
      <c r="DP15" s="2278"/>
      <c r="DR15" s="863"/>
      <c r="EY15" s="895"/>
      <c r="EZ15" s="421"/>
      <c r="FA15" s="2282"/>
      <c r="FB15" s="2283"/>
      <c r="FC15" s="421"/>
      <c r="FD15" s="2282"/>
      <c r="FE15" s="2283"/>
      <c r="FF15" s="421"/>
      <c r="FG15" s="896"/>
      <c r="FH15" s="416"/>
      <c r="FI15" s="2233"/>
      <c r="FJ15" s="2233"/>
      <c r="FK15" s="2233"/>
      <c r="FL15" s="2233"/>
      <c r="FM15" s="2233"/>
      <c r="FN15" s="2233"/>
      <c r="FO15" s="2233"/>
      <c r="FP15" s="2233"/>
      <c r="FQ15" s="416"/>
      <c r="FR15" s="878"/>
      <c r="FS15" s="2279"/>
      <c r="FT15" s="2280"/>
      <c r="FU15" s="879"/>
      <c r="FV15" s="2279"/>
      <c r="FW15" s="2280"/>
      <c r="FX15" s="880"/>
      <c r="GB15" s="899"/>
      <c r="GC15" s="2197" t="s">
        <v>103</v>
      </c>
      <c r="GD15" s="2197"/>
      <c r="GE15" s="2197"/>
      <c r="GF15" s="2197"/>
      <c r="GG15" s="2197"/>
      <c r="GH15" s="2197"/>
      <c r="GI15" s="2197"/>
      <c r="GJ15" s="2197"/>
      <c r="GK15" s="2197"/>
      <c r="GL15" s="2197"/>
      <c r="GM15" s="2197"/>
      <c r="GN15" s="2197"/>
      <c r="GO15" s="2197"/>
      <c r="GP15" s="2197"/>
      <c r="GQ15" s="2197"/>
      <c r="GR15" s="2197"/>
      <c r="GS15" s="2197"/>
      <c r="GT15" s="2197"/>
      <c r="GU15" s="2197"/>
      <c r="GV15" s="2197"/>
      <c r="GW15" s="2197"/>
      <c r="GX15" s="2195">
        <f>$DH$10</f>
        <v>-270.44316644287761</v>
      </c>
      <c r="GY15" s="2195"/>
      <c r="GZ15" s="2196"/>
      <c r="HA15" s="903" t="s">
        <v>35</v>
      </c>
      <c r="HB15" s="871"/>
      <c r="HC15" s="871"/>
      <c r="HD15" s="871"/>
      <c r="HE15" s="871"/>
      <c r="HF15" s="401"/>
    </row>
    <row r="16" spans="1:214" ht="13.5" customHeight="1">
      <c r="A16" s="395"/>
      <c r="B16" s="395"/>
      <c r="C16" s="395"/>
      <c r="AE16" s="2307"/>
      <c r="AF16" s="2307"/>
      <c r="AG16" s="2307"/>
      <c r="AH16" s="2307"/>
      <c r="AI16" s="2307"/>
      <c r="AJ16" s="2307"/>
      <c r="AK16" s="2307"/>
      <c r="AL16" s="2307"/>
      <c r="AM16" s="2307"/>
      <c r="AN16" s="2307"/>
      <c r="AO16" s="2307"/>
      <c r="AP16" s="2307"/>
      <c r="AQ16" s="2307"/>
      <c r="AR16" s="2307"/>
      <c r="AS16" s="2307"/>
      <c r="AT16" s="2307"/>
      <c r="AU16" s="2307"/>
      <c r="AV16" s="2307"/>
      <c r="AW16" s="2307"/>
      <c r="AX16" s="2307"/>
      <c r="AY16" s="2307"/>
      <c r="AZ16" s="2307"/>
      <c r="BA16" s="2307"/>
      <c r="BB16" s="2307"/>
      <c r="BC16" s="2307"/>
      <c r="BD16" s="2307"/>
      <c r="BE16" s="2307"/>
      <c r="BF16" s="2307"/>
      <c r="BG16" s="2307"/>
      <c r="BH16" s="2307"/>
      <c r="BN16" s="2301" t="s">
        <v>19969</v>
      </c>
      <c r="BO16" s="2302"/>
      <c r="BP16" s="2302"/>
      <c r="BQ16" s="2302"/>
      <c r="BR16" s="2302"/>
      <c r="BS16" s="2302"/>
      <c r="BT16" s="2302"/>
      <c r="BU16" s="2302"/>
      <c r="BV16" s="2302"/>
      <c r="BW16" s="2302"/>
      <c r="BX16" s="2302"/>
      <c r="BY16" s="2302"/>
      <c r="BZ16" s="2302"/>
      <c r="CA16" s="2302"/>
      <c r="CB16" s="2302"/>
      <c r="CC16" s="2303"/>
      <c r="CD16" s="2301">
        <f>factors!B26</f>
        <v>900</v>
      </c>
      <c r="CE16" s="2302"/>
      <c r="CF16" s="403" t="s">
        <v>19359</v>
      </c>
      <c r="CO16" s="2228"/>
      <c r="CP16" s="1193" t="str">
        <f>"BWuz=ballast weight required to resist wind uplift= -DLFUz/0.6"</f>
        <v>BWuz=ballast weight required to resist wind uplift= -DLFUz/0.6</v>
      </c>
      <c r="CQ16" s="1197"/>
      <c r="CR16" s="1197"/>
      <c r="CS16" s="1197"/>
      <c r="CT16" s="1197"/>
      <c r="CU16" s="1197"/>
      <c r="CV16" s="1197"/>
      <c r="CW16" s="1197"/>
      <c r="CX16" s="1197"/>
      <c r="CY16" s="1197"/>
      <c r="CZ16" s="1197"/>
      <c r="DA16" s="1197"/>
      <c r="DB16" s="1197"/>
      <c r="DC16" s="1197"/>
      <c r="DD16" s="1197"/>
      <c r="DE16" s="1198"/>
      <c r="DF16" s="2333" t="s">
        <v>39</v>
      </c>
      <c r="DG16" s="2334"/>
      <c r="DH16" s="2297">
        <f>IF('1-Eng Inputs'!$C$3="EcoFoot 5D",'Land Calcs 5deg (lift)'!J12,IF('1-Eng Inputs'!$C$37="Landscape",'Land Calcs 10deg (lift)'!H11,'Port Calcs (lift)'!H11))</f>
        <v>150.05643416711567</v>
      </c>
      <c r="DI16" s="2229"/>
      <c r="DJ16" s="2229">
        <f>IF('1-Eng Inputs'!$C$3="EcoFoot 5D",'Land Calcs 5deg (lift)'!O12,IF('1-Eng Inputs'!$C$37="Landscape",'Land Calcs 10deg (lift)'!J11,'Port Calcs (lift)'!J11))</f>
        <v>125.4706917632177</v>
      </c>
      <c r="DK16" s="2229"/>
      <c r="DL16" s="2229">
        <f>IF('1-Eng Inputs'!$C$3="EcoFoot 5D",'Land Calcs 5deg (lift)'!Q12,IF('1-Eng Inputs'!$C$37="Landscape",'Land Calcs 10deg (lift)'!K11,'Port Calcs (lift)'!K11))</f>
        <v>100.88494935931976</v>
      </c>
      <c r="DM16" s="2230"/>
      <c r="DN16" s="2229"/>
      <c r="DO16" s="2229"/>
      <c r="DP16" s="2230"/>
      <c r="DR16" s="863"/>
      <c r="GB16" s="871"/>
      <c r="GC16" s="2197" t="s">
        <v>20024</v>
      </c>
      <c r="GD16" s="2197"/>
      <c r="GE16" s="2197"/>
      <c r="GF16" s="2197"/>
      <c r="GG16" s="2197"/>
      <c r="GH16" s="2197"/>
      <c r="GI16" s="2197"/>
      <c r="GJ16" s="2197"/>
      <c r="GK16" s="2197"/>
      <c r="GL16" s="2197"/>
      <c r="GM16" s="2197"/>
      <c r="GN16" s="2197"/>
      <c r="GO16" s="2197"/>
      <c r="GP16" s="2197"/>
      <c r="GQ16" s="2197"/>
      <c r="GR16" s="2197"/>
      <c r="GS16" s="2197"/>
      <c r="GT16" s="2197"/>
      <c r="GU16" s="2197"/>
      <c r="GV16" s="2197"/>
      <c r="GW16" s="2197"/>
      <c r="GX16" s="2195">
        <f>$CD$11</f>
        <v>63.019999999999996</v>
      </c>
      <c r="GY16" s="2195"/>
      <c r="GZ16" s="2196"/>
      <c r="HA16" s="903" t="s">
        <v>35</v>
      </c>
      <c r="HB16" s="871"/>
      <c r="HC16" s="871"/>
      <c r="HD16" s="871"/>
      <c r="HE16" s="871"/>
      <c r="HF16" s="401"/>
    </row>
    <row r="17" spans="1:214" ht="13.5" customHeight="1">
      <c r="A17" s="395"/>
      <c r="AE17" s="2307"/>
      <c r="AF17" s="2307"/>
      <c r="AG17" s="2307"/>
      <c r="AH17" s="2307"/>
      <c r="AI17" s="2307"/>
      <c r="AJ17" s="2307"/>
      <c r="AK17" s="2307"/>
      <c r="AL17" s="2307"/>
      <c r="AM17" s="2307"/>
      <c r="AN17" s="2307"/>
      <c r="AO17" s="2307"/>
      <c r="AP17" s="2307"/>
      <c r="AQ17" s="2307"/>
      <c r="AR17" s="2307"/>
      <c r="AS17" s="2307"/>
      <c r="AT17" s="2307"/>
      <c r="AU17" s="2307"/>
      <c r="AV17" s="2307"/>
      <c r="AW17" s="2307"/>
      <c r="AX17" s="2307"/>
      <c r="AY17" s="2307"/>
      <c r="AZ17" s="2307"/>
      <c r="BA17" s="2307"/>
      <c r="BB17" s="2307"/>
      <c r="BC17" s="2307"/>
      <c r="BD17" s="2307"/>
      <c r="BE17" s="2307"/>
      <c r="BF17" s="2307"/>
      <c r="BG17" s="2307"/>
      <c r="BH17" s="2307"/>
      <c r="BN17" s="2301" t="s">
        <v>19856</v>
      </c>
      <c r="BO17" s="2302"/>
      <c r="BP17" s="2302"/>
      <c r="BQ17" s="2302"/>
      <c r="BR17" s="2302"/>
      <c r="BS17" s="2302"/>
      <c r="BT17" s="2302"/>
      <c r="BU17" s="2302"/>
      <c r="BV17" s="2302"/>
      <c r="BW17" s="2302"/>
      <c r="BX17" s="2302"/>
      <c r="BY17" s="2302"/>
      <c r="BZ17" s="2302"/>
      <c r="CA17" s="2302"/>
      <c r="CB17" s="2302"/>
      <c r="CC17" s="2303"/>
      <c r="CD17" s="2301">
        <f>factors!B27</f>
        <v>15</v>
      </c>
      <c r="CE17" s="2302"/>
      <c r="CF17" s="403" t="s">
        <v>19359</v>
      </c>
      <c r="CO17" s="2226" t="s">
        <v>247</v>
      </c>
      <c r="CP17" s="1194" t="s">
        <v>206</v>
      </c>
      <c r="CQ17" s="1166"/>
      <c r="CR17" s="1166"/>
      <c r="CS17" s="1166"/>
      <c r="CT17" s="1166"/>
      <c r="CU17" s="1166"/>
      <c r="CV17" s="1166"/>
      <c r="CW17" s="1166"/>
      <c r="CX17" s="1166"/>
      <c r="CY17" s="1166"/>
      <c r="CZ17" s="1166"/>
      <c r="DA17" s="1166"/>
      <c r="DB17" s="1166"/>
      <c r="DC17" s="1166"/>
      <c r="DD17" s="1166"/>
      <c r="DE17" s="1167"/>
      <c r="DF17" s="2339" t="s">
        <v>87</v>
      </c>
      <c r="DG17" s="2340"/>
      <c r="DH17" s="2298">
        <f>IF('1-Eng Inputs'!$C$3="EcoFoot 5D",'Land Calcs 5deg (lift)'!J14,IF('1-Eng Inputs'!$C$37="Landscape",'Land Calcs 10deg (lift)'!H13,'Port Calcs (lift)'!H13))</f>
        <v>-12.693465879070645</v>
      </c>
      <c r="DI17" s="2224"/>
      <c r="DJ17" s="2343">
        <f>IF('1-Eng Inputs'!$C$3="EcoFoot 5D",'Land Calcs 5deg (lift)'!O14,IF('1-Eng Inputs'!$C$37="Landscape",'Land Calcs 10deg (lift)'!J13,'Port Calcs (lift)'!J13))</f>
        <v>-9.2316115484150139</v>
      </c>
      <c r="DK17" s="2343"/>
      <c r="DL17" s="2224">
        <f>IF('1-Eng Inputs'!$C$3="EcoFoot 5D",'Land Calcs 5deg (lift)'!Q14,IF('1-Eng Inputs'!$C$37="Landscape",'Land Calcs 10deg (lift)'!K13,'Port Calcs (lift)'!K13))</f>
        <v>-7.6930096236791785</v>
      </c>
      <c r="DM17" s="2225"/>
      <c r="DN17" s="2224">
        <f>IF('1-Eng Inputs'!$C$3="EcoFoot 5D",'Land Calcs 5deg (lift)'!X14,IF('1-Eng Inputs'!$C$37="Landscape",'Land Calcs 10deg (lift)'!L13,'Port Calcs (lift)'!L13))</f>
        <v>23.848329833405451</v>
      </c>
      <c r="DO17" s="2224"/>
      <c r="DP17" s="2225"/>
      <c r="DR17" s="863"/>
      <c r="GB17" s="902"/>
      <c r="GC17" s="2194" t="str">
        <f>'Land Calcs 5deg (lift)'!$A$11</f>
        <v>DLFUz=Uplift design load using ASD combo #7 = dLF1*0.6 + WLFUz*0.6</v>
      </c>
      <c r="GD17" s="2194"/>
      <c r="GE17" s="2194"/>
      <c r="GF17" s="2194"/>
      <c r="GG17" s="2194"/>
      <c r="GH17" s="2194"/>
      <c r="GI17" s="2194"/>
      <c r="GJ17" s="2194"/>
      <c r="GK17" s="2194"/>
      <c r="GL17" s="2194"/>
      <c r="GM17" s="2194"/>
      <c r="GN17" s="2194"/>
      <c r="GO17" s="2194"/>
      <c r="GP17" s="2194"/>
      <c r="GQ17" s="2194"/>
      <c r="GR17" s="2194"/>
      <c r="GS17" s="2194"/>
      <c r="GT17" s="2194"/>
      <c r="GU17" s="2194"/>
      <c r="GV17" s="2194"/>
      <c r="GW17" s="2194"/>
      <c r="GX17" s="2195">
        <f>$DH$11</f>
        <v>-124.45389986572657</v>
      </c>
      <c r="GY17" s="2195"/>
      <c r="GZ17" s="2196"/>
      <c r="HA17" s="903" t="s">
        <v>35</v>
      </c>
      <c r="HB17" s="902"/>
      <c r="HC17" s="902"/>
      <c r="HD17" s="902"/>
      <c r="HE17" s="902"/>
      <c r="HF17" s="401"/>
    </row>
    <row r="18" spans="1:214" ht="13.5" customHeight="1">
      <c r="A18" s="395"/>
      <c r="AE18" s="2307"/>
      <c r="AF18" s="2307"/>
      <c r="AG18" s="2307"/>
      <c r="AH18" s="2307"/>
      <c r="AI18" s="2307"/>
      <c r="AJ18" s="2307"/>
      <c r="AK18" s="2307"/>
      <c r="AL18" s="2307"/>
      <c r="AM18" s="2307"/>
      <c r="AN18" s="2307"/>
      <c r="AO18" s="2307"/>
      <c r="AP18" s="2307"/>
      <c r="AQ18" s="2307"/>
      <c r="AR18" s="2307"/>
      <c r="AS18" s="2307"/>
      <c r="AT18" s="2307"/>
      <c r="AU18" s="2307"/>
      <c r="AV18" s="2307"/>
      <c r="AW18" s="2307"/>
      <c r="AX18" s="2307"/>
      <c r="AY18" s="2307"/>
      <c r="AZ18" s="2307"/>
      <c r="BA18" s="2307"/>
      <c r="BB18" s="2307"/>
      <c r="BC18" s="2307"/>
      <c r="BD18" s="2307"/>
      <c r="BE18" s="2307"/>
      <c r="BF18" s="2307"/>
      <c r="BG18" s="2307"/>
      <c r="BH18" s="2307"/>
      <c r="BN18" s="2304" t="s">
        <v>19857</v>
      </c>
      <c r="BO18" s="2305"/>
      <c r="BP18" s="2305"/>
      <c r="BQ18" s="2305"/>
      <c r="BR18" s="2305"/>
      <c r="BS18" s="2305"/>
      <c r="BT18" s="2305"/>
      <c r="BU18" s="2305"/>
      <c r="BV18" s="2305"/>
      <c r="BW18" s="2305"/>
      <c r="BX18" s="2305"/>
      <c r="BY18" s="2305"/>
      <c r="BZ18" s="2305"/>
      <c r="CA18" s="2305"/>
      <c r="CB18" s="2305"/>
      <c r="CC18" s="2306"/>
      <c r="CD18" s="2304">
        <f>factors!B28</f>
        <v>20</v>
      </c>
      <c r="CE18" s="2305"/>
      <c r="CF18" s="760" t="s">
        <v>19359</v>
      </c>
      <c r="CO18" s="2227"/>
      <c r="CP18" s="1195" t="s">
        <v>103</v>
      </c>
      <c r="CQ18" s="1168"/>
      <c r="CR18" s="1168"/>
      <c r="CS18" s="1168"/>
      <c r="CT18" s="1168"/>
      <c r="CU18" s="1168"/>
      <c r="CV18" s="1168"/>
      <c r="CW18" s="1168"/>
      <c r="CX18" s="1168"/>
      <c r="CY18" s="1168"/>
      <c r="CZ18" s="1168"/>
      <c r="DA18" s="1168"/>
      <c r="DB18" s="1168"/>
      <c r="DC18" s="1168"/>
      <c r="DD18" s="1168"/>
      <c r="DE18" s="1169"/>
      <c r="DF18" s="2336" t="s">
        <v>39</v>
      </c>
      <c r="DG18" s="2337"/>
      <c r="DH18" s="2325">
        <f>IF('1-Eng Inputs'!$C$3="EcoFoot 5D",'Land Calcs 5deg (lift)'!J15,IF('1-Eng Inputs'!$C$37="Landscape",'Land Calcs 10deg (lift)'!H14,'Port Calcs (lift)'!H14))</f>
        <v>-270.44316644287761</v>
      </c>
      <c r="DI18" s="2277"/>
      <c r="DJ18" s="2341">
        <f>IF('1-Eng Inputs'!$C$3="EcoFoot 5D",'Land Calcs 5deg (lift)'!O15,IF('1-Eng Inputs'!$C$37="Landscape",'Land Calcs 10deg (lift)'!J14,'Port Calcs (lift)'!J14))</f>
        <v>-196.68593923118371</v>
      </c>
      <c r="DK18" s="2341"/>
      <c r="DL18" s="2277">
        <f>IF('1-Eng Inputs'!$C$3="EcoFoot 5D",'Land Calcs 5deg (lift)'!Q15,IF('1-Eng Inputs'!$C$37="Landscape",'Land Calcs 10deg (lift)'!K14,'Port Calcs (lift)'!K14))</f>
        <v>-163.90494935931977</v>
      </c>
      <c r="DM18" s="2278"/>
      <c r="DN18" s="2277"/>
      <c r="DO18" s="2277"/>
      <c r="DP18" s="2278"/>
      <c r="DR18" s="863"/>
      <c r="GB18" s="902"/>
      <c r="GC18" s="2197" t="str">
        <f>'Land Calcs 5deg (lift)'!$A$12</f>
        <v>BWuz=ballast weight required to resist wind uplift= -DLFUz/0.6</v>
      </c>
      <c r="GD18" s="2197"/>
      <c r="GE18" s="2197"/>
      <c r="GF18" s="2197"/>
      <c r="GG18" s="2197"/>
      <c r="GH18" s="2197"/>
      <c r="GI18" s="2197"/>
      <c r="GJ18" s="2197"/>
      <c r="GK18" s="2197"/>
      <c r="GL18" s="2197"/>
      <c r="GM18" s="2197"/>
      <c r="GN18" s="2197"/>
      <c r="GO18" s="2197"/>
      <c r="GP18" s="2197"/>
      <c r="GQ18" s="2197"/>
      <c r="GR18" s="2197"/>
      <c r="GS18" s="2197"/>
      <c r="GT18" s="2197"/>
      <c r="GU18" s="2197"/>
      <c r="GV18" s="2197"/>
      <c r="GW18" s="2197"/>
      <c r="GX18" s="2195">
        <f>$DH$12</f>
        <v>207.42316644287763</v>
      </c>
      <c r="GY18" s="2195"/>
      <c r="GZ18" s="2196"/>
      <c r="HA18" s="903" t="s">
        <v>35</v>
      </c>
      <c r="HB18" s="902"/>
      <c r="HC18" s="902"/>
      <c r="HD18" s="902"/>
      <c r="HE18" s="902"/>
      <c r="HF18" s="753"/>
    </row>
    <row r="19" spans="1:214" ht="13.5" customHeight="1">
      <c r="A19" s="395"/>
      <c r="D19" s="397"/>
      <c r="AE19" s="2307"/>
      <c r="AF19" s="2307"/>
      <c r="AG19" s="2307"/>
      <c r="AH19" s="2307"/>
      <c r="AI19" s="2307"/>
      <c r="AJ19" s="2307"/>
      <c r="AK19" s="2307"/>
      <c r="AL19" s="2307"/>
      <c r="AM19" s="2307"/>
      <c r="AN19" s="2307"/>
      <c r="AO19" s="2307"/>
      <c r="AP19" s="2307"/>
      <c r="AQ19" s="2307"/>
      <c r="AR19" s="2307"/>
      <c r="AS19" s="2307"/>
      <c r="AT19" s="2307"/>
      <c r="AU19" s="2307"/>
      <c r="AV19" s="2307"/>
      <c r="AW19" s="2307"/>
      <c r="AX19" s="2307"/>
      <c r="AY19" s="2307"/>
      <c r="AZ19" s="2307"/>
      <c r="BA19" s="2307"/>
      <c r="BB19" s="2307"/>
      <c r="BC19" s="2307"/>
      <c r="BD19" s="2307"/>
      <c r="BE19" s="2307"/>
      <c r="BF19" s="2307"/>
      <c r="BG19" s="2307"/>
      <c r="BH19" s="2307"/>
      <c r="BN19" s="2301" t="s">
        <v>19407</v>
      </c>
      <c r="BO19" s="2302"/>
      <c r="BP19" s="2302"/>
      <c r="BQ19" s="2302"/>
      <c r="BR19" s="2302"/>
      <c r="BS19" s="2302"/>
      <c r="BT19" s="2302"/>
      <c r="BU19" s="2302"/>
      <c r="BV19" s="2302"/>
      <c r="BW19" s="2302"/>
      <c r="BX19" s="2302"/>
      <c r="BY19" s="2302"/>
      <c r="BZ19" s="2302"/>
      <c r="CA19" s="2302"/>
      <c r="CB19" s="2302"/>
      <c r="CC19" s="2303"/>
      <c r="CD19" s="2317">
        <f>factors!B29</f>
        <v>0.9018853194026647</v>
      </c>
      <c r="CE19" s="2318"/>
      <c r="CF19" s="404"/>
      <c r="CO19" s="2227"/>
      <c r="CP19" s="1195" t="str">
        <f>"DLFUz=Uplift design load using ASD combo #7 = dLF1*0.6 + WLFUz*"&amp;IF('1-Eng Inputs'!$C$35=2010,"0.6","1.0")</f>
        <v>DLFUz=Uplift design load using ASD combo #7 = dLF1*0.6 + WLFUz*0.6</v>
      </c>
      <c r="CQ19" s="1168"/>
      <c r="CR19" s="1168"/>
      <c r="CS19" s="1168"/>
      <c r="CT19" s="1168"/>
      <c r="CU19" s="1168"/>
      <c r="CV19" s="1168"/>
      <c r="CW19" s="1168"/>
      <c r="CX19" s="1168"/>
      <c r="CY19" s="1168"/>
      <c r="CZ19" s="1168"/>
      <c r="DA19" s="1168"/>
      <c r="DB19" s="1168"/>
      <c r="DC19" s="1168"/>
      <c r="DD19" s="1168"/>
      <c r="DE19" s="1169"/>
      <c r="DF19" s="2336" t="s">
        <v>39</v>
      </c>
      <c r="DG19" s="2337"/>
      <c r="DH19" s="2325">
        <f>IF('1-Eng Inputs'!$C$3="EcoFoot 5D",'Land Calcs 5deg (lift)'!J16,IF('1-Eng Inputs'!$C$37="Landscape",'Land Calcs 10deg (lift)'!H15,'Port Calcs (lift)'!H15))</f>
        <v>-124.45389986572657</v>
      </c>
      <c r="DI19" s="2277"/>
      <c r="DJ19" s="2341">
        <f>IF('1-Eng Inputs'!$C$3="EcoFoot 5D",'Land Calcs 5deg (lift)'!O16,IF('1-Eng Inputs'!$C$37="Landscape",'Land Calcs 10deg (lift)'!J15,'Port Calcs (lift)'!J15))</f>
        <v>-80.199563538710223</v>
      </c>
      <c r="DK19" s="2341"/>
      <c r="DL19" s="2277">
        <f>IF('1-Eng Inputs'!$C$3="EcoFoot 5D",'Land Calcs 5deg (lift)'!Q16,IF('1-Eng Inputs'!$C$37="Landscape",'Land Calcs 10deg (lift)'!K15,'Port Calcs (lift)'!K15))</f>
        <v>-60.530969615591857</v>
      </c>
      <c r="DM19" s="2278"/>
      <c r="DN19" s="2277"/>
      <c r="DO19" s="2277"/>
      <c r="DP19" s="2278"/>
      <c r="EX19" s="2234" t="s">
        <v>20009</v>
      </c>
      <c r="EY19" s="2234"/>
      <c r="EZ19" s="2234"/>
      <c r="FA19" s="2234"/>
      <c r="FB19" s="2234"/>
      <c r="FC19" s="2234"/>
      <c r="FD19" s="2234"/>
      <c r="FE19" s="2234"/>
      <c r="FF19" s="2234"/>
      <c r="FG19" s="2234"/>
      <c r="FH19" s="2234"/>
      <c r="FI19" s="2234"/>
      <c r="FJ19" s="2234"/>
      <c r="FK19" s="2234"/>
      <c r="FL19" s="2234"/>
      <c r="FM19" s="2234"/>
      <c r="FN19" s="2234"/>
      <c r="FO19" s="2234"/>
      <c r="FP19" s="2234"/>
      <c r="FQ19" s="2234"/>
      <c r="FR19" s="2234"/>
      <c r="FS19" s="2234"/>
      <c r="FT19" s="2234"/>
      <c r="FU19" s="2234"/>
      <c r="FV19" s="2234"/>
      <c r="FW19" s="2234"/>
      <c r="FX19" s="2234"/>
      <c r="FY19" s="2234"/>
      <c r="FZ19" s="2234"/>
      <c r="GA19" s="2234"/>
      <c r="GB19" s="902"/>
      <c r="GC19" s="902"/>
      <c r="GD19" s="902"/>
      <c r="GE19" s="902"/>
      <c r="GF19" s="902"/>
      <c r="GG19" s="902"/>
      <c r="GH19" s="902"/>
      <c r="GI19" s="902"/>
      <c r="GJ19" s="902"/>
      <c r="GK19" s="902"/>
      <c r="GL19" s="902"/>
      <c r="GM19" s="902"/>
      <c r="GN19" s="902"/>
      <c r="GO19" s="902"/>
      <c r="GP19" s="902"/>
      <c r="GQ19" s="902"/>
      <c r="GR19" s="902"/>
      <c r="GS19" s="902"/>
      <c r="GT19" s="902"/>
      <c r="GU19" s="902"/>
      <c r="GV19" s="902"/>
      <c r="GW19" s="902"/>
      <c r="GX19" s="902"/>
      <c r="GY19" s="902"/>
      <c r="GZ19" s="902"/>
      <c r="HA19" s="902"/>
      <c r="HB19" s="902"/>
      <c r="HC19" s="902"/>
      <c r="HD19" s="902"/>
      <c r="HE19" s="902"/>
      <c r="HF19" s="753"/>
    </row>
    <row r="20" spans="1:214" ht="13.5" customHeight="1">
      <c r="A20" s="395"/>
      <c r="AE20" s="2307"/>
      <c r="AF20" s="2307"/>
      <c r="AG20" s="2307"/>
      <c r="AH20" s="2307"/>
      <c r="AI20" s="2307"/>
      <c r="AJ20" s="2307"/>
      <c r="AK20" s="2307"/>
      <c r="AL20" s="2307"/>
      <c r="AM20" s="2307"/>
      <c r="AN20" s="2307"/>
      <c r="AO20" s="2307"/>
      <c r="AP20" s="2307"/>
      <c r="AQ20" s="2307"/>
      <c r="AR20" s="2307"/>
      <c r="AS20" s="2307"/>
      <c r="AT20" s="2307"/>
      <c r="AU20" s="2307"/>
      <c r="AV20" s="2307"/>
      <c r="AW20" s="2307"/>
      <c r="AX20" s="2307"/>
      <c r="AY20" s="2307"/>
      <c r="AZ20" s="2307"/>
      <c r="BA20" s="2307"/>
      <c r="BB20" s="2307"/>
      <c r="BC20" s="2307"/>
      <c r="BD20" s="2307"/>
      <c r="BE20" s="2307"/>
      <c r="BF20" s="2307"/>
      <c r="BG20" s="2307"/>
      <c r="BH20" s="2307"/>
      <c r="BN20" s="2301" t="s">
        <v>19408</v>
      </c>
      <c r="BO20" s="2302"/>
      <c r="BP20" s="2302"/>
      <c r="BQ20" s="2302"/>
      <c r="BR20" s="2302"/>
      <c r="BS20" s="2302"/>
      <c r="BT20" s="2302"/>
      <c r="BU20" s="2302"/>
      <c r="BV20" s="2302"/>
      <c r="BW20" s="2302"/>
      <c r="BX20" s="2302"/>
      <c r="BY20" s="2302"/>
      <c r="BZ20" s="2302"/>
      <c r="CA20" s="2302"/>
      <c r="CB20" s="2302"/>
      <c r="CC20" s="2303"/>
      <c r="CD20" s="2301">
        <f>factors!B30</f>
        <v>1</v>
      </c>
      <c r="CE20" s="2302"/>
      <c r="CF20" s="404"/>
      <c r="CO20" s="2228"/>
      <c r="CP20" s="1196" t="str">
        <f>"BWuz=ballast weight required to resist wind uplift= -DLFUz/0.6"</f>
        <v>BWuz=ballast weight required to resist wind uplift= -DLFUz/0.6</v>
      </c>
      <c r="CQ20" s="1170"/>
      <c r="CR20" s="1170"/>
      <c r="CS20" s="1170"/>
      <c r="CT20" s="1170"/>
      <c r="CU20" s="1170"/>
      <c r="CV20" s="1170"/>
      <c r="CW20" s="1170"/>
      <c r="CX20" s="1170"/>
      <c r="CY20" s="1170"/>
      <c r="CZ20" s="1170"/>
      <c r="DA20" s="1170"/>
      <c r="DB20" s="1170"/>
      <c r="DC20" s="1170"/>
      <c r="DD20" s="1170"/>
      <c r="DE20" s="1171"/>
      <c r="DF20" s="2333" t="s">
        <v>39</v>
      </c>
      <c r="DG20" s="2334"/>
      <c r="DH20" s="2297">
        <f>IF('1-Eng Inputs'!$C$3="EcoFoot 5D",'Land Calcs 5deg (lift)'!J17,IF('1-Eng Inputs'!$C$37="Landscape",'Land Calcs 10deg (lift)'!H16,'Port Calcs (lift)'!H16))</f>
        <v>207.42316644287763</v>
      </c>
      <c r="DI20" s="2229"/>
      <c r="DJ20" s="2342">
        <f>IF('1-Eng Inputs'!$C$3="EcoFoot 5D",'Land Calcs 5deg (lift)'!O17,IF('1-Eng Inputs'!$C$37="Landscape",'Land Calcs 10deg (lift)'!J16,'Port Calcs (lift)'!J16))</f>
        <v>133.6659392311837</v>
      </c>
      <c r="DK20" s="2342"/>
      <c r="DL20" s="2229">
        <f>IF('1-Eng Inputs'!$C$3="EcoFoot 5D",'Land Calcs 5deg (lift)'!Q17,IF('1-Eng Inputs'!$C$37="Landscape",'Land Calcs 10deg (lift)'!K16,'Port Calcs (lift)'!K16))</f>
        <v>100.88494935931976</v>
      </c>
      <c r="DM20" s="2230"/>
      <c r="DN20" s="2229"/>
      <c r="DO20" s="2229"/>
      <c r="DP20" s="2230"/>
      <c r="DS20" s="2269" t="s">
        <v>20001</v>
      </c>
      <c r="DT20" s="2269"/>
      <c r="DU20" s="2269"/>
      <c r="DV20" s="2269"/>
      <c r="DW20" s="2269"/>
      <c r="DX20" s="2269"/>
      <c r="DY20" s="2269"/>
      <c r="DZ20" s="2269"/>
      <c r="EA20" s="2269"/>
      <c r="EB20" s="2269"/>
      <c r="EC20" s="2269"/>
      <c r="ED20" s="2269"/>
      <c r="EE20" s="2269"/>
      <c r="EF20" s="2269"/>
      <c r="EG20" s="2269"/>
      <c r="EH20" s="2269"/>
      <c r="EI20" s="2269"/>
      <c r="EJ20" s="2269"/>
      <c r="EK20" s="2269"/>
      <c r="EL20" s="2269"/>
      <c r="EM20" s="2269"/>
      <c r="EN20" s="2269"/>
      <c r="EO20" s="2269"/>
      <c r="EP20" s="2269"/>
      <c r="EQ20" s="2269"/>
      <c r="ER20" s="2269"/>
      <c r="ES20" s="2269"/>
      <c r="ET20" s="2269"/>
      <c r="EU20" s="2269"/>
      <c r="EV20" s="2269"/>
      <c r="EW20" s="2269"/>
      <c r="EX20" s="2234"/>
      <c r="EY20" s="2234"/>
      <c r="EZ20" s="2234"/>
      <c r="FA20" s="2234"/>
      <c r="FB20" s="2234"/>
      <c r="FC20" s="2234"/>
      <c r="FD20" s="2234"/>
      <c r="FE20" s="2234"/>
      <c r="FF20" s="2234"/>
      <c r="FG20" s="2234"/>
      <c r="FH20" s="2234"/>
      <c r="FI20" s="2234"/>
      <c r="FJ20" s="2234"/>
      <c r="FK20" s="2234"/>
      <c r="FL20" s="2234"/>
      <c r="FM20" s="2234"/>
      <c r="FN20" s="2234"/>
      <c r="FO20" s="2234"/>
      <c r="FP20" s="2234"/>
      <c r="FQ20" s="2234"/>
      <c r="FR20" s="2234"/>
      <c r="FS20" s="2234"/>
      <c r="FT20" s="2234"/>
      <c r="FU20" s="2234"/>
      <c r="FV20" s="2234"/>
      <c r="FW20" s="2234"/>
      <c r="FX20" s="2234"/>
      <c r="FY20" s="2234"/>
      <c r="FZ20" s="2234"/>
      <c r="GA20" s="2234"/>
      <c r="GB20" s="902"/>
      <c r="HB20" s="902"/>
      <c r="HC20" s="902"/>
      <c r="HD20" s="902"/>
      <c r="HE20" s="902"/>
    </row>
    <row r="21" spans="1:214" ht="13.5" customHeight="1">
      <c r="A21" s="395"/>
      <c r="AE21" s="2307"/>
      <c r="AF21" s="2307"/>
      <c r="AG21" s="2307"/>
      <c r="AH21" s="2307"/>
      <c r="AI21" s="2307"/>
      <c r="AJ21" s="2307"/>
      <c r="AK21" s="2307"/>
      <c r="AL21" s="2307"/>
      <c r="AM21" s="2307"/>
      <c r="AN21" s="2307"/>
      <c r="AO21" s="2307"/>
      <c r="AP21" s="2307"/>
      <c r="AQ21" s="2307"/>
      <c r="AR21" s="2307"/>
      <c r="AS21" s="2307"/>
      <c r="AT21" s="2307"/>
      <c r="AU21" s="2307"/>
      <c r="AV21" s="2307"/>
      <c r="AW21" s="2307"/>
      <c r="AX21" s="2307"/>
      <c r="AY21" s="2307"/>
      <c r="AZ21" s="2307"/>
      <c r="BA21" s="2307"/>
      <c r="BB21" s="2307"/>
      <c r="BC21" s="2307"/>
      <c r="BD21" s="2307"/>
      <c r="BE21" s="2307"/>
      <c r="BF21" s="2307"/>
      <c r="BG21" s="2307"/>
      <c r="BH21" s="2307"/>
      <c r="BN21" s="2301" t="s">
        <v>19409</v>
      </c>
      <c r="BO21" s="2302"/>
      <c r="BP21" s="2302"/>
      <c r="BQ21" s="2302"/>
      <c r="BR21" s="2302"/>
      <c r="BS21" s="2302"/>
      <c r="BT21" s="2302"/>
      <c r="BU21" s="2302"/>
      <c r="BV21" s="2302"/>
      <c r="BW21" s="2302"/>
      <c r="BX21" s="2302"/>
      <c r="BY21" s="2302"/>
      <c r="BZ21" s="2302"/>
      <c r="CA21" s="2302"/>
      <c r="CB21" s="2302"/>
      <c r="CC21" s="2303"/>
      <c r="CD21" s="2317">
        <f>factors!B31</f>
        <v>0.85</v>
      </c>
      <c r="CE21" s="2318"/>
      <c r="CF21" s="404"/>
      <c r="CO21" s="2226" t="s">
        <v>199</v>
      </c>
      <c r="CP21" s="1192" t="s">
        <v>206</v>
      </c>
      <c r="CQ21" s="1168"/>
      <c r="CR21" s="1168"/>
      <c r="CS21" s="1168"/>
      <c r="CT21" s="1168"/>
      <c r="CU21" s="1168"/>
      <c r="CV21" s="1168"/>
      <c r="CW21" s="1168"/>
      <c r="CX21" s="1168"/>
      <c r="CY21" s="1168"/>
      <c r="CZ21" s="1168"/>
      <c r="DA21" s="1168"/>
      <c r="DB21" s="1168"/>
      <c r="DC21" s="1168"/>
      <c r="DD21" s="1168"/>
      <c r="DE21" s="1169"/>
      <c r="DF21" s="2339" t="s">
        <v>87</v>
      </c>
      <c r="DG21" s="2340"/>
      <c r="DH21" s="2298">
        <f>IF('1-Eng Inputs'!$C$3="EcoFoot 5D",'Land Calcs 5deg (lift)'!J19,IF('1-Eng Inputs'!$C$37="Landscape",'Land Calcs 10deg (lift)'!H18,'Port Calcs (lift)'!H18))</f>
        <v>-10.000912510782932</v>
      </c>
      <c r="DI21" s="2224"/>
      <c r="DJ21" s="2224">
        <f>IF('1-Eng Inputs'!$C$3="EcoFoot 5D",'Land Calcs 5deg (lift)'!O19,IF('1-Eng Inputs'!$C$37="Landscape",'Land Calcs 10deg (lift)'!J18,'Port Calcs (lift)'!J18))</f>
        <v>-8.8469610672310548</v>
      </c>
      <c r="DK21" s="2224"/>
      <c r="DL21" s="2344">
        <f>IF('1-Eng Inputs'!$C$3="EcoFoot 5D",'Land Calcs 5deg (lift)'!Q19,IF('1-Eng Inputs'!$C$37="Landscape",'Land Calcs 10deg (lift)'!K18,'Port Calcs (lift)'!K18))</f>
        <v>-7.6930096236791785</v>
      </c>
      <c r="DM21" s="2345"/>
      <c r="DN21" s="2224">
        <f>IF('1-Eng Inputs'!$C$3="EcoFoot 5D",'Land Calcs 5deg (lift)'!X19,IF('1-Eng Inputs'!$C$37="Landscape",'Land Calcs 10deg (lift)'!L18,'Port Calcs (lift)'!L18))</f>
        <v>21.925077427485657</v>
      </c>
      <c r="DO21" s="2224"/>
      <c r="DP21" s="2225"/>
      <c r="DS21" s="758"/>
      <c r="DT21" s="864"/>
      <c r="DU21" s="884"/>
      <c r="DV21" s="884"/>
      <c r="DW21" s="884"/>
      <c r="DZ21" s="2285" t="s">
        <v>19925</v>
      </c>
      <c r="EA21" s="2286"/>
      <c r="EB21" s="2286"/>
      <c r="EC21" s="2286"/>
      <c r="ED21" s="2286"/>
      <c r="EE21" s="2286"/>
      <c r="EF21" s="2286"/>
      <c r="EG21" s="2286"/>
      <c r="EH21" s="2286"/>
      <c r="EI21" s="2286"/>
      <c r="EJ21" s="2286"/>
      <c r="EK21" s="2286"/>
      <c r="EL21" s="2263">
        <f>IF('1-Eng Inputs'!$C$3="EcoFoot 5D",'Land Calcs 5deg (sliding)'!D4,IF('1-Eng Inputs'!$C$37="Landscape",'Land Calcs 10deg (sliding)'!D4,'Port Calcs (sliding)'!D4))</f>
        <v>16</v>
      </c>
      <c r="EM21" s="2264"/>
      <c r="EN21" s="2264"/>
      <c r="EO21" s="2265"/>
      <c r="EP21" s="885"/>
      <c r="EW21" s="758"/>
      <c r="EX21" s="2234"/>
      <c r="EY21" s="2234"/>
      <c r="EZ21" s="2234"/>
      <c r="FA21" s="2234"/>
      <c r="FB21" s="2234"/>
      <c r="FC21" s="2234"/>
      <c r="FD21" s="2234"/>
      <c r="FE21" s="2234"/>
      <c r="FF21" s="2234"/>
      <c r="FG21" s="2234"/>
      <c r="FH21" s="2234"/>
      <c r="FI21" s="2234"/>
      <c r="FJ21" s="2234"/>
      <c r="FK21" s="2234"/>
      <c r="FL21" s="2234"/>
      <c r="FM21" s="2234"/>
      <c r="FN21" s="2234"/>
      <c r="FO21" s="2234"/>
      <c r="FP21" s="2234"/>
      <c r="FQ21" s="2234"/>
      <c r="FR21" s="2234"/>
      <c r="FS21" s="2234"/>
      <c r="FT21" s="2234"/>
      <c r="FU21" s="2234"/>
      <c r="FV21" s="2234"/>
      <c r="FW21" s="2234"/>
      <c r="FX21" s="2234"/>
      <c r="FY21" s="2234"/>
      <c r="FZ21" s="2234"/>
      <c r="GA21" s="2234"/>
      <c r="GC21" s="2208" t="s">
        <v>20025</v>
      </c>
      <c r="GD21" s="2208"/>
      <c r="GE21" s="2208"/>
      <c r="GF21" s="2208"/>
      <c r="GG21" s="2208"/>
      <c r="GH21" s="2208"/>
      <c r="GI21" s="2208"/>
      <c r="GJ21" s="2208"/>
      <c r="GK21" s="2208"/>
      <c r="GL21" s="2208"/>
      <c r="GM21" s="2208"/>
      <c r="GN21" s="2208"/>
      <c r="GO21" s="2208"/>
      <c r="GP21" s="2208"/>
      <c r="GQ21" s="2208"/>
      <c r="GR21" s="2208"/>
      <c r="GS21" s="2208"/>
      <c r="GT21" s="2208"/>
      <c r="GU21" s="2208"/>
      <c r="GV21" s="2208"/>
      <c r="GW21" s="2208"/>
      <c r="GX21" s="870"/>
      <c r="GY21" s="870"/>
      <c r="GZ21" s="870"/>
      <c r="HA21" s="870"/>
      <c r="HB21" s="870"/>
      <c r="HC21" s="870"/>
    </row>
    <row r="22" spans="1:214" ht="13.5" customHeight="1">
      <c r="D22" s="2198" t="s">
        <v>20037</v>
      </c>
      <c r="E22" s="2199"/>
      <c r="F22" s="2199"/>
      <c r="G22" s="2199"/>
      <c r="H22" s="2199"/>
      <c r="I22" s="2199"/>
      <c r="J22" s="2199"/>
      <c r="K22" s="2199"/>
      <c r="L22" s="2199"/>
      <c r="M22" s="2199"/>
      <c r="N22" s="2199"/>
      <c r="O22" s="2199"/>
      <c r="P22" s="2199"/>
      <c r="Q22" s="2199"/>
      <c r="R22" s="2199"/>
      <c r="S22" s="2199"/>
      <c r="T22" s="2199"/>
      <c r="U22" s="2199"/>
      <c r="V22" s="2199"/>
      <c r="W22" s="2199"/>
      <c r="X22" s="2200"/>
      <c r="AE22" s="2307"/>
      <c r="AF22" s="2307"/>
      <c r="AG22" s="2307"/>
      <c r="AH22" s="2307"/>
      <c r="AI22" s="2307"/>
      <c r="AJ22" s="2307"/>
      <c r="AK22" s="2307"/>
      <c r="AL22" s="2307"/>
      <c r="AM22" s="2307"/>
      <c r="AN22" s="2307"/>
      <c r="AO22" s="2307"/>
      <c r="AP22" s="2307"/>
      <c r="AQ22" s="2307"/>
      <c r="AR22" s="2307"/>
      <c r="AS22" s="2307"/>
      <c r="AT22" s="2307"/>
      <c r="AU22" s="2307"/>
      <c r="AV22" s="2307"/>
      <c r="AW22" s="2307"/>
      <c r="AX22" s="2307"/>
      <c r="AY22" s="2307"/>
      <c r="AZ22" s="2307"/>
      <c r="BA22" s="2307"/>
      <c r="BB22" s="2307"/>
      <c r="BC22" s="2307"/>
      <c r="BD22" s="2307"/>
      <c r="BE22" s="2307"/>
      <c r="BF22" s="2307"/>
      <c r="BG22" s="2307"/>
      <c r="BH22" s="2307"/>
      <c r="BN22" s="2301" t="s">
        <v>19410</v>
      </c>
      <c r="BO22" s="2302"/>
      <c r="BP22" s="2302"/>
      <c r="BQ22" s="2302"/>
      <c r="BR22" s="2302"/>
      <c r="BS22" s="2302"/>
      <c r="BT22" s="2302"/>
      <c r="BU22" s="2302"/>
      <c r="BV22" s="2302"/>
      <c r="BW22" s="2302"/>
      <c r="BX22" s="2302"/>
      <c r="BY22" s="2302"/>
      <c r="BZ22" s="2302"/>
      <c r="CA22" s="2302"/>
      <c r="CB22" s="2302"/>
      <c r="CC22" s="2303"/>
      <c r="CD22" s="2301">
        <f>factors!B38</f>
        <v>1</v>
      </c>
      <c r="CE22" s="2302"/>
      <c r="CF22" s="404"/>
      <c r="CO22" s="2227"/>
      <c r="CP22" s="1192" t="s">
        <v>103</v>
      </c>
      <c r="CQ22" s="1168"/>
      <c r="CR22" s="1168"/>
      <c r="CS22" s="1168"/>
      <c r="CT22" s="1168"/>
      <c r="CU22" s="1168"/>
      <c r="CV22" s="1168"/>
      <c r="CW22" s="1168"/>
      <c r="CX22" s="1168"/>
      <c r="CY22" s="1168"/>
      <c r="CZ22" s="1168"/>
      <c r="DA22" s="1168"/>
      <c r="DB22" s="1168"/>
      <c r="DC22" s="1168"/>
      <c r="DD22" s="1168"/>
      <c r="DE22" s="1169"/>
      <c r="DF22" s="2336" t="s">
        <v>39</v>
      </c>
      <c r="DG22" s="2337"/>
      <c r="DH22" s="2325">
        <f>IF('1-Eng Inputs'!$C$3="EcoFoot 5D",'Land Calcs 5deg (lift)'!J20,IF('1-Eng Inputs'!$C$37="Landscape",'Land Calcs 10deg (lift)'!H19,'Port Calcs (lift)'!H19))</f>
        <v>-213.07643416711568</v>
      </c>
      <c r="DI22" s="2277"/>
      <c r="DJ22" s="2277">
        <f>IF('1-Eng Inputs'!$C$3="EcoFoot 5D",'Land Calcs 5deg (lift)'!O20,IF('1-Eng Inputs'!$C$37="Landscape",'Land Calcs 10deg (lift)'!J19,'Port Calcs (lift)'!J19))</f>
        <v>-188.49069176321771</v>
      </c>
      <c r="DK22" s="2277"/>
      <c r="DL22" s="2261">
        <f>IF('1-Eng Inputs'!$C$3="EcoFoot 5D",'Land Calcs 5deg (lift)'!Q20,IF('1-Eng Inputs'!$C$37="Landscape",'Land Calcs 10deg (lift)'!K19,'Port Calcs (lift)'!K19))</f>
        <v>-163.90494935931977</v>
      </c>
      <c r="DM22" s="2262"/>
      <c r="DN22" s="2277"/>
      <c r="DO22" s="2277"/>
      <c r="DP22" s="2278"/>
      <c r="DS22" s="406"/>
      <c r="DT22" s="406"/>
      <c r="DU22" s="884"/>
      <c r="DV22" s="884"/>
      <c r="DW22" s="884"/>
      <c r="DZ22" s="2287" t="s">
        <v>19992</v>
      </c>
      <c r="EA22" s="2288"/>
      <c r="EB22" s="2288"/>
      <c r="EC22" s="2288"/>
      <c r="ED22" s="2288"/>
      <c r="EE22" s="2288"/>
      <c r="EF22" s="2288"/>
      <c r="EG22" s="2288"/>
      <c r="EH22" s="2288"/>
      <c r="EI22" s="2288"/>
      <c r="EJ22" s="2288"/>
      <c r="EK22" s="2288"/>
      <c r="EL22" s="2266">
        <f>IF('1-Eng Inputs'!$C$3="EcoFoot 5D",'Land Calcs 5deg (sliding)'!D6,IF('1-Eng Inputs'!$C$37="Landscape",'Land Calcs 10deg (sliding)'!D6,'Port Calcs (sliding)'!D6))</f>
        <v>0.6</v>
      </c>
      <c r="EM22" s="2267"/>
      <c r="EN22" s="2267"/>
      <c r="EO22" s="2268"/>
      <c r="EP22" s="885"/>
      <c r="EW22" s="406"/>
      <c r="EX22" s="2234"/>
      <c r="EY22" s="2234"/>
      <c r="EZ22" s="2234"/>
      <c r="FA22" s="2234"/>
      <c r="FB22" s="2234"/>
      <c r="FC22" s="2234"/>
      <c r="FD22" s="2234"/>
      <c r="FE22" s="2234"/>
      <c r="FF22" s="2234"/>
      <c r="FG22" s="2234"/>
      <c r="FH22" s="2234"/>
      <c r="FI22" s="2234"/>
      <c r="FJ22" s="2234"/>
      <c r="FK22" s="2234"/>
      <c r="FL22" s="2234"/>
      <c r="FM22" s="2234"/>
      <c r="FN22" s="2234"/>
      <c r="FO22" s="2234"/>
      <c r="FP22" s="2234"/>
      <c r="FQ22" s="2234"/>
      <c r="FR22" s="2234"/>
      <c r="FS22" s="2234"/>
      <c r="FT22" s="2234"/>
      <c r="FU22" s="2234"/>
      <c r="FV22" s="2234"/>
      <c r="FW22" s="2234"/>
      <c r="FX22" s="2234"/>
      <c r="FY22" s="2234"/>
      <c r="FZ22" s="2234"/>
      <c r="GA22" s="2234"/>
      <c r="GC22" s="2197" t="s">
        <v>20017</v>
      </c>
      <c r="GD22" s="2197"/>
      <c r="GE22" s="2197"/>
      <c r="GF22" s="2197"/>
      <c r="GG22" s="2197"/>
      <c r="GH22" s="2197"/>
      <c r="GI22" s="2197"/>
      <c r="GJ22" s="2197"/>
      <c r="GK22" s="2197"/>
      <c r="GL22" s="2197"/>
      <c r="GM22" s="2197"/>
      <c r="GN22" s="2197"/>
      <c r="GO22" s="2197"/>
      <c r="GP22" s="2197"/>
      <c r="GQ22" s="2197"/>
      <c r="GR22" s="2197"/>
      <c r="GS22" s="2197"/>
      <c r="GT22" s="2197"/>
      <c r="GU22" s="2197"/>
      <c r="GV22" s="2197"/>
      <c r="GW22" s="2197"/>
      <c r="GX22" s="2195">
        <f>GX24/GX23</f>
        <v>-0.24</v>
      </c>
      <c r="GY22" s="2195"/>
      <c r="GZ22" s="2196"/>
      <c r="HA22" s="903"/>
      <c r="HB22" s="870"/>
      <c r="HC22" s="870"/>
    </row>
    <row r="23" spans="1:214" ht="13.5" customHeight="1">
      <c r="D23" s="2201"/>
      <c r="E23" s="2202"/>
      <c r="F23" s="2202"/>
      <c r="G23" s="2202"/>
      <c r="H23" s="2202"/>
      <c r="I23" s="2202"/>
      <c r="J23" s="2202"/>
      <c r="K23" s="2202"/>
      <c r="L23" s="2202"/>
      <c r="M23" s="2202"/>
      <c r="N23" s="2202"/>
      <c r="O23" s="2202"/>
      <c r="P23" s="2202"/>
      <c r="Q23" s="2202"/>
      <c r="R23" s="2202"/>
      <c r="S23" s="2202"/>
      <c r="T23" s="2202"/>
      <c r="U23" s="2202"/>
      <c r="V23" s="2202"/>
      <c r="W23" s="2202"/>
      <c r="X23" s="2203"/>
      <c r="AE23" s="2307" t="str">
        <f>CONCATENATE("Below, Table 1 and Table 2 list the design criteria and project details for a proposed system in ",(VLOOKUP('1-Eng Inputs'!C10,ZIPS!A3:B41874,2)),", ",(VLOOKUP('1-Eng Inputs'!C10,ZIPS!A3:C41874,3)),". These values will be used throughout the remainder of this explanation.")</f>
        <v>Below, Table 1 and Table 2 list the design criteria and project details for a proposed system in Reno, NV. These values will be used throughout the remainder of this explanation.</v>
      </c>
      <c r="AF23" s="2307"/>
      <c r="AG23" s="2307"/>
      <c r="AH23" s="2307"/>
      <c r="AI23" s="2307"/>
      <c r="AJ23" s="2307"/>
      <c r="AK23" s="2307"/>
      <c r="AL23" s="2307"/>
      <c r="AM23" s="2307"/>
      <c r="AN23" s="2307"/>
      <c r="AO23" s="2307"/>
      <c r="AP23" s="2307"/>
      <c r="AQ23" s="2307"/>
      <c r="AR23" s="2307"/>
      <c r="AS23" s="2307"/>
      <c r="AT23" s="2307"/>
      <c r="AU23" s="2307"/>
      <c r="AV23" s="2307"/>
      <c r="AW23" s="2307"/>
      <c r="AX23" s="2307"/>
      <c r="AY23" s="2307"/>
      <c r="AZ23" s="2307"/>
      <c r="BA23" s="2307"/>
      <c r="BB23" s="2307"/>
      <c r="BC23" s="2307"/>
      <c r="BD23" s="2307"/>
      <c r="BE23" s="2307"/>
      <c r="BF23" s="2307"/>
      <c r="BG23" s="2307"/>
      <c r="BH23" s="2307"/>
      <c r="BN23" s="2301" t="s">
        <v>19405</v>
      </c>
      <c r="BO23" s="2302"/>
      <c r="BP23" s="2302"/>
      <c r="BQ23" s="2302"/>
      <c r="BR23" s="2302"/>
      <c r="BS23" s="2302"/>
      <c r="BT23" s="2302"/>
      <c r="BU23" s="2302"/>
      <c r="BV23" s="2302"/>
      <c r="BW23" s="2302"/>
      <c r="BX23" s="2302"/>
      <c r="BY23" s="2302"/>
      <c r="BZ23" s="2302"/>
      <c r="CA23" s="2302"/>
      <c r="CB23" s="2302"/>
      <c r="CC23" s="2303"/>
      <c r="CD23" s="2301">
        <f>factors!B5</f>
        <v>0.6</v>
      </c>
      <c r="CE23" s="2302"/>
      <c r="CF23" s="404"/>
      <c r="CO23" s="2227"/>
      <c r="CP23" s="1192" t="str">
        <f>"DLFUz=Uplift design load using ASD combo #7 = dLF1*0.6 + WLFUz*"&amp;IF('1-Eng Inputs'!$C$35=2010,"0.6","1.0")</f>
        <v>DLFUz=Uplift design load using ASD combo #7 = dLF1*0.6 + WLFUz*0.6</v>
      </c>
      <c r="CQ23" s="1168"/>
      <c r="CR23" s="1168"/>
      <c r="CS23" s="1168"/>
      <c r="CT23" s="1168"/>
      <c r="CU23" s="1168"/>
      <c r="CV23" s="1168"/>
      <c r="CW23" s="1168"/>
      <c r="CX23" s="1168"/>
      <c r="CY23" s="1168"/>
      <c r="CZ23" s="1168"/>
      <c r="DA23" s="1168"/>
      <c r="DB23" s="1168"/>
      <c r="DC23" s="1168"/>
      <c r="DD23" s="1168"/>
      <c r="DE23" s="1169"/>
      <c r="DF23" s="2336" t="s">
        <v>39</v>
      </c>
      <c r="DG23" s="2337"/>
      <c r="DH23" s="2325">
        <f>IF('1-Eng Inputs'!$C$3="EcoFoot 5D",'Land Calcs 5deg (lift)'!J21,IF('1-Eng Inputs'!$C$37="Landscape",'Land Calcs 10deg (lift)'!H20,'Port Calcs (lift)'!H20))</f>
        <v>-90.033860500269398</v>
      </c>
      <c r="DI23" s="2277"/>
      <c r="DJ23" s="2277">
        <f>IF('1-Eng Inputs'!$C$3="EcoFoot 5D",'Land Calcs 5deg (lift)'!O21,IF('1-Eng Inputs'!$C$37="Landscape",'Land Calcs 10deg (lift)'!J20,'Port Calcs (lift)'!J20))</f>
        <v>-75.282415057930621</v>
      </c>
      <c r="DK23" s="2277"/>
      <c r="DL23" s="2261">
        <f>IF('1-Eng Inputs'!$C$3="EcoFoot 5D",'Land Calcs 5deg (lift)'!Q21,IF('1-Eng Inputs'!$C$37="Landscape",'Land Calcs 10deg (lift)'!K20,'Port Calcs (lift)'!K20))</f>
        <v>-60.530969615591857</v>
      </c>
      <c r="DM23" s="2262"/>
      <c r="DN23" s="2277"/>
      <c r="DO23" s="2277"/>
      <c r="DP23" s="2278"/>
      <c r="DS23" s="398"/>
      <c r="DU23" s="886"/>
      <c r="DV23" s="887"/>
      <c r="DW23" s="887"/>
      <c r="DZ23" s="2287" t="s">
        <v>19993</v>
      </c>
      <c r="EA23" s="2288"/>
      <c r="EB23" s="2288"/>
      <c r="EC23" s="2288"/>
      <c r="ED23" s="2288"/>
      <c r="EE23" s="2288"/>
      <c r="EF23" s="2288"/>
      <c r="EG23" s="2288"/>
      <c r="EH23" s="2288"/>
      <c r="EI23" s="2288"/>
      <c r="EJ23" s="2288"/>
      <c r="EK23" s="2288"/>
      <c r="EL23" s="2266">
        <f>IF('1-Eng Inputs'!$C$3="EcoFoot 5D",'Land Calcs 5deg (sliding)'!D7,IF('1-Eng Inputs'!$C$37="Landscape",'Land Calcs 10deg (sliding)'!D7,'Port Calcs (sliding)'!D7))</f>
        <v>0.6</v>
      </c>
      <c r="EM23" s="2267"/>
      <c r="EN23" s="2267"/>
      <c r="EO23" s="2268"/>
      <c r="EP23" s="888"/>
      <c r="EW23" s="410"/>
      <c r="EX23" s="2234"/>
      <c r="EY23" s="2234"/>
      <c r="EZ23" s="2234"/>
      <c r="FA23" s="2234"/>
      <c r="FB23" s="2234"/>
      <c r="FC23" s="2234"/>
      <c r="FD23" s="2234"/>
      <c r="FE23" s="2234"/>
      <c r="FF23" s="2234"/>
      <c r="FG23" s="2234"/>
      <c r="FH23" s="2234"/>
      <c r="FI23" s="2234"/>
      <c r="FJ23" s="2234"/>
      <c r="FK23" s="2234"/>
      <c r="FL23" s="2234"/>
      <c r="FM23" s="2234"/>
      <c r="FN23" s="2234"/>
      <c r="FO23" s="2234"/>
      <c r="FP23" s="2234"/>
      <c r="FQ23" s="2234"/>
      <c r="FR23" s="2234"/>
      <c r="FS23" s="2234"/>
      <c r="FT23" s="2234"/>
      <c r="FU23" s="2234"/>
      <c r="FV23" s="2234"/>
      <c r="FW23" s="2234"/>
      <c r="FX23" s="2234"/>
      <c r="FY23" s="2234"/>
      <c r="FZ23" s="2234"/>
      <c r="GA23" s="2234"/>
      <c r="GC23" s="2197" t="s">
        <v>20018</v>
      </c>
      <c r="GD23" s="2197"/>
      <c r="GE23" s="2197"/>
      <c r="GF23" s="2197"/>
      <c r="GG23" s="2197"/>
      <c r="GH23" s="2197"/>
      <c r="GI23" s="2197"/>
      <c r="GJ23" s="2197"/>
      <c r="GK23" s="2197"/>
      <c r="GL23" s="2197"/>
      <c r="GM23" s="2197"/>
      <c r="GN23" s="2197"/>
      <c r="GO23" s="2197"/>
      <c r="GP23" s="2197"/>
      <c r="GQ23" s="2197"/>
      <c r="GR23" s="2197"/>
      <c r="GS23" s="2197"/>
      <c r="GT23" s="2197"/>
      <c r="GU23" s="2197"/>
      <c r="GV23" s="2197"/>
      <c r="GW23" s="2197"/>
      <c r="GX23" s="2206">
        <f>factors!$B$39</f>
        <v>38.465048118395892</v>
      </c>
      <c r="GY23" s="2206"/>
      <c r="GZ23" s="2207"/>
      <c r="HA23" s="903"/>
      <c r="HB23" s="870"/>
      <c r="HC23" s="870"/>
    </row>
    <row r="24" spans="1:214" ht="13.5" customHeight="1" thickBot="1">
      <c r="D24" s="905" t="s">
        <v>20038</v>
      </c>
      <c r="E24" s="906"/>
      <c r="F24" s="906"/>
      <c r="G24" s="906"/>
      <c r="H24" s="906"/>
      <c r="I24" s="906"/>
      <c r="J24" s="906"/>
      <c r="K24" s="906"/>
      <c r="L24" s="906"/>
      <c r="M24" s="906"/>
      <c r="N24" s="906"/>
      <c r="O24" s="906"/>
      <c r="P24" s="906"/>
      <c r="Q24" s="906"/>
      <c r="R24" s="906"/>
      <c r="S24" s="906"/>
      <c r="T24" s="906"/>
      <c r="U24" s="906"/>
      <c r="V24" s="906"/>
      <c r="W24" s="906" t="s">
        <v>19964</v>
      </c>
      <c r="X24" s="907"/>
      <c r="AE24" s="2307"/>
      <c r="AF24" s="2307"/>
      <c r="AG24" s="2307"/>
      <c r="AH24" s="2307"/>
      <c r="AI24" s="2307"/>
      <c r="AJ24" s="2307"/>
      <c r="AK24" s="2307"/>
      <c r="AL24" s="2307"/>
      <c r="AM24" s="2307"/>
      <c r="AN24" s="2307"/>
      <c r="AO24" s="2307"/>
      <c r="AP24" s="2307"/>
      <c r="AQ24" s="2307"/>
      <c r="AR24" s="2307"/>
      <c r="AS24" s="2307"/>
      <c r="AT24" s="2307"/>
      <c r="AU24" s="2307"/>
      <c r="AV24" s="2307"/>
      <c r="AW24" s="2307"/>
      <c r="AX24" s="2307"/>
      <c r="AY24" s="2307"/>
      <c r="AZ24" s="2307"/>
      <c r="BA24" s="2307"/>
      <c r="BB24" s="2307"/>
      <c r="BC24" s="2307"/>
      <c r="BD24" s="2307"/>
      <c r="BE24" s="2307"/>
      <c r="BF24" s="2307"/>
      <c r="BG24" s="2307"/>
      <c r="BH24" s="2307"/>
      <c r="BN24" s="2314" t="s">
        <v>20143</v>
      </c>
      <c r="BO24" s="2315"/>
      <c r="BP24" s="2315"/>
      <c r="BQ24" s="2315"/>
      <c r="BR24" s="2315"/>
      <c r="BS24" s="2315"/>
      <c r="BT24" s="2315"/>
      <c r="BU24" s="2315"/>
      <c r="BV24" s="2315"/>
      <c r="BW24" s="2315"/>
      <c r="BX24" s="2315"/>
      <c r="BY24" s="2315"/>
      <c r="BZ24" s="2315"/>
      <c r="CA24" s="2315"/>
      <c r="CB24" s="2315"/>
      <c r="CC24" s="2316"/>
      <c r="CD24" s="2314">
        <f>factors!B6</f>
        <v>0.6</v>
      </c>
      <c r="CE24" s="2315"/>
      <c r="CF24" s="761"/>
      <c r="CO24" s="2228"/>
      <c r="CP24" s="1193" t="str">
        <f>"BWuz=ballast weight required to resist wind uplift= -DLFUz/0.6"</f>
        <v>BWuz=ballast weight required to resist wind uplift= -DLFUz/0.6</v>
      </c>
      <c r="CQ24" s="1197"/>
      <c r="CR24" s="1197"/>
      <c r="CS24" s="1197"/>
      <c r="CT24" s="1197"/>
      <c r="CU24" s="1197"/>
      <c r="CV24" s="1197"/>
      <c r="CW24" s="1197"/>
      <c r="CX24" s="1197"/>
      <c r="CY24" s="1197"/>
      <c r="CZ24" s="1197"/>
      <c r="DA24" s="1197"/>
      <c r="DB24" s="1197"/>
      <c r="DC24" s="1197"/>
      <c r="DD24" s="1197"/>
      <c r="DE24" s="1198"/>
      <c r="DF24" s="2333" t="s">
        <v>39</v>
      </c>
      <c r="DG24" s="2334"/>
      <c r="DH24" s="2297">
        <f>IF('1-Eng Inputs'!$C$3="EcoFoot 5D",'Land Calcs 5deg (lift)'!J22,IF('1-Eng Inputs'!$C$37="Landscape",'Land Calcs 10deg (lift)'!H21,'Port Calcs (lift)'!H21))</f>
        <v>150.05643416711567</v>
      </c>
      <c r="DI24" s="2229"/>
      <c r="DJ24" s="2229">
        <f>IF('1-Eng Inputs'!$C$3="EcoFoot 5D",'Land Calcs 5deg (lift)'!O22,IF('1-Eng Inputs'!$C$37="Landscape",'Land Calcs 10deg (lift)'!J21,'Port Calcs (lift)'!J21))</f>
        <v>125.4706917632177</v>
      </c>
      <c r="DK24" s="2229"/>
      <c r="DL24" s="2299">
        <f>IF('1-Eng Inputs'!$C$3="EcoFoot 5D",'Land Calcs 5deg (lift)'!Q22,IF('1-Eng Inputs'!$C$37="Landscape",'Land Calcs 10deg (lift)'!K21,'Port Calcs (lift)'!K21))</f>
        <v>100.88494935931976</v>
      </c>
      <c r="DM24" s="2300"/>
      <c r="DN24" s="2229"/>
      <c r="DO24" s="2229"/>
      <c r="DP24" s="2230"/>
      <c r="DS24" s="398"/>
      <c r="DU24" s="886"/>
      <c r="DV24" s="887"/>
      <c r="DW24" s="887"/>
      <c r="DZ24" s="2287" t="s">
        <v>19991</v>
      </c>
      <c r="EA24" s="2288"/>
      <c r="EB24" s="2288"/>
      <c r="EC24" s="2288"/>
      <c r="ED24" s="2288"/>
      <c r="EE24" s="2288"/>
      <c r="EF24" s="2288"/>
      <c r="EG24" s="2288"/>
      <c r="EH24" s="2288"/>
      <c r="EI24" s="2288"/>
      <c r="EJ24" s="2288"/>
      <c r="EK24" s="2288"/>
      <c r="EL24" s="2247">
        <f>IF('1-Eng Inputs'!$C$3="EcoFoot 5D",'Land Calcs 5deg (sliding)'!D8,IF('1-Eng Inputs'!$C$37="Landscape",'Land Calcs 10deg (sliding)'!D8,'Port Calcs (sliding)'!D8))</f>
        <v>38.465048118395892</v>
      </c>
      <c r="EM24" s="2248"/>
      <c r="EN24" s="2248"/>
      <c r="EO24" s="2249"/>
      <c r="EP24" s="888"/>
      <c r="EW24" s="410"/>
      <c r="EX24" s="2234"/>
      <c r="EY24" s="2234"/>
      <c r="EZ24" s="2234"/>
      <c r="FA24" s="2234"/>
      <c r="FB24" s="2234"/>
      <c r="FC24" s="2234"/>
      <c r="FD24" s="2234"/>
      <c r="FE24" s="2234"/>
      <c r="FF24" s="2234"/>
      <c r="FG24" s="2234"/>
      <c r="FH24" s="2234"/>
      <c r="FI24" s="2234"/>
      <c r="FJ24" s="2234"/>
      <c r="FK24" s="2234"/>
      <c r="FL24" s="2234"/>
      <c r="FM24" s="2234"/>
      <c r="FN24" s="2234"/>
      <c r="FO24" s="2234"/>
      <c r="FP24" s="2234"/>
      <c r="FQ24" s="2234"/>
      <c r="FR24" s="2234"/>
      <c r="FS24" s="2234"/>
      <c r="FT24" s="2234"/>
      <c r="FU24" s="2234"/>
      <c r="FV24" s="2234"/>
      <c r="FW24" s="2234"/>
      <c r="FX24" s="2234"/>
      <c r="FY24" s="2234"/>
      <c r="FZ24" s="2234"/>
      <c r="GA24" s="2234"/>
      <c r="GC24" s="2197" t="s">
        <v>20020</v>
      </c>
      <c r="GD24" s="2197"/>
      <c r="GE24" s="2197"/>
      <c r="GF24" s="2197"/>
      <c r="GG24" s="2197"/>
      <c r="GH24" s="2197"/>
      <c r="GI24" s="2197"/>
      <c r="GJ24" s="2197"/>
      <c r="GK24" s="2197"/>
      <c r="GL24" s="2197"/>
      <c r="GM24" s="2197"/>
      <c r="GN24" s="2197"/>
      <c r="GO24" s="2197"/>
      <c r="GP24" s="2197"/>
      <c r="GQ24" s="2197"/>
      <c r="GR24" s="2197"/>
      <c r="GS24" s="2197"/>
      <c r="GT24" s="2197"/>
      <c r="GU24" s="2197"/>
      <c r="GV24" s="2197"/>
      <c r="GW24" s="2197"/>
      <c r="GX24" s="2195">
        <f>$DJ$17</f>
        <v>-9.2316115484150139</v>
      </c>
      <c r="GY24" s="2195"/>
      <c r="GZ24" s="2196"/>
      <c r="HA24" s="904" t="s">
        <v>87</v>
      </c>
      <c r="HB24" s="870"/>
      <c r="HC24" s="870"/>
    </row>
    <row r="25" spans="1:214" ht="13.5" customHeight="1">
      <c r="D25" s="908" t="s">
        <v>20039</v>
      </c>
      <c r="E25" s="716"/>
      <c r="F25" s="716"/>
      <c r="G25" s="716"/>
      <c r="H25" s="716"/>
      <c r="I25" s="716"/>
      <c r="J25" s="716"/>
      <c r="K25" s="716"/>
      <c r="L25" s="716"/>
      <c r="M25" s="716"/>
      <c r="N25" s="716"/>
      <c r="O25" s="716"/>
      <c r="P25" s="716"/>
      <c r="Q25" s="716"/>
      <c r="R25" s="716"/>
      <c r="S25" s="716"/>
      <c r="T25" s="716"/>
      <c r="U25" s="716"/>
      <c r="V25" s="716"/>
      <c r="W25" s="716" t="s">
        <v>19970</v>
      </c>
      <c r="X25" s="404"/>
      <c r="AE25" s="2307"/>
      <c r="AF25" s="2307"/>
      <c r="AG25" s="2307"/>
      <c r="AH25" s="2307"/>
      <c r="AI25" s="2307"/>
      <c r="AJ25" s="2307"/>
      <c r="AK25" s="2307"/>
      <c r="AL25" s="2307"/>
      <c r="AM25" s="2307"/>
      <c r="AN25" s="2307"/>
      <c r="AO25" s="2307"/>
      <c r="AP25" s="2307"/>
      <c r="AQ25" s="2307"/>
      <c r="AR25" s="2307"/>
      <c r="AS25" s="2307"/>
      <c r="AT25" s="2307"/>
      <c r="AU25" s="2307"/>
      <c r="AV25" s="2307"/>
      <c r="AW25" s="2307"/>
      <c r="AX25" s="2307"/>
      <c r="AY25" s="2307"/>
      <c r="AZ25" s="2307"/>
      <c r="BA25" s="2307"/>
      <c r="BB25" s="2307"/>
      <c r="BC25" s="2307"/>
      <c r="BD25" s="2307"/>
      <c r="BE25" s="2307"/>
      <c r="BF25" s="2307"/>
      <c r="BG25" s="2307"/>
      <c r="BH25" s="2307"/>
      <c r="BN25" s="2327" t="s">
        <v>19461</v>
      </c>
      <c r="BO25" s="2328"/>
      <c r="BP25" s="2328"/>
      <c r="BQ25" s="2328"/>
      <c r="BR25" s="2328"/>
      <c r="BS25" s="2328"/>
      <c r="BT25" s="2328"/>
      <c r="BU25" s="2328"/>
      <c r="BV25" s="2328"/>
      <c r="BW25" s="2328"/>
      <c r="BX25" s="2328"/>
      <c r="BY25" s="2328"/>
      <c r="BZ25" s="2328"/>
      <c r="CA25" s="2328"/>
      <c r="CB25" s="2328"/>
      <c r="CC25" s="2329"/>
      <c r="CD25" s="2311">
        <f>factors!B39</f>
        <v>38.465048118395892</v>
      </c>
      <c r="CE25" s="2312"/>
      <c r="CF25" s="405"/>
      <c r="CO25" s="2226" t="s">
        <v>19414</v>
      </c>
      <c r="CP25" s="1194" t="s">
        <v>206</v>
      </c>
      <c r="CQ25" s="1166"/>
      <c r="CR25" s="1166"/>
      <c r="CS25" s="1166"/>
      <c r="CT25" s="1166"/>
      <c r="CU25" s="1166"/>
      <c r="CV25" s="1166"/>
      <c r="CW25" s="1166"/>
      <c r="CX25" s="1166"/>
      <c r="CY25" s="1166"/>
      <c r="CZ25" s="1166"/>
      <c r="DA25" s="1166"/>
      <c r="DB25" s="1166"/>
      <c r="DC25" s="1166"/>
      <c r="DD25" s="1166"/>
      <c r="DE25" s="1167"/>
      <c r="DF25" s="2339" t="s">
        <v>87</v>
      </c>
      <c r="DG25" s="2340"/>
      <c r="DH25" s="2298">
        <f>IF('1-Eng Inputs'!$C$3="EcoFoot 5D",'Land Calcs 5deg (lift)'!J24,IF('1-Eng Inputs'!$C$37="Landscape",'Land Calcs 10deg (lift)'!H23,'Port Calcs (lift)'!H23))</f>
        <v>-12.693465879070645</v>
      </c>
      <c r="DI25" s="2224"/>
      <c r="DJ25" s="2224">
        <f>IF('1-Eng Inputs'!$C$3="EcoFoot 5D",'Land Calcs 5deg (lift)'!O24,IF('1-Eng Inputs'!$C$37="Landscape",'Land Calcs 10deg (lift)'!J23,'Port Calcs (lift)'!J23))</f>
        <v>-9.2316115484150139</v>
      </c>
      <c r="DK25" s="2224"/>
      <c r="DL25" s="2224">
        <f>IF('1-Eng Inputs'!$C$3="EcoFoot 5D",'Land Calcs 5deg (lift)'!Q24,IF('1-Eng Inputs'!$C$37="Landscape",'Land Calcs 10deg (lift)'!K23,'Port Calcs (lift)'!K23))</f>
        <v>-7.6930096236791785</v>
      </c>
      <c r="DM25" s="2225"/>
      <c r="DN25" s="2224">
        <f>IF('1-Eng Inputs'!$C$3="EcoFoot 5D",'Land Calcs 5deg (lift)'!X24,IF('1-Eng Inputs'!$C$37="Landscape",'Land Calcs 10deg (lift)'!L23,'Port Calcs (lift)'!L23))</f>
        <v>23.848329833405451</v>
      </c>
      <c r="DO25" s="2224"/>
      <c r="DP25" s="2225"/>
      <c r="DS25" s="398"/>
      <c r="DU25" s="886"/>
      <c r="DV25" s="887"/>
      <c r="DW25" s="887"/>
      <c r="DZ25" s="2287" t="s">
        <v>19994</v>
      </c>
      <c r="EA25" s="2288"/>
      <c r="EB25" s="2288"/>
      <c r="EC25" s="2288"/>
      <c r="ED25" s="2288"/>
      <c r="EE25" s="2288"/>
      <c r="EF25" s="2288"/>
      <c r="EG25" s="2288"/>
      <c r="EH25" s="2288"/>
      <c r="EI25" s="2288"/>
      <c r="EJ25" s="2288"/>
      <c r="EK25" s="2288"/>
      <c r="EL25" s="2247">
        <f>IF('1-Eng Inputs'!$C$3="EcoFoot 5D",'Land Calcs 5deg (sliding)'!D9,IF('1-Eng Inputs'!$C$37="Landscape",'Land Calcs 10deg (sliding)'!D9,'Port Calcs (sliding)'!D9))</f>
        <v>63.019999999999996</v>
      </c>
      <c r="EM25" s="2248"/>
      <c r="EN25" s="2248"/>
      <c r="EO25" s="2249"/>
      <c r="EP25" s="889"/>
      <c r="EW25" s="410"/>
      <c r="EX25" s="2234"/>
      <c r="EY25" s="2234"/>
      <c r="EZ25" s="2234"/>
      <c r="FA25" s="2234"/>
      <c r="FB25" s="2234"/>
      <c r="FC25" s="2234"/>
      <c r="FD25" s="2234"/>
      <c r="FE25" s="2234"/>
      <c r="FF25" s="2234"/>
      <c r="FG25" s="2234"/>
      <c r="FH25" s="2234"/>
      <c r="FI25" s="2234"/>
      <c r="FJ25" s="2234"/>
      <c r="FK25" s="2234"/>
      <c r="FL25" s="2234"/>
      <c r="FM25" s="2234"/>
      <c r="FN25" s="2234"/>
      <c r="FO25" s="2234"/>
      <c r="FP25" s="2234"/>
      <c r="FQ25" s="2234"/>
      <c r="FR25" s="2234"/>
      <c r="FS25" s="2234"/>
      <c r="FT25" s="2234"/>
      <c r="FU25" s="2234"/>
      <c r="FV25" s="2234"/>
      <c r="FW25" s="2234"/>
      <c r="FX25" s="2234"/>
      <c r="FY25" s="2234"/>
      <c r="FZ25" s="2234"/>
      <c r="GA25" s="2234"/>
      <c r="GC25" s="2197" t="s">
        <v>20021</v>
      </c>
      <c r="GD25" s="2197"/>
      <c r="GE25" s="2197"/>
      <c r="GF25" s="2197"/>
      <c r="GG25" s="2197"/>
      <c r="GH25" s="2197"/>
      <c r="GI25" s="2197"/>
      <c r="GJ25" s="2197"/>
      <c r="GK25" s="2197"/>
      <c r="GL25" s="2197"/>
      <c r="GM25" s="2197"/>
      <c r="GN25" s="2197"/>
      <c r="GO25" s="2197"/>
      <c r="GP25" s="2197"/>
      <c r="GQ25" s="2197"/>
      <c r="GR25" s="2197"/>
      <c r="GS25" s="2197"/>
      <c r="GT25" s="2197"/>
      <c r="GU25" s="2197"/>
      <c r="GV25" s="2197"/>
      <c r="GW25" s="2197"/>
      <c r="GX25" s="2195">
        <f>'1-Eng Inputs'!$C$18*'1-Eng Inputs'!$C$19/144</f>
        <v>21.587916666666668</v>
      </c>
      <c r="GY25" s="2195"/>
      <c r="GZ25" s="2196"/>
      <c r="HA25" s="903" t="s">
        <v>19922</v>
      </c>
      <c r="HB25" s="870"/>
      <c r="HC25" s="870"/>
    </row>
    <row r="26" spans="1:214" ht="13.5" customHeight="1">
      <c r="D26" s="908" t="s">
        <v>20040</v>
      </c>
      <c r="E26" s="716"/>
      <c r="F26" s="716"/>
      <c r="G26" s="716"/>
      <c r="H26" s="716"/>
      <c r="I26" s="716"/>
      <c r="J26" s="716"/>
      <c r="K26" s="716"/>
      <c r="L26" s="716"/>
      <c r="M26" s="716"/>
      <c r="N26" s="716"/>
      <c r="O26" s="716"/>
      <c r="P26" s="716"/>
      <c r="Q26" s="716"/>
      <c r="R26" s="716"/>
      <c r="S26" s="716"/>
      <c r="T26" s="716"/>
      <c r="U26" s="716"/>
      <c r="V26" s="716"/>
      <c r="W26" s="716" t="s">
        <v>19972</v>
      </c>
      <c r="X26" s="404"/>
      <c r="BI26" s="864"/>
      <c r="BJ26" s="864"/>
      <c r="BK26" s="864"/>
      <c r="BL26" s="864"/>
      <c r="BM26" s="864"/>
      <c r="BN26" s="864"/>
      <c r="BO26" s="864"/>
      <c r="BP26" s="864"/>
      <c r="BQ26" s="864"/>
      <c r="BR26" s="864"/>
      <c r="BS26" s="864"/>
      <c r="CM26" s="864"/>
      <c r="CO26" s="2227"/>
      <c r="CP26" s="1195" t="s">
        <v>103</v>
      </c>
      <c r="CQ26" s="1168"/>
      <c r="CR26" s="1168"/>
      <c r="CS26" s="1168"/>
      <c r="CT26" s="1168"/>
      <c r="CU26" s="1168"/>
      <c r="CV26" s="1168"/>
      <c r="CW26" s="1168"/>
      <c r="CX26" s="1168"/>
      <c r="CY26" s="1168"/>
      <c r="CZ26" s="1168"/>
      <c r="DA26" s="1168"/>
      <c r="DB26" s="1168"/>
      <c r="DC26" s="1168"/>
      <c r="DD26" s="1168"/>
      <c r="DE26" s="1169"/>
      <c r="DF26" s="2336" t="s">
        <v>39</v>
      </c>
      <c r="DG26" s="2337"/>
      <c r="DH26" s="2325">
        <f>IF('1-Eng Inputs'!$C$3="EcoFoot 5D",'Land Calcs 5deg (lift)'!J25,IF('1-Eng Inputs'!$C$37="Landscape",'Land Calcs 10deg (lift)'!H24,'Port Calcs (lift)'!H24))</f>
        <v>-270.44316644287761</v>
      </c>
      <c r="DI26" s="2277"/>
      <c r="DJ26" s="2277">
        <f>IF('1-Eng Inputs'!$C$3="EcoFoot 5D",'Land Calcs 5deg (lift)'!O25,IF('1-Eng Inputs'!$C$37="Landscape",'Land Calcs 10deg (lift)'!J24,'Port Calcs (lift)'!J24))</f>
        <v>-196.68593923118371</v>
      </c>
      <c r="DK26" s="2277"/>
      <c r="DL26" s="2277">
        <f>IF('1-Eng Inputs'!$C$3="EcoFoot 5D",'Land Calcs 5deg (lift)'!Q25,IF('1-Eng Inputs'!$C$37="Landscape",'Land Calcs 10deg (lift)'!K24,'Port Calcs (lift)'!K24))</f>
        <v>-163.90494935931977</v>
      </c>
      <c r="DM26" s="2278"/>
      <c r="DN26" s="2277"/>
      <c r="DO26" s="2277"/>
      <c r="DP26" s="2278"/>
      <c r="DS26" s="398"/>
      <c r="DU26" s="886"/>
      <c r="DV26" s="887"/>
      <c r="DW26" s="887"/>
      <c r="DZ26" s="2291" t="s">
        <v>19995</v>
      </c>
      <c r="EA26" s="2292"/>
      <c r="EB26" s="2292"/>
      <c r="EC26" s="2292"/>
      <c r="ED26" s="2292"/>
      <c r="EE26" s="2292"/>
      <c r="EF26" s="2292"/>
      <c r="EG26" s="2292"/>
      <c r="EH26" s="2292"/>
      <c r="EI26" s="2292"/>
      <c r="EJ26" s="2292"/>
      <c r="EK26" s="2292"/>
      <c r="EL26" s="2247">
        <f>AM43</f>
        <v>0.57999999999999996</v>
      </c>
      <c r="EM26" s="2248"/>
      <c r="EN26" s="2248"/>
      <c r="EO26" s="2249"/>
      <c r="EP26" s="889"/>
      <c r="EW26" s="410"/>
      <c r="GC26" s="2204" t="s">
        <v>20022</v>
      </c>
      <c r="GD26" s="2204"/>
      <c r="GE26" s="2204"/>
      <c r="GF26" s="2204"/>
      <c r="GG26" s="2204"/>
      <c r="GH26" s="2204"/>
      <c r="GI26" s="2204"/>
      <c r="GJ26" s="2204"/>
      <c r="GK26" s="2204"/>
      <c r="GL26" s="2204"/>
      <c r="GM26" s="2204"/>
      <c r="GN26" s="2204"/>
      <c r="GO26" s="2204"/>
      <c r="GP26" s="2204"/>
      <c r="GQ26" s="2204"/>
      <c r="GR26" s="2204"/>
      <c r="GS26" s="2204"/>
      <c r="GT26" s="2204"/>
      <c r="GU26" s="2204"/>
      <c r="GV26" s="2204"/>
      <c r="GW26" s="2204"/>
      <c r="GX26" s="2195">
        <f>IF('1-Eng Inputs'!$C$3="EcoFoot 5D",factors!$B$43,IF('1-Eng Inputs'!$C$37="Landscape",factors!$B$41,factors!$B$42))</f>
        <v>9.274669319793702</v>
      </c>
      <c r="GY26" s="2195"/>
      <c r="GZ26" s="2196"/>
      <c r="HA26" s="903" t="s">
        <v>19281</v>
      </c>
      <c r="HB26" s="870"/>
      <c r="HC26" s="870"/>
    </row>
    <row r="27" spans="1:214" ht="13.5" customHeight="1">
      <c r="D27" s="908" t="s">
        <v>20046</v>
      </c>
      <c r="E27" s="716"/>
      <c r="F27" s="716"/>
      <c r="G27" s="716"/>
      <c r="H27" s="716"/>
      <c r="I27" s="716"/>
      <c r="J27" s="716"/>
      <c r="K27" s="716"/>
      <c r="L27" s="716"/>
      <c r="M27" s="716"/>
      <c r="N27" s="716"/>
      <c r="O27" s="716"/>
      <c r="P27" s="716"/>
      <c r="Q27" s="716"/>
      <c r="R27" s="716"/>
      <c r="S27" s="716"/>
      <c r="T27" s="716"/>
      <c r="U27" s="716"/>
      <c r="V27" s="716"/>
      <c r="W27" s="716" t="s">
        <v>20041</v>
      </c>
      <c r="X27" s="404"/>
      <c r="BI27" s="864"/>
      <c r="BJ27" s="864"/>
      <c r="BK27" s="864"/>
      <c r="BL27" s="864"/>
      <c r="BM27" s="864"/>
      <c r="BN27" s="864"/>
      <c r="BO27" s="864"/>
      <c r="BP27" s="864"/>
      <c r="BQ27" s="864"/>
      <c r="BR27" s="864"/>
      <c r="BS27" s="864"/>
      <c r="BT27" s="864"/>
      <c r="BU27" s="864"/>
      <c r="BV27" s="864"/>
      <c r="BW27" s="864"/>
      <c r="BX27" s="864"/>
      <c r="BY27" s="864"/>
      <c r="BZ27" s="864"/>
      <c r="CA27" s="864"/>
      <c r="CB27" s="864"/>
      <c r="CC27" s="864"/>
      <c r="CD27" s="864"/>
      <c r="CE27" s="864"/>
      <c r="CF27" s="864"/>
      <c r="CG27" s="864"/>
      <c r="CH27" s="864"/>
      <c r="CI27" s="864"/>
      <c r="CJ27" s="864"/>
      <c r="CK27" s="864"/>
      <c r="CL27" s="864"/>
      <c r="CM27" s="864"/>
      <c r="CO27" s="2227"/>
      <c r="CP27" s="1195" t="str">
        <f>"DLFUz=Uplift design load using ASD combo #7 = dLF1*0.6 + WLFUz*"&amp;IF('1-Eng Inputs'!$C$35=2010,"0.6","1.0")</f>
        <v>DLFUz=Uplift design load using ASD combo #7 = dLF1*0.6 + WLFUz*0.6</v>
      </c>
      <c r="CQ27" s="1168"/>
      <c r="CR27" s="1168"/>
      <c r="CS27" s="1168"/>
      <c r="CT27" s="1168"/>
      <c r="CU27" s="1168"/>
      <c r="CV27" s="1168"/>
      <c r="CW27" s="1168"/>
      <c r="CX27" s="1168"/>
      <c r="CY27" s="1168"/>
      <c r="CZ27" s="1168"/>
      <c r="DA27" s="1168"/>
      <c r="DB27" s="1168"/>
      <c r="DC27" s="1168"/>
      <c r="DD27" s="1168"/>
      <c r="DE27" s="1169"/>
      <c r="DF27" s="2336" t="s">
        <v>39</v>
      </c>
      <c r="DG27" s="2337"/>
      <c r="DH27" s="2325">
        <f>IF('1-Eng Inputs'!$C$3="EcoFoot 5D",'Land Calcs 5deg (lift)'!J26,IF('1-Eng Inputs'!$C$37="Landscape",'Land Calcs 10deg (lift)'!H25,'Port Calcs (lift)'!H25))</f>
        <v>-124.45389986572657</v>
      </c>
      <c r="DI27" s="2277"/>
      <c r="DJ27" s="2277">
        <f>IF('1-Eng Inputs'!$C$3="EcoFoot 5D",'Land Calcs 5deg (lift)'!O26,IF('1-Eng Inputs'!$C$37="Landscape",'Land Calcs 10deg (lift)'!J25,'Port Calcs (lift)'!J25))</f>
        <v>-80.199563538710223</v>
      </c>
      <c r="DK27" s="2277"/>
      <c r="DL27" s="2277">
        <f>IF('1-Eng Inputs'!$C$3="EcoFoot 5D",'Land Calcs 5deg (lift)'!Q26,IF('1-Eng Inputs'!$C$37="Landscape",'Land Calcs 10deg (lift)'!K25,'Port Calcs (lift)'!K25))</f>
        <v>-60.530969615591857</v>
      </c>
      <c r="DM27" s="2278"/>
      <c r="DN27" s="2277"/>
      <c r="DO27" s="2277"/>
      <c r="DP27" s="2278"/>
      <c r="DS27" s="398"/>
      <c r="DU27" s="886"/>
      <c r="DV27" s="890"/>
      <c r="DW27" s="890"/>
      <c r="DZ27" s="2291" t="s">
        <v>19996</v>
      </c>
      <c r="EA27" s="2292"/>
      <c r="EB27" s="2292"/>
      <c r="EC27" s="2292"/>
      <c r="ED27" s="2292"/>
      <c r="EE27" s="2292"/>
      <c r="EF27" s="2292"/>
      <c r="EG27" s="2292"/>
      <c r="EH27" s="2292"/>
      <c r="EI27" s="2292"/>
      <c r="EJ27" s="2292"/>
      <c r="EK27" s="2292"/>
      <c r="EL27" s="2247">
        <f>IF('1-Eng Inputs'!$C$3="EcoFoot 5D",'Land Calcs 5deg (sliding)'!D11,IF('1-Eng Inputs'!$C$37="Landscape",'Land Calcs 10deg (sliding)'!D11,'Port Calcs (sliding)'!D11))</f>
        <v>21.305699248681336</v>
      </c>
      <c r="EM27" s="2248"/>
      <c r="EN27" s="2248"/>
      <c r="EO27" s="2249"/>
      <c r="EP27" s="889"/>
      <c r="EW27" s="410"/>
      <c r="EX27" s="2284" t="s">
        <v>20034</v>
      </c>
      <c r="EY27" s="2284"/>
      <c r="EZ27" s="2284"/>
      <c r="FA27" s="2284"/>
      <c r="FB27" s="2284"/>
      <c r="FC27" s="2284"/>
      <c r="FD27" s="2284"/>
      <c r="FE27" s="2284"/>
      <c r="FF27" s="2284"/>
      <c r="FG27" s="2284"/>
      <c r="FH27" s="2284"/>
      <c r="FI27" s="2284"/>
      <c r="FJ27" s="2284"/>
      <c r="FK27" s="2284"/>
      <c r="FL27" s="2284"/>
      <c r="FM27" s="2284"/>
      <c r="FN27" s="2284"/>
      <c r="FO27" s="2284"/>
      <c r="FP27" s="2284"/>
      <c r="FQ27" s="2284"/>
      <c r="FR27" s="2284"/>
      <c r="FS27" s="2284"/>
      <c r="FT27" s="2284"/>
      <c r="FU27" s="2284"/>
      <c r="FV27" s="2284"/>
      <c r="FW27" s="2284"/>
      <c r="FX27" s="2284"/>
      <c r="FY27" s="2284"/>
      <c r="FZ27" s="2284"/>
      <c r="GA27" s="2284"/>
      <c r="GC27" s="2197" t="s">
        <v>20023</v>
      </c>
      <c r="GD27" s="2197"/>
      <c r="GE27" s="2197"/>
      <c r="GF27" s="2197"/>
      <c r="GG27" s="2197"/>
      <c r="GH27" s="2197"/>
      <c r="GI27" s="2197"/>
      <c r="GJ27" s="2197"/>
      <c r="GK27" s="2197"/>
      <c r="GL27" s="2197"/>
      <c r="GM27" s="2197"/>
      <c r="GN27" s="2197"/>
      <c r="GO27" s="2197"/>
      <c r="GP27" s="2197"/>
      <c r="GQ27" s="2197"/>
      <c r="GR27" s="2197"/>
      <c r="GS27" s="2197"/>
      <c r="GT27" s="2197"/>
      <c r="GU27" s="2197"/>
      <c r="GV27" s="2197"/>
      <c r="GW27" s="2197"/>
      <c r="GX27" s="2195">
        <f>GX25*COS(RADIANS(GX26))</f>
        <v>21.305699248681339</v>
      </c>
      <c r="GY27" s="2195"/>
      <c r="GZ27" s="2196"/>
      <c r="HA27" s="903" t="s">
        <v>19922</v>
      </c>
      <c r="HB27" s="870"/>
      <c r="HC27" s="870"/>
    </row>
    <row r="28" spans="1:214" ht="13.5" customHeight="1">
      <c r="D28" s="909" t="str">
        <f>IF('1-Eng Inputs'!$C$42="Unattached",'5a-Unattached Report'!A4,'5b-Attached Report'!A4)&amp;"………………………………………………………………………………………"</f>
        <v>SEAOC PV1 - 2012 - Section 5: Unattached Arrays………………………………………………………………………………………</v>
      </c>
      <c r="E28" s="910"/>
      <c r="F28" s="910"/>
      <c r="G28" s="910"/>
      <c r="H28" s="910"/>
      <c r="I28" s="910"/>
      <c r="J28" s="910"/>
      <c r="K28" s="910"/>
      <c r="L28" s="910"/>
      <c r="M28" s="910"/>
      <c r="N28" s="910"/>
      <c r="O28" s="910"/>
      <c r="P28" s="910"/>
      <c r="Q28" s="910"/>
      <c r="R28" s="910"/>
      <c r="S28" s="910"/>
      <c r="T28" s="910"/>
      <c r="U28" s="910"/>
      <c r="V28" s="910"/>
      <c r="W28" s="910" t="s">
        <v>20042</v>
      </c>
      <c r="X28" s="405"/>
      <c r="BI28" s="864"/>
      <c r="BJ28" s="864"/>
      <c r="BK28" s="864"/>
      <c r="BL28" s="864"/>
      <c r="BM28" s="864"/>
      <c r="BN28" s="864"/>
      <c r="BO28" s="864"/>
      <c r="BP28" s="864"/>
      <c r="BQ28" s="864"/>
      <c r="BR28" s="864"/>
      <c r="BS28" s="864"/>
      <c r="BT28" s="864"/>
      <c r="BU28" s="864"/>
      <c r="BV28" s="864"/>
      <c r="BW28" s="864"/>
      <c r="BX28" s="864"/>
      <c r="BY28" s="864"/>
      <c r="BZ28" s="864"/>
      <c r="CA28" s="864"/>
      <c r="CB28" s="864"/>
      <c r="CC28" s="864"/>
      <c r="CD28" s="864"/>
      <c r="CE28" s="864"/>
      <c r="CF28" s="864"/>
      <c r="CG28" s="864"/>
      <c r="CH28" s="864"/>
      <c r="CI28" s="864"/>
      <c r="CJ28" s="864"/>
      <c r="CK28" s="864"/>
      <c r="CL28" s="864"/>
      <c r="CM28" s="864"/>
      <c r="CO28" s="2228"/>
      <c r="CP28" s="1196" t="str">
        <f>"BWuz=ballast weight required to resist wind uplift= -DLFUz/0.6"</f>
        <v>BWuz=ballast weight required to resist wind uplift= -DLFUz/0.6</v>
      </c>
      <c r="CQ28" s="1170"/>
      <c r="CR28" s="1170"/>
      <c r="CS28" s="1170"/>
      <c r="CT28" s="1170"/>
      <c r="CU28" s="1170"/>
      <c r="CV28" s="1170"/>
      <c r="CW28" s="1170"/>
      <c r="CX28" s="1170"/>
      <c r="CY28" s="1170"/>
      <c r="CZ28" s="1170"/>
      <c r="DA28" s="1170"/>
      <c r="DB28" s="1170"/>
      <c r="DC28" s="1170"/>
      <c r="DD28" s="1170"/>
      <c r="DE28" s="1171"/>
      <c r="DF28" s="2333" t="s">
        <v>39</v>
      </c>
      <c r="DG28" s="2334"/>
      <c r="DH28" s="2297">
        <f>IF('1-Eng Inputs'!$C$3="EcoFoot 5D",'Land Calcs 5deg (lift)'!J27,IF('1-Eng Inputs'!$C$37="Landscape",'Land Calcs 10deg (lift)'!H26,'Port Calcs (lift)'!H26))</f>
        <v>207.42316644287763</v>
      </c>
      <c r="DI28" s="2229"/>
      <c r="DJ28" s="2229">
        <f>IF('1-Eng Inputs'!$C$3="EcoFoot 5D",'Land Calcs 5deg (lift)'!O27,IF('1-Eng Inputs'!$C$37="Landscape",'Land Calcs 10deg (lift)'!J26,'Port Calcs (lift)'!J26))</f>
        <v>133.6659392311837</v>
      </c>
      <c r="DK28" s="2229"/>
      <c r="DL28" s="2229">
        <f>IF('1-Eng Inputs'!$C$3="EcoFoot 5D",'Land Calcs 5deg (lift)'!Q27,IF('1-Eng Inputs'!$C$37="Landscape",'Land Calcs 10deg (lift)'!K26,'Port Calcs (lift)'!K26))</f>
        <v>100.88494935931976</v>
      </c>
      <c r="DM28" s="2230"/>
      <c r="DN28" s="2229"/>
      <c r="DO28" s="2229"/>
      <c r="DP28" s="2230"/>
      <c r="DS28" s="398"/>
      <c r="DU28" s="886"/>
      <c r="DV28" s="890"/>
      <c r="DW28" s="890"/>
      <c r="DZ28" s="2287" t="s">
        <v>19997</v>
      </c>
      <c r="EA28" s="2288"/>
      <c r="EB28" s="2288"/>
      <c r="EC28" s="2288"/>
      <c r="ED28" s="2288"/>
      <c r="EE28" s="2288"/>
      <c r="EF28" s="2288"/>
      <c r="EG28" s="2288"/>
      <c r="EH28" s="2288"/>
      <c r="EI28" s="2288"/>
      <c r="EJ28" s="2288"/>
      <c r="EK28" s="2288"/>
      <c r="EL28" s="2247">
        <f>IF('1-Eng Inputs'!$C$3="EcoFoot 5D",'Land Calcs 5deg (sliding)'!D12,IF('1-Eng Inputs'!$C$37="Landscape",'Land Calcs 10deg (sliding)'!D12,'Port Calcs (sliding)'!D12))</f>
        <v>3.4792708333333326</v>
      </c>
      <c r="EM28" s="2248"/>
      <c r="EN28" s="2248"/>
      <c r="EO28" s="2249"/>
      <c r="EP28" s="889"/>
      <c r="EW28" s="410"/>
      <c r="EX28" s="406"/>
      <c r="EY28" s="406"/>
      <c r="EZ28" s="406"/>
      <c r="FA28" s="406"/>
      <c r="FB28" s="406"/>
      <c r="FY28" s="406"/>
      <c r="FZ28" s="406"/>
      <c r="GA28" s="406"/>
      <c r="GC28" s="2197" t="s">
        <v>103</v>
      </c>
      <c r="GD28" s="2197"/>
      <c r="GE28" s="2197"/>
      <c r="GF28" s="2197"/>
      <c r="GG28" s="2197"/>
      <c r="GH28" s="2197"/>
      <c r="GI28" s="2197"/>
      <c r="GJ28" s="2197"/>
      <c r="GK28" s="2197"/>
      <c r="GL28" s="2197"/>
      <c r="GM28" s="2197"/>
      <c r="GN28" s="2197"/>
      <c r="GO28" s="2197"/>
      <c r="GP28" s="2197"/>
      <c r="GQ28" s="2197"/>
      <c r="GR28" s="2197"/>
      <c r="GS28" s="2197"/>
      <c r="GT28" s="2197"/>
      <c r="GU28" s="2197"/>
      <c r="GV28" s="2197"/>
      <c r="GW28" s="2197"/>
      <c r="GX28" s="2195">
        <f>$DJ$18</f>
        <v>-196.68593923118371</v>
      </c>
      <c r="GY28" s="2195"/>
      <c r="GZ28" s="2196"/>
      <c r="HA28" s="903" t="s">
        <v>35</v>
      </c>
      <c r="HB28" s="870"/>
      <c r="HC28" s="870"/>
      <c r="HF28" s="401"/>
    </row>
    <row r="29" spans="1:214" ht="13.5" customHeight="1">
      <c r="AG29" s="2313" t="s">
        <v>19963</v>
      </c>
      <c r="AH29" s="2313"/>
      <c r="AI29" s="2313"/>
      <c r="AJ29" s="2313"/>
      <c r="AK29" s="2313"/>
      <c r="AL29" s="2313"/>
      <c r="AM29" s="2313"/>
      <c r="AN29" s="2313"/>
      <c r="AO29" s="2313"/>
      <c r="AP29" s="2313"/>
      <c r="AQ29" s="400"/>
      <c r="AR29" s="400"/>
      <c r="AS29" s="400"/>
      <c r="AT29" s="400"/>
      <c r="AU29" s="400"/>
      <c r="AV29" s="400"/>
      <c r="AW29" s="400"/>
      <c r="AX29" s="400"/>
      <c r="AY29" s="400"/>
      <c r="AZ29" s="400"/>
      <c r="BA29" s="400"/>
      <c r="BB29" s="400"/>
      <c r="BC29" s="400"/>
      <c r="BD29" s="400"/>
      <c r="BE29" s="400"/>
      <c r="BF29" s="400"/>
      <c r="BI29" s="864"/>
      <c r="BJ29" s="864"/>
      <c r="BK29" s="864"/>
      <c r="BL29" s="864"/>
      <c r="BM29" s="864"/>
      <c r="BN29" s="864"/>
      <c r="BO29" s="864"/>
      <c r="BP29" s="864"/>
      <c r="BQ29" s="864"/>
      <c r="BR29" s="864"/>
      <c r="BS29" s="864"/>
      <c r="BT29" s="864"/>
      <c r="BU29" s="864"/>
      <c r="BV29" s="864"/>
      <c r="BW29" s="864"/>
      <c r="BX29" s="864"/>
      <c r="BY29" s="864"/>
      <c r="BZ29" s="864"/>
      <c r="CA29" s="864"/>
      <c r="CB29" s="864"/>
      <c r="CC29" s="864"/>
      <c r="CD29" s="864"/>
      <c r="CE29" s="864"/>
      <c r="CF29" s="864"/>
      <c r="CG29" s="864"/>
      <c r="CH29" s="864"/>
      <c r="CI29" s="864"/>
      <c r="CJ29" s="864"/>
      <c r="CK29" s="864"/>
      <c r="CL29" s="864"/>
      <c r="CM29" s="864"/>
      <c r="CO29" s="2226" t="s">
        <v>232</v>
      </c>
      <c r="CP29" s="1194" t="s">
        <v>206</v>
      </c>
      <c r="CQ29" s="1166"/>
      <c r="CR29" s="1166"/>
      <c r="CS29" s="1166"/>
      <c r="CT29" s="1166"/>
      <c r="CU29" s="1166"/>
      <c r="CV29" s="1166"/>
      <c r="CW29" s="1166"/>
      <c r="CX29" s="1166"/>
      <c r="CY29" s="1166"/>
      <c r="CZ29" s="1166"/>
      <c r="DA29" s="1166"/>
      <c r="DB29" s="1166"/>
      <c r="DC29" s="1166"/>
      <c r="DD29" s="1166"/>
      <c r="DE29" s="1167"/>
      <c r="DF29" s="2339" t="s">
        <v>87</v>
      </c>
      <c r="DG29" s="2340"/>
      <c r="DH29" s="2298">
        <f>IF('1-Eng Inputs'!$C$3="EcoFoot 5D",'Land Calcs 5deg (lift)'!J29,IF('1-Eng Inputs'!$C$37="Landscape",'Land Calcs 10deg (lift)'!H28,'Port Calcs (lift)'!H28))</f>
        <v>-11.539514435518766</v>
      </c>
      <c r="DI29" s="2224"/>
      <c r="DJ29" s="2224">
        <f>IF('1-Eng Inputs'!$C$3="EcoFoot 5D",'Land Calcs 5deg (lift)'!O29,IF('1-Eng Inputs'!$C$37="Landscape",'Land Calcs 10deg (lift)'!J28,'Port Calcs (lift)'!J28))</f>
        <v>-8.8469610672310548</v>
      </c>
      <c r="DK29" s="2224"/>
      <c r="DL29" s="2224">
        <f>IF('1-Eng Inputs'!$C$3="EcoFoot 5D",'Land Calcs 5deg (lift)'!Q29,IF('1-Eng Inputs'!$C$37="Landscape",'Land Calcs 10deg (lift)'!K28,'Port Calcs (lift)'!K28))</f>
        <v>-7.6930096236791785</v>
      </c>
      <c r="DM29" s="2225"/>
      <c r="DN29" s="2224">
        <f>IF('1-Eng Inputs'!$C$3="EcoFoot 5D",'Land Calcs 5deg (lift)'!X29,IF('1-Eng Inputs'!$C$37="Landscape",'Land Calcs 10deg (lift)'!L28,'Port Calcs (lift)'!L28))</f>
        <v>21.925077427485657</v>
      </c>
      <c r="DO29" s="2224"/>
      <c r="DP29" s="2225"/>
      <c r="DS29" s="398"/>
      <c r="DU29" s="886"/>
      <c r="DV29" s="887"/>
      <c r="DW29" s="887"/>
      <c r="DZ29" s="2289" t="s">
        <v>19989</v>
      </c>
      <c r="EA29" s="2290"/>
      <c r="EB29" s="2290"/>
      <c r="EC29" s="2290"/>
      <c r="ED29" s="2290"/>
      <c r="EE29" s="2290"/>
      <c r="EF29" s="2290"/>
      <c r="EG29" s="2290"/>
      <c r="EH29" s="2290"/>
      <c r="EI29" s="2290"/>
      <c r="EJ29" s="2290"/>
      <c r="EK29" s="2290"/>
      <c r="EL29" s="2247">
        <f>IF('1-Eng Inputs'!$C$3="EcoFoot 5D",'Land Calcs 5deg (sliding)'!D14,IF('1-Eng Inputs'!$C$37="Landscape",'Land Calcs 10deg (sliding)'!D14,'Port Calcs (sliding)'!D14))</f>
        <v>1.42</v>
      </c>
      <c r="EM29" s="2248"/>
      <c r="EN29" s="2248"/>
      <c r="EO29" s="2249"/>
      <c r="EP29" s="889"/>
      <c r="EW29" s="410"/>
      <c r="EX29" s="406"/>
      <c r="EY29" s="406"/>
      <c r="EZ29" s="406"/>
      <c r="FA29" s="406"/>
      <c r="FC29" s="412">
        <f>IF('1-Eng Inputs'!$C$3="EcoFoot 5D",,IF('1-Eng Inputs'!$C$37="Landscape",'Land Matrix 10deg (lift)'!F11,'Port Matrix (lift)'!F11))</f>
        <v>3</v>
      </c>
      <c r="FD29" s="2255">
        <f>IF('1-Eng Inputs'!$C$3="EcoFoot 5D",'Land Matrix 5deg (lift)'!F11,)</f>
        <v>0</v>
      </c>
      <c r="FE29" s="2255"/>
      <c r="FF29" s="412">
        <f>IF('1-Eng Inputs'!$C$3="EcoFoot 5D",,IF('1-Eng Inputs'!$C$37="Landscape",'Land Matrix 10deg (lift)'!H11,'Port Matrix (lift)'!H11))</f>
        <v>5</v>
      </c>
      <c r="FG29" s="2255">
        <f>IF('1-Eng Inputs'!$C$3="EcoFoot 5D",'Land Matrix 5deg (lift)'!H11,)</f>
        <v>0</v>
      </c>
      <c r="FH29" s="2255"/>
      <c r="FI29" s="412">
        <f>IF('1-Eng Inputs'!$C$3="EcoFoot 5D",,IF('1-Eng Inputs'!$C$37="Landscape",'Land Matrix 10deg (lift)'!J11,'Port Matrix (lift)'!J11))</f>
        <v>5</v>
      </c>
      <c r="FJ29" s="2255">
        <f>IF('1-Eng Inputs'!$C$3="EcoFoot 5D",'Land Matrix 5deg (lift)'!J11,)</f>
        <v>0</v>
      </c>
      <c r="FK29" s="2255"/>
      <c r="FL29" s="412">
        <f>IF('1-Eng Inputs'!$C$3="EcoFoot 5D",,IF('1-Eng Inputs'!$C$37="Landscape",'Land Matrix 10deg (lift)'!L11,'Port Matrix (lift)'!L11))</f>
        <v>4</v>
      </c>
      <c r="FM29" s="2255">
        <f>IF('1-Eng Inputs'!$C$3="EcoFoot 5D",'Land Matrix 5deg (lift)'!L11,)</f>
        <v>0</v>
      </c>
      <c r="FN29" s="2255"/>
      <c r="FO29" s="412">
        <f>IF('1-Eng Inputs'!$C$3="EcoFoot 5D",,IF('1-Eng Inputs'!$C$37="Landscape",'Land Matrix 10deg (lift)'!N11,'Port Matrix (lift)'!N11))</f>
        <v>4</v>
      </c>
      <c r="FP29" s="2255">
        <f>IF('1-Eng Inputs'!$C$3="EcoFoot 5D",'Land Matrix 5deg (lift)'!N11,)</f>
        <v>0</v>
      </c>
      <c r="FQ29" s="2255"/>
      <c r="FR29" s="412">
        <f>IF('1-Eng Inputs'!$C$3="EcoFoot 5D",,IF('1-Eng Inputs'!$C$37="Landscape",'Land Matrix 10deg (lift)'!P11,'Port Matrix (lift)'!P11))</f>
        <v>4</v>
      </c>
      <c r="FS29" s="412"/>
      <c r="FT29" s="412"/>
      <c r="FU29" s="412">
        <f>IF('1-Eng Inputs'!$C$37="Landscape",,'Port Matrix (lift)'!R11)</f>
        <v>0</v>
      </c>
      <c r="FV29" s="412"/>
      <c r="FW29" s="412"/>
      <c r="FX29" s="412">
        <f>IF('1-Eng Inputs'!$C$37="Landscape",,'Port Matrix (lift)'!T11)</f>
        <v>0</v>
      </c>
      <c r="FZ29" s="406"/>
      <c r="GA29" s="406"/>
      <c r="GC29" s="2197" t="s">
        <v>20024</v>
      </c>
      <c r="GD29" s="2197"/>
      <c r="GE29" s="2197"/>
      <c r="GF29" s="2197"/>
      <c r="GG29" s="2197"/>
      <c r="GH29" s="2197"/>
      <c r="GI29" s="2197"/>
      <c r="GJ29" s="2197"/>
      <c r="GK29" s="2197"/>
      <c r="GL29" s="2197"/>
      <c r="GM29" s="2197"/>
      <c r="GN29" s="2197"/>
      <c r="GO29" s="2197"/>
      <c r="GP29" s="2197"/>
      <c r="GQ29" s="2197"/>
      <c r="GR29" s="2197"/>
      <c r="GS29" s="2197"/>
      <c r="GT29" s="2197"/>
      <c r="GU29" s="2197"/>
      <c r="GV29" s="2197"/>
      <c r="GW29" s="2197"/>
      <c r="GX29" s="2195">
        <f>$CD$11</f>
        <v>63.019999999999996</v>
      </c>
      <c r="GY29" s="2195"/>
      <c r="GZ29" s="2196"/>
      <c r="HA29" s="903" t="s">
        <v>35</v>
      </c>
      <c r="HB29" s="870"/>
      <c r="HC29" s="870"/>
      <c r="HF29" s="401"/>
    </row>
    <row r="30" spans="1:214" ht="13.5" customHeight="1">
      <c r="AG30" s="2319" t="s">
        <v>19954</v>
      </c>
      <c r="AH30" s="2319"/>
      <c r="AI30" s="2319"/>
      <c r="AJ30" s="2319"/>
      <c r="AK30" s="2319"/>
      <c r="AL30" s="2319"/>
      <c r="AM30" s="2320" t="str">
        <f>'1-Eng Inputs'!C3</f>
        <v>EcoFoot 2+</v>
      </c>
      <c r="AN30" s="2319"/>
      <c r="AO30" s="2319"/>
      <c r="AP30" s="2319"/>
      <c r="BI30" s="864"/>
      <c r="BJ30" s="864"/>
      <c r="BK30" s="864"/>
      <c r="BL30" s="864"/>
      <c r="BM30" s="864"/>
      <c r="BN30" s="864"/>
      <c r="BO30" s="864"/>
      <c r="BP30" s="864"/>
      <c r="BQ30" s="864"/>
      <c r="BR30" s="864"/>
      <c r="BS30" s="864"/>
      <c r="BT30" s="864"/>
      <c r="BU30" s="864"/>
      <c r="BV30" s="864"/>
      <c r="BW30" s="864"/>
      <c r="BX30" s="864"/>
      <c r="BY30" s="864"/>
      <c r="BZ30" s="864"/>
      <c r="CA30" s="864"/>
      <c r="CB30" s="864"/>
      <c r="CC30" s="864"/>
      <c r="CD30" s="864"/>
      <c r="CE30" s="864"/>
      <c r="CF30" s="864"/>
      <c r="CG30" s="864"/>
      <c r="CH30" s="864"/>
      <c r="CI30" s="864"/>
      <c r="CJ30" s="864"/>
      <c r="CK30" s="864"/>
      <c r="CL30" s="864"/>
      <c r="CM30" s="864"/>
      <c r="CO30" s="2227"/>
      <c r="CP30" s="1195" t="s">
        <v>103</v>
      </c>
      <c r="CQ30" s="1168"/>
      <c r="CR30" s="1168"/>
      <c r="CS30" s="1168"/>
      <c r="CT30" s="1168"/>
      <c r="CU30" s="1168"/>
      <c r="CV30" s="1168"/>
      <c r="CW30" s="1168"/>
      <c r="CX30" s="1168"/>
      <c r="CY30" s="1168"/>
      <c r="CZ30" s="1168"/>
      <c r="DA30" s="1168"/>
      <c r="DB30" s="1168"/>
      <c r="DC30" s="1168"/>
      <c r="DD30" s="1168"/>
      <c r="DE30" s="1169"/>
      <c r="DF30" s="2336" t="s">
        <v>39</v>
      </c>
      <c r="DG30" s="2337"/>
      <c r="DH30" s="2325">
        <f>IF('1-Eng Inputs'!$C$3="EcoFoot 5D",'Land Calcs 5deg (lift)'!J30,IF('1-Eng Inputs'!$C$37="Landscape",'Land Calcs 10deg (lift)'!H29,'Port Calcs (lift)'!H29))</f>
        <v>-245.85742403897962</v>
      </c>
      <c r="DI30" s="2277"/>
      <c r="DJ30" s="2277">
        <f>IF('1-Eng Inputs'!$C$3="EcoFoot 5D",'Land Calcs 5deg (lift)'!O30,IF('1-Eng Inputs'!$C$37="Landscape",'Land Calcs 10deg (lift)'!J29,'Port Calcs (lift)'!J29))</f>
        <v>-188.49069176321771</v>
      </c>
      <c r="DK30" s="2277"/>
      <c r="DL30" s="2277">
        <f>IF('1-Eng Inputs'!$C$3="EcoFoot 5D",'Land Calcs 5deg (lift)'!Q30,IF('1-Eng Inputs'!$C$37="Landscape",'Land Calcs 10deg (lift)'!K29,'Port Calcs (lift)'!K29))</f>
        <v>-163.90494935931977</v>
      </c>
      <c r="DM30" s="2278"/>
      <c r="DN30" s="2277"/>
      <c r="DO30" s="2277"/>
      <c r="DP30" s="2278"/>
      <c r="DZ30" s="2289" t="s">
        <v>19990</v>
      </c>
      <c r="EA30" s="2290"/>
      <c r="EB30" s="2290"/>
      <c r="EC30" s="2290"/>
      <c r="ED30" s="2290"/>
      <c r="EE30" s="2290"/>
      <c r="EF30" s="2290"/>
      <c r="EG30" s="2290"/>
      <c r="EH30" s="2290"/>
      <c r="EI30" s="2290"/>
      <c r="EJ30" s="2290"/>
      <c r="EK30" s="2290"/>
      <c r="EL30" s="2247">
        <f>IF('1-Eng Inputs'!$C$3="EcoFoot 5D",'Land Calcs 5deg (sliding)'!D15,IF('1-Eng Inputs'!$C$37="Landscape",'Land Calcs 10deg (sliding)'!D15,'Port Calcs (sliding)'!D15))</f>
        <v>-0.61</v>
      </c>
      <c r="EM30" s="2248"/>
      <c r="EN30" s="2248"/>
      <c r="EO30" s="2249"/>
      <c r="EW30" s="406"/>
      <c r="EX30" s="414"/>
      <c r="EY30" s="414"/>
      <c r="EZ30" s="414"/>
      <c r="FA30" s="414"/>
      <c r="FC30" s="333"/>
      <c r="FD30" s="2293">
        <f>IF('1-Eng Inputs'!$C$3="EcoFoot 5D",'Land Matrix 5deg (lift)'!BJ13,IF('1-Eng Inputs'!$C$37="Landscape",'Land Matrix 10deg (lift)'!BR13,'Port Matrix (lift)'!CQ13))</f>
        <v>207.42316644287763</v>
      </c>
      <c r="FE30" s="2293"/>
      <c r="FF30" s="385"/>
      <c r="FG30" s="2253">
        <f>IF('1-Eng Inputs'!$C$3="EcoFoot 5D",'Land Matrix 5deg (lift)'!BL13,IF('1-Eng Inputs'!$C$37="Landscape",'Land Matrix 10deg (lift)'!BT13,'Port Matrix (lift)'!CS13))</f>
        <v>150.05643416711567</v>
      </c>
      <c r="FH30" s="2253"/>
      <c r="FI30" s="385"/>
      <c r="FJ30" s="2253">
        <f>IF('1-Eng Inputs'!$C$3="EcoFoot 5D",'Land Matrix 5deg (lift)'!BN13,IF('1-Eng Inputs'!$C$37="Landscape",'Land Matrix 10deg (lift)'!BV13,'Port Matrix (lift)'!CU13))</f>
        <v>150.05643416711567</v>
      </c>
      <c r="FK30" s="2253"/>
      <c r="FL30" s="385"/>
      <c r="FM30" s="2253">
        <f>IF('1-Eng Inputs'!$C$3="EcoFoot 5D",'Land Matrix 5deg (lift)'!BP13,IF('1-Eng Inputs'!$C$37="Landscape",'Land Matrix 10deg (lift)'!BX13,'Port Matrix (lift)'!CW13))</f>
        <v>117.27544429525173</v>
      </c>
      <c r="FN30" s="2253"/>
      <c r="FO30" s="385"/>
      <c r="FP30" s="2253">
        <f>IF('1-Eng Inputs'!$C$3="EcoFoot 5D",'Land Matrix 5deg (lift)'!BR13,IF('1-Eng Inputs'!$C$37="Landscape",'Land Matrix 10deg (lift)'!BZ13,'Port Matrix (lift)'!CY13))</f>
        <v>117.27544429525173</v>
      </c>
      <c r="FQ30" s="2253"/>
      <c r="FR30" s="385"/>
      <c r="FS30" s="2253" t="str">
        <f>IF('1-Eng Inputs'!$C$37="Landscape","",'Port Matrix (lift)'!DA13)</f>
        <v/>
      </c>
      <c r="FT30" s="2253"/>
      <c r="FU30" s="385"/>
      <c r="FV30" s="2253" t="str">
        <f>IF('1-Eng Inputs'!$C$37="Landscape","",'Port Matrix (lift)'!DC13)</f>
        <v/>
      </c>
      <c r="FW30" s="2253"/>
      <c r="FX30" s="385"/>
      <c r="FY30" s="414"/>
      <c r="FZ30" s="414"/>
      <c r="GA30" s="406"/>
      <c r="GC30" s="2194" t="str">
        <f>'Land Calcs 5deg (lift)'!$A$11</f>
        <v>DLFUz=Uplift design load using ASD combo #7 = dLF1*0.6 + WLFUz*0.6</v>
      </c>
      <c r="GD30" s="2194"/>
      <c r="GE30" s="2194"/>
      <c r="GF30" s="2194"/>
      <c r="GG30" s="2194"/>
      <c r="GH30" s="2194"/>
      <c r="GI30" s="2194"/>
      <c r="GJ30" s="2194"/>
      <c r="GK30" s="2194"/>
      <c r="GL30" s="2194"/>
      <c r="GM30" s="2194"/>
      <c r="GN30" s="2194"/>
      <c r="GO30" s="2194"/>
      <c r="GP30" s="2194"/>
      <c r="GQ30" s="2194"/>
      <c r="GR30" s="2194"/>
      <c r="GS30" s="2194"/>
      <c r="GT30" s="2194"/>
      <c r="GU30" s="2194"/>
      <c r="GV30" s="2194"/>
      <c r="GW30" s="2194"/>
      <c r="GX30" s="2195">
        <f>$DJ$19</f>
        <v>-80.199563538710223</v>
      </c>
      <c r="GY30" s="2195"/>
      <c r="GZ30" s="2196"/>
      <c r="HA30" s="903" t="s">
        <v>35</v>
      </c>
      <c r="HF30" s="401"/>
    </row>
    <row r="31" spans="1:214" ht="13.5" customHeight="1">
      <c r="D31" s="2198" t="s">
        <v>19961</v>
      </c>
      <c r="E31" s="2199"/>
      <c r="F31" s="2199"/>
      <c r="G31" s="2199"/>
      <c r="H31" s="2199"/>
      <c r="I31" s="2199"/>
      <c r="J31" s="2199"/>
      <c r="K31" s="2199"/>
      <c r="L31" s="2199"/>
      <c r="M31" s="2199"/>
      <c r="N31" s="2199"/>
      <c r="O31" s="2199"/>
      <c r="P31" s="2199"/>
      <c r="Q31" s="2199"/>
      <c r="R31" s="2199"/>
      <c r="S31" s="2199"/>
      <c r="T31" s="2199"/>
      <c r="U31" s="2199"/>
      <c r="V31" s="2199"/>
      <c r="W31" s="2199"/>
      <c r="X31" s="2200"/>
      <c r="AE31" s="393"/>
      <c r="AF31" s="393"/>
      <c r="AG31" s="2309" t="s">
        <v>19390</v>
      </c>
      <c r="AH31" s="2309"/>
      <c r="AI31" s="2309"/>
      <c r="AJ31" s="2309"/>
      <c r="AK31" s="2309"/>
      <c r="AL31" s="2309"/>
      <c r="AM31" s="2308">
        <f>'1-Eng Inputs'!$C$35</f>
        <v>2010</v>
      </c>
      <c r="AN31" s="2309"/>
      <c r="AO31" s="2309"/>
      <c r="AP31" s="2309"/>
      <c r="BJ31" s="882"/>
      <c r="BK31" s="882"/>
      <c r="BL31" s="882"/>
      <c r="BM31" s="882"/>
      <c r="BN31" s="882"/>
      <c r="BO31" s="882"/>
      <c r="BP31" s="882"/>
      <c r="BQ31" s="882"/>
      <c r="BR31" s="882"/>
      <c r="BS31" s="882"/>
      <c r="BT31" s="882"/>
      <c r="BU31" s="882"/>
      <c r="BV31" s="882"/>
      <c r="BW31" s="882"/>
      <c r="BX31" s="882"/>
      <c r="BY31" s="882"/>
      <c r="BZ31" s="882"/>
      <c r="CA31" s="882"/>
      <c r="CB31" s="882"/>
      <c r="CC31" s="882"/>
      <c r="CD31" s="882"/>
      <c r="CE31" s="882"/>
      <c r="CF31" s="882"/>
      <c r="CG31" s="882"/>
      <c r="CH31" s="882"/>
      <c r="CI31" s="882"/>
      <c r="CJ31" s="882"/>
      <c r="CK31" s="882"/>
      <c r="CL31" s="882"/>
      <c r="CM31" s="882"/>
      <c r="CO31" s="2227"/>
      <c r="CP31" s="1195" t="str">
        <f>"DLFUz=Uplift design load using ASD combo #7 = dLF1*0.6 + WLFUz*"&amp;IF('1-Eng Inputs'!$C$35=2010,"0.6","1.0")</f>
        <v>DLFUz=Uplift design load using ASD combo #7 = dLF1*0.6 + WLFUz*0.6</v>
      </c>
      <c r="CQ31" s="1168"/>
      <c r="CR31" s="1168"/>
      <c r="CS31" s="1168"/>
      <c r="CT31" s="1168"/>
      <c r="CU31" s="1168"/>
      <c r="CV31" s="1168"/>
      <c r="CW31" s="1168"/>
      <c r="CX31" s="1168"/>
      <c r="CY31" s="1168"/>
      <c r="CZ31" s="1168"/>
      <c r="DA31" s="1168"/>
      <c r="DB31" s="1168"/>
      <c r="DC31" s="1168"/>
      <c r="DD31" s="1168"/>
      <c r="DE31" s="1169"/>
      <c r="DF31" s="2336" t="s">
        <v>39</v>
      </c>
      <c r="DG31" s="2337"/>
      <c r="DH31" s="2325">
        <f>IF('1-Eng Inputs'!$C$3="EcoFoot 5D",'Land Calcs 5deg (lift)'!J31,IF('1-Eng Inputs'!$C$37="Landscape",'Land Calcs 10deg (lift)'!H30,'Port Calcs (lift)'!H30))</f>
        <v>-109.70245442338778</v>
      </c>
      <c r="DI31" s="2277"/>
      <c r="DJ31" s="2277">
        <f>IF('1-Eng Inputs'!$C$3="EcoFoot 5D",'Land Calcs 5deg (lift)'!O31,IF('1-Eng Inputs'!$C$37="Landscape",'Land Calcs 10deg (lift)'!J30,'Port Calcs (lift)'!J30))</f>
        <v>-75.282415057930621</v>
      </c>
      <c r="DK31" s="2277"/>
      <c r="DL31" s="2277">
        <f>IF('1-Eng Inputs'!$C$3="EcoFoot 5D",'Land Calcs 5deg (lift)'!Q31,IF('1-Eng Inputs'!$C$37="Landscape",'Land Calcs 10deg (lift)'!K30,'Port Calcs (lift)'!K30))</f>
        <v>-60.530969615591857</v>
      </c>
      <c r="DM31" s="2278"/>
      <c r="DN31" s="2277"/>
      <c r="DO31" s="2277"/>
      <c r="DP31" s="2278"/>
      <c r="DZ31" s="2289" t="s">
        <v>19998</v>
      </c>
      <c r="EA31" s="2290"/>
      <c r="EB31" s="2290"/>
      <c r="EC31" s="2290"/>
      <c r="ED31" s="2290"/>
      <c r="EE31" s="2290"/>
      <c r="EF31" s="2290"/>
      <c r="EG31" s="2290"/>
      <c r="EH31" s="2290"/>
      <c r="EI31" s="2290"/>
      <c r="EJ31" s="2290"/>
      <c r="EK31" s="2290"/>
      <c r="EL31" s="2247">
        <f ca="1">IF('1-Eng Inputs'!$C$3="EcoFoot 5D",'Land Calcs 5deg (sliding)'!D16,IF('1-Eng Inputs'!$C$37="Landscape",'Land Calcs 10deg (sliding)'!D16,'Port Calcs (sliding)'!D16))</f>
        <v>0.34274275049009928</v>
      </c>
      <c r="EM31" s="2248"/>
      <c r="EN31" s="2248"/>
      <c r="EO31" s="2249"/>
      <c r="EW31" s="406"/>
      <c r="EX31" s="414"/>
      <c r="EY31" s="414"/>
      <c r="EZ31" s="414"/>
      <c r="FA31" s="414"/>
      <c r="FC31" s="333"/>
      <c r="FD31" s="2293"/>
      <c r="FE31" s="2293"/>
      <c r="FF31" s="385"/>
      <c r="FG31" s="2253"/>
      <c r="FH31" s="2253"/>
      <c r="FI31" s="385"/>
      <c r="FJ31" s="2253"/>
      <c r="FK31" s="2253"/>
      <c r="FL31" s="385"/>
      <c r="FM31" s="2253"/>
      <c r="FN31" s="2253"/>
      <c r="FO31" s="385"/>
      <c r="FP31" s="2253"/>
      <c r="FQ31" s="2253"/>
      <c r="FR31" s="385"/>
      <c r="FS31" s="2253"/>
      <c r="FT31" s="2253"/>
      <c r="FU31" s="385"/>
      <c r="FV31" s="2253"/>
      <c r="FW31" s="2253"/>
      <c r="FX31" s="385"/>
      <c r="FY31" s="414"/>
      <c r="FZ31" s="414"/>
      <c r="GA31" s="406"/>
      <c r="GC31" s="2197" t="str">
        <f>'Land Calcs 5deg (lift)'!$A$12</f>
        <v>BWuz=ballast weight required to resist wind uplift= -DLFUz/0.6</v>
      </c>
      <c r="GD31" s="2197"/>
      <c r="GE31" s="2197"/>
      <c r="GF31" s="2197"/>
      <c r="GG31" s="2197"/>
      <c r="GH31" s="2197"/>
      <c r="GI31" s="2197"/>
      <c r="GJ31" s="2197"/>
      <c r="GK31" s="2197"/>
      <c r="GL31" s="2197"/>
      <c r="GM31" s="2197"/>
      <c r="GN31" s="2197"/>
      <c r="GO31" s="2197"/>
      <c r="GP31" s="2197"/>
      <c r="GQ31" s="2197"/>
      <c r="GR31" s="2197"/>
      <c r="GS31" s="2197"/>
      <c r="GT31" s="2197"/>
      <c r="GU31" s="2197"/>
      <c r="GV31" s="2197"/>
      <c r="GW31" s="2197"/>
      <c r="GX31" s="2195">
        <f>$DJ$20</f>
        <v>133.6659392311837</v>
      </c>
      <c r="GY31" s="2195"/>
      <c r="GZ31" s="2196"/>
      <c r="HA31" s="903" t="s">
        <v>35</v>
      </c>
      <c r="HF31" s="401"/>
    </row>
    <row r="32" spans="1:214" ht="13.5" customHeight="1">
      <c r="D32" s="2201"/>
      <c r="E32" s="2202"/>
      <c r="F32" s="2202"/>
      <c r="G32" s="2202"/>
      <c r="H32" s="2202"/>
      <c r="I32" s="2202"/>
      <c r="J32" s="2202"/>
      <c r="K32" s="2202"/>
      <c r="L32" s="2202"/>
      <c r="M32" s="2202"/>
      <c r="N32" s="2202"/>
      <c r="O32" s="2202"/>
      <c r="P32" s="2202"/>
      <c r="Q32" s="2202"/>
      <c r="R32" s="2202"/>
      <c r="S32" s="2202"/>
      <c r="T32" s="2202"/>
      <c r="U32" s="2202"/>
      <c r="V32" s="2202"/>
      <c r="W32" s="2202"/>
      <c r="X32" s="2203"/>
      <c r="AE32" s="393"/>
      <c r="AF32" s="393"/>
      <c r="AG32" s="2309" t="s">
        <v>138</v>
      </c>
      <c r="AH32" s="2309"/>
      <c r="AI32" s="2309"/>
      <c r="AJ32" s="2309"/>
      <c r="AK32" s="2309"/>
      <c r="AL32" s="2309"/>
      <c r="AM32" s="2310" t="str">
        <f>'1-Eng Inputs'!$C$11</f>
        <v>TPO</v>
      </c>
      <c r="AN32" s="2310"/>
      <c r="AO32" s="2310"/>
      <c r="AP32" s="2310"/>
      <c r="AU32" s="2313" t="s">
        <v>19962</v>
      </c>
      <c r="AV32" s="2313"/>
      <c r="AW32" s="2313"/>
      <c r="AX32" s="2313"/>
      <c r="AY32" s="2313"/>
      <c r="AZ32" s="2313"/>
      <c r="BA32" s="2313"/>
      <c r="BB32" s="2313"/>
      <c r="BC32" s="2313"/>
      <c r="BD32" s="2313"/>
      <c r="BE32" s="2313"/>
      <c r="BF32" s="2313"/>
      <c r="BI32" s="863"/>
      <c r="BJ32" s="882"/>
      <c r="BK32" s="882"/>
      <c r="BL32" s="882"/>
      <c r="BM32" s="882"/>
      <c r="BN32" s="882"/>
      <c r="BO32" s="882"/>
      <c r="BP32" s="882"/>
      <c r="BQ32" s="882"/>
      <c r="BR32" s="882"/>
      <c r="BS32" s="882"/>
      <c r="BT32" s="882"/>
      <c r="BU32" s="882"/>
      <c r="BV32" s="882"/>
      <c r="BW32" s="882"/>
      <c r="BX32" s="882"/>
      <c r="BY32" s="882"/>
      <c r="BZ32" s="882"/>
      <c r="CA32" s="882"/>
      <c r="CB32" s="882"/>
      <c r="CC32" s="882"/>
      <c r="CD32" s="882"/>
      <c r="CE32" s="882"/>
      <c r="CF32" s="882"/>
      <c r="CG32" s="882"/>
      <c r="CH32" s="882"/>
      <c r="CI32" s="882"/>
      <c r="CJ32" s="882"/>
      <c r="CK32" s="882"/>
      <c r="CL32" s="882"/>
      <c r="CM32" s="882"/>
      <c r="CO32" s="2228"/>
      <c r="CP32" s="1196" t="str">
        <f>"BWuz=ballast weight required to resist wind uplift= -DLFUz/0.6"</f>
        <v>BWuz=ballast weight required to resist wind uplift= -DLFUz/0.6</v>
      </c>
      <c r="CQ32" s="1170"/>
      <c r="CR32" s="1170"/>
      <c r="CS32" s="1170"/>
      <c r="CT32" s="1170"/>
      <c r="CU32" s="1170"/>
      <c r="CV32" s="1170"/>
      <c r="CW32" s="1170"/>
      <c r="CX32" s="1170"/>
      <c r="CY32" s="1170"/>
      <c r="CZ32" s="1170"/>
      <c r="DA32" s="1170"/>
      <c r="DB32" s="1170"/>
      <c r="DC32" s="1170"/>
      <c r="DD32" s="1170"/>
      <c r="DE32" s="1171"/>
      <c r="DF32" s="2333" t="s">
        <v>39</v>
      </c>
      <c r="DG32" s="2334"/>
      <c r="DH32" s="2297">
        <f>IF('1-Eng Inputs'!$C$3="EcoFoot 5D",'Land Calcs 5deg (lift)'!J32,IF('1-Eng Inputs'!$C$37="Landscape",'Land Calcs 10deg (lift)'!H31,'Port Calcs (lift)'!H31))</f>
        <v>182.83742403897963</v>
      </c>
      <c r="DI32" s="2229"/>
      <c r="DJ32" s="2229">
        <f>IF('1-Eng Inputs'!$C$3="EcoFoot 5D",'Land Calcs 5deg (lift)'!O32,IF('1-Eng Inputs'!$C$37="Landscape",'Land Calcs 10deg (lift)'!J31,'Port Calcs (lift)'!J31))</f>
        <v>125.4706917632177</v>
      </c>
      <c r="DK32" s="2229"/>
      <c r="DL32" s="2229">
        <f>IF('1-Eng Inputs'!$C$3="EcoFoot 5D",'Land Calcs 5deg (lift)'!Q32,IF('1-Eng Inputs'!$C$37="Landscape",'Land Calcs 10deg (lift)'!K31,'Port Calcs (lift)'!K31))</f>
        <v>100.88494935931976</v>
      </c>
      <c r="DM32" s="2230"/>
      <c r="DN32" s="2229"/>
      <c r="DO32" s="2229"/>
      <c r="DP32" s="2230"/>
      <c r="DZ32" s="2251" t="s">
        <v>19999</v>
      </c>
      <c r="EA32" s="2252"/>
      <c r="EB32" s="2252"/>
      <c r="EC32" s="2252"/>
      <c r="ED32" s="2252"/>
      <c r="EE32" s="2252"/>
      <c r="EF32" s="2252"/>
      <c r="EG32" s="2252"/>
      <c r="EH32" s="2252"/>
      <c r="EI32" s="2252"/>
      <c r="EJ32" s="2252"/>
      <c r="EK32" s="2252"/>
      <c r="EL32" s="2247">
        <f ca="1">IF('1-Eng Inputs'!$C$3="EcoFoot 5D",'Land Calcs 5deg (sliding)'!D17,IF('1-Eng Inputs'!$C$37="Landscape",'Land Calcs 10deg (sliding)'!D17,'Port Calcs (sliding)'!D17))</f>
        <v>0.48669470569594098</v>
      </c>
      <c r="EM32" s="2248"/>
      <c r="EN32" s="2248"/>
      <c r="EO32" s="2249"/>
      <c r="EW32" s="406"/>
      <c r="EX32" s="414"/>
      <c r="EY32" s="414"/>
      <c r="EZ32" s="414"/>
      <c r="FA32" s="414"/>
      <c r="FC32" s="412">
        <f>IF('1-Eng Inputs'!$C$3="EcoFoot 5D",,IF('1-Eng Inputs'!$C$37="Landscape",'Land Matrix 10deg (lift)'!F14,'Port Matrix (lift)'!F14))</f>
        <v>4</v>
      </c>
      <c r="FD32" s="2255">
        <f>IF('1-Eng Inputs'!$C$3="EcoFoot 5D",'Land Matrix 5deg (lift)'!F14,)</f>
        <v>0</v>
      </c>
      <c r="FE32" s="2255"/>
      <c r="FF32" s="412">
        <f>IF('1-Eng Inputs'!$C$3="EcoFoot 5D",,IF('1-Eng Inputs'!$C$37="Landscape",'Land Matrix 10deg (lift)'!H14,'Port Matrix (lift)'!H14))</f>
        <v>4</v>
      </c>
      <c r="FG32" s="2255">
        <f>IF('1-Eng Inputs'!$C$3="EcoFoot 5D",'Land Matrix 5deg (lift)'!H14,)</f>
        <v>0</v>
      </c>
      <c r="FH32" s="2255"/>
      <c r="FI32" s="412">
        <f>IF('1-Eng Inputs'!$C$3="EcoFoot 5D",,IF('1-Eng Inputs'!$C$37="Landscape",'Land Matrix 10deg (lift)'!J14,'Port Matrix (lift)'!J14))</f>
        <v>4</v>
      </c>
      <c r="FJ32" s="2255">
        <f>IF('1-Eng Inputs'!$C$3="EcoFoot 5D",'Land Matrix 5deg (lift)'!J14,)</f>
        <v>0</v>
      </c>
      <c r="FK32" s="2255"/>
      <c r="FL32" s="412">
        <f>IF('1-Eng Inputs'!$C$3="EcoFoot 5D",,IF('1-Eng Inputs'!$C$37="Landscape",'Land Matrix 10deg (lift)'!L14,'Port Matrix (lift)'!L14))</f>
        <v>4</v>
      </c>
      <c r="FM32" s="2255">
        <f>IF('1-Eng Inputs'!$C$3="EcoFoot 5D",'Land Matrix 5deg (lift)'!L14,)</f>
        <v>0</v>
      </c>
      <c r="FN32" s="2255"/>
      <c r="FO32" s="412">
        <f>IF('1-Eng Inputs'!$C$3="EcoFoot 5D",,IF('1-Eng Inputs'!$C$37="Landscape",'Land Matrix 10deg (lift)'!N14,'Port Matrix (lift)'!N14))</f>
        <v>3</v>
      </c>
      <c r="FP32" s="2255">
        <f>IF('1-Eng Inputs'!$C$3="EcoFoot 5D",'Land Matrix 5deg (lift)'!N14,)</f>
        <v>0</v>
      </c>
      <c r="FQ32" s="2255"/>
      <c r="FR32" s="412">
        <f>IF('1-Eng Inputs'!$C$3="EcoFoot 5D",,IF('1-Eng Inputs'!$C$37="Landscape",'Land Matrix 10deg (lift)'!P14,'Port Matrix (lift)'!P14))</f>
        <v>3</v>
      </c>
      <c r="FS32" s="412"/>
      <c r="FT32" s="412"/>
      <c r="FU32" s="412">
        <f>IF('1-Eng Inputs'!$C$37="Landscape",,'Port Matrix (lift)'!R14)</f>
        <v>0</v>
      </c>
      <c r="FV32" s="412"/>
      <c r="FW32" s="412"/>
      <c r="FX32" s="412">
        <f>IF('1-Eng Inputs'!$C$37="Landscape",,'Port Matrix (lift)'!T14)</f>
        <v>0</v>
      </c>
      <c r="FY32" s="414"/>
      <c r="FZ32" s="2281" t="s">
        <v>20062</v>
      </c>
      <c r="GA32" s="406"/>
      <c r="HF32" s="401"/>
    </row>
    <row r="33" spans="4:214" ht="13.5" customHeight="1">
      <c r="D33" s="905" t="s">
        <v>19973</v>
      </c>
      <c r="E33" s="906"/>
      <c r="F33" s="906"/>
      <c r="G33" s="906"/>
      <c r="H33" s="906"/>
      <c r="I33" s="906"/>
      <c r="J33" s="906"/>
      <c r="K33" s="906"/>
      <c r="L33" s="906"/>
      <c r="M33" s="906"/>
      <c r="N33" s="906"/>
      <c r="O33" s="906"/>
      <c r="P33" s="906"/>
      <c r="Q33" s="906"/>
      <c r="R33" s="906"/>
      <c r="S33" s="906"/>
      <c r="T33" s="906"/>
      <c r="U33" s="906"/>
      <c r="V33" s="906"/>
      <c r="W33" s="2373" t="s">
        <v>19964</v>
      </c>
      <c r="X33" s="2374"/>
      <c r="AE33" s="393"/>
      <c r="AF33" s="393"/>
      <c r="AG33" s="2326" t="s">
        <v>375</v>
      </c>
      <c r="AH33" s="2326"/>
      <c r="AI33" s="2326"/>
      <c r="AJ33" s="2326"/>
      <c r="AK33" s="2326"/>
      <c r="AL33" s="2326"/>
      <c r="AM33" s="2309">
        <f>'1-Eng Inputs'!$C$27</f>
        <v>20</v>
      </c>
      <c r="AN33" s="2309"/>
      <c r="AO33" s="2309"/>
      <c r="AP33" s="2309"/>
      <c r="AU33" s="2330" t="s">
        <v>111</v>
      </c>
      <c r="AV33" s="2330"/>
      <c r="AW33" s="2330"/>
      <c r="AX33" s="2330"/>
      <c r="AY33" s="2330"/>
      <c r="AZ33" s="2330"/>
      <c r="BA33" s="2335" t="str">
        <f>'1-Eng Inputs'!$C$15</f>
        <v>REC</v>
      </c>
      <c r="BB33" s="2335"/>
      <c r="BC33" s="2335"/>
      <c r="BD33" s="2335"/>
      <c r="BE33" s="2335"/>
      <c r="BF33" s="2335"/>
      <c r="BI33" s="863"/>
      <c r="BJ33" s="882"/>
      <c r="BK33" s="882"/>
      <c r="BL33" s="882"/>
      <c r="BM33" s="882"/>
      <c r="BN33" s="882"/>
      <c r="BO33" s="882"/>
      <c r="BP33" s="882"/>
      <c r="BQ33" s="882"/>
      <c r="BR33" s="882"/>
      <c r="BS33" s="882"/>
      <c r="BT33" s="882"/>
      <c r="BU33" s="882"/>
      <c r="BV33" s="882"/>
      <c r="BW33" s="882"/>
      <c r="BX33" s="882"/>
      <c r="BY33" s="882"/>
      <c r="BZ33" s="882"/>
      <c r="CA33" s="882"/>
      <c r="CB33" s="882"/>
      <c r="CC33" s="882"/>
      <c r="CD33" s="882"/>
      <c r="CE33" s="882"/>
      <c r="CF33" s="882"/>
      <c r="CG33" s="882"/>
      <c r="CH33" s="882"/>
      <c r="CI33" s="882"/>
      <c r="CJ33" s="882"/>
      <c r="CK33" s="882"/>
      <c r="CL33" s="882"/>
      <c r="CM33" s="882"/>
      <c r="CN33" s="2234" t="s">
        <v>20029</v>
      </c>
      <c r="CO33" s="2234"/>
      <c r="CP33" s="2234"/>
      <c r="CQ33" s="2234"/>
      <c r="CR33" s="2234"/>
      <c r="CS33" s="2234"/>
      <c r="CT33" s="2234"/>
      <c r="CU33" s="2234"/>
      <c r="CV33" s="2234"/>
      <c r="CW33" s="2234"/>
      <c r="CX33" s="2234"/>
      <c r="CY33" s="2234"/>
      <c r="CZ33" s="2234"/>
      <c r="DA33" s="2234"/>
      <c r="DB33" s="2234"/>
      <c r="DC33" s="2234"/>
      <c r="DD33" s="2234"/>
      <c r="DE33" s="2234"/>
      <c r="DF33" s="2234"/>
      <c r="DG33" s="2234"/>
      <c r="DH33" s="2234"/>
      <c r="DI33" s="2234"/>
      <c r="DJ33" s="2234"/>
      <c r="DK33" s="2234"/>
      <c r="DL33" s="2234"/>
      <c r="DM33" s="2234"/>
      <c r="DN33" s="2234"/>
      <c r="DO33" s="2234"/>
      <c r="DP33" s="2234"/>
      <c r="DQ33" s="2234"/>
      <c r="DZ33" s="2349" t="s">
        <v>20000</v>
      </c>
      <c r="EA33" s="2350"/>
      <c r="EB33" s="2350"/>
      <c r="EC33" s="2350"/>
      <c r="ED33" s="2350"/>
      <c r="EE33" s="2350"/>
      <c r="EF33" s="2350"/>
      <c r="EG33" s="2350"/>
      <c r="EH33" s="2350"/>
      <c r="EI33" s="2350"/>
      <c r="EJ33" s="2350"/>
      <c r="EK33" s="2350"/>
      <c r="EL33" s="2244">
        <f ca="1">IF('1-Eng Inputs'!$C$3="EcoFoot 5D",'Land Calcs 5deg (sliding)'!D18,IF('1-Eng Inputs'!$C$37="Landscape",'Land Calcs 10deg (sliding)'!D18,'Port Calcs (sliding)'!D18))</f>
        <v>0.20907307779896056</v>
      </c>
      <c r="EM33" s="2245"/>
      <c r="EN33" s="2245"/>
      <c r="EO33" s="2246"/>
      <c r="EW33" s="406"/>
      <c r="EX33" s="414"/>
      <c r="EY33" s="414"/>
      <c r="EZ33" s="414"/>
      <c r="FA33" s="414"/>
      <c r="FC33" s="333"/>
      <c r="FD33" s="2351">
        <f>IF('1-Eng Inputs'!$C$3="EcoFoot 5D",'Land Matrix 5deg (lift)'!BJ16,IF('1-Eng Inputs'!$C$37="Landscape",'Land Matrix 10deg (lift)'!BR16,'Port Matrix (lift)'!CQ16))</f>
        <v>174.64217657101361</v>
      </c>
      <c r="FE33" s="2351"/>
      <c r="FF33" s="1039"/>
      <c r="FG33" s="2253">
        <f>IF('1-Eng Inputs'!$C$3="EcoFoot 5D",'Land Matrix 5deg (lift)'!BL16,IF('1-Eng Inputs'!$C$37="Landscape",'Land Matrix 10deg (lift)'!BT16,'Port Matrix (lift)'!CS16))</f>
        <v>133.6659392311837</v>
      </c>
      <c r="FH33" s="2253"/>
      <c r="FI33" s="1039"/>
      <c r="FJ33" s="2253">
        <f>IF('1-Eng Inputs'!$C$3="EcoFoot 5D",'Land Matrix 5deg (lift)'!BN16,IF('1-Eng Inputs'!$C$37="Landscape",'Land Matrix 10deg (lift)'!BV16,'Port Matrix (lift)'!CU16))</f>
        <v>133.6659392311837</v>
      </c>
      <c r="FK33" s="2253"/>
      <c r="FL33" s="1039"/>
      <c r="FM33" s="2253">
        <f>IF('1-Eng Inputs'!$C$3="EcoFoot 5D",'Land Matrix 5deg (lift)'!BP16,IF('1-Eng Inputs'!$C$37="Landscape",'Land Matrix 10deg (lift)'!BX16,'Port Matrix (lift)'!CW16))</f>
        <v>100.88494935931976</v>
      </c>
      <c r="FN33" s="2253"/>
      <c r="FO33" s="1039"/>
      <c r="FP33" s="2253">
        <f>IF('1-Eng Inputs'!$C$3="EcoFoot 5D",'Land Matrix 5deg (lift)'!BR16,IF('1-Eng Inputs'!$C$37="Landscape",'Land Matrix 10deg (lift)'!BZ16,'Port Matrix (lift)'!CY16))</f>
        <v>100.88494935931976</v>
      </c>
      <c r="FQ33" s="2253"/>
      <c r="FR33" s="385"/>
      <c r="FS33" s="2253" t="str">
        <f>IF('1-Eng Inputs'!$C$37="Landscape","",'Port Matrix (lift)'!DA16)</f>
        <v/>
      </c>
      <c r="FT33" s="2253"/>
      <c r="FU33" s="385"/>
      <c r="FV33" s="2253" t="str">
        <f>IF('1-Eng Inputs'!$C$37="Landscape","",'Port Matrix (lift)'!DC16)</f>
        <v/>
      </c>
      <c r="FW33" s="2253"/>
      <c r="FX33" s="333"/>
      <c r="FY33" s="414"/>
      <c r="FZ33" s="2281"/>
      <c r="GC33" s="902"/>
      <c r="GD33" s="902"/>
      <c r="GE33" s="902"/>
      <c r="GF33" s="902"/>
      <c r="GG33" s="902"/>
      <c r="GH33" s="902"/>
      <c r="GI33" s="902"/>
      <c r="GJ33" s="902"/>
      <c r="GK33" s="902"/>
      <c r="GL33" s="902"/>
      <c r="GM33" s="902"/>
      <c r="GN33" s="902"/>
      <c r="GO33" s="902"/>
      <c r="GP33" s="902"/>
      <c r="GQ33" s="902"/>
      <c r="GR33" s="902"/>
      <c r="GS33" s="902"/>
      <c r="GT33" s="902"/>
      <c r="GU33" s="902"/>
      <c r="GV33" s="902"/>
      <c r="GW33" s="902"/>
      <c r="GX33" s="902"/>
      <c r="GY33" s="902"/>
      <c r="GZ33" s="902"/>
      <c r="HA33" s="902"/>
      <c r="HF33" s="401"/>
    </row>
    <row r="34" spans="4:214" ht="13.5" customHeight="1">
      <c r="D34" s="908" t="s">
        <v>19974</v>
      </c>
      <c r="E34" s="716"/>
      <c r="F34" s="716"/>
      <c r="G34" s="716"/>
      <c r="H34" s="716"/>
      <c r="I34" s="716"/>
      <c r="J34" s="716"/>
      <c r="K34" s="716"/>
      <c r="L34" s="716"/>
      <c r="M34" s="716"/>
      <c r="N34" s="716"/>
      <c r="O34" s="716"/>
      <c r="P34" s="716"/>
      <c r="Q34" s="716"/>
      <c r="R34" s="716"/>
      <c r="S34" s="716"/>
      <c r="T34" s="716"/>
      <c r="U34" s="716"/>
      <c r="V34" s="716"/>
      <c r="W34" s="2369" t="s">
        <v>19964</v>
      </c>
      <c r="X34" s="2370"/>
      <c r="AG34" s="2326" t="s">
        <v>19531</v>
      </c>
      <c r="AH34" s="2326"/>
      <c r="AI34" s="2326"/>
      <c r="AJ34" s="2326"/>
      <c r="AK34" s="2326"/>
      <c r="AL34" s="2326"/>
      <c r="AM34" s="2332">
        <f>'1-Eng Inputs'!C41</f>
        <v>1</v>
      </c>
      <c r="AN34" s="2332"/>
      <c r="AO34" s="2332"/>
      <c r="AP34" s="2332"/>
      <c r="AU34" s="2309" t="s">
        <v>38</v>
      </c>
      <c r="AV34" s="2309"/>
      <c r="AW34" s="2309"/>
      <c r="AX34" s="2309"/>
      <c r="AY34" s="2309"/>
      <c r="AZ34" s="2309"/>
      <c r="BA34" s="2326" t="str">
        <f>'1-Eng Inputs'!$C$16</f>
        <v>REC350TP2S-72</v>
      </c>
      <c r="BB34" s="2326"/>
      <c r="BC34" s="2326"/>
      <c r="BD34" s="2326"/>
      <c r="BE34" s="2326"/>
      <c r="BF34" s="2326"/>
      <c r="BI34" s="863"/>
      <c r="BJ34" s="882"/>
      <c r="BK34" s="882"/>
      <c r="BL34" s="882"/>
      <c r="BM34" s="882"/>
      <c r="BN34" s="882"/>
      <c r="BO34" s="882"/>
      <c r="BP34" s="882"/>
      <c r="BQ34" s="882"/>
      <c r="BR34" s="882"/>
      <c r="BS34" s="882"/>
      <c r="BT34" s="882"/>
      <c r="BU34" s="882"/>
      <c r="BV34" s="882"/>
      <c r="BW34" s="882"/>
      <c r="BX34" s="882"/>
      <c r="BY34" s="882"/>
      <c r="BZ34" s="882"/>
      <c r="CA34" s="882"/>
      <c r="CB34" s="882"/>
      <c r="CC34" s="882"/>
      <c r="CD34" s="882"/>
      <c r="CE34" s="882"/>
      <c r="CF34" s="882"/>
      <c r="CG34" s="882"/>
      <c r="CH34" s="882"/>
      <c r="CI34" s="882"/>
      <c r="CJ34" s="882"/>
      <c r="CK34" s="882"/>
      <c r="CL34" s="882"/>
      <c r="CM34" s="882"/>
      <c r="CN34" s="2234"/>
      <c r="CO34" s="2234"/>
      <c r="CP34" s="2234"/>
      <c r="CQ34" s="2234"/>
      <c r="CR34" s="2234"/>
      <c r="CS34" s="2234"/>
      <c r="CT34" s="2234"/>
      <c r="CU34" s="2234"/>
      <c r="CV34" s="2234"/>
      <c r="CW34" s="2234"/>
      <c r="CX34" s="2234"/>
      <c r="CY34" s="2234"/>
      <c r="CZ34" s="2234"/>
      <c r="DA34" s="2234"/>
      <c r="DB34" s="2234"/>
      <c r="DC34" s="2234"/>
      <c r="DD34" s="2234"/>
      <c r="DE34" s="2234"/>
      <c r="DF34" s="2234"/>
      <c r="DG34" s="2234"/>
      <c r="DH34" s="2234"/>
      <c r="DI34" s="2234"/>
      <c r="DJ34" s="2234"/>
      <c r="DK34" s="2234"/>
      <c r="DL34" s="2234"/>
      <c r="DM34" s="2234"/>
      <c r="DN34" s="2234"/>
      <c r="DO34" s="2234"/>
      <c r="DP34" s="2234"/>
      <c r="DQ34" s="2234"/>
      <c r="DZ34" s="2347" t="s">
        <v>20015</v>
      </c>
      <c r="EA34" s="2348"/>
      <c r="EB34" s="2348"/>
      <c r="EC34" s="2348"/>
      <c r="ED34" s="2348"/>
      <c r="EE34" s="2348"/>
      <c r="EF34" s="2348"/>
      <c r="EG34" s="2348"/>
      <c r="EH34" s="2348"/>
      <c r="EI34" s="2348"/>
      <c r="EJ34" s="2348"/>
      <c r="EK34" s="2348"/>
      <c r="EL34" s="2241">
        <f ca="1">IF('1-Eng Inputs'!$C$3="EcoFoot 5D",'Land Calcs 5deg (sliding)'!D22,IF('1-Eng Inputs'!$C$37="Landscape",'Land Calcs 10deg (sliding)'!D22,'Port Calcs (sliding)'!D22))</f>
        <v>3529.9429980707737</v>
      </c>
      <c r="EM34" s="2242"/>
      <c r="EN34" s="2242"/>
      <c r="EO34" s="2243"/>
      <c r="EW34" s="406"/>
      <c r="EX34" s="414"/>
      <c r="EY34" s="414"/>
      <c r="EZ34" s="414"/>
      <c r="FA34" s="414"/>
      <c r="FC34" s="333"/>
      <c r="FD34" s="2351"/>
      <c r="FE34" s="2351"/>
      <c r="FF34" s="1039"/>
      <c r="FG34" s="2253"/>
      <c r="FH34" s="2253"/>
      <c r="FI34" s="1039"/>
      <c r="FJ34" s="2253"/>
      <c r="FK34" s="2253"/>
      <c r="FL34" s="1039"/>
      <c r="FM34" s="2253"/>
      <c r="FN34" s="2253"/>
      <c r="FO34" s="1039"/>
      <c r="FP34" s="2253"/>
      <c r="FQ34" s="2253"/>
      <c r="FR34" s="385"/>
      <c r="FS34" s="2253"/>
      <c r="FT34" s="2253"/>
      <c r="FU34" s="385"/>
      <c r="FV34" s="2253"/>
      <c r="FW34" s="2253"/>
      <c r="FX34" s="333"/>
      <c r="FY34" s="414"/>
      <c r="FZ34" s="2281"/>
      <c r="GC34" s="2205" t="s">
        <v>20026</v>
      </c>
      <c r="GD34" s="2205"/>
      <c r="GE34" s="2205"/>
      <c r="GF34" s="2205"/>
      <c r="GG34" s="2205"/>
      <c r="GH34" s="2205"/>
      <c r="GI34" s="2205"/>
      <c r="GJ34" s="2205"/>
      <c r="GK34" s="2205"/>
      <c r="GL34" s="2205"/>
      <c r="GM34" s="2205"/>
      <c r="GN34" s="2205"/>
      <c r="GO34" s="2205"/>
      <c r="GP34" s="2205"/>
      <c r="GQ34" s="2205"/>
      <c r="GR34" s="2205"/>
      <c r="GS34" s="2205"/>
      <c r="GT34" s="2205"/>
      <c r="GU34" s="2205"/>
      <c r="GV34" s="2205"/>
      <c r="GW34" s="2205"/>
      <c r="GX34" s="870"/>
      <c r="GY34" s="870"/>
      <c r="GZ34" s="870"/>
      <c r="HA34" s="870"/>
      <c r="HF34" s="401"/>
    </row>
    <row r="35" spans="4:214" ht="13.5" customHeight="1">
      <c r="D35" s="908" t="s">
        <v>19975</v>
      </c>
      <c r="E35" s="716"/>
      <c r="F35" s="716"/>
      <c r="G35" s="716"/>
      <c r="H35" s="716"/>
      <c r="I35" s="716"/>
      <c r="J35" s="716"/>
      <c r="K35" s="716"/>
      <c r="L35" s="716"/>
      <c r="M35" s="716"/>
      <c r="N35" s="716"/>
      <c r="O35" s="716"/>
      <c r="P35" s="716"/>
      <c r="Q35" s="716"/>
      <c r="R35" s="716"/>
      <c r="S35" s="716"/>
      <c r="T35" s="716"/>
      <c r="U35" s="716"/>
      <c r="V35" s="716"/>
      <c r="W35" s="2369" t="s">
        <v>19970</v>
      </c>
      <c r="X35" s="2370"/>
      <c r="AG35" s="2326" t="s">
        <v>19858</v>
      </c>
      <c r="AH35" s="2326"/>
      <c r="AI35" s="2326"/>
      <c r="AJ35" s="2326"/>
      <c r="AK35" s="2326"/>
      <c r="AL35" s="2326"/>
      <c r="AM35" s="2326">
        <f>'1-Eng Inputs'!C45</f>
        <v>48</v>
      </c>
      <c r="AN35" s="2326"/>
      <c r="AO35" s="2326"/>
      <c r="AP35" s="2326"/>
      <c r="AU35" s="2326" t="s">
        <v>19383</v>
      </c>
      <c r="AV35" s="2326"/>
      <c r="AW35" s="2326"/>
      <c r="AX35" s="2326"/>
      <c r="AY35" s="2326"/>
      <c r="AZ35" s="2326"/>
      <c r="BA35" s="2326" t="str">
        <f>'1-Eng Inputs'!C37</f>
        <v>Landscape</v>
      </c>
      <c r="BB35" s="2326"/>
      <c r="BC35" s="2326"/>
      <c r="BD35" s="2326"/>
      <c r="BE35" s="2326"/>
      <c r="BF35" s="2326"/>
      <c r="BI35" s="863"/>
      <c r="BJ35" s="882"/>
      <c r="BK35" s="882"/>
      <c r="BL35" s="882"/>
      <c r="BM35" s="882"/>
      <c r="BN35" s="882"/>
      <c r="BO35" s="882"/>
      <c r="BP35" s="882"/>
      <c r="BQ35" s="882"/>
      <c r="BR35" s="882"/>
      <c r="BS35" s="882"/>
      <c r="BT35" s="882"/>
      <c r="BU35" s="882"/>
      <c r="BV35" s="882"/>
      <c r="BW35" s="882"/>
      <c r="BX35" s="882"/>
      <c r="BY35" s="882"/>
      <c r="BZ35" s="882"/>
      <c r="CA35" s="882"/>
      <c r="CB35" s="882"/>
      <c r="CC35" s="882"/>
      <c r="CD35" s="882"/>
      <c r="CE35" s="882"/>
      <c r="CF35" s="882"/>
      <c r="CG35" s="882"/>
      <c r="CH35" s="882"/>
      <c r="CI35" s="882"/>
      <c r="CJ35" s="882"/>
      <c r="CK35" s="882"/>
      <c r="CL35" s="882"/>
      <c r="CM35" s="882"/>
      <c r="CN35" s="2234"/>
      <c r="CO35" s="2234"/>
      <c r="CP35" s="2234"/>
      <c r="CQ35" s="2234"/>
      <c r="CR35" s="2234"/>
      <c r="CS35" s="2234"/>
      <c r="CT35" s="2234"/>
      <c r="CU35" s="2234"/>
      <c r="CV35" s="2234"/>
      <c r="CW35" s="2234"/>
      <c r="CX35" s="2234"/>
      <c r="CY35" s="2234"/>
      <c r="CZ35" s="2234"/>
      <c r="DA35" s="2234"/>
      <c r="DB35" s="2234"/>
      <c r="DC35" s="2234"/>
      <c r="DD35" s="2234"/>
      <c r="DE35" s="2234"/>
      <c r="DF35" s="2234"/>
      <c r="DG35" s="2234"/>
      <c r="DH35" s="2234"/>
      <c r="DI35" s="2234"/>
      <c r="DJ35" s="2234"/>
      <c r="DK35" s="2234"/>
      <c r="DL35" s="2234"/>
      <c r="DM35" s="2234"/>
      <c r="DN35" s="2234"/>
      <c r="DO35" s="2234"/>
      <c r="DP35" s="2234"/>
      <c r="DQ35" s="2234"/>
      <c r="DZ35" s="2270" t="s">
        <v>19988</v>
      </c>
      <c r="EA35" s="2271"/>
      <c r="EB35" s="2271"/>
      <c r="EC35" s="2271"/>
      <c r="ED35" s="2271"/>
      <c r="EE35" s="2271"/>
      <c r="EF35" s="2271"/>
      <c r="EG35" s="2271"/>
      <c r="EH35" s="2271"/>
      <c r="EI35" s="2271"/>
      <c r="EJ35" s="2271"/>
      <c r="EK35" s="2271"/>
      <c r="EL35" s="2266">
        <f>IF('1-Eng Inputs'!$C$3="EcoFoot 5D",'Land Calcs 5deg (sliding)'!D5,IF('1-Eng Inputs'!$C$37="Landscape",'Land Calcs 10deg (sliding)'!D5,'Port Calcs (sliding)'!D5))</f>
        <v>32</v>
      </c>
      <c r="EM35" s="2267"/>
      <c r="EN35" s="2267"/>
      <c r="EO35" s="2268"/>
      <c r="EW35" s="406"/>
      <c r="EX35" s="414"/>
      <c r="EY35" s="414"/>
      <c r="EZ35" s="414"/>
      <c r="FA35" s="414"/>
      <c r="FC35" s="412">
        <f>IF('1-Eng Inputs'!$C$3="EcoFoot 5D",,IF('1-Eng Inputs'!$C$37="Landscape",'Land Matrix 10deg (lift)'!F17,'Port Matrix (lift)'!F17))</f>
        <v>4</v>
      </c>
      <c r="FD35" s="2255">
        <f>IF('1-Eng Inputs'!$C$3="EcoFoot 5D",'Land Matrix 5deg (lift)'!F17,)</f>
        <v>0</v>
      </c>
      <c r="FE35" s="2255"/>
      <c r="FF35" s="412">
        <f>IF('1-Eng Inputs'!$C$3="EcoFoot 5D",,IF('1-Eng Inputs'!$C$37="Landscape",'Land Matrix 10deg (lift)'!H17,'Port Matrix (lift)'!H17))</f>
        <v>4</v>
      </c>
      <c r="FG35" s="2255">
        <f>IF('1-Eng Inputs'!$C$3="EcoFoot 5D",'Land Matrix 5deg (lift)'!H17,)</f>
        <v>0</v>
      </c>
      <c r="FH35" s="2255"/>
      <c r="FI35" s="412">
        <f>IF('1-Eng Inputs'!$C$3="EcoFoot 5D",,IF('1-Eng Inputs'!$C$37="Landscape",'Land Matrix 10deg (lift)'!J17,'Port Matrix (lift)'!J17))</f>
        <v>5</v>
      </c>
      <c r="FJ35" s="2255">
        <f>IF('1-Eng Inputs'!$C$3="EcoFoot 5D",'Land Matrix 5deg (lift)'!J17,)</f>
        <v>0</v>
      </c>
      <c r="FK35" s="2255"/>
      <c r="FL35" s="412">
        <f>IF('1-Eng Inputs'!$C$3="EcoFoot 5D",,IF('1-Eng Inputs'!$C$37="Landscape",'Land Matrix 10deg (lift)'!L17,'Port Matrix (lift)'!L17))</f>
        <v>4</v>
      </c>
      <c r="FM35" s="2255">
        <f>IF('1-Eng Inputs'!$C$3="EcoFoot 5D",'Land Matrix 5deg (lift)'!L17,)</f>
        <v>0</v>
      </c>
      <c r="FN35" s="2255"/>
      <c r="FO35" s="412">
        <f>IF('1-Eng Inputs'!$C$3="EcoFoot 5D",,IF('1-Eng Inputs'!$C$37="Landscape",'Land Matrix 10deg (lift)'!N17,'Port Matrix (lift)'!N17))</f>
        <v>4</v>
      </c>
      <c r="FP35" s="2255">
        <f>IF('1-Eng Inputs'!$C$3="EcoFoot 5D",'Land Matrix 5deg (lift)'!N17,)</f>
        <v>0</v>
      </c>
      <c r="FQ35" s="2255"/>
      <c r="FR35" s="412">
        <f>IF('1-Eng Inputs'!$C$3="EcoFoot 5D",,IF('1-Eng Inputs'!$C$37="Landscape",'Land Matrix 10deg (lift)'!P17,'Port Matrix (lift)'!P17))</f>
        <v>4</v>
      </c>
      <c r="FS35" s="412"/>
      <c r="FT35" s="412"/>
      <c r="FU35" s="412">
        <f>IF('1-Eng Inputs'!$C$37="Landscape",,'Port Matrix (lift)'!R17)</f>
        <v>0</v>
      </c>
      <c r="FV35" s="412"/>
      <c r="FW35" s="412"/>
      <c r="FX35" s="412">
        <f>IF('1-Eng Inputs'!$C$37="Landscape",,'Port Matrix (lift)'!T17)</f>
        <v>0</v>
      </c>
      <c r="FY35" s="414"/>
      <c r="FZ35" s="2281"/>
      <c r="GC35" s="2197" t="s">
        <v>20017</v>
      </c>
      <c r="GD35" s="2197"/>
      <c r="GE35" s="2197"/>
      <c r="GF35" s="2197"/>
      <c r="GG35" s="2197"/>
      <c r="GH35" s="2197"/>
      <c r="GI35" s="2197"/>
      <c r="GJ35" s="2197"/>
      <c r="GK35" s="2197"/>
      <c r="GL35" s="2197"/>
      <c r="GM35" s="2197"/>
      <c r="GN35" s="2197"/>
      <c r="GO35" s="2197"/>
      <c r="GP35" s="2197"/>
      <c r="GQ35" s="2197"/>
      <c r="GR35" s="2197"/>
      <c r="GS35" s="2197"/>
      <c r="GT35" s="2197"/>
      <c r="GU35" s="2197"/>
      <c r="GV35" s="2197"/>
      <c r="GW35" s="2197"/>
      <c r="GX35" s="2195">
        <f>GX37/GX36</f>
        <v>-0.2</v>
      </c>
      <c r="GY35" s="2195"/>
      <c r="GZ35" s="2196"/>
      <c r="HA35" s="903"/>
      <c r="HF35" s="401"/>
    </row>
    <row r="36" spans="4:214" ht="13.5" customHeight="1">
      <c r="D36" s="908" t="s">
        <v>20002</v>
      </c>
      <c r="E36" s="716"/>
      <c r="F36" s="716"/>
      <c r="G36" s="716"/>
      <c r="H36" s="716"/>
      <c r="I36" s="716"/>
      <c r="J36" s="716"/>
      <c r="K36" s="716"/>
      <c r="L36" s="716"/>
      <c r="M36" s="716"/>
      <c r="N36" s="716"/>
      <c r="O36" s="716"/>
      <c r="P36" s="716"/>
      <c r="Q36" s="716"/>
      <c r="R36" s="716"/>
      <c r="S36" s="716"/>
      <c r="T36" s="716"/>
      <c r="U36" s="716"/>
      <c r="V36" s="716"/>
      <c r="W36" s="2369" t="s">
        <v>19971</v>
      </c>
      <c r="X36" s="2370"/>
      <c r="AG36" s="2326" t="s">
        <v>19532</v>
      </c>
      <c r="AH36" s="2326"/>
      <c r="AI36" s="2326"/>
      <c r="AJ36" s="2326"/>
      <c r="AK36" s="2326"/>
      <c r="AL36" s="2326"/>
      <c r="AM36" s="2326">
        <f>'1-Eng Inputs'!C44</f>
        <v>27</v>
      </c>
      <c r="AN36" s="2326"/>
      <c r="AO36" s="2326"/>
      <c r="AP36" s="2326"/>
      <c r="AU36" s="2309" t="s">
        <v>147</v>
      </c>
      <c r="AV36" s="2309"/>
      <c r="AW36" s="2309"/>
      <c r="AX36" s="2309"/>
      <c r="AY36" s="2309"/>
      <c r="AZ36" s="2309"/>
      <c r="BA36" s="2326">
        <f>'1-Eng Inputs'!$C$17</f>
        <v>350</v>
      </c>
      <c r="BB36" s="2326"/>
      <c r="BC36" s="2326"/>
      <c r="BD36" s="2326"/>
      <c r="BE36" s="2326"/>
      <c r="BF36" s="2326"/>
      <c r="BI36" s="863"/>
      <c r="BJ36" s="882"/>
      <c r="BK36" s="882"/>
      <c r="BL36" s="882"/>
      <c r="BM36" s="882"/>
      <c r="BN36" s="882"/>
      <c r="BO36" s="882"/>
      <c r="BP36" s="882"/>
      <c r="BQ36" s="882"/>
      <c r="BR36" s="882"/>
      <c r="BS36" s="882"/>
      <c r="BT36" s="882"/>
      <c r="BU36" s="882"/>
      <c r="BV36" s="882"/>
      <c r="BW36" s="882"/>
      <c r="BX36" s="882"/>
      <c r="BY36" s="882"/>
      <c r="BZ36" s="882"/>
      <c r="CA36" s="882"/>
      <c r="CB36" s="882"/>
      <c r="CC36" s="882"/>
      <c r="CD36" s="882"/>
      <c r="CE36" s="882"/>
      <c r="CF36" s="882"/>
      <c r="CG36" s="882"/>
      <c r="CH36" s="882"/>
      <c r="CI36" s="882"/>
      <c r="CJ36" s="882"/>
      <c r="CK36" s="882"/>
      <c r="CL36" s="882"/>
      <c r="CM36" s="882"/>
      <c r="CN36" s="2234"/>
      <c r="CO36" s="2234"/>
      <c r="CP36" s="2234"/>
      <c r="CQ36" s="2234"/>
      <c r="CR36" s="2234"/>
      <c r="CS36" s="2234"/>
      <c r="CT36" s="2234"/>
      <c r="CU36" s="2234"/>
      <c r="CV36" s="2234"/>
      <c r="CW36" s="2234"/>
      <c r="CX36" s="2234"/>
      <c r="CY36" s="2234"/>
      <c r="CZ36" s="2234"/>
      <c r="DA36" s="2234"/>
      <c r="DB36" s="2234"/>
      <c r="DC36" s="2234"/>
      <c r="DD36" s="2234"/>
      <c r="DE36" s="2234"/>
      <c r="DF36" s="2234"/>
      <c r="DG36" s="2234"/>
      <c r="DH36" s="2234"/>
      <c r="DI36" s="2234"/>
      <c r="DJ36" s="2234"/>
      <c r="DK36" s="2234"/>
      <c r="DL36" s="2234"/>
      <c r="DM36" s="2234"/>
      <c r="DN36" s="2234"/>
      <c r="DO36" s="2234"/>
      <c r="DP36" s="2234"/>
      <c r="DQ36" s="2234"/>
      <c r="DZ36" s="2272" t="s">
        <v>19987</v>
      </c>
      <c r="EA36" s="2273"/>
      <c r="EB36" s="2273"/>
      <c r="EC36" s="2273"/>
      <c r="ED36" s="2273"/>
      <c r="EE36" s="2273"/>
      <c r="EF36" s="2273"/>
      <c r="EG36" s="2273"/>
      <c r="EH36" s="2273"/>
      <c r="EI36" s="2273"/>
      <c r="EJ36" s="2273"/>
      <c r="EK36" s="2273"/>
      <c r="EL36" s="2274">
        <f ca="1">IF('1-Eng Inputs'!$C$3="EcoFoot 5D",'Land Calcs 5deg (sliding)'!D23,IF('1-Eng Inputs'!$C$37="Landscape",'Land Calcs 10deg (sliding)'!D23,'Port Calcs (sliding)'!D23))</f>
        <v>111</v>
      </c>
      <c r="EM36" s="2275"/>
      <c r="EN36" s="2275"/>
      <c r="EO36" s="2276"/>
      <c r="EW36" s="406"/>
      <c r="EX36" s="414"/>
      <c r="EY36" s="414"/>
      <c r="EZ36" s="414"/>
      <c r="FA36" s="414"/>
      <c r="FC36" s="333"/>
      <c r="FD36" s="2253">
        <f>IF('1-Eng Inputs'!$C$3="EcoFoot 5D",'Land Matrix 5deg (lift)'!BJ19,IF('1-Eng Inputs'!$C$37="Landscape",'Land Matrix 10deg (lift)'!BR19,'Port Matrix (lift)'!CQ19))</f>
        <v>174.64217657101361</v>
      </c>
      <c r="FE36" s="2253"/>
      <c r="FF36" s="385"/>
      <c r="FG36" s="2253">
        <f>IF('1-Eng Inputs'!$C$3="EcoFoot 5D",'Land Matrix 5deg (lift)'!BL19,IF('1-Eng Inputs'!$C$37="Landscape",'Land Matrix 10deg (lift)'!BT19,'Port Matrix (lift)'!CS19))</f>
        <v>133.6659392311837</v>
      </c>
      <c r="FH36" s="2253"/>
      <c r="FI36" s="385"/>
      <c r="FJ36" s="2253">
        <f>IF('1-Eng Inputs'!$C$3="EcoFoot 5D",'Land Matrix 5deg (lift)'!BN19,IF('1-Eng Inputs'!$C$37="Landscape",'Land Matrix 10deg (lift)'!BV19,'Port Matrix (lift)'!CU19))</f>
        <v>133.6659392311837</v>
      </c>
      <c r="FK36" s="2253"/>
      <c r="FL36" s="385"/>
      <c r="FM36" s="2253">
        <f>IF('1-Eng Inputs'!$C$3="EcoFoot 5D",'Land Matrix 5deg (lift)'!BP19,IF('1-Eng Inputs'!$C$37="Landscape",'Land Matrix 10deg (lift)'!BX19,'Port Matrix (lift)'!CW19))</f>
        <v>100.88494935931976</v>
      </c>
      <c r="FN36" s="2253"/>
      <c r="FO36" s="385"/>
      <c r="FP36" s="2253">
        <f>IF('1-Eng Inputs'!$C$3="EcoFoot 5D",'Land Matrix 5deg (lift)'!BR19,IF('1-Eng Inputs'!$C$37="Landscape",'Land Matrix 10deg (lift)'!BZ19,'Port Matrix (lift)'!CY19))</f>
        <v>100.88494935931976</v>
      </c>
      <c r="FQ36" s="2253"/>
      <c r="FR36" s="385"/>
      <c r="FS36" s="2253" t="str">
        <f>IF('1-Eng Inputs'!$C$37="Landscape","",'Port Matrix (lift)'!DA19)</f>
        <v/>
      </c>
      <c r="FT36" s="2253"/>
      <c r="FU36" s="385"/>
      <c r="FV36" s="2253" t="str">
        <f>IF('1-Eng Inputs'!$C$37="Landscape","",'Port Matrix (lift)'!DC19)</f>
        <v/>
      </c>
      <c r="FW36" s="2253"/>
      <c r="FX36" s="333"/>
      <c r="FY36" s="406"/>
      <c r="FZ36" s="2281"/>
      <c r="GC36" s="2197" t="s">
        <v>20018</v>
      </c>
      <c r="GD36" s="2197"/>
      <c r="GE36" s="2197"/>
      <c r="GF36" s="2197"/>
      <c r="GG36" s="2197"/>
      <c r="GH36" s="2197"/>
      <c r="GI36" s="2197"/>
      <c r="GJ36" s="2197"/>
      <c r="GK36" s="2197"/>
      <c r="GL36" s="2197"/>
      <c r="GM36" s="2197"/>
      <c r="GN36" s="2197"/>
      <c r="GO36" s="2197"/>
      <c r="GP36" s="2197"/>
      <c r="GQ36" s="2197"/>
      <c r="GR36" s="2197"/>
      <c r="GS36" s="2197"/>
      <c r="GT36" s="2197"/>
      <c r="GU36" s="2197"/>
      <c r="GV36" s="2197"/>
      <c r="GW36" s="2197"/>
      <c r="GX36" s="2206">
        <f>factors!$B$39</f>
        <v>38.465048118395892</v>
      </c>
      <c r="GY36" s="2206"/>
      <c r="GZ36" s="2207"/>
      <c r="HA36" s="903"/>
      <c r="HF36" s="401"/>
    </row>
    <row r="37" spans="4:214" ht="13.5" customHeight="1">
      <c r="D37" s="908" t="s">
        <v>19986</v>
      </c>
      <c r="E37" s="716"/>
      <c r="F37" s="716"/>
      <c r="G37" s="716"/>
      <c r="H37" s="716"/>
      <c r="I37" s="716"/>
      <c r="J37" s="716"/>
      <c r="K37" s="716"/>
      <c r="L37" s="716"/>
      <c r="M37" s="716"/>
      <c r="N37" s="716"/>
      <c r="O37" s="716"/>
      <c r="P37" s="716"/>
      <c r="Q37" s="716"/>
      <c r="R37" s="716"/>
      <c r="S37" s="716"/>
      <c r="T37" s="716"/>
      <c r="U37" s="716"/>
      <c r="V37" s="716"/>
      <c r="W37" s="2369" t="s">
        <v>19971</v>
      </c>
      <c r="X37" s="2370"/>
      <c r="AG37" s="2309" t="s">
        <v>19859</v>
      </c>
      <c r="AH37" s="2309"/>
      <c r="AI37" s="2309"/>
      <c r="AJ37" s="2309"/>
      <c r="AK37" s="2309"/>
      <c r="AL37" s="2309"/>
      <c r="AM37" s="2309">
        <f>'1-Eng Inputs'!$C$28</f>
        <v>140</v>
      </c>
      <c r="AN37" s="2309"/>
      <c r="AO37" s="2309"/>
      <c r="AP37" s="2309"/>
      <c r="AU37" s="2309" t="s">
        <v>148</v>
      </c>
      <c r="AV37" s="2309"/>
      <c r="AW37" s="2309"/>
      <c r="AX37" s="2309"/>
      <c r="AY37" s="2309"/>
      <c r="AZ37" s="2309"/>
      <c r="BA37" s="2332">
        <f>'1-Eng Inputs'!$C$18</f>
        <v>78.900000000000006</v>
      </c>
      <c r="BB37" s="2332"/>
      <c r="BC37" s="2332"/>
      <c r="BD37" s="2332"/>
      <c r="BE37" s="2332"/>
      <c r="BF37" s="2332"/>
      <c r="BI37" s="863"/>
      <c r="BJ37" s="882"/>
      <c r="BK37" s="882"/>
      <c r="BL37" s="882"/>
      <c r="BM37" s="882"/>
      <c r="BN37" s="882"/>
      <c r="BO37" s="882"/>
      <c r="BP37" s="882"/>
      <c r="BQ37" s="882"/>
      <c r="BR37" s="882"/>
      <c r="BS37" s="882"/>
      <c r="BT37" s="882"/>
      <c r="BU37" s="882"/>
      <c r="BV37" s="882"/>
      <c r="BW37" s="882"/>
      <c r="BX37" s="882"/>
      <c r="BY37" s="882"/>
      <c r="BZ37" s="882"/>
      <c r="CA37" s="882"/>
      <c r="CB37" s="882"/>
      <c r="CC37" s="882"/>
      <c r="CD37" s="882"/>
      <c r="CE37" s="882"/>
      <c r="CF37" s="882"/>
      <c r="CG37" s="882"/>
      <c r="CH37" s="882"/>
      <c r="CI37" s="882"/>
      <c r="CJ37" s="882"/>
      <c r="CK37" s="882"/>
      <c r="CL37" s="882"/>
      <c r="CM37" s="882"/>
      <c r="CN37" s="2234"/>
      <c r="CO37" s="2234"/>
      <c r="CP37" s="2234"/>
      <c r="CQ37" s="2234"/>
      <c r="CR37" s="2234"/>
      <c r="CS37" s="2234"/>
      <c r="CT37" s="2234"/>
      <c r="CU37" s="2234"/>
      <c r="CV37" s="2234"/>
      <c r="CW37" s="2234"/>
      <c r="CX37" s="2234"/>
      <c r="CY37" s="2234"/>
      <c r="CZ37" s="2234"/>
      <c r="DA37" s="2234"/>
      <c r="DB37" s="2234"/>
      <c r="DC37" s="2234"/>
      <c r="DD37" s="2234"/>
      <c r="DE37" s="2234"/>
      <c r="DF37" s="2234"/>
      <c r="DG37" s="2234"/>
      <c r="DH37" s="2234"/>
      <c r="DI37" s="2234"/>
      <c r="DJ37" s="2234"/>
      <c r="DK37" s="2234"/>
      <c r="DL37" s="2234"/>
      <c r="DM37" s="2234"/>
      <c r="DN37" s="2234"/>
      <c r="DO37" s="2234"/>
      <c r="DP37" s="2234"/>
      <c r="DQ37" s="2234"/>
      <c r="EX37" s="406"/>
      <c r="EY37" s="406"/>
      <c r="EZ37" s="406"/>
      <c r="FA37" s="406"/>
      <c r="FC37" s="333"/>
      <c r="FD37" s="2253"/>
      <c r="FE37" s="2253"/>
      <c r="FF37" s="385"/>
      <c r="FG37" s="2253"/>
      <c r="FH37" s="2253"/>
      <c r="FI37" s="385"/>
      <c r="FJ37" s="2253"/>
      <c r="FK37" s="2253"/>
      <c r="FL37" s="385"/>
      <c r="FM37" s="2253"/>
      <c r="FN37" s="2253"/>
      <c r="FO37" s="385"/>
      <c r="FP37" s="2253"/>
      <c r="FQ37" s="2253"/>
      <c r="FR37" s="385"/>
      <c r="FS37" s="2253"/>
      <c r="FT37" s="2253"/>
      <c r="FU37" s="385"/>
      <c r="FV37" s="2253"/>
      <c r="FW37" s="2253"/>
      <c r="FX37" s="333"/>
      <c r="FY37" s="406"/>
      <c r="FZ37" s="2281"/>
      <c r="GC37" s="2197" t="s">
        <v>20020</v>
      </c>
      <c r="GD37" s="2197"/>
      <c r="GE37" s="2197"/>
      <c r="GF37" s="2197"/>
      <c r="GG37" s="2197"/>
      <c r="GH37" s="2197"/>
      <c r="GI37" s="2197"/>
      <c r="GJ37" s="2197"/>
      <c r="GK37" s="2197"/>
      <c r="GL37" s="2197"/>
      <c r="GM37" s="2197"/>
      <c r="GN37" s="2197"/>
      <c r="GO37" s="2197"/>
      <c r="GP37" s="2197"/>
      <c r="GQ37" s="2197"/>
      <c r="GR37" s="2197"/>
      <c r="GS37" s="2197"/>
      <c r="GT37" s="2197"/>
      <c r="GU37" s="2197"/>
      <c r="GV37" s="2197"/>
      <c r="GW37" s="2197"/>
      <c r="GX37" s="2195">
        <f>$DL$21</f>
        <v>-7.6930096236791785</v>
      </c>
      <c r="GY37" s="2195"/>
      <c r="GZ37" s="2196"/>
      <c r="HA37" s="904" t="s">
        <v>87</v>
      </c>
      <c r="HF37" s="401"/>
    </row>
    <row r="38" spans="4:214" ht="13.5" customHeight="1">
      <c r="D38" s="908" t="s">
        <v>20004</v>
      </c>
      <c r="E38" s="716"/>
      <c r="F38" s="716"/>
      <c r="G38" s="716"/>
      <c r="H38" s="716"/>
      <c r="I38" s="716"/>
      <c r="J38" s="716"/>
      <c r="K38" s="716"/>
      <c r="L38" s="716"/>
      <c r="M38" s="716"/>
      <c r="N38" s="716"/>
      <c r="O38" s="716"/>
      <c r="P38" s="716"/>
      <c r="Q38" s="716"/>
      <c r="R38" s="716"/>
      <c r="S38" s="716"/>
      <c r="T38" s="716"/>
      <c r="U38" s="716"/>
      <c r="V38" s="716"/>
      <c r="W38" s="2369" t="s">
        <v>19972</v>
      </c>
      <c r="X38" s="2370"/>
      <c r="AG38" s="2309" t="s">
        <v>151</v>
      </c>
      <c r="AH38" s="2309"/>
      <c r="AI38" s="2309"/>
      <c r="AJ38" s="2309"/>
      <c r="AK38" s="2309"/>
      <c r="AL38" s="2309"/>
      <c r="AM38" s="2309" t="str">
        <f>'1-Eng Inputs'!$C$29</f>
        <v>II</v>
      </c>
      <c r="AN38" s="2309"/>
      <c r="AO38" s="2309"/>
      <c r="AP38" s="2309"/>
      <c r="AU38" s="2309" t="s">
        <v>149</v>
      </c>
      <c r="AV38" s="2309"/>
      <c r="AW38" s="2309"/>
      <c r="AX38" s="2309"/>
      <c r="AY38" s="2309"/>
      <c r="AZ38" s="2309"/>
      <c r="BA38" s="2332">
        <f>'1-Eng Inputs'!$C$19</f>
        <v>39.4</v>
      </c>
      <c r="BB38" s="2332"/>
      <c r="BC38" s="2332"/>
      <c r="BD38" s="2332"/>
      <c r="BE38" s="2332"/>
      <c r="BF38" s="2332"/>
      <c r="BI38" s="863"/>
      <c r="BJ38" s="882"/>
      <c r="BK38" s="882"/>
      <c r="BL38" s="882"/>
      <c r="BM38" s="882"/>
      <c r="BN38" s="882"/>
      <c r="BO38" s="882"/>
      <c r="BP38" s="882"/>
      <c r="BQ38" s="882"/>
      <c r="BR38" s="882"/>
      <c r="BS38" s="882"/>
      <c r="BT38" s="882"/>
      <c r="BU38" s="882"/>
      <c r="BV38" s="882"/>
      <c r="BW38" s="882"/>
      <c r="BX38" s="882"/>
      <c r="BY38" s="882"/>
      <c r="BZ38" s="882"/>
      <c r="CA38" s="882"/>
      <c r="CB38" s="882"/>
      <c r="CC38" s="882"/>
      <c r="CD38" s="882"/>
      <c r="CE38" s="882"/>
      <c r="CF38" s="882"/>
      <c r="CG38" s="882"/>
      <c r="CH38" s="882"/>
      <c r="CI38" s="882"/>
      <c r="CJ38" s="882"/>
      <c r="CK38" s="882"/>
      <c r="CL38" s="882"/>
      <c r="CM38" s="882"/>
      <c r="CN38" s="2234"/>
      <c r="CO38" s="2234"/>
      <c r="CP38" s="2234"/>
      <c r="CQ38" s="2234"/>
      <c r="CR38" s="2234"/>
      <c r="CS38" s="2234"/>
      <c r="CT38" s="2234"/>
      <c r="CU38" s="2234"/>
      <c r="CV38" s="2234"/>
      <c r="CW38" s="2234"/>
      <c r="CX38" s="2234"/>
      <c r="CY38" s="2234"/>
      <c r="CZ38" s="2234"/>
      <c r="DA38" s="2234"/>
      <c r="DB38" s="2234"/>
      <c r="DC38" s="2234"/>
      <c r="DD38" s="2234"/>
      <c r="DE38" s="2234"/>
      <c r="DF38" s="2234"/>
      <c r="DG38" s="2234"/>
      <c r="DH38" s="2234"/>
      <c r="DI38" s="2234"/>
      <c r="DJ38" s="2234"/>
      <c r="DK38" s="2234"/>
      <c r="DL38" s="2234"/>
      <c r="DM38" s="2234"/>
      <c r="DN38" s="2234"/>
      <c r="DO38" s="2234"/>
      <c r="DP38" s="2234"/>
      <c r="DQ38" s="2234"/>
      <c r="EX38" s="406"/>
      <c r="EY38" s="406"/>
      <c r="EZ38" s="406"/>
      <c r="FA38" s="406"/>
      <c r="FC38" s="412">
        <f>IF('1-Eng Inputs'!$C$3="EcoFoot 5D",,IF('1-Eng Inputs'!$C$37="Landscape",'Land Matrix 10deg (lift)'!F20,'Port Matrix (lift)'!F20))</f>
        <v>4</v>
      </c>
      <c r="FD38" s="2255">
        <f>IF('1-Eng Inputs'!$C$3="EcoFoot 5D",'Land Matrix 5deg (lift)'!F20,)</f>
        <v>0</v>
      </c>
      <c r="FE38" s="2255"/>
      <c r="FF38" s="412">
        <f>IF('1-Eng Inputs'!$C$3="EcoFoot 5D",,IF('1-Eng Inputs'!$C$37="Landscape",'Land Matrix 10deg (lift)'!H20,'Port Matrix (lift)'!H20))</f>
        <v>4</v>
      </c>
      <c r="FG38" s="2255">
        <f>IF('1-Eng Inputs'!$C$3="EcoFoot 5D",'Land Matrix 5deg (lift)'!H20,)</f>
        <v>0</v>
      </c>
      <c r="FH38" s="2255"/>
      <c r="FI38" s="412">
        <f>IF('1-Eng Inputs'!$C$3="EcoFoot 5D",,IF('1-Eng Inputs'!$C$37="Landscape",'Land Matrix 10deg (lift)'!J20,'Port Matrix (lift)'!J20))</f>
        <v>4</v>
      </c>
      <c r="FJ38" s="2255">
        <f>IF('1-Eng Inputs'!$C$3="EcoFoot 5D",'Land Matrix 5deg (lift)'!J20,)</f>
        <v>0</v>
      </c>
      <c r="FK38" s="2255"/>
      <c r="FL38" s="412">
        <f>IF('1-Eng Inputs'!$C$3="EcoFoot 5D",,IF('1-Eng Inputs'!$C$37="Landscape",'Land Matrix 10deg (lift)'!L20,'Port Matrix (lift)'!L20))</f>
        <v>4</v>
      </c>
      <c r="FM38" s="2255">
        <f>IF('1-Eng Inputs'!$C$3="EcoFoot 5D",'Land Matrix 5deg (lift)'!L20,)</f>
        <v>0</v>
      </c>
      <c r="FN38" s="2255"/>
      <c r="FO38" s="412">
        <f>IF('1-Eng Inputs'!$C$3="EcoFoot 5D",,IF('1-Eng Inputs'!$C$37="Landscape",'Land Matrix 10deg (lift)'!N20,'Port Matrix (lift)'!N20))</f>
        <v>4</v>
      </c>
      <c r="FP38" s="2255">
        <f>IF('1-Eng Inputs'!$C$3="EcoFoot 5D",'Land Matrix 5deg (lift)'!N20,)</f>
        <v>0</v>
      </c>
      <c r="FQ38" s="2255"/>
      <c r="FR38" s="412">
        <f>IF('1-Eng Inputs'!$C$3="EcoFoot 5D",,IF('1-Eng Inputs'!$C$37="Landscape",'Land Matrix 10deg (lift)'!P20,'Port Matrix (lift)'!P20))</f>
        <v>4</v>
      </c>
      <c r="FS38" s="412"/>
      <c r="FT38" s="412"/>
      <c r="FU38" s="412">
        <f>IF('1-Eng Inputs'!$C$37="Landscape",,'Port Matrix (lift)'!R20)</f>
        <v>0</v>
      </c>
      <c r="FV38" s="412"/>
      <c r="FW38" s="412"/>
      <c r="FX38" s="412">
        <f>IF('1-Eng Inputs'!$C$37="Landscape",,'Port Matrix (lift)'!T20)</f>
        <v>0</v>
      </c>
      <c r="FY38" s="406"/>
      <c r="FZ38" s="2281"/>
      <c r="GC38" s="2197" t="s">
        <v>20021</v>
      </c>
      <c r="GD38" s="2197"/>
      <c r="GE38" s="2197"/>
      <c r="GF38" s="2197"/>
      <c r="GG38" s="2197"/>
      <c r="GH38" s="2197"/>
      <c r="GI38" s="2197"/>
      <c r="GJ38" s="2197"/>
      <c r="GK38" s="2197"/>
      <c r="GL38" s="2197"/>
      <c r="GM38" s="2197"/>
      <c r="GN38" s="2197"/>
      <c r="GO38" s="2197"/>
      <c r="GP38" s="2197"/>
      <c r="GQ38" s="2197"/>
      <c r="GR38" s="2197"/>
      <c r="GS38" s="2197"/>
      <c r="GT38" s="2197"/>
      <c r="GU38" s="2197"/>
      <c r="GV38" s="2197"/>
      <c r="GW38" s="2197"/>
      <c r="GX38" s="2195">
        <f>'1-Eng Inputs'!$C$18*'1-Eng Inputs'!$C$19/144</f>
        <v>21.587916666666668</v>
      </c>
      <c r="GY38" s="2195"/>
      <c r="GZ38" s="2196"/>
      <c r="HA38" s="903" t="s">
        <v>19922</v>
      </c>
      <c r="HF38" s="401"/>
    </row>
    <row r="39" spans="4:214" ht="13.5" customHeight="1">
      <c r="D39" s="908" t="s">
        <v>20005</v>
      </c>
      <c r="E39" s="716"/>
      <c r="F39" s="716"/>
      <c r="G39" s="716"/>
      <c r="H39" s="716"/>
      <c r="I39" s="716"/>
      <c r="J39" s="716"/>
      <c r="K39" s="716"/>
      <c r="L39" s="716"/>
      <c r="M39" s="716"/>
      <c r="N39" s="716"/>
      <c r="O39" s="716"/>
      <c r="P39" s="716"/>
      <c r="Q39" s="716"/>
      <c r="R39" s="716"/>
      <c r="S39" s="716"/>
      <c r="T39" s="716"/>
      <c r="U39" s="716"/>
      <c r="V39" s="716"/>
      <c r="W39" s="2369" t="s">
        <v>19972</v>
      </c>
      <c r="X39" s="2370"/>
      <c r="AE39" s="855"/>
      <c r="AF39" s="855"/>
      <c r="AG39" s="2309" t="s">
        <v>152</v>
      </c>
      <c r="AH39" s="2309"/>
      <c r="AI39" s="2309"/>
      <c r="AJ39" s="2309"/>
      <c r="AK39" s="2309"/>
      <c r="AL39" s="2309"/>
      <c r="AM39" s="2309" t="str">
        <f>'1-Eng Inputs'!$C$30</f>
        <v>C</v>
      </c>
      <c r="AN39" s="2309"/>
      <c r="AO39" s="2309"/>
      <c r="AP39" s="2309"/>
      <c r="AS39" s="393"/>
      <c r="AU39" s="2338" t="s">
        <v>374</v>
      </c>
      <c r="AV39" s="2338"/>
      <c r="AW39" s="2338"/>
      <c r="AX39" s="2338"/>
      <c r="AY39" s="2338"/>
      <c r="AZ39" s="2338"/>
      <c r="BA39" s="2321">
        <f>'1-Eng Inputs'!$C$20</f>
        <v>48.5</v>
      </c>
      <c r="BB39" s="2321"/>
      <c r="BC39" s="2321"/>
      <c r="BD39" s="2321"/>
      <c r="BE39" s="2321"/>
      <c r="BF39" s="2321"/>
      <c r="BG39" s="855"/>
      <c r="BH39" s="855"/>
      <c r="BI39" s="863"/>
      <c r="BJ39" s="882"/>
      <c r="BK39" s="882"/>
      <c r="BL39" s="882"/>
      <c r="BM39" s="882"/>
      <c r="BN39" s="882"/>
      <c r="BO39" s="882"/>
      <c r="BP39" s="882"/>
      <c r="BQ39" s="882"/>
      <c r="BR39" s="882"/>
      <c r="BS39" s="882"/>
      <c r="BT39" s="882"/>
      <c r="BU39" s="882"/>
      <c r="BV39" s="882"/>
      <c r="BW39" s="882"/>
      <c r="BX39" s="882"/>
      <c r="BY39" s="882"/>
      <c r="BZ39" s="882"/>
      <c r="CA39" s="882"/>
      <c r="CB39" s="882"/>
      <c r="CC39" s="882"/>
      <c r="CD39" s="882"/>
      <c r="CE39" s="882"/>
      <c r="CF39" s="882"/>
      <c r="CG39" s="882"/>
      <c r="CH39" s="882"/>
      <c r="CI39" s="882"/>
      <c r="CJ39" s="882"/>
      <c r="CK39" s="882"/>
      <c r="CL39" s="882"/>
      <c r="CM39" s="882"/>
      <c r="CN39" s="2234"/>
      <c r="CO39" s="2234"/>
      <c r="CP39" s="2234"/>
      <c r="CQ39" s="2234"/>
      <c r="CR39" s="2234"/>
      <c r="CS39" s="2234"/>
      <c r="CT39" s="2234"/>
      <c r="CU39" s="2234"/>
      <c r="CV39" s="2234"/>
      <c r="CW39" s="2234"/>
      <c r="CX39" s="2234"/>
      <c r="CY39" s="2234"/>
      <c r="CZ39" s="2234"/>
      <c r="DA39" s="2234"/>
      <c r="DB39" s="2234"/>
      <c r="DC39" s="2234"/>
      <c r="DD39" s="2234"/>
      <c r="DE39" s="2234"/>
      <c r="DF39" s="2234"/>
      <c r="DG39" s="2234"/>
      <c r="DH39" s="2234"/>
      <c r="DI39" s="2234"/>
      <c r="DJ39" s="2234"/>
      <c r="DK39" s="2234"/>
      <c r="DL39" s="2234"/>
      <c r="DM39" s="2234"/>
      <c r="DN39" s="2234"/>
      <c r="DO39" s="2234"/>
      <c r="DP39" s="2234"/>
      <c r="DQ39" s="2234"/>
      <c r="EX39" s="406"/>
      <c r="EY39" s="406"/>
      <c r="EZ39" s="406"/>
      <c r="FA39" s="406"/>
      <c r="FC39" s="333"/>
      <c r="FD39" s="2260">
        <f>IF('1-Eng Inputs'!$C$3="EcoFoot 5D",'Land Matrix 5deg (lift)'!BJ22,IF('1-Eng Inputs'!$C$37="Landscape",'Land Matrix 10deg (lift)'!BR22,'Port Matrix (lift)'!CQ22))</f>
        <v>133.6659392311837</v>
      </c>
      <c r="FE39" s="2260"/>
      <c r="FF39" s="385"/>
      <c r="FG39" s="2253">
        <f>IF('1-Eng Inputs'!$C$3="EcoFoot 5D",'Land Matrix 5deg (lift)'!BL22,IF('1-Eng Inputs'!$C$37="Landscape",'Land Matrix 10deg (lift)'!BT22,'Port Matrix (lift)'!CS22))</f>
        <v>100.88494935931976</v>
      </c>
      <c r="FH39" s="2253"/>
      <c r="FI39" s="385"/>
      <c r="FJ39" s="2253">
        <f>IF('1-Eng Inputs'!$C$3="EcoFoot 5D",'Land Matrix 5deg (lift)'!BN22,IF('1-Eng Inputs'!$C$37="Landscape",'Land Matrix 10deg (lift)'!BV22,'Port Matrix (lift)'!CU22))</f>
        <v>100.88494935931976</v>
      </c>
      <c r="FK39" s="2253"/>
      <c r="FL39" s="385"/>
      <c r="FM39" s="2346">
        <f>IF('1-Eng Inputs'!$C$3="EcoFoot 5D",'Land Matrix 5deg (lift)'!BP22,IF('1-Eng Inputs'!$C$37="Landscape",'Land Matrix 10deg (lift)'!BX22,'Port Matrix (lift)'!CW22))</f>
        <v>100.88494935931976</v>
      </c>
      <c r="FN39" s="2346"/>
      <c r="FO39" s="385"/>
      <c r="FP39" s="2253">
        <f>IF('1-Eng Inputs'!$C$3="EcoFoot 5D",'Land Matrix 5deg (lift)'!BR22,IF('1-Eng Inputs'!$C$37="Landscape",'Land Matrix 10deg (lift)'!BZ22,'Port Matrix (lift)'!CY22))</f>
        <v>100.88494935931976</v>
      </c>
      <c r="FQ39" s="2253"/>
      <c r="FR39" s="385"/>
      <c r="FS39" s="2253" t="str">
        <f>IF('1-Eng Inputs'!$C$37="Landscape","",'Port Matrix (lift)'!DA22)</f>
        <v/>
      </c>
      <c r="FT39" s="2253"/>
      <c r="FU39" s="385"/>
      <c r="FV39" s="2253" t="str">
        <f>IF('1-Eng Inputs'!$C$37="Landscape","",'Port Matrix (lift)'!DC22)</f>
        <v/>
      </c>
      <c r="FW39" s="2253"/>
      <c r="FX39" s="333"/>
      <c r="FY39" s="406"/>
      <c r="FZ39" s="2281"/>
      <c r="GC39" s="2204" t="s">
        <v>20022</v>
      </c>
      <c r="GD39" s="2204"/>
      <c r="GE39" s="2204"/>
      <c r="GF39" s="2204"/>
      <c r="GG39" s="2204"/>
      <c r="GH39" s="2204"/>
      <c r="GI39" s="2204"/>
      <c r="GJ39" s="2204"/>
      <c r="GK39" s="2204"/>
      <c r="GL39" s="2204"/>
      <c r="GM39" s="2204"/>
      <c r="GN39" s="2204"/>
      <c r="GO39" s="2204"/>
      <c r="GP39" s="2204"/>
      <c r="GQ39" s="2204"/>
      <c r="GR39" s="2204"/>
      <c r="GS39" s="2204"/>
      <c r="GT39" s="2204"/>
      <c r="GU39" s="2204"/>
      <c r="GV39" s="2204"/>
      <c r="GW39" s="2204"/>
      <c r="GX39" s="2195">
        <f>IF('1-Eng Inputs'!$C$3="EcoFoot 5D",factors!$B$43,IF('1-Eng Inputs'!$C$37="Landscape",factors!$B$41,factors!$B$42))</f>
        <v>9.274669319793702</v>
      </c>
      <c r="GY39" s="2195"/>
      <c r="GZ39" s="2196"/>
      <c r="HA39" s="903" t="s">
        <v>19281</v>
      </c>
      <c r="HF39" s="401"/>
    </row>
    <row r="40" spans="4:214" ht="13.5" customHeight="1">
      <c r="D40" s="908" t="s">
        <v>20007</v>
      </c>
      <c r="E40" s="716"/>
      <c r="F40" s="716"/>
      <c r="G40" s="716"/>
      <c r="H40" s="716"/>
      <c r="I40" s="716"/>
      <c r="J40" s="716"/>
      <c r="K40" s="716"/>
      <c r="L40" s="716"/>
      <c r="M40" s="716"/>
      <c r="N40" s="716"/>
      <c r="O40" s="716"/>
      <c r="P40" s="716"/>
      <c r="Q40" s="716"/>
      <c r="R40" s="716"/>
      <c r="S40" s="716"/>
      <c r="T40" s="716"/>
      <c r="U40" s="716"/>
      <c r="V40" s="716"/>
      <c r="W40" s="2369" t="s">
        <v>20030</v>
      </c>
      <c r="X40" s="2370"/>
      <c r="AE40" s="855"/>
      <c r="AF40" s="855"/>
      <c r="AG40" s="2309" t="s">
        <v>157</v>
      </c>
      <c r="AH40" s="2309"/>
      <c r="AI40" s="2309"/>
      <c r="AJ40" s="2309"/>
      <c r="AK40" s="2309"/>
      <c r="AL40" s="2309"/>
      <c r="AM40" s="2324">
        <f>'1-Eng Inputs'!$C$31</f>
        <v>15</v>
      </c>
      <c r="AN40" s="2324"/>
      <c r="AO40" s="2324"/>
      <c r="AP40" s="2324"/>
      <c r="AS40" s="393"/>
      <c r="BG40" s="855"/>
      <c r="BH40" s="855"/>
      <c r="BI40" s="863"/>
      <c r="BJ40" s="882"/>
      <c r="BK40" s="882"/>
      <c r="BL40" s="882"/>
      <c r="BM40" s="882"/>
      <c r="BN40" s="882"/>
      <c r="BO40" s="882"/>
      <c r="BP40" s="882"/>
      <c r="BQ40" s="882"/>
      <c r="BR40" s="882"/>
      <c r="BS40" s="882"/>
      <c r="BT40" s="882"/>
      <c r="BU40" s="882"/>
      <c r="BV40" s="882"/>
      <c r="BW40" s="882"/>
      <c r="BX40" s="882"/>
      <c r="BY40" s="882"/>
      <c r="BZ40" s="882"/>
      <c r="CA40" s="882"/>
      <c r="CB40" s="882"/>
      <c r="CC40" s="882"/>
      <c r="CD40" s="882"/>
      <c r="CE40" s="882"/>
      <c r="CF40" s="882"/>
      <c r="CG40" s="882"/>
      <c r="CH40" s="882"/>
      <c r="CI40" s="882"/>
      <c r="CJ40" s="882"/>
      <c r="CK40" s="882"/>
      <c r="CL40" s="882"/>
      <c r="CM40" s="882"/>
      <c r="CN40" s="2250" t="s">
        <v>19985</v>
      </c>
      <c r="CO40" s="2250"/>
      <c r="CP40" s="2250"/>
      <c r="CQ40" s="2250"/>
      <c r="CR40" s="2250"/>
      <c r="CS40" s="2250"/>
      <c r="CT40" s="2250"/>
      <c r="CU40" s="2250"/>
      <c r="CV40" s="2250"/>
      <c r="CW40" s="2250"/>
      <c r="CX40" s="2250"/>
      <c r="CY40" s="2250"/>
      <c r="CZ40" s="2250"/>
      <c r="DA40" s="2250"/>
      <c r="DB40" s="2250"/>
      <c r="DC40" s="2250"/>
      <c r="DD40" s="2250"/>
      <c r="DE40" s="2250"/>
      <c r="DF40" s="2250"/>
      <c r="DG40" s="2250"/>
      <c r="DH40" s="2250"/>
      <c r="DI40" s="2250"/>
      <c r="DJ40" s="2250"/>
      <c r="DK40" s="2250"/>
      <c r="DL40" s="2250"/>
      <c r="DM40" s="2250"/>
      <c r="DN40" s="2250"/>
      <c r="DO40" s="2250"/>
      <c r="DP40" s="2250"/>
      <c r="DQ40" s="2250"/>
      <c r="EX40" s="406"/>
      <c r="EY40" s="406"/>
      <c r="EZ40" s="897" t="s">
        <v>20010</v>
      </c>
      <c r="FA40" s="406"/>
      <c r="FB40" s="2281" t="s">
        <v>20011</v>
      </c>
      <c r="FC40" s="333"/>
      <c r="FD40" s="2260"/>
      <c r="FE40" s="2260"/>
      <c r="FF40" s="385"/>
      <c r="FG40" s="2253"/>
      <c r="FH40" s="2253"/>
      <c r="FI40" s="385"/>
      <c r="FJ40" s="2253"/>
      <c r="FK40" s="2253"/>
      <c r="FL40" s="385"/>
      <c r="FM40" s="2346"/>
      <c r="FN40" s="2346"/>
      <c r="FO40" s="385"/>
      <c r="FP40" s="2253"/>
      <c r="FQ40" s="2253"/>
      <c r="FR40" s="385"/>
      <c r="FS40" s="2253"/>
      <c r="FT40" s="2253"/>
      <c r="FU40" s="385"/>
      <c r="FV40" s="2253"/>
      <c r="FW40" s="2253"/>
      <c r="FX40" s="333"/>
      <c r="FY40" s="406"/>
      <c r="FZ40" s="2281"/>
      <c r="GC40" s="2197" t="s">
        <v>20023</v>
      </c>
      <c r="GD40" s="2197"/>
      <c r="GE40" s="2197"/>
      <c r="GF40" s="2197"/>
      <c r="GG40" s="2197"/>
      <c r="GH40" s="2197"/>
      <c r="GI40" s="2197"/>
      <c r="GJ40" s="2197"/>
      <c r="GK40" s="2197"/>
      <c r="GL40" s="2197"/>
      <c r="GM40" s="2197"/>
      <c r="GN40" s="2197"/>
      <c r="GO40" s="2197"/>
      <c r="GP40" s="2197"/>
      <c r="GQ40" s="2197"/>
      <c r="GR40" s="2197"/>
      <c r="GS40" s="2197"/>
      <c r="GT40" s="2197"/>
      <c r="GU40" s="2197"/>
      <c r="GV40" s="2197"/>
      <c r="GW40" s="2197"/>
      <c r="GX40" s="2195">
        <f>GX38*COS(RADIANS(GX39))</f>
        <v>21.305699248681339</v>
      </c>
      <c r="GY40" s="2195"/>
      <c r="GZ40" s="2196"/>
      <c r="HA40" s="903" t="s">
        <v>19922</v>
      </c>
      <c r="HF40" s="401"/>
    </row>
    <row r="41" spans="4:214" ht="13.5" customHeight="1">
      <c r="D41" s="908" t="s">
        <v>20033</v>
      </c>
      <c r="E41" s="716"/>
      <c r="F41" s="716"/>
      <c r="G41" s="716"/>
      <c r="H41" s="716"/>
      <c r="I41" s="716"/>
      <c r="J41" s="716"/>
      <c r="K41" s="716"/>
      <c r="L41" s="716"/>
      <c r="M41" s="716"/>
      <c r="N41" s="716"/>
      <c r="O41" s="716"/>
      <c r="P41" s="716"/>
      <c r="Q41" s="716"/>
      <c r="R41" s="716"/>
      <c r="S41" s="716"/>
      <c r="T41" s="716"/>
      <c r="U41" s="716"/>
      <c r="V41" s="716"/>
      <c r="W41" s="2369" t="s">
        <v>20030</v>
      </c>
      <c r="X41" s="2370"/>
      <c r="AG41" s="2331" t="s">
        <v>19462</v>
      </c>
      <c r="AH41" s="2331"/>
      <c r="AI41" s="2331"/>
      <c r="AJ41" s="2331"/>
      <c r="AK41" s="2331"/>
      <c r="AL41" s="2331"/>
      <c r="AM41" s="2323">
        <f>'1-Eng Inputs'!$C$32</f>
        <v>1.675</v>
      </c>
      <c r="AN41" s="2323"/>
      <c r="AO41" s="2323"/>
      <c r="AP41" s="2323"/>
      <c r="BI41" s="863"/>
      <c r="BJ41" s="882"/>
      <c r="BK41" s="882"/>
      <c r="BL41" s="882"/>
      <c r="BM41" s="882"/>
      <c r="BN41" s="882"/>
      <c r="BO41" s="882"/>
      <c r="BP41" s="882"/>
      <c r="BQ41" s="882"/>
      <c r="BR41" s="882"/>
      <c r="BS41" s="882"/>
      <c r="BT41" s="882"/>
      <c r="BU41" s="882"/>
      <c r="BV41" s="882"/>
      <c r="BW41" s="882"/>
      <c r="BX41" s="882"/>
      <c r="BY41" s="882"/>
      <c r="BZ41" s="882"/>
      <c r="CA41" s="882"/>
      <c r="CB41" s="882"/>
      <c r="CC41" s="882"/>
      <c r="CD41" s="882"/>
      <c r="CE41" s="882"/>
      <c r="CF41" s="882"/>
      <c r="CG41" s="882"/>
      <c r="CH41" s="882"/>
      <c r="CI41" s="882"/>
      <c r="CJ41" s="882"/>
      <c r="CK41" s="882"/>
      <c r="CL41" s="882"/>
      <c r="CM41" s="882"/>
      <c r="DS41" s="2235" t="s">
        <v>20014</v>
      </c>
      <c r="DT41" s="2235"/>
      <c r="DU41" s="2235"/>
      <c r="DV41" s="2235"/>
      <c r="DW41" s="2235"/>
      <c r="DX41" s="2235"/>
      <c r="DY41" s="2235"/>
      <c r="DZ41" s="2235"/>
      <c r="EA41" s="2235"/>
      <c r="EB41" s="2235"/>
      <c r="EC41" s="2235"/>
      <c r="ED41" s="2235"/>
      <c r="EE41" s="2235"/>
      <c r="EF41" s="2235"/>
      <c r="EG41" s="2235"/>
      <c r="EH41" s="2235"/>
      <c r="EI41" s="2235"/>
      <c r="EJ41" s="2235"/>
      <c r="EK41" s="2235"/>
      <c r="EL41" s="2235"/>
      <c r="EM41" s="2235"/>
      <c r="EN41" s="2235"/>
      <c r="EO41" s="2235"/>
      <c r="EP41" s="2235"/>
      <c r="EQ41" s="2235"/>
      <c r="ER41" s="2235"/>
      <c r="ES41" s="2235"/>
      <c r="ET41" s="2235"/>
      <c r="EU41" s="2235"/>
      <c r="EV41" s="2235"/>
      <c r="EW41" s="2235"/>
      <c r="EX41" s="406"/>
      <c r="EY41" s="406"/>
      <c r="EZ41" s="406"/>
      <c r="FA41" s="406"/>
      <c r="FB41" s="2281"/>
      <c r="FC41" s="412">
        <f>IF('1-Eng Inputs'!$C$3="EcoFoot 5D",,IF('1-Eng Inputs'!$C$37="Landscape",'Land Matrix 10deg (lift)'!F23,'Port Matrix (lift)'!F23))</f>
        <v>3</v>
      </c>
      <c r="FD41" s="2255">
        <f>IF('1-Eng Inputs'!$C$3="EcoFoot 5D",'Land Matrix 5deg (lift)'!F23,)</f>
        <v>0</v>
      </c>
      <c r="FE41" s="2255"/>
      <c r="FF41" s="412">
        <f>IF('1-Eng Inputs'!$C$3="EcoFoot 5D",,IF('1-Eng Inputs'!$C$37="Landscape",'Land Matrix 10deg (lift)'!H23,'Port Matrix (lift)'!H23))</f>
        <v>3</v>
      </c>
      <c r="FG41" s="2255">
        <f>IF('1-Eng Inputs'!$C$3="EcoFoot 5D",'Land Matrix 5deg (lift)'!H23,)</f>
        <v>0</v>
      </c>
      <c r="FH41" s="2255"/>
      <c r="FI41" s="412">
        <f>IF('1-Eng Inputs'!$C$3="EcoFoot 5D",,IF('1-Eng Inputs'!$C$37="Landscape",'Land Matrix 10deg (lift)'!J23,'Port Matrix (lift)'!J23))</f>
        <v>4</v>
      </c>
      <c r="FJ41" s="2255">
        <f>IF('1-Eng Inputs'!$C$3="EcoFoot 5D",'Land Matrix 5deg (lift)'!J23,)</f>
        <v>0</v>
      </c>
      <c r="FK41" s="2255"/>
      <c r="FL41" s="412">
        <f>IF('1-Eng Inputs'!$C$3="EcoFoot 5D",,IF('1-Eng Inputs'!$C$37="Landscape",'Land Matrix 10deg (lift)'!L23,'Port Matrix (lift)'!L23))</f>
        <v>4</v>
      </c>
      <c r="FM41" s="2255">
        <f>IF('1-Eng Inputs'!$C$3="EcoFoot 5D",'Land Matrix 5deg (lift)'!L23,)</f>
        <v>0</v>
      </c>
      <c r="FN41" s="2255"/>
      <c r="FO41" s="412">
        <f>IF('1-Eng Inputs'!$C$3="EcoFoot 5D",,IF('1-Eng Inputs'!$C$37="Landscape",'Land Matrix 10deg (lift)'!N23,'Port Matrix (lift)'!N23))</f>
        <v>4</v>
      </c>
      <c r="FP41" s="2255">
        <f>IF('1-Eng Inputs'!$C$3="EcoFoot 5D",'Land Matrix 5deg (lift)'!N23,)</f>
        <v>0</v>
      </c>
      <c r="FQ41" s="2255"/>
      <c r="FR41" s="412">
        <f>IF('1-Eng Inputs'!$C$3="EcoFoot 5D",,IF('1-Eng Inputs'!$C$37="Landscape",'Land Matrix 10deg (lift)'!P23,'Port Matrix (lift)'!P23))</f>
        <v>4</v>
      </c>
      <c r="FS41" s="412"/>
      <c r="FT41" s="412"/>
      <c r="FU41" s="412">
        <f>IF('1-Eng Inputs'!$C$37="Landscape",,'Port Matrix (lift)'!R23)</f>
        <v>0</v>
      </c>
      <c r="FV41" s="412"/>
      <c r="FW41" s="412"/>
      <c r="FX41" s="412">
        <f>IF('1-Eng Inputs'!$C$37="Landscape",,'Port Matrix (lift)'!T23)</f>
        <v>0</v>
      </c>
      <c r="FY41" s="406"/>
      <c r="FZ41" s="2281"/>
      <c r="GC41" s="2197" t="s">
        <v>103</v>
      </c>
      <c r="GD41" s="2197"/>
      <c r="GE41" s="2197"/>
      <c r="GF41" s="2197"/>
      <c r="GG41" s="2197"/>
      <c r="GH41" s="2197"/>
      <c r="GI41" s="2197"/>
      <c r="GJ41" s="2197"/>
      <c r="GK41" s="2197"/>
      <c r="GL41" s="2197"/>
      <c r="GM41" s="2197"/>
      <c r="GN41" s="2197"/>
      <c r="GO41" s="2197"/>
      <c r="GP41" s="2197"/>
      <c r="GQ41" s="2197"/>
      <c r="GR41" s="2197"/>
      <c r="GS41" s="2197"/>
      <c r="GT41" s="2197"/>
      <c r="GU41" s="2197"/>
      <c r="GV41" s="2197"/>
      <c r="GW41" s="2197"/>
      <c r="GX41" s="2195">
        <f>$DL$22</f>
        <v>-163.90494935931977</v>
      </c>
      <c r="GY41" s="2195"/>
      <c r="GZ41" s="2196"/>
      <c r="HA41" s="903" t="s">
        <v>35</v>
      </c>
      <c r="HF41" s="401"/>
    </row>
    <row r="42" spans="4:214" ht="13.5" customHeight="1">
      <c r="D42" s="908" t="str">
        <f>IF('1-Eng Inputs'!$C$42="Unattached",'5a-Unattached Report'!K15,'5b-Attached Report'!A20)&amp;"…………………………………………………………………………………………………..."</f>
        <v>Table 6: Seismic Design Inputs…………………………………………………………………………………………………...</v>
      </c>
      <c r="E42" s="716"/>
      <c r="F42" s="716"/>
      <c r="G42" s="716"/>
      <c r="H42" s="716"/>
      <c r="I42" s="716"/>
      <c r="J42" s="716"/>
      <c r="K42" s="716"/>
      <c r="L42" s="716"/>
      <c r="M42" s="716"/>
      <c r="N42" s="716"/>
      <c r="O42" s="716"/>
      <c r="P42" s="716"/>
      <c r="Q42" s="716"/>
      <c r="R42" s="716"/>
      <c r="S42" s="716"/>
      <c r="T42" s="716"/>
      <c r="U42" s="716"/>
      <c r="V42" s="716"/>
      <c r="W42" s="2369" t="s">
        <v>20042</v>
      </c>
      <c r="X42" s="2370"/>
      <c r="AG42" s="2309" t="s">
        <v>261</v>
      </c>
      <c r="AH42" s="2309"/>
      <c r="AI42" s="2309"/>
      <c r="AJ42" s="2309"/>
      <c r="AK42" s="2309"/>
      <c r="AL42" s="2309"/>
      <c r="AM42" s="2309" t="str">
        <f>'1-Eng Inputs'!$C$33</f>
        <v>D</v>
      </c>
      <c r="AN42" s="2309"/>
      <c r="AO42" s="2309"/>
      <c r="AP42" s="2309"/>
      <c r="BI42" s="2294" t="s">
        <v>19983</v>
      </c>
      <c r="BJ42" s="2294"/>
      <c r="BK42" s="2294"/>
      <c r="BL42" s="2294"/>
      <c r="BM42" s="2294"/>
      <c r="BN42" s="2294"/>
      <c r="BO42" s="2294"/>
      <c r="BP42" s="2294"/>
      <c r="BQ42" s="2294"/>
      <c r="BR42" s="2294"/>
      <c r="BS42" s="2294"/>
      <c r="BT42" s="2294"/>
      <c r="BU42" s="2294"/>
      <c r="BV42" s="2294"/>
      <c r="BW42" s="2294"/>
      <c r="BX42" s="2294"/>
      <c r="BY42" s="2294"/>
      <c r="BZ42" s="2294"/>
      <c r="CA42" s="2294"/>
      <c r="CB42" s="2294"/>
      <c r="CC42" s="2294"/>
      <c r="CD42" s="2294"/>
      <c r="CE42" s="2294"/>
      <c r="CF42" s="2294"/>
      <c r="CG42" s="2294"/>
      <c r="CH42" s="2294"/>
      <c r="CI42" s="2294"/>
      <c r="CJ42" s="2294"/>
      <c r="CK42" s="2294"/>
      <c r="CL42" s="2294"/>
      <c r="CM42" s="883"/>
      <c r="DS42" s="2235"/>
      <c r="DT42" s="2235"/>
      <c r="DU42" s="2235"/>
      <c r="DV42" s="2235"/>
      <c r="DW42" s="2235"/>
      <c r="DX42" s="2235"/>
      <c r="DY42" s="2235"/>
      <c r="DZ42" s="2235"/>
      <c r="EA42" s="2235"/>
      <c r="EB42" s="2235"/>
      <c r="EC42" s="2235"/>
      <c r="ED42" s="2235"/>
      <c r="EE42" s="2235"/>
      <c r="EF42" s="2235"/>
      <c r="EG42" s="2235"/>
      <c r="EH42" s="2235"/>
      <c r="EI42" s="2235"/>
      <c r="EJ42" s="2235"/>
      <c r="EK42" s="2235"/>
      <c r="EL42" s="2235"/>
      <c r="EM42" s="2235"/>
      <c r="EN42" s="2235"/>
      <c r="EO42" s="2235"/>
      <c r="EP42" s="2235"/>
      <c r="EQ42" s="2235"/>
      <c r="ER42" s="2235"/>
      <c r="ES42" s="2235"/>
      <c r="ET42" s="2235"/>
      <c r="EU42" s="2235"/>
      <c r="EV42" s="2235"/>
      <c r="EW42" s="2235"/>
      <c r="EX42" s="406"/>
      <c r="EY42" s="406"/>
      <c r="EZ42" s="406"/>
      <c r="FA42" s="406"/>
      <c r="FB42" s="2281"/>
      <c r="FC42" s="333"/>
      <c r="FD42" s="2253">
        <f>IF('1-Eng Inputs'!$C$3="EcoFoot 5D",'Land Matrix 5deg (lift)'!BJ25,IF('1-Eng Inputs'!$C$37="Landscape",'Land Matrix 10deg (lift)'!BR25,'Port Matrix (lift)'!CQ25))</f>
        <v>133.6659392311837</v>
      </c>
      <c r="FE42" s="2253"/>
      <c r="FF42" s="385"/>
      <c r="FG42" s="2253">
        <f>IF('1-Eng Inputs'!$C$3="EcoFoot 5D",'Land Matrix 5deg (lift)'!BL25,IF('1-Eng Inputs'!$C$37="Landscape",'Land Matrix 10deg (lift)'!BT25,'Port Matrix (lift)'!CS25))</f>
        <v>100.88494935931976</v>
      </c>
      <c r="FH42" s="2253"/>
      <c r="FI42" s="385"/>
      <c r="FJ42" s="2253">
        <f>IF('1-Eng Inputs'!$C$3="EcoFoot 5D",'Land Matrix 5deg (lift)'!BN25,IF('1-Eng Inputs'!$C$37="Landscape",'Land Matrix 10deg (lift)'!BV25,'Port Matrix (lift)'!CU25))</f>
        <v>100.88494935931976</v>
      </c>
      <c r="FK42" s="2253"/>
      <c r="FL42" s="385"/>
      <c r="FM42" s="2253">
        <f>IF('1-Eng Inputs'!$C$3="EcoFoot 5D",'Land Matrix 5deg (lift)'!BP25,IF('1-Eng Inputs'!$C$37="Landscape",'Land Matrix 10deg (lift)'!BX25,'Port Matrix (lift)'!CW25))</f>
        <v>100.88494935931976</v>
      </c>
      <c r="FN42" s="2253"/>
      <c r="FO42" s="385"/>
      <c r="FP42" s="2253">
        <f>IF('1-Eng Inputs'!$C$3="EcoFoot 5D",'Land Matrix 5deg (lift)'!BR25,IF('1-Eng Inputs'!$C$37="Landscape",'Land Matrix 10deg (lift)'!BZ25,'Port Matrix (lift)'!CY25))</f>
        <v>100.88494935931976</v>
      </c>
      <c r="FQ42" s="2253"/>
      <c r="FR42" s="385"/>
      <c r="FS42" s="2253" t="str">
        <f>IF('1-Eng Inputs'!$C$37="Landscape","",'Port Matrix (lift)'!DA25)</f>
        <v/>
      </c>
      <c r="FT42" s="2253"/>
      <c r="FU42" s="385"/>
      <c r="FV42" s="2253" t="str">
        <f>IF('1-Eng Inputs'!$C$37="Landscape","",'Port Matrix (lift)'!DC25)</f>
        <v/>
      </c>
      <c r="FW42" s="2253"/>
      <c r="FX42" s="333"/>
      <c r="FY42" s="406"/>
      <c r="FZ42" s="2281"/>
      <c r="GC42" s="2197" t="s">
        <v>20024</v>
      </c>
      <c r="GD42" s="2197"/>
      <c r="GE42" s="2197"/>
      <c r="GF42" s="2197"/>
      <c r="GG42" s="2197"/>
      <c r="GH42" s="2197"/>
      <c r="GI42" s="2197"/>
      <c r="GJ42" s="2197"/>
      <c r="GK42" s="2197"/>
      <c r="GL42" s="2197"/>
      <c r="GM42" s="2197"/>
      <c r="GN42" s="2197"/>
      <c r="GO42" s="2197"/>
      <c r="GP42" s="2197"/>
      <c r="GQ42" s="2197"/>
      <c r="GR42" s="2197"/>
      <c r="GS42" s="2197"/>
      <c r="GT42" s="2197"/>
      <c r="GU42" s="2197"/>
      <c r="GV42" s="2197"/>
      <c r="GW42" s="2197"/>
      <c r="GX42" s="2195">
        <f>$CD$11</f>
        <v>63.019999999999996</v>
      </c>
      <c r="GY42" s="2195"/>
      <c r="GZ42" s="2196"/>
      <c r="HA42" s="903" t="s">
        <v>35</v>
      </c>
      <c r="HF42" s="401"/>
    </row>
    <row r="43" spans="4:214" ht="13.5" customHeight="1">
      <c r="D43" s="908" t="str">
        <f>IF('1-Eng Inputs'!$L$3="YES",'5c-Uplift Attach'!C19,IF('1-Eng Inputs'!$C$42="Unattached",'5a-Unattached Report'!F32,'5b-Attached Report'!O20))&amp;"………………………………………………………………………………………"</f>
        <v>Table 7: SEAOC PV1 ΔMPV Definitions………………………………………………………………………………………</v>
      </c>
      <c r="E43" s="716"/>
      <c r="F43" s="716"/>
      <c r="G43" s="716"/>
      <c r="H43" s="716"/>
      <c r="I43" s="716"/>
      <c r="J43" s="716"/>
      <c r="K43" s="716"/>
      <c r="L43" s="716"/>
      <c r="M43" s="716"/>
      <c r="N43" s="716"/>
      <c r="O43" s="716"/>
      <c r="P43" s="716"/>
      <c r="Q43" s="716"/>
      <c r="R43" s="716"/>
      <c r="S43" s="716"/>
      <c r="T43" s="716"/>
      <c r="U43" s="716"/>
      <c r="V43" s="716"/>
      <c r="W43" s="2369" t="s">
        <v>20042</v>
      </c>
      <c r="X43" s="2370"/>
      <c r="AG43" s="2322" t="str">
        <f>IF('1-Eng Inputs'!C43="YES","Coeff. Of Friction (fn)*","Coeff. Of Friction (fn)")</f>
        <v>Coeff. Of Friction (fn)*</v>
      </c>
      <c r="AH43" s="2322"/>
      <c r="AI43" s="2322"/>
      <c r="AJ43" s="2322"/>
      <c r="AK43" s="2322"/>
      <c r="AL43" s="2322"/>
      <c r="AM43" s="2321">
        <f>MIN('Friction Data'!F34:G34)</f>
        <v>0.57999999999999996</v>
      </c>
      <c r="AN43" s="2322"/>
      <c r="AO43" s="2322"/>
      <c r="AP43" s="2322"/>
      <c r="BI43" s="2294"/>
      <c r="BJ43" s="2294"/>
      <c r="BK43" s="2294"/>
      <c r="BL43" s="2294"/>
      <c r="BM43" s="2294"/>
      <c r="BN43" s="2294"/>
      <c r="BO43" s="2294"/>
      <c r="BP43" s="2294"/>
      <c r="BQ43" s="2294"/>
      <c r="BR43" s="2294"/>
      <c r="BS43" s="2294"/>
      <c r="BT43" s="2294"/>
      <c r="BU43" s="2294"/>
      <c r="BV43" s="2294"/>
      <c r="BW43" s="2294"/>
      <c r="BX43" s="2294"/>
      <c r="BY43" s="2294"/>
      <c r="BZ43" s="2294"/>
      <c r="CA43" s="2294"/>
      <c r="CB43" s="2294"/>
      <c r="CC43" s="2294"/>
      <c r="CD43" s="2294"/>
      <c r="CE43" s="2294"/>
      <c r="CF43" s="2294"/>
      <c r="CG43" s="2294"/>
      <c r="CH43" s="2294"/>
      <c r="CI43" s="2294"/>
      <c r="CJ43" s="2294"/>
      <c r="CK43" s="2294"/>
      <c r="CL43" s="2294"/>
      <c r="CM43" s="883"/>
      <c r="DS43" s="2234" t="s">
        <v>20013</v>
      </c>
      <c r="DT43" s="2234"/>
      <c r="DU43" s="2234"/>
      <c r="DV43" s="2234"/>
      <c r="DW43" s="2234"/>
      <c r="DX43" s="2234"/>
      <c r="DY43" s="2234"/>
      <c r="DZ43" s="2234"/>
      <c r="EA43" s="2234"/>
      <c r="EB43" s="2234"/>
      <c r="EC43" s="2234"/>
      <c r="ED43" s="2234"/>
      <c r="EE43" s="2234"/>
      <c r="EF43" s="2234"/>
      <c r="EG43" s="2234"/>
      <c r="EH43" s="2234"/>
      <c r="EI43" s="2234"/>
      <c r="EJ43" s="2234"/>
      <c r="EK43" s="2234"/>
      <c r="EL43" s="2234"/>
      <c r="EM43" s="2234"/>
      <c r="EN43" s="2234"/>
      <c r="EO43" s="2234"/>
      <c r="EP43" s="2234"/>
      <c r="EQ43" s="2234"/>
      <c r="ER43" s="2234"/>
      <c r="ES43" s="2234"/>
      <c r="ET43" s="2234"/>
      <c r="EU43" s="2234"/>
      <c r="EV43" s="2234"/>
      <c r="EW43" s="2234"/>
      <c r="EX43" s="406"/>
      <c r="EY43" s="406"/>
      <c r="EZ43" s="406"/>
      <c r="FA43" s="406"/>
      <c r="FB43" s="2281"/>
      <c r="FC43" s="333"/>
      <c r="FD43" s="2253"/>
      <c r="FE43" s="2253"/>
      <c r="FF43" s="385"/>
      <c r="FG43" s="2253"/>
      <c r="FH43" s="2253"/>
      <c r="FI43" s="385"/>
      <c r="FJ43" s="2253"/>
      <c r="FK43" s="2253"/>
      <c r="FL43" s="385"/>
      <c r="FM43" s="2253"/>
      <c r="FN43" s="2253"/>
      <c r="FO43" s="385"/>
      <c r="FP43" s="2253"/>
      <c r="FQ43" s="2253"/>
      <c r="FR43" s="385"/>
      <c r="FS43" s="2253"/>
      <c r="FT43" s="2253"/>
      <c r="FU43" s="385"/>
      <c r="FV43" s="2253"/>
      <c r="FW43" s="2253"/>
      <c r="FX43" s="333"/>
      <c r="FY43" s="406"/>
      <c r="FZ43" s="2281"/>
      <c r="GA43" s="763"/>
      <c r="GB43" s="401"/>
      <c r="GC43" s="2194" t="str">
        <f>'Land Calcs 5deg (lift)'!$A$11</f>
        <v>DLFUz=Uplift design load using ASD combo #7 = dLF1*0.6 + WLFUz*0.6</v>
      </c>
      <c r="GD43" s="2194"/>
      <c r="GE43" s="2194"/>
      <c r="GF43" s="2194"/>
      <c r="GG43" s="2194"/>
      <c r="GH43" s="2194"/>
      <c r="GI43" s="2194"/>
      <c r="GJ43" s="2194"/>
      <c r="GK43" s="2194"/>
      <c r="GL43" s="2194"/>
      <c r="GM43" s="2194"/>
      <c r="GN43" s="2194"/>
      <c r="GO43" s="2194"/>
      <c r="GP43" s="2194"/>
      <c r="GQ43" s="2194"/>
      <c r="GR43" s="2194"/>
      <c r="GS43" s="2194"/>
      <c r="GT43" s="2194"/>
      <c r="GU43" s="2194"/>
      <c r="GV43" s="2194"/>
      <c r="GW43" s="2194"/>
      <c r="GX43" s="2195">
        <f>$DL$23</f>
        <v>-60.530969615591857</v>
      </c>
      <c r="GY43" s="2195"/>
      <c r="GZ43" s="2196"/>
      <c r="HA43" s="903" t="s">
        <v>35</v>
      </c>
      <c r="HB43" s="401"/>
      <c r="HC43" s="401"/>
      <c r="HD43" s="401"/>
      <c r="HE43" s="401"/>
      <c r="HF43" s="401"/>
    </row>
    <row r="44" spans="4:214" ht="13.5" customHeight="1">
      <c r="D44" s="908" t="str">
        <f>IF('1-Eng Inputs'!$L$3="YES",'5c-Uplift Attach'!B38,IF('1-Eng Inputs'!$C$42="Unattached",'5a-Unattached Report'!F45,'5b-Attached Report'!AI17))&amp;"………………………………………………………………………………………"</f>
        <v>Table 8: SEAOC PV1 Array Setback Requirement Calculations………………………………………………………………………………………</v>
      </c>
      <c r="E44" s="716"/>
      <c r="F44" s="716"/>
      <c r="G44" s="716"/>
      <c r="H44" s="716"/>
      <c r="I44" s="716"/>
      <c r="J44" s="716"/>
      <c r="K44" s="716"/>
      <c r="L44" s="716"/>
      <c r="M44" s="716"/>
      <c r="N44" s="716"/>
      <c r="O44" s="716"/>
      <c r="P44" s="716"/>
      <c r="Q44" s="716"/>
      <c r="R44" s="716"/>
      <c r="S44" s="716"/>
      <c r="T44" s="716"/>
      <c r="U44" s="716"/>
      <c r="V44" s="716"/>
      <c r="W44" s="2369" t="str">
        <f>IF('1-Eng Inputs'!$L$3="YES","Page 8",IF('1-Eng Inputs'!$C$42="Unattached","Page 8","Page 9"))</f>
        <v>Page 8</v>
      </c>
      <c r="X44" s="2370"/>
      <c r="AH44" s="1056" t="str">
        <f>IF('1-Eng Inputs'!C43="YES","*req's slip sheets","")</f>
        <v>*req's slip sheets</v>
      </c>
      <c r="BI44" s="2193" t="s">
        <v>20032</v>
      </c>
      <c r="BJ44" s="2193"/>
      <c r="BK44" s="2193"/>
      <c r="BL44" s="2193"/>
      <c r="BM44" s="2193"/>
      <c r="BN44" s="2193"/>
      <c r="BO44" s="2193"/>
      <c r="BP44" s="2193"/>
      <c r="BQ44" s="2193"/>
      <c r="BR44" s="2193"/>
      <c r="BS44" s="2193"/>
      <c r="BT44" s="2193"/>
      <c r="BU44" s="2193"/>
      <c r="BV44" s="2193"/>
      <c r="BW44" s="2193"/>
      <c r="BX44" s="2193"/>
      <c r="BY44" s="2193"/>
      <c r="BZ44" s="2193"/>
      <c r="CA44" s="2193"/>
      <c r="CB44" s="2193"/>
      <c r="CC44" s="2193"/>
      <c r="CD44" s="2193"/>
      <c r="CE44" s="2193"/>
      <c r="CF44" s="2193"/>
      <c r="CG44" s="2193"/>
      <c r="CH44" s="2193"/>
      <c r="CI44" s="2193"/>
      <c r="CJ44" s="2193"/>
      <c r="CK44" s="2193"/>
      <c r="CL44" s="2193"/>
      <c r="CM44" s="863"/>
      <c r="DS44" s="2234"/>
      <c r="DT44" s="2234"/>
      <c r="DU44" s="2234"/>
      <c r="DV44" s="2234"/>
      <c r="DW44" s="2234"/>
      <c r="DX44" s="2234"/>
      <c r="DY44" s="2234"/>
      <c r="DZ44" s="2234"/>
      <c r="EA44" s="2234"/>
      <c r="EB44" s="2234"/>
      <c r="EC44" s="2234"/>
      <c r="ED44" s="2234"/>
      <c r="EE44" s="2234"/>
      <c r="EF44" s="2234"/>
      <c r="EG44" s="2234"/>
      <c r="EH44" s="2234"/>
      <c r="EI44" s="2234"/>
      <c r="EJ44" s="2234"/>
      <c r="EK44" s="2234"/>
      <c r="EL44" s="2234"/>
      <c r="EM44" s="2234"/>
      <c r="EN44" s="2234"/>
      <c r="EO44" s="2234"/>
      <c r="EP44" s="2234"/>
      <c r="EQ44" s="2234"/>
      <c r="ER44" s="2234"/>
      <c r="ES44" s="2234"/>
      <c r="ET44" s="2234"/>
      <c r="EU44" s="2234"/>
      <c r="EV44" s="2234"/>
      <c r="EW44" s="2234"/>
      <c r="EX44" s="406"/>
      <c r="EY44" s="406"/>
      <c r="EZ44" s="406"/>
      <c r="FA44" s="406"/>
      <c r="FB44" s="2281"/>
      <c r="FC44" s="412">
        <f>IF('1-Eng Inputs'!$C$3="EcoFoot 5D",,IF('1-Eng Inputs'!$C$37="Landscape",'Land Matrix 10deg (lift)'!F26,'Port Matrix (lift)'!F26))</f>
        <v>3</v>
      </c>
      <c r="FD44" s="2255">
        <f>IF('1-Eng Inputs'!$C$3="EcoFoot 5D",'Land Matrix 5deg (lift)'!F26,)</f>
        <v>0</v>
      </c>
      <c r="FE44" s="2255"/>
      <c r="FF44" s="412">
        <f>IF('1-Eng Inputs'!$C$3="EcoFoot 5D",,IF('1-Eng Inputs'!$C$37="Landscape",'Land Matrix 10deg (lift)'!H26,'Port Matrix (lift)'!H26))</f>
        <v>3</v>
      </c>
      <c r="FG44" s="2255">
        <f>IF('1-Eng Inputs'!$C$3="EcoFoot 5D",'Land Matrix 5deg (lift)'!H26,)</f>
        <v>0</v>
      </c>
      <c r="FH44" s="2255"/>
      <c r="FI44" s="412">
        <f>IF('1-Eng Inputs'!$C$3="EcoFoot 5D",,IF('1-Eng Inputs'!$C$37="Landscape",'Land Matrix 10deg (lift)'!J26,'Port Matrix (lift)'!J26))</f>
        <v>4</v>
      </c>
      <c r="FJ44" s="2255">
        <f>IF('1-Eng Inputs'!$C$3="EcoFoot 5D",'Land Matrix 5deg (lift)'!J26,)</f>
        <v>0</v>
      </c>
      <c r="FK44" s="2255"/>
      <c r="FL44" s="412">
        <f>IF('1-Eng Inputs'!$C$3="EcoFoot 5D",,IF('1-Eng Inputs'!$C$37="Landscape",'Land Matrix 10deg (lift)'!L26,'Port Matrix (lift)'!L26))</f>
        <v>4</v>
      </c>
      <c r="FM44" s="2255">
        <f>IF('1-Eng Inputs'!$C$3="EcoFoot 5D",'Land Matrix 5deg (lift)'!L26,)</f>
        <v>0</v>
      </c>
      <c r="FN44" s="2255"/>
      <c r="FO44" s="412">
        <f>IF('1-Eng Inputs'!$C$3="EcoFoot 5D",,IF('1-Eng Inputs'!$C$37="Landscape",'Land Matrix 10deg (lift)'!N26,'Port Matrix (lift)'!N26))</f>
        <v>4</v>
      </c>
      <c r="FP44" s="2255">
        <f>IF('1-Eng Inputs'!$C$3="EcoFoot 5D",'Land Matrix 5deg (lift)'!N26,)</f>
        <v>0</v>
      </c>
      <c r="FQ44" s="2255"/>
      <c r="FR44" s="412">
        <f>IF('1-Eng Inputs'!$C$3="EcoFoot 5D",,IF('1-Eng Inputs'!$C$37="Landscape",'Land Matrix 10deg (lift)'!P26,'Port Matrix (lift)'!P26))</f>
        <v>4</v>
      </c>
      <c r="FS44" s="412"/>
      <c r="FT44" s="412"/>
      <c r="FU44" s="412">
        <f>IF('1-Eng Inputs'!$C$37="Landscape",,'Port Matrix (lift)'!R26)</f>
        <v>0</v>
      </c>
      <c r="FV44" s="412"/>
      <c r="FW44" s="412"/>
      <c r="FX44" s="412">
        <f>IF('1-Eng Inputs'!$C$37="Landscape",,'Port Matrix (lift)'!T26)</f>
        <v>0</v>
      </c>
      <c r="FZ44" s="2281"/>
      <c r="GA44" s="763"/>
      <c r="GB44" s="401"/>
      <c r="GC44" s="2197" t="str">
        <f>'Land Calcs 5deg (lift)'!$A$12</f>
        <v>BWuz=ballast weight required to resist wind uplift= -DLFUz/0.6</v>
      </c>
      <c r="GD44" s="2197"/>
      <c r="GE44" s="2197"/>
      <c r="GF44" s="2197"/>
      <c r="GG44" s="2197"/>
      <c r="GH44" s="2197"/>
      <c r="GI44" s="2197"/>
      <c r="GJ44" s="2197"/>
      <c r="GK44" s="2197"/>
      <c r="GL44" s="2197"/>
      <c r="GM44" s="2197"/>
      <c r="GN44" s="2197"/>
      <c r="GO44" s="2197"/>
      <c r="GP44" s="2197"/>
      <c r="GQ44" s="2197"/>
      <c r="GR44" s="2197"/>
      <c r="GS44" s="2197"/>
      <c r="GT44" s="2197"/>
      <c r="GU44" s="2197"/>
      <c r="GV44" s="2197"/>
      <c r="GW44" s="2197"/>
      <c r="GX44" s="2195">
        <f>$DL$24</f>
        <v>100.88494935931976</v>
      </c>
      <c r="GY44" s="2195"/>
      <c r="GZ44" s="2196"/>
      <c r="HA44" s="903" t="s">
        <v>35</v>
      </c>
    </row>
    <row r="45" spans="4:214" ht="13.5" customHeight="1">
      <c r="D45" s="908" t="str">
        <f>IF('1-Eng Inputs'!$L$3="YES",'5c-Uplift Attach'!O38,IF('1-Eng Inputs'!$C$42="Unattached",'5a-Unattached Report'!AM17,'5b-Attached Report'!AK35))&amp;"………………………………………………………………………………………"</f>
        <v>Table 9: EcoFoot2+ Interconnection Strength………………………………………………………………………………………</v>
      </c>
      <c r="E45" s="716"/>
      <c r="F45" s="716"/>
      <c r="G45" s="716"/>
      <c r="H45" s="716"/>
      <c r="I45" s="716"/>
      <c r="J45" s="716"/>
      <c r="K45" s="716"/>
      <c r="L45" s="716"/>
      <c r="M45" s="716"/>
      <c r="N45" s="716"/>
      <c r="O45" s="716"/>
      <c r="P45" s="716"/>
      <c r="Q45" s="716"/>
      <c r="R45" s="716"/>
      <c r="S45" s="716"/>
      <c r="T45" s="716"/>
      <c r="U45" s="716"/>
      <c r="V45" s="716"/>
      <c r="W45" s="2369" t="str">
        <f>IF('1-Eng Inputs'!$L$3="YES","Page 8","Page 9")</f>
        <v>Page 9</v>
      </c>
      <c r="X45" s="2370"/>
      <c r="BI45" s="2193"/>
      <c r="BJ45" s="2193"/>
      <c r="BK45" s="2193"/>
      <c r="BL45" s="2193"/>
      <c r="BM45" s="2193"/>
      <c r="BN45" s="2193"/>
      <c r="BO45" s="2193"/>
      <c r="BP45" s="2193"/>
      <c r="BQ45" s="2193"/>
      <c r="BR45" s="2193"/>
      <c r="BS45" s="2193"/>
      <c r="BT45" s="2193"/>
      <c r="BU45" s="2193"/>
      <c r="BV45" s="2193"/>
      <c r="BW45" s="2193"/>
      <c r="BX45" s="2193"/>
      <c r="BY45" s="2193"/>
      <c r="BZ45" s="2193"/>
      <c r="CA45" s="2193"/>
      <c r="CB45" s="2193"/>
      <c r="CC45" s="2193"/>
      <c r="CD45" s="2193"/>
      <c r="CE45" s="2193"/>
      <c r="CF45" s="2193"/>
      <c r="CG45" s="2193"/>
      <c r="CH45" s="2193"/>
      <c r="CI45" s="2193"/>
      <c r="CJ45" s="2193"/>
      <c r="CK45" s="2193"/>
      <c r="CL45" s="2193"/>
      <c r="CM45" s="863"/>
      <c r="DS45" s="2234"/>
      <c r="DT45" s="2234"/>
      <c r="DU45" s="2234"/>
      <c r="DV45" s="2234"/>
      <c r="DW45" s="2234"/>
      <c r="DX45" s="2234"/>
      <c r="DY45" s="2234"/>
      <c r="DZ45" s="2234"/>
      <c r="EA45" s="2234"/>
      <c r="EB45" s="2234"/>
      <c r="EC45" s="2234"/>
      <c r="ED45" s="2234"/>
      <c r="EE45" s="2234"/>
      <c r="EF45" s="2234"/>
      <c r="EG45" s="2234"/>
      <c r="EH45" s="2234"/>
      <c r="EI45" s="2234"/>
      <c r="EJ45" s="2234"/>
      <c r="EK45" s="2234"/>
      <c r="EL45" s="2234"/>
      <c r="EM45" s="2234"/>
      <c r="EN45" s="2234"/>
      <c r="EO45" s="2234"/>
      <c r="EP45" s="2234"/>
      <c r="EQ45" s="2234"/>
      <c r="ER45" s="2234"/>
      <c r="ES45" s="2234"/>
      <c r="ET45" s="2234"/>
      <c r="EU45" s="2234"/>
      <c r="EV45" s="2234"/>
      <c r="EW45" s="2234"/>
      <c r="FB45" s="2281"/>
      <c r="FC45" s="333"/>
      <c r="FD45" s="2253">
        <f>IF('1-Eng Inputs'!$C$3="EcoFoot 5D",'Land Matrix 5deg (lift)'!BJ28,IF('1-Eng Inputs'!$C$37="Landscape",'Land Matrix 10deg (lift)'!BR28,'Port Matrix (lift)'!CQ28))</f>
        <v>133.6659392311837</v>
      </c>
      <c r="FE45" s="2253"/>
      <c r="FF45" s="385"/>
      <c r="FG45" s="2253">
        <f>IF('1-Eng Inputs'!$C$3="EcoFoot 5D",'Land Matrix 5deg (lift)'!BL28,IF('1-Eng Inputs'!$C$37="Landscape",'Land Matrix 10deg (lift)'!BT28,'Port Matrix (lift)'!CS28))</f>
        <v>100.88494935931976</v>
      </c>
      <c r="FH45" s="2253"/>
      <c r="FI45" s="385"/>
      <c r="FJ45" s="2253">
        <f>IF('1-Eng Inputs'!$C$3="EcoFoot 5D",'Land Matrix 5deg (lift)'!BN28,IF('1-Eng Inputs'!$C$37="Landscape",'Land Matrix 10deg (lift)'!BV28,'Port Matrix (lift)'!CU28))</f>
        <v>100.88494935931976</v>
      </c>
      <c r="FK45" s="2253"/>
      <c r="FL45" s="385"/>
      <c r="FM45" s="2253">
        <f>IF('1-Eng Inputs'!$C$3="EcoFoot 5D",'Land Matrix 5deg (lift)'!BP28,IF('1-Eng Inputs'!$C$37="Landscape",'Land Matrix 10deg (lift)'!BX28,'Port Matrix (lift)'!CW28))</f>
        <v>100.88494935931976</v>
      </c>
      <c r="FN45" s="2253"/>
      <c r="FO45" s="385"/>
      <c r="FP45" s="2253">
        <f>IF('1-Eng Inputs'!$C$3="EcoFoot 5D",'Land Matrix 5deg (lift)'!BR28,IF('1-Eng Inputs'!$C$37="Landscape",'Land Matrix 10deg (lift)'!BZ28,'Port Matrix (lift)'!CY28))</f>
        <v>100.88494935931976</v>
      </c>
      <c r="FQ45" s="2253"/>
      <c r="FR45" s="385"/>
      <c r="FS45" s="2253" t="str">
        <f>IF('1-Eng Inputs'!$C$37="Landscape","",'Port Matrix (lift)'!DA28)</f>
        <v/>
      </c>
      <c r="FT45" s="2253"/>
      <c r="FU45" s="385"/>
      <c r="FV45" s="2253" t="str">
        <f>IF('1-Eng Inputs'!$C$37="Landscape","",'Port Matrix (lift)'!DC28)</f>
        <v/>
      </c>
      <c r="FW45" s="2253"/>
      <c r="FX45" s="333"/>
      <c r="FZ45" s="2281"/>
      <c r="GA45" s="763"/>
      <c r="GB45" s="401"/>
    </row>
    <row r="46" spans="4:214" ht="13.5" customHeight="1">
      <c r="D46" s="909" t="str">
        <f>IF('1-Eng Inputs'!$L$3="YES","",IF('1-Eng Inputs'!$C$42="Unattached",'5a-Unattached Report'!AH32,""))&amp;"……………………………………………………………………………………………………………………………………………………………………….."</f>
        <v>Table 10: Maximum W1, and W1 side modules………………………………………………………………………………………………………………………………………………………………………..</v>
      </c>
      <c r="E46" s="910"/>
      <c r="F46" s="910"/>
      <c r="G46" s="910"/>
      <c r="H46" s="910"/>
      <c r="I46" s="910"/>
      <c r="J46" s="910"/>
      <c r="K46" s="910"/>
      <c r="L46" s="910"/>
      <c r="M46" s="910"/>
      <c r="N46" s="910"/>
      <c r="O46" s="910"/>
      <c r="P46" s="910"/>
      <c r="Q46" s="910"/>
      <c r="R46" s="910"/>
      <c r="S46" s="910"/>
      <c r="T46" s="910"/>
      <c r="U46" s="910"/>
      <c r="V46" s="910"/>
      <c r="W46" s="2371" t="str">
        <f>IF('1-Eng Inputs'!$L$3="YES","……………....",IF('1-Eng Inputs'!$C$42="Unattached","Page 9","…………..."))</f>
        <v>Page 9</v>
      </c>
      <c r="X46" s="2372"/>
      <c r="BI46" s="2193"/>
      <c r="BJ46" s="2193"/>
      <c r="BK46" s="2193"/>
      <c r="BL46" s="2193"/>
      <c r="BM46" s="2193"/>
      <c r="BN46" s="2193"/>
      <c r="BO46" s="2193"/>
      <c r="BP46" s="2193"/>
      <c r="BQ46" s="2193"/>
      <c r="BR46" s="2193"/>
      <c r="BS46" s="2193"/>
      <c r="BT46" s="2193"/>
      <c r="BU46" s="2193"/>
      <c r="BV46" s="2193"/>
      <c r="BW46" s="2193"/>
      <c r="BX46" s="2193"/>
      <c r="BY46" s="2193"/>
      <c r="BZ46" s="2193"/>
      <c r="CA46" s="2193"/>
      <c r="CB46" s="2193"/>
      <c r="CC46" s="2193"/>
      <c r="CD46" s="2193"/>
      <c r="CE46" s="2193"/>
      <c r="CF46" s="2193"/>
      <c r="CG46" s="2193"/>
      <c r="CH46" s="2193"/>
      <c r="CI46" s="2193"/>
      <c r="CJ46" s="2193"/>
      <c r="CK46" s="2193"/>
      <c r="CL46" s="2193"/>
      <c r="CM46" s="863"/>
      <c r="DS46" s="2234"/>
      <c r="DT46" s="2234"/>
      <c r="DU46" s="2234"/>
      <c r="DV46" s="2234"/>
      <c r="DW46" s="2234"/>
      <c r="DX46" s="2234"/>
      <c r="DY46" s="2234"/>
      <c r="DZ46" s="2234"/>
      <c r="EA46" s="2234"/>
      <c r="EB46" s="2234"/>
      <c r="EC46" s="2234"/>
      <c r="ED46" s="2234"/>
      <c r="EE46" s="2234"/>
      <c r="EF46" s="2234"/>
      <c r="EG46" s="2234"/>
      <c r="EH46" s="2234"/>
      <c r="EI46" s="2234"/>
      <c r="EJ46" s="2234"/>
      <c r="EK46" s="2234"/>
      <c r="EL46" s="2234"/>
      <c r="EM46" s="2234"/>
      <c r="EN46" s="2234"/>
      <c r="EO46" s="2234"/>
      <c r="EP46" s="2234"/>
      <c r="EQ46" s="2234"/>
      <c r="ER46" s="2234"/>
      <c r="ES46" s="2234"/>
      <c r="ET46" s="2234"/>
      <c r="EU46" s="2234"/>
      <c r="EV46" s="2234"/>
      <c r="EW46" s="2234"/>
      <c r="FB46" s="2281"/>
      <c r="FC46" s="333"/>
      <c r="FD46" s="2253"/>
      <c r="FE46" s="2253"/>
      <c r="FF46" s="385"/>
      <c r="FG46" s="2253"/>
      <c r="FH46" s="2253"/>
      <c r="FI46" s="385"/>
      <c r="FJ46" s="2253"/>
      <c r="FK46" s="2253"/>
      <c r="FL46" s="385"/>
      <c r="FM46" s="2253"/>
      <c r="FN46" s="2253"/>
      <c r="FO46" s="385"/>
      <c r="FP46" s="2253"/>
      <c r="FQ46" s="2253"/>
      <c r="FR46" s="385"/>
      <c r="FS46" s="2253"/>
      <c r="FT46" s="2253"/>
      <c r="FU46" s="385"/>
      <c r="FV46" s="2253"/>
      <c r="FW46" s="2253"/>
      <c r="FX46" s="333"/>
      <c r="FY46" s="415"/>
      <c r="FZ46" s="2281"/>
      <c r="GA46" s="763"/>
      <c r="GB46" s="401"/>
    </row>
    <row r="47" spans="4:214" ht="13.5" customHeight="1">
      <c r="AE47" s="2234" t="s">
        <v>19982</v>
      </c>
      <c r="AF47" s="2234"/>
      <c r="AG47" s="2234"/>
      <c r="AH47" s="2234"/>
      <c r="AI47" s="2234"/>
      <c r="AJ47" s="2234"/>
      <c r="AK47" s="2234"/>
      <c r="AL47" s="2234"/>
      <c r="AM47" s="2234"/>
      <c r="AN47" s="2234"/>
      <c r="AO47" s="2234"/>
      <c r="AP47" s="2234"/>
      <c r="AQ47" s="2234"/>
      <c r="AR47" s="2234"/>
      <c r="AS47" s="2234"/>
      <c r="AT47" s="2234"/>
      <c r="AU47" s="2234"/>
      <c r="AV47" s="2234"/>
      <c r="AW47" s="2234"/>
      <c r="AX47" s="2234"/>
      <c r="AY47" s="2234"/>
      <c r="AZ47" s="2234"/>
      <c r="BA47" s="2234"/>
      <c r="BB47" s="2234"/>
      <c r="BC47" s="2234"/>
      <c r="BD47" s="2234"/>
      <c r="BE47" s="2234"/>
      <c r="BF47" s="2234"/>
      <c r="BG47" s="2234"/>
      <c r="BH47" s="2234"/>
      <c r="BI47" s="2193"/>
      <c r="BJ47" s="2193"/>
      <c r="BK47" s="2193"/>
      <c r="BL47" s="2193"/>
      <c r="BM47" s="2193"/>
      <c r="BN47" s="2193"/>
      <c r="BO47" s="2193"/>
      <c r="BP47" s="2193"/>
      <c r="BQ47" s="2193"/>
      <c r="BR47" s="2193"/>
      <c r="BS47" s="2193"/>
      <c r="BT47" s="2193"/>
      <c r="BU47" s="2193"/>
      <c r="BV47" s="2193"/>
      <c r="BW47" s="2193"/>
      <c r="BX47" s="2193"/>
      <c r="BY47" s="2193"/>
      <c r="BZ47" s="2193"/>
      <c r="CA47" s="2193"/>
      <c r="CB47" s="2193"/>
      <c r="CC47" s="2193"/>
      <c r="CD47" s="2193"/>
      <c r="CE47" s="2193"/>
      <c r="CF47" s="2193"/>
      <c r="CG47" s="2193"/>
      <c r="CH47" s="2193"/>
      <c r="CI47" s="2193"/>
      <c r="CJ47" s="2193"/>
      <c r="CK47" s="2193"/>
      <c r="CL47" s="2193"/>
      <c r="CM47" s="863"/>
      <c r="DS47" s="2234"/>
      <c r="DT47" s="2234"/>
      <c r="DU47" s="2234"/>
      <c r="DV47" s="2234"/>
      <c r="DW47" s="2234"/>
      <c r="DX47" s="2234"/>
      <c r="DY47" s="2234"/>
      <c r="DZ47" s="2234"/>
      <c r="EA47" s="2234"/>
      <c r="EB47" s="2234"/>
      <c r="EC47" s="2234"/>
      <c r="ED47" s="2234"/>
      <c r="EE47" s="2234"/>
      <c r="EF47" s="2234"/>
      <c r="EG47" s="2234"/>
      <c r="EH47" s="2234"/>
      <c r="EI47" s="2234"/>
      <c r="EJ47" s="2234"/>
      <c r="EK47" s="2234"/>
      <c r="EL47" s="2234"/>
      <c r="EM47" s="2234"/>
      <c r="EN47" s="2234"/>
      <c r="EO47" s="2234"/>
      <c r="EP47" s="2234"/>
      <c r="EQ47" s="2234"/>
      <c r="ER47" s="2234"/>
      <c r="ES47" s="2234"/>
      <c r="ET47" s="2234"/>
      <c r="EU47" s="2234"/>
      <c r="EV47" s="2234"/>
      <c r="EW47" s="2234"/>
      <c r="EX47" s="415"/>
      <c r="EY47" s="415"/>
      <c r="EZ47" s="415"/>
      <c r="FA47" s="415"/>
      <c r="FC47" s="412">
        <f>IF('1-Eng Inputs'!$C$3="EcoFoot 5D",,IF('1-Eng Inputs'!$C$37="Landscape",'Land Matrix 10deg (lift)'!F29,'Port Matrix (lift)'!F29))</f>
        <v>3</v>
      </c>
      <c r="FD47" s="2255">
        <f>IF('1-Eng Inputs'!$C$3="EcoFoot 5D",'Land Matrix 5deg (lift)'!F29,)</f>
        <v>0</v>
      </c>
      <c r="FE47" s="2255"/>
      <c r="FF47" s="412">
        <f>IF('1-Eng Inputs'!$C$3="EcoFoot 5D",,IF('1-Eng Inputs'!$C$37="Landscape",'Land Matrix 10deg (lift)'!H29,'Port Matrix (lift)'!H29))</f>
        <v>3</v>
      </c>
      <c r="FG47" s="2255">
        <f>IF('1-Eng Inputs'!$C$3="EcoFoot 5D",'Land Matrix 5deg (lift)'!H29,)</f>
        <v>0</v>
      </c>
      <c r="FH47" s="2255"/>
      <c r="FI47" s="412">
        <f>IF('1-Eng Inputs'!$C$3="EcoFoot 5D",,IF('1-Eng Inputs'!$C$37="Landscape",'Land Matrix 10deg (lift)'!J29,'Port Matrix (lift)'!J29))</f>
        <v>4</v>
      </c>
      <c r="FJ47" s="2255">
        <f>IF('1-Eng Inputs'!$C$3="EcoFoot 5D",'Land Matrix 5deg (lift)'!J29,)</f>
        <v>0</v>
      </c>
      <c r="FK47" s="2255"/>
      <c r="FL47" s="412">
        <f>IF('1-Eng Inputs'!$C$3="EcoFoot 5D",,IF('1-Eng Inputs'!$C$37="Landscape",'Land Matrix 10deg (lift)'!L29,'Port Matrix (lift)'!L29))</f>
        <v>4</v>
      </c>
      <c r="FM47" s="2255">
        <f>IF('1-Eng Inputs'!$C$3="EcoFoot 5D",'Land Matrix 5deg (lift)'!L29,)</f>
        <v>0</v>
      </c>
      <c r="FN47" s="2255"/>
      <c r="FO47" s="412">
        <f>IF('1-Eng Inputs'!$C$3="EcoFoot 5D",,IF('1-Eng Inputs'!$C$37="Landscape",'Land Matrix 10deg (lift)'!N29,'Port Matrix (lift)'!N29))</f>
        <v>4</v>
      </c>
      <c r="FP47" s="2255">
        <f>IF('1-Eng Inputs'!$C$3="EcoFoot 5D",'Land Matrix 5deg (lift)'!N29,)</f>
        <v>0</v>
      </c>
      <c r="FQ47" s="2255"/>
      <c r="FR47" s="412">
        <f>IF('1-Eng Inputs'!$C$3="EcoFoot 5D",,IF('1-Eng Inputs'!$C$37="Landscape",'Land Matrix 10deg (lift)'!P29,'Port Matrix (lift)'!P29))</f>
        <v>4</v>
      </c>
      <c r="FS47" s="412"/>
      <c r="FT47" s="412"/>
      <c r="FU47" s="412">
        <f>IF('1-Eng Inputs'!$C$37="Landscape",,'Port Matrix (lift)'!R29)</f>
        <v>0</v>
      </c>
      <c r="FV47" s="412"/>
      <c r="FW47" s="412"/>
      <c r="FX47" s="412">
        <f>IF('1-Eng Inputs'!$C$37="Landscape",,'Port Matrix (lift)'!T29)</f>
        <v>0</v>
      </c>
      <c r="FY47" s="415"/>
      <c r="FZ47" s="2281"/>
      <c r="GA47" s="763"/>
      <c r="GB47" s="401"/>
    </row>
    <row r="48" spans="4:214" ht="13.5" customHeight="1">
      <c r="AE48" s="2234"/>
      <c r="AF48" s="2234"/>
      <c r="AG48" s="2234"/>
      <c r="AH48" s="2234"/>
      <c r="AI48" s="2234"/>
      <c r="AJ48" s="2234"/>
      <c r="AK48" s="2234"/>
      <c r="AL48" s="2234"/>
      <c r="AM48" s="2234"/>
      <c r="AN48" s="2234"/>
      <c r="AO48" s="2234"/>
      <c r="AP48" s="2234"/>
      <c r="AQ48" s="2234"/>
      <c r="AR48" s="2234"/>
      <c r="AS48" s="2234"/>
      <c r="AT48" s="2234"/>
      <c r="AU48" s="2234"/>
      <c r="AV48" s="2234"/>
      <c r="AW48" s="2234"/>
      <c r="AX48" s="2234"/>
      <c r="AY48" s="2234"/>
      <c r="AZ48" s="2234"/>
      <c r="BA48" s="2234"/>
      <c r="BB48" s="2234"/>
      <c r="BC48" s="2234"/>
      <c r="BD48" s="2234"/>
      <c r="BE48" s="2234"/>
      <c r="BF48" s="2234"/>
      <c r="BG48" s="2234"/>
      <c r="BH48" s="2234"/>
      <c r="BI48" s="2193"/>
      <c r="BJ48" s="2193"/>
      <c r="BK48" s="2193"/>
      <c r="BL48" s="2193"/>
      <c r="BM48" s="2193"/>
      <c r="BN48" s="2193"/>
      <c r="BO48" s="2193"/>
      <c r="BP48" s="2193"/>
      <c r="BQ48" s="2193"/>
      <c r="BR48" s="2193"/>
      <c r="BS48" s="2193"/>
      <c r="BT48" s="2193"/>
      <c r="BU48" s="2193"/>
      <c r="BV48" s="2193"/>
      <c r="BW48" s="2193"/>
      <c r="BX48" s="2193"/>
      <c r="BY48" s="2193"/>
      <c r="BZ48" s="2193"/>
      <c r="CA48" s="2193"/>
      <c r="CB48" s="2193"/>
      <c r="CC48" s="2193"/>
      <c r="CD48" s="2193"/>
      <c r="CE48" s="2193"/>
      <c r="CF48" s="2193"/>
      <c r="CG48" s="2193"/>
      <c r="CH48" s="2193"/>
      <c r="CI48" s="2193"/>
      <c r="CJ48" s="2193"/>
      <c r="CK48" s="2193"/>
      <c r="CL48" s="2193"/>
      <c r="CM48" s="863"/>
      <c r="DS48" s="2234"/>
      <c r="DT48" s="2234"/>
      <c r="DU48" s="2234"/>
      <c r="DV48" s="2234"/>
      <c r="DW48" s="2234"/>
      <c r="DX48" s="2234"/>
      <c r="DY48" s="2234"/>
      <c r="DZ48" s="2234"/>
      <c r="EA48" s="2234"/>
      <c r="EB48" s="2234"/>
      <c r="EC48" s="2234"/>
      <c r="ED48" s="2234"/>
      <c r="EE48" s="2234"/>
      <c r="EF48" s="2234"/>
      <c r="EG48" s="2234"/>
      <c r="EH48" s="2234"/>
      <c r="EI48" s="2234"/>
      <c r="EJ48" s="2234"/>
      <c r="EK48" s="2234"/>
      <c r="EL48" s="2234"/>
      <c r="EM48" s="2234"/>
      <c r="EN48" s="2234"/>
      <c r="EO48" s="2234"/>
      <c r="EP48" s="2234"/>
      <c r="EQ48" s="2234"/>
      <c r="ER48" s="2234"/>
      <c r="ES48" s="2234"/>
      <c r="ET48" s="2234"/>
      <c r="EU48" s="2234"/>
      <c r="EV48" s="2234"/>
      <c r="EW48" s="2234"/>
      <c r="EX48" s="415"/>
      <c r="EY48" s="415"/>
      <c r="EZ48" s="415"/>
      <c r="FA48" s="415"/>
      <c r="FC48" s="333"/>
      <c r="FD48" s="2253">
        <f>IF('1-Eng Inputs'!$C$3="EcoFoot 5D",'Land Matrix 5deg (lift)'!BJ31,IF('1-Eng Inputs'!$C$37="Landscape",'Land Matrix 10deg (lift)'!BR31,'Port Matrix (lift)'!CQ31))</f>
        <v>133.6659392311837</v>
      </c>
      <c r="FE48" s="2253"/>
      <c r="FF48" s="385"/>
      <c r="FG48" s="2253">
        <f>IF('1-Eng Inputs'!$C$3="EcoFoot 5D",'Land Matrix 5deg (lift)'!BL31,IF('1-Eng Inputs'!$C$37="Landscape",'Land Matrix 10deg (lift)'!BT31,'Port Matrix (lift)'!CS31))</f>
        <v>100.88494935931976</v>
      </c>
      <c r="FH48" s="2253"/>
      <c r="FI48" s="385"/>
      <c r="FJ48" s="2253">
        <f>IF('1-Eng Inputs'!$C$3="EcoFoot 5D",'Land Matrix 5deg (lift)'!BN31,IF('1-Eng Inputs'!$C$37="Landscape",'Land Matrix 10deg (lift)'!BV31,'Port Matrix (lift)'!CU31))</f>
        <v>100.88494935931976</v>
      </c>
      <c r="FK48" s="2253"/>
      <c r="FL48" s="385"/>
      <c r="FM48" s="2253">
        <f>IF('1-Eng Inputs'!$C$3="EcoFoot 5D",'Land Matrix 5deg (lift)'!BP31,IF('1-Eng Inputs'!$C$37="Landscape",'Land Matrix 10deg (lift)'!BX31,'Port Matrix (lift)'!CW31))</f>
        <v>100.88494935931976</v>
      </c>
      <c r="FN48" s="2253"/>
      <c r="FO48" s="385"/>
      <c r="FP48" s="2253">
        <f>IF('1-Eng Inputs'!$C$3="EcoFoot 5D",'Land Matrix 5deg (lift)'!BR31,IF('1-Eng Inputs'!$C$37="Landscape",'Land Matrix 10deg (lift)'!BZ31,'Port Matrix (lift)'!CY31))</f>
        <v>100.88494935931976</v>
      </c>
      <c r="FQ48" s="2253"/>
      <c r="FR48" s="385"/>
      <c r="FS48" s="2253" t="str">
        <f>IF('1-Eng Inputs'!$C$37="Landscape","",'Port Matrix (lift)'!DA31)</f>
        <v/>
      </c>
      <c r="FT48" s="2253"/>
      <c r="FU48" s="385"/>
      <c r="FV48" s="2253" t="str">
        <f>IF('1-Eng Inputs'!$C$37="Landscape","",'Port Matrix (lift)'!DC31)</f>
        <v/>
      </c>
      <c r="FW48" s="2253"/>
      <c r="FX48" s="333"/>
      <c r="FY48" s="415"/>
      <c r="FZ48" s="2281"/>
      <c r="GA48" s="763"/>
    </row>
    <row r="49" spans="4:183" ht="13.5" customHeight="1">
      <c r="D49" s="2198" t="s">
        <v>20045</v>
      </c>
      <c r="E49" s="2199"/>
      <c r="F49" s="2199"/>
      <c r="G49" s="2199"/>
      <c r="H49" s="2199"/>
      <c r="I49" s="2199"/>
      <c r="J49" s="2199"/>
      <c r="K49" s="2199"/>
      <c r="L49" s="2199"/>
      <c r="M49" s="2199"/>
      <c r="N49" s="2199"/>
      <c r="O49" s="2199"/>
      <c r="P49" s="2199"/>
      <c r="Q49" s="2199"/>
      <c r="R49" s="2199"/>
      <c r="S49" s="2199"/>
      <c r="T49" s="2199"/>
      <c r="U49" s="2199"/>
      <c r="V49" s="2199"/>
      <c r="W49" s="2199"/>
      <c r="X49" s="2200"/>
      <c r="AE49" s="2234"/>
      <c r="AF49" s="2234"/>
      <c r="AG49" s="2234"/>
      <c r="AH49" s="2234"/>
      <c r="AI49" s="2234"/>
      <c r="AJ49" s="2234"/>
      <c r="AK49" s="2234"/>
      <c r="AL49" s="2234"/>
      <c r="AM49" s="2234"/>
      <c r="AN49" s="2234"/>
      <c r="AO49" s="2234"/>
      <c r="AP49" s="2234"/>
      <c r="AQ49" s="2234"/>
      <c r="AR49" s="2234"/>
      <c r="AS49" s="2234"/>
      <c r="AT49" s="2234"/>
      <c r="AU49" s="2234"/>
      <c r="AV49" s="2234"/>
      <c r="AW49" s="2234"/>
      <c r="AX49" s="2234"/>
      <c r="AY49" s="2234"/>
      <c r="AZ49" s="2234"/>
      <c r="BA49" s="2234"/>
      <c r="BB49" s="2234"/>
      <c r="BC49" s="2234"/>
      <c r="BD49" s="2234"/>
      <c r="BE49" s="2234"/>
      <c r="BF49" s="2234"/>
      <c r="BG49" s="2234"/>
      <c r="BH49" s="2234"/>
      <c r="BI49" s="2193"/>
      <c r="BJ49" s="2193"/>
      <c r="BK49" s="2193"/>
      <c r="BL49" s="2193"/>
      <c r="BM49" s="2193"/>
      <c r="BN49" s="2193"/>
      <c r="BO49" s="2193"/>
      <c r="BP49" s="2193"/>
      <c r="BQ49" s="2193"/>
      <c r="BR49" s="2193"/>
      <c r="BS49" s="2193"/>
      <c r="BT49" s="2193"/>
      <c r="BU49" s="2193"/>
      <c r="BV49" s="2193"/>
      <c r="BW49" s="2193"/>
      <c r="BX49" s="2193"/>
      <c r="BY49" s="2193"/>
      <c r="BZ49" s="2193"/>
      <c r="CA49" s="2193"/>
      <c r="CB49" s="2193"/>
      <c r="CC49" s="2193"/>
      <c r="CD49" s="2193"/>
      <c r="CE49" s="2193"/>
      <c r="CF49" s="2193"/>
      <c r="CG49" s="2193"/>
      <c r="CH49" s="2193"/>
      <c r="CI49" s="2193"/>
      <c r="CJ49" s="2193"/>
      <c r="CK49" s="2193"/>
      <c r="CL49" s="2193"/>
      <c r="CM49" s="863"/>
      <c r="DS49" s="2234"/>
      <c r="DT49" s="2234"/>
      <c r="DU49" s="2234"/>
      <c r="DV49" s="2234"/>
      <c r="DW49" s="2234"/>
      <c r="DX49" s="2234"/>
      <c r="DY49" s="2234"/>
      <c r="DZ49" s="2234"/>
      <c r="EA49" s="2234"/>
      <c r="EB49" s="2234"/>
      <c r="EC49" s="2234"/>
      <c r="ED49" s="2234"/>
      <c r="EE49" s="2234"/>
      <c r="EF49" s="2234"/>
      <c r="EG49" s="2234"/>
      <c r="EH49" s="2234"/>
      <c r="EI49" s="2234"/>
      <c r="EJ49" s="2234"/>
      <c r="EK49" s="2234"/>
      <c r="EL49" s="2234"/>
      <c r="EM49" s="2234"/>
      <c r="EN49" s="2234"/>
      <c r="EO49" s="2234"/>
      <c r="EP49" s="2234"/>
      <c r="EQ49" s="2234"/>
      <c r="ER49" s="2234"/>
      <c r="ES49" s="2234"/>
      <c r="ET49" s="2234"/>
      <c r="EU49" s="2234"/>
      <c r="EV49" s="2234"/>
      <c r="EW49" s="2234"/>
      <c r="EX49" s="415"/>
      <c r="EY49" s="415"/>
      <c r="EZ49" s="415"/>
      <c r="FA49" s="415"/>
      <c r="FC49" s="333"/>
      <c r="FD49" s="2253"/>
      <c r="FE49" s="2253"/>
      <c r="FF49" s="385"/>
      <c r="FG49" s="2253"/>
      <c r="FH49" s="2253"/>
      <c r="FI49" s="385"/>
      <c r="FJ49" s="2253"/>
      <c r="FK49" s="2253"/>
      <c r="FL49" s="385"/>
      <c r="FM49" s="2253"/>
      <c r="FN49" s="2253"/>
      <c r="FO49" s="385"/>
      <c r="FP49" s="2253"/>
      <c r="FQ49" s="2253"/>
      <c r="FR49" s="385"/>
      <c r="FS49" s="2253"/>
      <c r="FT49" s="2253"/>
      <c r="FU49" s="385"/>
      <c r="FV49" s="2253"/>
      <c r="FW49" s="2253"/>
      <c r="FX49" s="333"/>
      <c r="FY49" s="415"/>
      <c r="FZ49" s="2281"/>
      <c r="GA49" s="763"/>
    </row>
    <row r="50" spans="4:183" ht="13.5" customHeight="1">
      <c r="D50" s="2201"/>
      <c r="E50" s="2202"/>
      <c r="F50" s="2202"/>
      <c r="G50" s="2202"/>
      <c r="H50" s="2202"/>
      <c r="I50" s="2202"/>
      <c r="J50" s="2202"/>
      <c r="K50" s="2202"/>
      <c r="L50" s="2202"/>
      <c r="M50" s="2202"/>
      <c r="N50" s="2202"/>
      <c r="O50" s="2202"/>
      <c r="P50" s="2202"/>
      <c r="Q50" s="2202"/>
      <c r="R50" s="2202"/>
      <c r="S50" s="2202"/>
      <c r="T50" s="2202"/>
      <c r="U50" s="2202"/>
      <c r="V50" s="2202"/>
      <c r="W50" s="2202"/>
      <c r="X50" s="2203"/>
      <c r="AE50" s="2234"/>
      <c r="AF50" s="2234"/>
      <c r="AG50" s="2234"/>
      <c r="AH50" s="2234"/>
      <c r="AI50" s="2234"/>
      <c r="AJ50" s="2234"/>
      <c r="AK50" s="2234"/>
      <c r="AL50" s="2234"/>
      <c r="AM50" s="2234"/>
      <c r="AN50" s="2234"/>
      <c r="AO50" s="2234"/>
      <c r="AP50" s="2234"/>
      <c r="AQ50" s="2234"/>
      <c r="AR50" s="2234"/>
      <c r="AS50" s="2234"/>
      <c r="AT50" s="2234"/>
      <c r="AU50" s="2234"/>
      <c r="AV50" s="2234"/>
      <c r="AW50" s="2234"/>
      <c r="AX50" s="2234"/>
      <c r="AY50" s="2234"/>
      <c r="AZ50" s="2234"/>
      <c r="BA50" s="2234"/>
      <c r="BB50" s="2234"/>
      <c r="BC50" s="2234"/>
      <c r="BD50" s="2234"/>
      <c r="BE50" s="2234"/>
      <c r="BF50" s="2234"/>
      <c r="BG50" s="2234"/>
      <c r="BH50" s="2234"/>
      <c r="BI50" s="2193"/>
      <c r="BJ50" s="2193"/>
      <c r="BK50" s="2193"/>
      <c r="BL50" s="2193"/>
      <c r="BM50" s="2193"/>
      <c r="BN50" s="2193"/>
      <c r="BO50" s="2193"/>
      <c r="BP50" s="2193"/>
      <c r="BQ50" s="2193"/>
      <c r="BR50" s="2193"/>
      <c r="BS50" s="2193"/>
      <c r="BT50" s="2193"/>
      <c r="BU50" s="2193"/>
      <c r="BV50" s="2193"/>
      <c r="BW50" s="2193"/>
      <c r="BX50" s="2193"/>
      <c r="BY50" s="2193"/>
      <c r="BZ50" s="2193"/>
      <c r="CA50" s="2193"/>
      <c r="CB50" s="2193"/>
      <c r="CC50" s="2193"/>
      <c r="CD50" s="2193"/>
      <c r="CE50" s="2193"/>
      <c r="CF50" s="2193"/>
      <c r="CG50" s="2193"/>
      <c r="CH50" s="2193"/>
      <c r="CI50" s="2193"/>
      <c r="CJ50" s="2193"/>
      <c r="CK50" s="2193"/>
      <c r="CL50" s="2193"/>
      <c r="CM50" s="863"/>
      <c r="DS50" s="2234"/>
      <c r="DT50" s="2234"/>
      <c r="DU50" s="2234"/>
      <c r="DV50" s="2234"/>
      <c r="DW50" s="2234"/>
      <c r="DX50" s="2234"/>
      <c r="DY50" s="2234"/>
      <c r="DZ50" s="2234"/>
      <c r="EA50" s="2234"/>
      <c r="EB50" s="2234"/>
      <c r="EC50" s="2234"/>
      <c r="ED50" s="2234"/>
      <c r="EE50" s="2234"/>
      <c r="EF50" s="2234"/>
      <c r="EG50" s="2234"/>
      <c r="EH50" s="2234"/>
      <c r="EI50" s="2234"/>
      <c r="EJ50" s="2234"/>
      <c r="EK50" s="2234"/>
      <c r="EL50" s="2234"/>
      <c r="EM50" s="2234"/>
      <c r="EN50" s="2234"/>
      <c r="EO50" s="2234"/>
      <c r="EP50" s="2234"/>
      <c r="EQ50" s="2234"/>
      <c r="ER50" s="2234"/>
      <c r="ES50" s="2234"/>
      <c r="ET50" s="2234"/>
      <c r="EU50" s="2234"/>
      <c r="EV50" s="2234"/>
      <c r="EW50" s="2234"/>
      <c r="EX50" s="415"/>
      <c r="EY50" s="415"/>
      <c r="EZ50" s="415"/>
      <c r="FA50" s="415"/>
      <c r="FC50" s="412">
        <f>IF('1-Eng Inputs'!$C$3="EcoFoot 5D",,IF('1-Eng Inputs'!$C$37="Landscape",'Land Matrix 10deg (lift)'!F32,'Port Matrix (lift)'!F32))</f>
        <v>4</v>
      </c>
      <c r="FD50" s="2255">
        <f>IF('1-Eng Inputs'!$C$3="EcoFoot 5D",'Land Matrix 5deg (lift)'!F32,)</f>
        <v>0</v>
      </c>
      <c r="FE50" s="2255"/>
      <c r="FF50" s="412">
        <f>IF('1-Eng Inputs'!$C$3="EcoFoot 5D",,IF('1-Eng Inputs'!$C$37="Landscape",'Land Matrix 10deg (lift)'!H32,'Port Matrix (lift)'!H32))</f>
        <v>4</v>
      </c>
      <c r="FG50" s="2255">
        <f>IF('1-Eng Inputs'!$C$3="EcoFoot 5D",'Land Matrix 5deg (lift)'!H32,)</f>
        <v>0</v>
      </c>
      <c r="FH50" s="2255"/>
      <c r="FI50" s="412">
        <f>IF('1-Eng Inputs'!$C$3="EcoFoot 5D",,IF('1-Eng Inputs'!$C$37="Landscape",'Land Matrix 10deg (lift)'!J32,'Port Matrix (lift)'!J32))</f>
        <v>5</v>
      </c>
      <c r="FJ50" s="2255">
        <f>IF('1-Eng Inputs'!$C$3="EcoFoot 5D",'Land Matrix 5deg (lift)'!J32,)</f>
        <v>0</v>
      </c>
      <c r="FK50" s="2255"/>
      <c r="FL50" s="412">
        <f>IF('1-Eng Inputs'!$C$3="EcoFoot 5D",,IF('1-Eng Inputs'!$C$37="Landscape",'Land Matrix 10deg (lift)'!L32,'Port Matrix (lift)'!L32))</f>
        <v>5</v>
      </c>
      <c r="FM50" s="2255">
        <f>IF('1-Eng Inputs'!$C$3="EcoFoot 5D",'Land Matrix 5deg (lift)'!L32,)</f>
        <v>0</v>
      </c>
      <c r="FN50" s="2255"/>
      <c r="FO50" s="412">
        <f>IF('1-Eng Inputs'!$C$3="EcoFoot 5D",,IF('1-Eng Inputs'!$C$37="Landscape",'Land Matrix 10deg (lift)'!N32,'Port Matrix (lift)'!N32))</f>
        <v>4</v>
      </c>
      <c r="FP50" s="2255">
        <f>IF('1-Eng Inputs'!$C$3="EcoFoot 5D",'Land Matrix 5deg (lift)'!N32,)</f>
        <v>0</v>
      </c>
      <c r="FQ50" s="2255"/>
      <c r="FR50" s="412">
        <f>IF('1-Eng Inputs'!$C$3="EcoFoot 5D",,IF('1-Eng Inputs'!$C$37="Landscape",'Land Matrix 10deg (lift)'!P32,'Port Matrix (lift)'!P32))</f>
        <v>4</v>
      </c>
      <c r="FS50" s="412"/>
      <c r="FT50" s="412"/>
      <c r="FU50" s="412">
        <f>IF('1-Eng Inputs'!$C$37="Landscape",,'Port Matrix (lift)'!R32)</f>
        <v>0</v>
      </c>
      <c r="FV50" s="412"/>
      <c r="FW50" s="412"/>
      <c r="FX50" s="412">
        <f>IF('1-Eng Inputs'!$C$37="Landscape",,'Port Matrix (lift)'!T32)</f>
        <v>0</v>
      </c>
      <c r="FY50" s="415"/>
      <c r="FZ50" s="2281"/>
      <c r="GA50" s="763"/>
    </row>
    <row r="51" spans="4:183" ht="13.5" customHeight="1">
      <c r="D51" s="905" t="s">
        <v>20145</v>
      </c>
      <c r="E51" s="906"/>
      <c r="F51" s="906"/>
      <c r="G51" s="906"/>
      <c r="H51" s="906"/>
      <c r="I51" s="906"/>
      <c r="J51" s="906"/>
      <c r="K51" s="906"/>
      <c r="L51" s="906"/>
      <c r="M51" s="906"/>
      <c r="N51" s="906"/>
      <c r="O51" s="906"/>
      <c r="P51" s="906"/>
      <c r="Q51" s="906"/>
      <c r="R51" s="906"/>
      <c r="S51" s="906"/>
      <c r="T51" s="906"/>
      <c r="U51" s="906"/>
      <c r="V51" s="906"/>
      <c r="W51" s="906"/>
      <c r="X51" s="907"/>
      <c r="AE51" s="2234"/>
      <c r="AF51" s="2234"/>
      <c r="AG51" s="2234"/>
      <c r="AH51" s="2234"/>
      <c r="AI51" s="2234"/>
      <c r="AJ51" s="2234"/>
      <c r="AK51" s="2234"/>
      <c r="AL51" s="2234"/>
      <c r="AM51" s="2234"/>
      <c r="AN51" s="2234"/>
      <c r="AO51" s="2234"/>
      <c r="AP51" s="2234"/>
      <c r="AQ51" s="2234"/>
      <c r="AR51" s="2234"/>
      <c r="AS51" s="2234"/>
      <c r="AT51" s="2234"/>
      <c r="AU51" s="2234"/>
      <c r="AV51" s="2234"/>
      <c r="AW51" s="2234"/>
      <c r="AX51" s="2234"/>
      <c r="AY51" s="2234"/>
      <c r="AZ51" s="2234"/>
      <c r="BA51" s="2234"/>
      <c r="BB51" s="2234"/>
      <c r="BC51" s="2234"/>
      <c r="BD51" s="2234"/>
      <c r="BE51" s="2234"/>
      <c r="BF51" s="2234"/>
      <c r="BG51" s="2234"/>
      <c r="BH51" s="2234"/>
      <c r="BI51" s="2193"/>
      <c r="BJ51" s="2193"/>
      <c r="BK51" s="2193"/>
      <c r="BL51" s="2193"/>
      <c r="BM51" s="2193"/>
      <c r="BN51" s="2193"/>
      <c r="BO51" s="2193"/>
      <c r="BP51" s="2193"/>
      <c r="BQ51" s="2193"/>
      <c r="BR51" s="2193"/>
      <c r="BS51" s="2193"/>
      <c r="BT51" s="2193"/>
      <c r="BU51" s="2193"/>
      <c r="BV51" s="2193"/>
      <c r="BW51" s="2193"/>
      <c r="BX51" s="2193"/>
      <c r="BY51" s="2193"/>
      <c r="BZ51" s="2193"/>
      <c r="CA51" s="2193"/>
      <c r="CB51" s="2193"/>
      <c r="CC51" s="2193"/>
      <c r="CD51" s="2193"/>
      <c r="CE51" s="2193"/>
      <c r="CF51" s="2193"/>
      <c r="CG51" s="2193"/>
      <c r="CH51" s="2193"/>
      <c r="CI51" s="2193"/>
      <c r="CJ51" s="2193"/>
      <c r="CK51" s="2193"/>
      <c r="CL51" s="2193"/>
      <c r="CM51" s="863"/>
      <c r="DS51" s="2234"/>
      <c r="DT51" s="2234"/>
      <c r="DU51" s="2234"/>
      <c r="DV51" s="2234"/>
      <c r="DW51" s="2234"/>
      <c r="DX51" s="2234"/>
      <c r="DY51" s="2234"/>
      <c r="DZ51" s="2234"/>
      <c r="EA51" s="2234"/>
      <c r="EB51" s="2234"/>
      <c r="EC51" s="2234"/>
      <c r="ED51" s="2234"/>
      <c r="EE51" s="2234"/>
      <c r="EF51" s="2234"/>
      <c r="EG51" s="2234"/>
      <c r="EH51" s="2234"/>
      <c r="EI51" s="2234"/>
      <c r="EJ51" s="2234"/>
      <c r="EK51" s="2234"/>
      <c r="EL51" s="2234"/>
      <c r="EM51" s="2234"/>
      <c r="EN51" s="2234"/>
      <c r="EO51" s="2234"/>
      <c r="EP51" s="2234"/>
      <c r="EQ51" s="2234"/>
      <c r="ER51" s="2234"/>
      <c r="ES51" s="2234"/>
      <c r="ET51" s="2234"/>
      <c r="EU51" s="2234"/>
      <c r="EV51" s="2234"/>
      <c r="EW51" s="2234"/>
      <c r="EX51" s="415"/>
      <c r="EY51" s="415"/>
      <c r="EZ51" s="415"/>
      <c r="FA51" s="415"/>
      <c r="FC51" s="333"/>
      <c r="FD51" s="2253">
        <f>IF('1-Eng Inputs'!$C$3="EcoFoot 5D",'Land Matrix 5deg (lift)'!BJ34,IF('1-Eng Inputs'!$C$37="Landscape",'Land Matrix 10deg (lift)'!BR34,'Port Matrix (lift)'!CQ34))</f>
        <v>207.42316644287763</v>
      </c>
      <c r="FE51" s="2253"/>
      <c r="FF51" s="385"/>
      <c r="FG51" s="2253">
        <f>IF('1-Eng Inputs'!$C$3="EcoFoot 5D",'Land Matrix 5deg (lift)'!BL34,IF('1-Eng Inputs'!$C$37="Landscape",'Land Matrix 10deg (lift)'!BT34,'Port Matrix (lift)'!CS34))</f>
        <v>166.44692910304767</v>
      </c>
      <c r="FH51" s="2253"/>
      <c r="FI51" s="385"/>
      <c r="FJ51" s="2253">
        <f>IF('1-Eng Inputs'!$C$3="EcoFoot 5D",'Land Matrix 5deg (lift)'!BN34,IF('1-Eng Inputs'!$C$37="Landscape",'Land Matrix 10deg (lift)'!BV34,'Port Matrix (lift)'!CU34))</f>
        <v>166.44692910304767</v>
      </c>
      <c r="FK51" s="2253"/>
      <c r="FL51" s="385"/>
      <c r="FM51" s="2253">
        <f>IF('1-Eng Inputs'!$C$3="EcoFoot 5D",'Land Matrix 5deg (lift)'!BP34,IF('1-Eng Inputs'!$C$37="Landscape",'Land Matrix 10deg (lift)'!BX34,'Port Matrix (lift)'!CW34))</f>
        <v>150.05643416711567</v>
      </c>
      <c r="FN51" s="2253"/>
      <c r="FO51" s="385"/>
      <c r="FP51" s="2253">
        <f>IF('1-Eng Inputs'!$C$3="EcoFoot 5D",'Land Matrix 5deg (lift)'!BR34,IF('1-Eng Inputs'!$C$37="Landscape",'Land Matrix 10deg (lift)'!BZ34,'Port Matrix (lift)'!CY34))</f>
        <v>150.05643416711567</v>
      </c>
      <c r="FQ51" s="2253"/>
      <c r="FR51" s="385"/>
      <c r="FS51" s="2253" t="str">
        <f>IF('1-Eng Inputs'!$C$37="Landscape","",'Port Matrix (lift)'!DA34)</f>
        <v/>
      </c>
      <c r="FT51" s="2253"/>
      <c r="FU51" s="385"/>
      <c r="FV51" s="2253" t="str">
        <f>IF('1-Eng Inputs'!$C$37="Landscape","",'Port Matrix (lift)'!DC34)</f>
        <v/>
      </c>
      <c r="FW51" s="2253"/>
      <c r="FX51" s="333"/>
      <c r="FY51" s="415"/>
      <c r="FZ51" s="415"/>
      <c r="GA51" s="401"/>
    </row>
    <row r="52" spans="4:183" ht="13.5" customHeight="1">
      <c r="D52" s="908" t="s">
        <v>20146</v>
      </c>
      <c r="E52" s="716"/>
      <c r="F52" s="716"/>
      <c r="G52" s="716"/>
      <c r="H52" s="716"/>
      <c r="I52" s="716"/>
      <c r="J52" s="716"/>
      <c r="K52" s="716"/>
      <c r="L52" s="716"/>
      <c r="M52" s="716"/>
      <c r="N52" s="716"/>
      <c r="O52" s="716"/>
      <c r="P52" s="716"/>
      <c r="Q52" s="716"/>
      <c r="R52" s="716"/>
      <c r="S52" s="716"/>
      <c r="T52" s="716"/>
      <c r="U52" s="716"/>
      <c r="V52" s="716"/>
      <c r="W52" s="716"/>
      <c r="X52" s="404"/>
      <c r="AE52" s="2234"/>
      <c r="AF52" s="2234"/>
      <c r="AG52" s="2234"/>
      <c r="AH52" s="2234"/>
      <c r="AI52" s="2234"/>
      <c r="AJ52" s="2234"/>
      <c r="AK52" s="2234"/>
      <c r="AL52" s="2234"/>
      <c r="AM52" s="2234"/>
      <c r="AN52" s="2234"/>
      <c r="AO52" s="2234"/>
      <c r="AP52" s="2234"/>
      <c r="AQ52" s="2234"/>
      <c r="AR52" s="2234"/>
      <c r="AS52" s="2234"/>
      <c r="AT52" s="2234"/>
      <c r="AU52" s="2234"/>
      <c r="AV52" s="2234"/>
      <c r="AW52" s="2234"/>
      <c r="AX52" s="2234"/>
      <c r="AY52" s="2234"/>
      <c r="AZ52" s="2234"/>
      <c r="BA52" s="2234"/>
      <c r="BB52" s="2234"/>
      <c r="BC52" s="2234"/>
      <c r="BD52" s="2234"/>
      <c r="BE52" s="2234"/>
      <c r="BF52" s="2234"/>
      <c r="BG52" s="2234"/>
      <c r="BH52" s="2234"/>
      <c r="BI52" s="2193"/>
      <c r="BJ52" s="2193"/>
      <c r="BK52" s="2193"/>
      <c r="BL52" s="2193"/>
      <c r="BM52" s="2193"/>
      <c r="BN52" s="2193"/>
      <c r="BO52" s="2193"/>
      <c r="BP52" s="2193"/>
      <c r="BQ52" s="2193"/>
      <c r="BR52" s="2193"/>
      <c r="BS52" s="2193"/>
      <c r="BT52" s="2193"/>
      <c r="BU52" s="2193"/>
      <c r="BV52" s="2193"/>
      <c r="BW52" s="2193"/>
      <c r="BX52" s="2193"/>
      <c r="BY52" s="2193"/>
      <c r="BZ52" s="2193"/>
      <c r="CA52" s="2193"/>
      <c r="CB52" s="2193"/>
      <c r="CC52" s="2193"/>
      <c r="CD52" s="2193"/>
      <c r="CE52" s="2193"/>
      <c r="CF52" s="2193"/>
      <c r="CG52" s="2193"/>
      <c r="CH52" s="2193"/>
      <c r="CI52" s="2193"/>
      <c r="CJ52" s="2193"/>
      <c r="CK52" s="2193"/>
      <c r="CL52" s="2193"/>
      <c r="CM52" s="863"/>
      <c r="DS52" s="2234"/>
      <c r="DT52" s="2234"/>
      <c r="DU52" s="2234"/>
      <c r="DV52" s="2234"/>
      <c r="DW52" s="2234"/>
      <c r="DX52" s="2234"/>
      <c r="DY52" s="2234"/>
      <c r="DZ52" s="2234"/>
      <c r="EA52" s="2234"/>
      <c r="EB52" s="2234"/>
      <c r="EC52" s="2234"/>
      <c r="ED52" s="2234"/>
      <c r="EE52" s="2234"/>
      <c r="EF52" s="2234"/>
      <c r="EG52" s="2234"/>
      <c r="EH52" s="2234"/>
      <c r="EI52" s="2234"/>
      <c r="EJ52" s="2234"/>
      <c r="EK52" s="2234"/>
      <c r="EL52" s="2234"/>
      <c r="EM52" s="2234"/>
      <c r="EN52" s="2234"/>
      <c r="EO52" s="2234"/>
      <c r="EP52" s="2234"/>
      <c r="EQ52" s="2234"/>
      <c r="ER52" s="2234"/>
      <c r="ES52" s="2234"/>
      <c r="ET52" s="2234"/>
      <c r="EU52" s="2234"/>
      <c r="EV52" s="2234"/>
      <c r="EW52" s="2234"/>
      <c r="EX52" s="415"/>
      <c r="EY52" s="415"/>
      <c r="EZ52" s="415"/>
      <c r="FA52" s="415"/>
      <c r="FC52" s="333"/>
      <c r="FD52" s="2253"/>
      <c r="FE52" s="2253"/>
      <c r="FF52" s="385"/>
      <c r="FG52" s="2253"/>
      <c r="FH52" s="2253"/>
      <c r="FI52" s="385"/>
      <c r="FJ52" s="2253"/>
      <c r="FK52" s="2253"/>
      <c r="FL52" s="385"/>
      <c r="FM52" s="2253"/>
      <c r="FN52" s="2253"/>
      <c r="FO52" s="385"/>
      <c r="FP52" s="2253"/>
      <c r="FQ52" s="2253"/>
      <c r="FR52" s="385"/>
      <c r="FS52" s="2253"/>
      <c r="FT52" s="2253"/>
      <c r="FU52" s="385"/>
      <c r="FV52" s="2253"/>
      <c r="FW52" s="2253"/>
      <c r="FX52" s="333"/>
      <c r="FY52" s="415"/>
      <c r="FZ52" s="415"/>
      <c r="GA52" s="401"/>
    </row>
    <row r="53" spans="4:183" ht="13.5" customHeight="1">
      <c r="D53" s="908" t="s">
        <v>20043</v>
      </c>
      <c r="E53" s="716"/>
      <c r="F53" s="716"/>
      <c r="G53" s="716"/>
      <c r="H53" s="716"/>
      <c r="I53" s="716"/>
      <c r="J53" s="716"/>
      <c r="K53" s="716"/>
      <c r="L53" s="716"/>
      <c r="M53" s="716"/>
      <c r="N53" s="716"/>
      <c r="O53" s="716"/>
      <c r="P53" s="716"/>
      <c r="Q53" s="716"/>
      <c r="R53" s="716"/>
      <c r="S53" s="716"/>
      <c r="T53" s="716"/>
      <c r="U53" s="716"/>
      <c r="V53" s="716"/>
      <c r="W53" s="716"/>
      <c r="X53" s="404"/>
      <c r="BI53" s="2193"/>
      <c r="BJ53" s="2193"/>
      <c r="BK53" s="2193"/>
      <c r="BL53" s="2193"/>
      <c r="BM53" s="2193"/>
      <c r="BN53" s="2193"/>
      <c r="BO53" s="2193"/>
      <c r="BP53" s="2193"/>
      <c r="BQ53" s="2193"/>
      <c r="BR53" s="2193"/>
      <c r="BS53" s="2193"/>
      <c r="BT53" s="2193"/>
      <c r="BU53" s="2193"/>
      <c r="BV53" s="2193"/>
      <c r="BW53" s="2193"/>
      <c r="BX53" s="2193"/>
      <c r="BY53" s="2193"/>
      <c r="BZ53" s="2193"/>
      <c r="CA53" s="2193"/>
      <c r="CB53" s="2193"/>
      <c r="CC53" s="2193"/>
      <c r="CD53" s="2193"/>
      <c r="CE53" s="2193"/>
      <c r="CF53" s="2193"/>
      <c r="CG53" s="2193"/>
      <c r="CH53" s="2193"/>
      <c r="CI53" s="2193"/>
      <c r="CJ53" s="2193"/>
      <c r="CK53" s="2193"/>
      <c r="CL53" s="2193"/>
      <c r="CM53" s="863"/>
      <c r="EW53" s="416"/>
      <c r="EX53" s="415"/>
      <c r="EY53" s="415"/>
      <c r="EZ53" s="415"/>
      <c r="FA53" s="415"/>
      <c r="FC53" s="412">
        <f>IF('1-Eng Inputs'!$C$3="EcoFoot 5D",,IF('1-Eng Inputs'!$C$37="Landscape",'Land Matrix 10deg (lift)'!F36,'Port Matrix (lift)'!F36))</f>
        <v>4</v>
      </c>
      <c r="FD53" s="2255">
        <f>IF('1-Eng Inputs'!$C$3="EcoFoot 5D",'Land Matrix 5deg (lift)'!F36,)</f>
        <v>0</v>
      </c>
      <c r="FE53" s="2255"/>
      <c r="FF53" s="412">
        <f>IF('1-Eng Inputs'!$C$3="EcoFoot 5D",,IF('1-Eng Inputs'!$C$37="Landscape",'Land Matrix 10deg (lift)'!H36,'Port Matrix (lift)'!H36))</f>
        <v>4</v>
      </c>
      <c r="FG53" s="2255">
        <f>IF('1-Eng Inputs'!$C$3="EcoFoot 5D",'Land Matrix 5deg (lift)'!H36,)</f>
        <v>0</v>
      </c>
      <c r="FH53" s="2255"/>
      <c r="FI53" s="412">
        <f>IF('1-Eng Inputs'!$C$3="EcoFoot 5D",,IF('1-Eng Inputs'!$C$37="Landscape",'Land Matrix 10deg (lift)'!J36,'Port Matrix (lift)'!J36))</f>
        <v>5</v>
      </c>
      <c r="FJ53" s="2255">
        <f>IF('1-Eng Inputs'!$C$3="EcoFoot 5D",'Land Matrix 5deg (lift)'!J36,)</f>
        <v>0</v>
      </c>
      <c r="FK53" s="2255"/>
      <c r="FL53" s="412">
        <f>IF('1-Eng Inputs'!$C$3="EcoFoot 5D",,IF('1-Eng Inputs'!$C$37="Landscape",'Land Matrix 10deg (lift)'!L36,'Port Matrix (lift)'!L36))</f>
        <v>4</v>
      </c>
      <c r="FM53" s="2255">
        <f>IF('1-Eng Inputs'!$C$3="EcoFoot 5D",'Land Matrix 5deg (lift)'!L36,)</f>
        <v>0</v>
      </c>
      <c r="FN53" s="2255"/>
      <c r="FO53" s="412">
        <f>IF('1-Eng Inputs'!$C$3="EcoFoot 5D",,IF('1-Eng Inputs'!$C$37="Landscape",'Land Matrix 10deg (lift)'!N36,'Port Matrix (lift)'!N36))</f>
        <v>4</v>
      </c>
      <c r="FP53" s="2255">
        <f>IF('1-Eng Inputs'!$C$3="EcoFoot 5D",'Land Matrix 5deg (lift)'!N36,)</f>
        <v>0</v>
      </c>
      <c r="FQ53" s="2255"/>
      <c r="FR53" s="412">
        <f>IF('1-Eng Inputs'!$C$3="EcoFoot 5D",,IF('1-Eng Inputs'!$C$37="Landscape",'Land Matrix 10deg (lift)'!P36,'Port Matrix (lift)'!P36))</f>
        <v>4</v>
      </c>
      <c r="FS53" s="412"/>
      <c r="FT53" s="412"/>
      <c r="FU53" s="412">
        <f>IF('1-Eng Inputs'!$C$37="Landscape",,'Port Matrix (lift)'!R36)</f>
        <v>0</v>
      </c>
      <c r="FV53" s="412"/>
      <c r="FW53" s="412"/>
      <c r="FX53" s="412">
        <f>IF('1-Eng Inputs'!$C$37="Landscape",,'Port Matrix (lift)'!T36)</f>
        <v>0</v>
      </c>
      <c r="FY53" s="415"/>
      <c r="FZ53" s="415"/>
      <c r="GA53" s="401"/>
    </row>
    <row r="54" spans="4:183" ht="13.5" customHeight="1">
      <c r="D54" s="909" t="s">
        <v>20044</v>
      </c>
      <c r="E54" s="910"/>
      <c r="F54" s="910"/>
      <c r="G54" s="910"/>
      <c r="H54" s="910"/>
      <c r="I54" s="910"/>
      <c r="J54" s="910"/>
      <c r="K54" s="910"/>
      <c r="L54" s="910"/>
      <c r="M54" s="910"/>
      <c r="N54" s="910"/>
      <c r="O54" s="910"/>
      <c r="P54" s="910"/>
      <c r="Q54" s="910"/>
      <c r="R54" s="910"/>
      <c r="S54" s="910"/>
      <c r="T54" s="910"/>
      <c r="U54" s="910"/>
      <c r="V54" s="910"/>
      <c r="W54" s="910"/>
      <c r="X54" s="405"/>
      <c r="BI54" s="2193"/>
      <c r="BJ54" s="2193"/>
      <c r="BK54" s="2193"/>
      <c r="BL54" s="2193"/>
      <c r="BM54" s="2193"/>
      <c r="BN54" s="2193"/>
      <c r="BO54" s="2193"/>
      <c r="BP54" s="2193"/>
      <c r="BQ54" s="2193"/>
      <c r="BR54" s="2193"/>
      <c r="BS54" s="2193"/>
      <c r="BT54" s="2193"/>
      <c r="BU54" s="2193"/>
      <c r="BV54" s="2193"/>
      <c r="BW54" s="2193"/>
      <c r="BX54" s="2193"/>
      <c r="BY54" s="2193"/>
      <c r="BZ54" s="2193"/>
      <c r="CA54" s="2193"/>
      <c r="CB54" s="2193"/>
      <c r="CC54" s="2193"/>
      <c r="CD54" s="2193"/>
      <c r="CE54" s="2193"/>
      <c r="CF54" s="2193"/>
      <c r="CG54" s="2193"/>
      <c r="CH54" s="2193"/>
      <c r="CI54" s="2193"/>
      <c r="CJ54" s="2193"/>
      <c r="CK54" s="2193"/>
      <c r="CL54" s="2193"/>
      <c r="CM54" s="863"/>
      <c r="EW54" s="416"/>
      <c r="EX54" s="764"/>
      <c r="GA54" s="401"/>
    </row>
    <row r="55" spans="4:183" ht="13.5" customHeight="1">
      <c r="BI55" s="2193"/>
      <c r="BJ55" s="2193"/>
      <c r="BK55" s="2193"/>
      <c r="BL55" s="2193"/>
      <c r="BM55" s="2193"/>
      <c r="BN55" s="2193"/>
      <c r="BO55" s="2193"/>
      <c r="BP55" s="2193"/>
      <c r="BQ55" s="2193"/>
      <c r="BR55" s="2193"/>
      <c r="BS55" s="2193"/>
      <c r="BT55" s="2193"/>
      <c r="BU55" s="2193"/>
      <c r="BV55" s="2193"/>
      <c r="BW55" s="2193"/>
      <c r="BX55" s="2193"/>
      <c r="BY55" s="2193"/>
      <c r="BZ55" s="2193"/>
      <c r="CA55" s="2193"/>
      <c r="CB55" s="2193"/>
      <c r="CC55" s="2193"/>
      <c r="CD55" s="2193"/>
      <c r="CE55" s="2193"/>
      <c r="CF55" s="2193"/>
      <c r="CG55" s="2193"/>
      <c r="CH55" s="2193"/>
      <c r="CI55" s="2193"/>
      <c r="CJ55" s="2193"/>
      <c r="CK55" s="2193"/>
      <c r="CL55" s="2193"/>
      <c r="EX55" s="764"/>
      <c r="EY55" s="2254" t="s">
        <v>20027</v>
      </c>
      <c r="EZ55" s="2254"/>
      <c r="FA55" s="2254"/>
      <c r="FB55" s="2254"/>
      <c r="FC55" s="2254"/>
      <c r="FD55" s="2254"/>
      <c r="FE55" s="2254"/>
      <c r="FF55" s="2254"/>
      <c r="FG55" s="2254"/>
      <c r="FH55" s="2254"/>
      <c r="FI55" s="2254"/>
      <c r="FJ55" s="2254"/>
      <c r="FK55" s="2254"/>
      <c r="FL55" s="2254"/>
      <c r="FM55" s="2254"/>
      <c r="FN55" s="2254"/>
      <c r="FO55" s="2254"/>
      <c r="FP55" s="2254"/>
      <c r="FQ55" s="2254"/>
      <c r="FR55" s="2254"/>
      <c r="FS55" s="2254"/>
      <c r="FT55" s="2254"/>
      <c r="FU55" s="2254"/>
      <c r="FV55" s="2254"/>
      <c r="FW55" s="2254"/>
      <c r="FX55" s="2254"/>
      <c r="FY55" s="2254"/>
      <c r="FZ55" s="2254"/>
      <c r="GA55" s="401"/>
    </row>
    <row r="56" spans="4:183" ht="13.5" customHeight="1">
      <c r="BI56" s="2193"/>
      <c r="BJ56" s="2193"/>
      <c r="BK56" s="2193"/>
      <c r="BL56" s="2193"/>
      <c r="BM56" s="2193"/>
      <c r="BN56" s="2193"/>
      <c r="BO56" s="2193"/>
      <c r="BP56" s="2193"/>
      <c r="BQ56" s="2193"/>
      <c r="BR56" s="2193"/>
      <c r="BS56" s="2193"/>
      <c r="BT56" s="2193"/>
      <c r="BU56" s="2193"/>
      <c r="BV56" s="2193"/>
      <c r="BW56" s="2193"/>
      <c r="BX56" s="2193"/>
      <c r="BY56" s="2193"/>
      <c r="BZ56" s="2193"/>
      <c r="CA56" s="2193"/>
      <c r="CB56" s="2193"/>
      <c r="CC56" s="2193"/>
      <c r="CD56" s="2193"/>
      <c r="CE56" s="2193"/>
      <c r="CF56" s="2193"/>
      <c r="CG56" s="2193"/>
      <c r="CH56" s="2193"/>
      <c r="CI56" s="2193"/>
      <c r="CJ56" s="2193"/>
      <c r="CK56" s="2193"/>
      <c r="CL56" s="2193"/>
      <c r="EX56" s="401"/>
      <c r="EY56" s="2254"/>
      <c r="EZ56" s="2254"/>
      <c r="FA56" s="2254"/>
      <c r="FB56" s="2254"/>
      <c r="FC56" s="2254"/>
      <c r="FD56" s="2254"/>
      <c r="FE56" s="2254"/>
      <c r="FF56" s="2254"/>
      <c r="FG56" s="2254"/>
      <c r="FH56" s="2254"/>
      <c r="FI56" s="2254"/>
      <c r="FJ56" s="2254"/>
      <c r="FK56" s="2254"/>
      <c r="FL56" s="2254"/>
      <c r="FM56" s="2254"/>
      <c r="FN56" s="2254"/>
      <c r="FO56" s="2254"/>
      <c r="FP56" s="2254"/>
      <c r="FQ56" s="2254"/>
      <c r="FR56" s="2254"/>
      <c r="FS56" s="2254"/>
      <c r="FT56" s="2254"/>
      <c r="FU56" s="2254"/>
      <c r="FV56" s="2254"/>
      <c r="FW56" s="2254"/>
      <c r="FX56" s="2254"/>
      <c r="FY56" s="2254"/>
      <c r="FZ56" s="2254"/>
      <c r="GA56" s="401"/>
    </row>
    <row r="57" spans="4:183" ht="13.5" customHeight="1">
      <c r="CM57" s="863"/>
    </row>
  </sheetData>
  <mergeCells count="500">
    <mergeCell ref="W42:X42"/>
    <mergeCell ref="W43:X43"/>
    <mergeCell ref="W44:X44"/>
    <mergeCell ref="W45:X45"/>
    <mergeCell ref="W46:X46"/>
    <mergeCell ref="W33:X33"/>
    <mergeCell ref="W34:X34"/>
    <mergeCell ref="W35:X35"/>
    <mergeCell ref="W36:X36"/>
    <mergeCell ref="W37:X37"/>
    <mergeCell ref="W38:X38"/>
    <mergeCell ref="W39:X39"/>
    <mergeCell ref="W40:X40"/>
    <mergeCell ref="W41:X41"/>
    <mergeCell ref="FZ32:FZ50"/>
    <mergeCell ref="A4:AD6"/>
    <mergeCell ref="J10:W10"/>
    <mergeCell ref="J11:W11"/>
    <mergeCell ref="J12:W12"/>
    <mergeCell ref="J13:W13"/>
    <mergeCell ref="J14:W14"/>
    <mergeCell ref="J15:W15"/>
    <mergeCell ref="BN4:CF4"/>
    <mergeCell ref="BN5:CC5"/>
    <mergeCell ref="BN6:CC6"/>
    <mergeCell ref="BN7:CC7"/>
    <mergeCell ref="BN8:CC8"/>
    <mergeCell ref="CD10:CE10"/>
    <mergeCell ref="CD9:CE9"/>
    <mergeCell ref="CD6:CE6"/>
    <mergeCell ref="CD7:CE7"/>
    <mergeCell ref="BN9:CC9"/>
    <mergeCell ref="BN10:CC10"/>
    <mergeCell ref="CD18:CE18"/>
    <mergeCell ref="CD13:CE13"/>
    <mergeCell ref="CD14:CE14"/>
    <mergeCell ref="BN20:CC20"/>
    <mergeCell ref="BN21:CC21"/>
    <mergeCell ref="DL10:DM10"/>
    <mergeCell ref="DL11:DM11"/>
    <mergeCell ref="DL12:DM12"/>
    <mergeCell ref="DL14:DM14"/>
    <mergeCell ref="DH15:DI15"/>
    <mergeCell ref="DF7:DG8"/>
    <mergeCell ref="DH7:DI8"/>
    <mergeCell ref="DJ7:DK8"/>
    <mergeCell ref="DL13:DM13"/>
    <mergeCell ref="DH11:DI11"/>
    <mergeCell ref="DH12:DI12"/>
    <mergeCell ref="DH13:DI13"/>
    <mergeCell ref="DH14:DI14"/>
    <mergeCell ref="DH10:DI10"/>
    <mergeCell ref="DF13:DG13"/>
    <mergeCell ref="DL9:DM9"/>
    <mergeCell ref="A7:AD8"/>
    <mergeCell ref="CD5:CE5"/>
    <mergeCell ref="AE4:BH5"/>
    <mergeCell ref="BN15:CC15"/>
    <mergeCell ref="BN12:CC12"/>
    <mergeCell ref="CD12:CE12"/>
    <mergeCell ref="BN11:CC11"/>
    <mergeCell ref="DJ9:DK9"/>
    <mergeCell ref="DJ10:DK10"/>
    <mergeCell ref="DJ11:DK11"/>
    <mergeCell ref="DJ12:DK12"/>
    <mergeCell ref="DJ13:DK13"/>
    <mergeCell ref="DJ14:DK14"/>
    <mergeCell ref="DJ15:DK15"/>
    <mergeCell ref="BN14:CC14"/>
    <mergeCell ref="BN13:CC13"/>
    <mergeCell ref="AE6:BH22"/>
    <mergeCell ref="CD15:CE15"/>
    <mergeCell ref="CD16:CE16"/>
    <mergeCell ref="CD17:CE17"/>
    <mergeCell ref="CO17:CO20"/>
    <mergeCell ref="CD8:CE8"/>
    <mergeCell ref="DJ16:DK16"/>
    <mergeCell ref="CD11:CE11"/>
    <mergeCell ref="DF24:DG24"/>
    <mergeCell ref="DF25:DG25"/>
    <mergeCell ref="DH9:DI9"/>
    <mergeCell ref="DF23:DG23"/>
    <mergeCell ref="DF14:DG14"/>
    <mergeCell ref="DF26:DG26"/>
    <mergeCell ref="DF18:DG18"/>
    <mergeCell ref="DF19:DG19"/>
    <mergeCell ref="DF12:DG12"/>
    <mergeCell ref="DF15:DG15"/>
    <mergeCell ref="DF16:DG16"/>
    <mergeCell ref="DF17:DG17"/>
    <mergeCell ref="DF22:DG22"/>
    <mergeCell ref="DF9:DG9"/>
    <mergeCell ref="DF20:DG20"/>
    <mergeCell ref="DF21:DG21"/>
    <mergeCell ref="DH23:DI23"/>
    <mergeCell ref="DF10:DG10"/>
    <mergeCell ref="DF11:DG11"/>
    <mergeCell ref="DH24:DI24"/>
    <mergeCell ref="DH25:DI25"/>
    <mergeCell ref="FP30:FQ31"/>
    <mergeCell ref="DJ22:DK22"/>
    <mergeCell ref="DN32:DP32"/>
    <mergeCell ref="FD29:FE29"/>
    <mergeCell ref="FM36:FN37"/>
    <mergeCell ref="DN28:DP28"/>
    <mergeCell ref="DN29:DP29"/>
    <mergeCell ref="DN30:DP30"/>
    <mergeCell ref="DN31:DP31"/>
    <mergeCell ref="DZ34:EK34"/>
    <mergeCell ref="FP32:FQ32"/>
    <mergeCell ref="FP29:FQ29"/>
    <mergeCell ref="DL29:DM29"/>
    <mergeCell ref="DL30:DM30"/>
    <mergeCell ref="DJ30:DK30"/>
    <mergeCell ref="DZ28:EK28"/>
    <mergeCell ref="DZ33:EK33"/>
    <mergeCell ref="DN24:DP24"/>
    <mergeCell ref="FD33:FE34"/>
    <mergeCell ref="FD36:FE37"/>
    <mergeCell ref="DL28:DM28"/>
    <mergeCell ref="DN27:DP27"/>
    <mergeCell ref="DJ28:DK28"/>
    <mergeCell ref="FG48:FH49"/>
    <mergeCell ref="FJ48:FK49"/>
    <mergeCell ref="FM48:FN49"/>
    <mergeCell ref="FP48:FQ49"/>
    <mergeCell ref="FG36:FH37"/>
    <mergeCell ref="FS48:FT49"/>
    <mergeCell ref="FV48:FW49"/>
    <mergeCell ref="FS42:FT43"/>
    <mergeCell ref="FV42:FW43"/>
    <mergeCell ref="FG45:FH46"/>
    <mergeCell ref="FJ45:FK46"/>
    <mergeCell ref="FJ41:FK41"/>
    <mergeCell ref="FG38:FH38"/>
    <mergeCell ref="FG44:FH44"/>
    <mergeCell ref="FP47:FQ47"/>
    <mergeCell ref="FP44:FQ44"/>
    <mergeCell ref="FM44:FN44"/>
    <mergeCell ref="FJ42:FK43"/>
    <mergeCell ref="FM42:FN43"/>
    <mergeCell ref="FP42:FQ43"/>
    <mergeCell ref="FS45:FT46"/>
    <mergeCell ref="FV45:FW46"/>
    <mergeCell ref="FM45:FN46"/>
    <mergeCell ref="FP45:FQ46"/>
    <mergeCell ref="FM38:FN38"/>
    <mergeCell ref="FJ38:FK38"/>
    <mergeCell ref="FJ36:FK37"/>
    <mergeCell ref="FP35:FQ35"/>
    <mergeCell ref="FP36:FQ37"/>
    <mergeCell ref="FS51:FT52"/>
    <mergeCell ref="FV51:FW52"/>
    <mergeCell ref="FM39:FN40"/>
    <mergeCell ref="FP39:FQ40"/>
    <mergeCell ref="FM51:FN52"/>
    <mergeCell ref="FJ44:FK44"/>
    <mergeCell ref="FP41:FQ41"/>
    <mergeCell ref="FJ39:FK40"/>
    <mergeCell ref="FM41:FN41"/>
    <mergeCell ref="FJ50:FK50"/>
    <mergeCell ref="DL16:DM16"/>
    <mergeCell ref="DL18:DM18"/>
    <mergeCell ref="DL19:DM19"/>
    <mergeCell ref="DH31:DI31"/>
    <mergeCell ref="DH20:DI20"/>
    <mergeCell ref="DH28:DI28"/>
    <mergeCell ref="DH26:DI26"/>
    <mergeCell ref="DJ18:DK18"/>
    <mergeCell ref="DJ19:DK19"/>
    <mergeCell ref="DJ25:DK25"/>
    <mergeCell ref="DL17:DM17"/>
    <mergeCell ref="DH19:DI19"/>
    <mergeCell ref="DH22:DI22"/>
    <mergeCell ref="DJ20:DK20"/>
    <mergeCell ref="DJ17:DK17"/>
    <mergeCell ref="DJ21:DK21"/>
    <mergeCell ref="DH17:DI17"/>
    <mergeCell ref="DH16:DI16"/>
    <mergeCell ref="DJ24:DK24"/>
    <mergeCell ref="DL25:DM25"/>
    <mergeCell ref="DL20:DM20"/>
    <mergeCell ref="DL21:DM21"/>
    <mergeCell ref="DJ23:DK23"/>
    <mergeCell ref="DH27:DI27"/>
    <mergeCell ref="DF27:DG27"/>
    <mergeCell ref="DF28:DG28"/>
    <mergeCell ref="DJ29:DK29"/>
    <mergeCell ref="DJ31:DK31"/>
    <mergeCell ref="AU39:AZ39"/>
    <mergeCell ref="AU37:AZ37"/>
    <mergeCell ref="AU38:AZ38"/>
    <mergeCell ref="DF29:DG29"/>
    <mergeCell ref="DF30:DG30"/>
    <mergeCell ref="DF31:DG31"/>
    <mergeCell ref="AG41:AL41"/>
    <mergeCell ref="AG42:AL42"/>
    <mergeCell ref="AM35:AP35"/>
    <mergeCell ref="AM34:AP34"/>
    <mergeCell ref="AM36:AP36"/>
    <mergeCell ref="BA37:BF37"/>
    <mergeCell ref="BA38:BF38"/>
    <mergeCell ref="BA39:BF39"/>
    <mergeCell ref="DH30:DI30"/>
    <mergeCell ref="DF32:DG32"/>
    <mergeCell ref="AU34:AZ34"/>
    <mergeCell ref="BA34:BF34"/>
    <mergeCell ref="AM37:AP37"/>
    <mergeCell ref="AG34:AL34"/>
    <mergeCell ref="AG35:AL35"/>
    <mergeCell ref="AG37:AL37"/>
    <mergeCell ref="BA33:BF33"/>
    <mergeCell ref="BA36:BF36"/>
    <mergeCell ref="AU36:AZ36"/>
    <mergeCell ref="AM43:AP43"/>
    <mergeCell ref="AM41:AP41"/>
    <mergeCell ref="AM42:AP42"/>
    <mergeCell ref="AM40:AP40"/>
    <mergeCell ref="DH18:DI18"/>
    <mergeCell ref="AG38:AL38"/>
    <mergeCell ref="AG40:AL40"/>
    <mergeCell ref="AG33:AL33"/>
    <mergeCell ref="AM33:AP33"/>
    <mergeCell ref="BN25:CC25"/>
    <mergeCell ref="CO25:CO28"/>
    <mergeCell ref="CO29:CO32"/>
    <mergeCell ref="AG39:AL39"/>
    <mergeCell ref="AU32:BF32"/>
    <mergeCell ref="AM38:AP38"/>
    <mergeCell ref="AG36:AL36"/>
    <mergeCell ref="AU35:AZ35"/>
    <mergeCell ref="BA35:BF35"/>
    <mergeCell ref="CN40:DQ40"/>
    <mergeCell ref="CN33:DQ39"/>
    <mergeCell ref="DL32:DM32"/>
    <mergeCell ref="AM39:AP39"/>
    <mergeCell ref="AG43:AL43"/>
    <mergeCell ref="AU33:AZ33"/>
    <mergeCell ref="BN16:CC16"/>
    <mergeCell ref="BN17:CC17"/>
    <mergeCell ref="BN18:CC18"/>
    <mergeCell ref="BN23:CC23"/>
    <mergeCell ref="CO21:CO24"/>
    <mergeCell ref="CD23:CE23"/>
    <mergeCell ref="AE23:BH25"/>
    <mergeCell ref="AM31:AP31"/>
    <mergeCell ref="AM32:AP32"/>
    <mergeCell ref="AG31:AL31"/>
    <mergeCell ref="AG32:AL32"/>
    <mergeCell ref="CD22:CE22"/>
    <mergeCell ref="CD25:CE25"/>
    <mergeCell ref="BN22:CC22"/>
    <mergeCell ref="AG29:AP29"/>
    <mergeCell ref="BN24:CC24"/>
    <mergeCell ref="CD24:CE24"/>
    <mergeCell ref="BN19:CC19"/>
    <mergeCell ref="CD19:CE19"/>
    <mergeCell ref="CD20:CE20"/>
    <mergeCell ref="CD21:CE21"/>
    <mergeCell ref="AG30:AL30"/>
    <mergeCell ref="AM30:AP30"/>
    <mergeCell ref="EY12:EY13"/>
    <mergeCell ref="FA14:FB14"/>
    <mergeCell ref="FA12:FB13"/>
    <mergeCell ref="EZ12:EZ13"/>
    <mergeCell ref="DH32:DI32"/>
    <mergeCell ref="DL31:DM31"/>
    <mergeCell ref="DN16:DP16"/>
    <mergeCell ref="DN18:DP18"/>
    <mergeCell ref="DN19:DP19"/>
    <mergeCell ref="DN22:DP22"/>
    <mergeCell ref="DH21:DI21"/>
    <mergeCell ref="DN23:DP23"/>
    <mergeCell ref="DH29:DI29"/>
    <mergeCell ref="DJ26:DK26"/>
    <mergeCell ref="DJ27:DK27"/>
    <mergeCell ref="FA15:FB15"/>
    <mergeCell ref="EL24:EO24"/>
    <mergeCell ref="DN25:DP25"/>
    <mergeCell ref="DN26:DP26"/>
    <mergeCell ref="DL24:DM24"/>
    <mergeCell ref="DL22:DM22"/>
    <mergeCell ref="DN13:DP13"/>
    <mergeCell ref="DL15:DM15"/>
    <mergeCell ref="DJ32:DK32"/>
    <mergeCell ref="AE47:BH52"/>
    <mergeCell ref="BI42:CL43"/>
    <mergeCell ref="DH6:DO6"/>
    <mergeCell ref="EX4:GA4"/>
    <mergeCell ref="FG35:FH35"/>
    <mergeCell ref="FJ35:FK35"/>
    <mergeCell ref="FM35:FN35"/>
    <mergeCell ref="FS8:FT8"/>
    <mergeCell ref="FV8:FW8"/>
    <mergeCell ref="FS9:FT10"/>
    <mergeCell ref="FV9:FW10"/>
    <mergeCell ref="FV11:FW11"/>
    <mergeCell ref="EL35:EO35"/>
    <mergeCell ref="FD47:FE47"/>
    <mergeCell ref="FG47:FH47"/>
    <mergeCell ref="FJ47:FK47"/>
    <mergeCell ref="FM47:FN47"/>
    <mergeCell ref="FS30:FT31"/>
    <mergeCell ref="FV30:FW31"/>
    <mergeCell ref="DN10:DP10"/>
    <mergeCell ref="DN11:DP11"/>
    <mergeCell ref="FP50:FQ50"/>
    <mergeCell ref="FM50:FN50"/>
    <mergeCell ref="FA11:FB11"/>
    <mergeCell ref="DN14:DP14"/>
    <mergeCell ref="EL27:EO27"/>
    <mergeCell ref="DZ21:EK21"/>
    <mergeCell ref="DZ22:EK22"/>
    <mergeCell ref="FM29:FN29"/>
    <mergeCell ref="FJ29:FK29"/>
    <mergeCell ref="FG29:FH29"/>
    <mergeCell ref="DZ31:EK31"/>
    <mergeCell ref="DN15:DP15"/>
    <mergeCell ref="DZ23:EK23"/>
    <mergeCell ref="DZ24:EK24"/>
    <mergeCell ref="DZ25:EK25"/>
    <mergeCell ref="DZ26:EK26"/>
    <mergeCell ref="DZ27:EK27"/>
    <mergeCell ref="EL23:EO23"/>
    <mergeCell ref="DZ29:EK29"/>
    <mergeCell ref="DZ30:EK30"/>
    <mergeCell ref="EL25:EO25"/>
    <mergeCell ref="FD30:FE31"/>
    <mergeCell ref="FV15:FW15"/>
    <mergeCell ref="FS15:FT15"/>
    <mergeCell ref="FB40:FB46"/>
    <mergeCell ref="FD15:FE15"/>
    <mergeCell ref="EX19:GA25"/>
    <mergeCell ref="EX27:GA27"/>
    <mergeCell ref="FM32:FN32"/>
    <mergeCell ref="FJ32:FK32"/>
    <mergeCell ref="FG32:FH32"/>
    <mergeCell ref="FG41:FH41"/>
    <mergeCell ref="FG42:FH43"/>
    <mergeCell ref="FD45:FE46"/>
    <mergeCell ref="FD42:FE43"/>
    <mergeCell ref="FD38:FE38"/>
    <mergeCell ref="FD32:FE32"/>
    <mergeCell ref="FD41:FE41"/>
    <mergeCell ref="FD35:FE35"/>
    <mergeCell ref="FS33:FT34"/>
    <mergeCell ref="FG30:FH31"/>
    <mergeCell ref="FJ30:FK31"/>
    <mergeCell ref="FM30:FN31"/>
    <mergeCell ref="FS36:FT37"/>
    <mergeCell ref="FV36:FW37"/>
    <mergeCell ref="FP38:FQ38"/>
    <mergeCell ref="FG39:FH40"/>
    <mergeCell ref="FD44:FE44"/>
    <mergeCell ref="DL23:DM23"/>
    <mergeCell ref="DN20:DP20"/>
    <mergeCell ref="DN21:DP21"/>
    <mergeCell ref="DN17:DP17"/>
    <mergeCell ref="EL21:EO21"/>
    <mergeCell ref="EL22:EO22"/>
    <mergeCell ref="EL28:EO28"/>
    <mergeCell ref="EL29:EO29"/>
    <mergeCell ref="DS20:EW20"/>
    <mergeCell ref="DZ35:EK35"/>
    <mergeCell ref="DZ36:EK36"/>
    <mergeCell ref="EL36:EO36"/>
    <mergeCell ref="DL26:DM26"/>
    <mergeCell ref="DL27:DM27"/>
    <mergeCell ref="EY55:FZ56"/>
    <mergeCell ref="FI9:FP11"/>
    <mergeCell ref="FD53:FE53"/>
    <mergeCell ref="FG53:FH53"/>
    <mergeCell ref="FJ53:FK53"/>
    <mergeCell ref="FM53:FN53"/>
    <mergeCell ref="FP53:FQ53"/>
    <mergeCell ref="FG50:FH50"/>
    <mergeCell ref="FD50:FE50"/>
    <mergeCell ref="FP51:FQ52"/>
    <mergeCell ref="FD51:FE52"/>
    <mergeCell ref="FJ51:FK52"/>
    <mergeCell ref="FG51:FH52"/>
    <mergeCell ref="FS11:FT11"/>
    <mergeCell ref="FS12:FT13"/>
    <mergeCell ref="FV12:FW13"/>
    <mergeCell ref="FS14:FT14"/>
    <mergeCell ref="FD39:FE40"/>
    <mergeCell ref="FV33:FW34"/>
    <mergeCell ref="FS39:FT40"/>
    <mergeCell ref="FV39:FW40"/>
    <mergeCell ref="FJ33:FK34"/>
    <mergeCell ref="FM33:FN34"/>
    <mergeCell ref="FP33:FQ34"/>
    <mergeCell ref="DN12:DP12"/>
    <mergeCell ref="FA8:FB8"/>
    <mergeCell ref="DL7:DM8"/>
    <mergeCell ref="DN7:DP8"/>
    <mergeCell ref="FI6:FP7"/>
    <mergeCell ref="DS43:EW52"/>
    <mergeCell ref="DS41:EW42"/>
    <mergeCell ref="DS4:EW13"/>
    <mergeCell ref="FI13:FP15"/>
    <mergeCell ref="FF12:FF13"/>
    <mergeCell ref="FD12:FE13"/>
    <mergeCell ref="FD9:FE10"/>
    <mergeCell ref="FD11:FE11"/>
    <mergeCell ref="FF9:FF10"/>
    <mergeCell ref="EL34:EO34"/>
    <mergeCell ref="EL33:EO33"/>
    <mergeCell ref="EL32:EO32"/>
    <mergeCell ref="EL31:EO31"/>
    <mergeCell ref="EL30:EO30"/>
    <mergeCell ref="DS14:EW14"/>
    <mergeCell ref="EL26:EO26"/>
    <mergeCell ref="DZ32:EK32"/>
    <mergeCell ref="FD48:FE49"/>
    <mergeCell ref="FG33:FH34"/>
    <mergeCell ref="GB4:HD5"/>
    <mergeCell ref="CN4:DQ4"/>
    <mergeCell ref="GC8:GW8"/>
    <mergeCell ref="GC9:GW9"/>
    <mergeCell ref="GC10:GW10"/>
    <mergeCell ref="GC11:GW11"/>
    <mergeCell ref="GC12:GW12"/>
    <mergeCell ref="GC13:GW13"/>
    <mergeCell ref="GC14:GW14"/>
    <mergeCell ref="FD8:FE8"/>
    <mergeCell ref="FC9:FC10"/>
    <mergeCell ref="FC12:FC13"/>
    <mergeCell ref="FS7:FT7"/>
    <mergeCell ref="FV7:FW7"/>
    <mergeCell ref="FD7:FE7"/>
    <mergeCell ref="FA9:FB10"/>
    <mergeCell ref="EY9:EY10"/>
    <mergeCell ref="FA7:FB7"/>
    <mergeCell ref="FV14:FW14"/>
    <mergeCell ref="EZ9:EZ10"/>
    <mergeCell ref="DN9:DP9"/>
    <mergeCell ref="FD14:FE14"/>
    <mergeCell ref="CO9:CO12"/>
    <mergeCell ref="CO13:CO16"/>
    <mergeCell ref="GC18:GW18"/>
    <mergeCell ref="GX9:GZ9"/>
    <mergeCell ref="GX10:GZ10"/>
    <mergeCell ref="GX11:GZ11"/>
    <mergeCell ref="GX12:GZ12"/>
    <mergeCell ref="GX13:GZ13"/>
    <mergeCell ref="GX14:GZ14"/>
    <mergeCell ref="GX15:GZ15"/>
    <mergeCell ref="GX16:GZ16"/>
    <mergeCell ref="GX17:GZ17"/>
    <mergeCell ref="GX18:GZ18"/>
    <mergeCell ref="GC15:GW15"/>
    <mergeCell ref="GC16:GW16"/>
    <mergeCell ref="GC17:GW17"/>
    <mergeCell ref="GC21:GW21"/>
    <mergeCell ref="GC22:GW22"/>
    <mergeCell ref="GX22:GZ22"/>
    <mergeCell ref="GC23:GW23"/>
    <mergeCell ref="GX23:GZ23"/>
    <mergeCell ref="GC24:GW24"/>
    <mergeCell ref="GX24:GZ24"/>
    <mergeCell ref="GC25:GW25"/>
    <mergeCell ref="GX25:GZ25"/>
    <mergeCell ref="GX36:GZ36"/>
    <mergeCell ref="GC37:GW37"/>
    <mergeCell ref="GX37:GZ37"/>
    <mergeCell ref="GC26:GW26"/>
    <mergeCell ref="GX26:GZ26"/>
    <mergeCell ref="GC27:GW27"/>
    <mergeCell ref="GX27:GZ27"/>
    <mergeCell ref="GC28:GW28"/>
    <mergeCell ref="GX28:GZ28"/>
    <mergeCell ref="GC29:GW29"/>
    <mergeCell ref="GX29:GZ29"/>
    <mergeCell ref="GC30:GW30"/>
    <mergeCell ref="GX30:GZ30"/>
    <mergeCell ref="BI44:CL56"/>
    <mergeCell ref="GC43:GW43"/>
    <mergeCell ref="GX43:GZ43"/>
    <mergeCell ref="GC44:GW44"/>
    <mergeCell ref="GX44:GZ44"/>
    <mergeCell ref="D22:X23"/>
    <mergeCell ref="D31:X32"/>
    <mergeCell ref="D49:X50"/>
    <mergeCell ref="GC38:GW38"/>
    <mergeCell ref="GX38:GZ38"/>
    <mergeCell ref="GC39:GW39"/>
    <mergeCell ref="GX39:GZ39"/>
    <mergeCell ref="GC40:GW40"/>
    <mergeCell ref="GX40:GZ40"/>
    <mergeCell ref="GC41:GW41"/>
    <mergeCell ref="GX41:GZ41"/>
    <mergeCell ref="GC42:GW42"/>
    <mergeCell ref="GX42:GZ42"/>
    <mergeCell ref="GC31:GW31"/>
    <mergeCell ref="GX31:GZ31"/>
    <mergeCell ref="GC34:GW34"/>
    <mergeCell ref="GC35:GW35"/>
    <mergeCell ref="GX35:GZ35"/>
    <mergeCell ref="GC36:GW36"/>
  </mergeCells>
  <conditionalFormatting sqref="CD12:CD14">
    <cfRule type="cellIs" dxfId="2541" priority="3644" operator="equal">
      <formula>"YES"</formula>
    </cfRule>
  </conditionalFormatting>
  <conditionalFormatting sqref="CD5:CD6">
    <cfRule type="cellIs" dxfId="2540" priority="3642" operator="equal">
      <formula>"YES"</formula>
    </cfRule>
  </conditionalFormatting>
  <conditionalFormatting sqref="FC29:FW38 FC41:FW53 FC39:FU40">
    <cfRule type="cellIs" dxfId="2539" priority="3638" operator="between">
      <formula>1</formula>
      <formula>999</formula>
    </cfRule>
  </conditionalFormatting>
  <conditionalFormatting sqref="FC29 FU29 FX29 FX32 FU32 FU35 FX35 FX38 FU38 FU41 FX41 FX44 FU44 FU47 FX47 FX50 FU50 FU53 FX53 FF29 FI29 FL29 FO29 FR29">
    <cfRule type="cellIs" dxfId="2538" priority="3626" operator="equal">
      <formula>6.5</formula>
    </cfRule>
    <cfRule type="cellIs" dxfId="2537" priority="3637" operator="equal">
      <formula>1</formula>
    </cfRule>
  </conditionalFormatting>
  <conditionalFormatting sqref="FS53:FX53 FS50:FX50 FS47:FX47 FS44:FX44 FS41:FX41 FS38:FX38 FS35:FX35 FS32:FX32 FC29:FX29">
    <cfRule type="cellIs" dxfId="2536" priority="3624" operator="equal">
      <formula>0</formula>
    </cfRule>
    <cfRule type="cellIs" dxfId="2535" priority="3625" operator="greaterThan">
      <formula>6.6</formula>
    </cfRule>
    <cfRule type="cellIs" dxfId="2534" priority="3627" operator="equal">
      <formula>6</formula>
    </cfRule>
    <cfRule type="cellIs" dxfId="2533" priority="3628" operator="equal">
      <formula>5.5</formula>
    </cfRule>
    <cfRule type="cellIs" dxfId="2532" priority="3629" operator="equal">
      <formula>5</formula>
    </cfRule>
    <cfRule type="cellIs" dxfId="2531" priority="3630" operator="equal">
      <formula>4.5</formula>
    </cfRule>
    <cfRule type="cellIs" dxfId="2530" priority="3631" operator="equal">
      <formula>4</formula>
    </cfRule>
    <cfRule type="cellIs" dxfId="2529" priority="3632" operator="equal">
      <formula>3.5</formula>
    </cfRule>
    <cfRule type="cellIs" dxfId="2528" priority="3633" operator="equal">
      <formula>3</formula>
    </cfRule>
    <cfRule type="cellIs" dxfId="2527" priority="3634" operator="equal">
      <formula>2.5</formula>
    </cfRule>
    <cfRule type="cellIs" dxfId="2526" priority="3635" operator="equal">
      <formula>2</formula>
    </cfRule>
    <cfRule type="cellIs" dxfId="2525" priority="3636" operator="equal">
      <formula>1.5</formula>
    </cfRule>
  </conditionalFormatting>
  <conditionalFormatting sqref="HA13 HA16:HA17">
    <cfRule type="cellIs" dxfId="2524" priority="3620" operator="between">
      <formula>1</formula>
      <formula>999</formula>
    </cfRule>
  </conditionalFormatting>
  <conditionalFormatting sqref="FD29">
    <cfRule type="cellIs" dxfId="2523" priority="3614" operator="between">
      <formula>1</formula>
      <formula>999</formula>
    </cfRule>
  </conditionalFormatting>
  <conditionalFormatting sqref="FD29">
    <cfRule type="cellIs" dxfId="2522" priority="3601" operator="greaterThan">
      <formula>6.6</formula>
    </cfRule>
    <cfRule type="cellIs" dxfId="2521" priority="3602" operator="equal">
      <formula>6.5</formula>
    </cfRule>
    <cfRule type="cellIs" dxfId="2520" priority="3603" operator="equal">
      <formula>6</formula>
    </cfRule>
    <cfRule type="cellIs" dxfId="2519" priority="3604" operator="equal">
      <formula>5.5</formula>
    </cfRule>
    <cfRule type="cellIs" dxfId="2518" priority="3605" operator="equal">
      <formula>5</formula>
    </cfRule>
    <cfRule type="cellIs" dxfId="2517" priority="3606" operator="equal">
      <formula>4.5</formula>
    </cfRule>
    <cfRule type="cellIs" dxfId="2516" priority="3607" operator="equal">
      <formula>4</formula>
    </cfRule>
    <cfRule type="cellIs" dxfId="2515" priority="3608" operator="equal">
      <formula>3.5</formula>
    </cfRule>
    <cfRule type="cellIs" dxfId="2514" priority="3609" operator="equal">
      <formula>3</formula>
    </cfRule>
    <cfRule type="cellIs" dxfId="2513" priority="3610" operator="equal">
      <formula>2.5</formula>
    </cfRule>
    <cfRule type="cellIs" dxfId="2512" priority="3611" operator="equal">
      <formula>2</formula>
    </cfRule>
    <cfRule type="cellIs" dxfId="2511" priority="3612" operator="equal">
      <formula>1.5</formula>
    </cfRule>
    <cfRule type="cellIs" dxfId="2510" priority="3613" operator="equal">
      <formula>1</formula>
    </cfRule>
  </conditionalFormatting>
  <conditionalFormatting sqref="FG29">
    <cfRule type="cellIs" dxfId="2509" priority="3600" operator="between">
      <formula>1</formula>
      <formula>999</formula>
    </cfRule>
  </conditionalFormatting>
  <conditionalFormatting sqref="FG29">
    <cfRule type="cellIs" dxfId="2508" priority="3587" operator="greaterThan">
      <formula>6.6</formula>
    </cfRule>
    <cfRule type="cellIs" dxfId="2507" priority="3588" operator="equal">
      <formula>6.5</formula>
    </cfRule>
    <cfRule type="cellIs" dxfId="2506" priority="3589" operator="equal">
      <formula>6</formula>
    </cfRule>
    <cfRule type="cellIs" dxfId="2505" priority="3590" operator="equal">
      <formula>5.5</formula>
    </cfRule>
    <cfRule type="cellIs" dxfId="2504" priority="3591" operator="equal">
      <formula>5</formula>
    </cfRule>
    <cfRule type="cellIs" dxfId="2503" priority="3592" operator="equal">
      <formula>4.5</formula>
    </cfRule>
    <cfRule type="cellIs" dxfId="2502" priority="3593" operator="equal">
      <formula>4</formula>
    </cfRule>
    <cfRule type="cellIs" dxfId="2501" priority="3594" operator="equal">
      <formula>3.5</formula>
    </cfRule>
    <cfRule type="cellIs" dxfId="2500" priority="3595" operator="equal">
      <formula>3</formula>
    </cfRule>
    <cfRule type="cellIs" dxfId="2499" priority="3596" operator="equal">
      <formula>2.5</formula>
    </cfRule>
    <cfRule type="cellIs" dxfId="2498" priority="3597" operator="equal">
      <formula>2</formula>
    </cfRule>
    <cfRule type="cellIs" dxfId="2497" priority="3598" operator="equal">
      <formula>1.5</formula>
    </cfRule>
    <cfRule type="cellIs" dxfId="2496" priority="3599" operator="equal">
      <formula>1</formula>
    </cfRule>
  </conditionalFormatting>
  <conditionalFormatting sqref="FJ29">
    <cfRule type="cellIs" dxfId="2495" priority="3586" operator="between">
      <formula>1</formula>
      <formula>999</formula>
    </cfRule>
  </conditionalFormatting>
  <conditionalFormatting sqref="FJ29">
    <cfRule type="cellIs" dxfId="2494" priority="3573" operator="greaterThan">
      <formula>6.6</formula>
    </cfRule>
    <cfRule type="cellIs" dxfId="2493" priority="3574" operator="equal">
      <formula>6.5</formula>
    </cfRule>
    <cfRule type="cellIs" dxfId="2492" priority="3575" operator="equal">
      <formula>6</formula>
    </cfRule>
    <cfRule type="cellIs" dxfId="2491" priority="3576" operator="equal">
      <formula>5.5</formula>
    </cfRule>
    <cfRule type="cellIs" dxfId="2490" priority="3577" operator="equal">
      <formula>5</formula>
    </cfRule>
    <cfRule type="cellIs" dxfId="2489" priority="3578" operator="equal">
      <formula>4.5</formula>
    </cfRule>
    <cfRule type="cellIs" dxfId="2488" priority="3579" operator="equal">
      <formula>4</formula>
    </cfRule>
    <cfRule type="cellIs" dxfId="2487" priority="3580" operator="equal">
      <formula>3.5</formula>
    </cfRule>
    <cfRule type="cellIs" dxfId="2486" priority="3581" operator="equal">
      <formula>3</formula>
    </cfRule>
    <cfRule type="cellIs" dxfId="2485" priority="3582" operator="equal">
      <formula>2.5</formula>
    </cfRule>
    <cfRule type="cellIs" dxfId="2484" priority="3583" operator="equal">
      <formula>2</formula>
    </cfRule>
    <cfRule type="cellIs" dxfId="2483" priority="3584" operator="equal">
      <formula>1.5</formula>
    </cfRule>
    <cfRule type="cellIs" dxfId="2482" priority="3585" operator="equal">
      <formula>1</formula>
    </cfRule>
  </conditionalFormatting>
  <conditionalFormatting sqref="FM29">
    <cfRule type="cellIs" dxfId="2481" priority="3572" operator="between">
      <formula>1</formula>
      <formula>999</formula>
    </cfRule>
  </conditionalFormatting>
  <conditionalFormatting sqref="FM29">
    <cfRule type="cellIs" dxfId="2480" priority="3559" operator="greaterThan">
      <formula>6.6</formula>
    </cfRule>
    <cfRule type="cellIs" dxfId="2479" priority="3560" operator="equal">
      <formula>6.5</formula>
    </cfRule>
    <cfRule type="cellIs" dxfId="2478" priority="3561" operator="equal">
      <formula>6</formula>
    </cfRule>
    <cfRule type="cellIs" dxfId="2477" priority="3562" operator="equal">
      <formula>5.5</formula>
    </cfRule>
    <cfRule type="cellIs" dxfId="2476" priority="3563" operator="equal">
      <formula>5</formula>
    </cfRule>
    <cfRule type="cellIs" dxfId="2475" priority="3564" operator="equal">
      <formula>4.5</formula>
    </cfRule>
    <cfRule type="cellIs" dxfId="2474" priority="3565" operator="equal">
      <formula>4</formula>
    </cfRule>
    <cfRule type="cellIs" dxfId="2473" priority="3566" operator="equal">
      <formula>3.5</formula>
    </cfRule>
    <cfRule type="cellIs" dxfId="2472" priority="3567" operator="equal">
      <formula>3</formula>
    </cfRule>
    <cfRule type="cellIs" dxfId="2471" priority="3568" operator="equal">
      <formula>2.5</formula>
    </cfRule>
    <cfRule type="cellIs" dxfId="2470" priority="3569" operator="equal">
      <formula>2</formula>
    </cfRule>
    <cfRule type="cellIs" dxfId="2469" priority="3570" operator="equal">
      <formula>1.5</formula>
    </cfRule>
    <cfRule type="cellIs" dxfId="2468" priority="3571" operator="equal">
      <formula>1</formula>
    </cfRule>
  </conditionalFormatting>
  <conditionalFormatting sqref="FP29">
    <cfRule type="cellIs" dxfId="2467" priority="3558" operator="between">
      <formula>1</formula>
      <formula>999</formula>
    </cfRule>
  </conditionalFormatting>
  <conditionalFormatting sqref="FP29">
    <cfRule type="cellIs" dxfId="2466" priority="3545" operator="greaterThan">
      <formula>6.6</formula>
    </cfRule>
    <cfRule type="cellIs" dxfId="2465" priority="3546" operator="equal">
      <formula>6.5</formula>
    </cfRule>
    <cfRule type="cellIs" dxfId="2464" priority="3547" operator="equal">
      <formula>6</formula>
    </cfRule>
    <cfRule type="cellIs" dxfId="2463" priority="3548" operator="equal">
      <formula>5.5</formula>
    </cfRule>
    <cfRule type="cellIs" dxfId="2462" priority="3549" operator="equal">
      <formula>5</formula>
    </cfRule>
    <cfRule type="cellIs" dxfId="2461" priority="3550" operator="equal">
      <formula>4.5</formula>
    </cfRule>
    <cfRule type="cellIs" dxfId="2460" priority="3551" operator="equal">
      <formula>4</formula>
    </cfRule>
    <cfRule type="cellIs" dxfId="2459" priority="3552" operator="equal">
      <formula>3.5</formula>
    </cfRule>
    <cfRule type="cellIs" dxfId="2458" priority="3553" operator="equal">
      <formula>3</formula>
    </cfRule>
    <cfRule type="cellIs" dxfId="2457" priority="3554" operator="equal">
      <formula>2.5</formula>
    </cfRule>
    <cfRule type="cellIs" dxfId="2456" priority="3555" operator="equal">
      <formula>2</formula>
    </cfRule>
    <cfRule type="cellIs" dxfId="2455" priority="3556" operator="equal">
      <formula>1.5</formula>
    </cfRule>
    <cfRule type="cellIs" dxfId="2454" priority="3557" operator="equal">
      <formula>1</formula>
    </cfRule>
  </conditionalFormatting>
  <conditionalFormatting sqref="FJ29">
    <cfRule type="cellIs" dxfId="2453" priority="3112" operator="between">
      <formula>1</formula>
      <formula>999</formula>
    </cfRule>
  </conditionalFormatting>
  <conditionalFormatting sqref="FJ29">
    <cfRule type="cellIs" dxfId="2452" priority="3099" operator="greaterThan">
      <formula>6.6</formula>
    </cfRule>
    <cfRule type="cellIs" dxfId="2451" priority="3100" operator="equal">
      <formula>6.5</formula>
    </cfRule>
    <cfRule type="cellIs" dxfId="2450" priority="3101" operator="equal">
      <formula>6</formula>
    </cfRule>
    <cfRule type="cellIs" dxfId="2449" priority="3102" operator="equal">
      <formula>5.5</formula>
    </cfRule>
    <cfRule type="cellIs" dxfId="2448" priority="3103" operator="equal">
      <formula>5</formula>
    </cfRule>
    <cfRule type="cellIs" dxfId="2447" priority="3104" operator="equal">
      <formula>4.5</formula>
    </cfRule>
    <cfRule type="cellIs" dxfId="2446" priority="3105" operator="equal">
      <formula>4</formula>
    </cfRule>
    <cfRule type="cellIs" dxfId="2445" priority="3106" operator="equal">
      <formula>3.5</formula>
    </cfRule>
    <cfRule type="cellIs" dxfId="2444" priority="3107" operator="equal">
      <formula>3</formula>
    </cfRule>
    <cfRule type="cellIs" dxfId="2443" priority="3108" operator="equal">
      <formula>2.5</formula>
    </cfRule>
    <cfRule type="cellIs" dxfId="2442" priority="3109" operator="equal">
      <formula>2</formula>
    </cfRule>
    <cfRule type="cellIs" dxfId="2441" priority="3110" operator="equal">
      <formula>1.5</formula>
    </cfRule>
    <cfRule type="cellIs" dxfId="2440" priority="3111" operator="equal">
      <formula>1</formula>
    </cfRule>
  </conditionalFormatting>
  <conditionalFormatting sqref="FG29">
    <cfRule type="cellIs" dxfId="2439" priority="2311" operator="between">
      <formula>1</formula>
      <formula>999</formula>
    </cfRule>
  </conditionalFormatting>
  <conditionalFormatting sqref="FG29">
    <cfRule type="cellIs" dxfId="2438" priority="2298" operator="greaterThan">
      <formula>6.6</formula>
    </cfRule>
    <cfRule type="cellIs" dxfId="2437" priority="2299" operator="equal">
      <formula>6.5</formula>
    </cfRule>
    <cfRule type="cellIs" dxfId="2436" priority="2300" operator="equal">
      <formula>6</formula>
    </cfRule>
    <cfRule type="cellIs" dxfId="2435" priority="2301" operator="equal">
      <formula>5.5</formula>
    </cfRule>
    <cfRule type="cellIs" dxfId="2434" priority="2302" operator="equal">
      <formula>5</formula>
    </cfRule>
    <cfRule type="cellIs" dxfId="2433" priority="2303" operator="equal">
      <formula>4.5</formula>
    </cfRule>
    <cfRule type="cellIs" dxfId="2432" priority="2304" operator="equal">
      <formula>4</formula>
    </cfRule>
    <cfRule type="cellIs" dxfId="2431" priority="2305" operator="equal">
      <formula>3.5</formula>
    </cfRule>
    <cfRule type="cellIs" dxfId="2430" priority="2306" operator="equal">
      <formula>3</formula>
    </cfRule>
    <cfRule type="cellIs" dxfId="2429" priority="2307" operator="equal">
      <formula>2.5</formula>
    </cfRule>
    <cfRule type="cellIs" dxfId="2428" priority="2308" operator="equal">
      <formula>2</formula>
    </cfRule>
    <cfRule type="cellIs" dxfId="2427" priority="2309" operator="equal">
      <formula>1.5</formula>
    </cfRule>
    <cfRule type="cellIs" dxfId="2426" priority="2310" operator="equal">
      <formula>1</formula>
    </cfRule>
  </conditionalFormatting>
  <conditionalFormatting sqref="FJ29">
    <cfRule type="cellIs" dxfId="2425" priority="2297" operator="between">
      <formula>1</formula>
      <formula>999</formula>
    </cfRule>
  </conditionalFormatting>
  <conditionalFormatting sqref="FJ29">
    <cfRule type="cellIs" dxfId="2424" priority="2284" operator="greaterThan">
      <formula>6.6</formula>
    </cfRule>
    <cfRule type="cellIs" dxfId="2423" priority="2285" operator="equal">
      <formula>6.5</formula>
    </cfRule>
    <cfRule type="cellIs" dxfId="2422" priority="2286" operator="equal">
      <formula>6</formula>
    </cfRule>
    <cfRule type="cellIs" dxfId="2421" priority="2287" operator="equal">
      <formula>5.5</formula>
    </cfRule>
    <cfRule type="cellIs" dxfId="2420" priority="2288" operator="equal">
      <formula>5</formula>
    </cfRule>
    <cfRule type="cellIs" dxfId="2419" priority="2289" operator="equal">
      <formula>4.5</formula>
    </cfRule>
    <cfRule type="cellIs" dxfId="2418" priority="2290" operator="equal">
      <formula>4</formula>
    </cfRule>
    <cfRule type="cellIs" dxfId="2417" priority="2291" operator="equal">
      <formula>3.5</formula>
    </cfRule>
    <cfRule type="cellIs" dxfId="2416" priority="2292" operator="equal">
      <formula>3</formula>
    </cfRule>
    <cfRule type="cellIs" dxfId="2415" priority="2293" operator="equal">
      <formula>2.5</formula>
    </cfRule>
    <cfRule type="cellIs" dxfId="2414" priority="2294" operator="equal">
      <formula>2</formula>
    </cfRule>
    <cfRule type="cellIs" dxfId="2413" priority="2295" operator="equal">
      <formula>1.5</formula>
    </cfRule>
    <cfRule type="cellIs" dxfId="2412" priority="2296" operator="equal">
      <formula>1</formula>
    </cfRule>
  </conditionalFormatting>
  <conditionalFormatting sqref="FJ29">
    <cfRule type="cellIs" dxfId="2411" priority="2283" operator="between">
      <formula>1</formula>
      <formula>999</formula>
    </cfRule>
  </conditionalFormatting>
  <conditionalFormatting sqref="FJ29">
    <cfRule type="cellIs" dxfId="2410" priority="2270" operator="greaterThan">
      <formula>6.6</formula>
    </cfRule>
    <cfRule type="cellIs" dxfId="2409" priority="2271" operator="equal">
      <formula>6.5</formula>
    </cfRule>
    <cfRule type="cellIs" dxfId="2408" priority="2272" operator="equal">
      <formula>6</formula>
    </cfRule>
    <cfRule type="cellIs" dxfId="2407" priority="2273" operator="equal">
      <formula>5.5</formula>
    </cfRule>
    <cfRule type="cellIs" dxfId="2406" priority="2274" operator="equal">
      <formula>5</formula>
    </cfRule>
    <cfRule type="cellIs" dxfId="2405" priority="2275" operator="equal">
      <formula>4.5</formula>
    </cfRule>
    <cfRule type="cellIs" dxfId="2404" priority="2276" operator="equal">
      <formula>4</formula>
    </cfRule>
    <cfRule type="cellIs" dxfId="2403" priority="2277" operator="equal">
      <formula>3.5</formula>
    </cfRule>
    <cfRule type="cellIs" dxfId="2402" priority="2278" operator="equal">
      <formula>3</formula>
    </cfRule>
    <cfRule type="cellIs" dxfId="2401" priority="2279" operator="equal">
      <formula>2.5</formula>
    </cfRule>
    <cfRule type="cellIs" dxfId="2400" priority="2280" operator="equal">
      <formula>2</formula>
    </cfRule>
    <cfRule type="cellIs" dxfId="2399" priority="2281" operator="equal">
      <formula>1.5</formula>
    </cfRule>
    <cfRule type="cellIs" dxfId="2398" priority="2282" operator="equal">
      <formula>1</formula>
    </cfRule>
  </conditionalFormatting>
  <conditionalFormatting sqref="FM29">
    <cfRule type="cellIs" dxfId="2397" priority="2269" operator="between">
      <formula>1</formula>
      <formula>999</formula>
    </cfRule>
  </conditionalFormatting>
  <conditionalFormatting sqref="FM29">
    <cfRule type="cellIs" dxfId="2396" priority="2256" operator="greaterThan">
      <formula>6.6</formula>
    </cfRule>
    <cfRule type="cellIs" dxfId="2395" priority="2257" operator="equal">
      <formula>6.5</formula>
    </cfRule>
    <cfRule type="cellIs" dxfId="2394" priority="2258" operator="equal">
      <formula>6</formula>
    </cfRule>
    <cfRule type="cellIs" dxfId="2393" priority="2259" operator="equal">
      <formula>5.5</formula>
    </cfRule>
    <cfRule type="cellIs" dxfId="2392" priority="2260" operator="equal">
      <formula>5</formula>
    </cfRule>
    <cfRule type="cellIs" dxfId="2391" priority="2261" operator="equal">
      <formula>4.5</formula>
    </cfRule>
    <cfRule type="cellIs" dxfId="2390" priority="2262" operator="equal">
      <formula>4</formula>
    </cfRule>
    <cfRule type="cellIs" dxfId="2389" priority="2263" operator="equal">
      <formula>3.5</formula>
    </cfRule>
    <cfRule type="cellIs" dxfId="2388" priority="2264" operator="equal">
      <formula>3</formula>
    </cfRule>
    <cfRule type="cellIs" dxfId="2387" priority="2265" operator="equal">
      <formula>2.5</formula>
    </cfRule>
    <cfRule type="cellIs" dxfId="2386" priority="2266" operator="equal">
      <formula>2</formula>
    </cfRule>
    <cfRule type="cellIs" dxfId="2385" priority="2267" operator="equal">
      <formula>1.5</formula>
    </cfRule>
    <cfRule type="cellIs" dxfId="2384" priority="2268" operator="equal">
      <formula>1</formula>
    </cfRule>
  </conditionalFormatting>
  <conditionalFormatting sqref="FM29">
    <cfRule type="cellIs" dxfId="2383" priority="2255" operator="between">
      <formula>1</formula>
      <formula>999</formula>
    </cfRule>
  </conditionalFormatting>
  <conditionalFormatting sqref="FM29">
    <cfRule type="cellIs" dxfId="2382" priority="2242" operator="greaterThan">
      <formula>6.6</formula>
    </cfRule>
    <cfRule type="cellIs" dxfId="2381" priority="2243" operator="equal">
      <formula>6.5</formula>
    </cfRule>
    <cfRule type="cellIs" dxfId="2380" priority="2244" operator="equal">
      <formula>6</formula>
    </cfRule>
    <cfRule type="cellIs" dxfId="2379" priority="2245" operator="equal">
      <formula>5.5</formula>
    </cfRule>
    <cfRule type="cellIs" dxfId="2378" priority="2246" operator="equal">
      <formula>5</formula>
    </cfRule>
    <cfRule type="cellIs" dxfId="2377" priority="2247" operator="equal">
      <formula>4.5</formula>
    </cfRule>
    <cfRule type="cellIs" dxfId="2376" priority="2248" operator="equal">
      <formula>4</formula>
    </cfRule>
    <cfRule type="cellIs" dxfId="2375" priority="2249" operator="equal">
      <formula>3.5</formula>
    </cfRule>
    <cfRule type="cellIs" dxfId="2374" priority="2250" operator="equal">
      <formula>3</formula>
    </cfRule>
    <cfRule type="cellIs" dxfId="2373" priority="2251" operator="equal">
      <formula>2.5</formula>
    </cfRule>
    <cfRule type="cellIs" dxfId="2372" priority="2252" operator="equal">
      <formula>2</formula>
    </cfRule>
    <cfRule type="cellIs" dxfId="2371" priority="2253" operator="equal">
      <formula>1.5</formula>
    </cfRule>
    <cfRule type="cellIs" dxfId="2370" priority="2254" operator="equal">
      <formula>1</formula>
    </cfRule>
  </conditionalFormatting>
  <conditionalFormatting sqref="FM29">
    <cfRule type="cellIs" dxfId="2369" priority="2241" operator="between">
      <formula>1</formula>
      <formula>999</formula>
    </cfRule>
  </conditionalFormatting>
  <conditionalFormatting sqref="FM29">
    <cfRule type="cellIs" dxfId="2368" priority="2228" operator="greaterThan">
      <formula>6.6</formula>
    </cfRule>
    <cfRule type="cellIs" dxfId="2367" priority="2229" operator="equal">
      <formula>6.5</formula>
    </cfRule>
    <cfRule type="cellIs" dxfId="2366" priority="2230" operator="equal">
      <formula>6</formula>
    </cfRule>
    <cfRule type="cellIs" dxfId="2365" priority="2231" operator="equal">
      <formula>5.5</formula>
    </cfRule>
    <cfRule type="cellIs" dxfId="2364" priority="2232" operator="equal">
      <formula>5</formula>
    </cfRule>
    <cfRule type="cellIs" dxfId="2363" priority="2233" operator="equal">
      <formula>4.5</formula>
    </cfRule>
    <cfRule type="cellIs" dxfId="2362" priority="2234" operator="equal">
      <formula>4</formula>
    </cfRule>
    <cfRule type="cellIs" dxfId="2361" priority="2235" operator="equal">
      <formula>3.5</formula>
    </cfRule>
    <cfRule type="cellIs" dxfId="2360" priority="2236" operator="equal">
      <formula>3</formula>
    </cfRule>
    <cfRule type="cellIs" dxfId="2359" priority="2237" operator="equal">
      <formula>2.5</formula>
    </cfRule>
    <cfRule type="cellIs" dxfId="2358" priority="2238" operator="equal">
      <formula>2</formula>
    </cfRule>
    <cfRule type="cellIs" dxfId="2357" priority="2239" operator="equal">
      <formula>1.5</formula>
    </cfRule>
    <cfRule type="cellIs" dxfId="2356" priority="2240" operator="equal">
      <formula>1</formula>
    </cfRule>
  </conditionalFormatting>
  <conditionalFormatting sqref="FM29">
    <cfRule type="cellIs" dxfId="2355" priority="2227" operator="between">
      <formula>1</formula>
      <formula>999</formula>
    </cfRule>
  </conditionalFormatting>
  <conditionalFormatting sqref="FM29">
    <cfRule type="cellIs" dxfId="2354" priority="2214" operator="greaterThan">
      <formula>6.6</formula>
    </cfRule>
    <cfRule type="cellIs" dxfId="2353" priority="2215" operator="equal">
      <formula>6.5</formula>
    </cfRule>
    <cfRule type="cellIs" dxfId="2352" priority="2216" operator="equal">
      <formula>6</formula>
    </cfRule>
    <cfRule type="cellIs" dxfId="2351" priority="2217" operator="equal">
      <formula>5.5</formula>
    </cfRule>
    <cfRule type="cellIs" dxfId="2350" priority="2218" operator="equal">
      <formula>5</formula>
    </cfRule>
    <cfRule type="cellIs" dxfId="2349" priority="2219" operator="equal">
      <formula>4.5</formula>
    </cfRule>
    <cfRule type="cellIs" dxfId="2348" priority="2220" operator="equal">
      <formula>4</formula>
    </cfRule>
    <cfRule type="cellIs" dxfId="2347" priority="2221" operator="equal">
      <formula>3.5</formula>
    </cfRule>
    <cfRule type="cellIs" dxfId="2346" priority="2222" operator="equal">
      <formula>3</formula>
    </cfRule>
    <cfRule type="cellIs" dxfId="2345" priority="2223" operator="equal">
      <formula>2.5</formula>
    </cfRule>
    <cfRule type="cellIs" dxfId="2344" priority="2224" operator="equal">
      <formula>2</formula>
    </cfRule>
    <cfRule type="cellIs" dxfId="2343" priority="2225" operator="equal">
      <formula>1.5</formula>
    </cfRule>
    <cfRule type="cellIs" dxfId="2342" priority="2226" operator="equal">
      <formula>1</formula>
    </cfRule>
  </conditionalFormatting>
  <conditionalFormatting sqref="FP29">
    <cfRule type="cellIs" dxfId="2341" priority="2213" operator="between">
      <formula>1</formula>
      <formula>999</formula>
    </cfRule>
  </conditionalFormatting>
  <conditionalFormatting sqref="FP29">
    <cfRule type="cellIs" dxfId="2340" priority="2200" operator="greaterThan">
      <formula>6.6</formula>
    </cfRule>
    <cfRule type="cellIs" dxfId="2339" priority="2201" operator="equal">
      <formula>6.5</formula>
    </cfRule>
    <cfRule type="cellIs" dxfId="2338" priority="2202" operator="equal">
      <formula>6</formula>
    </cfRule>
    <cfRule type="cellIs" dxfId="2337" priority="2203" operator="equal">
      <formula>5.5</formula>
    </cfRule>
    <cfRule type="cellIs" dxfId="2336" priority="2204" operator="equal">
      <formula>5</formula>
    </cfRule>
    <cfRule type="cellIs" dxfId="2335" priority="2205" operator="equal">
      <formula>4.5</formula>
    </cfRule>
    <cfRule type="cellIs" dxfId="2334" priority="2206" operator="equal">
      <formula>4</formula>
    </cfRule>
    <cfRule type="cellIs" dxfId="2333" priority="2207" operator="equal">
      <formula>3.5</formula>
    </cfRule>
    <cfRule type="cellIs" dxfId="2332" priority="2208" operator="equal">
      <formula>3</formula>
    </cfRule>
    <cfRule type="cellIs" dxfId="2331" priority="2209" operator="equal">
      <formula>2.5</formula>
    </cfRule>
    <cfRule type="cellIs" dxfId="2330" priority="2210" operator="equal">
      <formula>2</formula>
    </cfRule>
    <cfRule type="cellIs" dxfId="2329" priority="2211" operator="equal">
      <formula>1.5</formula>
    </cfRule>
    <cfRule type="cellIs" dxfId="2328" priority="2212" operator="equal">
      <formula>1</formula>
    </cfRule>
  </conditionalFormatting>
  <conditionalFormatting sqref="FP29">
    <cfRule type="cellIs" dxfId="2327" priority="2199" operator="between">
      <formula>1</formula>
      <formula>999</formula>
    </cfRule>
  </conditionalFormatting>
  <conditionalFormatting sqref="FP29">
    <cfRule type="cellIs" dxfId="2326" priority="2186" operator="greaterThan">
      <formula>6.6</formula>
    </cfRule>
    <cfRule type="cellIs" dxfId="2325" priority="2187" operator="equal">
      <formula>6.5</formula>
    </cfRule>
    <cfRule type="cellIs" dxfId="2324" priority="2188" operator="equal">
      <formula>6</formula>
    </cfRule>
    <cfRule type="cellIs" dxfId="2323" priority="2189" operator="equal">
      <formula>5.5</formula>
    </cfRule>
    <cfRule type="cellIs" dxfId="2322" priority="2190" operator="equal">
      <formula>5</formula>
    </cfRule>
    <cfRule type="cellIs" dxfId="2321" priority="2191" operator="equal">
      <formula>4.5</formula>
    </cfRule>
    <cfRule type="cellIs" dxfId="2320" priority="2192" operator="equal">
      <formula>4</formula>
    </cfRule>
    <cfRule type="cellIs" dxfId="2319" priority="2193" operator="equal">
      <formula>3.5</formula>
    </cfRule>
    <cfRule type="cellIs" dxfId="2318" priority="2194" operator="equal">
      <formula>3</formula>
    </cfRule>
    <cfRule type="cellIs" dxfId="2317" priority="2195" operator="equal">
      <formula>2.5</formula>
    </cfRule>
    <cfRule type="cellIs" dxfId="2316" priority="2196" operator="equal">
      <formula>2</formula>
    </cfRule>
    <cfRule type="cellIs" dxfId="2315" priority="2197" operator="equal">
      <formula>1.5</formula>
    </cfRule>
    <cfRule type="cellIs" dxfId="2314" priority="2198" operator="equal">
      <formula>1</formula>
    </cfRule>
  </conditionalFormatting>
  <conditionalFormatting sqref="FP29">
    <cfRule type="cellIs" dxfId="2313" priority="2185" operator="between">
      <formula>1</formula>
      <formula>999</formula>
    </cfRule>
  </conditionalFormatting>
  <conditionalFormatting sqref="FP29">
    <cfRule type="cellIs" dxfId="2312" priority="2172" operator="greaterThan">
      <formula>6.6</formula>
    </cfRule>
    <cfRule type="cellIs" dxfId="2311" priority="2173" operator="equal">
      <formula>6.5</formula>
    </cfRule>
    <cfRule type="cellIs" dxfId="2310" priority="2174" operator="equal">
      <formula>6</formula>
    </cfRule>
    <cfRule type="cellIs" dxfId="2309" priority="2175" operator="equal">
      <formula>5.5</formula>
    </cfRule>
    <cfRule type="cellIs" dxfId="2308" priority="2176" operator="equal">
      <formula>5</formula>
    </cfRule>
    <cfRule type="cellIs" dxfId="2307" priority="2177" operator="equal">
      <formula>4.5</formula>
    </cfRule>
    <cfRule type="cellIs" dxfId="2306" priority="2178" operator="equal">
      <formula>4</formula>
    </cfRule>
    <cfRule type="cellIs" dxfId="2305" priority="2179" operator="equal">
      <formula>3.5</formula>
    </cfRule>
    <cfRule type="cellIs" dxfId="2304" priority="2180" operator="equal">
      <formula>3</formula>
    </cfRule>
    <cfRule type="cellIs" dxfId="2303" priority="2181" operator="equal">
      <formula>2.5</formula>
    </cfRule>
    <cfRule type="cellIs" dxfId="2302" priority="2182" operator="equal">
      <formula>2</formula>
    </cfRule>
    <cfRule type="cellIs" dxfId="2301" priority="2183" operator="equal">
      <formula>1.5</formula>
    </cfRule>
    <cfRule type="cellIs" dxfId="2300" priority="2184" operator="equal">
      <formula>1</formula>
    </cfRule>
  </conditionalFormatting>
  <conditionalFormatting sqref="FP29">
    <cfRule type="cellIs" dxfId="2299" priority="2171" operator="between">
      <formula>1</formula>
      <formula>999</formula>
    </cfRule>
  </conditionalFormatting>
  <conditionalFormatting sqref="FP29">
    <cfRule type="cellIs" dxfId="2298" priority="2158" operator="greaterThan">
      <formula>6.6</formula>
    </cfRule>
    <cfRule type="cellIs" dxfId="2297" priority="2159" operator="equal">
      <formula>6.5</formula>
    </cfRule>
    <cfRule type="cellIs" dxfId="2296" priority="2160" operator="equal">
      <formula>6</formula>
    </cfRule>
    <cfRule type="cellIs" dxfId="2295" priority="2161" operator="equal">
      <formula>5.5</formula>
    </cfRule>
    <cfRule type="cellIs" dxfId="2294" priority="2162" operator="equal">
      <formula>5</formula>
    </cfRule>
    <cfRule type="cellIs" dxfId="2293" priority="2163" operator="equal">
      <formula>4.5</formula>
    </cfRule>
    <cfRule type="cellIs" dxfId="2292" priority="2164" operator="equal">
      <formula>4</formula>
    </cfRule>
    <cfRule type="cellIs" dxfId="2291" priority="2165" operator="equal">
      <formula>3.5</formula>
    </cfRule>
    <cfRule type="cellIs" dxfId="2290" priority="2166" operator="equal">
      <formula>3</formula>
    </cfRule>
    <cfRule type="cellIs" dxfId="2289" priority="2167" operator="equal">
      <formula>2.5</formula>
    </cfRule>
    <cfRule type="cellIs" dxfId="2288" priority="2168" operator="equal">
      <formula>2</formula>
    </cfRule>
    <cfRule type="cellIs" dxfId="2287" priority="2169" operator="equal">
      <formula>1.5</formula>
    </cfRule>
    <cfRule type="cellIs" dxfId="2286" priority="2170" operator="equal">
      <formula>1</formula>
    </cfRule>
  </conditionalFormatting>
  <conditionalFormatting sqref="FP29">
    <cfRule type="cellIs" dxfId="2285" priority="2157" operator="between">
      <formula>1</formula>
      <formula>999</formula>
    </cfRule>
  </conditionalFormatting>
  <conditionalFormatting sqref="FP29">
    <cfRule type="cellIs" dxfId="2284" priority="2144" operator="greaterThan">
      <formula>6.6</formula>
    </cfRule>
    <cfRule type="cellIs" dxfId="2283" priority="2145" operator="equal">
      <formula>6.5</formula>
    </cfRule>
    <cfRule type="cellIs" dxfId="2282" priority="2146" operator="equal">
      <formula>6</formula>
    </cfRule>
    <cfRule type="cellIs" dxfId="2281" priority="2147" operator="equal">
      <formula>5.5</formula>
    </cfRule>
    <cfRule type="cellIs" dxfId="2280" priority="2148" operator="equal">
      <formula>5</formula>
    </cfRule>
    <cfRule type="cellIs" dxfId="2279" priority="2149" operator="equal">
      <formula>4.5</formula>
    </cfRule>
    <cfRule type="cellIs" dxfId="2278" priority="2150" operator="equal">
      <formula>4</formula>
    </cfRule>
    <cfRule type="cellIs" dxfId="2277" priority="2151" operator="equal">
      <formula>3.5</formula>
    </cfRule>
    <cfRule type="cellIs" dxfId="2276" priority="2152" operator="equal">
      <formula>3</formula>
    </cfRule>
    <cfRule type="cellIs" dxfId="2275" priority="2153" operator="equal">
      <formula>2.5</formula>
    </cfRule>
    <cfRule type="cellIs" dxfId="2274" priority="2154" operator="equal">
      <formula>2</formula>
    </cfRule>
    <cfRule type="cellIs" dxfId="2273" priority="2155" operator="equal">
      <formula>1.5</formula>
    </cfRule>
    <cfRule type="cellIs" dxfId="2272" priority="2156" operator="equal">
      <formula>1</formula>
    </cfRule>
  </conditionalFormatting>
  <conditionalFormatting sqref="FC32 FF32 FI32 FL32 FO32 FR32">
    <cfRule type="cellIs" dxfId="2271" priority="2131" operator="equal">
      <formula>6.5</formula>
    </cfRule>
    <cfRule type="cellIs" dxfId="2270" priority="2142" operator="equal">
      <formula>1</formula>
    </cfRule>
  </conditionalFormatting>
  <conditionalFormatting sqref="FC32:FR32">
    <cfRule type="cellIs" dxfId="2269" priority="2129" operator="equal">
      <formula>0</formula>
    </cfRule>
    <cfRule type="cellIs" dxfId="2268" priority="2130" operator="greaterThan">
      <formula>6.6</formula>
    </cfRule>
    <cfRule type="cellIs" dxfId="2267" priority="2132" operator="equal">
      <formula>6</formula>
    </cfRule>
    <cfRule type="cellIs" dxfId="2266" priority="2133" operator="equal">
      <formula>5.5</formula>
    </cfRule>
    <cfRule type="cellIs" dxfId="2265" priority="2134" operator="equal">
      <formula>5</formula>
    </cfRule>
    <cfRule type="cellIs" dxfId="2264" priority="2135" operator="equal">
      <formula>4.5</formula>
    </cfRule>
    <cfRule type="cellIs" dxfId="2263" priority="2136" operator="equal">
      <formula>4</formula>
    </cfRule>
    <cfRule type="cellIs" dxfId="2262" priority="2137" operator="equal">
      <formula>3.5</formula>
    </cfRule>
    <cfRule type="cellIs" dxfId="2261" priority="2138" operator="equal">
      <formula>3</formula>
    </cfRule>
    <cfRule type="cellIs" dxfId="2260" priority="2139" operator="equal">
      <formula>2.5</formula>
    </cfRule>
    <cfRule type="cellIs" dxfId="2259" priority="2140" operator="equal">
      <formula>2</formula>
    </cfRule>
    <cfRule type="cellIs" dxfId="2258" priority="2141" operator="equal">
      <formula>1.5</formula>
    </cfRule>
  </conditionalFormatting>
  <conditionalFormatting sqref="FD32">
    <cfRule type="cellIs" dxfId="2257" priority="2128" operator="between">
      <formula>1</formula>
      <formula>999</formula>
    </cfRule>
  </conditionalFormatting>
  <conditionalFormatting sqref="FD32">
    <cfRule type="cellIs" dxfId="2256" priority="2115" operator="greaterThan">
      <formula>6.6</formula>
    </cfRule>
    <cfRule type="cellIs" dxfId="2255" priority="2116" operator="equal">
      <formula>6.5</formula>
    </cfRule>
    <cfRule type="cellIs" dxfId="2254" priority="2117" operator="equal">
      <formula>6</formula>
    </cfRule>
    <cfRule type="cellIs" dxfId="2253" priority="2118" operator="equal">
      <formula>5.5</formula>
    </cfRule>
    <cfRule type="cellIs" dxfId="2252" priority="2119" operator="equal">
      <formula>5</formula>
    </cfRule>
    <cfRule type="cellIs" dxfId="2251" priority="2120" operator="equal">
      <formula>4.5</formula>
    </cfRule>
    <cfRule type="cellIs" dxfId="2250" priority="2121" operator="equal">
      <formula>4</formula>
    </cfRule>
    <cfRule type="cellIs" dxfId="2249" priority="2122" operator="equal">
      <formula>3.5</formula>
    </cfRule>
    <cfRule type="cellIs" dxfId="2248" priority="2123" operator="equal">
      <formula>3</formula>
    </cfRule>
    <cfRule type="cellIs" dxfId="2247" priority="2124" operator="equal">
      <formula>2.5</formula>
    </cfRule>
    <cfRule type="cellIs" dxfId="2246" priority="2125" operator="equal">
      <formula>2</formula>
    </cfRule>
    <cfRule type="cellIs" dxfId="2245" priority="2126" operator="equal">
      <formula>1.5</formula>
    </cfRule>
    <cfRule type="cellIs" dxfId="2244" priority="2127" operator="equal">
      <formula>1</formula>
    </cfRule>
  </conditionalFormatting>
  <conditionalFormatting sqref="FG32">
    <cfRule type="cellIs" dxfId="2243" priority="2114" operator="between">
      <formula>1</formula>
      <formula>999</formula>
    </cfRule>
  </conditionalFormatting>
  <conditionalFormatting sqref="FG32">
    <cfRule type="cellIs" dxfId="2242" priority="2101" operator="greaterThan">
      <formula>6.6</formula>
    </cfRule>
    <cfRule type="cellIs" dxfId="2241" priority="2102" operator="equal">
      <formula>6.5</formula>
    </cfRule>
    <cfRule type="cellIs" dxfId="2240" priority="2103" operator="equal">
      <formula>6</formula>
    </cfRule>
    <cfRule type="cellIs" dxfId="2239" priority="2104" operator="equal">
      <formula>5.5</formula>
    </cfRule>
    <cfRule type="cellIs" dxfId="2238" priority="2105" operator="equal">
      <formula>5</formula>
    </cfRule>
    <cfRule type="cellIs" dxfId="2237" priority="2106" operator="equal">
      <formula>4.5</formula>
    </cfRule>
    <cfRule type="cellIs" dxfId="2236" priority="2107" operator="equal">
      <formula>4</formula>
    </cfRule>
    <cfRule type="cellIs" dxfId="2235" priority="2108" operator="equal">
      <formula>3.5</formula>
    </cfRule>
    <cfRule type="cellIs" dxfId="2234" priority="2109" operator="equal">
      <formula>3</formula>
    </cfRule>
    <cfRule type="cellIs" dxfId="2233" priority="2110" operator="equal">
      <formula>2.5</formula>
    </cfRule>
    <cfRule type="cellIs" dxfId="2232" priority="2111" operator="equal">
      <formula>2</formula>
    </cfRule>
    <cfRule type="cellIs" dxfId="2231" priority="2112" operator="equal">
      <formula>1.5</formula>
    </cfRule>
    <cfRule type="cellIs" dxfId="2230" priority="2113" operator="equal">
      <formula>1</formula>
    </cfRule>
  </conditionalFormatting>
  <conditionalFormatting sqref="FJ32">
    <cfRule type="cellIs" dxfId="2229" priority="2100" operator="between">
      <formula>1</formula>
      <formula>999</formula>
    </cfRule>
  </conditionalFormatting>
  <conditionalFormatting sqref="FJ32">
    <cfRule type="cellIs" dxfId="2228" priority="2087" operator="greaterThan">
      <formula>6.6</formula>
    </cfRule>
    <cfRule type="cellIs" dxfId="2227" priority="2088" operator="equal">
      <formula>6.5</formula>
    </cfRule>
    <cfRule type="cellIs" dxfId="2226" priority="2089" operator="equal">
      <formula>6</formula>
    </cfRule>
    <cfRule type="cellIs" dxfId="2225" priority="2090" operator="equal">
      <formula>5.5</formula>
    </cfRule>
    <cfRule type="cellIs" dxfId="2224" priority="2091" operator="equal">
      <formula>5</formula>
    </cfRule>
    <cfRule type="cellIs" dxfId="2223" priority="2092" operator="equal">
      <formula>4.5</formula>
    </cfRule>
    <cfRule type="cellIs" dxfId="2222" priority="2093" operator="equal">
      <formula>4</formula>
    </cfRule>
    <cfRule type="cellIs" dxfId="2221" priority="2094" operator="equal">
      <formula>3.5</formula>
    </cfRule>
    <cfRule type="cellIs" dxfId="2220" priority="2095" operator="equal">
      <formula>3</formula>
    </cfRule>
    <cfRule type="cellIs" dxfId="2219" priority="2096" operator="equal">
      <formula>2.5</formula>
    </cfRule>
    <cfRule type="cellIs" dxfId="2218" priority="2097" operator="equal">
      <formula>2</formula>
    </cfRule>
    <cfRule type="cellIs" dxfId="2217" priority="2098" operator="equal">
      <formula>1.5</formula>
    </cfRule>
    <cfRule type="cellIs" dxfId="2216" priority="2099" operator="equal">
      <formula>1</formula>
    </cfRule>
  </conditionalFormatting>
  <conditionalFormatting sqref="FM32">
    <cfRule type="cellIs" dxfId="2215" priority="2086" operator="between">
      <formula>1</formula>
      <formula>999</formula>
    </cfRule>
  </conditionalFormatting>
  <conditionalFormatting sqref="FM32">
    <cfRule type="cellIs" dxfId="2214" priority="2073" operator="greaterThan">
      <formula>6.6</formula>
    </cfRule>
    <cfRule type="cellIs" dxfId="2213" priority="2074" operator="equal">
      <formula>6.5</formula>
    </cfRule>
    <cfRule type="cellIs" dxfId="2212" priority="2075" operator="equal">
      <formula>6</formula>
    </cfRule>
    <cfRule type="cellIs" dxfId="2211" priority="2076" operator="equal">
      <formula>5.5</formula>
    </cfRule>
    <cfRule type="cellIs" dxfId="2210" priority="2077" operator="equal">
      <formula>5</formula>
    </cfRule>
    <cfRule type="cellIs" dxfId="2209" priority="2078" operator="equal">
      <formula>4.5</formula>
    </cfRule>
    <cfRule type="cellIs" dxfId="2208" priority="2079" operator="equal">
      <formula>4</formula>
    </cfRule>
    <cfRule type="cellIs" dxfId="2207" priority="2080" operator="equal">
      <formula>3.5</formula>
    </cfRule>
    <cfRule type="cellIs" dxfId="2206" priority="2081" operator="equal">
      <formula>3</formula>
    </cfRule>
    <cfRule type="cellIs" dxfId="2205" priority="2082" operator="equal">
      <formula>2.5</formula>
    </cfRule>
    <cfRule type="cellIs" dxfId="2204" priority="2083" operator="equal">
      <formula>2</formula>
    </cfRule>
    <cfRule type="cellIs" dxfId="2203" priority="2084" operator="equal">
      <formula>1.5</formula>
    </cfRule>
    <cfRule type="cellIs" dxfId="2202" priority="2085" operator="equal">
      <formula>1</formula>
    </cfRule>
  </conditionalFormatting>
  <conditionalFormatting sqref="FP32">
    <cfRule type="cellIs" dxfId="2201" priority="2072" operator="between">
      <formula>1</formula>
      <formula>999</formula>
    </cfRule>
  </conditionalFormatting>
  <conditionalFormatting sqref="FP32">
    <cfRule type="cellIs" dxfId="2200" priority="2059" operator="greaterThan">
      <formula>6.6</formula>
    </cfRule>
    <cfRule type="cellIs" dxfId="2199" priority="2060" operator="equal">
      <formula>6.5</formula>
    </cfRule>
    <cfRule type="cellIs" dxfId="2198" priority="2061" operator="equal">
      <formula>6</formula>
    </cfRule>
    <cfRule type="cellIs" dxfId="2197" priority="2062" operator="equal">
      <formula>5.5</formula>
    </cfRule>
    <cfRule type="cellIs" dxfId="2196" priority="2063" operator="equal">
      <formula>5</formula>
    </cfRule>
    <cfRule type="cellIs" dxfId="2195" priority="2064" operator="equal">
      <formula>4.5</formula>
    </cfRule>
    <cfRule type="cellIs" dxfId="2194" priority="2065" operator="equal">
      <formula>4</formula>
    </cfRule>
    <cfRule type="cellIs" dxfId="2193" priority="2066" operator="equal">
      <formula>3.5</formula>
    </cfRule>
    <cfRule type="cellIs" dxfId="2192" priority="2067" operator="equal">
      <formula>3</formula>
    </cfRule>
    <cfRule type="cellIs" dxfId="2191" priority="2068" operator="equal">
      <formula>2.5</formula>
    </cfRule>
    <cfRule type="cellIs" dxfId="2190" priority="2069" operator="equal">
      <formula>2</formula>
    </cfRule>
    <cfRule type="cellIs" dxfId="2189" priority="2070" operator="equal">
      <formula>1.5</formula>
    </cfRule>
    <cfRule type="cellIs" dxfId="2188" priority="2071" operator="equal">
      <formula>1</formula>
    </cfRule>
  </conditionalFormatting>
  <conditionalFormatting sqref="FC32:FR32">
    <cfRule type="cellIs" dxfId="2187" priority="2143" operator="between">
      <formula>1</formula>
      <formula>999</formula>
    </cfRule>
  </conditionalFormatting>
  <conditionalFormatting sqref="FJ32">
    <cfRule type="cellIs" dxfId="2186" priority="2058" operator="between">
      <formula>1</formula>
      <formula>999</formula>
    </cfRule>
  </conditionalFormatting>
  <conditionalFormatting sqref="FJ32">
    <cfRule type="cellIs" dxfId="2185" priority="2045" operator="greaterThan">
      <formula>6.6</formula>
    </cfRule>
    <cfRule type="cellIs" dxfId="2184" priority="2046" operator="equal">
      <formula>6.5</formula>
    </cfRule>
    <cfRule type="cellIs" dxfId="2183" priority="2047" operator="equal">
      <formula>6</formula>
    </cfRule>
    <cfRule type="cellIs" dxfId="2182" priority="2048" operator="equal">
      <formula>5.5</formula>
    </cfRule>
    <cfRule type="cellIs" dxfId="2181" priority="2049" operator="equal">
      <formula>5</formula>
    </cfRule>
    <cfRule type="cellIs" dxfId="2180" priority="2050" operator="equal">
      <formula>4.5</formula>
    </cfRule>
    <cfRule type="cellIs" dxfId="2179" priority="2051" operator="equal">
      <formula>4</formula>
    </cfRule>
    <cfRule type="cellIs" dxfId="2178" priority="2052" operator="equal">
      <formula>3.5</formula>
    </cfRule>
    <cfRule type="cellIs" dxfId="2177" priority="2053" operator="equal">
      <formula>3</formula>
    </cfRule>
    <cfRule type="cellIs" dxfId="2176" priority="2054" operator="equal">
      <formula>2.5</formula>
    </cfRule>
    <cfRule type="cellIs" dxfId="2175" priority="2055" operator="equal">
      <formula>2</formula>
    </cfRule>
    <cfRule type="cellIs" dxfId="2174" priority="2056" operator="equal">
      <formula>1.5</formula>
    </cfRule>
    <cfRule type="cellIs" dxfId="2173" priority="2057" operator="equal">
      <formula>1</formula>
    </cfRule>
  </conditionalFormatting>
  <conditionalFormatting sqref="FG32">
    <cfRule type="cellIs" dxfId="2172" priority="2044" operator="between">
      <formula>1</formula>
      <formula>999</formula>
    </cfRule>
  </conditionalFormatting>
  <conditionalFormatting sqref="FG32">
    <cfRule type="cellIs" dxfId="2171" priority="2031" operator="greaterThan">
      <formula>6.6</formula>
    </cfRule>
    <cfRule type="cellIs" dxfId="2170" priority="2032" operator="equal">
      <formula>6.5</formula>
    </cfRule>
    <cfRule type="cellIs" dxfId="2169" priority="2033" operator="equal">
      <formula>6</formula>
    </cfRule>
    <cfRule type="cellIs" dxfId="2168" priority="2034" operator="equal">
      <formula>5.5</formula>
    </cfRule>
    <cfRule type="cellIs" dxfId="2167" priority="2035" operator="equal">
      <formula>5</formula>
    </cfRule>
    <cfRule type="cellIs" dxfId="2166" priority="2036" operator="equal">
      <formula>4.5</formula>
    </cfRule>
    <cfRule type="cellIs" dxfId="2165" priority="2037" operator="equal">
      <formula>4</formula>
    </cfRule>
    <cfRule type="cellIs" dxfId="2164" priority="2038" operator="equal">
      <formula>3.5</formula>
    </cfRule>
    <cfRule type="cellIs" dxfId="2163" priority="2039" operator="equal">
      <formula>3</formula>
    </cfRule>
    <cfRule type="cellIs" dxfId="2162" priority="2040" operator="equal">
      <formula>2.5</formula>
    </cfRule>
    <cfRule type="cellIs" dxfId="2161" priority="2041" operator="equal">
      <formula>2</formula>
    </cfRule>
    <cfRule type="cellIs" dxfId="2160" priority="2042" operator="equal">
      <formula>1.5</formula>
    </cfRule>
    <cfRule type="cellIs" dxfId="2159" priority="2043" operator="equal">
      <formula>1</formula>
    </cfRule>
  </conditionalFormatting>
  <conditionalFormatting sqref="FJ32">
    <cfRule type="cellIs" dxfId="2158" priority="2030" operator="between">
      <formula>1</formula>
      <formula>999</formula>
    </cfRule>
  </conditionalFormatting>
  <conditionalFormatting sqref="FJ32">
    <cfRule type="cellIs" dxfId="2157" priority="2017" operator="greaterThan">
      <formula>6.6</formula>
    </cfRule>
    <cfRule type="cellIs" dxfId="2156" priority="2018" operator="equal">
      <formula>6.5</formula>
    </cfRule>
    <cfRule type="cellIs" dxfId="2155" priority="2019" operator="equal">
      <formula>6</formula>
    </cfRule>
    <cfRule type="cellIs" dxfId="2154" priority="2020" operator="equal">
      <formula>5.5</formula>
    </cfRule>
    <cfRule type="cellIs" dxfId="2153" priority="2021" operator="equal">
      <formula>5</formula>
    </cfRule>
    <cfRule type="cellIs" dxfId="2152" priority="2022" operator="equal">
      <formula>4.5</formula>
    </cfRule>
    <cfRule type="cellIs" dxfId="2151" priority="2023" operator="equal">
      <formula>4</formula>
    </cfRule>
    <cfRule type="cellIs" dxfId="2150" priority="2024" operator="equal">
      <formula>3.5</formula>
    </cfRule>
    <cfRule type="cellIs" dxfId="2149" priority="2025" operator="equal">
      <formula>3</formula>
    </cfRule>
    <cfRule type="cellIs" dxfId="2148" priority="2026" operator="equal">
      <formula>2.5</formula>
    </cfRule>
    <cfRule type="cellIs" dxfId="2147" priority="2027" operator="equal">
      <formula>2</formula>
    </cfRule>
    <cfRule type="cellIs" dxfId="2146" priority="2028" operator="equal">
      <formula>1.5</formula>
    </cfRule>
    <cfRule type="cellIs" dxfId="2145" priority="2029" operator="equal">
      <formula>1</formula>
    </cfRule>
  </conditionalFormatting>
  <conditionalFormatting sqref="FJ32">
    <cfRule type="cellIs" dxfId="2144" priority="2016" operator="between">
      <formula>1</formula>
      <formula>999</formula>
    </cfRule>
  </conditionalFormatting>
  <conditionalFormatting sqref="FJ32">
    <cfRule type="cellIs" dxfId="2143" priority="2003" operator="greaterThan">
      <formula>6.6</formula>
    </cfRule>
    <cfRule type="cellIs" dxfId="2142" priority="2004" operator="equal">
      <formula>6.5</formula>
    </cfRule>
    <cfRule type="cellIs" dxfId="2141" priority="2005" operator="equal">
      <formula>6</formula>
    </cfRule>
    <cfRule type="cellIs" dxfId="2140" priority="2006" operator="equal">
      <formula>5.5</formula>
    </cfRule>
    <cfRule type="cellIs" dxfId="2139" priority="2007" operator="equal">
      <formula>5</formula>
    </cfRule>
    <cfRule type="cellIs" dxfId="2138" priority="2008" operator="equal">
      <formula>4.5</formula>
    </cfRule>
    <cfRule type="cellIs" dxfId="2137" priority="2009" operator="equal">
      <formula>4</formula>
    </cfRule>
    <cfRule type="cellIs" dxfId="2136" priority="2010" operator="equal">
      <formula>3.5</formula>
    </cfRule>
    <cfRule type="cellIs" dxfId="2135" priority="2011" operator="equal">
      <formula>3</formula>
    </cfRule>
    <cfRule type="cellIs" dxfId="2134" priority="2012" operator="equal">
      <formula>2.5</formula>
    </cfRule>
    <cfRule type="cellIs" dxfId="2133" priority="2013" operator="equal">
      <formula>2</formula>
    </cfRule>
    <cfRule type="cellIs" dxfId="2132" priority="2014" operator="equal">
      <formula>1.5</formula>
    </cfRule>
    <cfRule type="cellIs" dxfId="2131" priority="2015" operator="equal">
      <formula>1</formula>
    </cfRule>
  </conditionalFormatting>
  <conditionalFormatting sqref="FM32">
    <cfRule type="cellIs" dxfId="2130" priority="2002" operator="between">
      <formula>1</formula>
      <formula>999</formula>
    </cfRule>
  </conditionalFormatting>
  <conditionalFormatting sqref="FM32">
    <cfRule type="cellIs" dxfId="2129" priority="1989" operator="greaterThan">
      <formula>6.6</formula>
    </cfRule>
    <cfRule type="cellIs" dxfId="2128" priority="1990" operator="equal">
      <formula>6.5</formula>
    </cfRule>
    <cfRule type="cellIs" dxfId="2127" priority="1991" operator="equal">
      <formula>6</formula>
    </cfRule>
    <cfRule type="cellIs" dxfId="2126" priority="1992" operator="equal">
      <formula>5.5</formula>
    </cfRule>
    <cfRule type="cellIs" dxfId="2125" priority="1993" operator="equal">
      <formula>5</formula>
    </cfRule>
    <cfRule type="cellIs" dxfId="2124" priority="1994" operator="equal">
      <formula>4.5</formula>
    </cfRule>
    <cfRule type="cellIs" dxfId="2123" priority="1995" operator="equal">
      <formula>4</formula>
    </cfRule>
    <cfRule type="cellIs" dxfId="2122" priority="1996" operator="equal">
      <formula>3.5</formula>
    </cfRule>
    <cfRule type="cellIs" dxfId="2121" priority="1997" operator="equal">
      <formula>3</formula>
    </cfRule>
    <cfRule type="cellIs" dxfId="2120" priority="1998" operator="equal">
      <formula>2.5</formula>
    </cfRule>
    <cfRule type="cellIs" dxfId="2119" priority="1999" operator="equal">
      <formula>2</formula>
    </cfRule>
    <cfRule type="cellIs" dxfId="2118" priority="2000" operator="equal">
      <formula>1.5</formula>
    </cfRule>
    <cfRule type="cellIs" dxfId="2117" priority="2001" operator="equal">
      <formula>1</formula>
    </cfRule>
  </conditionalFormatting>
  <conditionalFormatting sqref="FM32">
    <cfRule type="cellIs" dxfId="2116" priority="1988" operator="between">
      <formula>1</formula>
      <formula>999</formula>
    </cfRule>
  </conditionalFormatting>
  <conditionalFormatting sqref="FM32">
    <cfRule type="cellIs" dxfId="2115" priority="1975" operator="greaterThan">
      <formula>6.6</formula>
    </cfRule>
    <cfRule type="cellIs" dxfId="2114" priority="1976" operator="equal">
      <formula>6.5</formula>
    </cfRule>
    <cfRule type="cellIs" dxfId="2113" priority="1977" operator="equal">
      <formula>6</formula>
    </cfRule>
    <cfRule type="cellIs" dxfId="2112" priority="1978" operator="equal">
      <formula>5.5</formula>
    </cfRule>
    <cfRule type="cellIs" dxfId="2111" priority="1979" operator="equal">
      <formula>5</formula>
    </cfRule>
    <cfRule type="cellIs" dxfId="2110" priority="1980" operator="equal">
      <formula>4.5</formula>
    </cfRule>
    <cfRule type="cellIs" dxfId="2109" priority="1981" operator="equal">
      <formula>4</formula>
    </cfRule>
    <cfRule type="cellIs" dxfId="2108" priority="1982" operator="equal">
      <formula>3.5</formula>
    </cfRule>
    <cfRule type="cellIs" dxfId="2107" priority="1983" operator="equal">
      <formula>3</formula>
    </cfRule>
    <cfRule type="cellIs" dxfId="2106" priority="1984" operator="equal">
      <formula>2.5</formula>
    </cfRule>
    <cfRule type="cellIs" dxfId="2105" priority="1985" operator="equal">
      <formula>2</formula>
    </cfRule>
    <cfRule type="cellIs" dxfId="2104" priority="1986" operator="equal">
      <formula>1.5</formula>
    </cfRule>
    <cfRule type="cellIs" dxfId="2103" priority="1987" operator="equal">
      <formula>1</formula>
    </cfRule>
  </conditionalFormatting>
  <conditionalFormatting sqref="FM32">
    <cfRule type="cellIs" dxfId="2102" priority="1974" operator="between">
      <formula>1</formula>
      <formula>999</formula>
    </cfRule>
  </conditionalFormatting>
  <conditionalFormatting sqref="FM32">
    <cfRule type="cellIs" dxfId="2101" priority="1961" operator="greaterThan">
      <formula>6.6</formula>
    </cfRule>
    <cfRule type="cellIs" dxfId="2100" priority="1962" operator="equal">
      <formula>6.5</formula>
    </cfRule>
    <cfRule type="cellIs" dxfId="2099" priority="1963" operator="equal">
      <formula>6</formula>
    </cfRule>
    <cfRule type="cellIs" dxfId="2098" priority="1964" operator="equal">
      <formula>5.5</formula>
    </cfRule>
    <cfRule type="cellIs" dxfId="2097" priority="1965" operator="equal">
      <formula>5</formula>
    </cfRule>
    <cfRule type="cellIs" dxfId="2096" priority="1966" operator="equal">
      <formula>4.5</formula>
    </cfRule>
    <cfRule type="cellIs" dxfId="2095" priority="1967" operator="equal">
      <formula>4</formula>
    </cfRule>
    <cfRule type="cellIs" dxfId="2094" priority="1968" operator="equal">
      <formula>3.5</formula>
    </cfRule>
    <cfRule type="cellIs" dxfId="2093" priority="1969" operator="equal">
      <formula>3</formula>
    </cfRule>
    <cfRule type="cellIs" dxfId="2092" priority="1970" operator="equal">
      <formula>2.5</formula>
    </cfRule>
    <cfRule type="cellIs" dxfId="2091" priority="1971" operator="equal">
      <formula>2</formula>
    </cfRule>
    <cfRule type="cellIs" dxfId="2090" priority="1972" operator="equal">
      <formula>1.5</formula>
    </cfRule>
    <cfRule type="cellIs" dxfId="2089" priority="1973" operator="equal">
      <formula>1</formula>
    </cfRule>
  </conditionalFormatting>
  <conditionalFormatting sqref="FM32">
    <cfRule type="cellIs" dxfId="2088" priority="1960" operator="between">
      <formula>1</formula>
      <formula>999</formula>
    </cfRule>
  </conditionalFormatting>
  <conditionalFormatting sqref="FM32">
    <cfRule type="cellIs" dxfId="2087" priority="1947" operator="greaterThan">
      <formula>6.6</formula>
    </cfRule>
    <cfRule type="cellIs" dxfId="2086" priority="1948" operator="equal">
      <formula>6.5</formula>
    </cfRule>
    <cfRule type="cellIs" dxfId="2085" priority="1949" operator="equal">
      <formula>6</formula>
    </cfRule>
    <cfRule type="cellIs" dxfId="2084" priority="1950" operator="equal">
      <formula>5.5</formula>
    </cfRule>
    <cfRule type="cellIs" dxfId="2083" priority="1951" operator="equal">
      <formula>5</formula>
    </cfRule>
    <cfRule type="cellIs" dxfId="2082" priority="1952" operator="equal">
      <formula>4.5</formula>
    </cfRule>
    <cfRule type="cellIs" dxfId="2081" priority="1953" operator="equal">
      <formula>4</formula>
    </cfRule>
    <cfRule type="cellIs" dxfId="2080" priority="1954" operator="equal">
      <formula>3.5</formula>
    </cfRule>
    <cfRule type="cellIs" dxfId="2079" priority="1955" operator="equal">
      <formula>3</formula>
    </cfRule>
    <cfRule type="cellIs" dxfId="2078" priority="1956" operator="equal">
      <formula>2.5</formula>
    </cfRule>
    <cfRule type="cellIs" dxfId="2077" priority="1957" operator="equal">
      <formula>2</formula>
    </cfRule>
    <cfRule type="cellIs" dxfId="2076" priority="1958" operator="equal">
      <formula>1.5</formula>
    </cfRule>
    <cfRule type="cellIs" dxfId="2075" priority="1959" operator="equal">
      <formula>1</formula>
    </cfRule>
  </conditionalFormatting>
  <conditionalFormatting sqref="FP32">
    <cfRule type="cellIs" dxfId="2074" priority="1946" operator="between">
      <formula>1</formula>
      <formula>999</formula>
    </cfRule>
  </conditionalFormatting>
  <conditionalFormatting sqref="FP32">
    <cfRule type="cellIs" dxfId="2073" priority="1933" operator="greaterThan">
      <formula>6.6</formula>
    </cfRule>
    <cfRule type="cellIs" dxfId="2072" priority="1934" operator="equal">
      <formula>6.5</formula>
    </cfRule>
    <cfRule type="cellIs" dxfId="2071" priority="1935" operator="equal">
      <formula>6</formula>
    </cfRule>
    <cfRule type="cellIs" dxfId="2070" priority="1936" operator="equal">
      <formula>5.5</formula>
    </cfRule>
    <cfRule type="cellIs" dxfId="2069" priority="1937" operator="equal">
      <formula>5</formula>
    </cfRule>
    <cfRule type="cellIs" dxfId="2068" priority="1938" operator="equal">
      <formula>4.5</formula>
    </cfRule>
    <cfRule type="cellIs" dxfId="2067" priority="1939" operator="equal">
      <formula>4</formula>
    </cfRule>
    <cfRule type="cellIs" dxfId="2066" priority="1940" operator="equal">
      <formula>3.5</formula>
    </cfRule>
    <cfRule type="cellIs" dxfId="2065" priority="1941" operator="equal">
      <formula>3</formula>
    </cfRule>
    <cfRule type="cellIs" dxfId="2064" priority="1942" operator="equal">
      <formula>2.5</formula>
    </cfRule>
    <cfRule type="cellIs" dxfId="2063" priority="1943" operator="equal">
      <formula>2</formula>
    </cfRule>
    <cfRule type="cellIs" dxfId="2062" priority="1944" operator="equal">
      <formula>1.5</formula>
    </cfRule>
    <cfRule type="cellIs" dxfId="2061" priority="1945" operator="equal">
      <formula>1</formula>
    </cfRule>
  </conditionalFormatting>
  <conditionalFormatting sqref="FP32">
    <cfRule type="cellIs" dxfId="2060" priority="1932" operator="between">
      <formula>1</formula>
      <formula>999</formula>
    </cfRule>
  </conditionalFormatting>
  <conditionalFormatting sqref="FP32">
    <cfRule type="cellIs" dxfId="2059" priority="1919" operator="greaterThan">
      <formula>6.6</formula>
    </cfRule>
    <cfRule type="cellIs" dxfId="2058" priority="1920" operator="equal">
      <formula>6.5</formula>
    </cfRule>
    <cfRule type="cellIs" dxfId="2057" priority="1921" operator="equal">
      <formula>6</formula>
    </cfRule>
    <cfRule type="cellIs" dxfId="2056" priority="1922" operator="equal">
      <formula>5.5</formula>
    </cfRule>
    <cfRule type="cellIs" dxfId="2055" priority="1923" operator="equal">
      <formula>5</formula>
    </cfRule>
    <cfRule type="cellIs" dxfId="2054" priority="1924" operator="equal">
      <formula>4.5</formula>
    </cfRule>
    <cfRule type="cellIs" dxfId="2053" priority="1925" operator="equal">
      <formula>4</formula>
    </cfRule>
    <cfRule type="cellIs" dxfId="2052" priority="1926" operator="equal">
      <formula>3.5</formula>
    </cfRule>
    <cfRule type="cellIs" dxfId="2051" priority="1927" operator="equal">
      <formula>3</formula>
    </cfRule>
    <cfRule type="cellIs" dxfId="2050" priority="1928" operator="equal">
      <formula>2.5</formula>
    </cfRule>
    <cfRule type="cellIs" dxfId="2049" priority="1929" operator="equal">
      <formula>2</formula>
    </cfRule>
    <cfRule type="cellIs" dxfId="2048" priority="1930" operator="equal">
      <formula>1.5</formula>
    </cfRule>
    <cfRule type="cellIs" dxfId="2047" priority="1931" operator="equal">
      <formula>1</formula>
    </cfRule>
  </conditionalFormatting>
  <conditionalFormatting sqref="FP32">
    <cfRule type="cellIs" dxfId="2046" priority="1918" operator="between">
      <formula>1</formula>
      <formula>999</formula>
    </cfRule>
  </conditionalFormatting>
  <conditionalFormatting sqref="FP32">
    <cfRule type="cellIs" dxfId="2045" priority="1905" operator="greaterThan">
      <formula>6.6</formula>
    </cfRule>
    <cfRule type="cellIs" dxfId="2044" priority="1906" operator="equal">
      <formula>6.5</formula>
    </cfRule>
    <cfRule type="cellIs" dxfId="2043" priority="1907" operator="equal">
      <formula>6</formula>
    </cfRule>
    <cfRule type="cellIs" dxfId="2042" priority="1908" operator="equal">
      <formula>5.5</formula>
    </cfRule>
    <cfRule type="cellIs" dxfId="2041" priority="1909" operator="equal">
      <formula>5</formula>
    </cfRule>
    <cfRule type="cellIs" dxfId="2040" priority="1910" operator="equal">
      <formula>4.5</formula>
    </cfRule>
    <cfRule type="cellIs" dxfId="2039" priority="1911" operator="equal">
      <formula>4</formula>
    </cfRule>
    <cfRule type="cellIs" dxfId="2038" priority="1912" operator="equal">
      <formula>3.5</formula>
    </cfRule>
    <cfRule type="cellIs" dxfId="2037" priority="1913" operator="equal">
      <formula>3</formula>
    </cfRule>
    <cfRule type="cellIs" dxfId="2036" priority="1914" operator="equal">
      <formula>2.5</formula>
    </cfRule>
    <cfRule type="cellIs" dxfId="2035" priority="1915" operator="equal">
      <formula>2</formula>
    </cfRule>
    <cfRule type="cellIs" dxfId="2034" priority="1916" operator="equal">
      <formula>1.5</formula>
    </cfRule>
    <cfRule type="cellIs" dxfId="2033" priority="1917" operator="equal">
      <formula>1</formula>
    </cfRule>
  </conditionalFormatting>
  <conditionalFormatting sqref="FP32">
    <cfRule type="cellIs" dxfId="2032" priority="1904" operator="between">
      <formula>1</formula>
      <formula>999</formula>
    </cfRule>
  </conditionalFormatting>
  <conditionalFormatting sqref="FP32">
    <cfRule type="cellIs" dxfId="2031" priority="1891" operator="greaterThan">
      <formula>6.6</formula>
    </cfRule>
    <cfRule type="cellIs" dxfId="2030" priority="1892" operator="equal">
      <formula>6.5</formula>
    </cfRule>
    <cfRule type="cellIs" dxfId="2029" priority="1893" operator="equal">
      <formula>6</formula>
    </cfRule>
    <cfRule type="cellIs" dxfId="2028" priority="1894" operator="equal">
      <formula>5.5</formula>
    </cfRule>
    <cfRule type="cellIs" dxfId="2027" priority="1895" operator="equal">
      <formula>5</formula>
    </cfRule>
    <cfRule type="cellIs" dxfId="2026" priority="1896" operator="equal">
      <formula>4.5</formula>
    </cfRule>
    <cfRule type="cellIs" dxfId="2025" priority="1897" operator="equal">
      <formula>4</formula>
    </cfRule>
    <cfRule type="cellIs" dxfId="2024" priority="1898" operator="equal">
      <formula>3.5</formula>
    </cfRule>
    <cfRule type="cellIs" dxfId="2023" priority="1899" operator="equal">
      <formula>3</formula>
    </cfRule>
    <cfRule type="cellIs" dxfId="2022" priority="1900" operator="equal">
      <formula>2.5</formula>
    </cfRule>
    <cfRule type="cellIs" dxfId="2021" priority="1901" operator="equal">
      <formula>2</formula>
    </cfRule>
    <cfRule type="cellIs" dxfId="2020" priority="1902" operator="equal">
      <formula>1.5</formula>
    </cfRule>
    <cfRule type="cellIs" dxfId="2019" priority="1903" operator="equal">
      <formula>1</formula>
    </cfRule>
  </conditionalFormatting>
  <conditionalFormatting sqref="FP32">
    <cfRule type="cellIs" dxfId="2018" priority="1890" operator="between">
      <formula>1</formula>
      <formula>999</formula>
    </cfRule>
  </conditionalFormatting>
  <conditionalFormatting sqref="FP32">
    <cfRule type="cellIs" dxfId="2017" priority="1877" operator="greaterThan">
      <formula>6.6</formula>
    </cfRule>
    <cfRule type="cellIs" dxfId="2016" priority="1878" operator="equal">
      <formula>6.5</formula>
    </cfRule>
    <cfRule type="cellIs" dxfId="2015" priority="1879" operator="equal">
      <formula>6</formula>
    </cfRule>
    <cfRule type="cellIs" dxfId="2014" priority="1880" operator="equal">
      <formula>5.5</formula>
    </cfRule>
    <cfRule type="cellIs" dxfId="2013" priority="1881" operator="equal">
      <formula>5</formula>
    </cfRule>
    <cfRule type="cellIs" dxfId="2012" priority="1882" operator="equal">
      <formula>4.5</formula>
    </cfRule>
    <cfRule type="cellIs" dxfId="2011" priority="1883" operator="equal">
      <formula>4</formula>
    </cfRule>
    <cfRule type="cellIs" dxfId="2010" priority="1884" operator="equal">
      <formula>3.5</formula>
    </cfRule>
    <cfRule type="cellIs" dxfId="2009" priority="1885" operator="equal">
      <formula>3</formula>
    </cfRule>
    <cfRule type="cellIs" dxfId="2008" priority="1886" operator="equal">
      <formula>2.5</formula>
    </cfRule>
    <cfRule type="cellIs" dxfId="2007" priority="1887" operator="equal">
      <formula>2</formula>
    </cfRule>
    <cfRule type="cellIs" dxfId="2006" priority="1888" operator="equal">
      <formula>1.5</formula>
    </cfRule>
    <cfRule type="cellIs" dxfId="2005" priority="1889" operator="equal">
      <formula>1</formula>
    </cfRule>
  </conditionalFormatting>
  <conditionalFormatting sqref="FC35 FF35 FI35 FL35 FO35 FR35">
    <cfRule type="cellIs" dxfId="2004" priority="1864" operator="equal">
      <formula>6.5</formula>
    </cfRule>
    <cfRule type="cellIs" dxfId="2003" priority="1875" operator="equal">
      <formula>1</formula>
    </cfRule>
  </conditionalFormatting>
  <conditionalFormatting sqref="FC35:FR35">
    <cfRule type="cellIs" dxfId="2002" priority="1862" operator="equal">
      <formula>0</formula>
    </cfRule>
    <cfRule type="cellIs" dxfId="2001" priority="1863" operator="greaterThan">
      <formula>6.6</formula>
    </cfRule>
    <cfRule type="cellIs" dxfId="2000" priority="1865" operator="equal">
      <formula>6</formula>
    </cfRule>
    <cfRule type="cellIs" dxfId="1999" priority="1866" operator="equal">
      <formula>5.5</formula>
    </cfRule>
    <cfRule type="cellIs" dxfId="1998" priority="1867" operator="equal">
      <formula>5</formula>
    </cfRule>
    <cfRule type="cellIs" dxfId="1997" priority="1868" operator="equal">
      <formula>4.5</formula>
    </cfRule>
    <cfRule type="cellIs" dxfId="1996" priority="1869" operator="equal">
      <formula>4</formula>
    </cfRule>
    <cfRule type="cellIs" dxfId="1995" priority="1870" operator="equal">
      <formula>3.5</formula>
    </cfRule>
    <cfRule type="cellIs" dxfId="1994" priority="1871" operator="equal">
      <formula>3</formula>
    </cfRule>
    <cfRule type="cellIs" dxfId="1993" priority="1872" operator="equal">
      <formula>2.5</formula>
    </cfRule>
    <cfRule type="cellIs" dxfId="1992" priority="1873" operator="equal">
      <formula>2</formula>
    </cfRule>
    <cfRule type="cellIs" dxfId="1991" priority="1874" operator="equal">
      <formula>1.5</formula>
    </cfRule>
  </conditionalFormatting>
  <conditionalFormatting sqref="FD35">
    <cfRule type="cellIs" dxfId="1990" priority="1861" operator="between">
      <formula>1</formula>
      <formula>999</formula>
    </cfRule>
  </conditionalFormatting>
  <conditionalFormatting sqref="FD35">
    <cfRule type="cellIs" dxfId="1989" priority="1848" operator="greaterThan">
      <formula>6.6</formula>
    </cfRule>
    <cfRule type="cellIs" dxfId="1988" priority="1849" operator="equal">
      <formula>6.5</formula>
    </cfRule>
    <cfRule type="cellIs" dxfId="1987" priority="1850" operator="equal">
      <formula>6</formula>
    </cfRule>
    <cfRule type="cellIs" dxfId="1986" priority="1851" operator="equal">
      <formula>5.5</formula>
    </cfRule>
    <cfRule type="cellIs" dxfId="1985" priority="1852" operator="equal">
      <formula>5</formula>
    </cfRule>
    <cfRule type="cellIs" dxfId="1984" priority="1853" operator="equal">
      <formula>4.5</formula>
    </cfRule>
    <cfRule type="cellIs" dxfId="1983" priority="1854" operator="equal">
      <formula>4</formula>
    </cfRule>
    <cfRule type="cellIs" dxfId="1982" priority="1855" operator="equal">
      <formula>3.5</formula>
    </cfRule>
    <cfRule type="cellIs" dxfId="1981" priority="1856" operator="equal">
      <formula>3</formula>
    </cfRule>
    <cfRule type="cellIs" dxfId="1980" priority="1857" operator="equal">
      <formula>2.5</formula>
    </cfRule>
    <cfRule type="cellIs" dxfId="1979" priority="1858" operator="equal">
      <formula>2</formula>
    </cfRule>
    <cfRule type="cellIs" dxfId="1978" priority="1859" operator="equal">
      <formula>1.5</formula>
    </cfRule>
    <cfRule type="cellIs" dxfId="1977" priority="1860" operator="equal">
      <formula>1</formula>
    </cfRule>
  </conditionalFormatting>
  <conditionalFormatting sqref="FG35">
    <cfRule type="cellIs" dxfId="1976" priority="1847" operator="between">
      <formula>1</formula>
      <formula>999</formula>
    </cfRule>
  </conditionalFormatting>
  <conditionalFormatting sqref="FG35">
    <cfRule type="cellIs" dxfId="1975" priority="1834" operator="greaterThan">
      <formula>6.6</formula>
    </cfRule>
    <cfRule type="cellIs" dxfId="1974" priority="1835" operator="equal">
      <formula>6.5</formula>
    </cfRule>
    <cfRule type="cellIs" dxfId="1973" priority="1836" operator="equal">
      <formula>6</formula>
    </cfRule>
    <cfRule type="cellIs" dxfId="1972" priority="1837" operator="equal">
      <formula>5.5</formula>
    </cfRule>
    <cfRule type="cellIs" dxfId="1971" priority="1838" operator="equal">
      <formula>5</formula>
    </cfRule>
    <cfRule type="cellIs" dxfId="1970" priority="1839" operator="equal">
      <formula>4.5</formula>
    </cfRule>
    <cfRule type="cellIs" dxfId="1969" priority="1840" operator="equal">
      <formula>4</formula>
    </cfRule>
    <cfRule type="cellIs" dxfId="1968" priority="1841" operator="equal">
      <formula>3.5</formula>
    </cfRule>
    <cfRule type="cellIs" dxfId="1967" priority="1842" operator="equal">
      <formula>3</formula>
    </cfRule>
    <cfRule type="cellIs" dxfId="1966" priority="1843" operator="equal">
      <formula>2.5</formula>
    </cfRule>
    <cfRule type="cellIs" dxfId="1965" priority="1844" operator="equal">
      <formula>2</formula>
    </cfRule>
    <cfRule type="cellIs" dxfId="1964" priority="1845" operator="equal">
      <formula>1.5</formula>
    </cfRule>
    <cfRule type="cellIs" dxfId="1963" priority="1846" operator="equal">
      <formula>1</formula>
    </cfRule>
  </conditionalFormatting>
  <conditionalFormatting sqref="FJ35">
    <cfRule type="cellIs" dxfId="1962" priority="1833" operator="between">
      <formula>1</formula>
      <formula>999</formula>
    </cfRule>
  </conditionalFormatting>
  <conditionalFormatting sqref="FJ35">
    <cfRule type="cellIs" dxfId="1961" priority="1820" operator="greaterThan">
      <formula>6.6</formula>
    </cfRule>
    <cfRule type="cellIs" dxfId="1960" priority="1821" operator="equal">
      <formula>6.5</formula>
    </cfRule>
    <cfRule type="cellIs" dxfId="1959" priority="1822" operator="equal">
      <formula>6</formula>
    </cfRule>
    <cfRule type="cellIs" dxfId="1958" priority="1823" operator="equal">
      <formula>5.5</formula>
    </cfRule>
    <cfRule type="cellIs" dxfId="1957" priority="1824" operator="equal">
      <formula>5</formula>
    </cfRule>
    <cfRule type="cellIs" dxfId="1956" priority="1825" operator="equal">
      <formula>4.5</formula>
    </cfRule>
    <cfRule type="cellIs" dxfId="1955" priority="1826" operator="equal">
      <formula>4</formula>
    </cfRule>
    <cfRule type="cellIs" dxfId="1954" priority="1827" operator="equal">
      <formula>3.5</formula>
    </cfRule>
    <cfRule type="cellIs" dxfId="1953" priority="1828" operator="equal">
      <formula>3</formula>
    </cfRule>
    <cfRule type="cellIs" dxfId="1952" priority="1829" operator="equal">
      <formula>2.5</formula>
    </cfRule>
    <cfRule type="cellIs" dxfId="1951" priority="1830" operator="equal">
      <formula>2</formula>
    </cfRule>
    <cfRule type="cellIs" dxfId="1950" priority="1831" operator="equal">
      <formula>1.5</formula>
    </cfRule>
    <cfRule type="cellIs" dxfId="1949" priority="1832" operator="equal">
      <formula>1</formula>
    </cfRule>
  </conditionalFormatting>
  <conditionalFormatting sqref="FM35">
    <cfRule type="cellIs" dxfId="1948" priority="1819" operator="between">
      <formula>1</formula>
      <formula>999</formula>
    </cfRule>
  </conditionalFormatting>
  <conditionalFormatting sqref="FM35">
    <cfRule type="cellIs" dxfId="1947" priority="1806" operator="greaterThan">
      <formula>6.6</formula>
    </cfRule>
    <cfRule type="cellIs" dxfId="1946" priority="1807" operator="equal">
      <formula>6.5</formula>
    </cfRule>
    <cfRule type="cellIs" dxfId="1945" priority="1808" operator="equal">
      <formula>6</formula>
    </cfRule>
    <cfRule type="cellIs" dxfId="1944" priority="1809" operator="equal">
      <formula>5.5</formula>
    </cfRule>
    <cfRule type="cellIs" dxfId="1943" priority="1810" operator="equal">
      <formula>5</formula>
    </cfRule>
    <cfRule type="cellIs" dxfId="1942" priority="1811" operator="equal">
      <formula>4.5</formula>
    </cfRule>
    <cfRule type="cellIs" dxfId="1941" priority="1812" operator="equal">
      <formula>4</formula>
    </cfRule>
    <cfRule type="cellIs" dxfId="1940" priority="1813" operator="equal">
      <formula>3.5</formula>
    </cfRule>
    <cfRule type="cellIs" dxfId="1939" priority="1814" operator="equal">
      <formula>3</formula>
    </cfRule>
    <cfRule type="cellIs" dxfId="1938" priority="1815" operator="equal">
      <formula>2.5</formula>
    </cfRule>
    <cfRule type="cellIs" dxfId="1937" priority="1816" operator="equal">
      <formula>2</formula>
    </cfRule>
    <cfRule type="cellIs" dxfId="1936" priority="1817" operator="equal">
      <formula>1.5</formula>
    </cfRule>
    <cfRule type="cellIs" dxfId="1935" priority="1818" operator="equal">
      <formula>1</formula>
    </cfRule>
  </conditionalFormatting>
  <conditionalFormatting sqref="FP35">
    <cfRule type="cellIs" dxfId="1934" priority="1805" operator="between">
      <formula>1</formula>
      <formula>999</formula>
    </cfRule>
  </conditionalFormatting>
  <conditionalFormatting sqref="FP35">
    <cfRule type="cellIs" dxfId="1933" priority="1792" operator="greaterThan">
      <formula>6.6</formula>
    </cfRule>
    <cfRule type="cellIs" dxfId="1932" priority="1793" operator="equal">
      <formula>6.5</formula>
    </cfRule>
    <cfRule type="cellIs" dxfId="1931" priority="1794" operator="equal">
      <formula>6</formula>
    </cfRule>
    <cfRule type="cellIs" dxfId="1930" priority="1795" operator="equal">
      <formula>5.5</formula>
    </cfRule>
    <cfRule type="cellIs" dxfId="1929" priority="1796" operator="equal">
      <formula>5</formula>
    </cfRule>
    <cfRule type="cellIs" dxfId="1928" priority="1797" operator="equal">
      <formula>4.5</formula>
    </cfRule>
    <cfRule type="cellIs" dxfId="1927" priority="1798" operator="equal">
      <formula>4</formula>
    </cfRule>
    <cfRule type="cellIs" dxfId="1926" priority="1799" operator="equal">
      <formula>3.5</formula>
    </cfRule>
    <cfRule type="cellIs" dxfId="1925" priority="1800" operator="equal">
      <formula>3</formula>
    </cfRule>
    <cfRule type="cellIs" dxfId="1924" priority="1801" operator="equal">
      <formula>2.5</formula>
    </cfRule>
    <cfRule type="cellIs" dxfId="1923" priority="1802" operator="equal">
      <formula>2</formula>
    </cfRule>
    <cfRule type="cellIs" dxfId="1922" priority="1803" operator="equal">
      <formula>1.5</formula>
    </cfRule>
    <cfRule type="cellIs" dxfId="1921" priority="1804" operator="equal">
      <formula>1</formula>
    </cfRule>
  </conditionalFormatting>
  <conditionalFormatting sqref="FC35:FR35">
    <cfRule type="cellIs" dxfId="1920" priority="1876" operator="between">
      <formula>1</formula>
      <formula>999</formula>
    </cfRule>
  </conditionalFormatting>
  <conditionalFormatting sqref="FJ35">
    <cfRule type="cellIs" dxfId="1919" priority="1791" operator="between">
      <formula>1</formula>
      <formula>999</formula>
    </cfRule>
  </conditionalFormatting>
  <conditionalFormatting sqref="FJ35">
    <cfRule type="cellIs" dxfId="1918" priority="1778" operator="greaterThan">
      <formula>6.6</formula>
    </cfRule>
    <cfRule type="cellIs" dxfId="1917" priority="1779" operator="equal">
      <formula>6.5</formula>
    </cfRule>
    <cfRule type="cellIs" dxfId="1916" priority="1780" operator="equal">
      <formula>6</formula>
    </cfRule>
    <cfRule type="cellIs" dxfId="1915" priority="1781" operator="equal">
      <formula>5.5</formula>
    </cfRule>
    <cfRule type="cellIs" dxfId="1914" priority="1782" operator="equal">
      <formula>5</formula>
    </cfRule>
    <cfRule type="cellIs" dxfId="1913" priority="1783" operator="equal">
      <formula>4.5</formula>
    </cfRule>
    <cfRule type="cellIs" dxfId="1912" priority="1784" operator="equal">
      <formula>4</formula>
    </cfRule>
    <cfRule type="cellIs" dxfId="1911" priority="1785" operator="equal">
      <formula>3.5</formula>
    </cfRule>
    <cfRule type="cellIs" dxfId="1910" priority="1786" operator="equal">
      <formula>3</formula>
    </cfRule>
    <cfRule type="cellIs" dxfId="1909" priority="1787" operator="equal">
      <formula>2.5</formula>
    </cfRule>
    <cfRule type="cellIs" dxfId="1908" priority="1788" operator="equal">
      <formula>2</formula>
    </cfRule>
    <cfRule type="cellIs" dxfId="1907" priority="1789" operator="equal">
      <formula>1.5</formula>
    </cfRule>
    <cfRule type="cellIs" dxfId="1906" priority="1790" operator="equal">
      <formula>1</formula>
    </cfRule>
  </conditionalFormatting>
  <conditionalFormatting sqref="FG35">
    <cfRule type="cellIs" dxfId="1905" priority="1777" operator="between">
      <formula>1</formula>
      <formula>999</formula>
    </cfRule>
  </conditionalFormatting>
  <conditionalFormatting sqref="FG35">
    <cfRule type="cellIs" dxfId="1904" priority="1764" operator="greaterThan">
      <formula>6.6</formula>
    </cfRule>
    <cfRule type="cellIs" dxfId="1903" priority="1765" operator="equal">
      <formula>6.5</formula>
    </cfRule>
    <cfRule type="cellIs" dxfId="1902" priority="1766" operator="equal">
      <formula>6</formula>
    </cfRule>
    <cfRule type="cellIs" dxfId="1901" priority="1767" operator="equal">
      <formula>5.5</formula>
    </cfRule>
    <cfRule type="cellIs" dxfId="1900" priority="1768" operator="equal">
      <formula>5</formula>
    </cfRule>
    <cfRule type="cellIs" dxfId="1899" priority="1769" operator="equal">
      <formula>4.5</formula>
    </cfRule>
    <cfRule type="cellIs" dxfId="1898" priority="1770" operator="equal">
      <formula>4</formula>
    </cfRule>
    <cfRule type="cellIs" dxfId="1897" priority="1771" operator="equal">
      <formula>3.5</formula>
    </cfRule>
    <cfRule type="cellIs" dxfId="1896" priority="1772" operator="equal">
      <formula>3</formula>
    </cfRule>
    <cfRule type="cellIs" dxfId="1895" priority="1773" operator="equal">
      <formula>2.5</formula>
    </cfRule>
    <cfRule type="cellIs" dxfId="1894" priority="1774" operator="equal">
      <formula>2</formula>
    </cfRule>
    <cfRule type="cellIs" dxfId="1893" priority="1775" operator="equal">
      <formula>1.5</formula>
    </cfRule>
    <cfRule type="cellIs" dxfId="1892" priority="1776" operator="equal">
      <formula>1</formula>
    </cfRule>
  </conditionalFormatting>
  <conditionalFormatting sqref="FJ35">
    <cfRule type="cellIs" dxfId="1891" priority="1763" operator="between">
      <formula>1</formula>
      <formula>999</formula>
    </cfRule>
  </conditionalFormatting>
  <conditionalFormatting sqref="FJ35">
    <cfRule type="cellIs" dxfId="1890" priority="1750" operator="greaterThan">
      <formula>6.6</formula>
    </cfRule>
    <cfRule type="cellIs" dxfId="1889" priority="1751" operator="equal">
      <formula>6.5</formula>
    </cfRule>
    <cfRule type="cellIs" dxfId="1888" priority="1752" operator="equal">
      <formula>6</formula>
    </cfRule>
    <cfRule type="cellIs" dxfId="1887" priority="1753" operator="equal">
      <formula>5.5</formula>
    </cfRule>
    <cfRule type="cellIs" dxfId="1886" priority="1754" operator="equal">
      <formula>5</formula>
    </cfRule>
    <cfRule type="cellIs" dxfId="1885" priority="1755" operator="equal">
      <formula>4.5</formula>
    </cfRule>
    <cfRule type="cellIs" dxfId="1884" priority="1756" operator="equal">
      <formula>4</formula>
    </cfRule>
    <cfRule type="cellIs" dxfId="1883" priority="1757" operator="equal">
      <formula>3.5</formula>
    </cfRule>
    <cfRule type="cellIs" dxfId="1882" priority="1758" operator="equal">
      <formula>3</formula>
    </cfRule>
    <cfRule type="cellIs" dxfId="1881" priority="1759" operator="equal">
      <formula>2.5</formula>
    </cfRule>
    <cfRule type="cellIs" dxfId="1880" priority="1760" operator="equal">
      <formula>2</formula>
    </cfRule>
    <cfRule type="cellIs" dxfId="1879" priority="1761" operator="equal">
      <formula>1.5</formula>
    </cfRule>
    <cfRule type="cellIs" dxfId="1878" priority="1762" operator="equal">
      <formula>1</formula>
    </cfRule>
  </conditionalFormatting>
  <conditionalFormatting sqref="FJ35">
    <cfRule type="cellIs" dxfId="1877" priority="1749" operator="between">
      <formula>1</formula>
      <formula>999</formula>
    </cfRule>
  </conditionalFormatting>
  <conditionalFormatting sqref="FJ35">
    <cfRule type="cellIs" dxfId="1876" priority="1736" operator="greaterThan">
      <formula>6.6</formula>
    </cfRule>
    <cfRule type="cellIs" dxfId="1875" priority="1737" operator="equal">
      <formula>6.5</formula>
    </cfRule>
    <cfRule type="cellIs" dxfId="1874" priority="1738" operator="equal">
      <formula>6</formula>
    </cfRule>
    <cfRule type="cellIs" dxfId="1873" priority="1739" operator="equal">
      <formula>5.5</formula>
    </cfRule>
    <cfRule type="cellIs" dxfId="1872" priority="1740" operator="equal">
      <formula>5</formula>
    </cfRule>
    <cfRule type="cellIs" dxfId="1871" priority="1741" operator="equal">
      <formula>4.5</formula>
    </cfRule>
    <cfRule type="cellIs" dxfId="1870" priority="1742" operator="equal">
      <formula>4</formula>
    </cfRule>
    <cfRule type="cellIs" dxfId="1869" priority="1743" operator="equal">
      <formula>3.5</formula>
    </cfRule>
    <cfRule type="cellIs" dxfId="1868" priority="1744" operator="equal">
      <formula>3</formula>
    </cfRule>
    <cfRule type="cellIs" dxfId="1867" priority="1745" operator="equal">
      <formula>2.5</formula>
    </cfRule>
    <cfRule type="cellIs" dxfId="1866" priority="1746" operator="equal">
      <formula>2</formula>
    </cfRule>
    <cfRule type="cellIs" dxfId="1865" priority="1747" operator="equal">
      <formula>1.5</formula>
    </cfRule>
    <cfRule type="cellIs" dxfId="1864" priority="1748" operator="equal">
      <formula>1</formula>
    </cfRule>
  </conditionalFormatting>
  <conditionalFormatting sqref="FM35">
    <cfRule type="cellIs" dxfId="1863" priority="1735" operator="between">
      <formula>1</formula>
      <formula>999</formula>
    </cfRule>
  </conditionalFormatting>
  <conditionalFormatting sqref="FM35">
    <cfRule type="cellIs" dxfId="1862" priority="1722" operator="greaterThan">
      <formula>6.6</formula>
    </cfRule>
    <cfRule type="cellIs" dxfId="1861" priority="1723" operator="equal">
      <formula>6.5</formula>
    </cfRule>
    <cfRule type="cellIs" dxfId="1860" priority="1724" operator="equal">
      <formula>6</formula>
    </cfRule>
    <cfRule type="cellIs" dxfId="1859" priority="1725" operator="equal">
      <formula>5.5</formula>
    </cfRule>
    <cfRule type="cellIs" dxfId="1858" priority="1726" operator="equal">
      <formula>5</formula>
    </cfRule>
    <cfRule type="cellIs" dxfId="1857" priority="1727" operator="equal">
      <formula>4.5</formula>
    </cfRule>
    <cfRule type="cellIs" dxfId="1856" priority="1728" operator="equal">
      <formula>4</formula>
    </cfRule>
    <cfRule type="cellIs" dxfId="1855" priority="1729" operator="equal">
      <formula>3.5</formula>
    </cfRule>
    <cfRule type="cellIs" dxfId="1854" priority="1730" operator="equal">
      <formula>3</formula>
    </cfRule>
    <cfRule type="cellIs" dxfId="1853" priority="1731" operator="equal">
      <formula>2.5</formula>
    </cfRule>
    <cfRule type="cellIs" dxfId="1852" priority="1732" operator="equal">
      <formula>2</formula>
    </cfRule>
    <cfRule type="cellIs" dxfId="1851" priority="1733" operator="equal">
      <formula>1.5</formula>
    </cfRule>
    <cfRule type="cellIs" dxfId="1850" priority="1734" operator="equal">
      <formula>1</formula>
    </cfRule>
  </conditionalFormatting>
  <conditionalFormatting sqref="FM35">
    <cfRule type="cellIs" dxfId="1849" priority="1721" operator="between">
      <formula>1</formula>
      <formula>999</formula>
    </cfRule>
  </conditionalFormatting>
  <conditionalFormatting sqref="FM35">
    <cfRule type="cellIs" dxfId="1848" priority="1708" operator="greaterThan">
      <formula>6.6</formula>
    </cfRule>
    <cfRule type="cellIs" dxfId="1847" priority="1709" operator="equal">
      <formula>6.5</formula>
    </cfRule>
    <cfRule type="cellIs" dxfId="1846" priority="1710" operator="equal">
      <formula>6</formula>
    </cfRule>
    <cfRule type="cellIs" dxfId="1845" priority="1711" operator="equal">
      <formula>5.5</formula>
    </cfRule>
    <cfRule type="cellIs" dxfId="1844" priority="1712" operator="equal">
      <formula>5</formula>
    </cfRule>
    <cfRule type="cellIs" dxfId="1843" priority="1713" operator="equal">
      <formula>4.5</formula>
    </cfRule>
    <cfRule type="cellIs" dxfId="1842" priority="1714" operator="equal">
      <formula>4</formula>
    </cfRule>
    <cfRule type="cellIs" dxfId="1841" priority="1715" operator="equal">
      <formula>3.5</formula>
    </cfRule>
    <cfRule type="cellIs" dxfId="1840" priority="1716" operator="equal">
      <formula>3</formula>
    </cfRule>
    <cfRule type="cellIs" dxfId="1839" priority="1717" operator="equal">
      <formula>2.5</formula>
    </cfRule>
    <cfRule type="cellIs" dxfId="1838" priority="1718" operator="equal">
      <formula>2</formula>
    </cfRule>
    <cfRule type="cellIs" dxfId="1837" priority="1719" operator="equal">
      <formula>1.5</formula>
    </cfRule>
    <cfRule type="cellIs" dxfId="1836" priority="1720" operator="equal">
      <formula>1</formula>
    </cfRule>
  </conditionalFormatting>
  <conditionalFormatting sqref="FM35">
    <cfRule type="cellIs" dxfId="1835" priority="1707" operator="between">
      <formula>1</formula>
      <formula>999</formula>
    </cfRule>
  </conditionalFormatting>
  <conditionalFormatting sqref="FM35">
    <cfRule type="cellIs" dxfId="1834" priority="1694" operator="greaterThan">
      <formula>6.6</formula>
    </cfRule>
    <cfRule type="cellIs" dxfId="1833" priority="1695" operator="equal">
      <formula>6.5</formula>
    </cfRule>
    <cfRule type="cellIs" dxfId="1832" priority="1696" operator="equal">
      <formula>6</formula>
    </cfRule>
    <cfRule type="cellIs" dxfId="1831" priority="1697" operator="equal">
      <formula>5.5</formula>
    </cfRule>
    <cfRule type="cellIs" dxfId="1830" priority="1698" operator="equal">
      <formula>5</formula>
    </cfRule>
    <cfRule type="cellIs" dxfId="1829" priority="1699" operator="equal">
      <formula>4.5</formula>
    </cfRule>
    <cfRule type="cellIs" dxfId="1828" priority="1700" operator="equal">
      <formula>4</formula>
    </cfRule>
    <cfRule type="cellIs" dxfId="1827" priority="1701" operator="equal">
      <formula>3.5</formula>
    </cfRule>
    <cfRule type="cellIs" dxfId="1826" priority="1702" operator="equal">
      <formula>3</formula>
    </cfRule>
    <cfRule type="cellIs" dxfId="1825" priority="1703" operator="equal">
      <formula>2.5</formula>
    </cfRule>
    <cfRule type="cellIs" dxfId="1824" priority="1704" operator="equal">
      <formula>2</formula>
    </cfRule>
    <cfRule type="cellIs" dxfId="1823" priority="1705" operator="equal">
      <formula>1.5</formula>
    </cfRule>
    <cfRule type="cellIs" dxfId="1822" priority="1706" operator="equal">
      <formula>1</formula>
    </cfRule>
  </conditionalFormatting>
  <conditionalFormatting sqref="FM35">
    <cfRule type="cellIs" dxfId="1821" priority="1693" operator="between">
      <formula>1</formula>
      <formula>999</formula>
    </cfRule>
  </conditionalFormatting>
  <conditionalFormatting sqref="FM35">
    <cfRule type="cellIs" dxfId="1820" priority="1680" operator="greaterThan">
      <formula>6.6</formula>
    </cfRule>
    <cfRule type="cellIs" dxfId="1819" priority="1681" operator="equal">
      <formula>6.5</formula>
    </cfRule>
    <cfRule type="cellIs" dxfId="1818" priority="1682" operator="equal">
      <formula>6</formula>
    </cfRule>
    <cfRule type="cellIs" dxfId="1817" priority="1683" operator="equal">
      <formula>5.5</formula>
    </cfRule>
    <cfRule type="cellIs" dxfId="1816" priority="1684" operator="equal">
      <formula>5</formula>
    </cfRule>
    <cfRule type="cellIs" dxfId="1815" priority="1685" operator="equal">
      <formula>4.5</formula>
    </cfRule>
    <cfRule type="cellIs" dxfId="1814" priority="1686" operator="equal">
      <formula>4</formula>
    </cfRule>
    <cfRule type="cellIs" dxfId="1813" priority="1687" operator="equal">
      <formula>3.5</formula>
    </cfRule>
    <cfRule type="cellIs" dxfId="1812" priority="1688" operator="equal">
      <formula>3</formula>
    </cfRule>
    <cfRule type="cellIs" dxfId="1811" priority="1689" operator="equal">
      <formula>2.5</formula>
    </cfRule>
    <cfRule type="cellIs" dxfId="1810" priority="1690" operator="equal">
      <formula>2</formula>
    </cfRule>
    <cfRule type="cellIs" dxfId="1809" priority="1691" operator="equal">
      <formula>1.5</formula>
    </cfRule>
    <cfRule type="cellIs" dxfId="1808" priority="1692" operator="equal">
      <formula>1</formula>
    </cfRule>
  </conditionalFormatting>
  <conditionalFormatting sqref="FP35">
    <cfRule type="cellIs" dxfId="1807" priority="1679" operator="between">
      <formula>1</formula>
      <formula>999</formula>
    </cfRule>
  </conditionalFormatting>
  <conditionalFormatting sqref="FP35">
    <cfRule type="cellIs" dxfId="1806" priority="1666" operator="greaterThan">
      <formula>6.6</formula>
    </cfRule>
    <cfRule type="cellIs" dxfId="1805" priority="1667" operator="equal">
      <formula>6.5</formula>
    </cfRule>
    <cfRule type="cellIs" dxfId="1804" priority="1668" operator="equal">
      <formula>6</formula>
    </cfRule>
    <cfRule type="cellIs" dxfId="1803" priority="1669" operator="equal">
      <formula>5.5</formula>
    </cfRule>
    <cfRule type="cellIs" dxfId="1802" priority="1670" operator="equal">
      <formula>5</formula>
    </cfRule>
    <cfRule type="cellIs" dxfId="1801" priority="1671" operator="equal">
      <formula>4.5</formula>
    </cfRule>
    <cfRule type="cellIs" dxfId="1800" priority="1672" operator="equal">
      <formula>4</formula>
    </cfRule>
    <cfRule type="cellIs" dxfId="1799" priority="1673" operator="equal">
      <formula>3.5</formula>
    </cfRule>
    <cfRule type="cellIs" dxfId="1798" priority="1674" operator="equal">
      <formula>3</formula>
    </cfRule>
    <cfRule type="cellIs" dxfId="1797" priority="1675" operator="equal">
      <formula>2.5</formula>
    </cfRule>
    <cfRule type="cellIs" dxfId="1796" priority="1676" operator="equal">
      <formula>2</formula>
    </cfRule>
    <cfRule type="cellIs" dxfId="1795" priority="1677" operator="equal">
      <formula>1.5</formula>
    </cfRule>
    <cfRule type="cellIs" dxfId="1794" priority="1678" operator="equal">
      <formula>1</formula>
    </cfRule>
  </conditionalFormatting>
  <conditionalFormatting sqref="FP35">
    <cfRule type="cellIs" dxfId="1793" priority="1665" operator="between">
      <formula>1</formula>
      <formula>999</formula>
    </cfRule>
  </conditionalFormatting>
  <conditionalFormatting sqref="FP35">
    <cfRule type="cellIs" dxfId="1792" priority="1652" operator="greaterThan">
      <formula>6.6</formula>
    </cfRule>
    <cfRule type="cellIs" dxfId="1791" priority="1653" operator="equal">
      <formula>6.5</formula>
    </cfRule>
    <cfRule type="cellIs" dxfId="1790" priority="1654" operator="equal">
      <formula>6</formula>
    </cfRule>
    <cfRule type="cellIs" dxfId="1789" priority="1655" operator="equal">
      <formula>5.5</formula>
    </cfRule>
    <cfRule type="cellIs" dxfId="1788" priority="1656" operator="equal">
      <formula>5</formula>
    </cfRule>
    <cfRule type="cellIs" dxfId="1787" priority="1657" operator="equal">
      <formula>4.5</formula>
    </cfRule>
    <cfRule type="cellIs" dxfId="1786" priority="1658" operator="equal">
      <formula>4</formula>
    </cfRule>
    <cfRule type="cellIs" dxfId="1785" priority="1659" operator="equal">
      <formula>3.5</formula>
    </cfRule>
    <cfRule type="cellIs" dxfId="1784" priority="1660" operator="equal">
      <formula>3</formula>
    </cfRule>
    <cfRule type="cellIs" dxfId="1783" priority="1661" operator="equal">
      <formula>2.5</formula>
    </cfRule>
    <cfRule type="cellIs" dxfId="1782" priority="1662" operator="equal">
      <formula>2</formula>
    </cfRule>
    <cfRule type="cellIs" dxfId="1781" priority="1663" operator="equal">
      <formula>1.5</formula>
    </cfRule>
    <cfRule type="cellIs" dxfId="1780" priority="1664" operator="equal">
      <formula>1</formula>
    </cfRule>
  </conditionalFormatting>
  <conditionalFormatting sqref="FP35">
    <cfRule type="cellIs" dxfId="1779" priority="1651" operator="between">
      <formula>1</formula>
      <formula>999</formula>
    </cfRule>
  </conditionalFormatting>
  <conditionalFormatting sqref="FP35">
    <cfRule type="cellIs" dxfId="1778" priority="1638" operator="greaterThan">
      <formula>6.6</formula>
    </cfRule>
    <cfRule type="cellIs" dxfId="1777" priority="1639" operator="equal">
      <formula>6.5</formula>
    </cfRule>
    <cfRule type="cellIs" dxfId="1776" priority="1640" operator="equal">
      <formula>6</formula>
    </cfRule>
    <cfRule type="cellIs" dxfId="1775" priority="1641" operator="equal">
      <formula>5.5</formula>
    </cfRule>
    <cfRule type="cellIs" dxfId="1774" priority="1642" operator="equal">
      <formula>5</formula>
    </cfRule>
    <cfRule type="cellIs" dxfId="1773" priority="1643" operator="equal">
      <formula>4.5</formula>
    </cfRule>
    <cfRule type="cellIs" dxfId="1772" priority="1644" operator="equal">
      <formula>4</formula>
    </cfRule>
    <cfRule type="cellIs" dxfId="1771" priority="1645" operator="equal">
      <formula>3.5</formula>
    </cfRule>
    <cfRule type="cellIs" dxfId="1770" priority="1646" operator="equal">
      <formula>3</formula>
    </cfRule>
    <cfRule type="cellIs" dxfId="1769" priority="1647" operator="equal">
      <formula>2.5</formula>
    </cfRule>
    <cfRule type="cellIs" dxfId="1768" priority="1648" operator="equal">
      <formula>2</formula>
    </cfRule>
    <cfRule type="cellIs" dxfId="1767" priority="1649" operator="equal">
      <formula>1.5</formula>
    </cfRule>
    <cfRule type="cellIs" dxfId="1766" priority="1650" operator="equal">
      <formula>1</formula>
    </cfRule>
  </conditionalFormatting>
  <conditionalFormatting sqref="FP35">
    <cfRule type="cellIs" dxfId="1765" priority="1637" operator="between">
      <formula>1</formula>
      <formula>999</formula>
    </cfRule>
  </conditionalFormatting>
  <conditionalFormatting sqref="FP35">
    <cfRule type="cellIs" dxfId="1764" priority="1624" operator="greaterThan">
      <formula>6.6</formula>
    </cfRule>
    <cfRule type="cellIs" dxfId="1763" priority="1625" operator="equal">
      <formula>6.5</formula>
    </cfRule>
    <cfRule type="cellIs" dxfId="1762" priority="1626" operator="equal">
      <formula>6</formula>
    </cfRule>
    <cfRule type="cellIs" dxfId="1761" priority="1627" operator="equal">
      <formula>5.5</formula>
    </cfRule>
    <cfRule type="cellIs" dxfId="1760" priority="1628" operator="equal">
      <formula>5</formula>
    </cfRule>
    <cfRule type="cellIs" dxfId="1759" priority="1629" operator="equal">
      <formula>4.5</formula>
    </cfRule>
    <cfRule type="cellIs" dxfId="1758" priority="1630" operator="equal">
      <formula>4</formula>
    </cfRule>
    <cfRule type="cellIs" dxfId="1757" priority="1631" operator="equal">
      <formula>3.5</formula>
    </cfRule>
    <cfRule type="cellIs" dxfId="1756" priority="1632" operator="equal">
      <formula>3</formula>
    </cfRule>
    <cfRule type="cellIs" dxfId="1755" priority="1633" operator="equal">
      <formula>2.5</formula>
    </cfRule>
    <cfRule type="cellIs" dxfId="1754" priority="1634" operator="equal">
      <formula>2</formula>
    </cfRule>
    <cfRule type="cellIs" dxfId="1753" priority="1635" operator="equal">
      <formula>1.5</formula>
    </cfRule>
    <cfRule type="cellIs" dxfId="1752" priority="1636" operator="equal">
      <formula>1</formula>
    </cfRule>
  </conditionalFormatting>
  <conditionalFormatting sqref="FP35">
    <cfRule type="cellIs" dxfId="1751" priority="1623" operator="between">
      <formula>1</formula>
      <formula>999</formula>
    </cfRule>
  </conditionalFormatting>
  <conditionalFormatting sqref="FP35">
    <cfRule type="cellIs" dxfId="1750" priority="1610" operator="greaterThan">
      <formula>6.6</formula>
    </cfRule>
    <cfRule type="cellIs" dxfId="1749" priority="1611" operator="equal">
      <formula>6.5</formula>
    </cfRule>
    <cfRule type="cellIs" dxfId="1748" priority="1612" operator="equal">
      <formula>6</formula>
    </cfRule>
    <cfRule type="cellIs" dxfId="1747" priority="1613" operator="equal">
      <formula>5.5</formula>
    </cfRule>
    <cfRule type="cellIs" dxfId="1746" priority="1614" operator="equal">
      <formula>5</formula>
    </cfRule>
    <cfRule type="cellIs" dxfId="1745" priority="1615" operator="equal">
      <formula>4.5</formula>
    </cfRule>
    <cfRule type="cellIs" dxfId="1744" priority="1616" operator="equal">
      <formula>4</formula>
    </cfRule>
    <cfRule type="cellIs" dxfId="1743" priority="1617" operator="equal">
      <formula>3.5</formula>
    </cfRule>
    <cfRule type="cellIs" dxfId="1742" priority="1618" operator="equal">
      <formula>3</formula>
    </cfRule>
    <cfRule type="cellIs" dxfId="1741" priority="1619" operator="equal">
      <formula>2.5</formula>
    </cfRule>
    <cfRule type="cellIs" dxfId="1740" priority="1620" operator="equal">
      <formula>2</formula>
    </cfRule>
    <cfRule type="cellIs" dxfId="1739" priority="1621" operator="equal">
      <formula>1.5</formula>
    </cfRule>
    <cfRule type="cellIs" dxfId="1738" priority="1622" operator="equal">
      <formula>1</formula>
    </cfRule>
  </conditionalFormatting>
  <conditionalFormatting sqref="FC38 FF38 FI38 FL38 FO38 FR38">
    <cfRule type="cellIs" dxfId="1737" priority="1597" operator="equal">
      <formula>6.5</formula>
    </cfRule>
    <cfRule type="cellIs" dxfId="1736" priority="1608" operator="equal">
      <formula>1</formula>
    </cfRule>
  </conditionalFormatting>
  <conditionalFormatting sqref="FC38:FR38">
    <cfRule type="cellIs" dxfId="1735" priority="1595" operator="equal">
      <formula>0</formula>
    </cfRule>
    <cfRule type="cellIs" dxfId="1734" priority="1596" operator="greaterThan">
      <formula>6.6</formula>
    </cfRule>
    <cfRule type="cellIs" dxfId="1733" priority="1598" operator="equal">
      <formula>6</formula>
    </cfRule>
    <cfRule type="cellIs" dxfId="1732" priority="1599" operator="equal">
      <formula>5.5</formula>
    </cfRule>
    <cfRule type="cellIs" dxfId="1731" priority="1600" operator="equal">
      <formula>5</formula>
    </cfRule>
    <cfRule type="cellIs" dxfId="1730" priority="1601" operator="equal">
      <formula>4.5</formula>
    </cfRule>
    <cfRule type="cellIs" dxfId="1729" priority="1602" operator="equal">
      <formula>4</formula>
    </cfRule>
    <cfRule type="cellIs" dxfId="1728" priority="1603" operator="equal">
      <formula>3.5</formula>
    </cfRule>
    <cfRule type="cellIs" dxfId="1727" priority="1604" operator="equal">
      <formula>3</formula>
    </cfRule>
    <cfRule type="cellIs" dxfId="1726" priority="1605" operator="equal">
      <formula>2.5</formula>
    </cfRule>
    <cfRule type="cellIs" dxfId="1725" priority="1606" operator="equal">
      <formula>2</formula>
    </cfRule>
    <cfRule type="cellIs" dxfId="1724" priority="1607" operator="equal">
      <formula>1.5</formula>
    </cfRule>
  </conditionalFormatting>
  <conditionalFormatting sqref="FD38">
    <cfRule type="cellIs" dxfId="1723" priority="1594" operator="between">
      <formula>1</formula>
      <formula>999</formula>
    </cfRule>
  </conditionalFormatting>
  <conditionalFormatting sqref="FD38">
    <cfRule type="cellIs" dxfId="1722" priority="1581" operator="greaterThan">
      <formula>6.6</formula>
    </cfRule>
    <cfRule type="cellIs" dxfId="1721" priority="1582" operator="equal">
      <formula>6.5</formula>
    </cfRule>
    <cfRule type="cellIs" dxfId="1720" priority="1583" operator="equal">
      <formula>6</formula>
    </cfRule>
    <cfRule type="cellIs" dxfId="1719" priority="1584" operator="equal">
      <formula>5.5</formula>
    </cfRule>
    <cfRule type="cellIs" dxfId="1718" priority="1585" operator="equal">
      <formula>5</formula>
    </cfRule>
    <cfRule type="cellIs" dxfId="1717" priority="1586" operator="equal">
      <formula>4.5</formula>
    </cfRule>
    <cfRule type="cellIs" dxfId="1716" priority="1587" operator="equal">
      <formula>4</formula>
    </cfRule>
    <cfRule type="cellIs" dxfId="1715" priority="1588" operator="equal">
      <formula>3.5</formula>
    </cfRule>
    <cfRule type="cellIs" dxfId="1714" priority="1589" operator="equal">
      <formula>3</formula>
    </cfRule>
    <cfRule type="cellIs" dxfId="1713" priority="1590" operator="equal">
      <formula>2.5</formula>
    </cfRule>
    <cfRule type="cellIs" dxfId="1712" priority="1591" operator="equal">
      <formula>2</formula>
    </cfRule>
    <cfRule type="cellIs" dxfId="1711" priority="1592" operator="equal">
      <formula>1.5</formula>
    </cfRule>
    <cfRule type="cellIs" dxfId="1710" priority="1593" operator="equal">
      <formula>1</formula>
    </cfRule>
  </conditionalFormatting>
  <conditionalFormatting sqref="FG38">
    <cfRule type="cellIs" dxfId="1709" priority="1580" operator="between">
      <formula>1</formula>
      <formula>999</formula>
    </cfRule>
  </conditionalFormatting>
  <conditionalFormatting sqref="FG38">
    <cfRule type="cellIs" dxfId="1708" priority="1567" operator="greaterThan">
      <formula>6.6</formula>
    </cfRule>
    <cfRule type="cellIs" dxfId="1707" priority="1568" operator="equal">
      <formula>6.5</formula>
    </cfRule>
    <cfRule type="cellIs" dxfId="1706" priority="1569" operator="equal">
      <formula>6</formula>
    </cfRule>
    <cfRule type="cellIs" dxfId="1705" priority="1570" operator="equal">
      <formula>5.5</formula>
    </cfRule>
    <cfRule type="cellIs" dxfId="1704" priority="1571" operator="equal">
      <formula>5</formula>
    </cfRule>
    <cfRule type="cellIs" dxfId="1703" priority="1572" operator="equal">
      <formula>4.5</formula>
    </cfRule>
    <cfRule type="cellIs" dxfId="1702" priority="1573" operator="equal">
      <formula>4</formula>
    </cfRule>
    <cfRule type="cellIs" dxfId="1701" priority="1574" operator="equal">
      <formula>3.5</formula>
    </cfRule>
    <cfRule type="cellIs" dxfId="1700" priority="1575" operator="equal">
      <formula>3</formula>
    </cfRule>
    <cfRule type="cellIs" dxfId="1699" priority="1576" operator="equal">
      <formula>2.5</formula>
    </cfRule>
    <cfRule type="cellIs" dxfId="1698" priority="1577" operator="equal">
      <formula>2</formula>
    </cfRule>
    <cfRule type="cellIs" dxfId="1697" priority="1578" operator="equal">
      <formula>1.5</formula>
    </cfRule>
    <cfRule type="cellIs" dxfId="1696" priority="1579" operator="equal">
      <formula>1</formula>
    </cfRule>
  </conditionalFormatting>
  <conditionalFormatting sqref="FJ38">
    <cfRule type="cellIs" dxfId="1695" priority="1566" operator="between">
      <formula>1</formula>
      <formula>999</formula>
    </cfRule>
  </conditionalFormatting>
  <conditionalFormatting sqref="FJ38">
    <cfRule type="cellIs" dxfId="1694" priority="1553" operator="greaterThan">
      <formula>6.6</formula>
    </cfRule>
    <cfRule type="cellIs" dxfId="1693" priority="1554" operator="equal">
      <formula>6.5</formula>
    </cfRule>
    <cfRule type="cellIs" dxfId="1692" priority="1555" operator="equal">
      <formula>6</formula>
    </cfRule>
    <cfRule type="cellIs" dxfId="1691" priority="1556" operator="equal">
      <formula>5.5</formula>
    </cfRule>
    <cfRule type="cellIs" dxfId="1690" priority="1557" operator="equal">
      <formula>5</formula>
    </cfRule>
    <cfRule type="cellIs" dxfId="1689" priority="1558" operator="equal">
      <formula>4.5</formula>
    </cfRule>
    <cfRule type="cellIs" dxfId="1688" priority="1559" operator="equal">
      <formula>4</formula>
    </cfRule>
    <cfRule type="cellIs" dxfId="1687" priority="1560" operator="equal">
      <formula>3.5</formula>
    </cfRule>
    <cfRule type="cellIs" dxfId="1686" priority="1561" operator="equal">
      <formula>3</formula>
    </cfRule>
    <cfRule type="cellIs" dxfId="1685" priority="1562" operator="equal">
      <formula>2.5</formula>
    </cfRule>
    <cfRule type="cellIs" dxfId="1684" priority="1563" operator="equal">
      <formula>2</formula>
    </cfRule>
    <cfRule type="cellIs" dxfId="1683" priority="1564" operator="equal">
      <formula>1.5</formula>
    </cfRule>
    <cfRule type="cellIs" dxfId="1682" priority="1565" operator="equal">
      <formula>1</formula>
    </cfRule>
  </conditionalFormatting>
  <conditionalFormatting sqref="FM38">
    <cfRule type="cellIs" dxfId="1681" priority="1552" operator="between">
      <formula>1</formula>
      <formula>999</formula>
    </cfRule>
  </conditionalFormatting>
  <conditionalFormatting sqref="FM38">
    <cfRule type="cellIs" dxfId="1680" priority="1539" operator="greaterThan">
      <formula>6.6</formula>
    </cfRule>
    <cfRule type="cellIs" dxfId="1679" priority="1540" operator="equal">
      <formula>6.5</formula>
    </cfRule>
    <cfRule type="cellIs" dxfId="1678" priority="1541" operator="equal">
      <formula>6</formula>
    </cfRule>
    <cfRule type="cellIs" dxfId="1677" priority="1542" operator="equal">
      <formula>5.5</formula>
    </cfRule>
    <cfRule type="cellIs" dxfId="1676" priority="1543" operator="equal">
      <formula>5</formula>
    </cfRule>
    <cfRule type="cellIs" dxfId="1675" priority="1544" operator="equal">
      <formula>4.5</formula>
    </cfRule>
    <cfRule type="cellIs" dxfId="1674" priority="1545" operator="equal">
      <formula>4</formula>
    </cfRule>
    <cfRule type="cellIs" dxfId="1673" priority="1546" operator="equal">
      <formula>3.5</formula>
    </cfRule>
    <cfRule type="cellIs" dxfId="1672" priority="1547" operator="equal">
      <formula>3</formula>
    </cfRule>
    <cfRule type="cellIs" dxfId="1671" priority="1548" operator="equal">
      <formula>2.5</formula>
    </cfRule>
    <cfRule type="cellIs" dxfId="1670" priority="1549" operator="equal">
      <formula>2</formula>
    </cfRule>
    <cfRule type="cellIs" dxfId="1669" priority="1550" operator="equal">
      <formula>1.5</formula>
    </cfRule>
    <cfRule type="cellIs" dxfId="1668" priority="1551" operator="equal">
      <formula>1</formula>
    </cfRule>
  </conditionalFormatting>
  <conditionalFormatting sqref="FP38">
    <cfRule type="cellIs" dxfId="1667" priority="1538" operator="between">
      <formula>1</formula>
      <formula>999</formula>
    </cfRule>
  </conditionalFormatting>
  <conditionalFormatting sqref="FP38">
    <cfRule type="cellIs" dxfId="1666" priority="1525" operator="greaterThan">
      <formula>6.6</formula>
    </cfRule>
    <cfRule type="cellIs" dxfId="1665" priority="1526" operator="equal">
      <formula>6.5</formula>
    </cfRule>
    <cfRule type="cellIs" dxfId="1664" priority="1527" operator="equal">
      <formula>6</formula>
    </cfRule>
    <cfRule type="cellIs" dxfId="1663" priority="1528" operator="equal">
      <formula>5.5</formula>
    </cfRule>
    <cfRule type="cellIs" dxfId="1662" priority="1529" operator="equal">
      <formula>5</formula>
    </cfRule>
    <cfRule type="cellIs" dxfId="1661" priority="1530" operator="equal">
      <formula>4.5</formula>
    </cfRule>
    <cfRule type="cellIs" dxfId="1660" priority="1531" operator="equal">
      <formula>4</formula>
    </cfRule>
    <cfRule type="cellIs" dxfId="1659" priority="1532" operator="equal">
      <formula>3.5</formula>
    </cfRule>
    <cfRule type="cellIs" dxfId="1658" priority="1533" operator="equal">
      <formula>3</formula>
    </cfRule>
    <cfRule type="cellIs" dxfId="1657" priority="1534" operator="equal">
      <formula>2.5</formula>
    </cfRule>
    <cfRule type="cellIs" dxfId="1656" priority="1535" operator="equal">
      <formula>2</formula>
    </cfRule>
    <cfRule type="cellIs" dxfId="1655" priority="1536" operator="equal">
      <formula>1.5</formula>
    </cfRule>
    <cfRule type="cellIs" dxfId="1654" priority="1537" operator="equal">
      <formula>1</formula>
    </cfRule>
  </conditionalFormatting>
  <conditionalFormatting sqref="FC38:FR38">
    <cfRule type="cellIs" dxfId="1653" priority="1609" operator="between">
      <formula>1</formula>
      <formula>999</formula>
    </cfRule>
  </conditionalFormatting>
  <conditionalFormatting sqref="FJ38">
    <cfRule type="cellIs" dxfId="1652" priority="1524" operator="between">
      <formula>1</formula>
      <formula>999</formula>
    </cfRule>
  </conditionalFormatting>
  <conditionalFormatting sqref="FJ38">
    <cfRule type="cellIs" dxfId="1651" priority="1511" operator="greaterThan">
      <formula>6.6</formula>
    </cfRule>
    <cfRule type="cellIs" dxfId="1650" priority="1512" operator="equal">
      <formula>6.5</formula>
    </cfRule>
    <cfRule type="cellIs" dxfId="1649" priority="1513" operator="equal">
      <formula>6</formula>
    </cfRule>
    <cfRule type="cellIs" dxfId="1648" priority="1514" operator="equal">
      <formula>5.5</formula>
    </cfRule>
    <cfRule type="cellIs" dxfId="1647" priority="1515" operator="equal">
      <formula>5</formula>
    </cfRule>
    <cfRule type="cellIs" dxfId="1646" priority="1516" operator="equal">
      <formula>4.5</formula>
    </cfRule>
    <cfRule type="cellIs" dxfId="1645" priority="1517" operator="equal">
      <formula>4</formula>
    </cfRule>
    <cfRule type="cellIs" dxfId="1644" priority="1518" operator="equal">
      <formula>3.5</formula>
    </cfRule>
    <cfRule type="cellIs" dxfId="1643" priority="1519" operator="equal">
      <formula>3</formula>
    </cfRule>
    <cfRule type="cellIs" dxfId="1642" priority="1520" operator="equal">
      <formula>2.5</formula>
    </cfRule>
    <cfRule type="cellIs" dxfId="1641" priority="1521" operator="equal">
      <formula>2</formula>
    </cfRule>
    <cfRule type="cellIs" dxfId="1640" priority="1522" operator="equal">
      <formula>1.5</formula>
    </cfRule>
    <cfRule type="cellIs" dxfId="1639" priority="1523" operator="equal">
      <formula>1</formula>
    </cfRule>
  </conditionalFormatting>
  <conditionalFormatting sqref="FG38">
    <cfRule type="cellIs" dxfId="1638" priority="1510" operator="between">
      <formula>1</formula>
      <formula>999</formula>
    </cfRule>
  </conditionalFormatting>
  <conditionalFormatting sqref="FG38">
    <cfRule type="cellIs" dxfId="1637" priority="1497" operator="greaterThan">
      <formula>6.6</formula>
    </cfRule>
    <cfRule type="cellIs" dxfId="1636" priority="1498" operator="equal">
      <formula>6.5</formula>
    </cfRule>
    <cfRule type="cellIs" dxfId="1635" priority="1499" operator="equal">
      <formula>6</formula>
    </cfRule>
    <cfRule type="cellIs" dxfId="1634" priority="1500" operator="equal">
      <formula>5.5</formula>
    </cfRule>
    <cfRule type="cellIs" dxfId="1633" priority="1501" operator="equal">
      <formula>5</formula>
    </cfRule>
    <cfRule type="cellIs" dxfId="1632" priority="1502" operator="equal">
      <formula>4.5</formula>
    </cfRule>
    <cfRule type="cellIs" dxfId="1631" priority="1503" operator="equal">
      <formula>4</formula>
    </cfRule>
    <cfRule type="cellIs" dxfId="1630" priority="1504" operator="equal">
      <formula>3.5</formula>
    </cfRule>
    <cfRule type="cellIs" dxfId="1629" priority="1505" operator="equal">
      <formula>3</formula>
    </cfRule>
    <cfRule type="cellIs" dxfId="1628" priority="1506" operator="equal">
      <formula>2.5</formula>
    </cfRule>
    <cfRule type="cellIs" dxfId="1627" priority="1507" operator="equal">
      <formula>2</formula>
    </cfRule>
    <cfRule type="cellIs" dxfId="1626" priority="1508" operator="equal">
      <formula>1.5</formula>
    </cfRule>
    <cfRule type="cellIs" dxfId="1625" priority="1509" operator="equal">
      <formula>1</formula>
    </cfRule>
  </conditionalFormatting>
  <conditionalFormatting sqref="FJ38">
    <cfRule type="cellIs" dxfId="1624" priority="1496" operator="between">
      <formula>1</formula>
      <formula>999</formula>
    </cfRule>
  </conditionalFormatting>
  <conditionalFormatting sqref="FJ38">
    <cfRule type="cellIs" dxfId="1623" priority="1483" operator="greaterThan">
      <formula>6.6</formula>
    </cfRule>
    <cfRule type="cellIs" dxfId="1622" priority="1484" operator="equal">
      <formula>6.5</formula>
    </cfRule>
    <cfRule type="cellIs" dxfId="1621" priority="1485" operator="equal">
      <formula>6</formula>
    </cfRule>
    <cfRule type="cellIs" dxfId="1620" priority="1486" operator="equal">
      <formula>5.5</formula>
    </cfRule>
    <cfRule type="cellIs" dxfId="1619" priority="1487" operator="equal">
      <formula>5</formula>
    </cfRule>
    <cfRule type="cellIs" dxfId="1618" priority="1488" operator="equal">
      <formula>4.5</formula>
    </cfRule>
    <cfRule type="cellIs" dxfId="1617" priority="1489" operator="equal">
      <formula>4</formula>
    </cfRule>
    <cfRule type="cellIs" dxfId="1616" priority="1490" operator="equal">
      <formula>3.5</formula>
    </cfRule>
    <cfRule type="cellIs" dxfId="1615" priority="1491" operator="equal">
      <formula>3</formula>
    </cfRule>
    <cfRule type="cellIs" dxfId="1614" priority="1492" operator="equal">
      <formula>2.5</formula>
    </cfRule>
    <cfRule type="cellIs" dxfId="1613" priority="1493" operator="equal">
      <formula>2</formula>
    </cfRule>
    <cfRule type="cellIs" dxfId="1612" priority="1494" operator="equal">
      <formula>1.5</formula>
    </cfRule>
    <cfRule type="cellIs" dxfId="1611" priority="1495" operator="equal">
      <formula>1</formula>
    </cfRule>
  </conditionalFormatting>
  <conditionalFormatting sqref="FJ38">
    <cfRule type="cellIs" dxfId="1610" priority="1482" operator="between">
      <formula>1</formula>
      <formula>999</formula>
    </cfRule>
  </conditionalFormatting>
  <conditionalFormatting sqref="FJ38">
    <cfRule type="cellIs" dxfId="1609" priority="1469" operator="greaterThan">
      <formula>6.6</formula>
    </cfRule>
    <cfRule type="cellIs" dxfId="1608" priority="1470" operator="equal">
      <formula>6.5</formula>
    </cfRule>
    <cfRule type="cellIs" dxfId="1607" priority="1471" operator="equal">
      <formula>6</formula>
    </cfRule>
    <cfRule type="cellIs" dxfId="1606" priority="1472" operator="equal">
      <formula>5.5</formula>
    </cfRule>
    <cfRule type="cellIs" dxfId="1605" priority="1473" operator="equal">
      <formula>5</formula>
    </cfRule>
    <cfRule type="cellIs" dxfId="1604" priority="1474" operator="equal">
      <formula>4.5</formula>
    </cfRule>
    <cfRule type="cellIs" dxfId="1603" priority="1475" operator="equal">
      <formula>4</formula>
    </cfRule>
    <cfRule type="cellIs" dxfId="1602" priority="1476" operator="equal">
      <formula>3.5</formula>
    </cfRule>
    <cfRule type="cellIs" dxfId="1601" priority="1477" operator="equal">
      <formula>3</formula>
    </cfRule>
    <cfRule type="cellIs" dxfId="1600" priority="1478" operator="equal">
      <formula>2.5</formula>
    </cfRule>
    <cfRule type="cellIs" dxfId="1599" priority="1479" operator="equal">
      <formula>2</formula>
    </cfRule>
    <cfRule type="cellIs" dxfId="1598" priority="1480" operator="equal">
      <formula>1.5</formula>
    </cfRule>
    <cfRule type="cellIs" dxfId="1597" priority="1481" operator="equal">
      <formula>1</formula>
    </cfRule>
  </conditionalFormatting>
  <conditionalFormatting sqref="FM38">
    <cfRule type="cellIs" dxfId="1596" priority="1468" operator="between">
      <formula>1</formula>
      <formula>999</formula>
    </cfRule>
  </conditionalFormatting>
  <conditionalFormatting sqref="FM38">
    <cfRule type="cellIs" dxfId="1595" priority="1455" operator="greaterThan">
      <formula>6.6</formula>
    </cfRule>
    <cfRule type="cellIs" dxfId="1594" priority="1456" operator="equal">
      <formula>6.5</formula>
    </cfRule>
    <cfRule type="cellIs" dxfId="1593" priority="1457" operator="equal">
      <formula>6</formula>
    </cfRule>
    <cfRule type="cellIs" dxfId="1592" priority="1458" operator="equal">
      <formula>5.5</formula>
    </cfRule>
    <cfRule type="cellIs" dxfId="1591" priority="1459" operator="equal">
      <formula>5</formula>
    </cfRule>
    <cfRule type="cellIs" dxfId="1590" priority="1460" operator="equal">
      <formula>4.5</formula>
    </cfRule>
    <cfRule type="cellIs" dxfId="1589" priority="1461" operator="equal">
      <formula>4</formula>
    </cfRule>
    <cfRule type="cellIs" dxfId="1588" priority="1462" operator="equal">
      <formula>3.5</formula>
    </cfRule>
    <cfRule type="cellIs" dxfId="1587" priority="1463" operator="equal">
      <formula>3</formula>
    </cfRule>
    <cfRule type="cellIs" dxfId="1586" priority="1464" operator="equal">
      <formula>2.5</formula>
    </cfRule>
    <cfRule type="cellIs" dxfId="1585" priority="1465" operator="equal">
      <formula>2</formula>
    </cfRule>
    <cfRule type="cellIs" dxfId="1584" priority="1466" operator="equal">
      <formula>1.5</formula>
    </cfRule>
    <cfRule type="cellIs" dxfId="1583" priority="1467" operator="equal">
      <formula>1</formula>
    </cfRule>
  </conditionalFormatting>
  <conditionalFormatting sqref="FM38">
    <cfRule type="cellIs" dxfId="1582" priority="1454" operator="between">
      <formula>1</formula>
      <formula>999</formula>
    </cfRule>
  </conditionalFormatting>
  <conditionalFormatting sqref="FM38">
    <cfRule type="cellIs" dxfId="1581" priority="1441" operator="greaterThan">
      <formula>6.6</formula>
    </cfRule>
    <cfRule type="cellIs" dxfId="1580" priority="1442" operator="equal">
      <formula>6.5</formula>
    </cfRule>
    <cfRule type="cellIs" dxfId="1579" priority="1443" operator="equal">
      <formula>6</formula>
    </cfRule>
    <cfRule type="cellIs" dxfId="1578" priority="1444" operator="equal">
      <formula>5.5</formula>
    </cfRule>
    <cfRule type="cellIs" dxfId="1577" priority="1445" operator="equal">
      <formula>5</formula>
    </cfRule>
    <cfRule type="cellIs" dxfId="1576" priority="1446" operator="equal">
      <formula>4.5</formula>
    </cfRule>
    <cfRule type="cellIs" dxfId="1575" priority="1447" operator="equal">
      <formula>4</formula>
    </cfRule>
    <cfRule type="cellIs" dxfId="1574" priority="1448" operator="equal">
      <formula>3.5</formula>
    </cfRule>
    <cfRule type="cellIs" dxfId="1573" priority="1449" operator="equal">
      <formula>3</formula>
    </cfRule>
    <cfRule type="cellIs" dxfId="1572" priority="1450" operator="equal">
      <formula>2.5</formula>
    </cfRule>
    <cfRule type="cellIs" dxfId="1571" priority="1451" operator="equal">
      <formula>2</formula>
    </cfRule>
    <cfRule type="cellIs" dxfId="1570" priority="1452" operator="equal">
      <formula>1.5</formula>
    </cfRule>
    <cfRule type="cellIs" dxfId="1569" priority="1453" operator="equal">
      <formula>1</formula>
    </cfRule>
  </conditionalFormatting>
  <conditionalFormatting sqref="FM38">
    <cfRule type="cellIs" dxfId="1568" priority="1440" operator="between">
      <formula>1</formula>
      <formula>999</formula>
    </cfRule>
  </conditionalFormatting>
  <conditionalFormatting sqref="FM38">
    <cfRule type="cellIs" dxfId="1567" priority="1427" operator="greaterThan">
      <formula>6.6</formula>
    </cfRule>
    <cfRule type="cellIs" dxfId="1566" priority="1428" operator="equal">
      <formula>6.5</formula>
    </cfRule>
    <cfRule type="cellIs" dxfId="1565" priority="1429" operator="equal">
      <formula>6</formula>
    </cfRule>
    <cfRule type="cellIs" dxfId="1564" priority="1430" operator="equal">
      <formula>5.5</formula>
    </cfRule>
    <cfRule type="cellIs" dxfId="1563" priority="1431" operator="equal">
      <formula>5</formula>
    </cfRule>
    <cfRule type="cellIs" dxfId="1562" priority="1432" operator="equal">
      <formula>4.5</formula>
    </cfRule>
    <cfRule type="cellIs" dxfId="1561" priority="1433" operator="equal">
      <formula>4</formula>
    </cfRule>
    <cfRule type="cellIs" dxfId="1560" priority="1434" operator="equal">
      <formula>3.5</formula>
    </cfRule>
    <cfRule type="cellIs" dxfId="1559" priority="1435" operator="equal">
      <formula>3</formula>
    </cfRule>
    <cfRule type="cellIs" dxfId="1558" priority="1436" operator="equal">
      <formula>2.5</formula>
    </cfRule>
    <cfRule type="cellIs" dxfId="1557" priority="1437" operator="equal">
      <formula>2</formula>
    </cfRule>
    <cfRule type="cellIs" dxfId="1556" priority="1438" operator="equal">
      <formula>1.5</formula>
    </cfRule>
    <cfRule type="cellIs" dxfId="1555" priority="1439" operator="equal">
      <formula>1</formula>
    </cfRule>
  </conditionalFormatting>
  <conditionalFormatting sqref="FM38">
    <cfRule type="cellIs" dxfId="1554" priority="1426" operator="between">
      <formula>1</formula>
      <formula>999</formula>
    </cfRule>
  </conditionalFormatting>
  <conditionalFormatting sqref="FM38">
    <cfRule type="cellIs" dxfId="1553" priority="1413" operator="greaterThan">
      <formula>6.6</formula>
    </cfRule>
    <cfRule type="cellIs" dxfId="1552" priority="1414" operator="equal">
      <formula>6.5</formula>
    </cfRule>
    <cfRule type="cellIs" dxfId="1551" priority="1415" operator="equal">
      <formula>6</formula>
    </cfRule>
    <cfRule type="cellIs" dxfId="1550" priority="1416" operator="equal">
      <formula>5.5</formula>
    </cfRule>
    <cfRule type="cellIs" dxfId="1549" priority="1417" operator="equal">
      <formula>5</formula>
    </cfRule>
    <cfRule type="cellIs" dxfId="1548" priority="1418" operator="equal">
      <formula>4.5</formula>
    </cfRule>
    <cfRule type="cellIs" dxfId="1547" priority="1419" operator="equal">
      <formula>4</formula>
    </cfRule>
    <cfRule type="cellIs" dxfId="1546" priority="1420" operator="equal">
      <formula>3.5</formula>
    </cfRule>
    <cfRule type="cellIs" dxfId="1545" priority="1421" operator="equal">
      <formula>3</formula>
    </cfRule>
    <cfRule type="cellIs" dxfId="1544" priority="1422" operator="equal">
      <formula>2.5</formula>
    </cfRule>
    <cfRule type="cellIs" dxfId="1543" priority="1423" operator="equal">
      <formula>2</formula>
    </cfRule>
    <cfRule type="cellIs" dxfId="1542" priority="1424" operator="equal">
      <formula>1.5</formula>
    </cfRule>
    <cfRule type="cellIs" dxfId="1541" priority="1425" operator="equal">
      <formula>1</formula>
    </cfRule>
  </conditionalFormatting>
  <conditionalFormatting sqref="FP38">
    <cfRule type="cellIs" dxfId="1540" priority="1412" operator="between">
      <formula>1</formula>
      <formula>999</formula>
    </cfRule>
  </conditionalFormatting>
  <conditionalFormatting sqref="FP38">
    <cfRule type="cellIs" dxfId="1539" priority="1399" operator="greaterThan">
      <formula>6.6</formula>
    </cfRule>
    <cfRule type="cellIs" dxfId="1538" priority="1400" operator="equal">
      <formula>6.5</formula>
    </cfRule>
    <cfRule type="cellIs" dxfId="1537" priority="1401" operator="equal">
      <formula>6</formula>
    </cfRule>
    <cfRule type="cellIs" dxfId="1536" priority="1402" operator="equal">
      <formula>5.5</formula>
    </cfRule>
    <cfRule type="cellIs" dxfId="1535" priority="1403" operator="equal">
      <formula>5</formula>
    </cfRule>
    <cfRule type="cellIs" dxfId="1534" priority="1404" operator="equal">
      <formula>4.5</formula>
    </cfRule>
    <cfRule type="cellIs" dxfId="1533" priority="1405" operator="equal">
      <formula>4</formula>
    </cfRule>
    <cfRule type="cellIs" dxfId="1532" priority="1406" operator="equal">
      <formula>3.5</formula>
    </cfRule>
    <cfRule type="cellIs" dxfId="1531" priority="1407" operator="equal">
      <formula>3</formula>
    </cfRule>
    <cfRule type="cellIs" dxfId="1530" priority="1408" operator="equal">
      <formula>2.5</formula>
    </cfRule>
    <cfRule type="cellIs" dxfId="1529" priority="1409" operator="equal">
      <formula>2</formula>
    </cfRule>
    <cfRule type="cellIs" dxfId="1528" priority="1410" operator="equal">
      <formula>1.5</formula>
    </cfRule>
    <cfRule type="cellIs" dxfId="1527" priority="1411" operator="equal">
      <formula>1</formula>
    </cfRule>
  </conditionalFormatting>
  <conditionalFormatting sqref="FP38">
    <cfRule type="cellIs" dxfId="1526" priority="1398" operator="between">
      <formula>1</formula>
      <formula>999</formula>
    </cfRule>
  </conditionalFormatting>
  <conditionalFormatting sqref="FP38">
    <cfRule type="cellIs" dxfId="1525" priority="1385" operator="greaterThan">
      <formula>6.6</formula>
    </cfRule>
    <cfRule type="cellIs" dxfId="1524" priority="1386" operator="equal">
      <formula>6.5</formula>
    </cfRule>
    <cfRule type="cellIs" dxfId="1523" priority="1387" operator="equal">
      <formula>6</formula>
    </cfRule>
    <cfRule type="cellIs" dxfId="1522" priority="1388" operator="equal">
      <formula>5.5</formula>
    </cfRule>
    <cfRule type="cellIs" dxfId="1521" priority="1389" operator="equal">
      <formula>5</formula>
    </cfRule>
    <cfRule type="cellIs" dxfId="1520" priority="1390" operator="equal">
      <formula>4.5</formula>
    </cfRule>
    <cfRule type="cellIs" dxfId="1519" priority="1391" operator="equal">
      <formula>4</formula>
    </cfRule>
    <cfRule type="cellIs" dxfId="1518" priority="1392" operator="equal">
      <formula>3.5</formula>
    </cfRule>
    <cfRule type="cellIs" dxfId="1517" priority="1393" operator="equal">
      <formula>3</formula>
    </cfRule>
    <cfRule type="cellIs" dxfId="1516" priority="1394" operator="equal">
      <formula>2.5</formula>
    </cfRule>
    <cfRule type="cellIs" dxfId="1515" priority="1395" operator="equal">
      <formula>2</formula>
    </cfRule>
    <cfRule type="cellIs" dxfId="1514" priority="1396" operator="equal">
      <formula>1.5</formula>
    </cfRule>
    <cfRule type="cellIs" dxfId="1513" priority="1397" operator="equal">
      <formula>1</formula>
    </cfRule>
  </conditionalFormatting>
  <conditionalFormatting sqref="FP38">
    <cfRule type="cellIs" dxfId="1512" priority="1384" operator="between">
      <formula>1</formula>
      <formula>999</formula>
    </cfRule>
  </conditionalFormatting>
  <conditionalFormatting sqref="FP38">
    <cfRule type="cellIs" dxfId="1511" priority="1371" operator="greaterThan">
      <formula>6.6</formula>
    </cfRule>
    <cfRule type="cellIs" dxfId="1510" priority="1372" operator="equal">
      <formula>6.5</formula>
    </cfRule>
    <cfRule type="cellIs" dxfId="1509" priority="1373" operator="equal">
      <formula>6</formula>
    </cfRule>
    <cfRule type="cellIs" dxfId="1508" priority="1374" operator="equal">
      <formula>5.5</formula>
    </cfRule>
    <cfRule type="cellIs" dxfId="1507" priority="1375" operator="equal">
      <formula>5</formula>
    </cfRule>
    <cfRule type="cellIs" dxfId="1506" priority="1376" operator="equal">
      <formula>4.5</formula>
    </cfRule>
    <cfRule type="cellIs" dxfId="1505" priority="1377" operator="equal">
      <formula>4</formula>
    </cfRule>
    <cfRule type="cellIs" dxfId="1504" priority="1378" operator="equal">
      <formula>3.5</formula>
    </cfRule>
    <cfRule type="cellIs" dxfId="1503" priority="1379" operator="equal">
      <formula>3</formula>
    </cfRule>
    <cfRule type="cellIs" dxfId="1502" priority="1380" operator="equal">
      <formula>2.5</formula>
    </cfRule>
    <cfRule type="cellIs" dxfId="1501" priority="1381" operator="equal">
      <formula>2</formula>
    </cfRule>
    <cfRule type="cellIs" dxfId="1500" priority="1382" operator="equal">
      <formula>1.5</formula>
    </cfRule>
    <cfRule type="cellIs" dxfId="1499" priority="1383" operator="equal">
      <formula>1</formula>
    </cfRule>
  </conditionalFormatting>
  <conditionalFormatting sqref="FP38">
    <cfRule type="cellIs" dxfId="1498" priority="1370" operator="between">
      <formula>1</formula>
      <formula>999</formula>
    </cfRule>
  </conditionalFormatting>
  <conditionalFormatting sqref="FP38">
    <cfRule type="cellIs" dxfId="1497" priority="1357" operator="greaterThan">
      <formula>6.6</formula>
    </cfRule>
    <cfRule type="cellIs" dxfId="1496" priority="1358" operator="equal">
      <formula>6.5</formula>
    </cfRule>
    <cfRule type="cellIs" dxfId="1495" priority="1359" operator="equal">
      <formula>6</formula>
    </cfRule>
    <cfRule type="cellIs" dxfId="1494" priority="1360" operator="equal">
      <formula>5.5</formula>
    </cfRule>
    <cfRule type="cellIs" dxfId="1493" priority="1361" operator="equal">
      <formula>5</formula>
    </cfRule>
    <cfRule type="cellIs" dxfId="1492" priority="1362" operator="equal">
      <formula>4.5</formula>
    </cfRule>
    <cfRule type="cellIs" dxfId="1491" priority="1363" operator="equal">
      <formula>4</formula>
    </cfRule>
    <cfRule type="cellIs" dxfId="1490" priority="1364" operator="equal">
      <formula>3.5</formula>
    </cfRule>
    <cfRule type="cellIs" dxfId="1489" priority="1365" operator="equal">
      <formula>3</formula>
    </cfRule>
    <cfRule type="cellIs" dxfId="1488" priority="1366" operator="equal">
      <formula>2.5</formula>
    </cfRule>
    <cfRule type="cellIs" dxfId="1487" priority="1367" operator="equal">
      <formula>2</formula>
    </cfRule>
    <cfRule type="cellIs" dxfId="1486" priority="1368" operator="equal">
      <formula>1.5</formula>
    </cfRule>
    <cfRule type="cellIs" dxfId="1485" priority="1369" operator="equal">
      <formula>1</formula>
    </cfRule>
  </conditionalFormatting>
  <conditionalFormatting sqref="FP38">
    <cfRule type="cellIs" dxfId="1484" priority="1356" operator="between">
      <formula>1</formula>
      <formula>999</formula>
    </cfRule>
  </conditionalFormatting>
  <conditionalFormatting sqref="FP38">
    <cfRule type="cellIs" dxfId="1483" priority="1343" operator="greaterThan">
      <formula>6.6</formula>
    </cfRule>
    <cfRule type="cellIs" dxfId="1482" priority="1344" operator="equal">
      <formula>6.5</formula>
    </cfRule>
    <cfRule type="cellIs" dxfId="1481" priority="1345" operator="equal">
      <formula>6</formula>
    </cfRule>
    <cfRule type="cellIs" dxfId="1480" priority="1346" operator="equal">
      <formula>5.5</formula>
    </cfRule>
    <cfRule type="cellIs" dxfId="1479" priority="1347" operator="equal">
      <formula>5</formula>
    </cfRule>
    <cfRule type="cellIs" dxfId="1478" priority="1348" operator="equal">
      <formula>4.5</formula>
    </cfRule>
    <cfRule type="cellIs" dxfId="1477" priority="1349" operator="equal">
      <formula>4</formula>
    </cfRule>
    <cfRule type="cellIs" dxfId="1476" priority="1350" operator="equal">
      <formula>3.5</formula>
    </cfRule>
    <cfRule type="cellIs" dxfId="1475" priority="1351" operator="equal">
      <formula>3</formula>
    </cfRule>
    <cfRule type="cellIs" dxfId="1474" priority="1352" operator="equal">
      <formula>2.5</formula>
    </cfRule>
    <cfRule type="cellIs" dxfId="1473" priority="1353" operator="equal">
      <formula>2</formula>
    </cfRule>
    <cfRule type="cellIs" dxfId="1472" priority="1354" operator="equal">
      <formula>1.5</formula>
    </cfRule>
    <cfRule type="cellIs" dxfId="1471" priority="1355" operator="equal">
      <formula>1</formula>
    </cfRule>
  </conditionalFormatting>
  <conditionalFormatting sqref="FC41 FF41 FI41 FL41 FO41 FR41">
    <cfRule type="cellIs" dxfId="1470" priority="1330" operator="equal">
      <formula>6.5</formula>
    </cfRule>
    <cfRule type="cellIs" dxfId="1469" priority="1341" operator="equal">
      <formula>1</formula>
    </cfRule>
  </conditionalFormatting>
  <conditionalFormatting sqref="FC41:FR41">
    <cfRule type="cellIs" dxfId="1468" priority="1328" operator="equal">
      <formula>0</formula>
    </cfRule>
    <cfRule type="cellIs" dxfId="1467" priority="1329" operator="greaterThan">
      <formula>6.6</formula>
    </cfRule>
    <cfRule type="cellIs" dxfId="1466" priority="1331" operator="equal">
      <formula>6</formula>
    </cfRule>
    <cfRule type="cellIs" dxfId="1465" priority="1332" operator="equal">
      <formula>5.5</formula>
    </cfRule>
    <cfRule type="cellIs" dxfId="1464" priority="1333" operator="equal">
      <formula>5</formula>
    </cfRule>
    <cfRule type="cellIs" dxfId="1463" priority="1334" operator="equal">
      <formula>4.5</formula>
    </cfRule>
    <cfRule type="cellIs" dxfId="1462" priority="1335" operator="equal">
      <formula>4</formula>
    </cfRule>
    <cfRule type="cellIs" dxfId="1461" priority="1336" operator="equal">
      <formula>3.5</formula>
    </cfRule>
    <cfRule type="cellIs" dxfId="1460" priority="1337" operator="equal">
      <formula>3</formula>
    </cfRule>
    <cfRule type="cellIs" dxfId="1459" priority="1338" operator="equal">
      <formula>2.5</formula>
    </cfRule>
    <cfRule type="cellIs" dxfId="1458" priority="1339" operator="equal">
      <formula>2</formula>
    </cfRule>
    <cfRule type="cellIs" dxfId="1457" priority="1340" operator="equal">
      <formula>1.5</formula>
    </cfRule>
  </conditionalFormatting>
  <conditionalFormatting sqref="FD41">
    <cfRule type="cellIs" dxfId="1456" priority="1327" operator="between">
      <formula>1</formula>
      <formula>999</formula>
    </cfRule>
  </conditionalFormatting>
  <conditionalFormatting sqref="FD41">
    <cfRule type="cellIs" dxfId="1455" priority="1314" operator="greaterThan">
      <formula>6.6</formula>
    </cfRule>
    <cfRule type="cellIs" dxfId="1454" priority="1315" operator="equal">
      <formula>6.5</formula>
    </cfRule>
    <cfRule type="cellIs" dxfId="1453" priority="1316" operator="equal">
      <formula>6</formula>
    </cfRule>
    <cfRule type="cellIs" dxfId="1452" priority="1317" operator="equal">
      <formula>5.5</formula>
    </cfRule>
    <cfRule type="cellIs" dxfId="1451" priority="1318" operator="equal">
      <formula>5</formula>
    </cfRule>
    <cfRule type="cellIs" dxfId="1450" priority="1319" operator="equal">
      <formula>4.5</formula>
    </cfRule>
    <cfRule type="cellIs" dxfId="1449" priority="1320" operator="equal">
      <formula>4</formula>
    </cfRule>
    <cfRule type="cellIs" dxfId="1448" priority="1321" operator="equal">
      <formula>3.5</formula>
    </cfRule>
    <cfRule type="cellIs" dxfId="1447" priority="1322" operator="equal">
      <formula>3</formula>
    </cfRule>
    <cfRule type="cellIs" dxfId="1446" priority="1323" operator="equal">
      <formula>2.5</formula>
    </cfRule>
    <cfRule type="cellIs" dxfId="1445" priority="1324" operator="equal">
      <formula>2</formula>
    </cfRule>
    <cfRule type="cellIs" dxfId="1444" priority="1325" operator="equal">
      <formula>1.5</formula>
    </cfRule>
    <cfRule type="cellIs" dxfId="1443" priority="1326" operator="equal">
      <formula>1</formula>
    </cfRule>
  </conditionalFormatting>
  <conditionalFormatting sqref="FG41">
    <cfRule type="cellIs" dxfId="1442" priority="1313" operator="between">
      <formula>1</formula>
      <formula>999</formula>
    </cfRule>
  </conditionalFormatting>
  <conditionalFormatting sqref="FG41">
    <cfRule type="cellIs" dxfId="1441" priority="1300" operator="greaterThan">
      <formula>6.6</formula>
    </cfRule>
    <cfRule type="cellIs" dxfId="1440" priority="1301" operator="equal">
      <formula>6.5</formula>
    </cfRule>
    <cfRule type="cellIs" dxfId="1439" priority="1302" operator="equal">
      <formula>6</formula>
    </cfRule>
    <cfRule type="cellIs" dxfId="1438" priority="1303" operator="equal">
      <formula>5.5</formula>
    </cfRule>
    <cfRule type="cellIs" dxfId="1437" priority="1304" operator="equal">
      <formula>5</formula>
    </cfRule>
    <cfRule type="cellIs" dxfId="1436" priority="1305" operator="equal">
      <formula>4.5</formula>
    </cfRule>
    <cfRule type="cellIs" dxfId="1435" priority="1306" operator="equal">
      <formula>4</formula>
    </cfRule>
    <cfRule type="cellIs" dxfId="1434" priority="1307" operator="equal">
      <formula>3.5</formula>
    </cfRule>
    <cfRule type="cellIs" dxfId="1433" priority="1308" operator="equal">
      <formula>3</formula>
    </cfRule>
    <cfRule type="cellIs" dxfId="1432" priority="1309" operator="equal">
      <formula>2.5</formula>
    </cfRule>
    <cfRule type="cellIs" dxfId="1431" priority="1310" operator="equal">
      <formula>2</formula>
    </cfRule>
    <cfRule type="cellIs" dxfId="1430" priority="1311" operator="equal">
      <formula>1.5</formula>
    </cfRule>
    <cfRule type="cellIs" dxfId="1429" priority="1312" operator="equal">
      <formula>1</formula>
    </cfRule>
  </conditionalFormatting>
  <conditionalFormatting sqref="FJ41">
    <cfRule type="cellIs" dxfId="1428" priority="1299" operator="between">
      <formula>1</formula>
      <formula>999</formula>
    </cfRule>
  </conditionalFormatting>
  <conditionalFormatting sqref="FJ41">
    <cfRule type="cellIs" dxfId="1427" priority="1286" operator="greaterThan">
      <formula>6.6</formula>
    </cfRule>
    <cfRule type="cellIs" dxfId="1426" priority="1287" operator="equal">
      <formula>6.5</formula>
    </cfRule>
    <cfRule type="cellIs" dxfId="1425" priority="1288" operator="equal">
      <formula>6</formula>
    </cfRule>
    <cfRule type="cellIs" dxfId="1424" priority="1289" operator="equal">
      <formula>5.5</formula>
    </cfRule>
    <cfRule type="cellIs" dxfId="1423" priority="1290" operator="equal">
      <formula>5</formula>
    </cfRule>
    <cfRule type="cellIs" dxfId="1422" priority="1291" operator="equal">
      <formula>4.5</formula>
    </cfRule>
    <cfRule type="cellIs" dxfId="1421" priority="1292" operator="equal">
      <formula>4</formula>
    </cfRule>
    <cfRule type="cellIs" dxfId="1420" priority="1293" operator="equal">
      <formula>3.5</formula>
    </cfRule>
    <cfRule type="cellIs" dxfId="1419" priority="1294" operator="equal">
      <formula>3</formula>
    </cfRule>
    <cfRule type="cellIs" dxfId="1418" priority="1295" operator="equal">
      <formula>2.5</formula>
    </cfRule>
    <cfRule type="cellIs" dxfId="1417" priority="1296" operator="equal">
      <formula>2</formula>
    </cfRule>
    <cfRule type="cellIs" dxfId="1416" priority="1297" operator="equal">
      <formula>1.5</formula>
    </cfRule>
    <cfRule type="cellIs" dxfId="1415" priority="1298" operator="equal">
      <formula>1</formula>
    </cfRule>
  </conditionalFormatting>
  <conditionalFormatting sqref="FM41">
    <cfRule type="cellIs" dxfId="1414" priority="1285" operator="between">
      <formula>1</formula>
      <formula>999</formula>
    </cfRule>
  </conditionalFormatting>
  <conditionalFormatting sqref="FM41">
    <cfRule type="cellIs" dxfId="1413" priority="1272" operator="greaterThan">
      <formula>6.6</formula>
    </cfRule>
    <cfRule type="cellIs" dxfId="1412" priority="1273" operator="equal">
      <formula>6.5</formula>
    </cfRule>
    <cfRule type="cellIs" dxfId="1411" priority="1274" operator="equal">
      <formula>6</formula>
    </cfRule>
    <cfRule type="cellIs" dxfId="1410" priority="1275" operator="equal">
      <formula>5.5</formula>
    </cfRule>
    <cfRule type="cellIs" dxfId="1409" priority="1276" operator="equal">
      <formula>5</formula>
    </cfRule>
    <cfRule type="cellIs" dxfId="1408" priority="1277" operator="equal">
      <formula>4.5</formula>
    </cfRule>
    <cfRule type="cellIs" dxfId="1407" priority="1278" operator="equal">
      <formula>4</formula>
    </cfRule>
    <cfRule type="cellIs" dxfId="1406" priority="1279" operator="equal">
      <formula>3.5</formula>
    </cfRule>
    <cfRule type="cellIs" dxfId="1405" priority="1280" operator="equal">
      <formula>3</formula>
    </cfRule>
    <cfRule type="cellIs" dxfId="1404" priority="1281" operator="equal">
      <formula>2.5</formula>
    </cfRule>
    <cfRule type="cellIs" dxfId="1403" priority="1282" operator="equal">
      <formula>2</formula>
    </cfRule>
    <cfRule type="cellIs" dxfId="1402" priority="1283" operator="equal">
      <formula>1.5</formula>
    </cfRule>
    <cfRule type="cellIs" dxfId="1401" priority="1284" operator="equal">
      <formula>1</formula>
    </cfRule>
  </conditionalFormatting>
  <conditionalFormatting sqref="FP41">
    <cfRule type="cellIs" dxfId="1400" priority="1271" operator="between">
      <formula>1</formula>
      <formula>999</formula>
    </cfRule>
  </conditionalFormatting>
  <conditionalFormatting sqref="FP41">
    <cfRule type="cellIs" dxfId="1399" priority="1258" operator="greaterThan">
      <formula>6.6</formula>
    </cfRule>
    <cfRule type="cellIs" dxfId="1398" priority="1259" operator="equal">
      <formula>6.5</formula>
    </cfRule>
    <cfRule type="cellIs" dxfId="1397" priority="1260" operator="equal">
      <formula>6</formula>
    </cfRule>
    <cfRule type="cellIs" dxfId="1396" priority="1261" operator="equal">
      <formula>5.5</formula>
    </cfRule>
    <cfRule type="cellIs" dxfId="1395" priority="1262" operator="equal">
      <formula>5</formula>
    </cfRule>
    <cfRule type="cellIs" dxfId="1394" priority="1263" operator="equal">
      <formula>4.5</formula>
    </cfRule>
    <cfRule type="cellIs" dxfId="1393" priority="1264" operator="equal">
      <formula>4</formula>
    </cfRule>
    <cfRule type="cellIs" dxfId="1392" priority="1265" operator="equal">
      <formula>3.5</formula>
    </cfRule>
    <cfRule type="cellIs" dxfId="1391" priority="1266" operator="equal">
      <formula>3</formula>
    </cfRule>
    <cfRule type="cellIs" dxfId="1390" priority="1267" operator="equal">
      <formula>2.5</formula>
    </cfRule>
    <cfRule type="cellIs" dxfId="1389" priority="1268" operator="equal">
      <formula>2</formula>
    </cfRule>
    <cfRule type="cellIs" dxfId="1388" priority="1269" operator="equal">
      <formula>1.5</formula>
    </cfRule>
    <cfRule type="cellIs" dxfId="1387" priority="1270" operator="equal">
      <formula>1</formula>
    </cfRule>
  </conditionalFormatting>
  <conditionalFormatting sqref="FC41:FR41">
    <cfRule type="cellIs" dxfId="1386" priority="1342" operator="between">
      <formula>1</formula>
      <formula>999</formula>
    </cfRule>
  </conditionalFormatting>
  <conditionalFormatting sqref="FJ41">
    <cfRule type="cellIs" dxfId="1385" priority="1257" operator="between">
      <formula>1</formula>
      <formula>999</formula>
    </cfRule>
  </conditionalFormatting>
  <conditionalFormatting sqref="FJ41">
    <cfRule type="cellIs" dxfId="1384" priority="1244" operator="greaterThan">
      <formula>6.6</formula>
    </cfRule>
    <cfRule type="cellIs" dxfId="1383" priority="1245" operator="equal">
      <formula>6.5</formula>
    </cfRule>
    <cfRule type="cellIs" dxfId="1382" priority="1246" operator="equal">
      <formula>6</formula>
    </cfRule>
    <cfRule type="cellIs" dxfId="1381" priority="1247" operator="equal">
      <formula>5.5</formula>
    </cfRule>
    <cfRule type="cellIs" dxfId="1380" priority="1248" operator="equal">
      <formula>5</formula>
    </cfRule>
    <cfRule type="cellIs" dxfId="1379" priority="1249" operator="equal">
      <formula>4.5</formula>
    </cfRule>
    <cfRule type="cellIs" dxfId="1378" priority="1250" operator="equal">
      <formula>4</formula>
    </cfRule>
    <cfRule type="cellIs" dxfId="1377" priority="1251" operator="equal">
      <formula>3.5</formula>
    </cfRule>
    <cfRule type="cellIs" dxfId="1376" priority="1252" operator="equal">
      <formula>3</formula>
    </cfRule>
    <cfRule type="cellIs" dxfId="1375" priority="1253" operator="equal">
      <formula>2.5</formula>
    </cfRule>
    <cfRule type="cellIs" dxfId="1374" priority="1254" operator="equal">
      <formula>2</formula>
    </cfRule>
    <cfRule type="cellIs" dxfId="1373" priority="1255" operator="equal">
      <formula>1.5</formula>
    </cfRule>
    <cfRule type="cellIs" dxfId="1372" priority="1256" operator="equal">
      <formula>1</formula>
    </cfRule>
  </conditionalFormatting>
  <conditionalFormatting sqref="FG41">
    <cfRule type="cellIs" dxfId="1371" priority="1243" operator="between">
      <formula>1</formula>
      <formula>999</formula>
    </cfRule>
  </conditionalFormatting>
  <conditionalFormatting sqref="FG41">
    <cfRule type="cellIs" dxfId="1370" priority="1230" operator="greaterThan">
      <formula>6.6</formula>
    </cfRule>
    <cfRule type="cellIs" dxfId="1369" priority="1231" operator="equal">
      <formula>6.5</formula>
    </cfRule>
    <cfRule type="cellIs" dxfId="1368" priority="1232" operator="equal">
      <formula>6</formula>
    </cfRule>
    <cfRule type="cellIs" dxfId="1367" priority="1233" operator="equal">
      <formula>5.5</formula>
    </cfRule>
    <cfRule type="cellIs" dxfId="1366" priority="1234" operator="equal">
      <formula>5</formula>
    </cfRule>
    <cfRule type="cellIs" dxfId="1365" priority="1235" operator="equal">
      <formula>4.5</formula>
    </cfRule>
    <cfRule type="cellIs" dxfId="1364" priority="1236" operator="equal">
      <formula>4</formula>
    </cfRule>
    <cfRule type="cellIs" dxfId="1363" priority="1237" operator="equal">
      <formula>3.5</formula>
    </cfRule>
    <cfRule type="cellIs" dxfId="1362" priority="1238" operator="equal">
      <formula>3</formula>
    </cfRule>
    <cfRule type="cellIs" dxfId="1361" priority="1239" operator="equal">
      <formula>2.5</formula>
    </cfRule>
    <cfRule type="cellIs" dxfId="1360" priority="1240" operator="equal">
      <formula>2</formula>
    </cfRule>
    <cfRule type="cellIs" dxfId="1359" priority="1241" operator="equal">
      <formula>1.5</formula>
    </cfRule>
    <cfRule type="cellIs" dxfId="1358" priority="1242" operator="equal">
      <formula>1</formula>
    </cfRule>
  </conditionalFormatting>
  <conditionalFormatting sqref="FJ41">
    <cfRule type="cellIs" dxfId="1357" priority="1229" operator="between">
      <formula>1</formula>
      <formula>999</formula>
    </cfRule>
  </conditionalFormatting>
  <conditionalFormatting sqref="FJ41">
    <cfRule type="cellIs" dxfId="1356" priority="1216" operator="greaterThan">
      <formula>6.6</formula>
    </cfRule>
    <cfRule type="cellIs" dxfId="1355" priority="1217" operator="equal">
      <formula>6.5</formula>
    </cfRule>
    <cfRule type="cellIs" dxfId="1354" priority="1218" operator="equal">
      <formula>6</formula>
    </cfRule>
    <cfRule type="cellIs" dxfId="1353" priority="1219" operator="equal">
      <formula>5.5</formula>
    </cfRule>
    <cfRule type="cellIs" dxfId="1352" priority="1220" operator="equal">
      <formula>5</formula>
    </cfRule>
    <cfRule type="cellIs" dxfId="1351" priority="1221" operator="equal">
      <formula>4.5</formula>
    </cfRule>
    <cfRule type="cellIs" dxfId="1350" priority="1222" operator="equal">
      <formula>4</formula>
    </cfRule>
    <cfRule type="cellIs" dxfId="1349" priority="1223" operator="equal">
      <formula>3.5</formula>
    </cfRule>
    <cfRule type="cellIs" dxfId="1348" priority="1224" operator="equal">
      <formula>3</formula>
    </cfRule>
    <cfRule type="cellIs" dxfId="1347" priority="1225" operator="equal">
      <formula>2.5</formula>
    </cfRule>
    <cfRule type="cellIs" dxfId="1346" priority="1226" operator="equal">
      <formula>2</formula>
    </cfRule>
    <cfRule type="cellIs" dxfId="1345" priority="1227" operator="equal">
      <formula>1.5</formula>
    </cfRule>
    <cfRule type="cellIs" dxfId="1344" priority="1228" operator="equal">
      <formula>1</formula>
    </cfRule>
  </conditionalFormatting>
  <conditionalFormatting sqref="FJ41">
    <cfRule type="cellIs" dxfId="1343" priority="1215" operator="between">
      <formula>1</formula>
      <formula>999</formula>
    </cfRule>
  </conditionalFormatting>
  <conditionalFormatting sqref="FJ41">
    <cfRule type="cellIs" dxfId="1342" priority="1202" operator="greaterThan">
      <formula>6.6</formula>
    </cfRule>
    <cfRule type="cellIs" dxfId="1341" priority="1203" operator="equal">
      <formula>6.5</formula>
    </cfRule>
    <cfRule type="cellIs" dxfId="1340" priority="1204" operator="equal">
      <formula>6</formula>
    </cfRule>
    <cfRule type="cellIs" dxfId="1339" priority="1205" operator="equal">
      <formula>5.5</formula>
    </cfRule>
    <cfRule type="cellIs" dxfId="1338" priority="1206" operator="equal">
      <formula>5</formula>
    </cfRule>
    <cfRule type="cellIs" dxfId="1337" priority="1207" operator="equal">
      <formula>4.5</formula>
    </cfRule>
    <cfRule type="cellIs" dxfId="1336" priority="1208" operator="equal">
      <formula>4</formula>
    </cfRule>
    <cfRule type="cellIs" dxfId="1335" priority="1209" operator="equal">
      <formula>3.5</formula>
    </cfRule>
    <cfRule type="cellIs" dxfId="1334" priority="1210" operator="equal">
      <formula>3</formula>
    </cfRule>
    <cfRule type="cellIs" dxfId="1333" priority="1211" operator="equal">
      <formula>2.5</formula>
    </cfRule>
    <cfRule type="cellIs" dxfId="1332" priority="1212" operator="equal">
      <formula>2</formula>
    </cfRule>
    <cfRule type="cellIs" dxfId="1331" priority="1213" operator="equal">
      <formula>1.5</formula>
    </cfRule>
    <cfRule type="cellIs" dxfId="1330" priority="1214" operator="equal">
      <formula>1</formula>
    </cfRule>
  </conditionalFormatting>
  <conditionalFormatting sqref="FM41">
    <cfRule type="cellIs" dxfId="1329" priority="1201" operator="between">
      <formula>1</formula>
      <formula>999</formula>
    </cfRule>
  </conditionalFormatting>
  <conditionalFormatting sqref="FM41">
    <cfRule type="cellIs" dxfId="1328" priority="1188" operator="greaterThan">
      <formula>6.6</formula>
    </cfRule>
    <cfRule type="cellIs" dxfId="1327" priority="1189" operator="equal">
      <formula>6.5</formula>
    </cfRule>
    <cfRule type="cellIs" dxfId="1326" priority="1190" operator="equal">
      <formula>6</formula>
    </cfRule>
    <cfRule type="cellIs" dxfId="1325" priority="1191" operator="equal">
      <formula>5.5</formula>
    </cfRule>
    <cfRule type="cellIs" dxfId="1324" priority="1192" operator="equal">
      <formula>5</formula>
    </cfRule>
    <cfRule type="cellIs" dxfId="1323" priority="1193" operator="equal">
      <formula>4.5</formula>
    </cfRule>
    <cfRule type="cellIs" dxfId="1322" priority="1194" operator="equal">
      <formula>4</formula>
    </cfRule>
    <cfRule type="cellIs" dxfId="1321" priority="1195" operator="equal">
      <formula>3.5</formula>
    </cfRule>
    <cfRule type="cellIs" dxfId="1320" priority="1196" operator="equal">
      <formula>3</formula>
    </cfRule>
    <cfRule type="cellIs" dxfId="1319" priority="1197" operator="equal">
      <formula>2.5</formula>
    </cfRule>
    <cfRule type="cellIs" dxfId="1318" priority="1198" operator="equal">
      <formula>2</formula>
    </cfRule>
    <cfRule type="cellIs" dxfId="1317" priority="1199" operator="equal">
      <formula>1.5</formula>
    </cfRule>
    <cfRule type="cellIs" dxfId="1316" priority="1200" operator="equal">
      <formula>1</formula>
    </cfRule>
  </conditionalFormatting>
  <conditionalFormatting sqref="FM41">
    <cfRule type="cellIs" dxfId="1315" priority="1187" operator="between">
      <formula>1</formula>
      <formula>999</formula>
    </cfRule>
  </conditionalFormatting>
  <conditionalFormatting sqref="FM41">
    <cfRule type="cellIs" dxfId="1314" priority="1174" operator="greaterThan">
      <formula>6.6</formula>
    </cfRule>
    <cfRule type="cellIs" dxfId="1313" priority="1175" operator="equal">
      <formula>6.5</formula>
    </cfRule>
    <cfRule type="cellIs" dxfId="1312" priority="1176" operator="equal">
      <formula>6</formula>
    </cfRule>
    <cfRule type="cellIs" dxfId="1311" priority="1177" operator="equal">
      <formula>5.5</formula>
    </cfRule>
    <cfRule type="cellIs" dxfId="1310" priority="1178" operator="equal">
      <formula>5</formula>
    </cfRule>
    <cfRule type="cellIs" dxfId="1309" priority="1179" operator="equal">
      <formula>4.5</formula>
    </cfRule>
    <cfRule type="cellIs" dxfId="1308" priority="1180" operator="equal">
      <formula>4</formula>
    </cfRule>
    <cfRule type="cellIs" dxfId="1307" priority="1181" operator="equal">
      <formula>3.5</formula>
    </cfRule>
    <cfRule type="cellIs" dxfId="1306" priority="1182" operator="equal">
      <formula>3</formula>
    </cfRule>
    <cfRule type="cellIs" dxfId="1305" priority="1183" operator="equal">
      <formula>2.5</formula>
    </cfRule>
    <cfRule type="cellIs" dxfId="1304" priority="1184" operator="equal">
      <formula>2</formula>
    </cfRule>
    <cfRule type="cellIs" dxfId="1303" priority="1185" operator="equal">
      <formula>1.5</formula>
    </cfRule>
    <cfRule type="cellIs" dxfId="1302" priority="1186" operator="equal">
      <formula>1</formula>
    </cfRule>
  </conditionalFormatting>
  <conditionalFormatting sqref="FM41">
    <cfRule type="cellIs" dxfId="1301" priority="1173" operator="between">
      <formula>1</formula>
      <formula>999</formula>
    </cfRule>
  </conditionalFormatting>
  <conditionalFormatting sqref="FM41">
    <cfRule type="cellIs" dxfId="1300" priority="1160" operator="greaterThan">
      <formula>6.6</formula>
    </cfRule>
    <cfRule type="cellIs" dxfId="1299" priority="1161" operator="equal">
      <formula>6.5</formula>
    </cfRule>
    <cfRule type="cellIs" dxfId="1298" priority="1162" operator="equal">
      <formula>6</formula>
    </cfRule>
    <cfRule type="cellIs" dxfId="1297" priority="1163" operator="equal">
      <formula>5.5</formula>
    </cfRule>
    <cfRule type="cellIs" dxfId="1296" priority="1164" operator="equal">
      <formula>5</formula>
    </cfRule>
    <cfRule type="cellIs" dxfId="1295" priority="1165" operator="equal">
      <formula>4.5</formula>
    </cfRule>
    <cfRule type="cellIs" dxfId="1294" priority="1166" operator="equal">
      <formula>4</formula>
    </cfRule>
    <cfRule type="cellIs" dxfId="1293" priority="1167" operator="equal">
      <formula>3.5</formula>
    </cfRule>
    <cfRule type="cellIs" dxfId="1292" priority="1168" operator="equal">
      <formula>3</formula>
    </cfRule>
    <cfRule type="cellIs" dxfId="1291" priority="1169" operator="equal">
      <formula>2.5</formula>
    </cfRule>
    <cfRule type="cellIs" dxfId="1290" priority="1170" operator="equal">
      <formula>2</formula>
    </cfRule>
    <cfRule type="cellIs" dxfId="1289" priority="1171" operator="equal">
      <formula>1.5</formula>
    </cfRule>
    <cfRule type="cellIs" dxfId="1288" priority="1172" operator="equal">
      <formula>1</formula>
    </cfRule>
  </conditionalFormatting>
  <conditionalFormatting sqref="FM41">
    <cfRule type="cellIs" dxfId="1287" priority="1159" operator="between">
      <formula>1</formula>
      <formula>999</formula>
    </cfRule>
  </conditionalFormatting>
  <conditionalFormatting sqref="FM41">
    <cfRule type="cellIs" dxfId="1286" priority="1146" operator="greaterThan">
      <formula>6.6</formula>
    </cfRule>
    <cfRule type="cellIs" dxfId="1285" priority="1147" operator="equal">
      <formula>6.5</formula>
    </cfRule>
    <cfRule type="cellIs" dxfId="1284" priority="1148" operator="equal">
      <formula>6</formula>
    </cfRule>
    <cfRule type="cellIs" dxfId="1283" priority="1149" operator="equal">
      <formula>5.5</formula>
    </cfRule>
    <cfRule type="cellIs" dxfId="1282" priority="1150" operator="equal">
      <formula>5</formula>
    </cfRule>
    <cfRule type="cellIs" dxfId="1281" priority="1151" operator="equal">
      <formula>4.5</formula>
    </cfRule>
    <cfRule type="cellIs" dxfId="1280" priority="1152" operator="equal">
      <formula>4</formula>
    </cfRule>
    <cfRule type="cellIs" dxfId="1279" priority="1153" operator="equal">
      <formula>3.5</formula>
    </cfRule>
    <cfRule type="cellIs" dxfId="1278" priority="1154" operator="equal">
      <formula>3</formula>
    </cfRule>
    <cfRule type="cellIs" dxfId="1277" priority="1155" operator="equal">
      <formula>2.5</formula>
    </cfRule>
    <cfRule type="cellIs" dxfId="1276" priority="1156" operator="equal">
      <formula>2</formula>
    </cfRule>
    <cfRule type="cellIs" dxfId="1275" priority="1157" operator="equal">
      <formula>1.5</formula>
    </cfRule>
    <cfRule type="cellIs" dxfId="1274" priority="1158" operator="equal">
      <formula>1</formula>
    </cfRule>
  </conditionalFormatting>
  <conditionalFormatting sqref="FP41">
    <cfRule type="cellIs" dxfId="1273" priority="1145" operator="between">
      <formula>1</formula>
      <formula>999</formula>
    </cfRule>
  </conditionalFormatting>
  <conditionalFormatting sqref="FP41">
    <cfRule type="cellIs" dxfId="1272" priority="1132" operator="greaterThan">
      <formula>6.6</formula>
    </cfRule>
    <cfRule type="cellIs" dxfId="1271" priority="1133" operator="equal">
      <formula>6.5</formula>
    </cfRule>
    <cfRule type="cellIs" dxfId="1270" priority="1134" operator="equal">
      <formula>6</formula>
    </cfRule>
    <cfRule type="cellIs" dxfId="1269" priority="1135" operator="equal">
      <formula>5.5</formula>
    </cfRule>
    <cfRule type="cellIs" dxfId="1268" priority="1136" operator="equal">
      <formula>5</formula>
    </cfRule>
    <cfRule type="cellIs" dxfId="1267" priority="1137" operator="equal">
      <formula>4.5</formula>
    </cfRule>
    <cfRule type="cellIs" dxfId="1266" priority="1138" operator="equal">
      <formula>4</formula>
    </cfRule>
    <cfRule type="cellIs" dxfId="1265" priority="1139" operator="equal">
      <formula>3.5</formula>
    </cfRule>
    <cfRule type="cellIs" dxfId="1264" priority="1140" operator="equal">
      <formula>3</formula>
    </cfRule>
    <cfRule type="cellIs" dxfId="1263" priority="1141" operator="equal">
      <formula>2.5</formula>
    </cfRule>
    <cfRule type="cellIs" dxfId="1262" priority="1142" operator="equal">
      <formula>2</formula>
    </cfRule>
    <cfRule type="cellIs" dxfId="1261" priority="1143" operator="equal">
      <formula>1.5</formula>
    </cfRule>
    <cfRule type="cellIs" dxfId="1260" priority="1144" operator="equal">
      <formula>1</formula>
    </cfRule>
  </conditionalFormatting>
  <conditionalFormatting sqref="FP41">
    <cfRule type="cellIs" dxfId="1259" priority="1131" operator="between">
      <formula>1</formula>
      <formula>999</formula>
    </cfRule>
  </conditionalFormatting>
  <conditionalFormatting sqref="FP41">
    <cfRule type="cellIs" dxfId="1258" priority="1118" operator="greaterThan">
      <formula>6.6</formula>
    </cfRule>
    <cfRule type="cellIs" dxfId="1257" priority="1119" operator="equal">
      <formula>6.5</formula>
    </cfRule>
    <cfRule type="cellIs" dxfId="1256" priority="1120" operator="equal">
      <formula>6</formula>
    </cfRule>
    <cfRule type="cellIs" dxfId="1255" priority="1121" operator="equal">
      <formula>5.5</formula>
    </cfRule>
    <cfRule type="cellIs" dxfId="1254" priority="1122" operator="equal">
      <formula>5</formula>
    </cfRule>
    <cfRule type="cellIs" dxfId="1253" priority="1123" operator="equal">
      <formula>4.5</formula>
    </cfRule>
    <cfRule type="cellIs" dxfId="1252" priority="1124" operator="equal">
      <formula>4</formula>
    </cfRule>
    <cfRule type="cellIs" dxfId="1251" priority="1125" operator="equal">
      <formula>3.5</formula>
    </cfRule>
    <cfRule type="cellIs" dxfId="1250" priority="1126" operator="equal">
      <formula>3</formula>
    </cfRule>
    <cfRule type="cellIs" dxfId="1249" priority="1127" operator="equal">
      <formula>2.5</formula>
    </cfRule>
    <cfRule type="cellIs" dxfId="1248" priority="1128" operator="equal">
      <formula>2</formula>
    </cfRule>
    <cfRule type="cellIs" dxfId="1247" priority="1129" operator="equal">
      <formula>1.5</formula>
    </cfRule>
    <cfRule type="cellIs" dxfId="1246" priority="1130" operator="equal">
      <formula>1</formula>
    </cfRule>
  </conditionalFormatting>
  <conditionalFormatting sqref="FP41">
    <cfRule type="cellIs" dxfId="1245" priority="1117" operator="between">
      <formula>1</formula>
      <formula>999</formula>
    </cfRule>
  </conditionalFormatting>
  <conditionalFormatting sqref="FP41">
    <cfRule type="cellIs" dxfId="1244" priority="1104" operator="greaterThan">
      <formula>6.6</formula>
    </cfRule>
    <cfRule type="cellIs" dxfId="1243" priority="1105" operator="equal">
      <formula>6.5</formula>
    </cfRule>
    <cfRule type="cellIs" dxfId="1242" priority="1106" operator="equal">
      <formula>6</formula>
    </cfRule>
    <cfRule type="cellIs" dxfId="1241" priority="1107" operator="equal">
      <formula>5.5</formula>
    </cfRule>
    <cfRule type="cellIs" dxfId="1240" priority="1108" operator="equal">
      <formula>5</formula>
    </cfRule>
    <cfRule type="cellIs" dxfId="1239" priority="1109" operator="equal">
      <formula>4.5</formula>
    </cfRule>
    <cfRule type="cellIs" dxfId="1238" priority="1110" operator="equal">
      <formula>4</formula>
    </cfRule>
    <cfRule type="cellIs" dxfId="1237" priority="1111" operator="equal">
      <formula>3.5</formula>
    </cfRule>
    <cfRule type="cellIs" dxfId="1236" priority="1112" operator="equal">
      <formula>3</formula>
    </cfRule>
    <cfRule type="cellIs" dxfId="1235" priority="1113" operator="equal">
      <formula>2.5</formula>
    </cfRule>
    <cfRule type="cellIs" dxfId="1234" priority="1114" operator="equal">
      <formula>2</formula>
    </cfRule>
    <cfRule type="cellIs" dxfId="1233" priority="1115" operator="equal">
      <formula>1.5</formula>
    </cfRule>
    <cfRule type="cellIs" dxfId="1232" priority="1116" operator="equal">
      <formula>1</formula>
    </cfRule>
  </conditionalFormatting>
  <conditionalFormatting sqref="FP41">
    <cfRule type="cellIs" dxfId="1231" priority="1103" operator="between">
      <formula>1</formula>
      <formula>999</formula>
    </cfRule>
  </conditionalFormatting>
  <conditionalFormatting sqref="FP41">
    <cfRule type="cellIs" dxfId="1230" priority="1090" operator="greaterThan">
      <formula>6.6</formula>
    </cfRule>
    <cfRule type="cellIs" dxfId="1229" priority="1091" operator="equal">
      <formula>6.5</formula>
    </cfRule>
    <cfRule type="cellIs" dxfId="1228" priority="1092" operator="equal">
      <formula>6</formula>
    </cfRule>
    <cfRule type="cellIs" dxfId="1227" priority="1093" operator="equal">
      <formula>5.5</formula>
    </cfRule>
    <cfRule type="cellIs" dxfId="1226" priority="1094" operator="equal">
      <formula>5</formula>
    </cfRule>
    <cfRule type="cellIs" dxfId="1225" priority="1095" operator="equal">
      <formula>4.5</formula>
    </cfRule>
    <cfRule type="cellIs" dxfId="1224" priority="1096" operator="equal">
      <formula>4</formula>
    </cfRule>
    <cfRule type="cellIs" dxfId="1223" priority="1097" operator="equal">
      <formula>3.5</formula>
    </cfRule>
    <cfRule type="cellIs" dxfId="1222" priority="1098" operator="equal">
      <formula>3</formula>
    </cfRule>
    <cfRule type="cellIs" dxfId="1221" priority="1099" operator="equal">
      <formula>2.5</formula>
    </cfRule>
    <cfRule type="cellIs" dxfId="1220" priority="1100" operator="equal">
      <formula>2</formula>
    </cfRule>
    <cfRule type="cellIs" dxfId="1219" priority="1101" operator="equal">
      <formula>1.5</formula>
    </cfRule>
    <cfRule type="cellIs" dxfId="1218" priority="1102" operator="equal">
      <formula>1</formula>
    </cfRule>
  </conditionalFormatting>
  <conditionalFormatting sqref="FP41">
    <cfRule type="cellIs" dxfId="1217" priority="1089" operator="between">
      <formula>1</formula>
      <formula>999</formula>
    </cfRule>
  </conditionalFormatting>
  <conditionalFormatting sqref="FP41">
    <cfRule type="cellIs" dxfId="1216" priority="1076" operator="greaterThan">
      <formula>6.6</formula>
    </cfRule>
    <cfRule type="cellIs" dxfId="1215" priority="1077" operator="equal">
      <formula>6.5</formula>
    </cfRule>
    <cfRule type="cellIs" dxfId="1214" priority="1078" operator="equal">
      <formula>6</formula>
    </cfRule>
    <cfRule type="cellIs" dxfId="1213" priority="1079" operator="equal">
      <formula>5.5</formula>
    </cfRule>
    <cfRule type="cellIs" dxfId="1212" priority="1080" operator="equal">
      <formula>5</formula>
    </cfRule>
    <cfRule type="cellIs" dxfId="1211" priority="1081" operator="equal">
      <formula>4.5</formula>
    </cfRule>
    <cfRule type="cellIs" dxfId="1210" priority="1082" operator="equal">
      <formula>4</formula>
    </cfRule>
    <cfRule type="cellIs" dxfId="1209" priority="1083" operator="equal">
      <formula>3.5</formula>
    </cfRule>
    <cfRule type="cellIs" dxfId="1208" priority="1084" operator="equal">
      <formula>3</formula>
    </cfRule>
    <cfRule type="cellIs" dxfId="1207" priority="1085" operator="equal">
      <formula>2.5</formula>
    </cfRule>
    <cfRule type="cellIs" dxfId="1206" priority="1086" operator="equal">
      <formula>2</formula>
    </cfRule>
    <cfRule type="cellIs" dxfId="1205" priority="1087" operator="equal">
      <formula>1.5</formula>
    </cfRule>
    <cfRule type="cellIs" dxfId="1204" priority="1088" operator="equal">
      <formula>1</formula>
    </cfRule>
  </conditionalFormatting>
  <conditionalFormatting sqref="FC44 FF44 FI44 FL44 FO44 FR44">
    <cfRule type="cellIs" dxfId="1203" priority="1063" operator="equal">
      <formula>6.5</formula>
    </cfRule>
    <cfRule type="cellIs" dxfId="1202" priority="1074" operator="equal">
      <formula>1</formula>
    </cfRule>
  </conditionalFormatting>
  <conditionalFormatting sqref="FC44:FR44">
    <cfRule type="cellIs" dxfId="1201" priority="1061" operator="equal">
      <formula>0</formula>
    </cfRule>
    <cfRule type="cellIs" dxfId="1200" priority="1062" operator="greaterThan">
      <formula>6.6</formula>
    </cfRule>
    <cfRule type="cellIs" dxfId="1199" priority="1064" operator="equal">
      <formula>6</formula>
    </cfRule>
    <cfRule type="cellIs" dxfId="1198" priority="1065" operator="equal">
      <formula>5.5</formula>
    </cfRule>
    <cfRule type="cellIs" dxfId="1197" priority="1066" operator="equal">
      <formula>5</formula>
    </cfRule>
    <cfRule type="cellIs" dxfId="1196" priority="1067" operator="equal">
      <formula>4.5</formula>
    </cfRule>
    <cfRule type="cellIs" dxfId="1195" priority="1068" operator="equal">
      <formula>4</formula>
    </cfRule>
    <cfRule type="cellIs" dxfId="1194" priority="1069" operator="equal">
      <formula>3.5</formula>
    </cfRule>
    <cfRule type="cellIs" dxfId="1193" priority="1070" operator="equal">
      <formula>3</formula>
    </cfRule>
    <cfRule type="cellIs" dxfId="1192" priority="1071" operator="equal">
      <formula>2.5</formula>
    </cfRule>
    <cfRule type="cellIs" dxfId="1191" priority="1072" operator="equal">
      <formula>2</formula>
    </cfRule>
    <cfRule type="cellIs" dxfId="1190" priority="1073" operator="equal">
      <formula>1.5</formula>
    </cfRule>
  </conditionalFormatting>
  <conditionalFormatting sqref="FD44">
    <cfRule type="cellIs" dxfId="1189" priority="1060" operator="between">
      <formula>1</formula>
      <formula>999</formula>
    </cfRule>
  </conditionalFormatting>
  <conditionalFormatting sqref="FD44">
    <cfRule type="cellIs" dxfId="1188" priority="1047" operator="greaterThan">
      <formula>6.6</formula>
    </cfRule>
    <cfRule type="cellIs" dxfId="1187" priority="1048" operator="equal">
      <formula>6.5</formula>
    </cfRule>
    <cfRule type="cellIs" dxfId="1186" priority="1049" operator="equal">
      <formula>6</formula>
    </cfRule>
    <cfRule type="cellIs" dxfId="1185" priority="1050" operator="equal">
      <formula>5.5</formula>
    </cfRule>
    <cfRule type="cellIs" dxfId="1184" priority="1051" operator="equal">
      <formula>5</formula>
    </cfRule>
    <cfRule type="cellIs" dxfId="1183" priority="1052" operator="equal">
      <formula>4.5</formula>
    </cfRule>
    <cfRule type="cellIs" dxfId="1182" priority="1053" operator="equal">
      <formula>4</formula>
    </cfRule>
    <cfRule type="cellIs" dxfId="1181" priority="1054" operator="equal">
      <formula>3.5</formula>
    </cfRule>
    <cfRule type="cellIs" dxfId="1180" priority="1055" operator="equal">
      <formula>3</formula>
    </cfRule>
    <cfRule type="cellIs" dxfId="1179" priority="1056" operator="equal">
      <formula>2.5</formula>
    </cfRule>
    <cfRule type="cellIs" dxfId="1178" priority="1057" operator="equal">
      <formula>2</formula>
    </cfRule>
    <cfRule type="cellIs" dxfId="1177" priority="1058" operator="equal">
      <formula>1.5</formula>
    </cfRule>
    <cfRule type="cellIs" dxfId="1176" priority="1059" operator="equal">
      <formula>1</formula>
    </cfRule>
  </conditionalFormatting>
  <conditionalFormatting sqref="FG44">
    <cfRule type="cellIs" dxfId="1175" priority="1046" operator="between">
      <formula>1</formula>
      <formula>999</formula>
    </cfRule>
  </conditionalFormatting>
  <conditionalFormatting sqref="FG44">
    <cfRule type="cellIs" dxfId="1174" priority="1033" operator="greaterThan">
      <formula>6.6</formula>
    </cfRule>
    <cfRule type="cellIs" dxfId="1173" priority="1034" operator="equal">
      <formula>6.5</formula>
    </cfRule>
    <cfRule type="cellIs" dxfId="1172" priority="1035" operator="equal">
      <formula>6</formula>
    </cfRule>
    <cfRule type="cellIs" dxfId="1171" priority="1036" operator="equal">
      <formula>5.5</formula>
    </cfRule>
    <cfRule type="cellIs" dxfId="1170" priority="1037" operator="equal">
      <formula>5</formula>
    </cfRule>
    <cfRule type="cellIs" dxfId="1169" priority="1038" operator="equal">
      <formula>4.5</formula>
    </cfRule>
    <cfRule type="cellIs" dxfId="1168" priority="1039" operator="equal">
      <formula>4</formula>
    </cfRule>
    <cfRule type="cellIs" dxfId="1167" priority="1040" operator="equal">
      <formula>3.5</formula>
    </cfRule>
    <cfRule type="cellIs" dxfId="1166" priority="1041" operator="equal">
      <formula>3</formula>
    </cfRule>
    <cfRule type="cellIs" dxfId="1165" priority="1042" operator="equal">
      <formula>2.5</formula>
    </cfRule>
    <cfRule type="cellIs" dxfId="1164" priority="1043" operator="equal">
      <formula>2</formula>
    </cfRule>
    <cfRule type="cellIs" dxfId="1163" priority="1044" operator="equal">
      <formula>1.5</formula>
    </cfRule>
    <cfRule type="cellIs" dxfId="1162" priority="1045" operator="equal">
      <formula>1</formula>
    </cfRule>
  </conditionalFormatting>
  <conditionalFormatting sqref="FJ44">
    <cfRule type="cellIs" dxfId="1161" priority="1032" operator="between">
      <formula>1</formula>
      <formula>999</formula>
    </cfRule>
  </conditionalFormatting>
  <conditionalFormatting sqref="FJ44">
    <cfRule type="cellIs" dxfId="1160" priority="1019" operator="greaterThan">
      <formula>6.6</formula>
    </cfRule>
    <cfRule type="cellIs" dxfId="1159" priority="1020" operator="equal">
      <formula>6.5</formula>
    </cfRule>
    <cfRule type="cellIs" dxfId="1158" priority="1021" operator="equal">
      <formula>6</formula>
    </cfRule>
    <cfRule type="cellIs" dxfId="1157" priority="1022" operator="equal">
      <formula>5.5</formula>
    </cfRule>
    <cfRule type="cellIs" dxfId="1156" priority="1023" operator="equal">
      <formula>5</formula>
    </cfRule>
    <cfRule type="cellIs" dxfId="1155" priority="1024" operator="equal">
      <formula>4.5</formula>
    </cfRule>
    <cfRule type="cellIs" dxfId="1154" priority="1025" operator="equal">
      <formula>4</formula>
    </cfRule>
    <cfRule type="cellIs" dxfId="1153" priority="1026" operator="equal">
      <formula>3.5</formula>
    </cfRule>
    <cfRule type="cellIs" dxfId="1152" priority="1027" operator="equal">
      <formula>3</formula>
    </cfRule>
    <cfRule type="cellIs" dxfId="1151" priority="1028" operator="equal">
      <formula>2.5</formula>
    </cfRule>
    <cfRule type="cellIs" dxfId="1150" priority="1029" operator="equal">
      <formula>2</formula>
    </cfRule>
    <cfRule type="cellIs" dxfId="1149" priority="1030" operator="equal">
      <formula>1.5</formula>
    </cfRule>
    <cfRule type="cellIs" dxfId="1148" priority="1031" operator="equal">
      <formula>1</formula>
    </cfRule>
  </conditionalFormatting>
  <conditionalFormatting sqref="FM44">
    <cfRule type="cellIs" dxfId="1147" priority="1018" operator="between">
      <formula>1</formula>
      <formula>999</formula>
    </cfRule>
  </conditionalFormatting>
  <conditionalFormatting sqref="FM44">
    <cfRule type="cellIs" dxfId="1146" priority="1005" operator="greaterThan">
      <formula>6.6</formula>
    </cfRule>
    <cfRule type="cellIs" dxfId="1145" priority="1006" operator="equal">
      <formula>6.5</formula>
    </cfRule>
    <cfRule type="cellIs" dxfId="1144" priority="1007" operator="equal">
      <formula>6</formula>
    </cfRule>
    <cfRule type="cellIs" dxfId="1143" priority="1008" operator="equal">
      <formula>5.5</formula>
    </cfRule>
    <cfRule type="cellIs" dxfId="1142" priority="1009" operator="equal">
      <formula>5</formula>
    </cfRule>
    <cfRule type="cellIs" dxfId="1141" priority="1010" operator="equal">
      <formula>4.5</formula>
    </cfRule>
    <cfRule type="cellIs" dxfId="1140" priority="1011" operator="equal">
      <formula>4</formula>
    </cfRule>
    <cfRule type="cellIs" dxfId="1139" priority="1012" operator="equal">
      <formula>3.5</formula>
    </cfRule>
    <cfRule type="cellIs" dxfId="1138" priority="1013" operator="equal">
      <formula>3</formula>
    </cfRule>
    <cfRule type="cellIs" dxfId="1137" priority="1014" operator="equal">
      <formula>2.5</formula>
    </cfRule>
    <cfRule type="cellIs" dxfId="1136" priority="1015" operator="equal">
      <formula>2</formula>
    </cfRule>
    <cfRule type="cellIs" dxfId="1135" priority="1016" operator="equal">
      <formula>1.5</formula>
    </cfRule>
    <cfRule type="cellIs" dxfId="1134" priority="1017" operator="equal">
      <formula>1</formula>
    </cfRule>
  </conditionalFormatting>
  <conditionalFormatting sqref="FP44">
    <cfRule type="cellIs" dxfId="1133" priority="1004" operator="between">
      <formula>1</formula>
      <formula>999</formula>
    </cfRule>
  </conditionalFormatting>
  <conditionalFormatting sqref="FP44">
    <cfRule type="cellIs" dxfId="1132" priority="991" operator="greaterThan">
      <formula>6.6</formula>
    </cfRule>
    <cfRule type="cellIs" dxfId="1131" priority="992" operator="equal">
      <formula>6.5</formula>
    </cfRule>
    <cfRule type="cellIs" dxfId="1130" priority="993" operator="equal">
      <formula>6</formula>
    </cfRule>
    <cfRule type="cellIs" dxfId="1129" priority="994" operator="equal">
      <formula>5.5</formula>
    </cfRule>
    <cfRule type="cellIs" dxfId="1128" priority="995" operator="equal">
      <formula>5</formula>
    </cfRule>
    <cfRule type="cellIs" dxfId="1127" priority="996" operator="equal">
      <formula>4.5</formula>
    </cfRule>
    <cfRule type="cellIs" dxfId="1126" priority="997" operator="equal">
      <formula>4</formula>
    </cfRule>
    <cfRule type="cellIs" dxfId="1125" priority="998" operator="equal">
      <formula>3.5</formula>
    </cfRule>
    <cfRule type="cellIs" dxfId="1124" priority="999" operator="equal">
      <formula>3</formula>
    </cfRule>
    <cfRule type="cellIs" dxfId="1123" priority="1000" operator="equal">
      <formula>2.5</formula>
    </cfRule>
    <cfRule type="cellIs" dxfId="1122" priority="1001" operator="equal">
      <formula>2</formula>
    </cfRule>
    <cfRule type="cellIs" dxfId="1121" priority="1002" operator="equal">
      <formula>1.5</formula>
    </cfRule>
    <cfRule type="cellIs" dxfId="1120" priority="1003" operator="equal">
      <formula>1</formula>
    </cfRule>
  </conditionalFormatting>
  <conditionalFormatting sqref="FC44:FR44">
    <cfRule type="cellIs" dxfId="1119" priority="1075" operator="between">
      <formula>1</formula>
      <formula>999</formula>
    </cfRule>
  </conditionalFormatting>
  <conditionalFormatting sqref="FJ44">
    <cfRule type="cellIs" dxfId="1118" priority="990" operator="between">
      <formula>1</formula>
      <formula>999</formula>
    </cfRule>
  </conditionalFormatting>
  <conditionalFormatting sqref="FJ44">
    <cfRule type="cellIs" dxfId="1117" priority="977" operator="greaterThan">
      <formula>6.6</formula>
    </cfRule>
    <cfRule type="cellIs" dxfId="1116" priority="978" operator="equal">
      <formula>6.5</formula>
    </cfRule>
    <cfRule type="cellIs" dxfId="1115" priority="979" operator="equal">
      <formula>6</formula>
    </cfRule>
    <cfRule type="cellIs" dxfId="1114" priority="980" operator="equal">
      <formula>5.5</formula>
    </cfRule>
    <cfRule type="cellIs" dxfId="1113" priority="981" operator="equal">
      <formula>5</formula>
    </cfRule>
    <cfRule type="cellIs" dxfId="1112" priority="982" operator="equal">
      <formula>4.5</formula>
    </cfRule>
    <cfRule type="cellIs" dxfId="1111" priority="983" operator="equal">
      <formula>4</formula>
    </cfRule>
    <cfRule type="cellIs" dxfId="1110" priority="984" operator="equal">
      <formula>3.5</formula>
    </cfRule>
    <cfRule type="cellIs" dxfId="1109" priority="985" operator="equal">
      <formula>3</formula>
    </cfRule>
    <cfRule type="cellIs" dxfId="1108" priority="986" operator="equal">
      <formula>2.5</formula>
    </cfRule>
    <cfRule type="cellIs" dxfId="1107" priority="987" operator="equal">
      <formula>2</formula>
    </cfRule>
    <cfRule type="cellIs" dxfId="1106" priority="988" operator="equal">
      <formula>1.5</formula>
    </cfRule>
    <cfRule type="cellIs" dxfId="1105" priority="989" operator="equal">
      <formula>1</formula>
    </cfRule>
  </conditionalFormatting>
  <conditionalFormatting sqref="FG44">
    <cfRule type="cellIs" dxfId="1104" priority="976" operator="between">
      <formula>1</formula>
      <formula>999</formula>
    </cfRule>
  </conditionalFormatting>
  <conditionalFormatting sqref="FG44">
    <cfRule type="cellIs" dxfId="1103" priority="963" operator="greaterThan">
      <formula>6.6</formula>
    </cfRule>
    <cfRule type="cellIs" dxfId="1102" priority="964" operator="equal">
      <formula>6.5</formula>
    </cfRule>
    <cfRule type="cellIs" dxfId="1101" priority="965" operator="equal">
      <formula>6</formula>
    </cfRule>
    <cfRule type="cellIs" dxfId="1100" priority="966" operator="equal">
      <formula>5.5</formula>
    </cfRule>
    <cfRule type="cellIs" dxfId="1099" priority="967" operator="equal">
      <formula>5</formula>
    </cfRule>
    <cfRule type="cellIs" dxfId="1098" priority="968" operator="equal">
      <formula>4.5</formula>
    </cfRule>
    <cfRule type="cellIs" dxfId="1097" priority="969" operator="equal">
      <formula>4</formula>
    </cfRule>
    <cfRule type="cellIs" dxfId="1096" priority="970" operator="equal">
      <formula>3.5</formula>
    </cfRule>
    <cfRule type="cellIs" dxfId="1095" priority="971" operator="equal">
      <formula>3</formula>
    </cfRule>
    <cfRule type="cellIs" dxfId="1094" priority="972" operator="equal">
      <formula>2.5</formula>
    </cfRule>
    <cfRule type="cellIs" dxfId="1093" priority="973" operator="equal">
      <formula>2</formula>
    </cfRule>
    <cfRule type="cellIs" dxfId="1092" priority="974" operator="equal">
      <formula>1.5</formula>
    </cfRule>
    <cfRule type="cellIs" dxfId="1091" priority="975" operator="equal">
      <formula>1</formula>
    </cfRule>
  </conditionalFormatting>
  <conditionalFormatting sqref="FJ44">
    <cfRule type="cellIs" dxfId="1090" priority="962" operator="between">
      <formula>1</formula>
      <formula>999</formula>
    </cfRule>
  </conditionalFormatting>
  <conditionalFormatting sqref="FJ44">
    <cfRule type="cellIs" dxfId="1089" priority="949" operator="greaterThan">
      <formula>6.6</formula>
    </cfRule>
    <cfRule type="cellIs" dxfId="1088" priority="950" operator="equal">
      <formula>6.5</formula>
    </cfRule>
    <cfRule type="cellIs" dxfId="1087" priority="951" operator="equal">
      <formula>6</formula>
    </cfRule>
    <cfRule type="cellIs" dxfId="1086" priority="952" operator="equal">
      <formula>5.5</formula>
    </cfRule>
    <cfRule type="cellIs" dxfId="1085" priority="953" operator="equal">
      <formula>5</formula>
    </cfRule>
    <cfRule type="cellIs" dxfId="1084" priority="954" operator="equal">
      <formula>4.5</formula>
    </cfRule>
    <cfRule type="cellIs" dxfId="1083" priority="955" operator="equal">
      <formula>4</formula>
    </cfRule>
    <cfRule type="cellIs" dxfId="1082" priority="956" operator="equal">
      <formula>3.5</formula>
    </cfRule>
    <cfRule type="cellIs" dxfId="1081" priority="957" operator="equal">
      <formula>3</formula>
    </cfRule>
    <cfRule type="cellIs" dxfId="1080" priority="958" operator="equal">
      <formula>2.5</formula>
    </cfRule>
    <cfRule type="cellIs" dxfId="1079" priority="959" operator="equal">
      <formula>2</formula>
    </cfRule>
    <cfRule type="cellIs" dxfId="1078" priority="960" operator="equal">
      <formula>1.5</formula>
    </cfRule>
    <cfRule type="cellIs" dxfId="1077" priority="961" operator="equal">
      <formula>1</formula>
    </cfRule>
  </conditionalFormatting>
  <conditionalFormatting sqref="FJ44">
    <cfRule type="cellIs" dxfId="1076" priority="948" operator="between">
      <formula>1</formula>
      <formula>999</formula>
    </cfRule>
  </conditionalFormatting>
  <conditionalFormatting sqref="FJ44">
    <cfRule type="cellIs" dxfId="1075" priority="935" operator="greaterThan">
      <formula>6.6</formula>
    </cfRule>
    <cfRule type="cellIs" dxfId="1074" priority="936" operator="equal">
      <formula>6.5</formula>
    </cfRule>
    <cfRule type="cellIs" dxfId="1073" priority="937" operator="equal">
      <formula>6</formula>
    </cfRule>
    <cfRule type="cellIs" dxfId="1072" priority="938" operator="equal">
      <formula>5.5</formula>
    </cfRule>
    <cfRule type="cellIs" dxfId="1071" priority="939" operator="equal">
      <formula>5</formula>
    </cfRule>
    <cfRule type="cellIs" dxfId="1070" priority="940" operator="equal">
      <formula>4.5</formula>
    </cfRule>
    <cfRule type="cellIs" dxfId="1069" priority="941" operator="equal">
      <formula>4</formula>
    </cfRule>
    <cfRule type="cellIs" dxfId="1068" priority="942" operator="equal">
      <formula>3.5</formula>
    </cfRule>
    <cfRule type="cellIs" dxfId="1067" priority="943" operator="equal">
      <formula>3</formula>
    </cfRule>
    <cfRule type="cellIs" dxfId="1066" priority="944" operator="equal">
      <formula>2.5</formula>
    </cfRule>
    <cfRule type="cellIs" dxfId="1065" priority="945" operator="equal">
      <formula>2</formula>
    </cfRule>
    <cfRule type="cellIs" dxfId="1064" priority="946" operator="equal">
      <formula>1.5</formula>
    </cfRule>
    <cfRule type="cellIs" dxfId="1063" priority="947" operator="equal">
      <formula>1</formula>
    </cfRule>
  </conditionalFormatting>
  <conditionalFormatting sqref="FM44">
    <cfRule type="cellIs" dxfId="1062" priority="934" operator="between">
      <formula>1</formula>
      <formula>999</formula>
    </cfRule>
  </conditionalFormatting>
  <conditionalFormatting sqref="FM44">
    <cfRule type="cellIs" dxfId="1061" priority="921" operator="greaterThan">
      <formula>6.6</formula>
    </cfRule>
    <cfRule type="cellIs" dxfId="1060" priority="922" operator="equal">
      <formula>6.5</formula>
    </cfRule>
    <cfRule type="cellIs" dxfId="1059" priority="923" operator="equal">
      <formula>6</formula>
    </cfRule>
    <cfRule type="cellIs" dxfId="1058" priority="924" operator="equal">
      <formula>5.5</formula>
    </cfRule>
    <cfRule type="cellIs" dxfId="1057" priority="925" operator="equal">
      <formula>5</formula>
    </cfRule>
    <cfRule type="cellIs" dxfId="1056" priority="926" operator="equal">
      <formula>4.5</formula>
    </cfRule>
    <cfRule type="cellIs" dxfId="1055" priority="927" operator="equal">
      <formula>4</formula>
    </cfRule>
    <cfRule type="cellIs" dxfId="1054" priority="928" operator="equal">
      <formula>3.5</formula>
    </cfRule>
    <cfRule type="cellIs" dxfId="1053" priority="929" operator="equal">
      <formula>3</formula>
    </cfRule>
    <cfRule type="cellIs" dxfId="1052" priority="930" operator="equal">
      <formula>2.5</formula>
    </cfRule>
    <cfRule type="cellIs" dxfId="1051" priority="931" operator="equal">
      <formula>2</formula>
    </cfRule>
    <cfRule type="cellIs" dxfId="1050" priority="932" operator="equal">
      <formula>1.5</formula>
    </cfRule>
    <cfRule type="cellIs" dxfId="1049" priority="933" operator="equal">
      <formula>1</formula>
    </cfRule>
  </conditionalFormatting>
  <conditionalFormatting sqref="FM44">
    <cfRule type="cellIs" dxfId="1048" priority="920" operator="between">
      <formula>1</formula>
      <formula>999</formula>
    </cfRule>
  </conditionalFormatting>
  <conditionalFormatting sqref="FM44">
    <cfRule type="cellIs" dxfId="1047" priority="907" operator="greaterThan">
      <formula>6.6</formula>
    </cfRule>
    <cfRule type="cellIs" dxfId="1046" priority="908" operator="equal">
      <formula>6.5</formula>
    </cfRule>
    <cfRule type="cellIs" dxfId="1045" priority="909" operator="equal">
      <formula>6</formula>
    </cfRule>
    <cfRule type="cellIs" dxfId="1044" priority="910" operator="equal">
      <formula>5.5</formula>
    </cfRule>
    <cfRule type="cellIs" dxfId="1043" priority="911" operator="equal">
      <formula>5</formula>
    </cfRule>
    <cfRule type="cellIs" dxfId="1042" priority="912" operator="equal">
      <formula>4.5</formula>
    </cfRule>
    <cfRule type="cellIs" dxfId="1041" priority="913" operator="equal">
      <formula>4</formula>
    </cfRule>
    <cfRule type="cellIs" dxfId="1040" priority="914" operator="equal">
      <formula>3.5</formula>
    </cfRule>
    <cfRule type="cellIs" dxfId="1039" priority="915" operator="equal">
      <formula>3</formula>
    </cfRule>
    <cfRule type="cellIs" dxfId="1038" priority="916" operator="equal">
      <formula>2.5</formula>
    </cfRule>
    <cfRule type="cellIs" dxfId="1037" priority="917" operator="equal">
      <formula>2</formula>
    </cfRule>
    <cfRule type="cellIs" dxfId="1036" priority="918" operator="equal">
      <formula>1.5</formula>
    </cfRule>
    <cfRule type="cellIs" dxfId="1035" priority="919" operator="equal">
      <formula>1</formula>
    </cfRule>
  </conditionalFormatting>
  <conditionalFormatting sqref="FM44">
    <cfRule type="cellIs" dxfId="1034" priority="906" operator="between">
      <formula>1</formula>
      <formula>999</formula>
    </cfRule>
  </conditionalFormatting>
  <conditionalFormatting sqref="FM44">
    <cfRule type="cellIs" dxfId="1033" priority="893" operator="greaterThan">
      <formula>6.6</formula>
    </cfRule>
    <cfRule type="cellIs" dxfId="1032" priority="894" operator="equal">
      <formula>6.5</formula>
    </cfRule>
    <cfRule type="cellIs" dxfId="1031" priority="895" operator="equal">
      <formula>6</formula>
    </cfRule>
    <cfRule type="cellIs" dxfId="1030" priority="896" operator="equal">
      <formula>5.5</formula>
    </cfRule>
    <cfRule type="cellIs" dxfId="1029" priority="897" operator="equal">
      <formula>5</formula>
    </cfRule>
    <cfRule type="cellIs" dxfId="1028" priority="898" operator="equal">
      <formula>4.5</formula>
    </cfRule>
    <cfRule type="cellIs" dxfId="1027" priority="899" operator="equal">
      <formula>4</formula>
    </cfRule>
    <cfRule type="cellIs" dxfId="1026" priority="900" operator="equal">
      <formula>3.5</formula>
    </cfRule>
    <cfRule type="cellIs" dxfId="1025" priority="901" operator="equal">
      <formula>3</formula>
    </cfRule>
    <cfRule type="cellIs" dxfId="1024" priority="902" operator="equal">
      <formula>2.5</formula>
    </cfRule>
    <cfRule type="cellIs" dxfId="1023" priority="903" operator="equal">
      <formula>2</formula>
    </cfRule>
    <cfRule type="cellIs" dxfId="1022" priority="904" operator="equal">
      <formula>1.5</formula>
    </cfRule>
    <cfRule type="cellIs" dxfId="1021" priority="905" operator="equal">
      <formula>1</formula>
    </cfRule>
  </conditionalFormatting>
  <conditionalFormatting sqref="FM44">
    <cfRule type="cellIs" dxfId="1020" priority="892" operator="between">
      <formula>1</formula>
      <formula>999</formula>
    </cfRule>
  </conditionalFormatting>
  <conditionalFormatting sqref="FM44">
    <cfRule type="cellIs" dxfId="1019" priority="879" operator="greaterThan">
      <formula>6.6</formula>
    </cfRule>
    <cfRule type="cellIs" dxfId="1018" priority="880" operator="equal">
      <formula>6.5</formula>
    </cfRule>
    <cfRule type="cellIs" dxfId="1017" priority="881" operator="equal">
      <formula>6</formula>
    </cfRule>
    <cfRule type="cellIs" dxfId="1016" priority="882" operator="equal">
      <formula>5.5</formula>
    </cfRule>
    <cfRule type="cellIs" dxfId="1015" priority="883" operator="equal">
      <formula>5</formula>
    </cfRule>
    <cfRule type="cellIs" dxfId="1014" priority="884" operator="equal">
      <formula>4.5</formula>
    </cfRule>
    <cfRule type="cellIs" dxfId="1013" priority="885" operator="equal">
      <formula>4</formula>
    </cfRule>
    <cfRule type="cellIs" dxfId="1012" priority="886" operator="equal">
      <formula>3.5</formula>
    </cfRule>
    <cfRule type="cellIs" dxfId="1011" priority="887" operator="equal">
      <formula>3</formula>
    </cfRule>
    <cfRule type="cellIs" dxfId="1010" priority="888" operator="equal">
      <formula>2.5</formula>
    </cfRule>
    <cfRule type="cellIs" dxfId="1009" priority="889" operator="equal">
      <formula>2</formula>
    </cfRule>
    <cfRule type="cellIs" dxfId="1008" priority="890" operator="equal">
      <formula>1.5</formula>
    </cfRule>
    <cfRule type="cellIs" dxfId="1007" priority="891" operator="equal">
      <formula>1</formula>
    </cfRule>
  </conditionalFormatting>
  <conditionalFormatting sqref="FP44">
    <cfRule type="cellIs" dxfId="1006" priority="878" operator="between">
      <formula>1</formula>
      <formula>999</formula>
    </cfRule>
  </conditionalFormatting>
  <conditionalFormatting sqref="FP44">
    <cfRule type="cellIs" dxfId="1005" priority="865" operator="greaterThan">
      <formula>6.6</formula>
    </cfRule>
    <cfRule type="cellIs" dxfId="1004" priority="866" operator="equal">
      <formula>6.5</formula>
    </cfRule>
    <cfRule type="cellIs" dxfId="1003" priority="867" operator="equal">
      <formula>6</formula>
    </cfRule>
    <cfRule type="cellIs" dxfId="1002" priority="868" operator="equal">
      <formula>5.5</formula>
    </cfRule>
    <cfRule type="cellIs" dxfId="1001" priority="869" operator="equal">
      <formula>5</formula>
    </cfRule>
    <cfRule type="cellIs" dxfId="1000" priority="870" operator="equal">
      <formula>4.5</formula>
    </cfRule>
    <cfRule type="cellIs" dxfId="999" priority="871" operator="equal">
      <formula>4</formula>
    </cfRule>
    <cfRule type="cellIs" dxfId="998" priority="872" operator="equal">
      <formula>3.5</formula>
    </cfRule>
    <cfRule type="cellIs" dxfId="997" priority="873" operator="equal">
      <formula>3</formula>
    </cfRule>
    <cfRule type="cellIs" dxfId="996" priority="874" operator="equal">
      <formula>2.5</formula>
    </cfRule>
    <cfRule type="cellIs" dxfId="995" priority="875" operator="equal">
      <formula>2</formula>
    </cfRule>
    <cfRule type="cellIs" dxfId="994" priority="876" operator="equal">
      <formula>1.5</formula>
    </cfRule>
    <cfRule type="cellIs" dxfId="993" priority="877" operator="equal">
      <formula>1</formula>
    </cfRule>
  </conditionalFormatting>
  <conditionalFormatting sqref="FP44">
    <cfRule type="cellIs" dxfId="992" priority="864" operator="between">
      <formula>1</formula>
      <formula>999</formula>
    </cfRule>
  </conditionalFormatting>
  <conditionalFormatting sqref="FP44">
    <cfRule type="cellIs" dxfId="991" priority="851" operator="greaterThan">
      <formula>6.6</formula>
    </cfRule>
    <cfRule type="cellIs" dxfId="990" priority="852" operator="equal">
      <formula>6.5</formula>
    </cfRule>
    <cfRule type="cellIs" dxfId="989" priority="853" operator="equal">
      <formula>6</formula>
    </cfRule>
    <cfRule type="cellIs" dxfId="988" priority="854" operator="equal">
      <formula>5.5</formula>
    </cfRule>
    <cfRule type="cellIs" dxfId="987" priority="855" operator="equal">
      <formula>5</formula>
    </cfRule>
    <cfRule type="cellIs" dxfId="986" priority="856" operator="equal">
      <formula>4.5</formula>
    </cfRule>
    <cfRule type="cellIs" dxfId="985" priority="857" operator="equal">
      <formula>4</formula>
    </cfRule>
    <cfRule type="cellIs" dxfId="984" priority="858" operator="equal">
      <formula>3.5</formula>
    </cfRule>
    <cfRule type="cellIs" dxfId="983" priority="859" operator="equal">
      <formula>3</formula>
    </cfRule>
    <cfRule type="cellIs" dxfId="982" priority="860" operator="equal">
      <formula>2.5</formula>
    </cfRule>
    <cfRule type="cellIs" dxfId="981" priority="861" operator="equal">
      <formula>2</formula>
    </cfRule>
    <cfRule type="cellIs" dxfId="980" priority="862" operator="equal">
      <formula>1.5</formula>
    </cfRule>
    <cfRule type="cellIs" dxfId="979" priority="863" operator="equal">
      <formula>1</formula>
    </cfRule>
  </conditionalFormatting>
  <conditionalFormatting sqref="FP44">
    <cfRule type="cellIs" dxfId="978" priority="850" operator="between">
      <formula>1</formula>
      <formula>999</formula>
    </cfRule>
  </conditionalFormatting>
  <conditionalFormatting sqref="FP44">
    <cfRule type="cellIs" dxfId="977" priority="837" operator="greaterThan">
      <formula>6.6</formula>
    </cfRule>
    <cfRule type="cellIs" dxfId="976" priority="838" operator="equal">
      <formula>6.5</formula>
    </cfRule>
    <cfRule type="cellIs" dxfId="975" priority="839" operator="equal">
      <formula>6</formula>
    </cfRule>
    <cfRule type="cellIs" dxfId="974" priority="840" operator="equal">
      <formula>5.5</formula>
    </cfRule>
    <cfRule type="cellIs" dxfId="973" priority="841" operator="equal">
      <formula>5</formula>
    </cfRule>
    <cfRule type="cellIs" dxfId="972" priority="842" operator="equal">
      <formula>4.5</formula>
    </cfRule>
    <cfRule type="cellIs" dxfId="971" priority="843" operator="equal">
      <formula>4</formula>
    </cfRule>
    <cfRule type="cellIs" dxfId="970" priority="844" operator="equal">
      <formula>3.5</formula>
    </cfRule>
    <cfRule type="cellIs" dxfId="969" priority="845" operator="equal">
      <formula>3</formula>
    </cfRule>
    <cfRule type="cellIs" dxfId="968" priority="846" operator="equal">
      <formula>2.5</formula>
    </cfRule>
    <cfRule type="cellIs" dxfId="967" priority="847" operator="equal">
      <formula>2</formula>
    </cfRule>
    <cfRule type="cellIs" dxfId="966" priority="848" operator="equal">
      <formula>1.5</formula>
    </cfRule>
    <cfRule type="cellIs" dxfId="965" priority="849" operator="equal">
      <formula>1</formula>
    </cfRule>
  </conditionalFormatting>
  <conditionalFormatting sqref="FP44">
    <cfRule type="cellIs" dxfId="964" priority="836" operator="between">
      <formula>1</formula>
      <formula>999</formula>
    </cfRule>
  </conditionalFormatting>
  <conditionalFormatting sqref="FP44">
    <cfRule type="cellIs" dxfId="963" priority="823" operator="greaterThan">
      <formula>6.6</formula>
    </cfRule>
    <cfRule type="cellIs" dxfId="962" priority="824" operator="equal">
      <formula>6.5</formula>
    </cfRule>
    <cfRule type="cellIs" dxfId="961" priority="825" operator="equal">
      <formula>6</formula>
    </cfRule>
    <cfRule type="cellIs" dxfId="960" priority="826" operator="equal">
      <formula>5.5</formula>
    </cfRule>
    <cfRule type="cellIs" dxfId="959" priority="827" operator="equal">
      <formula>5</formula>
    </cfRule>
    <cfRule type="cellIs" dxfId="958" priority="828" operator="equal">
      <formula>4.5</formula>
    </cfRule>
    <cfRule type="cellIs" dxfId="957" priority="829" operator="equal">
      <formula>4</formula>
    </cfRule>
    <cfRule type="cellIs" dxfId="956" priority="830" operator="equal">
      <formula>3.5</formula>
    </cfRule>
    <cfRule type="cellIs" dxfId="955" priority="831" operator="equal">
      <formula>3</formula>
    </cfRule>
    <cfRule type="cellIs" dxfId="954" priority="832" operator="equal">
      <formula>2.5</formula>
    </cfRule>
    <cfRule type="cellIs" dxfId="953" priority="833" operator="equal">
      <formula>2</formula>
    </cfRule>
    <cfRule type="cellIs" dxfId="952" priority="834" operator="equal">
      <formula>1.5</formula>
    </cfRule>
    <cfRule type="cellIs" dxfId="951" priority="835" operator="equal">
      <formula>1</formula>
    </cfRule>
  </conditionalFormatting>
  <conditionalFormatting sqref="FP44">
    <cfRule type="cellIs" dxfId="950" priority="822" operator="between">
      <formula>1</formula>
      <formula>999</formula>
    </cfRule>
  </conditionalFormatting>
  <conditionalFormatting sqref="FP44">
    <cfRule type="cellIs" dxfId="949" priority="809" operator="greaterThan">
      <formula>6.6</formula>
    </cfRule>
    <cfRule type="cellIs" dxfId="948" priority="810" operator="equal">
      <formula>6.5</formula>
    </cfRule>
    <cfRule type="cellIs" dxfId="947" priority="811" operator="equal">
      <formula>6</formula>
    </cfRule>
    <cfRule type="cellIs" dxfId="946" priority="812" operator="equal">
      <formula>5.5</formula>
    </cfRule>
    <cfRule type="cellIs" dxfId="945" priority="813" operator="equal">
      <formula>5</formula>
    </cfRule>
    <cfRule type="cellIs" dxfId="944" priority="814" operator="equal">
      <formula>4.5</formula>
    </cfRule>
    <cfRule type="cellIs" dxfId="943" priority="815" operator="equal">
      <formula>4</formula>
    </cfRule>
    <cfRule type="cellIs" dxfId="942" priority="816" operator="equal">
      <formula>3.5</formula>
    </cfRule>
    <cfRule type="cellIs" dxfId="941" priority="817" operator="equal">
      <formula>3</formula>
    </cfRule>
    <cfRule type="cellIs" dxfId="940" priority="818" operator="equal">
      <formula>2.5</formula>
    </cfRule>
    <cfRule type="cellIs" dxfId="939" priority="819" operator="equal">
      <formula>2</formula>
    </cfRule>
    <cfRule type="cellIs" dxfId="938" priority="820" operator="equal">
      <formula>1.5</formula>
    </cfRule>
    <cfRule type="cellIs" dxfId="937" priority="821" operator="equal">
      <formula>1</formula>
    </cfRule>
  </conditionalFormatting>
  <conditionalFormatting sqref="FC47 FF47 FI47 FL47 FO47 FR47">
    <cfRule type="cellIs" dxfId="936" priority="796" operator="equal">
      <formula>6.5</formula>
    </cfRule>
    <cfRule type="cellIs" dxfId="935" priority="807" operator="equal">
      <formula>1</formula>
    </cfRule>
  </conditionalFormatting>
  <conditionalFormatting sqref="FC47:FR47">
    <cfRule type="cellIs" dxfId="934" priority="794" operator="equal">
      <formula>0</formula>
    </cfRule>
    <cfRule type="cellIs" dxfId="933" priority="795" operator="greaterThan">
      <formula>6.6</formula>
    </cfRule>
    <cfRule type="cellIs" dxfId="932" priority="797" operator="equal">
      <formula>6</formula>
    </cfRule>
    <cfRule type="cellIs" dxfId="931" priority="798" operator="equal">
      <formula>5.5</formula>
    </cfRule>
    <cfRule type="cellIs" dxfId="930" priority="799" operator="equal">
      <formula>5</formula>
    </cfRule>
    <cfRule type="cellIs" dxfId="929" priority="800" operator="equal">
      <formula>4.5</formula>
    </cfRule>
    <cfRule type="cellIs" dxfId="928" priority="801" operator="equal">
      <formula>4</formula>
    </cfRule>
    <cfRule type="cellIs" dxfId="927" priority="802" operator="equal">
      <formula>3.5</formula>
    </cfRule>
    <cfRule type="cellIs" dxfId="926" priority="803" operator="equal">
      <formula>3</formula>
    </cfRule>
    <cfRule type="cellIs" dxfId="925" priority="804" operator="equal">
      <formula>2.5</formula>
    </cfRule>
    <cfRule type="cellIs" dxfId="924" priority="805" operator="equal">
      <formula>2</formula>
    </cfRule>
    <cfRule type="cellIs" dxfId="923" priority="806" operator="equal">
      <formula>1.5</formula>
    </cfRule>
  </conditionalFormatting>
  <conditionalFormatting sqref="FD47">
    <cfRule type="cellIs" dxfId="922" priority="793" operator="between">
      <formula>1</formula>
      <formula>999</formula>
    </cfRule>
  </conditionalFormatting>
  <conditionalFormatting sqref="FD47">
    <cfRule type="cellIs" dxfId="921" priority="780" operator="greaterThan">
      <formula>6.6</formula>
    </cfRule>
    <cfRule type="cellIs" dxfId="920" priority="781" operator="equal">
      <formula>6.5</formula>
    </cfRule>
    <cfRule type="cellIs" dxfId="919" priority="782" operator="equal">
      <formula>6</formula>
    </cfRule>
    <cfRule type="cellIs" dxfId="918" priority="783" operator="equal">
      <formula>5.5</formula>
    </cfRule>
    <cfRule type="cellIs" dxfId="917" priority="784" operator="equal">
      <formula>5</formula>
    </cfRule>
    <cfRule type="cellIs" dxfId="916" priority="785" operator="equal">
      <formula>4.5</formula>
    </cfRule>
    <cfRule type="cellIs" dxfId="915" priority="786" operator="equal">
      <formula>4</formula>
    </cfRule>
    <cfRule type="cellIs" dxfId="914" priority="787" operator="equal">
      <formula>3.5</formula>
    </cfRule>
    <cfRule type="cellIs" dxfId="913" priority="788" operator="equal">
      <formula>3</formula>
    </cfRule>
    <cfRule type="cellIs" dxfId="912" priority="789" operator="equal">
      <formula>2.5</formula>
    </cfRule>
    <cfRule type="cellIs" dxfId="911" priority="790" operator="equal">
      <formula>2</formula>
    </cfRule>
    <cfRule type="cellIs" dxfId="910" priority="791" operator="equal">
      <formula>1.5</formula>
    </cfRule>
    <cfRule type="cellIs" dxfId="909" priority="792" operator="equal">
      <formula>1</formula>
    </cfRule>
  </conditionalFormatting>
  <conditionalFormatting sqref="FG47">
    <cfRule type="cellIs" dxfId="908" priority="779" operator="between">
      <formula>1</formula>
      <formula>999</formula>
    </cfRule>
  </conditionalFormatting>
  <conditionalFormatting sqref="FG47">
    <cfRule type="cellIs" dxfId="907" priority="766" operator="greaterThan">
      <formula>6.6</formula>
    </cfRule>
    <cfRule type="cellIs" dxfId="906" priority="767" operator="equal">
      <formula>6.5</formula>
    </cfRule>
    <cfRule type="cellIs" dxfId="905" priority="768" operator="equal">
      <formula>6</formula>
    </cfRule>
    <cfRule type="cellIs" dxfId="904" priority="769" operator="equal">
      <formula>5.5</formula>
    </cfRule>
    <cfRule type="cellIs" dxfId="903" priority="770" operator="equal">
      <formula>5</formula>
    </cfRule>
    <cfRule type="cellIs" dxfId="902" priority="771" operator="equal">
      <formula>4.5</formula>
    </cfRule>
    <cfRule type="cellIs" dxfId="901" priority="772" operator="equal">
      <formula>4</formula>
    </cfRule>
    <cfRule type="cellIs" dxfId="900" priority="773" operator="equal">
      <formula>3.5</formula>
    </cfRule>
    <cfRule type="cellIs" dxfId="899" priority="774" operator="equal">
      <formula>3</formula>
    </cfRule>
    <cfRule type="cellIs" dxfId="898" priority="775" operator="equal">
      <formula>2.5</formula>
    </cfRule>
    <cfRule type="cellIs" dxfId="897" priority="776" operator="equal">
      <formula>2</formula>
    </cfRule>
    <cfRule type="cellIs" dxfId="896" priority="777" operator="equal">
      <formula>1.5</formula>
    </cfRule>
    <cfRule type="cellIs" dxfId="895" priority="778" operator="equal">
      <formula>1</formula>
    </cfRule>
  </conditionalFormatting>
  <conditionalFormatting sqref="FJ47">
    <cfRule type="cellIs" dxfId="894" priority="765" operator="between">
      <formula>1</formula>
      <formula>999</formula>
    </cfRule>
  </conditionalFormatting>
  <conditionalFormatting sqref="FJ47">
    <cfRule type="cellIs" dxfId="893" priority="752" operator="greaterThan">
      <formula>6.6</formula>
    </cfRule>
    <cfRule type="cellIs" dxfId="892" priority="753" operator="equal">
      <formula>6.5</formula>
    </cfRule>
    <cfRule type="cellIs" dxfId="891" priority="754" operator="equal">
      <formula>6</formula>
    </cfRule>
    <cfRule type="cellIs" dxfId="890" priority="755" operator="equal">
      <formula>5.5</formula>
    </cfRule>
    <cfRule type="cellIs" dxfId="889" priority="756" operator="equal">
      <formula>5</formula>
    </cfRule>
    <cfRule type="cellIs" dxfId="888" priority="757" operator="equal">
      <formula>4.5</formula>
    </cfRule>
    <cfRule type="cellIs" dxfId="887" priority="758" operator="equal">
      <formula>4</formula>
    </cfRule>
    <cfRule type="cellIs" dxfId="886" priority="759" operator="equal">
      <formula>3.5</formula>
    </cfRule>
    <cfRule type="cellIs" dxfId="885" priority="760" operator="equal">
      <formula>3</formula>
    </cfRule>
    <cfRule type="cellIs" dxfId="884" priority="761" operator="equal">
      <formula>2.5</formula>
    </cfRule>
    <cfRule type="cellIs" dxfId="883" priority="762" operator="equal">
      <formula>2</formula>
    </cfRule>
    <cfRule type="cellIs" dxfId="882" priority="763" operator="equal">
      <formula>1.5</formula>
    </cfRule>
    <cfRule type="cellIs" dxfId="881" priority="764" operator="equal">
      <formula>1</formula>
    </cfRule>
  </conditionalFormatting>
  <conditionalFormatting sqref="FM47">
    <cfRule type="cellIs" dxfId="880" priority="751" operator="between">
      <formula>1</formula>
      <formula>999</formula>
    </cfRule>
  </conditionalFormatting>
  <conditionalFormatting sqref="FM47">
    <cfRule type="cellIs" dxfId="879" priority="738" operator="greaterThan">
      <formula>6.6</formula>
    </cfRule>
    <cfRule type="cellIs" dxfId="878" priority="739" operator="equal">
      <formula>6.5</formula>
    </cfRule>
    <cfRule type="cellIs" dxfId="877" priority="740" operator="equal">
      <formula>6</formula>
    </cfRule>
    <cfRule type="cellIs" dxfId="876" priority="741" operator="equal">
      <formula>5.5</formula>
    </cfRule>
    <cfRule type="cellIs" dxfId="875" priority="742" operator="equal">
      <formula>5</formula>
    </cfRule>
    <cfRule type="cellIs" dxfId="874" priority="743" operator="equal">
      <formula>4.5</formula>
    </cfRule>
    <cfRule type="cellIs" dxfId="873" priority="744" operator="equal">
      <formula>4</formula>
    </cfRule>
    <cfRule type="cellIs" dxfId="872" priority="745" operator="equal">
      <formula>3.5</formula>
    </cfRule>
    <cfRule type="cellIs" dxfId="871" priority="746" operator="equal">
      <formula>3</formula>
    </cfRule>
    <cfRule type="cellIs" dxfId="870" priority="747" operator="equal">
      <formula>2.5</formula>
    </cfRule>
    <cfRule type="cellIs" dxfId="869" priority="748" operator="equal">
      <formula>2</formula>
    </cfRule>
    <cfRule type="cellIs" dxfId="868" priority="749" operator="equal">
      <formula>1.5</formula>
    </cfRule>
    <cfRule type="cellIs" dxfId="867" priority="750" operator="equal">
      <formula>1</formula>
    </cfRule>
  </conditionalFormatting>
  <conditionalFormatting sqref="FP47">
    <cfRule type="cellIs" dxfId="866" priority="737" operator="between">
      <formula>1</formula>
      <formula>999</formula>
    </cfRule>
  </conditionalFormatting>
  <conditionalFormatting sqref="FP47">
    <cfRule type="cellIs" dxfId="865" priority="724" operator="greaterThan">
      <formula>6.6</formula>
    </cfRule>
    <cfRule type="cellIs" dxfId="864" priority="725" operator="equal">
      <formula>6.5</formula>
    </cfRule>
    <cfRule type="cellIs" dxfId="863" priority="726" operator="equal">
      <formula>6</formula>
    </cfRule>
    <cfRule type="cellIs" dxfId="862" priority="727" operator="equal">
      <formula>5.5</formula>
    </cfRule>
    <cfRule type="cellIs" dxfId="861" priority="728" operator="equal">
      <formula>5</formula>
    </cfRule>
    <cfRule type="cellIs" dxfId="860" priority="729" operator="equal">
      <formula>4.5</formula>
    </cfRule>
    <cfRule type="cellIs" dxfId="859" priority="730" operator="equal">
      <formula>4</formula>
    </cfRule>
    <cfRule type="cellIs" dxfId="858" priority="731" operator="equal">
      <formula>3.5</formula>
    </cfRule>
    <cfRule type="cellIs" dxfId="857" priority="732" operator="equal">
      <formula>3</formula>
    </cfRule>
    <cfRule type="cellIs" dxfId="856" priority="733" operator="equal">
      <formula>2.5</formula>
    </cfRule>
    <cfRule type="cellIs" dxfId="855" priority="734" operator="equal">
      <formula>2</formula>
    </cfRule>
    <cfRule type="cellIs" dxfId="854" priority="735" operator="equal">
      <formula>1.5</formula>
    </cfRule>
    <cfRule type="cellIs" dxfId="853" priority="736" operator="equal">
      <formula>1</formula>
    </cfRule>
  </conditionalFormatting>
  <conditionalFormatting sqref="FC47:FR47">
    <cfRule type="cellIs" dxfId="852" priority="808" operator="between">
      <formula>1</formula>
      <formula>999</formula>
    </cfRule>
  </conditionalFormatting>
  <conditionalFormatting sqref="FJ47">
    <cfRule type="cellIs" dxfId="851" priority="723" operator="between">
      <formula>1</formula>
      <formula>999</formula>
    </cfRule>
  </conditionalFormatting>
  <conditionalFormatting sqref="FJ47">
    <cfRule type="cellIs" dxfId="850" priority="710" operator="greaterThan">
      <formula>6.6</formula>
    </cfRule>
    <cfRule type="cellIs" dxfId="849" priority="711" operator="equal">
      <formula>6.5</formula>
    </cfRule>
    <cfRule type="cellIs" dxfId="848" priority="712" operator="equal">
      <formula>6</formula>
    </cfRule>
    <cfRule type="cellIs" dxfId="847" priority="713" operator="equal">
      <formula>5.5</formula>
    </cfRule>
    <cfRule type="cellIs" dxfId="846" priority="714" operator="equal">
      <formula>5</formula>
    </cfRule>
    <cfRule type="cellIs" dxfId="845" priority="715" operator="equal">
      <formula>4.5</formula>
    </cfRule>
    <cfRule type="cellIs" dxfId="844" priority="716" operator="equal">
      <formula>4</formula>
    </cfRule>
    <cfRule type="cellIs" dxfId="843" priority="717" operator="equal">
      <formula>3.5</formula>
    </cfRule>
    <cfRule type="cellIs" dxfId="842" priority="718" operator="equal">
      <formula>3</formula>
    </cfRule>
    <cfRule type="cellIs" dxfId="841" priority="719" operator="equal">
      <formula>2.5</formula>
    </cfRule>
    <cfRule type="cellIs" dxfId="840" priority="720" operator="equal">
      <formula>2</formula>
    </cfRule>
    <cfRule type="cellIs" dxfId="839" priority="721" operator="equal">
      <formula>1.5</formula>
    </cfRule>
    <cfRule type="cellIs" dxfId="838" priority="722" operator="equal">
      <formula>1</formula>
    </cfRule>
  </conditionalFormatting>
  <conditionalFormatting sqref="FG47">
    <cfRule type="cellIs" dxfId="837" priority="709" operator="between">
      <formula>1</formula>
      <formula>999</formula>
    </cfRule>
  </conditionalFormatting>
  <conditionalFormatting sqref="FG47">
    <cfRule type="cellIs" dxfId="836" priority="696" operator="greaterThan">
      <formula>6.6</formula>
    </cfRule>
    <cfRule type="cellIs" dxfId="835" priority="697" operator="equal">
      <formula>6.5</formula>
    </cfRule>
    <cfRule type="cellIs" dxfId="834" priority="698" operator="equal">
      <formula>6</formula>
    </cfRule>
    <cfRule type="cellIs" dxfId="833" priority="699" operator="equal">
      <formula>5.5</formula>
    </cfRule>
    <cfRule type="cellIs" dxfId="832" priority="700" operator="equal">
      <formula>5</formula>
    </cfRule>
    <cfRule type="cellIs" dxfId="831" priority="701" operator="equal">
      <formula>4.5</formula>
    </cfRule>
    <cfRule type="cellIs" dxfId="830" priority="702" operator="equal">
      <formula>4</formula>
    </cfRule>
    <cfRule type="cellIs" dxfId="829" priority="703" operator="equal">
      <formula>3.5</formula>
    </cfRule>
    <cfRule type="cellIs" dxfId="828" priority="704" operator="equal">
      <formula>3</formula>
    </cfRule>
    <cfRule type="cellIs" dxfId="827" priority="705" operator="equal">
      <formula>2.5</formula>
    </cfRule>
    <cfRule type="cellIs" dxfId="826" priority="706" operator="equal">
      <formula>2</formula>
    </cfRule>
    <cfRule type="cellIs" dxfId="825" priority="707" operator="equal">
      <formula>1.5</formula>
    </cfRule>
    <cfRule type="cellIs" dxfId="824" priority="708" operator="equal">
      <formula>1</formula>
    </cfRule>
  </conditionalFormatting>
  <conditionalFormatting sqref="FJ47">
    <cfRule type="cellIs" dxfId="823" priority="695" operator="between">
      <formula>1</formula>
      <formula>999</formula>
    </cfRule>
  </conditionalFormatting>
  <conditionalFormatting sqref="FJ47">
    <cfRule type="cellIs" dxfId="822" priority="682" operator="greaterThan">
      <formula>6.6</formula>
    </cfRule>
    <cfRule type="cellIs" dxfId="821" priority="683" operator="equal">
      <formula>6.5</formula>
    </cfRule>
    <cfRule type="cellIs" dxfId="820" priority="684" operator="equal">
      <formula>6</formula>
    </cfRule>
    <cfRule type="cellIs" dxfId="819" priority="685" operator="equal">
      <formula>5.5</formula>
    </cfRule>
    <cfRule type="cellIs" dxfId="818" priority="686" operator="equal">
      <formula>5</formula>
    </cfRule>
    <cfRule type="cellIs" dxfId="817" priority="687" operator="equal">
      <formula>4.5</formula>
    </cfRule>
    <cfRule type="cellIs" dxfId="816" priority="688" operator="equal">
      <formula>4</formula>
    </cfRule>
    <cfRule type="cellIs" dxfId="815" priority="689" operator="equal">
      <formula>3.5</formula>
    </cfRule>
    <cfRule type="cellIs" dxfId="814" priority="690" operator="equal">
      <formula>3</formula>
    </cfRule>
    <cfRule type="cellIs" dxfId="813" priority="691" operator="equal">
      <formula>2.5</formula>
    </cfRule>
    <cfRule type="cellIs" dxfId="812" priority="692" operator="equal">
      <formula>2</formula>
    </cfRule>
    <cfRule type="cellIs" dxfId="811" priority="693" operator="equal">
      <formula>1.5</formula>
    </cfRule>
    <cfRule type="cellIs" dxfId="810" priority="694" operator="equal">
      <formula>1</formula>
    </cfRule>
  </conditionalFormatting>
  <conditionalFormatting sqref="FJ47">
    <cfRule type="cellIs" dxfId="809" priority="681" operator="between">
      <formula>1</formula>
      <formula>999</formula>
    </cfRule>
  </conditionalFormatting>
  <conditionalFormatting sqref="FJ47">
    <cfRule type="cellIs" dxfId="808" priority="668" operator="greaterThan">
      <formula>6.6</formula>
    </cfRule>
    <cfRule type="cellIs" dxfId="807" priority="669" operator="equal">
      <formula>6.5</formula>
    </cfRule>
    <cfRule type="cellIs" dxfId="806" priority="670" operator="equal">
      <formula>6</formula>
    </cfRule>
    <cfRule type="cellIs" dxfId="805" priority="671" operator="equal">
      <formula>5.5</formula>
    </cfRule>
    <cfRule type="cellIs" dxfId="804" priority="672" operator="equal">
      <formula>5</formula>
    </cfRule>
    <cfRule type="cellIs" dxfId="803" priority="673" operator="equal">
      <formula>4.5</formula>
    </cfRule>
    <cfRule type="cellIs" dxfId="802" priority="674" operator="equal">
      <formula>4</formula>
    </cfRule>
    <cfRule type="cellIs" dxfId="801" priority="675" operator="equal">
      <formula>3.5</formula>
    </cfRule>
    <cfRule type="cellIs" dxfId="800" priority="676" operator="equal">
      <formula>3</formula>
    </cfRule>
    <cfRule type="cellIs" dxfId="799" priority="677" operator="equal">
      <formula>2.5</formula>
    </cfRule>
    <cfRule type="cellIs" dxfId="798" priority="678" operator="equal">
      <formula>2</formula>
    </cfRule>
    <cfRule type="cellIs" dxfId="797" priority="679" operator="equal">
      <formula>1.5</formula>
    </cfRule>
    <cfRule type="cellIs" dxfId="796" priority="680" operator="equal">
      <formula>1</formula>
    </cfRule>
  </conditionalFormatting>
  <conditionalFormatting sqref="FM47">
    <cfRule type="cellIs" dxfId="795" priority="667" operator="between">
      <formula>1</formula>
      <formula>999</formula>
    </cfRule>
  </conditionalFormatting>
  <conditionalFormatting sqref="FM47">
    <cfRule type="cellIs" dxfId="794" priority="654" operator="greaterThan">
      <formula>6.6</formula>
    </cfRule>
    <cfRule type="cellIs" dxfId="793" priority="655" operator="equal">
      <formula>6.5</formula>
    </cfRule>
    <cfRule type="cellIs" dxfId="792" priority="656" operator="equal">
      <formula>6</formula>
    </cfRule>
    <cfRule type="cellIs" dxfId="791" priority="657" operator="equal">
      <formula>5.5</formula>
    </cfRule>
    <cfRule type="cellIs" dxfId="790" priority="658" operator="equal">
      <formula>5</formula>
    </cfRule>
    <cfRule type="cellIs" dxfId="789" priority="659" operator="equal">
      <formula>4.5</formula>
    </cfRule>
    <cfRule type="cellIs" dxfId="788" priority="660" operator="equal">
      <formula>4</formula>
    </cfRule>
    <cfRule type="cellIs" dxfId="787" priority="661" operator="equal">
      <formula>3.5</formula>
    </cfRule>
    <cfRule type="cellIs" dxfId="786" priority="662" operator="equal">
      <formula>3</formula>
    </cfRule>
    <cfRule type="cellIs" dxfId="785" priority="663" operator="equal">
      <formula>2.5</formula>
    </cfRule>
    <cfRule type="cellIs" dxfId="784" priority="664" operator="equal">
      <formula>2</formula>
    </cfRule>
    <cfRule type="cellIs" dxfId="783" priority="665" operator="equal">
      <formula>1.5</formula>
    </cfRule>
    <cfRule type="cellIs" dxfId="782" priority="666" operator="equal">
      <formula>1</formula>
    </cfRule>
  </conditionalFormatting>
  <conditionalFormatting sqref="FM47">
    <cfRule type="cellIs" dxfId="781" priority="653" operator="between">
      <formula>1</formula>
      <formula>999</formula>
    </cfRule>
  </conditionalFormatting>
  <conditionalFormatting sqref="FM47">
    <cfRule type="cellIs" dxfId="780" priority="640" operator="greaterThan">
      <formula>6.6</formula>
    </cfRule>
    <cfRule type="cellIs" dxfId="779" priority="641" operator="equal">
      <formula>6.5</formula>
    </cfRule>
    <cfRule type="cellIs" dxfId="778" priority="642" operator="equal">
      <formula>6</formula>
    </cfRule>
    <cfRule type="cellIs" dxfId="777" priority="643" operator="equal">
      <formula>5.5</formula>
    </cfRule>
    <cfRule type="cellIs" dxfId="776" priority="644" operator="equal">
      <formula>5</formula>
    </cfRule>
    <cfRule type="cellIs" dxfId="775" priority="645" operator="equal">
      <formula>4.5</formula>
    </cfRule>
    <cfRule type="cellIs" dxfId="774" priority="646" operator="equal">
      <formula>4</formula>
    </cfRule>
    <cfRule type="cellIs" dxfId="773" priority="647" operator="equal">
      <formula>3.5</formula>
    </cfRule>
    <cfRule type="cellIs" dxfId="772" priority="648" operator="equal">
      <formula>3</formula>
    </cfRule>
    <cfRule type="cellIs" dxfId="771" priority="649" operator="equal">
      <formula>2.5</formula>
    </cfRule>
    <cfRule type="cellIs" dxfId="770" priority="650" operator="equal">
      <formula>2</formula>
    </cfRule>
    <cfRule type="cellIs" dxfId="769" priority="651" operator="equal">
      <formula>1.5</formula>
    </cfRule>
    <cfRule type="cellIs" dxfId="768" priority="652" operator="equal">
      <formula>1</formula>
    </cfRule>
  </conditionalFormatting>
  <conditionalFormatting sqref="FM47">
    <cfRule type="cellIs" dxfId="767" priority="639" operator="between">
      <formula>1</formula>
      <formula>999</formula>
    </cfRule>
  </conditionalFormatting>
  <conditionalFormatting sqref="FM47">
    <cfRule type="cellIs" dxfId="766" priority="626" operator="greaterThan">
      <formula>6.6</formula>
    </cfRule>
    <cfRule type="cellIs" dxfId="765" priority="627" operator="equal">
      <formula>6.5</formula>
    </cfRule>
    <cfRule type="cellIs" dxfId="764" priority="628" operator="equal">
      <formula>6</formula>
    </cfRule>
    <cfRule type="cellIs" dxfId="763" priority="629" operator="equal">
      <formula>5.5</formula>
    </cfRule>
    <cfRule type="cellIs" dxfId="762" priority="630" operator="equal">
      <formula>5</formula>
    </cfRule>
    <cfRule type="cellIs" dxfId="761" priority="631" operator="equal">
      <formula>4.5</formula>
    </cfRule>
    <cfRule type="cellIs" dxfId="760" priority="632" operator="equal">
      <formula>4</formula>
    </cfRule>
    <cfRule type="cellIs" dxfId="759" priority="633" operator="equal">
      <formula>3.5</formula>
    </cfRule>
    <cfRule type="cellIs" dxfId="758" priority="634" operator="equal">
      <formula>3</formula>
    </cfRule>
    <cfRule type="cellIs" dxfId="757" priority="635" operator="equal">
      <formula>2.5</formula>
    </cfRule>
    <cfRule type="cellIs" dxfId="756" priority="636" operator="equal">
      <formula>2</formula>
    </cfRule>
    <cfRule type="cellIs" dxfId="755" priority="637" operator="equal">
      <formula>1.5</formula>
    </cfRule>
    <cfRule type="cellIs" dxfId="754" priority="638" operator="equal">
      <formula>1</formula>
    </cfRule>
  </conditionalFormatting>
  <conditionalFormatting sqref="FM47">
    <cfRule type="cellIs" dxfId="753" priority="625" operator="between">
      <formula>1</formula>
      <formula>999</formula>
    </cfRule>
  </conditionalFormatting>
  <conditionalFormatting sqref="FM47">
    <cfRule type="cellIs" dxfId="752" priority="612" operator="greaterThan">
      <formula>6.6</formula>
    </cfRule>
    <cfRule type="cellIs" dxfId="751" priority="613" operator="equal">
      <formula>6.5</formula>
    </cfRule>
    <cfRule type="cellIs" dxfId="750" priority="614" operator="equal">
      <formula>6</formula>
    </cfRule>
    <cfRule type="cellIs" dxfId="749" priority="615" operator="equal">
      <formula>5.5</formula>
    </cfRule>
    <cfRule type="cellIs" dxfId="748" priority="616" operator="equal">
      <formula>5</formula>
    </cfRule>
    <cfRule type="cellIs" dxfId="747" priority="617" operator="equal">
      <formula>4.5</formula>
    </cfRule>
    <cfRule type="cellIs" dxfId="746" priority="618" operator="equal">
      <formula>4</formula>
    </cfRule>
    <cfRule type="cellIs" dxfId="745" priority="619" operator="equal">
      <formula>3.5</formula>
    </cfRule>
    <cfRule type="cellIs" dxfId="744" priority="620" operator="equal">
      <formula>3</formula>
    </cfRule>
    <cfRule type="cellIs" dxfId="743" priority="621" operator="equal">
      <formula>2.5</formula>
    </cfRule>
    <cfRule type="cellIs" dxfId="742" priority="622" operator="equal">
      <formula>2</formula>
    </cfRule>
    <cfRule type="cellIs" dxfId="741" priority="623" operator="equal">
      <formula>1.5</formula>
    </cfRule>
    <cfRule type="cellIs" dxfId="740" priority="624" operator="equal">
      <formula>1</formula>
    </cfRule>
  </conditionalFormatting>
  <conditionalFormatting sqref="FP47">
    <cfRule type="cellIs" dxfId="739" priority="611" operator="between">
      <formula>1</formula>
      <formula>999</formula>
    </cfRule>
  </conditionalFormatting>
  <conditionalFormatting sqref="FP47">
    <cfRule type="cellIs" dxfId="738" priority="598" operator="greaterThan">
      <formula>6.6</formula>
    </cfRule>
    <cfRule type="cellIs" dxfId="737" priority="599" operator="equal">
      <formula>6.5</formula>
    </cfRule>
    <cfRule type="cellIs" dxfId="736" priority="600" operator="equal">
      <formula>6</formula>
    </cfRule>
    <cfRule type="cellIs" dxfId="735" priority="601" operator="equal">
      <formula>5.5</formula>
    </cfRule>
    <cfRule type="cellIs" dxfId="734" priority="602" operator="equal">
      <formula>5</formula>
    </cfRule>
    <cfRule type="cellIs" dxfId="733" priority="603" operator="equal">
      <formula>4.5</formula>
    </cfRule>
    <cfRule type="cellIs" dxfId="732" priority="604" operator="equal">
      <formula>4</formula>
    </cfRule>
    <cfRule type="cellIs" dxfId="731" priority="605" operator="equal">
      <formula>3.5</formula>
    </cfRule>
    <cfRule type="cellIs" dxfId="730" priority="606" operator="equal">
      <formula>3</formula>
    </cfRule>
    <cfRule type="cellIs" dxfId="729" priority="607" operator="equal">
      <formula>2.5</formula>
    </cfRule>
    <cfRule type="cellIs" dxfId="728" priority="608" operator="equal">
      <formula>2</formula>
    </cfRule>
    <cfRule type="cellIs" dxfId="727" priority="609" operator="equal">
      <formula>1.5</formula>
    </cfRule>
    <cfRule type="cellIs" dxfId="726" priority="610" operator="equal">
      <formula>1</formula>
    </cfRule>
  </conditionalFormatting>
  <conditionalFormatting sqref="FP47">
    <cfRule type="cellIs" dxfId="725" priority="597" operator="between">
      <formula>1</formula>
      <formula>999</formula>
    </cfRule>
  </conditionalFormatting>
  <conditionalFormatting sqref="FP47">
    <cfRule type="cellIs" dxfId="724" priority="584" operator="greaterThan">
      <formula>6.6</formula>
    </cfRule>
    <cfRule type="cellIs" dxfId="723" priority="585" operator="equal">
      <formula>6.5</formula>
    </cfRule>
    <cfRule type="cellIs" dxfId="722" priority="586" operator="equal">
      <formula>6</formula>
    </cfRule>
    <cfRule type="cellIs" dxfId="721" priority="587" operator="equal">
      <formula>5.5</formula>
    </cfRule>
    <cfRule type="cellIs" dxfId="720" priority="588" operator="equal">
      <formula>5</formula>
    </cfRule>
    <cfRule type="cellIs" dxfId="719" priority="589" operator="equal">
      <formula>4.5</formula>
    </cfRule>
    <cfRule type="cellIs" dxfId="718" priority="590" operator="equal">
      <formula>4</formula>
    </cfRule>
    <cfRule type="cellIs" dxfId="717" priority="591" operator="equal">
      <formula>3.5</formula>
    </cfRule>
    <cfRule type="cellIs" dxfId="716" priority="592" operator="equal">
      <formula>3</formula>
    </cfRule>
    <cfRule type="cellIs" dxfId="715" priority="593" operator="equal">
      <formula>2.5</formula>
    </cfRule>
    <cfRule type="cellIs" dxfId="714" priority="594" operator="equal">
      <formula>2</formula>
    </cfRule>
    <cfRule type="cellIs" dxfId="713" priority="595" operator="equal">
      <formula>1.5</formula>
    </cfRule>
    <cfRule type="cellIs" dxfId="712" priority="596" operator="equal">
      <formula>1</formula>
    </cfRule>
  </conditionalFormatting>
  <conditionalFormatting sqref="FP47">
    <cfRule type="cellIs" dxfId="711" priority="583" operator="between">
      <formula>1</formula>
      <formula>999</formula>
    </cfRule>
  </conditionalFormatting>
  <conditionalFormatting sqref="FP47">
    <cfRule type="cellIs" dxfId="710" priority="570" operator="greaterThan">
      <formula>6.6</formula>
    </cfRule>
    <cfRule type="cellIs" dxfId="709" priority="571" operator="equal">
      <formula>6.5</formula>
    </cfRule>
    <cfRule type="cellIs" dxfId="708" priority="572" operator="equal">
      <formula>6</formula>
    </cfRule>
    <cfRule type="cellIs" dxfId="707" priority="573" operator="equal">
      <formula>5.5</formula>
    </cfRule>
    <cfRule type="cellIs" dxfId="706" priority="574" operator="equal">
      <formula>5</formula>
    </cfRule>
    <cfRule type="cellIs" dxfId="705" priority="575" operator="equal">
      <formula>4.5</formula>
    </cfRule>
    <cfRule type="cellIs" dxfId="704" priority="576" operator="equal">
      <formula>4</formula>
    </cfRule>
    <cfRule type="cellIs" dxfId="703" priority="577" operator="equal">
      <formula>3.5</formula>
    </cfRule>
    <cfRule type="cellIs" dxfId="702" priority="578" operator="equal">
      <formula>3</formula>
    </cfRule>
    <cfRule type="cellIs" dxfId="701" priority="579" operator="equal">
      <formula>2.5</formula>
    </cfRule>
    <cfRule type="cellIs" dxfId="700" priority="580" operator="equal">
      <formula>2</formula>
    </cfRule>
    <cfRule type="cellIs" dxfId="699" priority="581" operator="equal">
      <formula>1.5</formula>
    </cfRule>
    <cfRule type="cellIs" dxfId="698" priority="582" operator="equal">
      <formula>1</formula>
    </cfRule>
  </conditionalFormatting>
  <conditionalFormatting sqref="FP47">
    <cfRule type="cellIs" dxfId="697" priority="569" operator="between">
      <formula>1</formula>
      <formula>999</formula>
    </cfRule>
  </conditionalFormatting>
  <conditionalFormatting sqref="FP47">
    <cfRule type="cellIs" dxfId="696" priority="556" operator="greaterThan">
      <formula>6.6</formula>
    </cfRule>
    <cfRule type="cellIs" dxfId="695" priority="557" operator="equal">
      <formula>6.5</formula>
    </cfRule>
    <cfRule type="cellIs" dxfId="694" priority="558" operator="equal">
      <formula>6</formula>
    </cfRule>
    <cfRule type="cellIs" dxfId="693" priority="559" operator="equal">
      <formula>5.5</formula>
    </cfRule>
    <cfRule type="cellIs" dxfId="692" priority="560" operator="equal">
      <formula>5</formula>
    </cfRule>
    <cfRule type="cellIs" dxfId="691" priority="561" operator="equal">
      <formula>4.5</formula>
    </cfRule>
    <cfRule type="cellIs" dxfId="690" priority="562" operator="equal">
      <formula>4</formula>
    </cfRule>
    <cfRule type="cellIs" dxfId="689" priority="563" operator="equal">
      <formula>3.5</formula>
    </cfRule>
    <cfRule type="cellIs" dxfId="688" priority="564" operator="equal">
      <formula>3</formula>
    </cfRule>
    <cfRule type="cellIs" dxfId="687" priority="565" operator="equal">
      <formula>2.5</formula>
    </cfRule>
    <cfRule type="cellIs" dxfId="686" priority="566" operator="equal">
      <formula>2</formula>
    </cfRule>
    <cfRule type="cellIs" dxfId="685" priority="567" operator="equal">
      <formula>1.5</formula>
    </cfRule>
    <cfRule type="cellIs" dxfId="684" priority="568" operator="equal">
      <formula>1</formula>
    </cfRule>
  </conditionalFormatting>
  <conditionalFormatting sqref="FP47">
    <cfRule type="cellIs" dxfId="683" priority="555" operator="between">
      <formula>1</formula>
      <formula>999</formula>
    </cfRule>
  </conditionalFormatting>
  <conditionalFormatting sqref="FP47">
    <cfRule type="cellIs" dxfId="682" priority="542" operator="greaterThan">
      <formula>6.6</formula>
    </cfRule>
    <cfRule type="cellIs" dxfId="681" priority="543" operator="equal">
      <formula>6.5</formula>
    </cfRule>
    <cfRule type="cellIs" dxfId="680" priority="544" operator="equal">
      <formula>6</formula>
    </cfRule>
    <cfRule type="cellIs" dxfId="679" priority="545" operator="equal">
      <formula>5.5</formula>
    </cfRule>
    <cfRule type="cellIs" dxfId="678" priority="546" operator="equal">
      <formula>5</formula>
    </cfRule>
    <cfRule type="cellIs" dxfId="677" priority="547" operator="equal">
      <formula>4.5</formula>
    </cfRule>
    <cfRule type="cellIs" dxfId="676" priority="548" operator="equal">
      <formula>4</formula>
    </cfRule>
    <cfRule type="cellIs" dxfId="675" priority="549" operator="equal">
      <formula>3.5</formula>
    </cfRule>
    <cfRule type="cellIs" dxfId="674" priority="550" operator="equal">
      <formula>3</formula>
    </cfRule>
    <cfRule type="cellIs" dxfId="673" priority="551" operator="equal">
      <formula>2.5</formula>
    </cfRule>
    <cfRule type="cellIs" dxfId="672" priority="552" operator="equal">
      <formula>2</formula>
    </cfRule>
    <cfRule type="cellIs" dxfId="671" priority="553" operator="equal">
      <formula>1.5</formula>
    </cfRule>
    <cfRule type="cellIs" dxfId="670" priority="554" operator="equal">
      <formula>1</formula>
    </cfRule>
  </conditionalFormatting>
  <conditionalFormatting sqref="FC50 FF50 FI50 FL50 FO50 FR50">
    <cfRule type="cellIs" dxfId="669" priority="529" operator="equal">
      <formula>6.5</formula>
    </cfRule>
    <cfRule type="cellIs" dxfId="668" priority="540" operator="equal">
      <formula>1</formula>
    </cfRule>
  </conditionalFormatting>
  <conditionalFormatting sqref="FC50:FR50">
    <cfRule type="cellIs" dxfId="667" priority="527" operator="equal">
      <formula>0</formula>
    </cfRule>
    <cfRule type="cellIs" dxfId="666" priority="528" operator="greaterThan">
      <formula>6.6</formula>
    </cfRule>
    <cfRule type="cellIs" dxfId="665" priority="530" operator="equal">
      <formula>6</formula>
    </cfRule>
    <cfRule type="cellIs" dxfId="664" priority="531" operator="equal">
      <formula>5.5</formula>
    </cfRule>
    <cfRule type="cellIs" dxfId="663" priority="532" operator="equal">
      <formula>5</formula>
    </cfRule>
    <cfRule type="cellIs" dxfId="662" priority="533" operator="equal">
      <formula>4.5</formula>
    </cfRule>
    <cfRule type="cellIs" dxfId="661" priority="534" operator="equal">
      <formula>4</formula>
    </cfRule>
    <cfRule type="cellIs" dxfId="660" priority="535" operator="equal">
      <formula>3.5</formula>
    </cfRule>
    <cfRule type="cellIs" dxfId="659" priority="536" operator="equal">
      <formula>3</formula>
    </cfRule>
    <cfRule type="cellIs" dxfId="658" priority="537" operator="equal">
      <formula>2.5</formula>
    </cfRule>
    <cfRule type="cellIs" dxfId="657" priority="538" operator="equal">
      <formula>2</formula>
    </cfRule>
    <cfRule type="cellIs" dxfId="656" priority="539" operator="equal">
      <formula>1.5</formula>
    </cfRule>
  </conditionalFormatting>
  <conditionalFormatting sqref="FD50">
    <cfRule type="cellIs" dxfId="655" priority="526" operator="between">
      <formula>1</formula>
      <formula>999</formula>
    </cfRule>
  </conditionalFormatting>
  <conditionalFormatting sqref="FD50">
    <cfRule type="cellIs" dxfId="654" priority="513" operator="greaterThan">
      <formula>6.6</formula>
    </cfRule>
    <cfRule type="cellIs" dxfId="653" priority="514" operator="equal">
      <formula>6.5</formula>
    </cfRule>
    <cfRule type="cellIs" dxfId="652" priority="515" operator="equal">
      <formula>6</formula>
    </cfRule>
    <cfRule type="cellIs" dxfId="651" priority="516" operator="equal">
      <formula>5.5</formula>
    </cfRule>
    <cfRule type="cellIs" dxfId="650" priority="517" operator="equal">
      <formula>5</formula>
    </cfRule>
    <cfRule type="cellIs" dxfId="649" priority="518" operator="equal">
      <formula>4.5</formula>
    </cfRule>
    <cfRule type="cellIs" dxfId="648" priority="519" operator="equal">
      <formula>4</formula>
    </cfRule>
    <cfRule type="cellIs" dxfId="647" priority="520" operator="equal">
      <formula>3.5</formula>
    </cfRule>
    <cfRule type="cellIs" dxfId="646" priority="521" operator="equal">
      <formula>3</formula>
    </cfRule>
    <cfRule type="cellIs" dxfId="645" priority="522" operator="equal">
      <formula>2.5</formula>
    </cfRule>
    <cfRule type="cellIs" dxfId="644" priority="523" operator="equal">
      <formula>2</formula>
    </cfRule>
    <cfRule type="cellIs" dxfId="643" priority="524" operator="equal">
      <formula>1.5</formula>
    </cfRule>
    <cfRule type="cellIs" dxfId="642" priority="525" operator="equal">
      <formula>1</formula>
    </cfRule>
  </conditionalFormatting>
  <conditionalFormatting sqref="FG50">
    <cfRule type="cellIs" dxfId="641" priority="512" operator="between">
      <formula>1</formula>
      <formula>999</formula>
    </cfRule>
  </conditionalFormatting>
  <conditionalFormatting sqref="FG50">
    <cfRule type="cellIs" dxfId="640" priority="499" operator="greaterThan">
      <formula>6.6</formula>
    </cfRule>
    <cfRule type="cellIs" dxfId="639" priority="500" operator="equal">
      <formula>6.5</formula>
    </cfRule>
    <cfRule type="cellIs" dxfId="638" priority="501" operator="equal">
      <formula>6</formula>
    </cfRule>
    <cfRule type="cellIs" dxfId="637" priority="502" operator="equal">
      <formula>5.5</formula>
    </cfRule>
    <cfRule type="cellIs" dxfId="636" priority="503" operator="equal">
      <formula>5</formula>
    </cfRule>
    <cfRule type="cellIs" dxfId="635" priority="504" operator="equal">
      <formula>4.5</formula>
    </cfRule>
    <cfRule type="cellIs" dxfId="634" priority="505" operator="equal">
      <formula>4</formula>
    </cfRule>
    <cfRule type="cellIs" dxfId="633" priority="506" operator="equal">
      <formula>3.5</formula>
    </cfRule>
    <cfRule type="cellIs" dxfId="632" priority="507" operator="equal">
      <formula>3</formula>
    </cfRule>
    <cfRule type="cellIs" dxfId="631" priority="508" operator="equal">
      <formula>2.5</formula>
    </cfRule>
    <cfRule type="cellIs" dxfId="630" priority="509" operator="equal">
      <formula>2</formula>
    </cfRule>
    <cfRule type="cellIs" dxfId="629" priority="510" operator="equal">
      <formula>1.5</formula>
    </cfRule>
    <cfRule type="cellIs" dxfId="628" priority="511" operator="equal">
      <formula>1</formula>
    </cfRule>
  </conditionalFormatting>
  <conditionalFormatting sqref="FJ50">
    <cfRule type="cellIs" dxfId="627" priority="498" operator="between">
      <formula>1</formula>
      <formula>999</formula>
    </cfRule>
  </conditionalFormatting>
  <conditionalFormatting sqref="FJ50">
    <cfRule type="cellIs" dxfId="626" priority="485" operator="greaterThan">
      <formula>6.6</formula>
    </cfRule>
    <cfRule type="cellIs" dxfId="625" priority="486" operator="equal">
      <formula>6.5</formula>
    </cfRule>
    <cfRule type="cellIs" dxfId="624" priority="487" operator="equal">
      <formula>6</formula>
    </cfRule>
    <cfRule type="cellIs" dxfId="623" priority="488" operator="equal">
      <formula>5.5</formula>
    </cfRule>
    <cfRule type="cellIs" dxfId="622" priority="489" operator="equal">
      <formula>5</formula>
    </cfRule>
    <cfRule type="cellIs" dxfId="621" priority="490" operator="equal">
      <formula>4.5</formula>
    </cfRule>
    <cfRule type="cellIs" dxfId="620" priority="491" operator="equal">
      <formula>4</formula>
    </cfRule>
    <cfRule type="cellIs" dxfId="619" priority="492" operator="equal">
      <formula>3.5</formula>
    </cfRule>
    <cfRule type="cellIs" dxfId="618" priority="493" operator="equal">
      <formula>3</formula>
    </cfRule>
    <cfRule type="cellIs" dxfId="617" priority="494" operator="equal">
      <formula>2.5</formula>
    </cfRule>
    <cfRule type="cellIs" dxfId="616" priority="495" operator="equal">
      <formula>2</formula>
    </cfRule>
    <cfRule type="cellIs" dxfId="615" priority="496" operator="equal">
      <formula>1.5</formula>
    </cfRule>
    <cfRule type="cellIs" dxfId="614" priority="497" operator="equal">
      <formula>1</formula>
    </cfRule>
  </conditionalFormatting>
  <conditionalFormatting sqref="FM50">
    <cfRule type="cellIs" dxfId="613" priority="484" operator="between">
      <formula>1</formula>
      <formula>999</formula>
    </cfRule>
  </conditionalFormatting>
  <conditionalFormatting sqref="FM50">
    <cfRule type="cellIs" dxfId="612" priority="471" operator="greaterThan">
      <formula>6.6</formula>
    </cfRule>
    <cfRule type="cellIs" dxfId="611" priority="472" operator="equal">
      <formula>6.5</formula>
    </cfRule>
    <cfRule type="cellIs" dxfId="610" priority="473" operator="equal">
      <formula>6</formula>
    </cfRule>
    <cfRule type="cellIs" dxfId="609" priority="474" operator="equal">
      <formula>5.5</formula>
    </cfRule>
    <cfRule type="cellIs" dxfId="608" priority="475" operator="equal">
      <formula>5</formula>
    </cfRule>
    <cfRule type="cellIs" dxfId="607" priority="476" operator="equal">
      <formula>4.5</formula>
    </cfRule>
    <cfRule type="cellIs" dxfId="606" priority="477" operator="equal">
      <formula>4</formula>
    </cfRule>
    <cfRule type="cellIs" dxfId="605" priority="478" operator="equal">
      <formula>3.5</formula>
    </cfRule>
    <cfRule type="cellIs" dxfId="604" priority="479" operator="equal">
      <formula>3</formula>
    </cfRule>
    <cfRule type="cellIs" dxfId="603" priority="480" operator="equal">
      <formula>2.5</formula>
    </cfRule>
    <cfRule type="cellIs" dxfId="602" priority="481" operator="equal">
      <formula>2</formula>
    </cfRule>
    <cfRule type="cellIs" dxfId="601" priority="482" operator="equal">
      <formula>1.5</formula>
    </cfRule>
    <cfRule type="cellIs" dxfId="600" priority="483" operator="equal">
      <formula>1</formula>
    </cfRule>
  </conditionalFormatting>
  <conditionalFormatting sqref="FP50">
    <cfRule type="cellIs" dxfId="599" priority="470" operator="between">
      <formula>1</formula>
      <formula>999</formula>
    </cfRule>
  </conditionalFormatting>
  <conditionalFormatting sqref="FP50">
    <cfRule type="cellIs" dxfId="598" priority="457" operator="greaterThan">
      <formula>6.6</formula>
    </cfRule>
    <cfRule type="cellIs" dxfId="597" priority="458" operator="equal">
      <formula>6.5</formula>
    </cfRule>
    <cfRule type="cellIs" dxfId="596" priority="459" operator="equal">
      <formula>6</formula>
    </cfRule>
    <cfRule type="cellIs" dxfId="595" priority="460" operator="equal">
      <formula>5.5</formula>
    </cfRule>
    <cfRule type="cellIs" dxfId="594" priority="461" operator="equal">
      <formula>5</formula>
    </cfRule>
    <cfRule type="cellIs" dxfId="593" priority="462" operator="equal">
      <formula>4.5</formula>
    </cfRule>
    <cfRule type="cellIs" dxfId="592" priority="463" operator="equal">
      <formula>4</formula>
    </cfRule>
    <cfRule type="cellIs" dxfId="591" priority="464" operator="equal">
      <formula>3.5</formula>
    </cfRule>
    <cfRule type="cellIs" dxfId="590" priority="465" operator="equal">
      <formula>3</formula>
    </cfRule>
    <cfRule type="cellIs" dxfId="589" priority="466" operator="equal">
      <formula>2.5</formula>
    </cfRule>
    <cfRule type="cellIs" dxfId="588" priority="467" operator="equal">
      <formula>2</formula>
    </cfRule>
    <cfRule type="cellIs" dxfId="587" priority="468" operator="equal">
      <formula>1.5</formula>
    </cfRule>
    <cfRule type="cellIs" dxfId="586" priority="469" operator="equal">
      <formula>1</formula>
    </cfRule>
  </conditionalFormatting>
  <conditionalFormatting sqref="FC50:FR50">
    <cfRule type="cellIs" dxfId="585" priority="541" operator="between">
      <formula>1</formula>
      <formula>999</formula>
    </cfRule>
  </conditionalFormatting>
  <conditionalFormatting sqref="FJ50">
    <cfRule type="cellIs" dxfId="584" priority="456" operator="between">
      <formula>1</formula>
      <formula>999</formula>
    </cfRule>
  </conditionalFormatting>
  <conditionalFormatting sqref="FJ50">
    <cfRule type="cellIs" dxfId="583" priority="443" operator="greaterThan">
      <formula>6.6</formula>
    </cfRule>
    <cfRule type="cellIs" dxfId="582" priority="444" operator="equal">
      <formula>6.5</formula>
    </cfRule>
    <cfRule type="cellIs" dxfId="581" priority="445" operator="equal">
      <formula>6</formula>
    </cfRule>
    <cfRule type="cellIs" dxfId="580" priority="446" operator="equal">
      <formula>5.5</formula>
    </cfRule>
    <cfRule type="cellIs" dxfId="579" priority="447" operator="equal">
      <formula>5</formula>
    </cfRule>
    <cfRule type="cellIs" dxfId="578" priority="448" operator="equal">
      <formula>4.5</formula>
    </cfRule>
    <cfRule type="cellIs" dxfId="577" priority="449" operator="equal">
      <formula>4</formula>
    </cfRule>
    <cfRule type="cellIs" dxfId="576" priority="450" operator="equal">
      <formula>3.5</formula>
    </cfRule>
    <cfRule type="cellIs" dxfId="575" priority="451" operator="equal">
      <formula>3</formula>
    </cfRule>
    <cfRule type="cellIs" dxfId="574" priority="452" operator="equal">
      <formula>2.5</formula>
    </cfRule>
    <cfRule type="cellIs" dxfId="573" priority="453" operator="equal">
      <formula>2</formula>
    </cfRule>
    <cfRule type="cellIs" dxfId="572" priority="454" operator="equal">
      <formula>1.5</formula>
    </cfRule>
    <cfRule type="cellIs" dxfId="571" priority="455" operator="equal">
      <formula>1</formula>
    </cfRule>
  </conditionalFormatting>
  <conditionalFormatting sqref="FG50">
    <cfRule type="cellIs" dxfId="570" priority="442" operator="between">
      <formula>1</formula>
      <formula>999</formula>
    </cfRule>
  </conditionalFormatting>
  <conditionalFormatting sqref="FG50">
    <cfRule type="cellIs" dxfId="569" priority="429" operator="greaterThan">
      <formula>6.6</formula>
    </cfRule>
    <cfRule type="cellIs" dxfId="568" priority="430" operator="equal">
      <formula>6.5</formula>
    </cfRule>
    <cfRule type="cellIs" dxfId="567" priority="431" operator="equal">
      <formula>6</formula>
    </cfRule>
    <cfRule type="cellIs" dxfId="566" priority="432" operator="equal">
      <formula>5.5</formula>
    </cfRule>
    <cfRule type="cellIs" dxfId="565" priority="433" operator="equal">
      <formula>5</formula>
    </cfRule>
    <cfRule type="cellIs" dxfId="564" priority="434" operator="equal">
      <formula>4.5</formula>
    </cfRule>
    <cfRule type="cellIs" dxfId="563" priority="435" operator="equal">
      <formula>4</formula>
    </cfRule>
    <cfRule type="cellIs" dxfId="562" priority="436" operator="equal">
      <formula>3.5</formula>
    </cfRule>
    <cfRule type="cellIs" dxfId="561" priority="437" operator="equal">
      <formula>3</formula>
    </cfRule>
    <cfRule type="cellIs" dxfId="560" priority="438" operator="equal">
      <formula>2.5</formula>
    </cfRule>
    <cfRule type="cellIs" dxfId="559" priority="439" operator="equal">
      <formula>2</formula>
    </cfRule>
    <cfRule type="cellIs" dxfId="558" priority="440" operator="equal">
      <formula>1.5</formula>
    </cfRule>
    <cfRule type="cellIs" dxfId="557" priority="441" operator="equal">
      <formula>1</formula>
    </cfRule>
  </conditionalFormatting>
  <conditionalFormatting sqref="FJ50">
    <cfRule type="cellIs" dxfId="556" priority="428" operator="between">
      <formula>1</formula>
      <formula>999</formula>
    </cfRule>
  </conditionalFormatting>
  <conditionalFormatting sqref="FJ50">
    <cfRule type="cellIs" dxfId="555" priority="415" operator="greaterThan">
      <formula>6.6</formula>
    </cfRule>
    <cfRule type="cellIs" dxfId="554" priority="416" operator="equal">
      <formula>6.5</formula>
    </cfRule>
    <cfRule type="cellIs" dxfId="553" priority="417" operator="equal">
      <formula>6</formula>
    </cfRule>
    <cfRule type="cellIs" dxfId="552" priority="418" operator="equal">
      <formula>5.5</formula>
    </cfRule>
    <cfRule type="cellIs" dxfId="551" priority="419" operator="equal">
      <formula>5</formula>
    </cfRule>
    <cfRule type="cellIs" dxfId="550" priority="420" operator="equal">
      <formula>4.5</formula>
    </cfRule>
    <cfRule type="cellIs" dxfId="549" priority="421" operator="equal">
      <formula>4</formula>
    </cfRule>
    <cfRule type="cellIs" dxfId="548" priority="422" operator="equal">
      <formula>3.5</formula>
    </cfRule>
    <cfRule type="cellIs" dxfId="547" priority="423" operator="equal">
      <formula>3</formula>
    </cfRule>
    <cfRule type="cellIs" dxfId="546" priority="424" operator="equal">
      <formula>2.5</formula>
    </cfRule>
    <cfRule type="cellIs" dxfId="545" priority="425" operator="equal">
      <formula>2</formula>
    </cfRule>
    <cfRule type="cellIs" dxfId="544" priority="426" operator="equal">
      <formula>1.5</formula>
    </cfRule>
    <cfRule type="cellIs" dxfId="543" priority="427" operator="equal">
      <formula>1</formula>
    </cfRule>
  </conditionalFormatting>
  <conditionalFormatting sqref="FJ50">
    <cfRule type="cellIs" dxfId="542" priority="414" operator="between">
      <formula>1</formula>
      <formula>999</formula>
    </cfRule>
  </conditionalFormatting>
  <conditionalFormatting sqref="FJ50">
    <cfRule type="cellIs" dxfId="541" priority="401" operator="greaterThan">
      <formula>6.6</formula>
    </cfRule>
    <cfRule type="cellIs" dxfId="540" priority="402" operator="equal">
      <formula>6.5</formula>
    </cfRule>
    <cfRule type="cellIs" dxfId="539" priority="403" operator="equal">
      <formula>6</formula>
    </cfRule>
    <cfRule type="cellIs" dxfId="538" priority="404" operator="equal">
      <formula>5.5</formula>
    </cfRule>
    <cfRule type="cellIs" dxfId="537" priority="405" operator="equal">
      <formula>5</formula>
    </cfRule>
    <cfRule type="cellIs" dxfId="536" priority="406" operator="equal">
      <formula>4.5</formula>
    </cfRule>
    <cfRule type="cellIs" dxfId="535" priority="407" operator="equal">
      <formula>4</formula>
    </cfRule>
    <cfRule type="cellIs" dxfId="534" priority="408" operator="equal">
      <formula>3.5</formula>
    </cfRule>
    <cfRule type="cellIs" dxfId="533" priority="409" operator="equal">
      <formula>3</formula>
    </cfRule>
    <cfRule type="cellIs" dxfId="532" priority="410" operator="equal">
      <formula>2.5</formula>
    </cfRule>
    <cfRule type="cellIs" dxfId="531" priority="411" operator="equal">
      <formula>2</formula>
    </cfRule>
    <cfRule type="cellIs" dxfId="530" priority="412" operator="equal">
      <formula>1.5</formula>
    </cfRule>
    <cfRule type="cellIs" dxfId="529" priority="413" operator="equal">
      <formula>1</formula>
    </cfRule>
  </conditionalFormatting>
  <conditionalFormatting sqref="FM50">
    <cfRule type="cellIs" dxfId="528" priority="400" operator="between">
      <formula>1</formula>
      <formula>999</formula>
    </cfRule>
  </conditionalFormatting>
  <conditionalFormatting sqref="FM50">
    <cfRule type="cellIs" dxfId="527" priority="387" operator="greaterThan">
      <formula>6.6</formula>
    </cfRule>
    <cfRule type="cellIs" dxfId="526" priority="388" operator="equal">
      <formula>6.5</formula>
    </cfRule>
    <cfRule type="cellIs" dxfId="525" priority="389" operator="equal">
      <formula>6</formula>
    </cfRule>
    <cfRule type="cellIs" dxfId="524" priority="390" operator="equal">
      <formula>5.5</formula>
    </cfRule>
    <cfRule type="cellIs" dxfId="523" priority="391" operator="equal">
      <formula>5</formula>
    </cfRule>
    <cfRule type="cellIs" dxfId="522" priority="392" operator="equal">
      <formula>4.5</formula>
    </cfRule>
    <cfRule type="cellIs" dxfId="521" priority="393" operator="equal">
      <formula>4</formula>
    </cfRule>
    <cfRule type="cellIs" dxfId="520" priority="394" operator="equal">
      <formula>3.5</formula>
    </cfRule>
    <cfRule type="cellIs" dxfId="519" priority="395" operator="equal">
      <formula>3</formula>
    </cfRule>
    <cfRule type="cellIs" dxfId="518" priority="396" operator="equal">
      <formula>2.5</formula>
    </cfRule>
    <cfRule type="cellIs" dxfId="517" priority="397" operator="equal">
      <formula>2</formula>
    </cfRule>
    <cfRule type="cellIs" dxfId="516" priority="398" operator="equal">
      <formula>1.5</formula>
    </cfRule>
    <cfRule type="cellIs" dxfId="515" priority="399" operator="equal">
      <formula>1</formula>
    </cfRule>
  </conditionalFormatting>
  <conditionalFormatting sqref="FM50">
    <cfRule type="cellIs" dxfId="514" priority="386" operator="between">
      <formula>1</formula>
      <formula>999</formula>
    </cfRule>
  </conditionalFormatting>
  <conditionalFormatting sqref="FM50">
    <cfRule type="cellIs" dxfId="513" priority="373" operator="greaterThan">
      <formula>6.6</formula>
    </cfRule>
    <cfRule type="cellIs" dxfId="512" priority="374" operator="equal">
      <formula>6.5</formula>
    </cfRule>
    <cfRule type="cellIs" dxfId="511" priority="375" operator="equal">
      <formula>6</formula>
    </cfRule>
    <cfRule type="cellIs" dxfId="510" priority="376" operator="equal">
      <formula>5.5</formula>
    </cfRule>
    <cfRule type="cellIs" dxfId="509" priority="377" operator="equal">
      <formula>5</formula>
    </cfRule>
    <cfRule type="cellIs" dxfId="508" priority="378" operator="equal">
      <formula>4.5</formula>
    </cfRule>
    <cfRule type="cellIs" dxfId="507" priority="379" operator="equal">
      <formula>4</formula>
    </cfRule>
    <cfRule type="cellIs" dxfId="506" priority="380" operator="equal">
      <formula>3.5</formula>
    </cfRule>
    <cfRule type="cellIs" dxfId="505" priority="381" operator="equal">
      <formula>3</formula>
    </cfRule>
    <cfRule type="cellIs" dxfId="504" priority="382" operator="equal">
      <formula>2.5</formula>
    </cfRule>
    <cfRule type="cellIs" dxfId="503" priority="383" operator="equal">
      <formula>2</formula>
    </cfRule>
    <cfRule type="cellIs" dxfId="502" priority="384" operator="equal">
      <formula>1.5</formula>
    </cfRule>
    <cfRule type="cellIs" dxfId="501" priority="385" operator="equal">
      <formula>1</formula>
    </cfRule>
  </conditionalFormatting>
  <conditionalFormatting sqref="FM50">
    <cfRule type="cellIs" dxfId="500" priority="372" operator="between">
      <formula>1</formula>
      <formula>999</formula>
    </cfRule>
  </conditionalFormatting>
  <conditionalFormatting sqref="FM50">
    <cfRule type="cellIs" dxfId="499" priority="359" operator="greaterThan">
      <formula>6.6</formula>
    </cfRule>
    <cfRule type="cellIs" dxfId="498" priority="360" operator="equal">
      <formula>6.5</formula>
    </cfRule>
    <cfRule type="cellIs" dxfId="497" priority="361" operator="equal">
      <formula>6</formula>
    </cfRule>
    <cfRule type="cellIs" dxfId="496" priority="362" operator="equal">
      <formula>5.5</formula>
    </cfRule>
    <cfRule type="cellIs" dxfId="495" priority="363" operator="equal">
      <formula>5</formula>
    </cfRule>
    <cfRule type="cellIs" dxfId="494" priority="364" operator="equal">
      <formula>4.5</formula>
    </cfRule>
    <cfRule type="cellIs" dxfId="493" priority="365" operator="equal">
      <formula>4</formula>
    </cfRule>
    <cfRule type="cellIs" dxfId="492" priority="366" operator="equal">
      <formula>3.5</formula>
    </cfRule>
    <cfRule type="cellIs" dxfId="491" priority="367" operator="equal">
      <formula>3</formula>
    </cfRule>
    <cfRule type="cellIs" dxfId="490" priority="368" operator="equal">
      <formula>2.5</formula>
    </cfRule>
    <cfRule type="cellIs" dxfId="489" priority="369" operator="equal">
      <formula>2</formula>
    </cfRule>
    <cfRule type="cellIs" dxfId="488" priority="370" operator="equal">
      <formula>1.5</formula>
    </cfRule>
    <cfRule type="cellIs" dxfId="487" priority="371" operator="equal">
      <formula>1</formula>
    </cfRule>
  </conditionalFormatting>
  <conditionalFormatting sqref="FM50">
    <cfRule type="cellIs" dxfId="486" priority="358" operator="between">
      <formula>1</formula>
      <formula>999</formula>
    </cfRule>
  </conditionalFormatting>
  <conditionalFormatting sqref="FM50">
    <cfRule type="cellIs" dxfId="485" priority="345" operator="greaterThan">
      <formula>6.6</formula>
    </cfRule>
    <cfRule type="cellIs" dxfId="484" priority="346" operator="equal">
      <formula>6.5</formula>
    </cfRule>
    <cfRule type="cellIs" dxfId="483" priority="347" operator="equal">
      <formula>6</formula>
    </cfRule>
    <cfRule type="cellIs" dxfId="482" priority="348" operator="equal">
      <formula>5.5</formula>
    </cfRule>
    <cfRule type="cellIs" dxfId="481" priority="349" operator="equal">
      <formula>5</formula>
    </cfRule>
    <cfRule type="cellIs" dxfId="480" priority="350" operator="equal">
      <formula>4.5</formula>
    </cfRule>
    <cfRule type="cellIs" dxfId="479" priority="351" operator="equal">
      <formula>4</formula>
    </cfRule>
    <cfRule type="cellIs" dxfId="478" priority="352" operator="equal">
      <formula>3.5</formula>
    </cfRule>
    <cfRule type="cellIs" dxfId="477" priority="353" operator="equal">
      <formula>3</formula>
    </cfRule>
    <cfRule type="cellIs" dxfId="476" priority="354" operator="equal">
      <formula>2.5</formula>
    </cfRule>
    <cfRule type="cellIs" dxfId="475" priority="355" operator="equal">
      <formula>2</formula>
    </cfRule>
    <cfRule type="cellIs" dxfId="474" priority="356" operator="equal">
      <formula>1.5</formula>
    </cfRule>
    <cfRule type="cellIs" dxfId="473" priority="357" operator="equal">
      <formula>1</formula>
    </cfRule>
  </conditionalFormatting>
  <conditionalFormatting sqref="FP50">
    <cfRule type="cellIs" dxfId="472" priority="344" operator="between">
      <formula>1</formula>
      <formula>999</formula>
    </cfRule>
  </conditionalFormatting>
  <conditionalFormatting sqref="FP50">
    <cfRule type="cellIs" dxfId="471" priority="331" operator="greaterThan">
      <formula>6.6</formula>
    </cfRule>
    <cfRule type="cellIs" dxfId="470" priority="332" operator="equal">
      <formula>6.5</formula>
    </cfRule>
    <cfRule type="cellIs" dxfId="469" priority="333" operator="equal">
      <formula>6</formula>
    </cfRule>
    <cfRule type="cellIs" dxfId="468" priority="334" operator="equal">
      <formula>5.5</formula>
    </cfRule>
    <cfRule type="cellIs" dxfId="467" priority="335" operator="equal">
      <formula>5</formula>
    </cfRule>
    <cfRule type="cellIs" dxfId="466" priority="336" operator="equal">
      <formula>4.5</formula>
    </cfRule>
    <cfRule type="cellIs" dxfId="465" priority="337" operator="equal">
      <formula>4</formula>
    </cfRule>
    <cfRule type="cellIs" dxfId="464" priority="338" operator="equal">
      <formula>3.5</formula>
    </cfRule>
    <cfRule type="cellIs" dxfId="463" priority="339" operator="equal">
      <formula>3</formula>
    </cfRule>
    <cfRule type="cellIs" dxfId="462" priority="340" operator="equal">
      <formula>2.5</formula>
    </cfRule>
    <cfRule type="cellIs" dxfId="461" priority="341" operator="equal">
      <formula>2</formula>
    </cfRule>
    <cfRule type="cellIs" dxfId="460" priority="342" operator="equal">
      <formula>1.5</formula>
    </cfRule>
    <cfRule type="cellIs" dxfId="459" priority="343" operator="equal">
      <formula>1</formula>
    </cfRule>
  </conditionalFormatting>
  <conditionalFormatting sqref="FP50">
    <cfRule type="cellIs" dxfId="458" priority="330" operator="between">
      <formula>1</formula>
      <formula>999</formula>
    </cfRule>
  </conditionalFormatting>
  <conditionalFormatting sqref="FP50">
    <cfRule type="cellIs" dxfId="457" priority="317" operator="greaterThan">
      <formula>6.6</formula>
    </cfRule>
    <cfRule type="cellIs" dxfId="456" priority="318" operator="equal">
      <formula>6.5</formula>
    </cfRule>
    <cfRule type="cellIs" dxfId="455" priority="319" operator="equal">
      <formula>6</formula>
    </cfRule>
    <cfRule type="cellIs" dxfId="454" priority="320" operator="equal">
      <formula>5.5</formula>
    </cfRule>
    <cfRule type="cellIs" dxfId="453" priority="321" operator="equal">
      <formula>5</formula>
    </cfRule>
    <cfRule type="cellIs" dxfId="452" priority="322" operator="equal">
      <formula>4.5</formula>
    </cfRule>
    <cfRule type="cellIs" dxfId="451" priority="323" operator="equal">
      <formula>4</formula>
    </cfRule>
    <cfRule type="cellIs" dxfId="450" priority="324" operator="equal">
      <formula>3.5</formula>
    </cfRule>
    <cfRule type="cellIs" dxfId="449" priority="325" operator="equal">
      <formula>3</formula>
    </cfRule>
    <cfRule type="cellIs" dxfId="448" priority="326" operator="equal">
      <formula>2.5</formula>
    </cfRule>
    <cfRule type="cellIs" dxfId="447" priority="327" operator="equal">
      <formula>2</formula>
    </cfRule>
    <cfRule type="cellIs" dxfId="446" priority="328" operator="equal">
      <formula>1.5</formula>
    </cfRule>
    <cfRule type="cellIs" dxfId="445" priority="329" operator="equal">
      <formula>1</formula>
    </cfRule>
  </conditionalFormatting>
  <conditionalFormatting sqref="FP50">
    <cfRule type="cellIs" dxfId="444" priority="316" operator="between">
      <formula>1</formula>
      <formula>999</formula>
    </cfRule>
  </conditionalFormatting>
  <conditionalFormatting sqref="FP50">
    <cfRule type="cellIs" dxfId="443" priority="303" operator="greaterThan">
      <formula>6.6</formula>
    </cfRule>
    <cfRule type="cellIs" dxfId="442" priority="304" operator="equal">
      <formula>6.5</formula>
    </cfRule>
    <cfRule type="cellIs" dxfId="441" priority="305" operator="equal">
      <formula>6</formula>
    </cfRule>
    <cfRule type="cellIs" dxfId="440" priority="306" operator="equal">
      <formula>5.5</formula>
    </cfRule>
    <cfRule type="cellIs" dxfId="439" priority="307" operator="equal">
      <formula>5</formula>
    </cfRule>
    <cfRule type="cellIs" dxfId="438" priority="308" operator="equal">
      <formula>4.5</formula>
    </cfRule>
    <cfRule type="cellIs" dxfId="437" priority="309" operator="equal">
      <formula>4</formula>
    </cfRule>
    <cfRule type="cellIs" dxfId="436" priority="310" operator="equal">
      <formula>3.5</formula>
    </cfRule>
    <cfRule type="cellIs" dxfId="435" priority="311" operator="equal">
      <formula>3</formula>
    </cfRule>
    <cfRule type="cellIs" dxfId="434" priority="312" operator="equal">
      <formula>2.5</formula>
    </cfRule>
    <cfRule type="cellIs" dxfId="433" priority="313" operator="equal">
      <formula>2</formula>
    </cfRule>
    <cfRule type="cellIs" dxfId="432" priority="314" operator="equal">
      <formula>1.5</formula>
    </cfRule>
    <cfRule type="cellIs" dxfId="431" priority="315" operator="equal">
      <formula>1</formula>
    </cfRule>
  </conditionalFormatting>
  <conditionalFormatting sqref="FP50">
    <cfRule type="cellIs" dxfId="430" priority="302" operator="between">
      <formula>1</formula>
      <formula>999</formula>
    </cfRule>
  </conditionalFormatting>
  <conditionalFormatting sqref="FP50">
    <cfRule type="cellIs" dxfId="429" priority="289" operator="greaterThan">
      <formula>6.6</formula>
    </cfRule>
    <cfRule type="cellIs" dxfId="428" priority="290" operator="equal">
      <formula>6.5</formula>
    </cfRule>
    <cfRule type="cellIs" dxfId="427" priority="291" operator="equal">
      <formula>6</formula>
    </cfRule>
    <cfRule type="cellIs" dxfId="426" priority="292" operator="equal">
      <formula>5.5</formula>
    </cfRule>
    <cfRule type="cellIs" dxfId="425" priority="293" operator="equal">
      <formula>5</formula>
    </cfRule>
    <cfRule type="cellIs" dxfId="424" priority="294" operator="equal">
      <formula>4.5</formula>
    </cfRule>
    <cfRule type="cellIs" dxfId="423" priority="295" operator="equal">
      <formula>4</formula>
    </cfRule>
    <cfRule type="cellIs" dxfId="422" priority="296" operator="equal">
      <formula>3.5</formula>
    </cfRule>
    <cfRule type="cellIs" dxfId="421" priority="297" operator="equal">
      <formula>3</formula>
    </cfRule>
    <cfRule type="cellIs" dxfId="420" priority="298" operator="equal">
      <formula>2.5</formula>
    </cfRule>
    <cfRule type="cellIs" dxfId="419" priority="299" operator="equal">
      <formula>2</formula>
    </cfRule>
    <cfRule type="cellIs" dxfId="418" priority="300" operator="equal">
      <formula>1.5</formula>
    </cfRule>
    <cfRule type="cellIs" dxfId="417" priority="301" operator="equal">
      <formula>1</formula>
    </cfRule>
  </conditionalFormatting>
  <conditionalFormatting sqref="FP50">
    <cfRule type="cellIs" dxfId="416" priority="288" operator="between">
      <formula>1</formula>
      <formula>999</formula>
    </cfRule>
  </conditionalFormatting>
  <conditionalFormatting sqref="FP50">
    <cfRule type="cellIs" dxfId="415" priority="275" operator="greaterThan">
      <formula>6.6</formula>
    </cfRule>
    <cfRule type="cellIs" dxfId="414" priority="276" operator="equal">
      <formula>6.5</formula>
    </cfRule>
    <cfRule type="cellIs" dxfId="413" priority="277" operator="equal">
      <formula>6</formula>
    </cfRule>
    <cfRule type="cellIs" dxfId="412" priority="278" operator="equal">
      <formula>5.5</formula>
    </cfRule>
    <cfRule type="cellIs" dxfId="411" priority="279" operator="equal">
      <formula>5</formula>
    </cfRule>
    <cfRule type="cellIs" dxfId="410" priority="280" operator="equal">
      <formula>4.5</formula>
    </cfRule>
    <cfRule type="cellIs" dxfId="409" priority="281" operator="equal">
      <formula>4</formula>
    </cfRule>
    <cfRule type="cellIs" dxfId="408" priority="282" operator="equal">
      <formula>3.5</formula>
    </cfRule>
    <cfRule type="cellIs" dxfId="407" priority="283" operator="equal">
      <formula>3</formula>
    </cfRule>
    <cfRule type="cellIs" dxfId="406" priority="284" operator="equal">
      <formula>2.5</formula>
    </cfRule>
    <cfRule type="cellIs" dxfId="405" priority="285" operator="equal">
      <formula>2</formula>
    </cfRule>
    <cfRule type="cellIs" dxfId="404" priority="286" operator="equal">
      <formula>1.5</formula>
    </cfRule>
    <cfRule type="cellIs" dxfId="403" priority="287" operator="equal">
      <formula>1</formula>
    </cfRule>
  </conditionalFormatting>
  <conditionalFormatting sqref="FC53 FF53 FI53 FL53 FO53 FR53">
    <cfRule type="cellIs" dxfId="402" priority="262" operator="equal">
      <formula>6.5</formula>
    </cfRule>
    <cfRule type="cellIs" dxfId="401" priority="273" operator="equal">
      <formula>1</formula>
    </cfRule>
  </conditionalFormatting>
  <conditionalFormatting sqref="FC53:FR53">
    <cfRule type="cellIs" dxfId="400" priority="260" operator="equal">
      <formula>0</formula>
    </cfRule>
    <cfRule type="cellIs" dxfId="399" priority="261" operator="greaterThan">
      <formula>6.6</formula>
    </cfRule>
    <cfRule type="cellIs" dxfId="398" priority="263" operator="equal">
      <formula>6</formula>
    </cfRule>
    <cfRule type="cellIs" dxfId="397" priority="264" operator="equal">
      <formula>5.5</formula>
    </cfRule>
    <cfRule type="cellIs" dxfId="396" priority="265" operator="equal">
      <formula>5</formula>
    </cfRule>
    <cfRule type="cellIs" dxfId="395" priority="266" operator="equal">
      <formula>4.5</formula>
    </cfRule>
    <cfRule type="cellIs" dxfId="394" priority="267" operator="equal">
      <formula>4</formula>
    </cfRule>
    <cfRule type="cellIs" dxfId="393" priority="268" operator="equal">
      <formula>3.5</formula>
    </cfRule>
    <cfRule type="cellIs" dxfId="392" priority="269" operator="equal">
      <formula>3</formula>
    </cfRule>
    <cfRule type="cellIs" dxfId="391" priority="270" operator="equal">
      <formula>2.5</formula>
    </cfRule>
    <cfRule type="cellIs" dxfId="390" priority="271" operator="equal">
      <formula>2</formula>
    </cfRule>
    <cfRule type="cellIs" dxfId="389" priority="272" operator="equal">
      <formula>1.5</formula>
    </cfRule>
  </conditionalFormatting>
  <conditionalFormatting sqref="FD53">
    <cfRule type="cellIs" dxfId="388" priority="259" operator="between">
      <formula>1</formula>
      <formula>999</formula>
    </cfRule>
  </conditionalFormatting>
  <conditionalFormatting sqref="FD53">
    <cfRule type="cellIs" dxfId="387" priority="246" operator="greaterThan">
      <formula>6.6</formula>
    </cfRule>
    <cfRule type="cellIs" dxfId="386" priority="247" operator="equal">
      <formula>6.5</formula>
    </cfRule>
    <cfRule type="cellIs" dxfId="385" priority="248" operator="equal">
      <formula>6</formula>
    </cfRule>
    <cfRule type="cellIs" dxfId="384" priority="249" operator="equal">
      <formula>5.5</formula>
    </cfRule>
    <cfRule type="cellIs" dxfId="383" priority="250" operator="equal">
      <formula>5</formula>
    </cfRule>
    <cfRule type="cellIs" dxfId="382" priority="251" operator="equal">
      <formula>4.5</formula>
    </cfRule>
    <cfRule type="cellIs" dxfId="381" priority="252" operator="equal">
      <formula>4</formula>
    </cfRule>
    <cfRule type="cellIs" dxfId="380" priority="253" operator="equal">
      <formula>3.5</formula>
    </cfRule>
    <cfRule type="cellIs" dxfId="379" priority="254" operator="equal">
      <formula>3</formula>
    </cfRule>
    <cfRule type="cellIs" dxfId="378" priority="255" operator="equal">
      <formula>2.5</formula>
    </cfRule>
    <cfRule type="cellIs" dxfId="377" priority="256" operator="equal">
      <formula>2</formula>
    </cfRule>
    <cfRule type="cellIs" dxfId="376" priority="257" operator="equal">
      <formula>1.5</formula>
    </cfRule>
    <cfRule type="cellIs" dxfId="375" priority="258" operator="equal">
      <formula>1</formula>
    </cfRule>
  </conditionalFormatting>
  <conditionalFormatting sqref="FG53">
    <cfRule type="cellIs" dxfId="374" priority="245" operator="between">
      <formula>1</formula>
      <formula>999</formula>
    </cfRule>
  </conditionalFormatting>
  <conditionalFormatting sqref="FG53">
    <cfRule type="cellIs" dxfId="373" priority="232" operator="greaterThan">
      <formula>6.6</formula>
    </cfRule>
    <cfRule type="cellIs" dxfId="372" priority="233" operator="equal">
      <formula>6.5</formula>
    </cfRule>
    <cfRule type="cellIs" dxfId="371" priority="234" operator="equal">
      <formula>6</formula>
    </cfRule>
    <cfRule type="cellIs" dxfId="370" priority="235" operator="equal">
      <formula>5.5</formula>
    </cfRule>
    <cfRule type="cellIs" dxfId="369" priority="236" operator="equal">
      <formula>5</formula>
    </cfRule>
    <cfRule type="cellIs" dxfId="368" priority="237" operator="equal">
      <formula>4.5</formula>
    </cfRule>
    <cfRule type="cellIs" dxfId="367" priority="238" operator="equal">
      <formula>4</formula>
    </cfRule>
    <cfRule type="cellIs" dxfId="366" priority="239" operator="equal">
      <formula>3.5</formula>
    </cfRule>
    <cfRule type="cellIs" dxfId="365" priority="240" operator="equal">
      <formula>3</formula>
    </cfRule>
    <cfRule type="cellIs" dxfId="364" priority="241" operator="equal">
      <formula>2.5</formula>
    </cfRule>
    <cfRule type="cellIs" dxfId="363" priority="242" operator="equal">
      <formula>2</formula>
    </cfRule>
    <cfRule type="cellIs" dxfId="362" priority="243" operator="equal">
      <formula>1.5</formula>
    </cfRule>
    <cfRule type="cellIs" dxfId="361" priority="244" operator="equal">
      <formula>1</formula>
    </cfRule>
  </conditionalFormatting>
  <conditionalFormatting sqref="FJ53">
    <cfRule type="cellIs" dxfId="360" priority="231" operator="between">
      <formula>1</formula>
      <formula>999</formula>
    </cfRule>
  </conditionalFormatting>
  <conditionalFormatting sqref="FJ53">
    <cfRule type="cellIs" dxfId="359" priority="218" operator="greaterThan">
      <formula>6.6</formula>
    </cfRule>
    <cfRule type="cellIs" dxfId="358" priority="219" operator="equal">
      <formula>6.5</formula>
    </cfRule>
    <cfRule type="cellIs" dxfId="357" priority="220" operator="equal">
      <formula>6</formula>
    </cfRule>
    <cfRule type="cellIs" dxfId="356" priority="221" operator="equal">
      <formula>5.5</formula>
    </cfRule>
    <cfRule type="cellIs" dxfId="355" priority="222" operator="equal">
      <formula>5</formula>
    </cfRule>
    <cfRule type="cellIs" dxfId="354" priority="223" operator="equal">
      <formula>4.5</formula>
    </cfRule>
    <cfRule type="cellIs" dxfId="353" priority="224" operator="equal">
      <formula>4</formula>
    </cfRule>
    <cfRule type="cellIs" dxfId="352" priority="225" operator="equal">
      <formula>3.5</formula>
    </cfRule>
    <cfRule type="cellIs" dxfId="351" priority="226" operator="equal">
      <formula>3</formula>
    </cfRule>
    <cfRule type="cellIs" dxfId="350" priority="227" operator="equal">
      <formula>2.5</formula>
    </cfRule>
    <cfRule type="cellIs" dxfId="349" priority="228" operator="equal">
      <formula>2</formula>
    </cfRule>
    <cfRule type="cellIs" dxfId="348" priority="229" operator="equal">
      <formula>1.5</formula>
    </cfRule>
    <cfRule type="cellIs" dxfId="347" priority="230" operator="equal">
      <formula>1</formula>
    </cfRule>
  </conditionalFormatting>
  <conditionalFormatting sqref="FM53">
    <cfRule type="cellIs" dxfId="346" priority="217" operator="between">
      <formula>1</formula>
      <formula>999</formula>
    </cfRule>
  </conditionalFormatting>
  <conditionalFormatting sqref="FM53">
    <cfRule type="cellIs" dxfId="345" priority="204" operator="greaterThan">
      <formula>6.6</formula>
    </cfRule>
    <cfRule type="cellIs" dxfId="344" priority="205" operator="equal">
      <formula>6.5</formula>
    </cfRule>
    <cfRule type="cellIs" dxfId="343" priority="206" operator="equal">
      <formula>6</formula>
    </cfRule>
    <cfRule type="cellIs" dxfId="342" priority="207" operator="equal">
      <formula>5.5</formula>
    </cfRule>
    <cfRule type="cellIs" dxfId="341" priority="208" operator="equal">
      <formula>5</formula>
    </cfRule>
    <cfRule type="cellIs" dxfId="340" priority="209" operator="equal">
      <formula>4.5</formula>
    </cfRule>
    <cfRule type="cellIs" dxfId="339" priority="210" operator="equal">
      <formula>4</formula>
    </cfRule>
    <cfRule type="cellIs" dxfId="338" priority="211" operator="equal">
      <formula>3.5</formula>
    </cfRule>
    <cfRule type="cellIs" dxfId="337" priority="212" operator="equal">
      <formula>3</formula>
    </cfRule>
    <cfRule type="cellIs" dxfId="336" priority="213" operator="equal">
      <formula>2.5</formula>
    </cfRule>
    <cfRule type="cellIs" dxfId="335" priority="214" operator="equal">
      <formula>2</formula>
    </cfRule>
    <cfRule type="cellIs" dxfId="334" priority="215" operator="equal">
      <formula>1.5</formula>
    </cfRule>
    <cfRule type="cellIs" dxfId="333" priority="216" operator="equal">
      <formula>1</formula>
    </cfRule>
  </conditionalFormatting>
  <conditionalFormatting sqref="FP53">
    <cfRule type="cellIs" dxfId="332" priority="203" operator="between">
      <formula>1</formula>
      <formula>999</formula>
    </cfRule>
  </conditionalFormatting>
  <conditionalFormatting sqref="FP53">
    <cfRule type="cellIs" dxfId="331" priority="190" operator="greaterThan">
      <formula>6.6</formula>
    </cfRule>
    <cfRule type="cellIs" dxfId="330" priority="191" operator="equal">
      <formula>6.5</formula>
    </cfRule>
    <cfRule type="cellIs" dxfId="329" priority="192" operator="equal">
      <formula>6</formula>
    </cfRule>
    <cfRule type="cellIs" dxfId="328" priority="193" operator="equal">
      <formula>5.5</formula>
    </cfRule>
    <cfRule type="cellIs" dxfId="327" priority="194" operator="equal">
      <formula>5</formula>
    </cfRule>
    <cfRule type="cellIs" dxfId="326" priority="195" operator="equal">
      <formula>4.5</formula>
    </cfRule>
    <cfRule type="cellIs" dxfId="325" priority="196" operator="equal">
      <formula>4</formula>
    </cfRule>
    <cfRule type="cellIs" dxfId="324" priority="197" operator="equal">
      <formula>3.5</formula>
    </cfRule>
    <cfRule type="cellIs" dxfId="323" priority="198" operator="equal">
      <formula>3</formula>
    </cfRule>
    <cfRule type="cellIs" dxfId="322" priority="199" operator="equal">
      <formula>2.5</formula>
    </cfRule>
    <cfRule type="cellIs" dxfId="321" priority="200" operator="equal">
      <formula>2</formula>
    </cfRule>
    <cfRule type="cellIs" dxfId="320" priority="201" operator="equal">
      <formula>1.5</formula>
    </cfRule>
    <cfRule type="cellIs" dxfId="319" priority="202" operator="equal">
      <formula>1</formula>
    </cfRule>
  </conditionalFormatting>
  <conditionalFormatting sqref="FC53:FR53">
    <cfRule type="cellIs" dxfId="318" priority="274" operator="between">
      <formula>1</formula>
      <formula>999</formula>
    </cfRule>
  </conditionalFormatting>
  <conditionalFormatting sqref="FJ53">
    <cfRule type="cellIs" dxfId="317" priority="189" operator="between">
      <formula>1</formula>
      <formula>999</formula>
    </cfRule>
  </conditionalFormatting>
  <conditionalFormatting sqref="FJ53">
    <cfRule type="cellIs" dxfId="316" priority="176" operator="greaterThan">
      <formula>6.6</formula>
    </cfRule>
    <cfRule type="cellIs" dxfId="315" priority="177" operator="equal">
      <formula>6.5</formula>
    </cfRule>
    <cfRule type="cellIs" dxfId="314" priority="178" operator="equal">
      <formula>6</formula>
    </cfRule>
    <cfRule type="cellIs" dxfId="313" priority="179" operator="equal">
      <formula>5.5</formula>
    </cfRule>
    <cfRule type="cellIs" dxfId="312" priority="180" operator="equal">
      <formula>5</formula>
    </cfRule>
    <cfRule type="cellIs" dxfId="311" priority="181" operator="equal">
      <formula>4.5</formula>
    </cfRule>
    <cfRule type="cellIs" dxfId="310" priority="182" operator="equal">
      <formula>4</formula>
    </cfRule>
    <cfRule type="cellIs" dxfId="309" priority="183" operator="equal">
      <formula>3.5</formula>
    </cfRule>
    <cfRule type="cellIs" dxfId="308" priority="184" operator="equal">
      <formula>3</formula>
    </cfRule>
    <cfRule type="cellIs" dxfId="307" priority="185" operator="equal">
      <formula>2.5</formula>
    </cfRule>
    <cfRule type="cellIs" dxfId="306" priority="186" operator="equal">
      <formula>2</formula>
    </cfRule>
    <cfRule type="cellIs" dxfId="305" priority="187" operator="equal">
      <formula>1.5</formula>
    </cfRule>
    <cfRule type="cellIs" dxfId="304" priority="188" operator="equal">
      <formula>1</formula>
    </cfRule>
  </conditionalFormatting>
  <conditionalFormatting sqref="FG53">
    <cfRule type="cellIs" dxfId="303" priority="175" operator="between">
      <formula>1</formula>
      <formula>999</formula>
    </cfRule>
  </conditionalFormatting>
  <conditionalFormatting sqref="FG53">
    <cfRule type="cellIs" dxfId="302" priority="162" operator="greaterThan">
      <formula>6.6</formula>
    </cfRule>
    <cfRule type="cellIs" dxfId="301" priority="163" operator="equal">
      <formula>6.5</formula>
    </cfRule>
    <cfRule type="cellIs" dxfId="300" priority="164" operator="equal">
      <formula>6</formula>
    </cfRule>
    <cfRule type="cellIs" dxfId="299" priority="165" operator="equal">
      <formula>5.5</formula>
    </cfRule>
    <cfRule type="cellIs" dxfId="298" priority="166" operator="equal">
      <formula>5</formula>
    </cfRule>
    <cfRule type="cellIs" dxfId="297" priority="167" operator="equal">
      <formula>4.5</formula>
    </cfRule>
    <cfRule type="cellIs" dxfId="296" priority="168" operator="equal">
      <formula>4</formula>
    </cfRule>
    <cfRule type="cellIs" dxfId="295" priority="169" operator="equal">
      <formula>3.5</formula>
    </cfRule>
    <cfRule type="cellIs" dxfId="294" priority="170" operator="equal">
      <formula>3</formula>
    </cfRule>
    <cfRule type="cellIs" dxfId="293" priority="171" operator="equal">
      <formula>2.5</formula>
    </cfRule>
    <cfRule type="cellIs" dxfId="292" priority="172" operator="equal">
      <formula>2</formula>
    </cfRule>
    <cfRule type="cellIs" dxfId="291" priority="173" operator="equal">
      <formula>1.5</formula>
    </cfRule>
    <cfRule type="cellIs" dxfId="290" priority="174" operator="equal">
      <formula>1</formula>
    </cfRule>
  </conditionalFormatting>
  <conditionalFormatting sqref="FJ53">
    <cfRule type="cellIs" dxfId="289" priority="161" operator="between">
      <formula>1</formula>
      <formula>999</formula>
    </cfRule>
  </conditionalFormatting>
  <conditionalFormatting sqref="FJ53">
    <cfRule type="cellIs" dxfId="288" priority="148" operator="greaterThan">
      <formula>6.6</formula>
    </cfRule>
    <cfRule type="cellIs" dxfId="287" priority="149" operator="equal">
      <formula>6.5</formula>
    </cfRule>
    <cfRule type="cellIs" dxfId="286" priority="150" operator="equal">
      <formula>6</formula>
    </cfRule>
    <cfRule type="cellIs" dxfId="285" priority="151" operator="equal">
      <formula>5.5</formula>
    </cfRule>
    <cfRule type="cellIs" dxfId="284" priority="152" operator="equal">
      <formula>5</formula>
    </cfRule>
    <cfRule type="cellIs" dxfId="283" priority="153" operator="equal">
      <formula>4.5</formula>
    </cfRule>
    <cfRule type="cellIs" dxfId="282" priority="154" operator="equal">
      <formula>4</formula>
    </cfRule>
    <cfRule type="cellIs" dxfId="281" priority="155" operator="equal">
      <formula>3.5</formula>
    </cfRule>
    <cfRule type="cellIs" dxfId="280" priority="156" operator="equal">
      <formula>3</formula>
    </cfRule>
    <cfRule type="cellIs" dxfId="279" priority="157" operator="equal">
      <formula>2.5</formula>
    </cfRule>
    <cfRule type="cellIs" dxfId="278" priority="158" operator="equal">
      <formula>2</formula>
    </cfRule>
    <cfRule type="cellIs" dxfId="277" priority="159" operator="equal">
      <formula>1.5</formula>
    </cfRule>
    <cfRule type="cellIs" dxfId="276" priority="160" operator="equal">
      <formula>1</formula>
    </cfRule>
  </conditionalFormatting>
  <conditionalFormatting sqref="FJ53">
    <cfRule type="cellIs" dxfId="275" priority="147" operator="between">
      <formula>1</formula>
      <formula>999</formula>
    </cfRule>
  </conditionalFormatting>
  <conditionalFormatting sqref="FJ53">
    <cfRule type="cellIs" dxfId="274" priority="134" operator="greaterThan">
      <formula>6.6</formula>
    </cfRule>
    <cfRule type="cellIs" dxfId="273" priority="135" operator="equal">
      <formula>6.5</formula>
    </cfRule>
    <cfRule type="cellIs" dxfId="272" priority="136" operator="equal">
      <formula>6</formula>
    </cfRule>
    <cfRule type="cellIs" dxfId="271" priority="137" operator="equal">
      <formula>5.5</formula>
    </cfRule>
    <cfRule type="cellIs" dxfId="270" priority="138" operator="equal">
      <formula>5</formula>
    </cfRule>
    <cfRule type="cellIs" dxfId="269" priority="139" operator="equal">
      <formula>4.5</formula>
    </cfRule>
    <cfRule type="cellIs" dxfId="268" priority="140" operator="equal">
      <formula>4</formula>
    </cfRule>
    <cfRule type="cellIs" dxfId="267" priority="141" operator="equal">
      <formula>3.5</formula>
    </cfRule>
    <cfRule type="cellIs" dxfId="266" priority="142" operator="equal">
      <formula>3</formula>
    </cfRule>
    <cfRule type="cellIs" dxfId="265" priority="143" operator="equal">
      <formula>2.5</formula>
    </cfRule>
    <cfRule type="cellIs" dxfId="264" priority="144" operator="equal">
      <formula>2</formula>
    </cfRule>
    <cfRule type="cellIs" dxfId="263" priority="145" operator="equal">
      <formula>1.5</formula>
    </cfRule>
    <cfRule type="cellIs" dxfId="262" priority="146" operator="equal">
      <formula>1</formula>
    </cfRule>
  </conditionalFormatting>
  <conditionalFormatting sqref="FM53">
    <cfRule type="cellIs" dxfId="261" priority="133" operator="between">
      <formula>1</formula>
      <formula>999</formula>
    </cfRule>
  </conditionalFormatting>
  <conditionalFormatting sqref="FM53">
    <cfRule type="cellIs" dxfId="260" priority="120" operator="greaterThan">
      <formula>6.6</formula>
    </cfRule>
    <cfRule type="cellIs" dxfId="259" priority="121" operator="equal">
      <formula>6.5</formula>
    </cfRule>
    <cfRule type="cellIs" dxfId="258" priority="122" operator="equal">
      <formula>6</formula>
    </cfRule>
    <cfRule type="cellIs" dxfId="257" priority="123" operator="equal">
      <formula>5.5</formula>
    </cfRule>
    <cfRule type="cellIs" dxfId="256" priority="124" operator="equal">
      <formula>5</formula>
    </cfRule>
    <cfRule type="cellIs" dxfId="255" priority="125" operator="equal">
      <formula>4.5</formula>
    </cfRule>
    <cfRule type="cellIs" dxfId="254" priority="126" operator="equal">
      <formula>4</formula>
    </cfRule>
    <cfRule type="cellIs" dxfId="253" priority="127" operator="equal">
      <formula>3.5</formula>
    </cfRule>
    <cfRule type="cellIs" dxfId="252" priority="128" operator="equal">
      <formula>3</formula>
    </cfRule>
    <cfRule type="cellIs" dxfId="251" priority="129" operator="equal">
      <formula>2.5</formula>
    </cfRule>
    <cfRule type="cellIs" dxfId="250" priority="130" operator="equal">
      <formula>2</formula>
    </cfRule>
    <cfRule type="cellIs" dxfId="249" priority="131" operator="equal">
      <formula>1.5</formula>
    </cfRule>
    <cfRule type="cellIs" dxfId="248" priority="132" operator="equal">
      <formula>1</formula>
    </cfRule>
  </conditionalFormatting>
  <conditionalFormatting sqref="FM53">
    <cfRule type="cellIs" dxfId="247" priority="119" operator="between">
      <formula>1</formula>
      <formula>999</formula>
    </cfRule>
  </conditionalFormatting>
  <conditionalFormatting sqref="FM53">
    <cfRule type="cellIs" dxfId="246" priority="106" operator="greaterThan">
      <formula>6.6</formula>
    </cfRule>
    <cfRule type="cellIs" dxfId="245" priority="107" operator="equal">
      <formula>6.5</formula>
    </cfRule>
    <cfRule type="cellIs" dxfId="244" priority="108" operator="equal">
      <formula>6</formula>
    </cfRule>
    <cfRule type="cellIs" dxfId="243" priority="109" operator="equal">
      <formula>5.5</formula>
    </cfRule>
    <cfRule type="cellIs" dxfId="242" priority="110" operator="equal">
      <formula>5</formula>
    </cfRule>
    <cfRule type="cellIs" dxfId="241" priority="111" operator="equal">
      <formula>4.5</formula>
    </cfRule>
    <cfRule type="cellIs" dxfId="240" priority="112" operator="equal">
      <formula>4</formula>
    </cfRule>
    <cfRule type="cellIs" dxfId="239" priority="113" operator="equal">
      <formula>3.5</formula>
    </cfRule>
    <cfRule type="cellIs" dxfId="238" priority="114" operator="equal">
      <formula>3</formula>
    </cfRule>
    <cfRule type="cellIs" dxfId="237" priority="115" operator="equal">
      <formula>2.5</formula>
    </cfRule>
    <cfRule type="cellIs" dxfId="236" priority="116" operator="equal">
      <formula>2</formula>
    </cfRule>
    <cfRule type="cellIs" dxfId="235" priority="117" operator="equal">
      <formula>1.5</formula>
    </cfRule>
    <cfRule type="cellIs" dxfId="234" priority="118" operator="equal">
      <formula>1</formula>
    </cfRule>
  </conditionalFormatting>
  <conditionalFormatting sqref="FM53">
    <cfRule type="cellIs" dxfId="233" priority="105" operator="between">
      <formula>1</formula>
      <formula>999</formula>
    </cfRule>
  </conditionalFormatting>
  <conditionalFormatting sqref="FM53">
    <cfRule type="cellIs" dxfId="232" priority="92" operator="greaterThan">
      <formula>6.6</formula>
    </cfRule>
    <cfRule type="cellIs" dxfId="231" priority="93" operator="equal">
      <formula>6.5</formula>
    </cfRule>
    <cfRule type="cellIs" dxfId="230" priority="94" operator="equal">
      <formula>6</formula>
    </cfRule>
    <cfRule type="cellIs" dxfId="229" priority="95" operator="equal">
      <formula>5.5</formula>
    </cfRule>
    <cfRule type="cellIs" dxfId="228" priority="96" operator="equal">
      <formula>5</formula>
    </cfRule>
    <cfRule type="cellIs" dxfId="227" priority="97" operator="equal">
      <formula>4.5</formula>
    </cfRule>
    <cfRule type="cellIs" dxfId="226" priority="98" operator="equal">
      <formula>4</formula>
    </cfRule>
    <cfRule type="cellIs" dxfId="225" priority="99" operator="equal">
      <formula>3.5</formula>
    </cfRule>
    <cfRule type="cellIs" dxfId="224" priority="100" operator="equal">
      <formula>3</formula>
    </cfRule>
    <cfRule type="cellIs" dxfId="223" priority="101" operator="equal">
      <formula>2.5</formula>
    </cfRule>
    <cfRule type="cellIs" dxfId="222" priority="102" operator="equal">
      <formula>2</formula>
    </cfRule>
    <cfRule type="cellIs" dxfId="221" priority="103" operator="equal">
      <formula>1.5</formula>
    </cfRule>
    <cfRule type="cellIs" dxfId="220" priority="104" operator="equal">
      <formula>1</formula>
    </cfRule>
  </conditionalFormatting>
  <conditionalFormatting sqref="FM53">
    <cfRule type="cellIs" dxfId="219" priority="91" operator="between">
      <formula>1</formula>
      <formula>999</formula>
    </cfRule>
  </conditionalFormatting>
  <conditionalFormatting sqref="FM53">
    <cfRule type="cellIs" dxfId="218" priority="78" operator="greaterThan">
      <formula>6.6</formula>
    </cfRule>
    <cfRule type="cellIs" dxfId="217" priority="79" operator="equal">
      <formula>6.5</formula>
    </cfRule>
    <cfRule type="cellIs" dxfId="216" priority="80" operator="equal">
      <formula>6</formula>
    </cfRule>
    <cfRule type="cellIs" dxfId="215" priority="81" operator="equal">
      <formula>5.5</formula>
    </cfRule>
    <cfRule type="cellIs" dxfId="214" priority="82" operator="equal">
      <formula>5</formula>
    </cfRule>
    <cfRule type="cellIs" dxfId="213" priority="83" operator="equal">
      <formula>4.5</formula>
    </cfRule>
    <cfRule type="cellIs" dxfId="212" priority="84" operator="equal">
      <formula>4</formula>
    </cfRule>
    <cfRule type="cellIs" dxfId="211" priority="85" operator="equal">
      <formula>3.5</formula>
    </cfRule>
    <cfRule type="cellIs" dxfId="210" priority="86" operator="equal">
      <formula>3</formula>
    </cfRule>
    <cfRule type="cellIs" dxfId="209" priority="87" operator="equal">
      <formula>2.5</formula>
    </cfRule>
    <cfRule type="cellIs" dxfId="208" priority="88" operator="equal">
      <formula>2</formula>
    </cfRule>
    <cfRule type="cellIs" dxfId="207" priority="89" operator="equal">
      <formula>1.5</formula>
    </cfRule>
    <cfRule type="cellIs" dxfId="206" priority="90" operator="equal">
      <formula>1</formula>
    </cfRule>
  </conditionalFormatting>
  <conditionalFormatting sqref="FP53">
    <cfRule type="cellIs" dxfId="205" priority="77" operator="between">
      <formula>1</formula>
      <formula>999</formula>
    </cfRule>
  </conditionalFormatting>
  <conditionalFormatting sqref="FP53">
    <cfRule type="cellIs" dxfId="204" priority="64" operator="greaterThan">
      <formula>6.6</formula>
    </cfRule>
    <cfRule type="cellIs" dxfId="203" priority="65" operator="equal">
      <formula>6.5</formula>
    </cfRule>
    <cfRule type="cellIs" dxfId="202" priority="66" operator="equal">
      <formula>6</formula>
    </cfRule>
    <cfRule type="cellIs" dxfId="201" priority="67" operator="equal">
      <formula>5.5</formula>
    </cfRule>
    <cfRule type="cellIs" dxfId="200" priority="68" operator="equal">
      <formula>5</formula>
    </cfRule>
    <cfRule type="cellIs" dxfId="199" priority="69" operator="equal">
      <formula>4.5</formula>
    </cfRule>
    <cfRule type="cellIs" dxfId="198" priority="70" operator="equal">
      <formula>4</formula>
    </cfRule>
    <cfRule type="cellIs" dxfId="197" priority="71" operator="equal">
      <formula>3.5</formula>
    </cfRule>
    <cfRule type="cellIs" dxfId="196" priority="72" operator="equal">
      <formula>3</formula>
    </cfRule>
    <cfRule type="cellIs" dxfId="195" priority="73" operator="equal">
      <formula>2.5</formula>
    </cfRule>
    <cfRule type="cellIs" dxfId="194" priority="74" operator="equal">
      <formula>2</formula>
    </cfRule>
    <cfRule type="cellIs" dxfId="193" priority="75" operator="equal">
      <formula>1.5</formula>
    </cfRule>
    <cfRule type="cellIs" dxfId="192" priority="76" operator="equal">
      <formula>1</formula>
    </cfRule>
  </conditionalFormatting>
  <conditionalFormatting sqref="FP53">
    <cfRule type="cellIs" dxfId="191" priority="63" operator="between">
      <formula>1</formula>
      <formula>999</formula>
    </cfRule>
  </conditionalFormatting>
  <conditionalFormatting sqref="FP53">
    <cfRule type="cellIs" dxfId="190" priority="50" operator="greaterThan">
      <formula>6.6</formula>
    </cfRule>
    <cfRule type="cellIs" dxfId="189" priority="51" operator="equal">
      <formula>6.5</formula>
    </cfRule>
    <cfRule type="cellIs" dxfId="188" priority="52" operator="equal">
      <formula>6</formula>
    </cfRule>
    <cfRule type="cellIs" dxfId="187" priority="53" operator="equal">
      <formula>5.5</formula>
    </cfRule>
    <cfRule type="cellIs" dxfId="186" priority="54" operator="equal">
      <formula>5</formula>
    </cfRule>
    <cfRule type="cellIs" dxfId="185" priority="55" operator="equal">
      <formula>4.5</formula>
    </cfRule>
    <cfRule type="cellIs" dxfId="184" priority="56" operator="equal">
      <formula>4</formula>
    </cfRule>
    <cfRule type="cellIs" dxfId="183" priority="57" operator="equal">
      <formula>3.5</formula>
    </cfRule>
    <cfRule type="cellIs" dxfId="182" priority="58" operator="equal">
      <formula>3</formula>
    </cfRule>
    <cfRule type="cellIs" dxfId="181" priority="59" operator="equal">
      <formula>2.5</formula>
    </cfRule>
    <cfRule type="cellIs" dxfId="180" priority="60" operator="equal">
      <formula>2</formula>
    </cfRule>
    <cfRule type="cellIs" dxfId="179" priority="61" operator="equal">
      <formula>1.5</formula>
    </cfRule>
    <cfRule type="cellIs" dxfId="178" priority="62" operator="equal">
      <formula>1</formula>
    </cfRule>
  </conditionalFormatting>
  <conditionalFormatting sqref="FP53">
    <cfRule type="cellIs" dxfId="177" priority="49" operator="between">
      <formula>1</formula>
      <formula>999</formula>
    </cfRule>
  </conditionalFormatting>
  <conditionalFormatting sqref="FP53">
    <cfRule type="cellIs" dxfId="176" priority="36" operator="greaterThan">
      <formula>6.6</formula>
    </cfRule>
    <cfRule type="cellIs" dxfId="175" priority="37" operator="equal">
      <formula>6.5</formula>
    </cfRule>
    <cfRule type="cellIs" dxfId="174" priority="38" operator="equal">
      <formula>6</formula>
    </cfRule>
    <cfRule type="cellIs" dxfId="173" priority="39" operator="equal">
      <formula>5.5</formula>
    </cfRule>
    <cfRule type="cellIs" dxfId="172" priority="40" operator="equal">
      <formula>5</formula>
    </cfRule>
    <cfRule type="cellIs" dxfId="171" priority="41" operator="equal">
      <formula>4.5</formula>
    </cfRule>
    <cfRule type="cellIs" dxfId="170" priority="42" operator="equal">
      <formula>4</formula>
    </cfRule>
    <cfRule type="cellIs" dxfId="169" priority="43" operator="equal">
      <formula>3.5</formula>
    </cfRule>
    <cfRule type="cellIs" dxfId="168" priority="44" operator="equal">
      <formula>3</formula>
    </cfRule>
    <cfRule type="cellIs" dxfId="167" priority="45" operator="equal">
      <formula>2.5</formula>
    </cfRule>
    <cfRule type="cellIs" dxfId="166" priority="46" operator="equal">
      <formula>2</formula>
    </cfRule>
    <cfRule type="cellIs" dxfId="165" priority="47" operator="equal">
      <formula>1.5</formula>
    </cfRule>
    <cfRule type="cellIs" dxfId="164" priority="48" operator="equal">
      <formula>1</formula>
    </cfRule>
  </conditionalFormatting>
  <conditionalFormatting sqref="FP53">
    <cfRule type="cellIs" dxfId="163" priority="35" operator="between">
      <formula>1</formula>
      <formula>999</formula>
    </cfRule>
  </conditionalFormatting>
  <conditionalFormatting sqref="FP53">
    <cfRule type="cellIs" dxfId="162" priority="22" operator="greaterThan">
      <formula>6.6</formula>
    </cfRule>
    <cfRule type="cellIs" dxfId="161" priority="23" operator="equal">
      <formula>6.5</formula>
    </cfRule>
    <cfRule type="cellIs" dxfId="160" priority="24" operator="equal">
      <formula>6</formula>
    </cfRule>
    <cfRule type="cellIs" dxfId="159" priority="25" operator="equal">
      <formula>5.5</formula>
    </cfRule>
    <cfRule type="cellIs" dxfId="158" priority="26" operator="equal">
      <formula>5</formula>
    </cfRule>
    <cfRule type="cellIs" dxfId="157" priority="27" operator="equal">
      <formula>4.5</formula>
    </cfRule>
    <cfRule type="cellIs" dxfId="156" priority="28" operator="equal">
      <formula>4</formula>
    </cfRule>
    <cfRule type="cellIs" dxfId="155" priority="29" operator="equal">
      <formula>3.5</formula>
    </cfRule>
    <cfRule type="cellIs" dxfId="154" priority="30" operator="equal">
      <formula>3</formula>
    </cfRule>
    <cfRule type="cellIs" dxfId="153" priority="31" operator="equal">
      <formula>2.5</formula>
    </cfRule>
    <cfRule type="cellIs" dxfId="152" priority="32" operator="equal">
      <formula>2</formula>
    </cfRule>
    <cfRule type="cellIs" dxfId="151" priority="33" operator="equal">
      <formula>1.5</formula>
    </cfRule>
    <cfRule type="cellIs" dxfId="150" priority="34" operator="equal">
      <formula>1</formula>
    </cfRule>
  </conditionalFormatting>
  <conditionalFormatting sqref="FP53">
    <cfRule type="cellIs" dxfId="149" priority="21" operator="between">
      <formula>1</formula>
      <formula>999</formula>
    </cfRule>
  </conditionalFormatting>
  <conditionalFormatting sqref="FP53">
    <cfRule type="cellIs" dxfId="148" priority="8" operator="greaterThan">
      <formula>6.6</formula>
    </cfRule>
    <cfRule type="cellIs" dxfId="147" priority="9" operator="equal">
      <formula>6.5</formula>
    </cfRule>
    <cfRule type="cellIs" dxfId="146" priority="10" operator="equal">
      <formula>6</formula>
    </cfRule>
    <cfRule type="cellIs" dxfId="145" priority="11" operator="equal">
      <formula>5.5</formula>
    </cfRule>
    <cfRule type="cellIs" dxfId="144" priority="12" operator="equal">
      <formula>5</formula>
    </cfRule>
    <cfRule type="cellIs" dxfId="143" priority="13" operator="equal">
      <formula>4.5</formula>
    </cfRule>
    <cfRule type="cellIs" dxfId="142" priority="14" operator="equal">
      <formula>4</formula>
    </cfRule>
    <cfRule type="cellIs" dxfId="141" priority="15" operator="equal">
      <formula>3.5</formula>
    </cfRule>
    <cfRule type="cellIs" dxfId="140" priority="16" operator="equal">
      <formula>3</formula>
    </cfRule>
    <cfRule type="cellIs" dxfId="139" priority="17" operator="equal">
      <formula>2.5</formula>
    </cfRule>
    <cfRule type="cellIs" dxfId="138" priority="18" operator="equal">
      <formula>2</formula>
    </cfRule>
    <cfRule type="cellIs" dxfId="137" priority="19" operator="equal">
      <formula>1.5</formula>
    </cfRule>
    <cfRule type="cellIs" dxfId="136" priority="20" operator="equal">
      <formula>1</formula>
    </cfRule>
  </conditionalFormatting>
  <conditionalFormatting sqref="HA26 HA29:HA30">
    <cfRule type="cellIs" dxfId="135" priority="7" operator="between">
      <formula>1</formula>
      <formula>999</formula>
    </cfRule>
  </conditionalFormatting>
  <conditionalFormatting sqref="HA39 HA42:HA43">
    <cfRule type="cellIs" dxfId="134" priority="6" operator="between">
      <formula>1</formula>
      <formula>999</formula>
    </cfRule>
  </conditionalFormatting>
  <conditionalFormatting sqref="CD7">
    <cfRule type="cellIs" dxfId="133" priority="5" operator="equal">
      <formula>"YES"</formula>
    </cfRule>
  </conditionalFormatting>
  <conditionalFormatting sqref="CD8">
    <cfRule type="cellIs" dxfId="132" priority="4" operator="equal">
      <formula>"YES"</formula>
    </cfRule>
  </conditionalFormatting>
  <conditionalFormatting sqref="CD9">
    <cfRule type="cellIs" dxfId="131" priority="3" operator="equal">
      <formula>"YES"</formula>
    </cfRule>
  </conditionalFormatting>
  <conditionalFormatting sqref="CD11">
    <cfRule type="cellIs" dxfId="130" priority="2" operator="equal">
      <formula>"YES"</formula>
    </cfRule>
  </conditionalFormatting>
  <conditionalFormatting sqref="FV39:FW40">
    <cfRule type="cellIs" dxfId="129" priority="1" operator="between">
      <formula>1</formula>
      <formula>999</formula>
    </cfRule>
  </conditionalFormatting>
  <pageMargins left="0.75" right="0.5" top="0.5" bottom="0.75" header="0.3" footer="0.3"/>
  <pageSetup scale="91" orientation="portrait" r:id="rId1"/>
  <headerFooter differentFirst="1" scaleWithDoc="0" alignWithMargins="0">
    <oddHeader>&amp;R&amp;G</oddHeader>
    <oddFooter>&amp;L&amp;9ecolibriumsolar.com&amp;C&amp;9Page &amp;P
507 Richland Ave., Athens, OH 45701&amp;R&amp;9 740-249-1877</oddFooter>
    <firstHeader>&amp;R&amp;G</firstHeader>
    <firstFooter>&amp;L&amp;9ecolibriumsolar.com&amp;C&amp;9Page &amp;P
507 Richland Ave., Athens, OH 45701&amp;R&amp;9 740-249-1877</firstFooter>
  </headerFooter>
  <rowBreaks count="1" manualBreakCount="1">
    <brk id="56" max="16383" man="1"/>
  </rowBreaks>
  <colBreaks count="6" manualBreakCount="6">
    <brk id="30" max="1048575" man="1"/>
    <brk id="60" max="1048575" man="1"/>
    <brk id="90" max="1048575" man="1"/>
    <brk id="122" max="1048575" man="1"/>
    <brk id="153" max="1048575" man="1"/>
    <brk id="183" max="1048575"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rgb="FF55A648"/>
  </sheetPr>
  <dimension ref="A1:BJ53"/>
  <sheetViews>
    <sheetView view="pageBreakPreview" zoomScale="70" zoomScaleNormal="100" zoomScaleSheetLayoutView="70" zoomScalePageLayoutView="55" workbookViewId="0">
      <selection activeCell="B2" sqref="B2"/>
    </sheetView>
  </sheetViews>
  <sheetFormatPr defaultColWidth="3.28515625" defaultRowHeight="13.5" customHeight="1"/>
  <cols>
    <col min="1" max="1" width="3.28515625" style="396" customWidth="1"/>
    <col min="2" max="30" width="3.28515625" style="396"/>
    <col min="31" max="31" width="4.7109375" style="396" bestFit="1" customWidth="1"/>
    <col min="32" max="60" width="3.28515625" style="396"/>
    <col min="61" max="62" width="0.28515625" style="396" customWidth="1"/>
    <col min="63" max="16384" width="3.28515625" style="396"/>
  </cols>
  <sheetData>
    <row r="1" spans="1:61" s="408" customFormat="1" ht="13.5" customHeight="1">
      <c r="A1" s="408" t="str">
        <f>"Uplift, Sliding, &amp; Seismic Calculations for the Proposed Project in "&amp;'5-Report'!J13</f>
        <v>Uplift, Sliding, &amp; Seismic Calculations for the Proposed Project in Reno, NV 89523</v>
      </c>
      <c r="AE1" s="408" t="str">
        <f>"Uplift, Sliding, &amp; Seismic Calculations for the Proposed Project in "&amp;'5-Report'!J13</f>
        <v>Uplift, Sliding, &amp; Seismic Calculations for the Proposed Project in Reno, NV 89523</v>
      </c>
    </row>
    <row r="4" spans="1:61" ht="13.5" customHeight="1">
      <c r="A4" s="2209" t="s">
        <v>19488</v>
      </c>
      <c r="B4" s="2209"/>
      <c r="C4" s="2209"/>
      <c r="D4" s="2209"/>
      <c r="E4" s="2209"/>
      <c r="F4" s="2209"/>
      <c r="G4" s="2209"/>
      <c r="H4" s="2209"/>
      <c r="I4" s="2209"/>
      <c r="J4" s="2209"/>
      <c r="K4" s="2209"/>
      <c r="L4" s="2209"/>
      <c r="M4" s="2209"/>
      <c r="N4" s="2209"/>
      <c r="O4" s="2209"/>
      <c r="P4" s="2209"/>
      <c r="Q4" s="2209"/>
      <c r="R4" s="2209"/>
      <c r="S4" s="2209"/>
      <c r="T4" s="2209"/>
      <c r="U4" s="2209"/>
      <c r="V4" s="2209"/>
      <c r="W4" s="2209"/>
      <c r="X4" s="2209"/>
      <c r="Y4" s="2209"/>
      <c r="Z4" s="2209"/>
      <c r="AA4" s="2209"/>
      <c r="AB4" s="2209"/>
      <c r="AC4" s="2209"/>
      <c r="AD4" s="2209"/>
      <c r="AF4" s="759"/>
      <c r="AG4" s="759"/>
      <c r="AH4" s="759"/>
      <c r="AI4" s="759"/>
      <c r="AJ4" s="759"/>
      <c r="AK4" s="759"/>
      <c r="AL4" s="759"/>
      <c r="AM4" s="759"/>
      <c r="AN4" s="759"/>
      <c r="AO4" s="759"/>
      <c r="AP4" s="759"/>
      <c r="AQ4" s="759"/>
      <c r="AR4" s="759"/>
      <c r="AS4" s="759"/>
      <c r="AT4" s="759"/>
      <c r="AU4" s="759"/>
      <c r="AV4" s="759"/>
      <c r="AW4" s="759"/>
      <c r="AX4" s="759"/>
      <c r="AY4" s="759"/>
      <c r="AZ4" s="759"/>
      <c r="BA4" s="759"/>
      <c r="BB4" s="759"/>
      <c r="BC4" s="759"/>
      <c r="BD4" s="759"/>
      <c r="BE4" s="759"/>
      <c r="BF4" s="759"/>
      <c r="BG4" s="759"/>
      <c r="BH4" s="759"/>
      <c r="BI4" s="447"/>
    </row>
    <row r="5" spans="1:61" ht="13.5" customHeight="1">
      <c r="A5" s="2209"/>
      <c r="B5" s="2209"/>
      <c r="C5" s="2209"/>
      <c r="D5" s="2209"/>
      <c r="E5" s="2209"/>
      <c r="F5" s="2209"/>
      <c r="G5" s="2209"/>
      <c r="H5" s="2209"/>
      <c r="I5" s="2209"/>
      <c r="J5" s="2209"/>
      <c r="K5" s="2209"/>
      <c r="L5" s="2209"/>
      <c r="M5" s="2209"/>
      <c r="N5" s="2209"/>
      <c r="O5" s="2209"/>
      <c r="P5" s="2209"/>
      <c r="Q5" s="2209"/>
      <c r="R5" s="2209"/>
      <c r="S5" s="2209"/>
      <c r="T5" s="2209"/>
      <c r="U5" s="2209"/>
      <c r="V5" s="2209"/>
      <c r="W5" s="2209"/>
      <c r="X5" s="2209"/>
      <c r="Y5" s="2209"/>
      <c r="Z5" s="2209"/>
      <c r="AA5" s="2209"/>
      <c r="AB5" s="2209"/>
      <c r="AC5" s="2209"/>
      <c r="AD5" s="2209"/>
      <c r="AE5" s="2375" t="s">
        <v>19863</v>
      </c>
      <c r="AF5" s="2375"/>
      <c r="AG5" s="2375"/>
      <c r="AH5" s="2375"/>
      <c r="AI5" s="2375"/>
      <c r="AJ5" s="2375"/>
      <c r="AK5" s="2375"/>
      <c r="AL5" s="2375"/>
      <c r="AM5" s="2375"/>
      <c r="AN5" s="2375"/>
      <c r="AO5" s="2375"/>
      <c r="AP5" s="2375"/>
      <c r="AQ5" s="2375"/>
      <c r="AR5" s="2375"/>
      <c r="AS5" s="2375"/>
      <c r="AT5" s="2375"/>
      <c r="AU5" s="2375"/>
      <c r="AV5" s="2375"/>
      <c r="AW5" s="2375"/>
      <c r="AX5" s="2375"/>
      <c r="AY5" s="2375"/>
      <c r="AZ5" s="2375"/>
      <c r="BA5" s="2375"/>
      <c r="BB5" s="2375"/>
      <c r="BC5" s="2375"/>
      <c r="BD5" s="2375"/>
      <c r="BE5" s="2375"/>
      <c r="BF5" s="2375"/>
      <c r="BG5" s="2375"/>
      <c r="BH5" s="2375"/>
      <c r="BI5" s="447"/>
    </row>
    <row r="6" spans="1:61" ht="13.5" customHeight="1">
      <c r="A6" s="2375" t="s">
        <v>19860</v>
      </c>
      <c r="B6" s="2375"/>
      <c r="C6" s="2375"/>
      <c r="D6" s="2375"/>
      <c r="E6" s="2375"/>
      <c r="F6" s="2375"/>
      <c r="G6" s="2375"/>
      <c r="H6" s="2375"/>
      <c r="I6" s="2375"/>
      <c r="J6" s="2375"/>
      <c r="K6" s="2375"/>
      <c r="L6" s="2375"/>
      <c r="M6" s="2375"/>
      <c r="N6" s="2375"/>
      <c r="O6" s="2375"/>
      <c r="P6" s="2375"/>
      <c r="Q6" s="2375"/>
      <c r="R6" s="2375"/>
      <c r="S6" s="2375"/>
      <c r="T6" s="2375"/>
      <c r="U6" s="2375"/>
      <c r="V6" s="2375"/>
      <c r="W6" s="2375"/>
      <c r="X6" s="2375"/>
      <c r="Y6" s="2375"/>
      <c r="Z6" s="2375"/>
      <c r="AA6" s="2375"/>
      <c r="AB6" s="2375"/>
      <c r="AC6" s="2375"/>
      <c r="AD6" s="2375"/>
      <c r="AE6" s="2375"/>
      <c r="AF6" s="2375"/>
      <c r="AG6" s="2375"/>
      <c r="AH6" s="2375"/>
      <c r="AI6" s="2375"/>
      <c r="AJ6" s="2375"/>
      <c r="AK6" s="2375"/>
      <c r="AL6" s="2375"/>
      <c r="AM6" s="2375"/>
      <c r="AN6" s="2375"/>
      <c r="AO6" s="2375"/>
      <c r="AP6" s="2375"/>
      <c r="AQ6" s="2375"/>
      <c r="AR6" s="2375"/>
      <c r="AS6" s="2375"/>
      <c r="AT6" s="2375"/>
      <c r="AU6" s="2375"/>
      <c r="AV6" s="2375"/>
      <c r="AW6" s="2375"/>
      <c r="AX6" s="2375"/>
      <c r="AY6" s="2375"/>
      <c r="AZ6" s="2375"/>
      <c r="BA6" s="2375"/>
      <c r="BB6" s="2375"/>
      <c r="BC6" s="2375"/>
      <c r="BD6" s="2375"/>
      <c r="BE6" s="2375"/>
      <c r="BF6" s="2375"/>
      <c r="BG6" s="2375"/>
      <c r="BH6" s="2375"/>
      <c r="BI6" s="447"/>
    </row>
    <row r="7" spans="1:61" ht="13.5" customHeight="1">
      <c r="A7" s="2375"/>
      <c r="B7" s="2375"/>
      <c r="C7" s="2375"/>
      <c r="D7" s="2375"/>
      <c r="E7" s="2375"/>
      <c r="F7" s="2375"/>
      <c r="G7" s="2375"/>
      <c r="H7" s="2375"/>
      <c r="I7" s="2375"/>
      <c r="J7" s="2375"/>
      <c r="K7" s="2375"/>
      <c r="L7" s="2375"/>
      <c r="M7" s="2375"/>
      <c r="N7" s="2375"/>
      <c r="O7" s="2375"/>
      <c r="P7" s="2375"/>
      <c r="Q7" s="2375"/>
      <c r="R7" s="2375"/>
      <c r="S7" s="2375"/>
      <c r="T7" s="2375"/>
      <c r="U7" s="2375"/>
      <c r="V7" s="2375"/>
      <c r="W7" s="2375"/>
      <c r="X7" s="2375"/>
      <c r="Y7" s="2375"/>
      <c r="Z7" s="2375"/>
      <c r="AA7" s="2375"/>
      <c r="AB7" s="2375"/>
      <c r="AC7" s="2375"/>
      <c r="AD7" s="2375"/>
      <c r="AE7" s="2375"/>
      <c r="AF7" s="2375"/>
      <c r="AG7" s="2375"/>
      <c r="AH7" s="2375"/>
      <c r="AI7" s="2375"/>
      <c r="AJ7" s="2375"/>
      <c r="AK7" s="2375"/>
      <c r="AL7" s="2375"/>
      <c r="AM7" s="2375"/>
      <c r="AN7" s="2375"/>
      <c r="AO7" s="2375"/>
      <c r="AP7" s="2375"/>
      <c r="AQ7" s="2375"/>
      <c r="AR7" s="2375"/>
      <c r="AS7" s="2375"/>
      <c r="AT7" s="2375"/>
      <c r="AU7" s="2375"/>
      <c r="AV7" s="2375"/>
      <c r="AW7" s="2375"/>
      <c r="AX7" s="2375"/>
      <c r="AY7" s="2375"/>
      <c r="AZ7" s="2375"/>
      <c r="BA7" s="2375"/>
      <c r="BB7" s="2375"/>
      <c r="BC7" s="2375"/>
      <c r="BD7" s="2375"/>
      <c r="BE7" s="2375"/>
      <c r="BF7" s="2375"/>
      <c r="BG7" s="2375"/>
      <c r="BH7" s="2375"/>
      <c r="BI7" s="447"/>
    </row>
    <row r="8" spans="1:61" ht="13.5" customHeight="1">
      <c r="A8" s="2375"/>
      <c r="B8" s="2375"/>
      <c r="C8" s="2375"/>
      <c r="D8" s="2375"/>
      <c r="E8" s="2375"/>
      <c r="F8" s="2375"/>
      <c r="G8" s="2375"/>
      <c r="H8" s="2375"/>
      <c r="I8" s="2375"/>
      <c r="J8" s="2375"/>
      <c r="K8" s="2375"/>
      <c r="L8" s="2375"/>
      <c r="M8" s="2375"/>
      <c r="N8" s="2375"/>
      <c r="O8" s="2375"/>
      <c r="P8" s="2375"/>
      <c r="Q8" s="2375"/>
      <c r="R8" s="2375"/>
      <c r="S8" s="2375"/>
      <c r="T8" s="2375"/>
      <c r="U8" s="2375"/>
      <c r="V8" s="2375"/>
      <c r="W8" s="2375"/>
      <c r="X8" s="2375"/>
      <c r="Y8" s="2375"/>
      <c r="Z8" s="2375"/>
      <c r="AA8" s="2375"/>
      <c r="AB8" s="2375"/>
      <c r="AC8" s="2375"/>
      <c r="AD8" s="2375"/>
      <c r="AE8" s="2375"/>
      <c r="AF8" s="2375"/>
      <c r="AG8" s="2375"/>
      <c r="AH8" s="2375"/>
      <c r="AI8" s="2375"/>
      <c r="AJ8" s="2375"/>
      <c r="AK8" s="2375"/>
      <c r="AL8" s="2375"/>
      <c r="AM8" s="2375"/>
      <c r="AN8" s="2375"/>
      <c r="AO8" s="2375"/>
      <c r="AP8" s="2375"/>
      <c r="AQ8" s="2375"/>
      <c r="AR8" s="2375"/>
      <c r="AS8" s="2375"/>
      <c r="AT8" s="2375"/>
      <c r="AU8" s="2375"/>
      <c r="AV8" s="2375"/>
      <c r="AW8" s="2375"/>
      <c r="AX8" s="2375"/>
      <c r="AY8" s="2375"/>
      <c r="AZ8" s="2375"/>
      <c r="BA8" s="2375"/>
      <c r="BB8" s="2375"/>
      <c r="BC8" s="2375"/>
      <c r="BD8" s="2375"/>
      <c r="BE8" s="2375"/>
      <c r="BF8" s="2375"/>
      <c r="BG8" s="2375"/>
      <c r="BH8" s="2375"/>
      <c r="BI8" s="447"/>
    </row>
    <row r="9" spans="1:61" ht="13.5" customHeight="1">
      <c r="A9" s="2375"/>
      <c r="B9" s="2375"/>
      <c r="C9" s="2375"/>
      <c r="D9" s="2375"/>
      <c r="E9" s="2375"/>
      <c r="F9" s="2375"/>
      <c r="G9" s="2375"/>
      <c r="H9" s="2375"/>
      <c r="I9" s="2375"/>
      <c r="J9" s="2375"/>
      <c r="K9" s="2375"/>
      <c r="L9" s="2375"/>
      <c r="M9" s="2375"/>
      <c r="N9" s="2375"/>
      <c r="O9" s="2375"/>
      <c r="P9" s="2375"/>
      <c r="Q9" s="2375"/>
      <c r="R9" s="2375"/>
      <c r="S9" s="2375"/>
      <c r="T9" s="2375"/>
      <c r="U9" s="2375"/>
      <c r="V9" s="2375"/>
      <c r="W9" s="2375"/>
      <c r="X9" s="2375"/>
      <c r="Y9" s="2375"/>
      <c r="Z9" s="2375"/>
      <c r="AA9" s="2375"/>
      <c r="AB9" s="2375"/>
      <c r="AC9" s="2375"/>
      <c r="AD9" s="2375"/>
      <c r="AE9" s="2375"/>
      <c r="AF9" s="2375"/>
      <c r="AG9" s="2375"/>
      <c r="AH9" s="2375"/>
      <c r="AI9" s="2375"/>
      <c r="AJ9" s="2375"/>
      <c r="AK9" s="2375"/>
      <c r="AL9" s="2375"/>
      <c r="AM9" s="2375"/>
      <c r="AN9" s="2375"/>
      <c r="AO9" s="2375"/>
      <c r="AP9" s="2375"/>
      <c r="AQ9" s="2375"/>
      <c r="AR9" s="2375"/>
      <c r="AS9" s="2375"/>
      <c r="AT9" s="2375"/>
      <c r="AU9" s="2375"/>
      <c r="AV9" s="2375"/>
      <c r="AW9" s="2375"/>
      <c r="AX9" s="2375"/>
      <c r="AY9" s="2375"/>
      <c r="AZ9" s="2375"/>
      <c r="BA9" s="2375"/>
      <c r="BB9" s="2375"/>
      <c r="BC9" s="2375"/>
      <c r="BD9" s="2375"/>
      <c r="BE9" s="2375"/>
      <c r="BF9" s="2375"/>
      <c r="BG9" s="2375"/>
      <c r="BH9" s="2375"/>
      <c r="BI9" s="447"/>
    </row>
    <row r="10" spans="1:61" ht="13.5" customHeight="1">
      <c r="A10" s="2375"/>
      <c r="B10" s="2375"/>
      <c r="C10" s="2375"/>
      <c r="D10" s="2375"/>
      <c r="E10" s="2375"/>
      <c r="F10" s="2375"/>
      <c r="G10" s="2375"/>
      <c r="H10" s="2375"/>
      <c r="I10" s="2375"/>
      <c r="J10" s="2375"/>
      <c r="K10" s="2375"/>
      <c r="L10" s="2375"/>
      <c r="M10" s="2375"/>
      <c r="N10" s="2375"/>
      <c r="O10" s="2375"/>
      <c r="P10" s="2375"/>
      <c r="Q10" s="2375"/>
      <c r="R10" s="2375"/>
      <c r="S10" s="2375"/>
      <c r="T10" s="2375"/>
      <c r="U10" s="2375"/>
      <c r="V10" s="2375"/>
      <c r="W10" s="2375"/>
      <c r="X10" s="2375"/>
      <c r="Y10" s="2375"/>
      <c r="Z10" s="2375"/>
      <c r="AA10" s="2375"/>
      <c r="AB10" s="2375"/>
      <c r="AC10" s="2375"/>
      <c r="AD10" s="2375"/>
      <c r="AE10" s="2375"/>
      <c r="AF10" s="2375"/>
      <c r="AG10" s="2375"/>
      <c r="AH10" s="2375"/>
      <c r="AI10" s="2375"/>
      <c r="AJ10" s="2375"/>
      <c r="AK10" s="2375"/>
      <c r="AL10" s="2375"/>
      <c r="AM10" s="2375"/>
      <c r="AN10" s="2375"/>
      <c r="AO10" s="2375"/>
      <c r="AP10" s="2375"/>
      <c r="AQ10" s="2375"/>
      <c r="AR10" s="2375"/>
      <c r="AS10" s="2375"/>
      <c r="AT10" s="2375"/>
      <c r="AU10" s="2375"/>
      <c r="AV10" s="2375"/>
      <c r="AW10" s="2375"/>
      <c r="AX10" s="2375"/>
      <c r="AY10" s="2375"/>
      <c r="AZ10" s="2375"/>
      <c r="BA10" s="2375"/>
      <c r="BB10" s="2375"/>
      <c r="BC10" s="2375"/>
      <c r="BD10" s="2375"/>
      <c r="BE10" s="2375"/>
      <c r="BF10" s="2375"/>
      <c r="BG10" s="2375"/>
      <c r="BH10" s="2375"/>
      <c r="BI10" s="447"/>
    </row>
    <row r="11" spans="1:61" ht="13.5" customHeight="1">
      <c r="A11" s="2375"/>
      <c r="B11" s="2375"/>
      <c r="C11" s="2375"/>
      <c r="D11" s="2375"/>
      <c r="E11" s="2375"/>
      <c r="F11" s="2375"/>
      <c r="G11" s="2375"/>
      <c r="H11" s="2375"/>
      <c r="I11" s="2375"/>
      <c r="J11" s="2375"/>
      <c r="K11" s="2375"/>
      <c r="L11" s="2375"/>
      <c r="M11" s="2375"/>
      <c r="N11" s="2375"/>
      <c r="O11" s="2375"/>
      <c r="P11" s="2375"/>
      <c r="Q11" s="2375"/>
      <c r="R11" s="2375"/>
      <c r="S11" s="2375"/>
      <c r="T11" s="2375"/>
      <c r="U11" s="2375"/>
      <c r="V11" s="2375"/>
      <c r="W11" s="2375"/>
      <c r="X11" s="2375"/>
      <c r="Y11" s="2375"/>
      <c r="Z11" s="2375"/>
      <c r="AA11" s="2375"/>
      <c r="AB11" s="2375"/>
      <c r="AC11" s="2375"/>
      <c r="AD11" s="2375"/>
      <c r="AE11" s="2375"/>
      <c r="AF11" s="2375"/>
      <c r="AG11" s="2375"/>
      <c r="AH11" s="2375"/>
      <c r="AI11" s="2375"/>
      <c r="AJ11" s="2375"/>
      <c r="AK11" s="2375"/>
      <c r="AL11" s="2375"/>
      <c r="AM11" s="2375"/>
      <c r="AN11" s="2375"/>
      <c r="AO11" s="2375"/>
      <c r="AP11" s="2375"/>
      <c r="AQ11" s="2375"/>
      <c r="AR11" s="2375"/>
      <c r="AS11" s="2375"/>
      <c r="AT11" s="2375"/>
      <c r="AU11" s="2375"/>
      <c r="AV11" s="2375"/>
      <c r="AW11" s="2375"/>
      <c r="AX11" s="2375"/>
      <c r="AY11" s="2375"/>
      <c r="AZ11" s="2375"/>
      <c r="BA11" s="2375"/>
      <c r="BB11" s="2375"/>
      <c r="BC11" s="2375"/>
      <c r="BD11" s="2375"/>
      <c r="BE11" s="2375"/>
      <c r="BF11" s="2375"/>
      <c r="BG11" s="2375"/>
      <c r="BH11" s="2375"/>
      <c r="BI11" s="447"/>
    </row>
    <row r="12" spans="1:61" ht="13.5" customHeight="1">
      <c r="A12" s="2375"/>
      <c r="B12" s="2375"/>
      <c r="C12" s="2375"/>
      <c r="D12" s="2375"/>
      <c r="E12" s="2375"/>
      <c r="F12" s="2375"/>
      <c r="G12" s="2375"/>
      <c r="H12" s="2375"/>
      <c r="I12" s="2375"/>
      <c r="J12" s="2375"/>
      <c r="K12" s="2375"/>
      <c r="L12" s="2375"/>
      <c r="M12" s="2375"/>
      <c r="N12" s="2375"/>
      <c r="O12" s="2375"/>
      <c r="P12" s="2375"/>
      <c r="Q12" s="2375"/>
      <c r="R12" s="2375"/>
      <c r="S12" s="2375"/>
      <c r="T12" s="2375"/>
      <c r="U12" s="2375"/>
      <c r="V12" s="2375"/>
      <c r="W12" s="2375"/>
      <c r="X12" s="2375"/>
      <c r="Y12" s="2375"/>
      <c r="Z12" s="2375"/>
      <c r="AA12" s="2375"/>
      <c r="AB12" s="2375"/>
      <c r="AC12" s="2375"/>
      <c r="AD12" s="2375"/>
      <c r="AE12" s="2375"/>
      <c r="AF12" s="2375"/>
      <c r="AG12" s="2375"/>
      <c r="AH12" s="2375"/>
      <c r="AI12" s="2375"/>
      <c r="AJ12" s="2375"/>
      <c r="AK12" s="2375"/>
      <c r="AL12" s="2375"/>
      <c r="AM12" s="2375"/>
      <c r="AN12" s="2375"/>
      <c r="AO12" s="2375"/>
      <c r="AP12" s="2375"/>
      <c r="AQ12" s="2375"/>
      <c r="AR12" s="2375"/>
      <c r="AS12" s="2375"/>
      <c r="AT12" s="2375"/>
      <c r="AU12" s="2375"/>
      <c r="AV12" s="2375"/>
      <c r="AW12" s="2375"/>
      <c r="AX12" s="2375"/>
      <c r="AY12" s="2375"/>
      <c r="AZ12" s="2375"/>
      <c r="BA12" s="2375"/>
      <c r="BB12" s="2375"/>
      <c r="BC12" s="2375"/>
      <c r="BD12" s="2375"/>
      <c r="BE12" s="2375"/>
      <c r="BF12" s="2375"/>
      <c r="BG12" s="2375"/>
      <c r="BH12" s="2375"/>
      <c r="BI12" s="447"/>
    </row>
    <row r="13" spans="1:61" ht="13.5" customHeight="1">
      <c r="A13" s="2375"/>
      <c r="B13" s="2375"/>
      <c r="C13" s="2375"/>
      <c r="D13" s="2375"/>
      <c r="E13" s="2375"/>
      <c r="F13" s="2375"/>
      <c r="G13" s="2375"/>
      <c r="H13" s="2375"/>
      <c r="I13" s="2375"/>
      <c r="J13" s="2375"/>
      <c r="K13" s="2375"/>
      <c r="L13" s="2375"/>
      <c r="M13" s="2375"/>
      <c r="N13" s="2375"/>
      <c r="O13" s="2375"/>
      <c r="P13" s="2375"/>
      <c r="Q13" s="2375"/>
      <c r="R13" s="2375"/>
      <c r="S13" s="2375"/>
      <c r="T13" s="2375"/>
      <c r="U13" s="2375"/>
      <c r="V13" s="2375"/>
      <c r="W13" s="2375"/>
      <c r="X13" s="2375"/>
      <c r="Y13" s="2375"/>
      <c r="Z13" s="2375"/>
      <c r="AA13" s="2375"/>
      <c r="AB13" s="2375"/>
      <c r="AC13" s="2375"/>
      <c r="AD13" s="2375"/>
      <c r="AE13" s="2375"/>
      <c r="AF13" s="2375"/>
      <c r="AG13" s="2375"/>
      <c r="AH13" s="2375"/>
      <c r="AI13" s="2375"/>
      <c r="AJ13" s="2375"/>
      <c r="AK13" s="2375"/>
      <c r="AL13" s="2375"/>
      <c r="AM13" s="2375"/>
      <c r="AN13" s="2375"/>
      <c r="AO13" s="2375"/>
      <c r="AP13" s="2375"/>
      <c r="AQ13" s="2375"/>
      <c r="AR13" s="2375"/>
      <c r="AS13" s="2375"/>
      <c r="AT13" s="2375"/>
      <c r="AU13" s="2375"/>
      <c r="AV13" s="2375"/>
      <c r="AW13" s="2375"/>
      <c r="AX13" s="2375"/>
      <c r="AY13" s="2375"/>
      <c r="AZ13" s="2375"/>
      <c r="BA13" s="2375"/>
      <c r="BB13" s="2375"/>
      <c r="BC13" s="2375"/>
      <c r="BD13" s="2375"/>
      <c r="BE13" s="2375"/>
      <c r="BF13" s="2375"/>
      <c r="BG13" s="2375"/>
      <c r="BH13" s="2375"/>
      <c r="BI13" s="447"/>
    </row>
    <row r="14" spans="1:61" ht="13.5" customHeight="1">
      <c r="AE14" s="2375"/>
      <c r="AF14" s="2375"/>
      <c r="AG14" s="2375"/>
      <c r="AH14" s="2375"/>
      <c r="AI14" s="2375"/>
      <c r="AJ14" s="2375"/>
      <c r="AK14" s="2375"/>
      <c r="AL14" s="2375"/>
      <c r="AM14" s="2375"/>
      <c r="AN14" s="2375"/>
      <c r="AO14" s="2375"/>
      <c r="AP14" s="2375"/>
      <c r="AQ14" s="2375"/>
      <c r="AR14" s="2375"/>
      <c r="AS14" s="2375"/>
      <c r="AT14" s="2375"/>
      <c r="AU14" s="2375"/>
      <c r="AV14" s="2375"/>
      <c r="AW14" s="2375"/>
      <c r="AX14" s="2375"/>
      <c r="AY14" s="2375"/>
      <c r="AZ14" s="2375"/>
      <c r="BA14" s="2375"/>
      <c r="BB14" s="2375"/>
      <c r="BC14" s="2375"/>
      <c r="BD14" s="2375"/>
      <c r="BE14" s="2375"/>
      <c r="BF14" s="2375"/>
      <c r="BG14" s="2375"/>
      <c r="BH14" s="2375"/>
      <c r="BI14" s="447"/>
    </row>
    <row r="15" spans="1:61" ht="13.5" customHeight="1">
      <c r="K15" s="2380" t="s">
        <v>19490</v>
      </c>
      <c r="L15" s="2380"/>
      <c r="M15" s="2380"/>
      <c r="N15" s="2380"/>
      <c r="O15" s="2380"/>
      <c r="P15" s="2380"/>
      <c r="Q15" s="2380"/>
      <c r="R15" s="2380"/>
      <c r="S15" s="2380"/>
      <c r="AE15" s="2375"/>
      <c r="AF15" s="2375"/>
      <c r="AG15" s="2375"/>
      <c r="AH15" s="2375"/>
      <c r="AI15" s="2375"/>
      <c r="AJ15" s="2375"/>
      <c r="AK15" s="2375"/>
      <c r="AL15" s="2375"/>
      <c r="AM15" s="2375"/>
      <c r="AN15" s="2375"/>
      <c r="AO15" s="2375"/>
      <c r="AP15" s="2375"/>
      <c r="AQ15" s="2375"/>
      <c r="AR15" s="2375"/>
      <c r="AS15" s="2375"/>
      <c r="AT15" s="2375"/>
      <c r="AU15" s="2375"/>
      <c r="AV15" s="2375"/>
      <c r="AW15" s="2375"/>
      <c r="AX15" s="2375"/>
      <c r="AY15" s="2375"/>
      <c r="AZ15" s="2375"/>
      <c r="BA15" s="2375"/>
      <c r="BB15" s="2375"/>
      <c r="BC15" s="2375"/>
      <c r="BD15" s="2375"/>
      <c r="BE15" s="2375"/>
      <c r="BF15" s="2375"/>
      <c r="BG15" s="2375"/>
      <c r="BH15" s="2375"/>
      <c r="BI15" s="447"/>
    </row>
    <row r="16" spans="1:61" ht="13.5" customHeight="1">
      <c r="H16" s="446"/>
      <c r="K16" s="2376" t="str">
        <f>'Seismic Calcs (Unattached)'!B3</f>
        <v>Site Class</v>
      </c>
      <c r="L16" s="2377"/>
      <c r="M16" s="2377"/>
      <c r="N16" s="2377"/>
      <c r="O16" s="2377"/>
      <c r="P16" s="2377"/>
      <c r="Q16" s="2377"/>
      <c r="R16" s="2381" t="str">
        <f>'Seismic Calcs (Unattached)'!C3</f>
        <v>D</v>
      </c>
      <c r="S16" s="2382"/>
      <c r="AE16" s="759"/>
      <c r="AF16" s="759"/>
      <c r="AG16" s="759"/>
      <c r="AH16" s="759"/>
      <c r="AI16" s="759"/>
      <c r="AJ16" s="759"/>
      <c r="AK16" s="759"/>
      <c r="AL16" s="759"/>
      <c r="AM16" s="759"/>
      <c r="AN16" s="759"/>
      <c r="AO16" s="759"/>
      <c r="AP16" s="759"/>
      <c r="AQ16" s="759"/>
      <c r="AR16" s="759"/>
      <c r="AS16" s="759"/>
      <c r="AT16" s="759"/>
      <c r="AU16" s="759"/>
      <c r="AV16" s="759"/>
      <c r="AW16" s="759"/>
      <c r="AX16" s="759"/>
      <c r="AY16" s="759"/>
      <c r="AZ16" s="759"/>
      <c r="BA16" s="759"/>
      <c r="BB16" s="759"/>
      <c r="BC16" s="759"/>
      <c r="BD16" s="759"/>
      <c r="BE16" s="759"/>
      <c r="BF16" s="759"/>
      <c r="BG16" s="759"/>
      <c r="BH16" s="759"/>
      <c r="BI16" s="447"/>
    </row>
    <row r="17" spans="1:61" ht="13.5" customHeight="1">
      <c r="K17" s="2376" t="str">
        <f>'Seismic Calcs (Unattached)'!B4</f>
        <v>Seismic Design Category</v>
      </c>
      <c r="L17" s="2377"/>
      <c r="M17" s="2377"/>
      <c r="N17" s="2377"/>
      <c r="O17" s="2377"/>
      <c r="P17" s="2377"/>
      <c r="Q17" s="2377"/>
      <c r="R17" s="2378" t="str">
        <f>'Seismic Calcs (Unattached)'!C4</f>
        <v>D</v>
      </c>
      <c r="S17" s="2379"/>
      <c r="AE17" s="759"/>
      <c r="AF17" s="759"/>
      <c r="AG17" s="759"/>
      <c r="AH17" s="759"/>
      <c r="AI17" s="759"/>
      <c r="AJ17" s="759"/>
      <c r="AK17" s="759"/>
      <c r="AL17" s="759"/>
      <c r="AM17" s="2383" t="s">
        <v>19492</v>
      </c>
      <c r="AN17" s="2383"/>
      <c r="AO17" s="2383"/>
      <c r="AP17" s="2383"/>
      <c r="AQ17" s="2383"/>
      <c r="AR17" s="2383"/>
      <c r="AS17" s="2383"/>
      <c r="AT17" s="2383"/>
      <c r="AU17" s="2383"/>
      <c r="AV17" s="2383"/>
      <c r="AW17" s="2383"/>
      <c r="AX17" s="2383"/>
      <c r="AY17" s="2383"/>
      <c r="AZ17" s="759"/>
      <c r="BA17" s="759"/>
      <c r="BB17" s="759"/>
      <c r="BC17" s="759"/>
      <c r="BD17" s="759"/>
      <c r="BE17" s="759"/>
      <c r="BF17" s="759"/>
      <c r="BG17" s="759"/>
      <c r="BH17" s="759"/>
      <c r="BI17" s="447"/>
    </row>
    <row r="18" spans="1:61" ht="13.5" customHeight="1">
      <c r="K18" s="2376" t="str">
        <f>'Seismic Calcs (Unattached)'!B5</f>
        <v>Ip</v>
      </c>
      <c r="L18" s="2377"/>
      <c r="M18" s="2377"/>
      <c r="N18" s="2377"/>
      <c r="O18" s="2377"/>
      <c r="P18" s="2377"/>
      <c r="Q18" s="2377"/>
      <c r="R18" s="2378">
        <f>'Seismic Calcs (Unattached)'!C5</f>
        <v>1</v>
      </c>
      <c r="S18" s="2379"/>
      <c r="AE18" s="759"/>
      <c r="AF18" s="759"/>
      <c r="AG18" s="759"/>
      <c r="AH18" s="759"/>
      <c r="AI18" s="759"/>
      <c r="AJ18" s="759"/>
      <c r="AK18" s="759"/>
      <c r="AL18" s="759"/>
      <c r="AM18" s="2397" t="s">
        <v>301</v>
      </c>
      <c r="AN18" s="2398"/>
      <c r="AO18" s="2398"/>
      <c r="AP18" s="2398"/>
      <c r="AQ18" s="2398"/>
      <c r="AR18" s="2398"/>
      <c r="AS18" s="2388" t="s">
        <v>19479</v>
      </c>
      <c r="AT18" s="2389"/>
      <c r="AU18" s="2389"/>
      <c r="AV18" s="2389"/>
      <c r="AW18" s="2389"/>
      <c r="AX18" s="2389"/>
      <c r="AY18" s="2390"/>
      <c r="AZ18" s="759"/>
      <c r="BA18" s="759"/>
      <c r="BB18" s="759"/>
      <c r="BC18" s="759"/>
      <c r="BD18" s="759"/>
      <c r="BE18" s="759"/>
      <c r="BF18" s="759"/>
      <c r="BG18" s="759"/>
      <c r="BH18" s="759"/>
      <c r="BI18" s="447"/>
    </row>
    <row r="19" spans="1:61" ht="13.5" customHeight="1">
      <c r="K19" s="2376" t="str">
        <f>'Seismic Calcs (Unattached)'!B6</f>
        <v>Fa (Site Class D)</v>
      </c>
      <c r="L19" s="2377"/>
      <c r="M19" s="2377"/>
      <c r="N19" s="2377"/>
      <c r="O19" s="2377"/>
      <c r="P19" s="2377"/>
      <c r="Q19" s="2377"/>
      <c r="R19" s="2378">
        <f>'Seismic Calcs (Unattached)'!C6</f>
        <v>1</v>
      </c>
      <c r="S19" s="2379"/>
      <c r="AE19" s="424"/>
      <c r="AF19" s="424"/>
      <c r="AG19" s="424"/>
      <c r="AH19" s="424"/>
      <c r="AI19" s="424"/>
      <c r="AJ19" s="424"/>
      <c r="AK19" s="424"/>
      <c r="AL19" s="424"/>
      <c r="AM19" s="2384" t="s">
        <v>19480</v>
      </c>
      <c r="AN19" s="2385"/>
      <c r="AO19" s="2385"/>
      <c r="AP19" s="2385"/>
      <c r="AQ19" s="2385"/>
      <c r="AR19" s="2386"/>
      <c r="AS19" s="2381" t="s">
        <v>19483</v>
      </c>
      <c r="AT19" s="2387"/>
      <c r="AU19" s="2387"/>
      <c r="AV19" s="2387"/>
      <c r="AW19" s="2387"/>
      <c r="AX19" s="2387"/>
      <c r="AY19" s="2382"/>
      <c r="AZ19" s="424"/>
      <c r="BA19" s="424"/>
      <c r="BB19" s="424"/>
      <c r="BC19" s="424"/>
      <c r="BD19" s="424"/>
      <c r="BE19" s="424"/>
      <c r="BF19" s="424"/>
      <c r="BG19" s="424"/>
      <c r="BH19" s="424"/>
      <c r="BI19" s="424"/>
    </row>
    <row r="20" spans="1:61" ht="13.5" customHeight="1">
      <c r="K20" s="2376" t="str">
        <f>'Seismic Calcs (Unattached)'!B7</f>
        <v>Fa (Site Class E)</v>
      </c>
      <c r="L20" s="2377"/>
      <c r="M20" s="2377"/>
      <c r="N20" s="2377"/>
      <c r="O20" s="2377"/>
      <c r="P20" s="2377"/>
      <c r="Q20" s="2377"/>
      <c r="R20" s="2378">
        <f>'Seismic Calcs (Unattached)'!C7</f>
        <v>0.9</v>
      </c>
      <c r="S20" s="2379"/>
      <c r="AE20" s="424"/>
      <c r="AF20" s="424"/>
      <c r="AG20" s="424"/>
      <c r="AH20" s="424"/>
      <c r="AI20" s="424"/>
      <c r="AJ20" s="424"/>
      <c r="AK20" s="424"/>
      <c r="AL20" s="424"/>
      <c r="AM20" s="2391" t="s">
        <v>19481</v>
      </c>
      <c r="AN20" s="2392"/>
      <c r="AO20" s="2392"/>
      <c r="AP20" s="2392"/>
      <c r="AQ20" s="2392"/>
      <c r="AR20" s="2393"/>
      <c r="AS20" s="2394" t="s">
        <v>19482</v>
      </c>
      <c r="AT20" s="2395"/>
      <c r="AU20" s="2395"/>
      <c r="AV20" s="2395"/>
      <c r="AW20" s="2395"/>
      <c r="AX20" s="2395"/>
      <c r="AY20" s="2396"/>
      <c r="AZ20" s="424"/>
      <c r="BA20" s="424"/>
      <c r="BB20" s="424"/>
      <c r="BC20" s="424"/>
      <c r="BD20" s="424"/>
      <c r="BE20" s="424"/>
      <c r="BF20" s="424"/>
      <c r="BG20" s="424"/>
      <c r="BH20" s="424"/>
      <c r="BI20" s="424"/>
    </row>
    <row r="21" spans="1:61" ht="13.5" customHeight="1">
      <c r="K21" s="2376" t="str">
        <f>'Seismic Calcs (Unattached)'!B8</f>
        <v>Sms = Fa x Ss</v>
      </c>
      <c r="L21" s="2377"/>
      <c r="M21" s="2377"/>
      <c r="N21" s="2377"/>
      <c r="O21" s="2377"/>
      <c r="P21" s="2377"/>
      <c r="Q21" s="2377"/>
      <c r="R21" s="2378">
        <f>'Seismic Calcs (Unattached)'!C8</f>
        <v>1.675</v>
      </c>
      <c r="S21" s="2379"/>
    </row>
    <row r="22" spans="1:61" ht="13.5" customHeight="1">
      <c r="K22" s="2376" t="str">
        <f>'Seismic Calcs (Unattached)'!B9</f>
        <v>Sds = (2/3) x Sms</v>
      </c>
      <c r="L22" s="2377"/>
      <c r="M22" s="2377"/>
      <c r="N22" s="2377"/>
      <c r="O22" s="2377"/>
      <c r="P22" s="2377"/>
      <c r="Q22" s="2377"/>
      <c r="R22" s="2378">
        <f>'Seismic Calcs (Unattached)'!C9</f>
        <v>1.1166666666666667</v>
      </c>
      <c r="S22" s="2379"/>
      <c r="AF22" s="425"/>
    </row>
    <row r="23" spans="1:61" ht="13.5" customHeight="1">
      <c r="K23" s="2376" t="str">
        <f>'Seismic Calcs (Unattached)'!B10</f>
        <v>Occupancy Category</v>
      </c>
      <c r="L23" s="2377"/>
      <c r="M23" s="2377"/>
      <c r="N23" s="2377"/>
      <c r="O23" s="2377"/>
      <c r="P23" s="2377"/>
      <c r="Q23" s="2377"/>
      <c r="R23" s="2378" t="str">
        <f>'Seismic Calcs (Unattached)'!C10</f>
        <v>II</v>
      </c>
      <c r="S23" s="2379"/>
    </row>
    <row r="24" spans="1:61" ht="13.5" customHeight="1">
      <c r="K24" s="2408" t="str">
        <f>'Seismic Calcs (Unattached)'!B11</f>
        <v>Ie</v>
      </c>
      <c r="L24" s="2409"/>
      <c r="M24" s="2409"/>
      <c r="N24" s="2409"/>
      <c r="O24" s="2409"/>
      <c r="P24" s="2409"/>
      <c r="Q24" s="2409"/>
      <c r="R24" s="2394">
        <f>'Seismic Calcs (Unattached)'!C11</f>
        <v>1</v>
      </c>
      <c r="S24" s="2396"/>
      <c r="AD24" s="413"/>
      <c r="AE24" s="2234" t="s">
        <v>19864</v>
      </c>
      <c r="AF24" s="2234"/>
      <c r="AG24" s="2234"/>
      <c r="AH24" s="2234"/>
      <c r="AI24" s="2234"/>
      <c r="AJ24" s="2234"/>
      <c r="AK24" s="2234"/>
      <c r="AL24" s="2234"/>
      <c r="AM24" s="2234"/>
      <c r="AN24" s="2234"/>
      <c r="AO24" s="2234"/>
      <c r="AP24" s="2234"/>
      <c r="AQ24" s="2234"/>
      <c r="AR24" s="2234"/>
      <c r="AS24" s="2234"/>
      <c r="AT24" s="2234"/>
      <c r="AU24" s="2234"/>
      <c r="AV24" s="2234"/>
      <c r="AW24" s="2234"/>
      <c r="AX24" s="2234"/>
      <c r="AY24" s="2234"/>
      <c r="AZ24" s="2234"/>
      <c r="BA24" s="2234"/>
      <c r="BB24" s="2234"/>
      <c r="BC24" s="2234"/>
      <c r="BD24" s="2234"/>
      <c r="BE24" s="2234"/>
      <c r="BF24" s="2234"/>
      <c r="BG24" s="2234"/>
      <c r="BH24" s="2234"/>
      <c r="BI24" s="445"/>
    </row>
    <row r="25" spans="1:61" ht="13.5" customHeight="1">
      <c r="AE25" s="2234"/>
      <c r="AF25" s="2234"/>
      <c r="AG25" s="2234"/>
      <c r="AH25" s="2234"/>
      <c r="AI25" s="2234"/>
      <c r="AJ25" s="2234"/>
      <c r="AK25" s="2234"/>
      <c r="AL25" s="2234"/>
      <c r="AM25" s="2234"/>
      <c r="AN25" s="2234"/>
      <c r="AO25" s="2234"/>
      <c r="AP25" s="2234"/>
      <c r="AQ25" s="2234"/>
      <c r="AR25" s="2234"/>
      <c r="AS25" s="2234"/>
      <c r="AT25" s="2234"/>
      <c r="AU25" s="2234"/>
      <c r="AV25" s="2234"/>
      <c r="AW25" s="2234"/>
      <c r="AX25" s="2234"/>
      <c r="AY25" s="2234"/>
      <c r="AZ25" s="2234"/>
      <c r="BA25" s="2234"/>
      <c r="BB25" s="2234"/>
      <c r="BC25" s="2234"/>
      <c r="BD25" s="2234"/>
      <c r="BE25" s="2234"/>
      <c r="BF25" s="2234"/>
      <c r="BG25" s="2234"/>
      <c r="BH25" s="2234"/>
      <c r="BI25" s="445"/>
    </row>
    <row r="26" spans="1:61" ht="13.5" customHeight="1">
      <c r="A26" s="2413" t="s">
        <v>19861</v>
      </c>
      <c r="B26" s="2413"/>
      <c r="C26" s="2413"/>
      <c r="D26" s="2413"/>
      <c r="E26" s="2413"/>
      <c r="F26" s="2413"/>
      <c r="G26" s="2413"/>
      <c r="H26" s="2413"/>
      <c r="I26" s="2413"/>
      <c r="J26" s="2413"/>
      <c r="K26" s="2413"/>
      <c r="L26" s="2413"/>
      <c r="M26" s="2413"/>
      <c r="N26" s="2413"/>
      <c r="O26" s="2413"/>
      <c r="P26" s="2413"/>
      <c r="Q26" s="2413"/>
      <c r="R26" s="2413"/>
      <c r="S26" s="2413"/>
      <c r="T26" s="2413"/>
      <c r="U26" s="2413"/>
      <c r="V26" s="2413"/>
      <c r="W26" s="2413"/>
      <c r="X26" s="2413"/>
      <c r="Y26" s="2413"/>
      <c r="Z26" s="2413"/>
      <c r="AA26" s="2413"/>
      <c r="AB26" s="2413"/>
      <c r="AC26" s="2413"/>
      <c r="AD26" s="2413"/>
      <c r="AE26" s="2234"/>
      <c r="AF26" s="2234"/>
      <c r="AG26" s="2234"/>
      <c r="AH26" s="2234"/>
      <c r="AI26" s="2234"/>
      <c r="AJ26" s="2234"/>
      <c r="AK26" s="2234"/>
      <c r="AL26" s="2234"/>
      <c r="AM26" s="2234"/>
      <c r="AN26" s="2234"/>
      <c r="AO26" s="2234"/>
      <c r="AP26" s="2234"/>
      <c r="AQ26" s="2234"/>
      <c r="AR26" s="2234"/>
      <c r="AS26" s="2234"/>
      <c r="AT26" s="2234"/>
      <c r="AU26" s="2234"/>
      <c r="AV26" s="2234"/>
      <c r="AW26" s="2234"/>
      <c r="AX26" s="2234"/>
      <c r="AY26" s="2234"/>
      <c r="AZ26" s="2234"/>
      <c r="BA26" s="2234"/>
      <c r="BB26" s="2234"/>
      <c r="BC26" s="2234"/>
      <c r="BD26" s="2234"/>
      <c r="BE26" s="2234"/>
      <c r="BF26" s="2234"/>
      <c r="BG26" s="2234"/>
      <c r="BH26" s="2234"/>
      <c r="BI26" s="445"/>
    </row>
    <row r="27" spans="1:61" ht="13.5" customHeight="1">
      <c r="A27" s="2413"/>
      <c r="B27" s="2413"/>
      <c r="C27" s="2413"/>
      <c r="D27" s="2413"/>
      <c r="E27" s="2413"/>
      <c r="F27" s="2413"/>
      <c r="G27" s="2413"/>
      <c r="H27" s="2413"/>
      <c r="I27" s="2413"/>
      <c r="J27" s="2413"/>
      <c r="K27" s="2413"/>
      <c r="L27" s="2413"/>
      <c r="M27" s="2413"/>
      <c r="N27" s="2413"/>
      <c r="O27" s="2413"/>
      <c r="P27" s="2413"/>
      <c r="Q27" s="2413"/>
      <c r="R27" s="2413"/>
      <c r="S27" s="2413"/>
      <c r="T27" s="2413"/>
      <c r="U27" s="2413"/>
      <c r="V27" s="2413"/>
      <c r="W27" s="2413"/>
      <c r="X27" s="2413"/>
      <c r="Y27" s="2413"/>
      <c r="Z27" s="2413"/>
      <c r="AA27" s="2413"/>
      <c r="AB27" s="2413"/>
      <c r="AC27" s="2413"/>
      <c r="AD27" s="2413"/>
      <c r="AE27" s="2234"/>
      <c r="AF27" s="2234"/>
      <c r="AG27" s="2234"/>
      <c r="AH27" s="2234"/>
      <c r="AI27" s="2234"/>
      <c r="AJ27" s="2234"/>
      <c r="AK27" s="2234"/>
      <c r="AL27" s="2234"/>
      <c r="AM27" s="2234"/>
      <c r="AN27" s="2234"/>
      <c r="AO27" s="2234"/>
      <c r="AP27" s="2234"/>
      <c r="AQ27" s="2234"/>
      <c r="AR27" s="2234"/>
      <c r="AS27" s="2234"/>
      <c r="AT27" s="2234"/>
      <c r="AU27" s="2234"/>
      <c r="AV27" s="2234"/>
      <c r="AW27" s="2234"/>
      <c r="AX27" s="2234"/>
      <c r="AY27" s="2234"/>
      <c r="AZ27" s="2234"/>
      <c r="BA27" s="2234"/>
      <c r="BB27" s="2234"/>
      <c r="BC27" s="2234"/>
      <c r="BD27" s="2234"/>
      <c r="BE27" s="2234"/>
      <c r="BF27" s="2234"/>
      <c r="BG27" s="2234"/>
      <c r="BH27" s="2234"/>
      <c r="BI27" s="445"/>
    </row>
    <row r="28" spans="1:61" ht="13.5" customHeight="1">
      <c r="A28" s="2413"/>
      <c r="B28" s="2413"/>
      <c r="C28" s="2413"/>
      <c r="D28" s="2413"/>
      <c r="E28" s="2413"/>
      <c r="F28" s="2413"/>
      <c r="G28" s="2413"/>
      <c r="H28" s="2413"/>
      <c r="I28" s="2413"/>
      <c r="J28" s="2413"/>
      <c r="K28" s="2413"/>
      <c r="L28" s="2413"/>
      <c r="M28" s="2413"/>
      <c r="N28" s="2413"/>
      <c r="O28" s="2413"/>
      <c r="P28" s="2413"/>
      <c r="Q28" s="2413"/>
      <c r="R28" s="2413"/>
      <c r="S28" s="2413"/>
      <c r="T28" s="2413"/>
      <c r="U28" s="2413"/>
      <c r="V28" s="2413"/>
      <c r="W28" s="2413"/>
      <c r="X28" s="2413"/>
      <c r="Y28" s="2413"/>
      <c r="Z28" s="2413"/>
      <c r="AA28" s="2413"/>
      <c r="AB28" s="2413"/>
      <c r="AC28" s="2413"/>
      <c r="AD28" s="2413"/>
      <c r="AE28" s="2234"/>
      <c r="AF28" s="2234"/>
      <c r="AG28" s="2234"/>
      <c r="AH28" s="2234"/>
      <c r="AI28" s="2234"/>
      <c r="AJ28" s="2234"/>
      <c r="AK28" s="2234"/>
      <c r="AL28" s="2234"/>
      <c r="AM28" s="2234"/>
      <c r="AN28" s="2234"/>
      <c r="AO28" s="2234"/>
      <c r="AP28" s="2234"/>
      <c r="AQ28" s="2234"/>
      <c r="AR28" s="2234"/>
      <c r="AS28" s="2234"/>
      <c r="AT28" s="2234"/>
      <c r="AU28" s="2234"/>
      <c r="AV28" s="2234"/>
      <c r="AW28" s="2234"/>
      <c r="AX28" s="2234"/>
      <c r="AY28" s="2234"/>
      <c r="AZ28" s="2234"/>
      <c r="BA28" s="2234"/>
      <c r="BB28" s="2234"/>
      <c r="BC28" s="2234"/>
      <c r="BD28" s="2234"/>
      <c r="BE28" s="2234"/>
      <c r="BF28" s="2234"/>
      <c r="BG28" s="2234"/>
      <c r="BH28" s="2234"/>
      <c r="BI28" s="445"/>
    </row>
    <row r="29" spans="1:61" ht="13.5" customHeight="1">
      <c r="A29" s="2413"/>
      <c r="B29" s="2413"/>
      <c r="C29" s="2413"/>
      <c r="D29" s="2413"/>
      <c r="E29" s="2413"/>
      <c r="F29" s="2413"/>
      <c r="G29" s="2413"/>
      <c r="H29" s="2413"/>
      <c r="I29" s="2413"/>
      <c r="J29" s="2413"/>
      <c r="K29" s="2413"/>
      <c r="L29" s="2413"/>
      <c r="M29" s="2413"/>
      <c r="N29" s="2413"/>
      <c r="O29" s="2413"/>
      <c r="P29" s="2413"/>
      <c r="Q29" s="2413"/>
      <c r="R29" s="2413"/>
      <c r="S29" s="2413"/>
      <c r="T29" s="2413"/>
      <c r="U29" s="2413"/>
      <c r="V29" s="2413"/>
      <c r="W29" s="2413"/>
      <c r="X29" s="2413"/>
      <c r="Y29" s="2413"/>
      <c r="Z29" s="2413"/>
      <c r="AA29" s="2413"/>
      <c r="AB29" s="2413"/>
      <c r="AC29" s="2413"/>
      <c r="AD29" s="2413"/>
      <c r="AE29" s="2234"/>
      <c r="AF29" s="2234"/>
      <c r="AG29" s="2234"/>
      <c r="AH29" s="2234"/>
      <c r="AI29" s="2234"/>
      <c r="AJ29" s="2234"/>
      <c r="AK29" s="2234"/>
      <c r="AL29" s="2234"/>
      <c r="AM29" s="2234"/>
      <c r="AN29" s="2234"/>
      <c r="AO29" s="2234"/>
      <c r="AP29" s="2234"/>
      <c r="AQ29" s="2234"/>
      <c r="AR29" s="2234"/>
      <c r="AS29" s="2234"/>
      <c r="AT29" s="2234"/>
      <c r="AU29" s="2234"/>
      <c r="AV29" s="2234"/>
      <c r="AW29" s="2234"/>
      <c r="AX29" s="2234"/>
      <c r="AY29" s="2234"/>
      <c r="AZ29" s="2234"/>
      <c r="BA29" s="2234"/>
      <c r="BB29" s="2234"/>
      <c r="BC29" s="2234"/>
      <c r="BD29" s="2234"/>
      <c r="BE29" s="2234"/>
      <c r="BF29" s="2234"/>
      <c r="BG29" s="2234"/>
      <c r="BH29" s="2234"/>
      <c r="BI29" s="445"/>
    </row>
    <row r="30" spans="1:61" ht="13.5" customHeight="1">
      <c r="AE30" s="2234"/>
      <c r="AF30" s="2234"/>
      <c r="AG30" s="2234"/>
      <c r="AH30" s="2234"/>
      <c r="AI30" s="2234"/>
      <c r="AJ30" s="2234"/>
      <c r="AK30" s="2234"/>
      <c r="AL30" s="2234"/>
      <c r="AM30" s="2234"/>
      <c r="AN30" s="2234"/>
      <c r="AO30" s="2234"/>
      <c r="AP30" s="2234"/>
      <c r="AQ30" s="2234"/>
      <c r="AR30" s="2234"/>
      <c r="AS30" s="2234"/>
      <c r="AT30" s="2234"/>
      <c r="AU30" s="2234"/>
      <c r="AV30" s="2234"/>
      <c r="AW30" s="2234"/>
      <c r="AX30" s="2234"/>
      <c r="AY30" s="2234"/>
      <c r="AZ30" s="2234"/>
      <c r="BA30" s="2234"/>
      <c r="BB30" s="2234"/>
      <c r="BC30" s="2234"/>
      <c r="BD30" s="2234"/>
      <c r="BE30" s="2234"/>
      <c r="BF30" s="2234"/>
      <c r="BG30" s="2234"/>
      <c r="BH30" s="2234"/>
      <c r="BI30" s="445"/>
    </row>
    <row r="31" spans="1:61" ht="13.5" customHeight="1">
      <c r="AE31" s="2234"/>
      <c r="AF31" s="2234"/>
      <c r="AG31" s="2234"/>
      <c r="AH31" s="2234"/>
      <c r="AI31" s="2234"/>
      <c r="AJ31" s="2234"/>
      <c r="AK31" s="2234"/>
      <c r="AL31" s="2234"/>
      <c r="AM31" s="2234"/>
      <c r="AN31" s="2234"/>
      <c r="AO31" s="2234"/>
      <c r="AP31" s="2234"/>
      <c r="AQ31" s="2234"/>
      <c r="AR31" s="2234"/>
      <c r="AS31" s="2234"/>
      <c r="AT31" s="2234"/>
      <c r="AU31" s="2234"/>
      <c r="AV31" s="2234"/>
      <c r="AW31" s="2234"/>
      <c r="AX31" s="2234"/>
      <c r="AY31" s="2234"/>
      <c r="AZ31" s="2234"/>
      <c r="BA31" s="2234"/>
      <c r="BB31" s="2234"/>
      <c r="BC31" s="2234"/>
      <c r="BD31" s="2234"/>
      <c r="BE31" s="2234"/>
      <c r="BF31" s="2234"/>
      <c r="BG31" s="2234"/>
      <c r="BH31" s="2234"/>
      <c r="BI31" s="445"/>
    </row>
    <row r="32" spans="1:61" ht="13.5" customHeight="1">
      <c r="F32" s="2380" t="s">
        <v>20035</v>
      </c>
      <c r="G32" s="2380"/>
      <c r="H32" s="2380"/>
      <c r="I32" s="2380"/>
      <c r="J32" s="2380"/>
      <c r="K32" s="2380"/>
      <c r="L32" s="2380"/>
      <c r="M32" s="2380"/>
      <c r="N32" s="2380"/>
      <c r="O32" s="2380"/>
      <c r="P32" s="2380"/>
      <c r="Q32" s="2380"/>
      <c r="R32" s="2380"/>
      <c r="S32" s="2380"/>
      <c r="T32" s="2380"/>
      <c r="U32" s="2380"/>
      <c r="V32" s="2380"/>
      <c r="W32" s="2380"/>
      <c r="X32" s="2380"/>
      <c r="Y32" s="2380"/>
      <c r="AE32" s="401"/>
      <c r="AF32" s="401"/>
      <c r="AG32" s="401"/>
      <c r="AH32" s="2402" t="s">
        <v>19494</v>
      </c>
      <c r="AI32" s="2403"/>
      <c r="AJ32" s="2403"/>
      <c r="AK32" s="2403"/>
      <c r="AL32" s="2403"/>
      <c r="AM32" s="2403"/>
      <c r="AN32" s="2403"/>
      <c r="AO32" s="2403"/>
      <c r="AP32" s="2403"/>
      <c r="AQ32" s="2403"/>
      <c r="AR32" s="2403"/>
      <c r="AS32" s="2403"/>
      <c r="AT32" s="2403"/>
      <c r="AU32" s="2403"/>
      <c r="AV32" s="2403"/>
      <c r="AW32" s="2403"/>
      <c r="AX32" s="2403"/>
      <c r="AY32" s="2403"/>
      <c r="AZ32" s="2403"/>
      <c r="BA32" s="2403"/>
      <c r="BB32" s="2403"/>
      <c r="BC32" s="2403"/>
      <c r="BD32" s="2404"/>
      <c r="BE32" s="401"/>
      <c r="BF32" s="401"/>
      <c r="BG32" s="401"/>
      <c r="BH32" s="401"/>
      <c r="BI32" s="401"/>
    </row>
    <row r="33" spans="1:62" ht="13.5" customHeight="1">
      <c r="F33" s="2388" t="s">
        <v>189</v>
      </c>
      <c r="G33" s="2389"/>
      <c r="H33" s="2389"/>
      <c r="I33" s="2389"/>
      <c r="J33" s="2389"/>
      <c r="K33" s="2389"/>
      <c r="L33" s="2389"/>
      <c r="M33" s="2390"/>
      <c r="N33" s="2410" t="s">
        <v>19468</v>
      </c>
      <c r="O33" s="2411"/>
      <c r="P33" s="2411"/>
      <c r="Q33" s="2411"/>
      <c r="R33" s="2411"/>
      <c r="S33" s="2411"/>
      <c r="T33" s="2411"/>
      <c r="U33" s="2411"/>
      <c r="V33" s="2411"/>
      <c r="W33" s="2411"/>
      <c r="X33" s="2411"/>
      <c r="Y33" s="2412"/>
      <c r="AE33" s="401"/>
      <c r="AF33" s="401"/>
      <c r="AH33" s="2421" t="s">
        <v>19507</v>
      </c>
      <c r="AI33" s="2421"/>
      <c r="AJ33" s="2421"/>
      <c r="AK33" s="2421"/>
      <c r="AL33" s="2421"/>
      <c r="AM33" s="2421"/>
      <c r="AN33" s="2421"/>
      <c r="AO33" s="2421"/>
      <c r="AP33" s="2421"/>
      <c r="AQ33" s="2421"/>
      <c r="AR33" s="2421"/>
      <c r="AS33" s="2421"/>
      <c r="AT33" s="2421"/>
      <c r="AU33" s="2421"/>
      <c r="AV33" s="2421"/>
      <c r="AW33" s="2421"/>
      <c r="AX33" s="2421"/>
      <c r="AY33" s="2421"/>
      <c r="AZ33" s="2421"/>
      <c r="BA33" s="2421"/>
      <c r="BB33" s="2421"/>
      <c r="BC33" s="2421"/>
      <c r="BD33" s="2421"/>
      <c r="BE33" s="401"/>
      <c r="BF33" s="401"/>
      <c r="BG33" s="401"/>
      <c r="BH33" s="401"/>
      <c r="BI33" s="401"/>
    </row>
    <row r="34" spans="1:62" ht="13.5" customHeight="1">
      <c r="F34" s="2405" t="s">
        <v>19465</v>
      </c>
      <c r="G34" s="2406"/>
      <c r="H34" s="2406"/>
      <c r="I34" s="2406"/>
      <c r="J34" s="2406"/>
      <c r="K34" s="2406"/>
      <c r="L34" s="2406"/>
      <c r="M34" s="2407"/>
      <c r="N34" s="2399" t="s">
        <v>19467</v>
      </c>
      <c r="O34" s="2400"/>
      <c r="P34" s="2400"/>
      <c r="Q34" s="2400"/>
      <c r="R34" s="2400"/>
      <c r="S34" s="2400"/>
      <c r="T34" s="2400"/>
      <c r="U34" s="2400"/>
      <c r="V34" s="2400"/>
      <c r="W34" s="2400"/>
      <c r="X34" s="2400"/>
      <c r="Y34" s="2401"/>
      <c r="AH34" s="2421"/>
      <c r="AI34" s="2421"/>
      <c r="AJ34" s="2421"/>
      <c r="AK34" s="2421"/>
      <c r="AL34" s="2421"/>
      <c r="AM34" s="2421"/>
      <c r="AN34" s="2421"/>
      <c r="AO34" s="2421"/>
      <c r="AP34" s="2421"/>
      <c r="AQ34" s="2421"/>
      <c r="AR34" s="2421"/>
      <c r="AS34" s="2421"/>
      <c r="AT34" s="2421"/>
      <c r="AU34" s="2421"/>
      <c r="AV34" s="2421"/>
      <c r="AW34" s="2421"/>
      <c r="AX34" s="2421"/>
      <c r="AY34" s="2421"/>
      <c r="AZ34" s="2421"/>
      <c r="BA34" s="2421"/>
      <c r="BB34" s="2421"/>
      <c r="BC34" s="2421"/>
      <c r="BD34" s="2421"/>
    </row>
    <row r="35" spans="1:62" ht="13.5" customHeight="1">
      <c r="F35" s="2415" t="s">
        <v>19466</v>
      </c>
      <c r="G35" s="2416"/>
      <c r="H35" s="2416"/>
      <c r="I35" s="2416"/>
      <c r="J35" s="2416"/>
      <c r="K35" s="2416"/>
      <c r="L35" s="2416"/>
      <c r="M35" s="2417"/>
      <c r="N35" s="2418" t="s">
        <v>19862</v>
      </c>
      <c r="O35" s="2419"/>
      <c r="P35" s="2419"/>
      <c r="Q35" s="2419"/>
      <c r="R35" s="2419"/>
      <c r="S35" s="2419"/>
      <c r="T35" s="2419"/>
      <c r="U35" s="2419"/>
      <c r="V35" s="2419"/>
      <c r="W35" s="2419"/>
      <c r="X35" s="2419"/>
      <c r="Y35" s="2420"/>
      <c r="AH35" s="2414" t="s">
        <v>19493</v>
      </c>
      <c r="AI35" s="2414"/>
      <c r="AJ35" s="2414"/>
      <c r="AK35" s="2414"/>
      <c r="AL35" s="2414"/>
      <c r="AM35" s="2414"/>
      <c r="AN35" s="2414"/>
      <c r="AO35" s="2414"/>
      <c r="AP35" s="2414"/>
      <c r="AQ35" s="2414"/>
      <c r="AR35" s="2414"/>
      <c r="AS35" s="2414"/>
      <c r="AT35" s="2414"/>
      <c r="AU35" s="2414"/>
      <c r="AV35" s="2414"/>
      <c r="AW35" s="2414"/>
      <c r="AX35" s="2414"/>
      <c r="AY35" s="2414"/>
      <c r="AZ35" s="2194" t="str">
        <f>CONCATENATE(ROUND('Seismic Calcs (Unattached)'!C53,0)," ",'Seismic Calcs (Unattached)'!D53)</f>
        <v>2411 pounds</v>
      </c>
      <c r="BA35" s="2194"/>
      <c r="BB35" s="2194"/>
      <c r="BC35" s="2194"/>
      <c r="BD35" s="2194"/>
    </row>
    <row r="36" spans="1:62" ht="13.5" customHeight="1">
      <c r="AH36" s="2414" t="s">
        <v>19495</v>
      </c>
      <c r="AI36" s="2414"/>
      <c r="AJ36" s="2414"/>
      <c r="AK36" s="2414"/>
      <c r="AL36" s="2414"/>
      <c r="AM36" s="2414"/>
      <c r="AN36" s="2414"/>
      <c r="AO36" s="2414"/>
      <c r="AP36" s="2414"/>
      <c r="AQ36" s="2414"/>
      <c r="AR36" s="2414"/>
      <c r="AS36" s="2414"/>
      <c r="AT36" s="2414"/>
      <c r="AU36" s="2414"/>
      <c r="AV36" s="2414"/>
      <c r="AW36" s="2414"/>
      <c r="AX36" s="2414"/>
      <c r="AY36" s="2414"/>
      <c r="AZ36" s="2194" t="str">
        <f>CONCATENATE(ROUND('Seismic Calcs (Unattached)'!C54,0)," ",'Seismic Calcs (Unattached)'!D54)</f>
        <v>12 modules</v>
      </c>
      <c r="BA36" s="2194"/>
      <c r="BB36" s="2194"/>
      <c r="BC36" s="2194"/>
      <c r="BD36" s="2194"/>
    </row>
    <row r="37" spans="1:62" ht="13.5" customHeight="1">
      <c r="A37" s="2375" t="str">
        <f>CONCATENATE("For this project, the Seismic Design Category is evaluated as ",R17,", and so ΔMPV evaluates as ",ROUND('Seismic Calcs (Unattached)'!C13,2),"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 The calculations outlined in SEAOC PV1 and results are shown in Table 8.")</f>
        <v>For this project, the Seismic Design Category is evaluated as D, and so ΔMPV evaluates as 30.82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The calculations outlined in SEAOC PV1 and results are shown in Table 8.</v>
      </c>
      <c r="B37" s="2375"/>
      <c r="C37" s="2375"/>
      <c r="D37" s="2375"/>
      <c r="E37" s="2375"/>
      <c r="F37" s="2375"/>
      <c r="G37" s="2375"/>
      <c r="H37" s="2375"/>
      <c r="I37" s="2375"/>
      <c r="J37" s="2375"/>
      <c r="K37" s="2375"/>
      <c r="L37" s="2375"/>
      <c r="M37" s="2375"/>
      <c r="N37" s="2375"/>
      <c r="O37" s="2375"/>
      <c r="P37" s="2375"/>
      <c r="Q37" s="2375"/>
      <c r="R37" s="2375"/>
      <c r="S37" s="2375"/>
      <c r="T37" s="2375"/>
      <c r="U37" s="2375"/>
      <c r="V37" s="2375"/>
      <c r="W37" s="2375"/>
      <c r="X37" s="2375"/>
      <c r="Y37" s="2375"/>
      <c r="Z37" s="2375"/>
      <c r="AA37" s="2375"/>
      <c r="AB37" s="2375"/>
      <c r="AC37" s="2375"/>
      <c r="AD37" s="2375"/>
      <c r="AH37" s="2414" t="s">
        <v>19497</v>
      </c>
      <c r="AI37" s="2414"/>
      <c r="AJ37" s="2414"/>
      <c r="AK37" s="2414"/>
      <c r="AL37" s="2414"/>
      <c r="AM37" s="2414"/>
      <c r="AN37" s="2414"/>
      <c r="AO37" s="2414"/>
      <c r="AP37" s="2414"/>
      <c r="AQ37" s="2414"/>
      <c r="AR37" s="2414"/>
      <c r="AS37" s="2414"/>
      <c r="AT37" s="2414"/>
      <c r="AU37" s="2414"/>
      <c r="AV37" s="2414"/>
      <c r="AW37" s="2414"/>
      <c r="AX37" s="2414"/>
      <c r="AY37" s="2414"/>
      <c r="AZ37" s="2422" t="str">
        <f>CONCATENATE(ROUND('Seismic Calcs (Unattached)'!C54,0)*2," ",'Seismic Calcs (Unattached)'!D54)</f>
        <v>24 modules</v>
      </c>
      <c r="BA37" s="2422"/>
      <c r="BB37" s="2422"/>
      <c r="BC37" s="2422"/>
      <c r="BD37" s="2422"/>
    </row>
    <row r="38" spans="1:62" ht="13.5" customHeight="1">
      <c r="A38" s="2375"/>
      <c r="B38" s="2375"/>
      <c r="C38" s="2375"/>
      <c r="D38" s="2375"/>
      <c r="E38" s="2375"/>
      <c r="F38" s="2375"/>
      <c r="G38" s="2375"/>
      <c r="H38" s="2375"/>
      <c r="I38" s="2375"/>
      <c r="J38" s="2375"/>
      <c r="K38" s="2375"/>
      <c r="L38" s="2375"/>
      <c r="M38" s="2375"/>
      <c r="N38" s="2375"/>
      <c r="O38" s="2375"/>
      <c r="P38" s="2375"/>
      <c r="Q38" s="2375"/>
      <c r="R38" s="2375"/>
      <c r="S38" s="2375"/>
      <c r="T38" s="2375"/>
      <c r="U38" s="2375"/>
      <c r="V38" s="2375"/>
      <c r="W38" s="2375"/>
      <c r="X38" s="2375"/>
      <c r="Y38" s="2375"/>
      <c r="Z38" s="2375"/>
      <c r="AA38" s="2375"/>
      <c r="AB38" s="2375"/>
      <c r="AC38" s="2375"/>
      <c r="AD38" s="2375"/>
      <c r="AH38" s="2421" t="s">
        <v>19508</v>
      </c>
      <c r="AI38" s="2421"/>
      <c r="AJ38" s="2421"/>
      <c r="AK38" s="2421"/>
      <c r="AL38" s="2421"/>
      <c r="AM38" s="2421"/>
      <c r="AN38" s="2421"/>
      <c r="AO38" s="2421"/>
      <c r="AP38" s="2421"/>
      <c r="AQ38" s="2421"/>
      <c r="AR38" s="2421"/>
      <c r="AS38" s="2421"/>
      <c r="AT38" s="2421"/>
      <c r="AU38" s="2421"/>
      <c r="AV38" s="2421"/>
      <c r="AW38" s="2421"/>
      <c r="AX38" s="2421"/>
      <c r="AY38" s="2421"/>
      <c r="AZ38" s="2421"/>
      <c r="BA38" s="2421"/>
      <c r="BB38" s="2421"/>
      <c r="BC38" s="2421"/>
      <c r="BD38" s="2421"/>
    </row>
    <row r="39" spans="1:62" ht="13.5" customHeight="1">
      <c r="A39" s="2375"/>
      <c r="B39" s="2375"/>
      <c r="C39" s="2375"/>
      <c r="D39" s="2375"/>
      <c r="E39" s="2375"/>
      <c r="F39" s="2375"/>
      <c r="G39" s="2375"/>
      <c r="H39" s="2375"/>
      <c r="I39" s="2375"/>
      <c r="J39" s="2375"/>
      <c r="K39" s="2375"/>
      <c r="L39" s="2375"/>
      <c r="M39" s="2375"/>
      <c r="N39" s="2375"/>
      <c r="O39" s="2375"/>
      <c r="P39" s="2375"/>
      <c r="Q39" s="2375"/>
      <c r="R39" s="2375"/>
      <c r="S39" s="2375"/>
      <c r="T39" s="2375"/>
      <c r="U39" s="2375"/>
      <c r="V39" s="2375"/>
      <c r="W39" s="2375"/>
      <c r="X39" s="2375"/>
      <c r="Y39" s="2375"/>
      <c r="Z39" s="2375"/>
      <c r="AA39" s="2375"/>
      <c r="AB39" s="2375"/>
      <c r="AC39" s="2375"/>
      <c r="AD39" s="2375"/>
      <c r="AH39" s="2421"/>
      <c r="AI39" s="2421"/>
      <c r="AJ39" s="2421"/>
      <c r="AK39" s="2421"/>
      <c r="AL39" s="2421"/>
      <c r="AM39" s="2421"/>
      <c r="AN39" s="2421"/>
      <c r="AO39" s="2421"/>
      <c r="AP39" s="2421"/>
      <c r="AQ39" s="2421"/>
      <c r="AR39" s="2421"/>
      <c r="AS39" s="2421"/>
      <c r="AT39" s="2421"/>
      <c r="AU39" s="2421"/>
      <c r="AV39" s="2421"/>
      <c r="AW39" s="2421"/>
      <c r="AX39" s="2421"/>
      <c r="AY39" s="2421"/>
      <c r="AZ39" s="2421"/>
      <c r="BA39" s="2421"/>
      <c r="BB39" s="2421"/>
      <c r="BC39" s="2421"/>
      <c r="BD39" s="2421"/>
    </row>
    <row r="40" spans="1:62" ht="13.5" customHeight="1">
      <c r="A40" s="2375"/>
      <c r="B40" s="2375"/>
      <c r="C40" s="2375"/>
      <c r="D40" s="2375"/>
      <c r="E40" s="2375"/>
      <c r="F40" s="2375"/>
      <c r="G40" s="2375"/>
      <c r="H40" s="2375"/>
      <c r="I40" s="2375"/>
      <c r="J40" s="2375"/>
      <c r="K40" s="2375"/>
      <c r="L40" s="2375"/>
      <c r="M40" s="2375"/>
      <c r="N40" s="2375"/>
      <c r="O40" s="2375"/>
      <c r="P40" s="2375"/>
      <c r="Q40" s="2375"/>
      <c r="R40" s="2375"/>
      <c r="S40" s="2375"/>
      <c r="T40" s="2375"/>
      <c r="U40" s="2375"/>
      <c r="V40" s="2375"/>
      <c r="W40" s="2375"/>
      <c r="X40" s="2375"/>
      <c r="Y40" s="2375"/>
      <c r="Z40" s="2375"/>
      <c r="AA40" s="2375"/>
      <c r="AB40" s="2375"/>
      <c r="AC40" s="2375"/>
      <c r="AD40" s="2375"/>
      <c r="AH40" s="2414" t="s">
        <v>329</v>
      </c>
      <c r="AI40" s="2414"/>
      <c r="AJ40" s="2414"/>
      <c r="AK40" s="2414"/>
      <c r="AL40" s="2414"/>
      <c r="AM40" s="2414"/>
      <c r="AN40" s="2414"/>
      <c r="AO40" s="2414"/>
      <c r="AP40" s="2414"/>
      <c r="AQ40" s="2414"/>
      <c r="AR40" s="2414"/>
      <c r="AS40" s="2414"/>
      <c r="AT40" s="2414"/>
      <c r="AU40" s="2414"/>
      <c r="AV40" s="2414"/>
      <c r="AW40" s="2414"/>
      <c r="AX40" s="2414"/>
      <c r="AY40" s="2414"/>
      <c r="AZ40" s="2194" t="str">
        <f>CONCATENATE(ROUND('Seismic Calcs (Unattached)'!C57,0)," ",'Seismic Calcs (Unattached)'!D57)</f>
        <v>741 pounds</v>
      </c>
      <c r="BA40" s="2194"/>
      <c r="BB40" s="2194"/>
      <c r="BC40" s="2194"/>
      <c r="BD40" s="2194"/>
    </row>
    <row r="41" spans="1:62" ht="13.5" customHeight="1">
      <c r="A41" s="2375"/>
      <c r="B41" s="2375"/>
      <c r="C41" s="2375"/>
      <c r="D41" s="2375"/>
      <c r="E41" s="2375"/>
      <c r="F41" s="2375"/>
      <c r="G41" s="2375"/>
      <c r="H41" s="2375"/>
      <c r="I41" s="2375"/>
      <c r="J41" s="2375"/>
      <c r="K41" s="2375"/>
      <c r="L41" s="2375"/>
      <c r="M41" s="2375"/>
      <c r="N41" s="2375"/>
      <c r="O41" s="2375"/>
      <c r="P41" s="2375"/>
      <c r="Q41" s="2375"/>
      <c r="R41" s="2375"/>
      <c r="S41" s="2375"/>
      <c r="T41" s="2375"/>
      <c r="U41" s="2375"/>
      <c r="V41" s="2375"/>
      <c r="W41" s="2375"/>
      <c r="X41" s="2375"/>
      <c r="Y41" s="2375"/>
      <c r="Z41" s="2375"/>
      <c r="AA41" s="2375"/>
      <c r="AB41" s="2375"/>
      <c r="AC41" s="2375"/>
      <c r="AD41" s="2375"/>
      <c r="AH41" s="2414" t="s">
        <v>328</v>
      </c>
      <c r="AI41" s="2414"/>
      <c r="AJ41" s="2414"/>
      <c r="AK41" s="2414"/>
      <c r="AL41" s="2414"/>
      <c r="AM41" s="2414"/>
      <c r="AN41" s="2414"/>
      <c r="AO41" s="2414"/>
      <c r="AP41" s="2414"/>
      <c r="AQ41" s="2414"/>
      <c r="AR41" s="2414"/>
      <c r="AS41" s="2414"/>
      <c r="AT41" s="2414"/>
      <c r="AU41" s="2414"/>
      <c r="AV41" s="2414"/>
      <c r="AW41" s="2414"/>
      <c r="AX41" s="2414"/>
      <c r="AY41" s="2414"/>
      <c r="AZ41" s="2194" t="str">
        <f>CONCATENATE(ROUND('Seismic Calcs (Unattached)'!C58,0)," ",'Seismic Calcs (Unattached)'!D58)</f>
        <v>3 modules</v>
      </c>
      <c r="BA41" s="2194"/>
      <c r="BB41" s="2194"/>
      <c r="BC41" s="2194"/>
      <c r="BD41" s="2194"/>
    </row>
    <row r="42" spans="1:62" ht="13.5" customHeight="1">
      <c r="A42" s="2375"/>
      <c r="B42" s="2375"/>
      <c r="C42" s="2375"/>
      <c r="D42" s="2375"/>
      <c r="E42" s="2375"/>
      <c r="F42" s="2375"/>
      <c r="G42" s="2375"/>
      <c r="H42" s="2375"/>
      <c r="I42" s="2375"/>
      <c r="J42" s="2375"/>
      <c r="K42" s="2375"/>
      <c r="L42" s="2375"/>
      <c r="M42" s="2375"/>
      <c r="N42" s="2375"/>
      <c r="O42" s="2375"/>
      <c r="P42" s="2375"/>
      <c r="Q42" s="2375"/>
      <c r="R42" s="2375"/>
      <c r="S42" s="2375"/>
      <c r="T42" s="2375"/>
      <c r="U42" s="2375"/>
      <c r="V42" s="2375"/>
      <c r="W42" s="2375"/>
      <c r="X42" s="2375"/>
      <c r="Y42" s="2375"/>
      <c r="Z42" s="2375"/>
      <c r="AA42" s="2375"/>
      <c r="AB42" s="2375"/>
      <c r="AC42" s="2375"/>
      <c r="AD42" s="2375"/>
      <c r="AH42" s="2414" t="s">
        <v>19496</v>
      </c>
      <c r="AI42" s="2414"/>
      <c r="AJ42" s="2414"/>
      <c r="AK42" s="2414"/>
      <c r="AL42" s="2414"/>
      <c r="AM42" s="2414"/>
      <c r="AN42" s="2414"/>
      <c r="AO42" s="2414"/>
      <c r="AP42" s="2414"/>
      <c r="AQ42" s="2414"/>
      <c r="AR42" s="2414"/>
      <c r="AS42" s="2414"/>
      <c r="AT42" s="2414"/>
      <c r="AU42" s="2414"/>
      <c r="AV42" s="2414"/>
      <c r="AW42" s="2414"/>
      <c r="AX42" s="2414"/>
      <c r="AY42" s="2414"/>
      <c r="AZ42" s="2422" t="str">
        <f>CONCATENATE(ROUND('Seismic Calcs (Unattached)'!C58,0)*2," ",'Seismic Calcs (Unattached)'!D58)</f>
        <v>6 modules</v>
      </c>
      <c r="BA42" s="2422"/>
      <c r="BB42" s="2422"/>
      <c r="BC42" s="2422"/>
      <c r="BD42" s="2422"/>
    </row>
    <row r="43" spans="1:62" ht="13.5" customHeight="1">
      <c r="A43" s="2375"/>
      <c r="B43" s="2375"/>
      <c r="C43" s="2375"/>
      <c r="D43" s="2375"/>
      <c r="E43" s="2375"/>
      <c r="F43" s="2375"/>
      <c r="G43" s="2375"/>
      <c r="H43" s="2375"/>
      <c r="I43" s="2375"/>
      <c r="J43" s="2375"/>
      <c r="K43" s="2375"/>
      <c r="L43" s="2375"/>
      <c r="M43" s="2375"/>
      <c r="N43" s="2375"/>
      <c r="O43" s="2375"/>
      <c r="P43" s="2375"/>
      <c r="Q43" s="2375"/>
      <c r="R43" s="2375"/>
      <c r="S43" s="2375"/>
      <c r="T43" s="2375"/>
      <c r="U43" s="2375"/>
      <c r="V43" s="2375"/>
      <c r="W43" s="2375"/>
      <c r="X43" s="2375"/>
      <c r="Y43" s="2375"/>
      <c r="Z43" s="2375"/>
      <c r="AA43" s="2375"/>
      <c r="AB43" s="2375"/>
      <c r="AC43" s="2375"/>
      <c r="AD43" s="2375"/>
    </row>
    <row r="44" spans="1:62" ht="13.5" customHeight="1">
      <c r="A44" s="423"/>
      <c r="B44" s="423"/>
      <c r="C44" s="423"/>
      <c r="D44" s="423"/>
      <c r="E44" s="423"/>
      <c r="Z44" s="423"/>
      <c r="AA44" s="423"/>
      <c r="AB44" s="423"/>
      <c r="AC44" s="423"/>
      <c r="AD44" s="423"/>
    </row>
    <row r="45" spans="1:62" ht="13.5" customHeight="1">
      <c r="A45" s="423"/>
      <c r="B45" s="423"/>
      <c r="C45" s="423"/>
      <c r="D45" s="423"/>
      <c r="E45" s="423"/>
      <c r="F45" s="2383" t="s">
        <v>19491</v>
      </c>
      <c r="G45" s="2383"/>
      <c r="H45" s="2383"/>
      <c r="I45" s="2383"/>
      <c r="J45" s="2383"/>
      <c r="K45" s="2383"/>
      <c r="L45" s="2383"/>
      <c r="M45" s="2383"/>
      <c r="N45" s="2383"/>
      <c r="O45" s="2383"/>
      <c r="P45" s="2383"/>
      <c r="Q45" s="2383"/>
      <c r="R45" s="2383"/>
      <c r="S45" s="2383"/>
      <c r="T45" s="2383"/>
      <c r="U45" s="2383"/>
      <c r="V45" s="2383"/>
      <c r="W45" s="2383"/>
      <c r="X45" s="2383"/>
      <c r="Y45" s="2383"/>
      <c r="Z45" s="423"/>
      <c r="AA45" s="423"/>
      <c r="AB45" s="423"/>
      <c r="AC45" s="423"/>
      <c r="AD45" s="423"/>
    </row>
    <row r="46" spans="1:62" ht="13.5" customHeight="1">
      <c r="A46" s="423"/>
      <c r="B46" s="423"/>
      <c r="C46" s="423"/>
      <c r="D46" s="423"/>
      <c r="E46" s="423"/>
      <c r="F46" s="2388" t="s">
        <v>19469</v>
      </c>
      <c r="G46" s="2389"/>
      <c r="H46" s="2389"/>
      <c r="I46" s="2389"/>
      <c r="J46" s="2389"/>
      <c r="K46" s="2389"/>
      <c r="L46" s="2389"/>
      <c r="M46" s="2389"/>
      <c r="N46" s="2389"/>
      <c r="O46" s="2389"/>
      <c r="P46" s="2389"/>
      <c r="Q46" s="2390"/>
      <c r="R46" s="2388" t="s">
        <v>19470</v>
      </c>
      <c r="S46" s="2389"/>
      <c r="T46" s="2389"/>
      <c r="U46" s="2390"/>
      <c r="V46" s="2389" t="s">
        <v>19471</v>
      </c>
      <c r="W46" s="2389"/>
      <c r="X46" s="2389"/>
      <c r="Y46" s="2390"/>
      <c r="Z46" s="423"/>
      <c r="AA46" s="423"/>
      <c r="AB46" s="423"/>
      <c r="AC46" s="423"/>
      <c r="AD46" s="423"/>
      <c r="AE46" s="2234" t="s">
        <v>19865</v>
      </c>
      <c r="AF46" s="2234"/>
      <c r="AG46" s="2234"/>
      <c r="AH46" s="2234"/>
      <c r="AI46" s="2234"/>
      <c r="AJ46" s="2234"/>
      <c r="AK46" s="2234"/>
      <c r="AL46" s="2234"/>
      <c r="AM46" s="2234"/>
      <c r="AN46" s="2234"/>
      <c r="AO46" s="2234"/>
      <c r="AP46" s="2234"/>
      <c r="AQ46" s="2234"/>
      <c r="AR46" s="2234"/>
      <c r="AS46" s="2234"/>
      <c r="AT46" s="2234"/>
      <c r="AU46" s="2234"/>
      <c r="AV46" s="2234"/>
      <c r="AW46" s="2234"/>
      <c r="AX46" s="2234"/>
      <c r="AY46" s="2234"/>
      <c r="AZ46" s="2234"/>
      <c r="BA46" s="2234"/>
      <c r="BB46" s="2234"/>
      <c r="BC46" s="2234"/>
      <c r="BD46" s="2234"/>
      <c r="BE46" s="2234"/>
      <c r="BF46" s="2234"/>
      <c r="BG46" s="2234"/>
      <c r="BH46" s="2234"/>
      <c r="BI46" s="2234"/>
      <c r="BJ46" s="2234"/>
    </row>
    <row r="47" spans="1:62" ht="13.5" customHeight="1">
      <c r="A47" s="423"/>
      <c r="B47" s="423"/>
      <c r="C47" s="423"/>
      <c r="D47" s="423"/>
      <c r="E47" s="423"/>
      <c r="F47" s="2423" t="s">
        <v>19472</v>
      </c>
      <c r="G47" s="2424"/>
      <c r="H47" s="2424"/>
      <c r="I47" s="2424"/>
      <c r="J47" s="2424"/>
      <c r="K47" s="2424"/>
      <c r="L47" s="2424"/>
      <c r="M47" s="2424"/>
      <c r="N47" s="2424"/>
      <c r="O47" s="2424"/>
      <c r="P47" s="2424"/>
      <c r="Q47" s="2425"/>
      <c r="R47" s="2378" t="s">
        <v>19473</v>
      </c>
      <c r="S47" s="2426"/>
      <c r="T47" s="2426"/>
      <c r="U47" s="2379"/>
      <c r="V47" s="2428" t="str">
        <f>ROUND('Seismic Calcs (Unattached)'!C14,2)&amp;" in."</f>
        <v>15.41 in.</v>
      </c>
      <c r="W47" s="2428"/>
      <c r="X47" s="2428"/>
      <c r="Y47" s="2429"/>
      <c r="Z47" s="423"/>
      <c r="AA47" s="423"/>
      <c r="AB47" s="423"/>
      <c r="AC47" s="423"/>
      <c r="AD47" s="423"/>
      <c r="AE47" s="2234"/>
      <c r="AF47" s="2234"/>
      <c r="AG47" s="2234"/>
      <c r="AH47" s="2234"/>
      <c r="AI47" s="2234"/>
      <c r="AJ47" s="2234"/>
      <c r="AK47" s="2234"/>
      <c r="AL47" s="2234"/>
      <c r="AM47" s="2234"/>
      <c r="AN47" s="2234"/>
      <c r="AO47" s="2234"/>
      <c r="AP47" s="2234"/>
      <c r="AQ47" s="2234"/>
      <c r="AR47" s="2234"/>
      <c r="AS47" s="2234"/>
      <c r="AT47" s="2234"/>
      <c r="AU47" s="2234"/>
      <c r="AV47" s="2234"/>
      <c r="AW47" s="2234"/>
      <c r="AX47" s="2234"/>
      <c r="AY47" s="2234"/>
      <c r="AZ47" s="2234"/>
      <c r="BA47" s="2234"/>
      <c r="BB47" s="2234"/>
      <c r="BC47" s="2234"/>
      <c r="BD47" s="2234"/>
      <c r="BE47" s="2234"/>
      <c r="BF47" s="2234"/>
      <c r="BG47" s="2234"/>
      <c r="BH47" s="2234"/>
      <c r="BI47" s="2234"/>
      <c r="BJ47" s="2234"/>
    </row>
    <row r="48" spans="1:62" ht="13.5" customHeight="1">
      <c r="F48" s="2423" t="s">
        <v>19474</v>
      </c>
      <c r="G48" s="2424"/>
      <c r="H48" s="2424"/>
      <c r="I48" s="2424"/>
      <c r="J48" s="2424"/>
      <c r="K48" s="2424"/>
      <c r="L48" s="2424"/>
      <c r="M48" s="2424"/>
      <c r="N48" s="2424"/>
      <c r="O48" s="2424"/>
      <c r="P48" s="2424"/>
      <c r="Q48" s="2425"/>
      <c r="R48" s="2378" t="s">
        <v>19475</v>
      </c>
      <c r="S48" s="2426"/>
      <c r="T48" s="2426"/>
      <c r="U48" s="2379"/>
      <c r="V48" s="2427" t="str">
        <f>ROUND('Seismic Calcs (Unattached)'!C15,2)&amp;" in."</f>
        <v>30.82 in.</v>
      </c>
      <c r="W48" s="2428"/>
      <c r="X48" s="2428"/>
      <c r="Y48" s="2429"/>
      <c r="AE48" s="2234"/>
      <c r="AF48" s="2234"/>
      <c r="AG48" s="2234"/>
      <c r="AH48" s="2234"/>
      <c r="AI48" s="2234"/>
      <c r="AJ48" s="2234"/>
      <c r="AK48" s="2234"/>
      <c r="AL48" s="2234"/>
      <c r="AM48" s="2234"/>
      <c r="AN48" s="2234"/>
      <c r="AO48" s="2234"/>
      <c r="AP48" s="2234"/>
      <c r="AQ48" s="2234"/>
      <c r="AR48" s="2234"/>
      <c r="AS48" s="2234"/>
      <c r="AT48" s="2234"/>
      <c r="AU48" s="2234"/>
      <c r="AV48" s="2234"/>
      <c r="AW48" s="2234"/>
      <c r="AX48" s="2234"/>
      <c r="AY48" s="2234"/>
      <c r="AZ48" s="2234"/>
      <c r="BA48" s="2234"/>
      <c r="BB48" s="2234"/>
      <c r="BC48" s="2234"/>
      <c r="BD48" s="2234"/>
      <c r="BE48" s="2234"/>
      <c r="BF48" s="2234"/>
      <c r="BG48" s="2234"/>
      <c r="BH48" s="2234"/>
      <c r="BI48" s="2234"/>
      <c r="BJ48" s="2234"/>
    </row>
    <row r="49" spans="6:62" ht="13.5" customHeight="1">
      <c r="F49" s="2423" t="s">
        <v>19476</v>
      </c>
      <c r="G49" s="2424"/>
      <c r="H49" s="2424"/>
      <c r="I49" s="2424"/>
      <c r="J49" s="2424"/>
      <c r="K49" s="2424"/>
      <c r="L49" s="2424"/>
      <c r="M49" s="2424"/>
      <c r="N49" s="2424"/>
      <c r="O49" s="2424"/>
      <c r="P49" s="2424"/>
      <c r="Q49" s="2425"/>
      <c r="R49" s="2378" t="s">
        <v>19477</v>
      </c>
      <c r="S49" s="2426"/>
      <c r="T49" s="2426"/>
      <c r="U49" s="2379"/>
      <c r="V49" s="2427" t="str">
        <f>ROUND('Seismic Calcs (Unattached)'!C16,2)&amp;" in."</f>
        <v>30.82 in.</v>
      </c>
      <c r="W49" s="2428"/>
      <c r="X49" s="2428"/>
      <c r="Y49" s="2429"/>
      <c r="AE49" s="2234"/>
      <c r="AF49" s="2234"/>
      <c r="AG49" s="2234"/>
      <c r="AH49" s="2234"/>
      <c r="AI49" s="2234"/>
      <c r="AJ49" s="2234"/>
      <c r="AK49" s="2234"/>
      <c r="AL49" s="2234"/>
      <c r="AM49" s="2234"/>
      <c r="AN49" s="2234"/>
      <c r="AO49" s="2234"/>
      <c r="AP49" s="2234"/>
      <c r="AQ49" s="2234"/>
      <c r="AR49" s="2234"/>
      <c r="AS49" s="2234"/>
      <c r="AT49" s="2234"/>
      <c r="AU49" s="2234"/>
      <c r="AV49" s="2234"/>
      <c r="AW49" s="2234"/>
      <c r="AX49" s="2234"/>
      <c r="AY49" s="2234"/>
      <c r="AZ49" s="2234"/>
      <c r="BA49" s="2234"/>
      <c r="BB49" s="2234"/>
      <c r="BC49" s="2234"/>
      <c r="BD49" s="2234"/>
      <c r="BE49" s="2234"/>
      <c r="BF49" s="2234"/>
      <c r="BG49" s="2234"/>
      <c r="BH49" s="2234"/>
      <c r="BI49" s="2234"/>
      <c r="BJ49" s="2234"/>
    </row>
    <row r="50" spans="6:62" ht="13.5" customHeight="1">
      <c r="F50" s="2430" t="s">
        <v>19711</v>
      </c>
      <c r="G50" s="2431"/>
      <c r="H50" s="2431"/>
      <c r="I50" s="2431"/>
      <c r="J50" s="2431"/>
      <c r="K50" s="2431"/>
      <c r="L50" s="2431"/>
      <c r="M50" s="2431"/>
      <c r="N50" s="2431"/>
      <c r="O50" s="2431"/>
      <c r="P50" s="2431"/>
      <c r="Q50" s="2432"/>
      <c r="R50" s="2394" t="s">
        <v>19478</v>
      </c>
      <c r="S50" s="2395"/>
      <c r="T50" s="2395"/>
      <c r="U50" s="2396"/>
      <c r="V50" s="2433" t="str">
        <f>ROUND('Seismic Calcs (Unattached)'!C17,2)&amp;" in."</f>
        <v>46.23 in.</v>
      </c>
      <c r="W50" s="2434"/>
      <c r="X50" s="2434"/>
      <c r="Y50" s="2435"/>
      <c r="AE50" s="2234"/>
      <c r="AF50" s="2234"/>
      <c r="AG50" s="2234"/>
      <c r="AH50" s="2234"/>
      <c r="AI50" s="2234"/>
      <c r="AJ50" s="2234"/>
      <c r="AK50" s="2234"/>
      <c r="AL50" s="2234"/>
      <c r="AM50" s="2234"/>
      <c r="AN50" s="2234"/>
      <c r="AO50" s="2234"/>
      <c r="AP50" s="2234"/>
      <c r="AQ50" s="2234"/>
      <c r="AR50" s="2234"/>
      <c r="AS50" s="2234"/>
      <c r="AT50" s="2234"/>
      <c r="AU50" s="2234"/>
      <c r="AV50" s="2234"/>
      <c r="AW50" s="2234"/>
      <c r="AX50" s="2234"/>
      <c r="AY50" s="2234"/>
      <c r="AZ50" s="2234"/>
      <c r="BA50" s="2234"/>
      <c r="BB50" s="2234"/>
      <c r="BC50" s="2234"/>
      <c r="BD50" s="2234"/>
      <c r="BE50" s="2234"/>
      <c r="BF50" s="2234"/>
      <c r="BG50" s="2234"/>
      <c r="BH50" s="2234"/>
      <c r="BI50" s="2234"/>
      <c r="BJ50" s="2234"/>
    </row>
    <row r="51" spans="6:62" ht="13.5" customHeight="1">
      <c r="AE51" s="2234"/>
      <c r="AF51" s="2234"/>
      <c r="AG51" s="2234"/>
      <c r="AH51" s="2234"/>
      <c r="AI51" s="2234"/>
      <c r="AJ51" s="2234"/>
      <c r="AK51" s="2234"/>
      <c r="AL51" s="2234"/>
      <c r="AM51" s="2234"/>
      <c r="AN51" s="2234"/>
      <c r="AO51" s="2234"/>
      <c r="AP51" s="2234"/>
      <c r="AQ51" s="2234"/>
      <c r="AR51" s="2234"/>
      <c r="AS51" s="2234"/>
      <c r="AT51" s="2234"/>
      <c r="AU51" s="2234"/>
      <c r="AV51" s="2234"/>
      <c r="AW51" s="2234"/>
      <c r="AX51" s="2234"/>
      <c r="AY51" s="2234"/>
      <c r="AZ51" s="2234"/>
      <c r="BA51" s="2234"/>
      <c r="BB51" s="2234"/>
      <c r="BC51" s="2234"/>
      <c r="BD51" s="2234"/>
      <c r="BE51" s="2234"/>
      <c r="BF51" s="2234"/>
      <c r="BG51" s="2234"/>
      <c r="BH51" s="2234"/>
      <c r="BI51" s="2234"/>
      <c r="BJ51" s="2234"/>
    </row>
    <row r="52" spans="6:62" ht="13.5" customHeight="1">
      <c r="AE52" s="2234"/>
      <c r="AF52" s="2234"/>
      <c r="AG52" s="2234"/>
      <c r="AH52" s="2234"/>
      <c r="AI52" s="2234"/>
      <c r="AJ52" s="2234"/>
      <c r="AK52" s="2234"/>
      <c r="AL52" s="2234"/>
      <c r="AM52" s="2234"/>
      <c r="AN52" s="2234"/>
      <c r="AO52" s="2234"/>
      <c r="AP52" s="2234"/>
      <c r="AQ52" s="2234"/>
      <c r="AR52" s="2234"/>
      <c r="AS52" s="2234"/>
      <c r="AT52" s="2234"/>
      <c r="AU52" s="2234"/>
      <c r="AV52" s="2234"/>
      <c r="AW52" s="2234"/>
      <c r="AX52" s="2234"/>
      <c r="AY52" s="2234"/>
      <c r="AZ52" s="2234"/>
      <c r="BA52" s="2234"/>
      <c r="BB52" s="2234"/>
      <c r="BC52" s="2234"/>
      <c r="BD52" s="2234"/>
      <c r="BE52" s="2234"/>
      <c r="BF52" s="2234"/>
      <c r="BG52" s="2234"/>
      <c r="BH52" s="2234"/>
      <c r="BI52" s="2234"/>
      <c r="BJ52" s="2234"/>
    </row>
    <row r="53" spans="6:62" ht="13.5" customHeight="1">
      <c r="AE53" s="2234"/>
      <c r="AF53" s="2234"/>
      <c r="AG53" s="2234"/>
      <c r="AH53" s="2234"/>
      <c r="AI53" s="2234"/>
      <c r="AJ53" s="2234"/>
      <c r="AK53" s="2234"/>
      <c r="AL53" s="2234"/>
      <c r="AM53" s="2234"/>
      <c r="AN53" s="2234"/>
      <c r="AO53" s="2234"/>
      <c r="AP53" s="2234"/>
      <c r="AQ53" s="2234"/>
      <c r="AR53" s="2234"/>
      <c r="AS53" s="2234"/>
      <c r="AT53" s="2234"/>
      <c r="AU53" s="2234"/>
      <c r="AV53" s="2234"/>
      <c r="AW53" s="2234"/>
      <c r="AX53" s="2234"/>
      <c r="AY53" s="2234"/>
      <c r="AZ53" s="2234"/>
      <c r="BA53" s="2234"/>
      <c r="BB53" s="2234"/>
      <c r="BC53" s="2234"/>
      <c r="BD53" s="2234"/>
      <c r="BE53" s="2234"/>
      <c r="BF53" s="2234"/>
      <c r="BG53" s="2234"/>
      <c r="BH53" s="2234"/>
      <c r="BI53" s="2234"/>
      <c r="BJ53" s="2234"/>
    </row>
  </sheetData>
  <mergeCells count="71">
    <mergeCell ref="F50:Q50"/>
    <mergeCell ref="R50:U50"/>
    <mergeCell ref="V50:Y50"/>
    <mergeCell ref="F49:Q49"/>
    <mergeCell ref="R49:U49"/>
    <mergeCell ref="V49:Y49"/>
    <mergeCell ref="F48:Q48"/>
    <mergeCell ref="R48:U48"/>
    <mergeCell ref="V48:Y48"/>
    <mergeCell ref="F47:Q47"/>
    <mergeCell ref="R47:U47"/>
    <mergeCell ref="V47:Y47"/>
    <mergeCell ref="F46:Q46"/>
    <mergeCell ref="R46:U46"/>
    <mergeCell ref="V46:Y46"/>
    <mergeCell ref="F45:Y45"/>
    <mergeCell ref="AH42:AY42"/>
    <mergeCell ref="AH40:AY40"/>
    <mergeCell ref="AZ40:BD40"/>
    <mergeCell ref="F35:M35"/>
    <mergeCell ref="N35:Y35"/>
    <mergeCell ref="AH33:BD34"/>
    <mergeCell ref="A37:AD43"/>
    <mergeCell ref="AH35:AY35"/>
    <mergeCell ref="AH38:BD39"/>
    <mergeCell ref="AH37:AY37"/>
    <mergeCell ref="AZ37:BD37"/>
    <mergeCell ref="AH36:AY36"/>
    <mergeCell ref="AZ36:BD36"/>
    <mergeCell ref="AZ35:BD35"/>
    <mergeCell ref="AZ42:BD42"/>
    <mergeCell ref="AH41:AY41"/>
    <mergeCell ref="AZ41:BD41"/>
    <mergeCell ref="N34:Y34"/>
    <mergeCell ref="AH32:BD32"/>
    <mergeCell ref="F34:M34"/>
    <mergeCell ref="AE24:BH31"/>
    <mergeCell ref="K24:Q24"/>
    <mergeCell ref="F33:M33"/>
    <mergeCell ref="N33:Y33"/>
    <mergeCell ref="F32:Y32"/>
    <mergeCell ref="R24:S24"/>
    <mergeCell ref="A26:AD29"/>
    <mergeCell ref="AS18:AY18"/>
    <mergeCell ref="R23:S23"/>
    <mergeCell ref="K23:Q23"/>
    <mergeCell ref="AM20:AR20"/>
    <mergeCell ref="AS20:AY20"/>
    <mergeCell ref="K22:Q22"/>
    <mergeCell ref="R22:S22"/>
    <mergeCell ref="K21:Q21"/>
    <mergeCell ref="R21:S21"/>
    <mergeCell ref="K20:Q20"/>
    <mergeCell ref="R20:S20"/>
    <mergeCell ref="AM18:AR18"/>
    <mergeCell ref="A6:AD13"/>
    <mergeCell ref="A4:AD5"/>
    <mergeCell ref="AE5:BH15"/>
    <mergeCell ref="AE46:BJ53"/>
    <mergeCell ref="K17:Q17"/>
    <mergeCell ref="R17:S17"/>
    <mergeCell ref="K15:S15"/>
    <mergeCell ref="K16:Q16"/>
    <mergeCell ref="R16:S16"/>
    <mergeCell ref="K19:Q19"/>
    <mergeCell ref="R19:S19"/>
    <mergeCell ref="AM17:AY17"/>
    <mergeCell ref="K18:Q18"/>
    <mergeCell ref="R18:S18"/>
    <mergeCell ref="AM19:AR19"/>
    <mergeCell ref="AS19:AY19"/>
  </mergeCells>
  <pageMargins left="0.75" right="0.5" top="0.5" bottom="0.75" header="0.3" footer="0.3"/>
  <pageSetup scale="92" orientation="portrait" r:id="rId1"/>
  <headerFooter scaleWithDoc="0" alignWithMargins="0">
    <oddHeader>&amp;R&amp;G</oddHeader>
    <oddFooter>&amp;L&amp;9ecolibriumsolar.com&amp;C&amp;9Page &amp;P+7
507 Richland Ave., Athens, OH 45701&amp;R&amp;9 740-249-1877</oddFooter>
    <firstHeader>&amp;R&amp;G</firstHeader>
    <firstFooter>&amp;L&amp;9ecolibriumsolar.com&amp;C&amp;9Page 8
507 Richland Ave., Athens, OH 45701&amp;R&amp;9 740-249-1877</firstFooter>
  </headerFooter>
  <colBreaks count="1" manualBreakCount="1">
    <brk id="30" max="1048575" man="1"/>
  </colBreaks>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rgb="FF55A648"/>
  </sheetPr>
  <dimension ref="A1:BJ55"/>
  <sheetViews>
    <sheetView view="pageBreakPreview" zoomScale="70" zoomScaleNormal="70" zoomScaleSheetLayoutView="70" workbookViewId="0">
      <selection activeCell="A2" sqref="A2"/>
    </sheetView>
  </sheetViews>
  <sheetFormatPr defaultColWidth="3.28515625" defaultRowHeight="13.5" customHeight="1"/>
  <cols>
    <col min="1" max="16384" width="3.28515625" style="396"/>
  </cols>
  <sheetData>
    <row r="1" spans="1:62" s="408" customFormat="1" ht="13.5" customHeight="1">
      <c r="A1" s="408" t="str">
        <f>"Uplift, Sliding, &amp; Seismic Calculations for the Proposed Project in "&amp;'5-Report'!J13</f>
        <v>Uplift, Sliding, &amp; Seismic Calculations for the Proposed Project in Reno, NV 89523</v>
      </c>
      <c r="AF1" s="408" t="str">
        <f>"Uplift, Sliding, &amp; Seismic Calculations for the Proposed Project in "&amp;'5-Report'!J13</f>
        <v>Uplift, Sliding, &amp; Seismic Calculations for the Proposed Project in Reno, NV 89523</v>
      </c>
    </row>
    <row r="4" spans="1:62" ht="13.5" customHeight="1">
      <c r="A4" s="2436" t="s">
        <v>19489</v>
      </c>
      <c r="B4" s="2436"/>
      <c r="C4" s="2436"/>
      <c r="D4" s="2436"/>
      <c r="E4" s="2436"/>
      <c r="F4" s="2436"/>
      <c r="G4" s="2436"/>
      <c r="H4" s="2436"/>
      <c r="I4" s="2436"/>
      <c r="J4" s="2436"/>
      <c r="K4" s="2436"/>
      <c r="L4" s="2436"/>
      <c r="M4" s="2436"/>
      <c r="N4" s="2436"/>
      <c r="O4" s="2436"/>
      <c r="P4" s="2436"/>
      <c r="Q4" s="2436"/>
      <c r="R4" s="2436"/>
      <c r="S4" s="2436"/>
      <c r="T4" s="2436"/>
      <c r="U4" s="2436"/>
      <c r="V4" s="2436"/>
      <c r="W4" s="2436"/>
      <c r="X4" s="2436"/>
      <c r="Y4" s="2436"/>
      <c r="Z4" s="2436"/>
      <c r="AA4" s="2436"/>
      <c r="AB4" s="2436"/>
      <c r="AC4" s="2436"/>
      <c r="AD4" s="2436"/>
      <c r="AE4" s="2436"/>
      <c r="AF4" s="2446"/>
      <c r="AG4" s="2446"/>
      <c r="AH4" s="2446"/>
      <c r="AI4" s="2446"/>
      <c r="AJ4" s="2446"/>
      <c r="AK4" s="2446"/>
      <c r="AL4" s="2446"/>
      <c r="AM4" s="2446"/>
      <c r="AN4" s="2446"/>
      <c r="AO4" s="2446"/>
      <c r="AP4" s="2446"/>
      <c r="AQ4" s="2446"/>
      <c r="AR4" s="2446"/>
      <c r="AS4" s="2446"/>
      <c r="AT4" s="2446"/>
      <c r="AU4" s="2446"/>
      <c r="AV4" s="2446"/>
      <c r="AW4" s="2446"/>
      <c r="AX4" s="2446"/>
      <c r="AY4" s="2446"/>
      <c r="AZ4" s="2446"/>
      <c r="BA4" s="2446"/>
      <c r="BB4" s="2446"/>
      <c r="BC4" s="2446"/>
      <c r="BD4" s="2446"/>
      <c r="BE4" s="2446"/>
      <c r="BF4" s="2446"/>
      <c r="BG4" s="2446"/>
      <c r="BH4" s="2446"/>
      <c r="BI4" s="2446"/>
    </row>
    <row r="5" spans="1:62" ht="13.5" customHeight="1">
      <c r="A5" s="2436"/>
      <c r="B5" s="2436"/>
      <c r="C5" s="2436"/>
      <c r="D5" s="2436"/>
      <c r="E5" s="2436"/>
      <c r="F5" s="2436"/>
      <c r="G5" s="2436"/>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2234" t="s">
        <v>20227</v>
      </c>
      <c r="AG5" s="2234"/>
      <c r="AH5" s="2234"/>
      <c r="AI5" s="2234"/>
      <c r="AJ5" s="2234"/>
      <c r="AK5" s="2234"/>
      <c r="AL5" s="2234"/>
      <c r="AM5" s="2234"/>
      <c r="AN5" s="2234"/>
      <c r="AO5" s="2234"/>
      <c r="AP5" s="2234"/>
      <c r="AQ5" s="2234"/>
      <c r="AR5" s="2234"/>
      <c r="AS5" s="2234"/>
      <c r="AT5" s="2234"/>
      <c r="AU5" s="2234"/>
      <c r="AV5" s="2234"/>
      <c r="AW5" s="2234"/>
      <c r="AX5" s="2234"/>
      <c r="AY5" s="2234"/>
      <c r="AZ5" s="2234"/>
      <c r="BA5" s="2234"/>
      <c r="BB5" s="2234"/>
      <c r="BC5" s="2234"/>
      <c r="BD5" s="2234"/>
      <c r="BE5" s="2234"/>
      <c r="BF5" s="2234"/>
      <c r="BG5" s="2234"/>
      <c r="BH5" s="2234"/>
      <c r="BI5" s="2234"/>
      <c r="BJ5" s="2234"/>
    </row>
    <row r="6" spans="1:62" ht="13.5" customHeight="1">
      <c r="A6" s="868"/>
      <c r="B6" s="868"/>
      <c r="C6" s="868"/>
      <c r="D6" s="868"/>
      <c r="E6" s="868"/>
      <c r="F6" s="868"/>
      <c r="G6" s="868"/>
      <c r="H6" s="868"/>
      <c r="I6" s="868"/>
      <c r="J6" s="868"/>
      <c r="K6" s="868"/>
      <c r="L6" s="868"/>
      <c r="M6" s="868"/>
      <c r="N6" s="868"/>
      <c r="O6" s="868"/>
      <c r="P6" s="868"/>
      <c r="Q6" s="868"/>
      <c r="R6" s="868"/>
      <c r="S6" s="868"/>
      <c r="T6" s="868"/>
      <c r="U6" s="868"/>
      <c r="V6" s="868"/>
      <c r="W6" s="868"/>
      <c r="X6" s="868"/>
      <c r="Y6" s="868"/>
      <c r="Z6" s="868"/>
      <c r="AA6" s="868"/>
      <c r="AB6" s="868"/>
      <c r="AC6" s="868"/>
      <c r="AD6" s="868"/>
      <c r="AE6" s="447"/>
      <c r="AF6" s="2234"/>
      <c r="AG6" s="2234"/>
      <c r="AH6" s="2234"/>
      <c r="AI6" s="2234"/>
      <c r="AJ6" s="2234"/>
      <c r="AK6" s="2234"/>
      <c r="AL6" s="2234"/>
      <c r="AM6" s="2234"/>
      <c r="AN6" s="2234"/>
      <c r="AO6" s="2234"/>
      <c r="AP6" s="2234"/>
      <c r="AQ6" s="2234"/>
      <c r="AR6" s="2234"/>
      <c r="AS6" s="2234"/>
      <c r="AT6" s="2234"/>
      <c r="AU6" s="2234"/>
      <c r="AV6" s="2234"/>
      <c r="AW6" s="2234"/>
      <c r="AX6" s="2234"/>
      <c r="AY6" s="2234"/>
      <c r="AZ6" s="2234"/>
      <c r="BA6" s="2234"/>
      <c r="BB6" s="2234"/>
      <c r="BC6" s="2234"/>
      <c r="BD6" s="2234"/>
      <c r="BE6" s="2234"/>
      <c r="BF6" s="2234"/>
      <c r="BG6" s="2234"/>
      <c r="BH6" s="2234"/>
      <c r="BI6" s="2234"/>
      <c r="BJ6" s="2234"/>
    </row>
    <row r="7" spans="1:62" ht="13.5" customHeight="1">
      <c r="A7" s="2375" t="s">
        <v>20230</v>
      </c>
      <c r="B7" s="2375"/>
      <c r="C7" s="2375"/>
      <c r="D7" s="2375"/>
      <c r="E7" s="2375"/>
      <c r="F7" s="2375"/>
      <c r="G7" s="2375"/>
      <c r="H7" s="2375"/>
      <c r="I7" s="2375"/>
      <c r="J7" s="2375"/>
      <c r="K7" s="2375"/>
      <c r="L7" s="2375"/>
      <c r="M7" s="2375"/>
      <c r="N7" s="2375"/>
      <c r="O7" s="2375"/>
      <c r="P7" s="2375"/>
      <c r="Q7" s="2375"/>
      <c r="R7" s="2375"/>
      <c r="S7" s="2375"/>
      <c r="T7" s="2375"/>
      <c r="U7" s="2375"/>
      <c r="V7" s="2375"/>
      <c r="W7" s="2375"/>
      <c r="X7" s="2375"/>
      <c r="Y7" s="2375"/>
      <c r="Z7" s="2375"/>
      <c r="AA7" s="2375"/>
      <c r="AB7" s="2375"/>
      <c r="AC7" s="2375"/>
      <c r="AD7" s="2375"/>
      <c r="AE7" s="2375"/>
      <c r="AF7" s="2234"/>
      <c r="AG7" s="2234"/>
      <c r="AH7" s="2234"/>
      <c r="AI7" s="2234"/>
      <c r="AJ7" s="2234"/>
      <c r="AK7" s="2234"/>
      <c r="AL7" s="2234"/>
      <c r="AM7" s="2234"/>
      <c r="AN7" s="2234"/>
      <c r="AO7" s="2234"/>
      <c r="AP7" s="2234"/>
      <c r="AQ7" s="2234"/>
      <c r="AR7" s="2234"/>
      <c r="AS7" s="2234"/>
      <c r="AT7" s="2234"/>
      <c r="AU7" s="2234"/>
      <c r="AV7" s="2234"/>
      <c r="AW7" s="2234"/>
      <c r="AX7" s="2234"/>
      <c r="AY7" s="2234"/>
      <c r="AZ7" s="2234"/>
      <c r="BA7" s="2234"/>
      <c r="BB7" s="2234"/>
      <c r="BC7" s="2234"/>
      <c r="BD7" s="2234"/>
      <c r="BE7" s="2234"/>
      <c r="BF7" s="2234"/>
      <c r="BG7" s="2234"/>
      <c r="BH7" s="2234"/>
      <c r="BI7" s="2234"/>
      <c r="BJ7" s="2234"/>
    </row>
    <row r="8" spans="1:62" ht="13.5" customHeight="1">
      <c r="A8" s="2375"/>
      <c r="B8" s="2375"/>
      <c r="C8" s="2375"/>
      <c r="D8" s="2375"/>
      <c r="E8" s="2375"/>
      <c r="F8" s="2375"/>
      <c r="G8" s="2375"/>
      <c r="H8" s="2375"/>
      <c r="I8" s="2375"/>
      <c r="J8" s="2375"/>
      <c r="K8" s="2375"/>
      <c r="L8" s="2375"/>
      <c r="M8" s="2375"/>
      <c r="N8" s="2375"/>
      <c r="O8" s="2375"/>
      <c r="P8" s="2375"/>
      <c r="Q8" s="2375"/>
      <c r="R8" s="2375"/>
      <c r="S8" s="2375"/>
      <c r="T8" s="2375"/>
      <c r="U8" s="2375"/>
      <c r="V8" s="2375"/>
      <c r="W8" s="2375"/>
      <c r="X8" s="2375"/>
      <c r="Y8" s="2375"/>
      <c r="Z8" s="2375"/>
      <c r="AA8" s="2375"/>
      <c r="AB8" s="2375"/>
      <c r="AC8" s="2375"/>
      <c r="AD8" s="2375"/>
      <c r="AE8" s="2375"/>
      <c r="AF8" s="2234"/>
      <c r="AG8" s="2234"/>
      <c r="AH8" s="2234"/>
      <c r="AI8" s="2234"/>
      <c r="AJ8" s="2234"/>
      <c r="AK8" s="2234"/>
      <c r="AL8" s="2234"/>
      <c r="AM8" s="2234"/>
      <c r="AN8" s="2234"/>
      <c r="AO8" s="2234"/>
      <c r="AP8" s="2234"/>
      <c r="AQ8" s="2234"/>
      <c r="AR8" s="2234"/>
      <c r="AS8" s="2234"/>
      <c r="AT8" s="2234"/>
      <c r="AU8" s="2234"/>
      <c r="AV8" s="2234"/>
      <c r="AW8" s="2234"/>
      <c r="AX8" s="2234"/>
      <c r="AY8" s="2234"/>
      <c r="AZ8" s="2234"/>
      <c r="BA8" s="2234"/>
      <c r="BB8" s="2234"/>
      <c r="BC8" s="2234"/>
      <c r="BD8" s="2234"/>
      <c r="BE8" s="2234"/>
      <c r="BF8" s="2234"/>
      <c r="BG8" s="2234"/>
      <c r="BH8" s="2234"/>
      <c r="BI8" s="2234"/>
      <c r="BJ8" s="2234"/>
    </row>
    <row r="9" spans="1:62" ht="13.5" customHeight="1">
      <c r="A9" s="2375"/>
      <c r="B9" s="2375"/>
      <c r="C9" s="2375"/>
      <c r="D9" s="2375"/>
      <c r="E9" s="2375"/>
      <c r="F9" s="2375"/>
      <c r="G9" s="2375"/>
      <c r="H9" s="2375"/>
      <c r="I9" s="2375"/>
      <c r="J9" s="2375"/>
      <c r="K9" s="2375"/>
      <c r="L9" s="2375"/>
      <c r="M9" s="2375"/>
      <c r="N9" s="2375"/>
      <c r="O9" s="2375"/>
      <c r="P9" s="2375"/>
      <c r="Q9" s="2375"/>
      <c r="R9" s="2375"/>
      <c r="S9" s="2375"/>
      <c r="T9" s="2375"/>
      <c r="U9" s="2375"/>
      <c r="V9" s="2375"/>
      <c r="W9" s="2375"/>
      <c r="X9" s="2375"/>
      <c r="Y9" s="2375"/>
      <c r="Z9" s="2375"/>
      <c r="AA9" s="2375"/>
      <c r="AB9" s="2375"/>
      <c r="AC9" s="2375"/>
      <c r="AD9" s="2375"/>
      <c r="AE9" s="2375"/>
      <c r="AF9" s="2234"/>
      <c r="AG9" s="2234"/>
      <c r="AH9" s="2234"/>
      <c r="AI9" s="2234"/>
      <c r="AJ9" s="2234"/>
      <c r="AK9" s="2234"/>
      <c r="AL9" s="2234"/>
      <c r="AM9" s="2234"/>
      <c r="AN9" s="2234"/>
      <c r="AO9" s="2234"/>
      <c r="AP9" s="2234"/>
      <c r="AQ9" s="2234"/>
      <c r="AR9" s="2234"/>
      <c r="AS9" s="2234"/>
      <c r="AT9" s="2234"/>
      <c r="AU9" s="2234"/>
      <c r="AV9" s="2234"/>
      <c r="AW9" s="2234"/>
      <c r="AX9" s="2234"/>
      <c r="AY9" s="2234"/>
      <c r="AZ9" s="2234"/>
      <c r="BA9" s="2234"/>
      <c r="BB9" s="2234"/>
      <c r="BC9" s="2234"/>
      <c r="BD9" s="2234"/>
      <c r="BE9" s="2234"/>
      <c r="BF9" s="2234"/>
      <c r="BG9" s="2234"/>
      <c r="BH9" s="2234"/>
      <c r="BI9" s="2234"/>
      <c r="BJ9" s="2234"/>
    </row>
    <row r="10" spans="1:62" ht="13.5" customHeight="1">
      <c r="A10" s="2375"/>
      <c r="B10" s="2375"/>
      <c r="C10" s="2375"/>
      <c r="D10" s="2375"/>
      <c r="E10" s="2375"/>
      <c r="F10" s="2375"/>
      <c r="G10" s="2375"/>
      <c r="H10" s="2375"/>
      <c r="I10" s="2375"/>
      <c r="J10" s="2375"/>
      <c r="K10" s="2375"/>
      <c r="L10" s="2375"/>
      <c r="M10" s="2375"/>
      <c r="N10" s="2375"/>
      <c r="O10" s="2375"/>
      <c r="P10" s="2375"/>
      <c r="Q10" s="2375"/>
      <c r="R10" s="2375"/>
      <c r="S10" s="2375"/>
      <c r="T10" s="2375"/>
      <c r="U10" s="2375"/>
      <c r="V10" s="2375"/>
      <c r="W10" s="2375"/>
      <c r="X10" s="2375"/>
      <c r="Y10" s="2375"/>
      <c r="Z10" s="2375"/>
      <c r="AA10" s="2375"/>
      <c r="AB10" s="2375"/>
      <c r="AC10" s="2375"/>
      <c r="AD10" s="2375"/>
      <c r="AE10" s="2375"/>
      <c r="AF10" s="2234"/>
      <c r="AG10" s="2234"/>
      <c r="AH10" s="2234"/>
      <c r="AI10" s="2234"/>
      <c r="AJ10" s="2234"/>
      <c r="AK10" s="2234"/>
      <c r="AL10" s="2234"/>
      <c r="AM10" s="2234"/>
      <c r="AN10" s="2234"/>
      <c r="AO10" s="2234"/>
      <c r="AP10" s="2234"/>
      <c r="AQ10" s="2234"/>
      <c r="AR10" s="2234"/>
      <c r="AS10" s="2234"/>
      <c r="AT10" s="2234"/>
      <c r="AU10" s="2234"/>
      <c r="AV10" s="2234"/>
      <c r="AW10" s="2234"/>
      <c r="AX10" s="2234"/>
      <c r="AY10" s="2234"/>
      <c r="AZ10" s="2234"/>
      <c r="BA10" s="2234"/>
      <c r="BB10" s="2234"/>
      <c r="BC10" s="2234"/>
      <c r="BD10" s="2234"/>
      <c r="BE10" s="2234"/>
      <c r="BF10" s="2234"/>
      <c r="BG10" s="2234"/>
      <c r="BH10" s="2234"/>
      <c r="BI10" s="2234"/>
      <c r="BJ10" s="2234"/>
    </row>
    <row r="11" spans="1:62" ht="13.5" customHeight="1">
      <c r="A11" s="2375"/>
      <c r="B11" s="2375"/>
      <c r="C11" s="2375"/>
      <c r="D11" s="2375"/>
      <c r="E11" s="2375"/>
      <c r="F11" s="2375"/>
      <c r="G11" s="2375"/>
      <c r="H11" s="2375"/>
      <c r="I11" s="2375"/>
      <c r="J11" s="2375"/>
      <c r="K11" s="2375"/>
      <c r="L11" s="2375"/>
      <c r="M11" s="2375"/>
      <c r="N11" s="2375"/>
      <c r="O11" s="2375"/>
      <c r="P11" s="2375"/>
      <c r="Q11" s="2375"/>
      <c r="R11" s="2375"/>
      <c r="S11" s="2375"/>
      <c r="T11" s="2375"/>
      <c r="U11" s="2375"/>
      <c r="V11" s="2375"/>
      <c r="W11" s="2375"/>
      <c r="X11" s="2375"/>
      <c r="Y11" s="2375"/>
      <c r="Z11" s="2375"/>
      <c r="AA11" s="2375"/>
      <c r="AB11" s="2375"/>
      <c r="AC11" s="2375"/>
      <c r="AD11" s="2375"/>
      <c r="AE11" s="2375"/>
      <c r="AF11" s="2234"/>
      <c r="AG11" s="2234"/>
      <c r="AH11" s="2234"/>
      <c r="AI11" s="2234"/>
      <c r="AJ11" s="2234"/>
      <c r="AK11" s="2234"/>
      <c r="AL11" s="2234"/>
      <c r="AM11" s="2234"/>
      <c r="AN11" s="2234"/>
      <c r="AO11" s="2234"/>
      <c r="AP11" s="2234"/>
      <c r="AQ11" s="2234"/>
      <c r="AR11" s="2234"/>
      <c r="AS11" s="2234"/>
      <c r="AT11" s="2234"/>
      <c r="AU11" s="2234"/>
      <c r="AV11" s="2234"/>
      <c r="AW11" s="2234"/>
      <c r="AX11" s="2234"/>
      <c r="AY11" s="2234"/>
      <c r="AZ11" s="2234"/>
      <c r="BA11" s="2234"/>
      <c r="BB11" s="2234"/>
      <c r="BC11" s="2234"/>
      <c r="BD11" s="2234"/>
      <c r="BE11" s="2234"/>
      <c r="BF11" s="2234"/>
      <c r="BG11" s="2234"/>
      <c r="BH11" s="2234"/>
      <c r="BI11" s="2234"/>
      <c r="BJ11" s="2234"/>
    </row>
    <row r="12" spans="1:62" ht="13.5" customHeight="1">
      <c r="A12" s="2375"/>
      <c r="B12" s="2375"/>
      <c r="C12" s="2375"/>
      <c r="D12" s="2375"/>
      <c r="E12" s="2375"/>
      <c r="F12" s="2375"/>
      <c r="G12" s="2375"/>
      <c r="H12" s="2375"/>
      <c r="I12" s="2375"/>
      <c r="J12" s="2375"/>
      <c r="K12" s="2375"/>
      <c r="L12" s="2375"/>
      <c r="M12" s="2375"/>
      <c r="N12" s="2375"/>
      <c r="O12" s="2375"/>
      <c r="P12" s="2375"/>
      <c r="Q12" s="2375"/>
      <c r="R12" s="2375"/>
      <c r="S12" s="2375"/>
      <c r="T12" s="2375"/>
      <c r="U12" s="2375"/>
      <c r="V12" s="2375"/>
      <c r="W12" s="2375"/>
      <c r="X12" s="2375"/>
      <c r="Y12" s="2375"/>
      <c r="Z12" s="2375"/>
      <c r="AA12" s="2375"/>
      <c r="AB12" s="2375"/>
      <c r="AC12" s="2375"/>
      <c r="AD12" s="2375"/>
      <c r="AE12" s="2375"/>
      <c r="AF12" s="2234"/>
      <c r="AG12" s="2234"/>
      <c r="AH12" s="2234"/>
      <c r="AI12" s="2234"/>
      <c r="AJ12" s="2234"/>
      <c r="AK12" s="2234"/>
      <c r="AL12" s="2234"/>
      <c r="AM12" s="2234"/>
      <c r="AN12" s="2234"/>
      <c r="AO12" s="2234"/>
      <c r="AP12" s="2234"/>
      <c r="AQ12" s="2234"/>
      <c r="AR12" s="2234"/>
      <c r="AS12" s="2234"/>
      <c r="AT12" s="2234"/>
      <c r="AU12" s="2234"/>
      <c r="AV12" s="2234"/>
      <c r="AW12" s="2234"/>
      <c r="AX12" s="2234"/>
      <c r="AY12" s="2234"/>
      <c r="AZ12" s="2234"/>
      <c r="BA12" s="2234"/>
      <c r="BB12" s="2234"/>
      <c r="BC12" s="2234"/>
      <c r="BD12" s="2234"/>
      <c r="BE12" s="2234"/>
      <c r="BF12" s="2234"/>
      <c r="BG12" s="2234"/>
      <c r="BH12" s="2234"/>
      <c r="BI12" s="2234"/>
      <c r="BJ12" s="2234"/>
    </row>
    <row r="13" spans="1:62" ht="13.5" customHeight="1">
      <c r="A13" s="2375"/>
      <c r="B13" s="2375"/>
      <c r="C13" s="2375"/>
      <c r="D13" s="2375"/>
      <c r="E13" s="2375"/>
      <c r="F13" s="2375"/>
      <c r="G13" s="2375"/>
      <c r="H13" s="2375"/>
      <c r="I13" s="2375"/>
      <c r="J13" s="2375"/>
      <c r="K13" s="2375"/>
      <c r="L13" s="2375"/>
      <c r="M13" s="2375"/>
      <c r="N13" s="2375"/>
      <c r="O13" s="2375"/>
      <c r="P13" s="2375"/>
      <c r="Q13" s="2375"/>
      <c r="R13" s="2375"/>
      <c r="S13" s="2375"/>
      <c r="T13" s="2375"/>
      <c r="U13" s="2375"/>
      <c r="V13" s="2375"/>
      <c r="W13" s="2375"/>
      <c r="X13" s="2375"/>
      <c r="Y13" s="2375"/>
      <c r="Z13" s="2375"/>
      <c r="AA13" s="2375"/>
      <c r="AB13" s="2375"/>
      <c r="AC13" s="2375"/>
      <c r="AD13" s="2375"/>
      <c r="AE13" s="2375"/>
      <c r="AF13" s="2234"/>
      <c r="AG13" s="2234"/>
      <c r="AH13" s="2234"/>
      <c r="AI13" s="2234"/>
      <c r="AJ13" s="2234"/>
      <c r="AK13" s="2234"/>
      <c r="AL13" s="2234"/>
      <c r="AM13" s="2234"/>
      <c r="AN13" s="2234"/>
      <c r="AO13" s="2234"/>
      <c r="AP13" s="2234"/>
      <c r="AQ13" s="2234"/>
      <c r="AR13" s="2234"/>
      <c r="AS13" s="2234"/>
      <c r="AT13" s="2234"/>
      <c r="AU13" s="2234"/>
      <c r="AV13" s="2234"/>
      <c r="AW13" s="2234"/>
      <c r="AX13" s="2234"/>
      <c r="AY13" s="2234"/>
      <c r="AZ13" s="2234"/>
      <c r="BA13" s="2234"/>
      <c r="BB13" s="2234"/>
      <c r="BC13" s="2234"/>
      <c r="BD13" s="2234"/>
      <c r="BE13" s="2234"/>
      <c r="BF13" s="2234"/>
      <c r="BG13" s="2234"/>
      <c r="BH13" s="2234"/>
      <c r="BI13" s="2234"/>
      <c r="BJ13" s="2234"/>
    </row>
    <row r="14" spans="1:62" ht="13.5" customHeight="1">
      <c r="A14" s="2375"/>
      <c r="B14" s="2375"/>
      <c r="C14" s="2375"/>
      <c r="D14" s="2375"/>
      <c r="E14" s="2375"/>
      <c r="F14" s="2375"/>
      <c r="G14" s="2375"/>
      <c r="H14" s="2375"/>
      <c r="I14" s="2375"/>
      <c r="J14" s="2375"/>
      <c r="K14" s="2375"/>
      <c r="L14" s="2375"/>
      <c r="M14" s="2375"/>
      <c r="N14" s="2375"/>
      <c r="O14" s="2375"/>
      <c r="P14" s="2375"/>
      <c r="Q14" s="2375"/>
      <c r="R14" s="2375"/>
      <c r="S14" s="2375"/>
      <c r="T14" s="2375"/>
      <c r="U14" s="2375"/>
      <c r="V14" s="2375"/>
      <c r="W14" s="2375"/>
      <c r="X14" s="2375"/>
      <c r="Y14" s="2375"/>
      <c r="Z14" s="2375"/>
      <c r="AA14" s="2375"/>
      <c r="AB14" s="2375"/>
      <c r="AC14" s="2375"/>
      <c r="AD14" s="2375"/>
      <c r="AE14" s="2375"/>
      <c r="AF14" s="2234"/>
      <c r="AG14" s="2234"/>
      <c r="AH14" s="2234"/>
      <c r="AI14" s="2234"/>
      <c r="AJ14" s="2234"/>
      <c r="AK14" s="2234"/>
      <c r="AL14" s="2234"/>
      <c r="AM14" s="2234"/>
      <c r="AN14" s="2234"/>
      <c r="AO14" s="2234"/>
      <c r="AP14" s="2234"/>
      <c r="AQ14" s="2234"/>
      <c r="AR14" s="2234"/>
      <c r="AS14" s="2234"/>
      <c r="AT14" s="2234"/>
      <c r="AU14" s="2234"/>
      <c r="AV14" s="2234"/>
      <c r="AW14" s="2234"/>
      <c r="AX14" s="2234"/>
      <c r="AY14" s="2234"/>
      <c r="AZ14" s="2234"/>
      <c r="BA14" s="2234"/>
      <c r="BB14" s="2234"/>
      <c r="BC14" s="2234"/>
      <c r="BD14" s="2234"/>
      <c r="BE14" s="2234"/>
      <c r="BF14" s="2234"/>
      <c r="BG14" s="2234"/>
      <c r="BH14" s="2234"/>
      <c r="BI14" s="2234"/>
      <c r="BJ14" s="2234"/>
    </row>
    <row r="15" spans="1:62" ht="13.5" customHeight="1">
      <c r="A15" s="2375"/>
      <c r="B15" s="2375"/>
      <c r="C15" s="2375"/>
      <c r="D15" s="2375"/>
      <c r="E15" s="2375"/>
      <c r="F15" s="2375"/>
      <c r="G15" s="2375"/>
      <c r="H15" s="2375"/>
      <c r="I15" s="2375"/>
      <c r="J15" s="2375"/>
      <c r="K15" s="2375"/>
      <c r="L15" s="2375"/>
      <c r="M15" s="2375"/>
      <c r="N15" s="2375"/>
      <c r="O15" s="2375"/>
      <c r="P15" s="2375"/>
      <c r="Q15" s="2375"/>
      <c r="R15" s="2375"/>
      <c r="S15" s="2375"/>
      <c r="T15" s="2375"/>
      <c r="U15" s="2375"/>
      <c r="V15" s="2375"/>
      <c r="W15" s="2375"/>
      <c r="X15" s="2375"/>
      <c r="Y15" s="2375"/>
      <c r="Z15" s="2375"/>
      <c r="AA15" s="2375"/>
      <c r="AB15" s="2375"/>
      <c r="AC15" s="2375"/>
      <c r="AD15" s="2375"/>
      <c r="AE15" s="2375"/>
      <c r="AF15" s="2234"/>
      <c r="AG15" s="2234"/>
      <c r="AH15" s="2234"/>
      <c r="AI15" s="2234"/>
      <c r="AJ15" s="2234"/>
      <c r="AK15" s="2234"/>
      <c r="AL15" s="2234"/>
      <c r="AM15" s="2234"/>
      <c r="AN15" s="2234"/>
      <c r="AO15" s="2234"/>
      <c r="AP15" s="2234"/>
      <c r="AQ15" s="2234"/>
      <c r="AR15" s="2234"/>
      <c r="AS15" s="2234"/>
      <c r="AT15" s="2234"/>
      <c r="AU15" s="2234"/>
      <c r="AV15" s="2234"/>
      <c r="AW15" s="2234"/>
      <c r="AX15" s="2234"/>
      <c r="AY15" s="2234"/>
      <c r="AZ15" s="2234"/>
      <c r="BA15" s="2234"/>
      <c r="BB15" s="2234"/>
      <c r="BC15" s="2234"/>
      <c r="BD15" s="2234"/>
      <c r="BE15" s="2234"/>
      <c r="BF15" s="2234"/>
      <c r="BG15" s="2234"/>
      <c r="BH15" s="2234"/>
      <c r="BI15" s="2234"/>
      <c r="BJ15" s="2234"/>
    </row>
    <row r="16" spans="1:62" ht="13.5" customHeight="1">
      <c r="A16" s="2375"/>
      <c r="B16" s="2375"/>
      <c r="C16" s="2375"/>
      <c r="D16" s="2375"/>
      <c r="E16" s="2375"/>
      <c r="F16" s="2375"/>
      <c r="G16" s="2375"/>
      <c r="H16" s="2375"/>
      <c r="I16" s="2375"/>
      <c r="J16" s="2375"/>
      <c r="K16" s="2375"/>
      <c r="L16" s="2375"/>
      <c r="M16" s="2375"/>
      <c r="N16" s="2375"/>
      <c r="O16" s="2375"/>
      <c r="P16" s="2375"/>
      <c r="Q16" s="2375"/>
      <c r="R16" s="2375"/>
      <c r="S16" s="2375"/>
      <c r="T16" s="2375"/>
      <c r="U16" s="2375"/>
      <c r="V16" s="2375"/>
      <c r="W16" s="2375"/>
      <c r="X16" s="2375"/>
      <c r="Y16" s="2375"/>
      <c r="Z16" s="2375"/>
      <c r="AA16" s="2375"/>
      <c r="AB16" s="2375"/>
      <c r="AC16" s="2375"/>
      <c r="AD16" s="2375"/>
      <c r="AE16" s="2375"/>
    </row>
    <row r="17" spans="1:62" ht="13.5" customHeight="1">
      <c r="A17" s="2375"/>
      <c r="B17" s="2375"/>
      <c r="C17" s="2375"/>
      <c r="D17" s="2375"/>
      <c r="E17" s="2375"/>
      <c r="F17" s="2375"/>
      <c r="G17" s="2375"/>
      <c r="H17" s="2375"/>
      <c r="I17" s="2375"/>
      <c r="J17" s="2375"/>
      <c r="K17" s="2375"/>
      <c r="L17" s="2375"/>
      <c r="M17" s="2375"/>
      <c r="N17" s="2375"/>
      <c r="O17" s="2375"/>
      <c r="P17" s="2375"/>
      <c r="Q17" s="2375"/>
      <c r="R17" s="2375"/>
      <c r="S17" s="2375"/>
      <c r="T17" s="2375"/>
      <c r="U17" s="2375"/>
      <c r="V17" s="2375"/>
      <c r="W17" s="2375"/>
      <c r="X17" s="2375"/>
      <c r="Y17" s="2375"/>
      <c r="Z17" s="2375"/>
      <c r="AA17" s="2375"/>
      <c r="AB17" s="2375"/>
      <c r="AC17" s="2375"/>
      <c r="AD17" s="2375"/>
      <c r="AE17" s="2375"/>
      <c r="AI17" s="2447" t="s">
        <v>19528</v>
      </c>
      <c r="AJ17" s="2448"/>
      <c r="AK17" s="2448"/>
      <c r="AL17" s="2448"/>
      <c r="AM17" s="2448"/>
      <c r="AN17" s="2448"/>
      <c r="AO17" s="2448"/>
      <c r="AP17" s="2448"/>
      <c r="AQ17" s="2448"/>
      <c r="AR17" s="2448"/>
      <c r="AS17" s="2448"/>
      <c r="AT17" s="2448"/>
      <c r="AU17" s="2448"/>
      <c r="AV17" s="2448"/>
      <c r="AW17" s="2448"/>
      <c r="AX17" s="2448"/>
      <c r="AY17" s="2448"/>
      <c r="AZ17" s="2448"/>
      <c r="BA17" s="2448"/>
      <c r="BB17" s="2448"/>
      <c r="BC17" s="2448"/>
      <c r="BD17" s="2448"/>
      <c r="BE17" s="2448"/>
      <c r="BF17" s="2448"/>
      <c r="BG17" s="2448"/>
      <c r="BH17" s="2449"/>
    </row>
    <row r="18" spans="1:62" ht="13.5" customHeight="1">
      <c r="A18" s="2375"/>
      <c r="B18" s="2375"/>
      <c r="C18" s="2375"/>
      <c r="D18" s="2375"/>
      <c r="E18" s="2375"/>
      <c r="F18" s="2375"/>
      <c r="G18" s="2375"/>
      <c r="H18" s="2375"/>
      <c r="I18" s="2375"/>
      <c r="J18" s="2375"/>
      <c r="K18" s="2375"/>
      <c r="L18" s="2375"/>
      <c r="M18" s="2375"/>
      <c r="N18" s="2375"/>
      <c r="O18" s="2375"/>
      <c r="P18" s="2375"/>
      <c r="Q18" s="2375"/>
      <c r="R18" s="2375"/>
      <c r="S18" s="2375"/>
      <c r="T18" s="2375"/>
      <c r="U18" s="2375"/>
      <c r="V18" s="2375"/>
      <c r="W18" s="2375"/>
      <c r="X18" s="2375"/>
      <c r="Y18" s="2375"/>
      <c r="Z18" s="2375"/>
      <c r="AA18" s="2375"/>
      <c r="AB18" s="2375"/>
      <c r="AC18" s="2375"/>
      <c r="AD18" s="2375"/>
      <c r="AE18" s="2375"/>
      <c r="AI18" s="2450" t="str">
        <f>'Seismic Calcs (Attached)'!A20</f>
        <v>Friction Coefficient</v>
      </c>
      <c r="AJ18" s="2450"/>
      <c r="AK18" s="2450"/>
      <c r="AL18" s="2450"/>
      <c r="AM18" s="2450"/>
      <c r="AN18" s="2450"/>
      <c r="AO18" s="2450"/>
      <c r="AP18" s="2450"/>
      <c r="AQ18" s="2450"/>
      <c r="AR18" s="2450"/>
      <c r="AS18" s="2450"/>
      <c r="AT18" s="2450"/>
      <c r="AU18" s="2443">
        <f>MIN('Friction Data'!F34:G34)</f>
        <v>0.57999999999999996</v>
      </c>
      <c r="AV18" s="2444"/>
      <c r="AW18" s="2444"/>
      <c r="AX18" s="2437" t="s">
        <v>20327</v>
      </c>
      <c r="AY18" s="2438"/>
      <c r="AZ18" s="2438"/>
      <c r="BA18" s="2438"/>
      <c r="BB18" s="2438"/>
      <c r="BC18" s="2438"/>
      <c r="BD18" s="2438"/>
      <c r="BE18" s="2438"/>
      <c r="BF18" s="2438"/>
      <c r="BG18" s="2438"/>
      <c r="BH18" s="2439"/>
    </row>
    <row r="19" spans="1:62" ht="13.5" customHeight="1">
      <c r="AI19" s="2445" t="str">
        <f>'Seismic Calcs (Attached)'!A21</f>
        <v>Ff (max friction) = (0.9-0.2*Sds)*(0.7*u)*Wp</v>
      </c>
      <c r="AJ19" s="2445"/>
      <c r="AK19" s="2445"/>
      <c r="AL19" s="2445"/>
      <c r="AM19" s="2445"/>
      <c r="AN19" s="2445"/>
      <c r="AO19" s="2445"/>
      <c r="AP19" s="2445"/>
      <c r="AQ19" s="2445"/>
      <c r="AR19" s="2445"/>
      <c r="AS19" s="2445"/>
      <c r="AT19" s="2445"/>
      <c r="AU19" s="2443">
        <f>'Seismic Calcs (Attached)'!B21</f>
        <v>61.269541199999992</v>
      </c>
      <c r="AV19" s="2444"/>
      <c r="AW19" s="2444"/>
      <c r="AX19" s="2437" t="s">
        <v>19504</v>
      </c>
      <c r="AY19" s="2438"/>
      <c r="AZ19" s="2438"/>
      <c r="BA19" s="2438"/>
      <c r="BB19" s="2438"/>
      <c r="BC19" s="2438"/>
      <c r="BD19" s="2438"/>
      <c r="BE19" s="2438"/>
      <c r="BF19" s="2438"/>
      <c r="BG19" s="2438"/>
      <c r="BH19" s="2439"/>
    </row>
    <row r="20" spans="1:62" ht="13.5" customHeight="1">
      <c r="A20" s="2452" t="s">
        <v>19490</v>
      </c>
      <c r="B20" s="2453"/>
      <c r="C20" s="2453"/>
      <c r="D20" s="2453"/>
      <c r="E20" s="2453"/>
      <c r="F20" s="2453"/>
      <c r="G20" s="2453"/>
      <c r="H20" s="2453"/>
      <c r="I20" s="2453"/>
      <c r="J20" s="2453"/>
      <c r="K20" s="2453"/>
      <c r="L20" s="2453"/>
      <c r="M20" s="2454"/>
      <c r="O20" s="2452" t="s">
        <v>19527</v>
      </c>
      <c r="P20" s="2453"/>
      <c r="Q20" s="2453"/>
      <c r="R20" s="2453"/>
      <c r="S20" s="2453"/>
      <c r="T20" s="2453"/>
      <c r="U20" s="2453"/>
      <c r="V20" s="2453"/>
      <c r="W20" s="2453"/>
      <c r="X20" s="2453"/>
      <c r="Y20" s="2453"/>
      <c r="Z20" s="2453"/>
      <c r="AA20" s="2453"/>
      <c r="AB20" s="2453"/>
      <c r="AC20" s="2453"/>
      <c r="AD20" s="2454"/>
      <c r="AI20" s="2450" t="str">
        <f>'Seismic Calcs (Attached)'!A22</f>
        <v>Excess force per unit</v>
      </c>
      <c r="AJ20" s="2450"/>
      <c r="AK20" s="2450"/>
      <c r="AL20" s="2450"/>
      <c r="AM20" s="2450"/>
      <c r="AN20" s="2450"/>
      <c r="AO20" s="2450"/>
      <c r="AP20" s="2450"/>
      <c r="AQ20" s="2450"/>
      <c r="AR20" s="2450"/>
      <c r="AS20" s="2450"/>
      <c r="AT20" s="2450"/>
      <c r="AU20" s="2443">
        <f>'Seismic Calcs (Attached)'!B22</f>
        <v>58.26917880000002</v>
      </c>
      <c r="AV20" s="2444"/>
      <c r="AW20" s="2444"/>
      <c r="AX20" s="2440" t="s">
        <v>19505</v>
      </c>
      <c r="AY20" s="2441"/>
      <c r="AZ20" s="2441"/>
      <c r="BA20" s="2441"/>
      <c r="BB20" s="2441"/>
      <c r="BC20" s="2441"/>
      <c r="BD20" s="2441"/>
      <c r="BE20" s="2441"/>
      <c r="BF20" s="2441"/>
      <c r="BG20" s="2441"/>
      <c r="BH20" s="2442"/>
    </row>
    <row r="21" spans="1:62" ht="13.5" customHeight="1">
      <c r="A21" s="2204" t="str">
        <f>'Seismic Calcs (Attached)'!A2</f>
        <v>Number of blocks per Ecofoot</v>
      </c>
      <c r="B21" s="2204"/>
      <c r="C21" s="2204"/>
      <c r="D21" s="2204"/>
      <c r="E21" s="2204"/>
      <c r="F21" s="2204"/>
      <c r="G21" s="2204"/>
      <c r="H21" s="2204"/>
      <c r="I21" s="2204"/>
      <c r="J21" s="2451">
        <f>'Seismic Calcs (Attached)'!B2</f>
        <v>5</v>
      </c>
      <c r="K21" s="2204"/>
      <c r="L21" s="2204"/>
      <c r="M21" s="2204"/>
      <c r="O21" s="2194" t="str">
        <f>'Seismic Calcs (Attached)'!A13</f>
        <v>z=height of point of attachment (in.)</v>
      </c>
      <c r="P21" s="2194"/>
      <c r="Q21" s="2194"/>
      <c r="R21" s="2194"/>
      <c r="S21" s="2194"/>
      <c r="T21" s="2194"/>
      <c r="U21" s="2194"/>
      <c r="V21" s="2194"/>
      <c r="W21" s="2194"/>
      <c r="X21" s="2194"/>
      <c r="Y21" s="2194"/>
      <c r="Z21" s="2194"/>
      <c r="AA21" s="2451">
        <f>'Seismic Calcs (Attached)'!B13</f>
        <v>1</v>
      </c>
      <c r="AB21" s="2204"/>
      <c r="AC21" s="2204"/>
      <c r="AD21" s="2204"/>
      <c r="AI21" s="2450" t="str">
        <f>'Seismic Calcs (Attached)'!A24</f>
        <v>Attachment system rating (factored)</v>
      </c>
      <c r="AJ21" s="2450"/>
      <c r="AK21" s="2450"/>
      <c r="AL21" s="2450"/>
      <c r="AM21" s="2450"/>
      <c r="AN21" s="2450"/>
      <c r="AO21" s="2450"/>
      <c r="AP21" s="2450"/>
      <c r="AQ21" s="2450"/>
      <c r="AR21" s="2450"/>
      <c r="AS21" s="2450"/>
      <c r="AT21" s="2450"/>
      <c r="AU21" s="2443">
        <f>'Seismic Calcs (Attached)'!B24</f>
        <v>371.4</v>
      </c>
      <c r="AV21" s="2444"/>
      <c r="AW21" s="2444"/>
      <c r="AX21" s="2440" t="s">
        <v>19818</v>
      </c>
      <c r="AY21" s="2441"/>
      <c r="AZ21" s="2441"/>
      <c r="BA21" s="2441"/>
      <c r="BB21" s="2441"/>
      <c r="BC21" s="2441"/>
      <c r="BD21" s="2441"/>
      <c r="BE21" s="2441"/>
      <c r="BF21" s="2441"/>
      <c r="BG21" s="2441"/>
      <c r="BH21" s="2442"/>
    </row>
    <row r="22" spans="1:62" ht="13.5" customHeight="1">
      <c r="A22" s="2204" t="str">
        <f>'Seismic Calcs (Attached)'!A3</f>
        <v>Wp=Weight per unit</v>
      </c>
      <c r="B22" s="2204"/>
      <c r="C22" s="2204"/>
      <c r="D22" s="2204"/>
      <c r="E22" s="2204"/>
      <c r="F22" s="2204"/>
      <c r="G22" s="2204"/>
      <c r="H22" s="2204"/>
      <c r="I22" s="2204"/>
      <c r="J22" s="2451">
        <f>'Seismic Calcs (Attached)'!B3</f>
        <v>223.02</v>
      </c>
      <c r="K22" s="2204"/>
      <c r="L22" s="2204"/>
      <c r="M22" s="2204"/>
      <c r="O22" s="2194" t="str">
        <f>'Seismic Calcs (Attached)'!A14</f>
        <v>h=structure height compared to base (in.)</v>
      </c>
      <c r="P22" s="2194"/>
      <c r="Q22" s="2194"/>
      <c r="R22" s="2194"/>
      <c r="S22" s="2194"/>
      <c r="T22" s="2194"/>
      <c r="U22" s="2194"/>
      <c r="V22" s="2194"/>
      <c r="W22" s="2194"/>
      <c r="X22" s="2194"/>
      <c r="Y22" s="2194"/>
      <c r="Z22" s="2194"/>
      <c r="AA22" s="2451">
        <f>'Seismic Calcs (Attached)'!B14</f>
        <v>1</v>
      </c>
      <c r="AB22" s="2204"/>
      <c r="AC22" s="2204"/>
      <c r="AD22" s="2204"/>
      <c r="AI22" s="2450" t="str">
        <f>'Seismic Calcs (Attached)'!A25</f>
        <v>Number of panels per attachment</v>
      </c>
      <c r="AJ22" s="2450"/>
      <c r="AK22" s="2450"/>
      <c r="AL22" s="2450"/>
      <c r="AM22" s="2450"/>
      <c r="AN22" s="2450"/>
      <c r="AO22" s="2450"/>
      <c r="AP22" s="2450"/>
      <c r="AQ22" s="2450"/>
      <c r="AR22" s="2450"/>
      <c r="AS22" s="2450"/>
      <c r="AT22" s="2450"/>
      <c r="AU22" s="2443">
        <f>'Seismic Calcs (Attached)'!B25</f>
        <v>6.3738670708707472</v>
      </c>
      <c r="AV22" s="2444"/>
      <c r="AW22" s="2444"/>
      <c r="AX22" s="2440" t="s">
        <v>19506</v>
      </c>
      <c r="AY22" s="2441"/>
      <c r="AZ22" s="2441"/>
      <c r="BA22" s="2441"/>
      <c r="BB22" s="2441"/>
      <c r="BC22" s="2441"/>
      <c r="BD22" s="2441"/>
      <c r="BE22" s="2441"/>
      <c r="BF22" s="2441"/>
      <c r="BG22" s="2441"/>
      <c r="BH22" s="2442"/>
    </row>
    <row r="23" spans="1:62" ht="13.5" customHeight="1">
      <c r="A23" s="2204" t="str">
        <f>'Seismic Calcs (Attached)'!A4</f>
        <v>Site Class</v>
      </c>
      <c r="B23" s="2204"/>
      <c r="C23" s="2204"/>
      <c r="D23" s="2204"/>
      <c r="E23" s="2204"/>
      <c r="F23" s="2204"/>
      <c r="G23" s="2204"/>
      <c r="H23" s="2204"/>
      <c r="I23" s="2204"/>
      <c r="J23" s="2451" t="str">
        <f>'Seismic Calcs (Attached)'!B4</f>
        <v>D</v>
      </c>
      <c r="K23" s="2204"/>
      <c r="L23" s="2204"/>
      <c r="M23" s="2204"/>
      <c r="O23" s="2194" t="str">
        <f>'Seismic Calcs (Attached)'!A15</f>
        <v>Fp=0.4*ap*Sds*Wp*(1+2*z/h)/(Rp/Ip)</v>
      </c>
      <c r="P23" s="2194"/>
      <c r="Q23" s="2194"/>
      <c r="R23" s="2194"/>
      <c r="S23" s="2194"/>
      <c r="T23" s="2194"/>
      <c r="U23" s="2194"/>
      <c r="V23" s="2194"/>
      <c r="W23" s="2194"/>
      <c r="X23" s="2194"/>
      <c r="Y23" s="2194"/>
      <c r="Z23" s="2194"/>
      <c r="AA23" s="2451">
        <f>'Seismic Calcs (Attached)'!B15</f>
        <v>119.53872000000001</v>
      </c>
      <c r="AB23" s="2204"/>
      <c r="AC23" s="2204"/>
      <c r="AD23" s="2204"/>
    </row>
    <row r="24" spans="1:62" ht="13.5" customHeight="1">
      <c r="A24" s="2204" t="str">
        <f>'Seismic Calcs (Attached)'!A5</f>
        <v>Seismic Design Category</v>
      </c>
      <c r="B24" s="2204"/>
      <c r="C24" s="2204"/>
      <c r="D24" s="2204"/>
      <c r="E24" s="2204"/>
      <c r="F24" s="2204"/>
      <c r="G24" s="2204"/>
      <c r="H24" s="2204"/>
      <c r="I24" s="2204"/>
      <c r="J24" s="2451" t="str">
        <f>'Seismic Calcs (Attached)'!B5</f>
        <v>D</v>
      </c>
      <c r="K24" s="2204"/>
      <c r="L24" s="2204"/>
      <c r="M24" s="2204"/>
      <c r="O24" s="2194" t="str">
        <f>'Seismic Calcs (Attached)'!A16</f>
        <v>Fp=1.6*Sds*Ip*Wp</v>
      </c>
      <c r="P24" s="2194"/>
      <c r="Q24" s="2194"/>
      <c r="R24" s="2194"/>
      <c r="S24" s="2194"/>
      <c r="T24" s="2194"/>
      <c r="U24" s="2194"/>
      <c r="V24" s="2194"/>
      <c r="W24" s="2194"/>
      <c r="X24" s="2194"/>
      <c r="Y24" s="2194"/>
      <c r="Z24" s="2194"/>
      <c r="AA24" s="2451">
        <f>'Seismic Calcs (Attached)'!B16</f>
        <v>398.46240000000006</v>
      </c>
      <c r="AB24" s="2204"/>
      <c r="AC24" s="2204"/>
      <c r="AD24" s="2204"/>
      <c r="AG24" s="401"/>
      <c r="BH24" s="401"/>
      <c r="BI24" s="401"/>
    </row>
    <row r="25" spans="1:62" ht="13.5" customHeight="1">
      <c r="A25" s="2204" t="str">
        <f>'Seismic Calcs (Attached)'!A6</f>
        <v>Ip</v>
      </c>
      <c r="B25" s="2204"/>
      <c r="C25" s="2204"/>
      <c r="D25" s="2204"/>
      <c r="E25" s="2204"/>
      <c r="F25" s="2204"/>
      <c r="G25" s="2204"/>
      <c r="H25" s="2204"/>
      <c r="I25" s="2204"/>
      <c r="J25" s="2451">
        <f>'Seismic Calcs (Attached)'!B6</f>
        <v>1</v>
      </c>
      <c r="K25" s="2204"/>
      <c r="L25" s="2204"/>
      <c r="M25" s="2204"/>
      <c r="O25" s="2194" t="str">
        <f>'Seismic Calcs (Attached)'!A17</f>
        <v>Fp=0.3*Sds*Ip*Wp</v>
      </c>
      <c r="P25" s="2194"/>
      <c r="Q25" s="2194"/>
      <c r="R25" s="2194"/>
      <c r="S25" s="2194"/>
      <c r="T25" s="2194"/>
      <c r="U25" s="2194"/>
      <c r="V25" s="2194"/>
      <c r="W25" s="2194"/>
      <c r="X25" s="2194"/>
      <c r="Y25" s="2194"/>
      <c r="Z25" s="2194"/>
      <c r="AA25" s="2451">
        <f>'Seismic Calcs (Attached)'!B17</f>
        <v>74.711700000000008</v>
      </c>
      <c r="AB25" s="2204"/>
      <c r="AC25" s="2204"/>
      <c r="AD25" s="2204"/>
      <c r="AF25" s="401"/>
      <c r="AG25" s="401"/>
      <c r="BH25" s="401"/>
      <c r="BI25" s="401"/>
    </row>
    <row r="26" spans="1:62" ht="13.5" customHeight="1">
      <c r="A26" s="2204" t="str">
        <f>'Seismic Calcs (Attached)'!A7</f>
        <v>Rp</v>
      </c>
      <c r="B26" s="2204"/>
      <c r="C26" s="2204"/>
      <c r="D26" s="2204"/>
      <c r="E26" s="2204"/>
      <c r="F26" s="2204"/>
      <c r="G26" s="2204"/>
      <c r="H26" s="2204"/>
      <c r="I26" s="2204"/>
      <c r="J26" s="2451">
        <f>'Seismic Calcs (Attached)'!B7</f>
        <v>2.5</v>
      </c>
      <c r="K26" s="2204"/>
      <c r="L26" s="2204"/>
      <c r="M26" s="2204"/>
      <c r="O26" s="2194" t="str">
        <f>'Seismic Calcs (Attached)'!A18</f>
        <v>Fp</v>
      </c>
      <c r="P26" s="2194"/>
      <c r="Q26" s="2194"/>
      <c r="R26" s="2194"/>
      <c r="S26" s="2194"/>
      <c r="T26" s="2194"/>
      <c r="U26" s="2194"/>
      <c r="V26" s="2194"/>
      <c r="W26" s="2194"/>
      <c r="X26" s="2194"/>
      <c r="Y26" s="2194"/>
      <c r="Z26" s="2194"/>
      <c r="AA26" s="2451">
        <f>'Seismic Calcs (Attached)'!B18</f>
        <v>119.53872000000001</v>
      </c>
      <c r="AB26" s="2204"/>
      <c r="AC26" s="2204"/>
      <c r="AD26" s="2204"/>
      <c r="AF26" s="2234" t="s">
        <v>20228</v>
      </c>
      <c r="AG26" s="2234"/>
      <c r="AH26" s="2234"/>
      <c r="AI26" s="2234"/>
      <c r="AJ26" s="2234"/>
      <c r="AK26" s="2234"/>
      <c r="AL26" s="2234"/>
      <c r="AM26" s="2234"/>
      <c r="AN26" s="2234"/>
      <c r="AO26" s="2234"/>
      <c r="AP26" s="2234"/>
      <c r="AQ26" s="2234"/>
      <c r="AR26" s="2234"/>
      <c r="AS26" s="2234"/>
      <c r="AT26" s="2234"/>
      <c r="AU26" s="2234"/>
      <c r="AV26" s="2234"/>
      <c r="AW26" s="2234"/>
      <c r="AX26" s="2234"/>
      <c r="AY26" s="2234"/>
      <c r="AZ26" s="2234"/>
      <c r="BA26" s="2234"/>
      <c r="BB26" s="2234"/>
      <c r="BC26" s="2234"/>
      <c r="BD26" s="2234"/>
      <c r="BE26" s="2234"/>
      <c r="BF26" s="2234"/>
      <c r="BG26" s="2234"/>
      <c r="BH26" s="2234"/>
      <c r="BI26" s="2234"/>
      <c r="BJ26" s="2234"/>
    </row>
    <row r="27" spans="1:62" ht="13.5" customHeight="1">
      <c r="A27" s="2204" t="str">
        <f>'Seismic Calcs (Attached)'!A8</f>
        <v>ap</v>
      </c>
      <c r="B27" s="2204"/>
      <c r="C27" s="2204"/>
      <c r="D27" s="2204"/>
      <c r="E27" s="2204"/>
      <c r="F27" s="2204"/>
      <c r="G27" s="2204"/>
      <c r="H27" s="2204"/>
      <c r="I27" s="2204"/>
      <c r="J27" s="2451">
        <f>'Seismic Calcs (Attached)'!B8</f>
        <v>1</v>
      </c>
      <c r="K27" s="2204"/>
      <c r="L27" s="2204"/>
      <c r="M27" s="2204"/>
      <c r="AF27" s="2234"/>
      <c r="AG27" s="2234"/>
      <c r="AH27" s="2234"/>
      <c r="AI27" s="2234"/>
      <c r="AJ27" s="2234"/>
      <c r="AK27" s="2234"/>
      <c r="AL27" s="2234"/>
      <c r="AM27" s="2234"/>
      <c r="AN27" s="2234"/>
      <c r="AO27" s="2234"/>
      <c r="AP27" s="2234"/>
      <c r="AQ27" s="2234"/>
      <c r="AR27" s="2234"/>
      <c r="AS27" s="2234"/>
      <c r="AT27" s="2234"/>
      <c r="AU27" s="2234"/>
      <c r="AV27" s="2234"/>
      <c r="AW27" s="2234"/>
      <c r="AX27" s="2234"/>
      <c r="AY27" s="2234"/>
      <c r="AZ27" s="2234"/>
      <c r="BA27" s="2234"/>
      <c r="BB27" s="2234"/>
      <c r="BC27" s="2234"/>
      <c r="BD27" s="2234"/>
      <c r="BE27" s="2234"/>
      <c r="BF27" s="2234"/>
      <c r="BG27" s="2234"/>
      <c r="BH27" s="2234"/>
      <c r="BI27" s="2234"/>
      <c r="BJ27" s="2234"/>
    </row>
    <row r="28" spans="1:62" ht="13.5" customHeight="1">
      <c r="A28" s="2204" t="str">
        <f>IF('Seismic Calcs (Attached)'!B4="D",'Seismic Calcs (Attached)'!A9,'Seismic Calcs (Attached)'!A10)</f>
        <v>Fa (Site Class D)</v>
      </c>
      <c r="B28" s="2204"/>
      <c r="C28" s="2204"/>
      <c r="D28" s="2204"/>
      <c r="E28" s="2204"/>
      <c r="F28" s="2204"/>
      <c r="G28" s="2204"/>
      <c r="H28" s="2204"/>
      <c r="I28" s="2204"/>
      <c r="J28" s="2204">
        <f>IF('Seismic Calcs (Attached)'!B4="D",'Seismic Calcs (Attached)'!B9,'Seismic Calcs (Attached)'!B10)</f>
        <v>1</v>
      </c>
      <c r="K28" s="2204"/>
      <c r="L28" s="2204"/>
      <c r="M28" s="2204"/>
      <c r="AF28" s="2234"/>
      <c r="AG28" s="2234"/>
      <c r="AH28" s="2234"/>
      <c r="AI28" s="2234"/>
      <c r="AJ28" s="2234"/>
      <c r="AK28" s="2234"/>
      <c r="AL28" s="2234"/>
      <c r="AM28" s="2234"/>
      <c r="AN28" s="2234"/>
      <c r="AO28" s="2234"/>
      <c r="AP28" s="2234"/>
      <c r="AQ28" s="2234"/>
      <c r="AR28" s="2234"/>
      <c r="AS28" s="2234"/>
      <c r="AT28" s="2234"/>
      <c r="AU28" s="2234"/>
      <c r="AV28" s="2234"/>
      <c r="AW28" s="2234"/>
      <c r="AX28" s="2234"/>
      <c r="AY28" s="2234"/>
      <c r="AZ28" s="2234"/>
      <c r="BA28" s="2234"/>
      <c r="BB28" s="2234"/>
      <c r="BC28" s="2234"/>
      <c r="BD28" s="2234"/>
      <c r="BE28" s="2234"/>
      <c r="BF28" s="2234"/>
      <c r="BG28" s="2234"/>
      <c r="BH28" s="2234"/>
      <c r="BI28" s="2234"/>
      <c r="BJ28" s="2234"/>
    </row>
    <row r="29" spans="1:62" ht="13.5" customHeight="1">
      <c r="A29" s="2204" t="str">
        <f>'Seismic Calcs (Attached)'!A11</f>
        <v>Sms = Fa x Ss</v>
      </c>
      <c r="B29" s="2204"/>
      <c r="C29" s="2204"/>
      <c r="D29" s="2204"/>
      <c r="E29" s="2204"/>
      <c r="F29" s="2204"/>
      <c r="G29" s="2204"/>
      <c r="H29" s="2204"/>
      <c r="I29" s="2204"/>
      <c r="J29" s="2451">
        <f>'Seismic Calcs (Attached)'!B11</f>
        <v>1.675</v>
      </c>
      <c r="K29" s="2204"/>
      <c r="L29" s="2204"/>
      <c r="M29" s="2204"/>
      <c r="AF29" s="2234"/>
      <c r="AG29" s="2234"/>
      <c r="AH29" s="2234"/>
      <c r="AI29" s="2234"/>
      <c r="AJ29" s="2234"/>
      <c r="AK29" s="2234"/>
      <c r="AL29" s="2234"/>
      <c r="AM29" s="2234"/>
      <c r="AN29" s="2234"/>
      <c r="AO29" s="2234"/>
      <c r="AP29" s="2234"/>
      <c r="AQ29" s="2234"/>
      <c r="AR29" s="2234"/>
      <c r="AS29" s="2234"/>
      <c r="AT29" s="2234"/>
      <c r="AU29" s="2234"/>
      <c r="AV29" s="2234"/>
      <c r="AW29" s="2234"/>
      <c r="AX29" s="2234"/>
      <c r="AY29" s="2234"/>
      <c r="AZ29" s="2234"/>
      <c r="BA29" s="2234"/>
      <c r="BB29" s="2234"/>
      <c r="BC29" s="2234"/>
      <c r="BD29" s="2234"/>
      <c r="BE29" s="2234"/>
      <c r="BF29" s="2234"/>
      <c r="BG29" s="2234"/>
      <c r="BH29" s="2234"/>
      <c r="BI29" s="2234"/>
      <c r="BJ29" s="2234"/>
    </row>
    <row r="30" spans="1:62" ht="13.5" customHeight="1">
      <c r="A30" s="2204" t="str">
        <f>'Seismic Calcs (Attached)'!A12</f>
        <v>Sds = (2/3) x Sms</v>
      </c>
      <c r="B30" s="2204"/>
      <c r="C30" s="2204"/>
      <c r="D30" s="2204"/>
      <c r="E30" s="2204"/>
      <c r="F30" s="2204"/>
      <c r="G30" s="2204"/>
      <c r="H30" s="2204"/>
      <c r="I30" s="2204"/>
      <c r="J30" s="2456">
        <f>'Seismic Calcs (Attached)'!B12</f>
        <v>1.1166666666666667</v>
      </c>
      <c r="K30" s="2457"/>
      <c r="L30" s="2457"/>
      <c r="M30" s="2458"/>
      <c r="AF30" s="2234"/>
      <c r="AG30" s="2234"/>
      <c r="AH30" s="2234"/>
      <c r="AI30" s="2234"/>
      <c r="AJ30" s="2234"/>
      <c r="AK30" s="2234"/>
      <c r="AL30" s="2234"/>
      <c r="AM30" s="2234"/>
      <c r="AN30" s="2234"/>
      <c r="AO30" s="2234"/>
      <c r="AP30" s="2234"/>
      <c r="AQ30" s="2234"/>
      <c r="AR30" s="2234"/>
      <c r="AS30" s="2234"/>
      <c r="AT30" s="2234"/>
      <c r="AU30" s="2234"/>
      <c r="AV30" s="2234"/>
      <c r="AW30" s="2234"/>
      <c r="AX30" s="2234"/>
      <c r="AY30" s="2234"/>
      <c r="AZ30" s="2234"/>
      <c r="BA30" s="2234"/>
      <c r="BB30" s="2234"/>
      <c r="BC30" s="2234"/>
      <c r="BD30" s="2234"/>
      <c r="BE30" s="2234"/>
      <c r="BF30" s="2234"/>
      <c r="BG30" s="2234"/>
      <c r="BH30" s="2234"/>
      <c r="BI30" s="2234"/>
      <c r="BJ30" s="2234"/>
    </row>
    <row r="31" spans="1:62" ht="13.5" customHeight="1">
      <c r="AF31" s="2234"/>
      <c r="AG31" s="2234"/>
      <c r="AH31" s="2234"/>
      <c r="AI31" s="2234"/>
      <c r="AJ31" s="2234"/>
      <c r="AK31" s="2234"/>
      <c r="AL31" s="2234"/>
      <c r="AM31" s="2234"/>
      <c r="AN31" s="2234"/>
      <c r="AO31" s="2234"/>
      <c r="AP31" s="2234"/>
      <c r="AQ31" s="2234"/>
      <c r="AR31" s="2234"/>
      <c r="AS31" s="2234"/>
      <c r="AT31" s="2234"/>
      <c r="AU31" s="2234"/>
      <c r="AV31" s="2234"/>
      <c r="AW31" s="2234"/>
      <c r="AX31" s="2234"/>
      <c r="AY31" s="2234"/>
      <c r="AZ31" s="2234"/>
      <c r="BA31" s="2234"/>
      <c r="BB31" s="2234"/>
      <c r="BC31" s="2234"/>
      <c r="BD31" s="2234"/>
      <c r="BE31" s="2234"/>
      <c r="BF31" s="2234"/>
      <c r="BG31" s="2234"/>
      <c r="BH31" s="2234"/>
      <c r="BI31" s="2234"/>
      <c r="BJ31" s="2234"/>
    </row>
    <row r="32" spans="1:62" ht="13.5" customHeight="1">
      <c r="AF32" s="2234"/>
      <c r="AG32" s="2234"/>
      <c r="AH32" s="2234"/>
      <c r="AI32" s="2234"/>
      <c r="AJ32" s="2234"/>
      <c r="AK32" s="2234"/>
      <c r="AL32" s="2234"/>
      <c r="AM32" s="2234"/>
      <c r="AN32" s="2234"/>
      <c r="AO32" s="2234"/>
      <c r="AP32" s="2234"/>
      <c r="AQ32" s="2234"/>
      <c r="AR32" s="2234"/>
      <c r="AS32" s="2234"/>
      <c r="AT32" s="2234"/>
      <c r="AU32" s="2234"/>
      <c r="AV32" s="2234"/>
      <c r="AW32" s="2234"/>
      <c r="AX32" s="2234"/>
      <c r="AY32" s="2234"/>
      <c r="AZ32" s="2234"/>
      <c r="BA32" s="2234"/>
      <c r="BB32" s="2234"/>
      <c r="BC32" s="2234"/>
      <c r="BD32" s="2234"/>
      <c r="BE32" s="2234"/>
      <c r="BF32" s="2234"/>
      <c r="BG32" s="2234"/>
      <c r="BH32" s="2234"/>
      <c r="BI32" s="2234"/>
      <c r="BJ32" s="2234"/>
    </row>
    <row r="33" spans="1:62" ht="13.5" customHeight="1">
      <c r="AF33" s="2234"/>
      <c r="AG33" s="2234"/>
      <c r="AH33" s="2234"/>
      <c r="AI33" s="2234"/>
      <c r="AJ33" s="2234"/>
      <c r="AK33" s="2234"/>
      <c r="AL33" s="2234"/>
      <c r="AM33" s="2234"/>
      <c r="AN33" s="2234"/>
      <c r="AO33" s="2234"/>
      <c r="AP33" s="2234"/>
      <c r="AQ33" s="2234"/>
      <c r="AR33" s="2234"/>
      <c r="AS33" s="2234"/>
      <c r="AT33" s="2234"/>
      <c r="AU33" s="2234"/>
      <c r="AV33" s="2234"/>
      <c r="AW33" s="2234"/>
      <c r="AX33" s="2234"/>
      <c r="AY33" s="2234"/>
      <c r="AZ33" s="2234"/>
      <c r="BA33" s="2234"/>
      <c r="BB33" s="2234"/>
      <c r="BC33" s="2234"/>
      <c r="BD33" s="2234"/>
      <c r="BE33" s="2234"/>
      <c r="BF33" s="2234"/>
      <c r="BG33" s="2234"/>
      <c r="BH33" s="2234"/>
      <c r="BI33" s="2234"/>
      <c r="BJ33" s="2234"/>
    </row>
    <row r="34" spans="1:62" ht="13.5" customHeight="1">
      <c r="A34" s="2375" t="s">
        <v>19526</v>
      </c>
      <c r="B34" s="2375"/>
      <c r="C34" s="2375"/>
      <c r="D34" s="2375"/>
      <c r="E34" s="2375"/>
      <c r="F34" s="2375"/>
      <c r="G34" s="2375"/>
      <c r="H34" s="2375"/>
      <c r="I34" s="2375"/>
      <c r="J34" s="2375"/>
      <c r="K34" s="2375"/>
      <c r="L34" s="2375"/>
      <c r="M34" s="2375"/>
      <c r="N34" s="2375"/>
      <c r="O34" s="2375"/>
      <c r="P34" s="2375"/>
      <c r="Q34" s="2375"/>
      <c r="R34" s="2375"/>
      <c r="S34" s="2375"/>
      <c r="T34" s="2375"/>
      <c r="U34" s="2375"/>
      <c r="V34" s="2375"/>
      <c r="W34" s="2375"/>
      <c r="X34" s="2375"/>
      <c r="Y34" s="2375"/>
      <c r="Z34" s="2375"/>
      <c r="AA34" s="2375"/>
      <c r="AB34" s="2375"/>
      <c r="AC34" s="2375"/>
      <c r="AD34" s="2375"/>
      <c r="AE34" s="447"/>
      <c r="AF34" s="2234"/>
      <c r="AG34" s="2234"/>
      <c r="AH34" s="2234"/>
      <c r="AI34" s="2234"/>
      <c r="AJ34" s="2234"/>
      <c r="AK34" s="2234"/>
      <c r="AL34" s="2234"/>
      <c r="AM34" s="2234"/>
      <c r="AN34" s="2234"/>
      <c r="AO34" s="2234"/>
      <c r="AP34" s="2234"/>
      <c r="AQ34" s="2234"/>
      <c r="AR34" s="2234"/>
      <c r="AS34" s="2234"/>
      <c r="AT34" s="2234"/>
      <c r="AU34" s="2234"/>
      <c r="AV34" s="2234"/>
      <c r="AW34" s="2234"/>
      <c r="AX34" s="2234"/>
      <c r="AY34" s="2234"/>
      <c r="AZ34" s="2234"/>
      <c r="BA34" s="2234"/>
      <c r="BB34" s="2234"/>
      <c r="BC34" s="2234"/>
      <c r="BD34" s="2234"/>
      <c r="BE34" s="2234"/>
      <c r="BF34" s="2234"/>
      <c r="BG34" s="2234"/>
      <c r="BH34" s="2234"/>
      <c r="BI34" s="2234"/>
      <c r="BJ34" s="2234"/>
    </row>
    <row r="35" spans="1:62" ht="13.5" customHeight="1">
      <c r="A35" s="2375"/>
      <c r="B35" s="2375"/>
      <c r="C35" s="2375"/>
      <c r="D35" s="2375"/>
      <c r="E35" s="2375"/>
      <c r="F35" s="2375"/>
      <c r="G35" s="2375"/>
      <c r="H35" s="2375"/>
      <c r="I35" s="2375"/>
      <c r="J35" s="2375"/>
      <c r="K35" s="2375"/>
      <c r="L35" s="2375"/>
      <c r="M35" s="2375"/>
      <c r="N35" s="2375"/>
      <c r="O35" s="2375"/>
      <c r="P35" s="2375"/>
      <c r="Q35" s="2375"/>
      <c r="R35" s="2375"/>
      <c r="S35" s="2375"/>
      <c r="T35" s="2375"/>
      <c r="U35" s="2375"/>
      <c r="V35" s="2375"/>
      <c r="W35" s="2375"/>
      <c r="X35" s="2375"/>
      <c r="Y35" s="2375"/>
      <c r="Z35" s="2375"/>
      <c r="AA35" s="2375"/>
      <c r="AB35" s="2375"/>
      <c r="AC35" s="2375"/>
      <c r="AD35" s="2375"/>
      <c r="AE35" s="447"/>
      <c r="AK35" s="2455" t="s">
        <v>20036</v>
      </c>
      <c r="AL35" s="2455"/>
      <c r="AM35" s="2455"/>
      <c r="AN35" s="2455"/>
      <c r="AO35" s="2455"/>
      <c r="AP35" s="2455"/>
      <c r="AQ35" s="2455"/>
      <c r="AR35" s="2455"/>
      <c r="AS35" s="2455"/>
      <c r="AT35" s="2455"/>
      <c r="AU35" s="2455"/>
      <c r="AV35" s="2455"/>
      <c r="AW35" s="2455"/>
      <c r="AX35" s="2455"/>
      <c r="AY35" s="2455"/>
      <c r="AZ35" s="2455"/>
      <c r="BA35" s="2455"/>
      <c r="BB35" s="2455"/>
      <c r="BC35" s="2455"/>
      <c r="BD35" s="2455"/>
    </row>
    <row r="36" spans="1:62" ht="13.5" customHeight="1">
      <c r="A36" s="2375"/>
      <c r="B36" s="2375"/>
      <c r="C36" s="2375"/>
      <c r="D36" s="2375"/>
      <c r="E36" s="2375"/>
      <c r="F36" s="2375"/>
      <c r="G36" s="2375"/>
      <c r="H36" s="2375"/>
      <c r="I36" s="2375"/>
      <c r="J36" s="2375"/>
      <c r="K36" s="2375"/>
      <c r="L36" s="2375"/>
      <c r="M36" s="2375"/>
      <c r="N36" s="2375"/>
      <c r="O36" s="2375"/>
      <c r="P36" s="2375"/>
      <c r="Q36" s="2375"/>
      <c r="R36" s="2375"/>
      <c r="S36" s="2375"/>
      <c r="T36" s="2375"/>
      <c r="U36" s="2375"/>
      <c r="V36" s="2375"/>
      <c r="W36" s="2375"/>
      <c r="X36" s="2375"/>
      <c r="Y36" s="2375"/>
      <c r="Z36" s="2375"/>
      <c r="AA36" s="2375"/>
      <c r="AB36" s="2375"/>
      <c r="AC36" s="2375"/>
      <c r="AD36" s="2375"/>
      <c r="AE36" s="447"/>
    </row>
    <row r="37" spans="1:62" ht="13.5" customHeight="1">
      <c r="A37" s="2375"/>
      <c r="B37" s="2375"/>
      <c r="C37" s="2375"/>
      <c r="D37" s="2375"/>
      <c r="E37" s="2375"/>
      <c r="F37" s="2375"/>
      <c r="G37" s="2375"/>
      <c r="H37" s="2375"/>
      <c r="I37" s="2375"/>
      <c r="J37" s="2375"/>
      <c r="K37" s="2375"/>
      <c r="L37" s="2375"/>
      <c r="M37" s="2375"/>
      <c r="N37" s="2375"/>
      <c r="O37" s="2375"/>
      <c r="P37" s="2375"/>
      <c r="Q37" s="2375"/>
      <c r="R37" s="2375"/>
      <c r="S37" s="2375"/>
      <c r="T37" s="2375"/>
      <c r="U37" s="2375"/>
      <c r="V37" s="2375"/>
      <c r="W37" s="2375"/>
      <c r="X37" s="2375"/>
      <c r="Y37" s="2375"/>
      <c r="Z37" s="2375"/>
      <c r="AA37" s="2375"/>
      <c r="AB37" s="2375"/>
      <c r="AC37" s="2375"/>
      <c r="AD37" s="2375"/>
      <c r="AE37" s="447"/>
    </row>
    <row r="38" spans="1:62" ht="13.5" customHeight="1">
      <c r="A38" s="2375"/>
      <c r="B38" s="2375"/>
      <c r="C38" s="2375"/>
      <c r="D38" s="2375"/>
      <c r="E38" s="2375"/>
      <c r="F38" s="2375"/>
      <c r="G38" s="2375"/>
      <c r="H38" s="2375"/>
      <c r="I38" s="2375"/>
      <c r="J38" s="2375"/>
      <c r="K38" s="2375"/>
      <c r="L38" s="2375"/>
      <c r="M38" s="2375"/>
      <c r="N38" s="2375"/>
      <c r="O38" s="2375"/>
      <c r="P38" s="2375"/>
      <c r="Q38" s="2375"/>
      <c r="R38" s="2375"/>
      <c r="S38" s="2375"/>
      <c r="T38" s="2375"/>
      <c r="U38" s="2375"/>
      <c r="V38" s="2375"/>
      <c r="W38" s="2375"/>
      <c r="X38" s="2375"/>
      <c r="Y38" s="2375"/>
      <c r="Z38" s="2375"/>
      <c r="AA38" s="2375"/>
      <c r="AB38" s="2375"/>
      <c r="AC38" s="2375"/>
      <c r="AD38" s="2375"/>
      <c r="AE38" s="447"/>
    </row>
    <row r="39" spans="1:62" ht="13.5" customHeight="1">
      <c r="A39" s="2375"/>
      <c r="B39" s="2375"/>
      <c r="C39" s="2375"/>
      <c r="D39" s="2375"/>
      <c r="E39" s="2375"/>
      <c r="F39" s="2375"/>
      <c r="G39" s="2375"/>
      <c r="H39" s="2375"/>
      <c r="I39" s="2375"/>
      <c r="J39" s="2375"/>
      <c r="K39" s="2375"/>
      <c r="L39" s="2375"/>
      <c r="M39" s="2375"/>
      <c r="N39" s="2375"/>
      <c r="O39" s="2375"/>
      <c r="P39" s="2375"/>
      <c r="Q39" s="2375"/>
      <c r="R39" s="2375"/>
      <c r="S39" s="2375"/>
      <c r="T39" s="2375"/>
      <c r="U39" s="2375"/>
      <c r="V39" s="2375"/>
      <c r="W39" s="2375"/>
      <c r="X39" s="2375"/>
      <c r="Y39" s="2375"/>
      <c r="Z39" s="2375"/>
      <c r="AA39" s="2375"/>
      <c r="AB39" s="2375"/>
      <c r="AC39" s="2375"/>
      <c r="AD39" s="2375"/>
    </row>
    <row r="40" spans="1:62" ht="13.5" customHeight="1">
      <c r="A40" s="2375"/>
      <c r="B40" s="2375"/>
      <c r="C40" s="2375"/>
      <c r="D40" s="2375"/>
      <c r="E40" s="2375"/>
      <c r="F40" s="2375"/>
      <c r="G40" s="2375"/>
      <c r="H40" s="2375"/>
      <c r="I40" s="2375"/>
      <c r="J40" s="2375"/>
      <c r="K40" s="2375"/>
      <c r="L40" s="2375"/>
      <c r="M40" s="2375"/>
      <c r="N40" s="2375"/>
      <c r="O40" s="2375"/>
      <c r="P40" s="2375"/>
      <c r="Q40" s="2375"/>
      <c r="R40" s="2375"/>
      <c r="S40" s="2375"/>
      <c r="T40" s="2375"/>
      <c r="U40" s="2375"/>
      <c r="V40" s="2375"/>
      <c r="W40" s="2375"/>
      <c r="X40" s="2375"/>
      <c r="Y40" s="2375"/>
      <c r="Z40" s="2375"/>
      <c r="AA40" s="2375"/>
      <c r="AB40" s="2375"/>
      <c r="AC40" s="2375"/>
      <c r="AD40" s="2375"/>
    </row>
    <row r="41" spans="1:62" ht="13.5" customHeight="1">
      <c r="A41" s="2375"/>
      <c r="B41" s="2375"/>
      <c r="C41" s="2375"/>
      <c r="D41" s="2375"/>
      <c r="E41" s="2375"/>
      <c r="F41" s="2375"/>
      <c r="G41" s="2375"/>
      <c r="H41" s="2375"/>
      <c r="I41" s="2375"/>
      <c r="J41" s="2375"/>
      <c r="K41" s="2375"/>
      <c r="L41" s="2375"/>
      <c r="M41" s="2375"/>
      <c r="N41" s="2375"/>
      <c r="O41" s="2375"/>
      <c r="P41" s="2375"/>
      <c r="Q41" s="2375"/>
      <c r="R41" s="2375"/>
      <c r="S41" s="2375"/>
      <c r="T41" s="2375"/>
      <c r="U41" s="2375"/>
      <c r="V41" s="2375"/>
      <c r="W41" s="2375"/>
      <c r="X41" s="2375"/>
      <c r="Y41" s="2375"/>
      <c r="Z41" s="2375"/>
      <c r="AA41" s="2375"/>
      <c r="AB41" s="2375"/>
      <c r="AC41" s="2375"/>
      <c r="AD41" s="2375"/>
    </row>
    <row r="42" spans="1:62" ht="13.5" customHeight="1">
      <c r="A42" s="2375"/>
      <c r="B42" s="2375"/>
      <c r="C42" s="2375"/>
      <c r="D42" s="2375"/>
      <c r="E42" s="2375"/>
      <c r="F42" s="2375"/>
      <c r="G42" s="2375"/>
      <c r="H42" s="2375"/>
      <c r="I42" s="2375"/>
      <c r="J42" s="2375"/>
      <c r="K42" s="2375"/>
      <c r="L42" s="2375"/>
      <c r="M42" s="2375"/>
      <c r="N42" s="2375"/>
      <c r="O42" s="2375"/>
      <c r="P42" s="2375"/>
      <c r="Q42" s="2375"/>
      <c r="R42" s="2375"/>
      <c r="S42" s="2375"/>
      <c r="T42" s="2375"/>
      <c r="U42" s="2375"/>
      <c r="V42" s="2375"/>
      <c r="W42" s="2375"/>
      <c r="X42" s="2375"/>
      <c r="Y42" s="2375"/>
      <c r="Z42" s="2375"/>
      <c r="AA42" s="2375"/>
      <c r="AB42" s="2375"/>
      <c r="AC42" s="2375"/>
      <c r="AD42" s="2375"/>
    </row>
    <row r="43" spans="1:62" ht="13.5" customHeight="1">
      <c r="A43" s="2375"/>
      <c r="B43" s="2375"/>
      <c r="C43" s="2375"/>
      <c r="D43" s="2375"/>
      <c r="E43" s="2375"/>
      <c r="F43" s="2375"/>
      <c r="G43" s="2375"/>
      <c r="H43" s="2375"/>
      <c r="I43" s="2375"/>
      <c r="J43" s="2375"/>
      <c r="K43" s="2375"/>
      <c r="L43" s="2375"/>
      <c r="M43" s="2375"/>
      <c r="N43" s="2375"/>
      <c r="O43" s="2375"/>
      <c r="P43" s="2375"/>
      <c r="Q43" s="2375"/>
      <c r="R43" s="2375"/>
      <c r="S43" s="2375"/>
      <c r="T43" s="2375"/>
      <c r="U43" s="2375"/>
      <c r="V43" s="2375"/>
      <c r="W43" s="2375"/>
      <c r="X43" s="2375"/>
      <c r="Y43" s="2375"/>
      <c r="Z43" s="2375"/>
      <c r="AA43" s="2375"/>
      <c r="AB43" s="2375"/>
      <c r="AC43" s="2375"/>
      <c r="AD43" s="2375"/>
    </row>
    <row r="44" spans="1:62" ht="13.5" customHeight="1">
      <c r="A44" s="2375"/>
      <c r="B44" s="2375"/>
      <c r="C44" s="2375"/>
      <c r="D44" s="2375"/>
      <c r="E44" s="2375"/>
      <c r="F44" s="2375"/>
      <c r="G44" s="2375"/>
      <c r="H44" s="2375"/>
      <c r="I44" s="2375"/>
      <c r="J44" s="2375"/>
      <c r="K44" s="2375"/>
      <c r="L44" s="2375"/>
      <c r="M44" s="2375"/>
      <c r="N44" s="2375"/>
      <c r="O44" s="2375"/>
      <c r="P44" s="2375"/>
      <c r="Q44" s="2375"/>
      <c r="R44" s="2375"/>
      <c r="S44" s="2375"/>
      <c r="T44" s="2375"/>
      <c r="U44" s="2375"/>
      <c r="V44" s="2375"/>
      <c r="W44" s="2375"/>
      <c r="X44" s="2375"/>
      <c r="Y44" s="2375"/>
      <c r="Z44" s="2375"/>
      <c r="AA44" s="2375"/>
      <c r="AB44" s="2375"/>
      <c r="AC44" s="2375"/>
      <c r="AD44" s="2375"/>
    </row>
    <row r="45" spans="1:62" ht="13.5" customHeight="1">
      <c r="A45" s="2375"/>
      <c r="B45" s="2375"/>
      <c r="C45" s="2375"/>
      <c r="D45" s="2375"/>
      <c r="E45" s="2375"/>
      <c r="F45" s="2375"/>
      <c r="G45" s="2375"/>
      <c r="H45" s="2375"/>
      <c r="I45" s="2375"/>
      <c r="J45" s="2375"/>
      <c r="K45" s="2375"/>
      <c r="L45" s="2375"/>
      <c r="M45" s="2375"/>
      <c r="N45" s="2375"/>
      <c r="O45" s="2375"/>
      <c r="P45" s="2375"/>
      <c r="Q45" s="2375"/>
      <c r="R45" s="2375"/>
      <c r="S45" s="2375"/>
      <c r="T45" s="2375"/>
      <c r="U45" s="2375"/>
      <c r="V45" s="2375"/>
      <c r="W45" s="2375"/>
      <c r="X45" s="2375"/>
      <c r="Y45" s="2375"/>
      <c r="Z45" s="2375"/>
      <c r="AA45" s="2375"/>
      <c r="AB45" s="2375"/>
      <c r="AC45" s="2375"/>
      <c r="AD45" s="2375"/>
    </row>
    <row r="46" spans="1:62" ht="13.5" customHeight="1">
      <c r="A46" s="2375"/>
      <c r="B46" s="2375"/>
      <c r="C46" s="2375"/>
      <c r="D46" s="2375"/>
      <c r="E46" s="2375"/>
      <c r="F46" s="2375"/>
      <c r="G46" s="2375"/>
      <c r="H46" s="2375"/>
      <c r="I46" s="2375"/>
      <c r="J46" s="2375"/>
      <c r="K46" s="2375"/>
      <c r="L46" s="2375"/>
      <c r="M46" s="2375"/>
      <c r="N46" s="2375"/>
      <c r="O46" s="2375"/>
      <c r="P46" s="2375"/>
      <c r="Q46" s="2375"/>
      <c r="R46" s="2375"/>
      <c r="S46" s="2375"/>
      <c r="T46" s="2375"/>
      <c r="U46" s="2375"/>
      <c r="V46" s="2375"/>
      <c r="W46" s="2375"/>
      <c r="X46" s="2375"/>
      <c r="Y46" s="2375"/>
      <c r="Z46" s="2375"/>
      <c r="AA46" s="2375"/>
      <c r="AB46" s="2375"/>
      <c r="AC46" s="2375"/>
      <c r="AD46" s="2375"/>
    </row>
    <row r="47" spans="1:62" ht="13.5" customHeight="1">
      <c r="A47" s="2375"/>
      <c r="B47" s="2375"/>
      <c r="C47" s="2375"/>
      <c r="D47" s="2375"/>
      <c r="E47" s="2375"/>
      <c r="F47" s="2375"/>
      <c r="G47" s="2375"/>
      <c r="H47" s="2375"/>
      <c r="I47" s="2375"/>
      <c r="J47" s="2375"/>
      <c r="K47" s="2375"/>
      <c r="L47" s="2375"/>
      <c r="M47" s="2375"/>
      <c r="N47" s="2375"/>
      <c r="O47" s="2375"/>
      <c r="P47" s="2375"/>
      <c r="Q47" s="2375"/>
      <c r="R47" s="2375"/>
      <c r="S47" s="2375"/>
      <c r="T47" s="2375"/>
      <c r="U47" s="2375"/>
      <c r="V47" s="2375"/>
      <c r="W47" s="2375"/>
      <c r="X47" s="2375"/>
      <c r="Y47" s="2375"/>
      <c r="Z47" s="2375"/>
      <c r="AA47" s="2375"/>
      <c r="AB47" s="2375"/>
      <c r="AC47" s="2375"/>
      <c r="AD47" s="2375"/>
    </row>
    <row r="48" spans="1:62" ht="13.5" customHeight="1">
      <c r="A48" s="2375"/>
      <c r="B48" s="2375"/>
      <c r="C48" s="2375"/>
      <c r="D48" s="2375"/>
      <c r="E48" s="2375"/>
      <c r="F48" s="2375"/>
      <c r="G48" s="2375"/>
      <c r="H48" s="2375"/>
      <c r="I48" s="2375"/>
      <c r="J48" s="2375"/>
      <c r="K48" s="2375"/>
      <c r="L48" s="2375"/>
      <c r="M48" s="2375"/>
      <c r="N48" s="2375"/>
      <c r="O48" s="2375"/>
      <c r="P48" s="2375"/>
      <c r="Q48" s="2375"/>
      <c r="R48" s="2375"/>
      <c r="S48" s="2375"/>
      <c r="T48" s="2375"/>
      <c r="U48" s="2375"/>
      <c r="V48" s="2375"/>
      <c r="W48" s="2375"/>
      <c r="X48" s="2375"/>
      <c r="Y48" s="2375"/>
      <c r="Z48" s="2375"/>
      <c r="AA48" s="2375"/>
      <c r="AB48" s="2375"/>
      <c r="AC48" s="2375"/>
      <c r="AD48" s="2375"/>
    </row>
    <row r="49" spans="1:31" ht="13.5" customHeight="1">
      <c r="A49" s="2375"/>
      <c r="B49" s="2375"/>
      <c r="C49" s="2375"/>
      <c r="D49" s="2375"/>
      <c r="E49" s="2375"/>
      <c r="F49" s="2375"/>
      <c r="G49" s="2375"/>
      <c r="H49" s="2375"/>
      <c r="I49" s="2375"/>
      <c r="J49" s="2375"/>
      <c r="K49" s="2375"/>
      <c r="L49" s="2375"/>
      <c r="M49" s="2375"/>
      <c r="N49" s="2375"/>
      <c r="O49" s="2375"/>
      <c r="P49" s="2375"/>
      <c r="Q49" s="2375"/>
      <c r="R49" s="2375"/>
      <c r="S49" s="2375"/>
      <c r="T49" s="2375"/>
      <c r="U49" s="2375"/>
      <c r="V49" s="2375"/>
      <c r="W49" s="2375"/>
      <c r="X49" s="2375"/>
      <c r="Y49" s="2375"/>
      <c r="Z49" s="2375"/>
      <c r="AA49" s="2375"/>
      <c r="AB49" s="2375"/>
      <c r="AC49" s="2375"/>
      <c r="AD49" s="2375"/>
    </row>
    <row r="55" spans="1:31" ht="13.5" customHeight="1">
      <c r="AE55" s="446"/>
    </row>
  </sheetData>
  <mergeCells count="57">
    <mergeCell ref="AX21:BH21"/>
    <mergeCell ref="A34:AD49"/>
    <mergeCell ref="AK35:BD35"/>
    <mergeCell ref="AA26:AD26"/>
    <mergeCell ref="A27:I27"/>
    <mergeCell ref="J27:M27"/>
    <mergeCell ref="A28:I28"/>
    <mergeCell ref="J28:M28"/>
    <mergeCell ref="A29:I29"/>
    <mergeCell ref="J29:M29"/>
    <mergeCell ref="A30:I30"/>
    <mergeCell ref="A26:I26"/>
    <mergeCell ref="J26:M26"/>
    <mergeCell ref="O26:Z26"/>
    <mergeCell ref="J30:M30"/>
    <mergeCell ref="AF26:BJ34"/>
    <mergeCell ref="AX22:BH22"/>
    <mergeCell ref="A22:I22"/>
    <mergeCell ref="J22:M22"/>
    <mergeCell ref="O22:Z22"/>
    <mergeCell ref="AA22:AD22"/>
    <mergeCell ref="A25:I25"/>
    <mergeCell ref="J25:M25"/>
    <mergeCell ref="O25:Z25"/>
    <mergeCell ref="AA25:AD25"/>
    <mergeCell ref="AU21:AW21"/>
    <mergeCell ref="A23:I23"/>
    <mergeCell ref="J23:M23"/>
    <mergeCell ref="O23:Z23"/>
    <mergeCell ref="AA23:AD23"/>
    <mergeCell ref="AI22:AT22"/>
    <mergeCell ref="AU22:AW22"/>
    <mergeCell ref="AI21:AT21"/>
    <mergeCell ref="A24:I24"/>
    <mergeCell ref="J24:M24"/>
    <mergeCell ref="O24:Z24"/>
    <mergeCell ref="AA24:AD24"/>
    <mergeCell ref="A21:I21"/>
    <mergeCell ref="J21:M21"/>
    <mergeCell ref="O21:Z21"/>
    <mergeCell ref="AA21:AD21"/>
    <mergeCell ref="AI20:AT20"/>
    <mergeCell ref="A20:M20"/>
    <mergeCell ref="O20:AD20"/>
    <mergeCell ref="A7:AE18"/>
    <mergeCell ref="A4:AE5"/>
    <mergeCell ref="AX19:BH19"/>
    <mergeCell ref="AX20:BH20"/>
    <mergeCell ref="AU20:AW20"/>
    <mergeCell ref="AI19:AT19"/>
    <mergeCell ref="AU19:AW19"/>
    <mergeCell ref="AF4:BI4"/>
    <mergeCell ref="AI17:BH17"/>
    <mergeCell ref="AI18:AT18"/>
    <mergeCell ref="AU18:AW18"/>
    <mergeCell ref="AX18:BH18"/>
    <mergeCell ref="AF5:BJ15"/>
  </mergeCells>
  <pageMargins left="0.75" right="0.5" top="0.5" bottom="0.75" header="0.3" footer="0.3"/>
  <pageSetup scale="89" orientation="portrait" r:id="rId1"/>
  <headerFooter scaleWithDoc="0" alignWithMargins="0">
    <oddHeader>&amp;R&amp;G</oddHeader>
    <oddFooter>&amp;L&amp;9ecolibriumsolar.com&amp;C&amp;9 Page &amp;P+7
507 Richland Ave., Athens, OH 45701&amp;R&amp;9 740-249-1877</oddFooter>
    <firstHeader>&amp;R&amp;G</firstHeader>
    <firstFooter>&amp;L&amp;9ecolibriumsolar.com&amp;C&amp;9Page 8
507 Richland Ave., Athens, OH 45701&amp;R&amp;9 740-249-1877</firstFooter>
  </headerFooter>
  <colBreaks count="1" manualBreakCount="1">
    <brk id="31" max="1048575"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C39CD-FA0B-4E96-837D-2CC43007FD03}">
  <sheetPr codeName="Sheet26">
    <tabColor rgb="FF55A648"/>
  </sheetPr>
  <dimension ref="A1:BJ58"/>
  <sheetViews>
    <sheetView view="pageBreakPreview" zoomScale="55" zoomScaleNormal="100" zoomScaleSheetLayoutView="55" workbookViewId="0">
      <selection activeCell="B2" sqref="B2"/>
    </sheetView>
  </sheetViews>
  <sheetFormatPr defaultColWidth="3.28515625" defaultRowHeight="13.5" customHeight="1"/>
  <cols>
    <col min="1" max="14" width="3.28515625" style="396"/>
    <col min="15" max="15" width="3.7109375" style="396" customWidth="1"/>
    <col min="16" max="43" width="3.28515625" style="396"/>
    <col min="44" max="45" width="3.28515625" style="396" customWidth="1"/>
    <col min="46" max="16384" width="3.28515625" style="396"/>
  </cols>
  <sheetData>
    <row r="1" spans="1:62" s="408" customFormat="1" ht="13.5" customHeight="1">
      <c r="A1" s="408" t="str">
        <f>"Uplift, Sliding, &amp; Seismic Calculations for the Proposed Project in "&amp;'5-Report'!J13</f>
        <v>Uplift, Sliding, &amp; Seismic Calculations for the Proposed Project in Reno, NV 89523</v>
      </c>
      <c r="AF1" s="1993"/>
      <c r="AG1" s="1993"/>
      <c r="AH1" s="1993"/>
      <c r="AI1" s="1993"/>
      <c r="AJ1" s="1993"/>
      <c r="AK1" s="1993"/>
      <c r="AL1" s="1993"/>
      <c r="AM1" s="1993"/>
      <c r="AN1" s="1993"/>
      <c r="AO1" s="1993"/>
      <c r="AP1" s="1993"/>
      <c r="AQ1" s="1993"/>
      <c r="AR1" s="1993"/>
      <c r="AS1" s="1993"/>
      <c r="AT1" s="1993"/>
      <c r="AU1" s="1993"/>
      <c r="AV1" s="1993"/>
      <c r="AW1" s="1993"/>
      <c r="AX1" s="1993"/>
      <c r="AY1" s="1993"/>
      <c r="AZ1" s="1993"/>
      <c r="BA1" s="1993"/>
      <c r="BB1" s="1993"/>
      <c r="BC1" s="1993"/>
      <c r="BD1" s="1993"/>
      <c r="BE1" s="1993"/>
      <c r="BF1" s="1993"/>
      <c r="BG1" s="1993"/>
      <c r="BH1" s="1993"/>
      <c r="BI1" s="1993"/>
      <c r="BJ1" s="1993"/>
    </row>
    <row r="2" spans="1:62" ht="13.5" customHeight="1">
      <c r="AF2" s="1934"/>
      <c r="AG2" s="1934"/>
      <c r="AH2" s="1934"/>
      <c r="AI2" s="1934"/>
      <c r="AJ2" s="1934"/>
      <c r="AK2" s="1934"/>
      <c r="AL2" s="1934"/>
      <c r="AM2" s="1934"/>
      <c r="AN2" s="1934"/>
      <c r="AO2" s="1934"/>
      <c r="AP2" s="1934"/>
      <c r="AQ2" s="1934"/>
      <c r="AR2" s="1934"/>
      <c r="AS2" s="1934"/>
      <c r="AT2" s="1934"/>
      <c r="AU2" s="1934"/>
      <c r="AV2" s="1934"/>
      <c r="AW2" s="1934"/>
      <c r="AX2" s="1934"/>
      <c r="AY2" s="1934"/>
      <c r="AZ2" s="1934"/>
      <c r="BA2" s="1934"/>
      <c r="BB2" s="1934"/>
      <c r="BC2" s="1934"/>
      <c r="BD2" s="1934"/>
      <c r="BE2" s="1934"/>
      <c r="BF2" s="1934"/>
      <c r="BG2" s="1934"/>
      <c r="BH2" s="1934"/>
      <c r="BI2" s="1934"/>
      <c r="BJ2" s="1934"/>
    </row>
    <row r="3" spans="1:62" ht="13.5" customHeight="1">
      <c r="AF3" s="1934"/>
      <c r="AG3" s="1934"/>
      <c r="AH3" s="1934"/>
      <c r="AI3" s="1934"/>
      <c r="AJ3" s="1934"/>
      <c r="AK3" s="1934"/>
      <c r="AL3" s="1934"/>
      <c r="AM3" s="1934"/>
      <c r="AN3" s="1934"/>
      <c r="AO3" s="1934"/>
      <c r="AP3" s="1934"/>
      <c r="AQ3" s="1934"/>
      <c r="AR3" s="1934"/>
      <c r="AS3" s="1934"/>
      <c r="AT3" s="1934"/>
      <c r="AU3" s="1934"/>
      <c r="AV3" s="1934"/>
      <c r="AW3" s="1934"/>
      <c r="AX3" s="1934"/>
      <c r="AY3" s="1934"/>
      <c r="AZ3" s="1934"/>
      <c r="BA3" s="1934"/>
      <c r="BB3" s="1934"/>
      <c r="BC3" s="1934"/>
      <c r="BD3" s="1934"/>
      <c r="BE3" s="1934"/>
      <c r="BF3" s="1934"/>
      <c r="BG3" s="1934"/>
      <c r="BH3" s="1934"/>
      <c r="BI3" s="1934"/>
      <c r="BJ3" s="1934"/>
    </row>
    <row r="4" spans="1:62" ht="13.5" customHeight="1">
      <c r="A4" s="2436" t="s">
        <v>20445</v>
      </c>
      <c r="B4" s="2436"/>
      <c r="C4" s="2436"/>
      <c r="D4" s="2436"/>
      <c r="E4" s="2436"/>
      <c r="F4" s="2436"/>
      <c r="G4" s="2436"/>
      <c r="H4" s="2436"/>
      <c r="I4" s="2436"/>
      <c r="J4" s="2436"/>
      <c r="K4" s="2436"/>
      <c r="L4" s="2436"/>
      <c r="M4" s="2436"/>
      <c r="N4" s="2436"/>
      <c r="O4" s="2436"/>
      <c r="P4" s="2436"/>
      <c r="Q4" s="2436"/>
      <c r="R4" s="2436"/>
      <c r="S4" s="2436"/>
      <c r="T4" s="2436"/>
      <c r="U4" s="2436"/>
      <c r="V4" s="2436"/>
      <c r="W4" s="2436"/>
      <c r="X4" s="2436"/>
      <c r="Y4" s="2436"/>
      <c r="Z4" s="2436"/>
      <c r="AA4" s="2436"/>
      <c r="AB4" s="2436"/>
      <c r="AC4" s="2436"/>
      <c r="AD4" s="2436"/>
      <c r="AE4" s="2436"/>
      <c r="AF4" s="1994"/>
      <c r="AG4" s="1994"/>
      <c r="AH4" s="1994"/>
      <c r="AI4" s="1994"/>
      <c r="AJ4" s="1994"/>
      <c r="AK4" s="1994"/>
      <c r="AL4" s="1994"/>
      <c r="AM4" s="1994"/>
      <c r="AN4" s="1994"/>
      <c r="AO4" s="1994"/>
      <c r="AP4" s="1994"/>
      <c r="AQ4" s="1994"/>
      <c r="AR4" s="1994"/>
      <c r="AS4" s="1994"/>
      <c r="AT4" s="1994"/>
      <c r="AU4" s="1994"/>
      <c r="AV4" s="1994"/>
      <c r="AW4" s="1994"/>
      <c r="AX4" s="1994"/>
      <c r="AY4" s="1994"/>
      <c r="AZ4" s="1994"/>
      <c r="BA4" s="1994"/>
      <c r="BB4" s="1994"/>
      <c r="BC4" s="1994"/>
      <c r="BD4" s="1994"/>
      <c r="BE4" s="1994"/>
      <c r="BF4" s="1994"/>
      <c r="BG4" s="1994"/>
      <c r="BH4" s="1994"/>
      <c r="BI4" s="1994"/>
      <c r="BJ4" s="1934"/>
    </row>
    <row r="5" spans="1:62" ht="13.5" customHeight="1">
      <c r="A5" s="2436"/>
      <c r="B5" s="2436"/>
      <c r="C5" s="2436"/>
      <c r="D5" s="2436"/>
      <c r="E5" s="2436"/>
      <c r="F5" s="2436"/>
      <c r="G5" s="2436"/>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406"/>
      <c r="AG5" s="406"/>
      <c r="AH5" s="406"/>
      <c r="AI5" s="406"/>
      <c r="AJ5" s="406"/>
      <c r="AK5" s="406"/>
      <c r="AL5" s="406"/>
      <c r="AM5" s="406"/>
      <c r="AN5" s="406"/>
      <c r="AO5" s="406"/>
      <c r="AP5" s="406"/>
      <c r="AQ5" s="406"/>
      <c r="AR5" s="406"/>
      <c r="AS5" s="406"/>
      <c r="AT5" s="406"/>
      <c r="AU5" s="406"/>
      <c r="AV5" s="406"/>
      <c r="AW5" s="406"/>
      <c r="AX5" s="406"/>
      <c r="AY5" s="406"/>
      <c r="AZ5" s="406"/>
      <c r="BA5" s="406"/>
      <c r="BB5" s="406"/>
      <c r="BC5" s="406"/>
      <c r="BD5" s="406"/>
      <c r="BE5" s="406"/>
      <c r="BF5" s="406"/>
      <c r="BG5" s="406"/>
      <c r="BH5" s="406"/>
      <c r="BI5" s="406"/>
      <c r="BJ5" s="406"/>
    </row>
    <row r="6" spans="1:62" ht="13.5" customHeight="1">
      <c r="A6" s="2459" t="s">
        <v>20456</v>
      </c>
      <c r="B6" s="2459"/>
      <c r="C6" s="2459"/>
      <c r="D6" s="2459"/>
      <c r="E6" s="2459"/>
      <c r="F6" s="2459"/>
      <c r="G6" s="2459"/>
      <c r="H6" s="2459"/>
      <c r="I6" s="2459"/>
      <c r="J6" s="2459"/>
      <c r="K6" s="2459"/>
      <c r="L6" s="2459"/>
      <c r="M6" s="2459"/>
      <c r="N6" s="2459"/>
      <c r="O6" s="2459"/>
      <c r="P6" s="2459"/>
      <c r="Q6" s="2459"/>
      <c r="R6" s="2459"/>
      <c r="S6" s="2459"/>
      <c r="T6" s="2459"/>
      <c r="U6" s="2459"/>
      <c r="V6" s="2459"/>
      <c r="W6" s="2459"/>
      <c r="X6" s="2459"/>
      <c r="Y6" s="2459"/>
      <c r="Z6" s="2459"/>
      <c r="AA6" s="2459"/>
      <c r="AB6" s="2459"/>
      <c r="AC6" s="2459"/>
      <c r="AD6" s="2459"/>
      <c r="AE6" s="2459"/>
      <c r="AF6" s="406"/>
      <c r="AG6" s="406"/>
      <c r="AH6" s="406"/>
      <c r="AI6" s="406"/>
      <c r="AJ6" s="406"/>
      <c r="AK6" s="406"/>
      <c r="AL6" s="406"/>
      <c r="AM6" s="406"/>
      <c r="AN6" s="406"/>
      <c r="AO6" s="406"/>
      <c r="AP6" s="406"/>
      <c r="AQ6" s="406"/>
      <c r="AR6" s="406"/>
      <c r="AS6" s="406"/>
      <c r="AT6" s="406"/>
      <c r="AU6" s="406"/>
      <c r="AV6" s="406"/>
      <c r="AW6" s="406"/>
      <c r="AX6" s="406"/>
      <c r="AY6" s="406"/>
      <c r="AZ6" s="406"/>
      <c r="BA6" s="406"/>
      <c r="BB6" s="406"/>
      <c r="BC6" s="406"/>
      <c r="BD6" s="406"/>
      <c r="BE6" s="406"/>
      <c r="BF6" s="406"/>
      <c r="BG6" s="406"/>
      <c r="BH6" s="406"/>
      <c r="BI6" s="406"/>
      <c r="BJ6" s="406"/>
    </row>
    <row r="7" spans="1:62" ht="13.5" customHeight="1">
      <c r="A7" s="2459"/>
      <c r="B7" s="2459"/>
      <c r="C7" s="2459"/>
      <c r="D7" s="2459"/>
      <c r="E7" s="2459"/>
      <c r="F7" s="2459"/>
      <c r="G7" s="2459"/>
      <c r="H7" s="2459"/>
      <c r="I7" s="2459"/>
      <c r="J7" s="2459"/>
      <c r="K7" s="2459"/>
      <c r="L7" s="2459"/>
      <c r="M7" s="2459"/>
      <c r="N7" s="2459"/>
      <c r="O7" s="2459"/>
      <c r="P7" s="2459"/>
      <c r="Q7" s="2459"/>
      <c r="R7" s="2459"/>
      <c r="S7" s="2459"/>
      <c r="T7" s="2459"/>
      <c r="U7" s="2459"/>
      <c r="V7" s="2459"/>
      <c r="W7" s="2459"/>
      <c r="X7" s="2459"/>
      <c r="Y7" s="2459"/>
      <c r="Z7" s="2459"/>
      <c r="AA7" s="2459"/>
      <c r="AB7" s="2459"/>
      <c r="AC7" s="2459"/>
      <c r="AD7" s="2459"/>
      <c r="AE7" s="2459"/>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6"/>
      <c r="BD7" s="406"/>
      <c r="BE7" s="406"/>
      <c r="BF7" s="406"/>
      <c r="BG7" s="406"/>
      <c r="BH7" s="406"/>
      <c r="BI7" s="406"/>
      <c r="BJ7" s="406"/>
    </row>
    <row r="8" spans="1:62" ht="13.5" customHeight="1">
      <c r="A8" s="2459"/>
      <c r="B8" s="2459"/>
      <c r="C8" s="2459"/>
      <c r="D8" s="2459"/>
      <c r="E8" s="2459"/>
      <c r="F8" s="2459"/>
      <c r="G8" s="2459"/>
      <c r="H8" s="2459"/>
      <c r="I8" s="2459"/>
      <c r="J8" s="2459"/>
      <c r="K8" s="2459"/>
      <c r="L8" s="2459"/>
      <c r="M8" s="2459"/>
      <c r="N8" s="2459"/>
      <c r="O8" s="2459"/>
      <c r="P8" s="2459"/>
      <c r="Q8" s="2459"/>
      <c r="R8" s="2459"/>
      <c r="S8" s="2459"/>
      <c r="T8" s="2459"/>
      <c r="U8" s="2459"/>
      <c r="V8" s="2459"/>
      <c r="W8" s="2459"/>
      <c r="X8" s="2459"/>
      <c r="Y8" s="2459"/>
      <c r="Z8" s="2459"/>
      <c r="AA8" s="2459"/>
      <c r="AB8" s="2459"/>
      <c r="AC8" s="2459"/>
      <c r="AD8" s="2459"/>
      <c r="AE8" s="2459"/>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6"/>
      <c r="BD8" s="406"/>
      <c r="BE8" s="406"/>
      <c r="BF8" s="406"/>
      <c r="BG8" s="406"/>
      <c r="BH8" s="406"/>
      <c r="BI8" s="406"/>
      <c r="BJ8" s="406"/>
    </row>
    <row r="9" spans="1:62" ht="13.5" customHeight="1">
      <c r="A9" s="2459"/>
      <c r="B9" s="2459"/>
      <c r="C9" s="2459"/>
      <c r="D9" s="2459"/>
      <c r="E9" s="2459"/>
      <c r="F9" s="2459"/>
      <c r="G9" s="2459"/>
      <c r="H9" s="2459"/>
      <c r="I9" s="2459"/>
      <c r="J9" s="2459"/>
      <c r="K9" s="2459"/>
      <c r="L9" s="2459"/>
      <c r="M9" s="2459"/>
      <c r="N9" s="2459"/>
      <c r="O9" s="2459"/>
      <c r="P9" s="2459"/>
      <c r="Q9" s="2459"/>
      <c r="R9" s="2459"/>
      <c r="S9" s="2459"/>
      <c r="T9" s="2459"/>
      <c r="U9" s="2459"/>
      <c r="V9" s="2459"/>
      <c r="W9" s="2459"/>
      <c r="X9" s="2459"/>
      <c r="Y9" s="2459"/>
      <c r="Z9" s="2459"/>
      <c r="AA9" s="2459"/>
      <c r="AB9" s="2459"/>
      <c r="AC9" s="2459"/>
      <c r="AD9" s="2459"/>
      <c r="AE9" s="2459"/>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c r="BJ9" s="406"/>
    </row>
    <row r="10" spans="1:62" ht="13.5" customHeight="1">
      <c r="A10" s="2459"/>
      <c r="B10" s="2459"/>
      <c r="C10" s="2459"/>
      <c r="D10" s="2459"/>
      <c r="E10" s="2459"/>
      <c r="F10" s="2459"/>
      <c r="G10" s="2459"/>
      <c r="H10" s="2459"/>
      <c r="I10" s="2459"/>
      <c r="J10" s="2459"/>
      <c r="K10" s="2459"/>
      <c r="L10" s="2459"/>
      <c r="M10" s="2459"/>
      <c r="N10" s="2459"/>
      <c r="O10" s="2459"/>
      <c r="P10" s="2459"/>
      <c r="Q10" s="2459"/>
      <c r="R10" s="2459"/>
      <c r="S10" s="2459"/>
      <c r="T10" s="2459"/>
      <c r="U10" s="2459"/>
      <c r="V10" s="2459"/>
      <c r="W10" s="2459"/>
      <c r="X10" s="2459"/>
      <c r="Y10" s="2459"/>
      <c r="Z10" s="2459"/>
      <c r="AA10" s="2459"/>
      <c r="AB10" s="2459"/>
      <c r="AC10" s="2459"/>
      <c r="AD10" s="2459"/>
      <c r="AE10" s="2459"/>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J10" s="406"/>
    </row>
    <row r="11" spans="1:62" ht="13.5" customHeight="1">
      <c r="A11" s="2459"/>
      <c r="B11" s="2459"/>
      <c r="C11" s="2459"/>
      <c r="D11" s="2459"/>
      <c r="E11" s="2459"/>
      <c r="F11" s="2459"/>
      <c r="G11" s="2459"/>
      <c r="H11" s="2459"/>
      <c r="I11" s="2459"/>
      <c r="J11" s="2459"/>
      <c r="K11" s="2459"/>
      <c r="L11" s="2459"/>
      <c r="M11" s="2459"/>
      <c r="N11" s="2459"/>
      <c r="O11" s="2459"/>
      <c r="P11" s="2459"/>
      <c r="Q11" s="2459"/>
      <c r="R11" s="2459"/>
      <c r="S11" s="2459"/>
      <c r="T11" s="2459"/>
      <c r="U11" s="2459"/>
      <c r="V11" s="2459"/>
      <c r="W11" s="2459"/>
      <c r="X11" s="2459"/>
      <c r="Y11" s="2459"/>
      <c r="Z11" s="2459"/>
      <c r="AA11" s="2459"/>
      <c r="AB11" s="2459"/>
      <c r="AC11" s="2459"/>
      <c r="AD11" s="2459"/>
      <c r="AE11" s="2459"/>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c r="BJ11" s="406"/>
    </row>
    <row r="12" spans="1:62" ht="13.5" customHeight="1">
      <c r="A12" s="2459"/>
      <c r="B12" s="2459"/>
      <c r="C12" s="2459"/>
      <c r="D12" s="2459"/>
      <c r="E12" s="2459"/>
      <c r="F12" s="2459"/>
      <c r="G12" s="2459"/>
      <c r="H12" s="2459"/>
      <c r="I12" s="2459"/>
      <c r="J12" s="2459"/>
      <c r="K12" s="2459"/>
      <c r="L12" s="2459"/>
      <c r="M12" s="2459"/>
      <c r="N12" s="2459"/>
      <c r="O12" s="2459"/>
      <c r="P12" s="2459"/>
      <c r="Q12" s="2459"/>
      <c r="R12" s="2459"/>
      <c r="S12" s="2459"/>
      <c r="T12" s="2459"/>
      <c r="U12" s="2459"/>
      <c r="V12" s="2459"/>
      <c r="W12" s="2459"/>
      <c r="X12" s="2459"/>
      <c r="Y12" s="2459"/>
      <c r="Z12" s="2459"/>
      <c r="AA12" s="2459"/>
      <c r="AB12" s="2459"/>
      <c r="AC12" s="2459"/>
      <c r="AD12" s="2459"/>
      <c r="AE12" s="2459"/>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J12" s="406"/>
    </row>
    <row r="13" spans="1:62" ht="13.5" customHeight="1">
      <c r="A13" s="2459"/>
      <c r="B13" s="2459"/>
      <c r="C13" s="2459"/>
      <c r="D13" s="2459"/>
      <c r="E13" s="2459"/>
      <c r="F13" s="2459"/>
      <c r="G13" s="2459"/>
      <c r="H13" s="2459"/>
      <c r="I13" s="2459"/>
      <c r="J13" s="2459"/>
      <c r="K13" s="2459"/>
      <c r="L13" s="2459"/>
      <c r="M13" s="2459"/>
      <c r="N13" s="2459"/>
      <c r="O13" s="2459"/>
      <c r="P13" s="2459"/>
      <c r="Q13" s="2459"/>
      <c r="R13" s="2459"/>
      <c r="S13" s="2459"/>
      <c r="T13" s="2459"/>
      <c r="U13" s="2459"/>
      <c r="V13" s="2459"/>
      <c r="W13" s="2459"/>
      <c r="X13" s="2459"/>
      <c r="Y13" s="2459"/>
      <c r="Z13" s="2459"/>
      <c r="AA13" s="2459"/>
      <c r="AB13" s="2459"/>
      <c r="AC13" s="2459"/>
      <c r="AD13" s="2459"/>
      <c r="AE13" s="2459"/>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J13" s="406"/>
    </row>
    <row r="14" spans="1:62" ht="13.5" customHeight="1">
      <c r="A14" s="2459"/>
      <c r="B14" s="2459"/>
      <c r="C14" s="2459"/>
      <c r="D14" s="2459"/>
      <c r="E14" s="2459"/>
      <c r="F14" s="2459"/>
      <c r="G14" s="2459"/>
      <c r="H14" s="2459"/>
      <c r="I14" s="2459"/>
      <c r="J14" s="2459"/>
      <c r="K14" s="2459"/>
      <c r="L14" s="2459"/>
      <c r="M14" s="2459"/>
      <c r="N14" s="2459"/>
      <c r="O14" s="2459"/>
      <c r="P14" s="2459"/>
      <c r="Q14" s="2459"/>
      <c r="R14" s="2459"/>
      <c r="S14" s="2459"/>
      <c r="T14" s="2459"/>
      <c r="U14" s="2459"/>
      <c r="V14" s="2459"/>
      <c r="W14" s="2459"/>
      <c r="X14" s="2459"/>
      <c r="Y14" s="2459"/>
      <c r="Z14" s="2459"/>
      <c r="AA14" s="2459"/>
      <c r="AB14" s="2459"/>
      <c r="AC14" s="2459"/>
      <c r="AD14" s="2459"/>
      <c r="AE14" s="2459"/>
      <c r="AF14" s="406"/>
      <c r="AG14" s="406"/>
      <c r="AH14" s="406"/>
      <c r="AI14" s="406"/>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J14" s="406"/>
    </row>
    <row r="15" spans="1:62" ht="13.5" customHeight="1">
      <c r="A15" s="2459"/>
      <c r="B15" s="2459"/>
      <c r="C15" s="2459"/>
      <c r="D15" s="2459"/>
      <c r="E15" s="2459"/>
      <c r="F15" s="2459"/>
      <c r="G15" s="2459"/>
      <c r="H15" s="2459"/>
      <c r="I15" s="2459"/>
      <c r="J15" s="2459"/>
      <c r="K15" s="2459"/>
      <c r="L15" s="2459"/>
      <c r="M15" s="2459"/>
      <c r="N15" s="2459"/>
      <c r="O15" s="2459"/>
      <c r="P15" s="2459"/>
      <c r="Q15" s="2459"/>
      <c r="R15" s="2459"/>
      <c r="S15" s="2459"/>
      <c r="T15" s="2459"/>
      <c r="U15" s="2459"/>
      <c r="V15" s="2459"/>
      <c r="W15" s="2459"/>
      <c r="X15" s="2459"/>
      <c r="Y15" s="2459"/>
      <c r="Z15" s="2459"/>
      <c r="AA15" s="2459"/>
      <c r="AB15" s="2459"/>
      <c r="AC15" s="2459"/>
      <c r="AD15" s="2459"/>
      <c r="AE15" s="2459"/>
      <c r="AF15" s="1934"/>
      <c r="AG15" s="1934"/>
      <c r="AH15" s="1934"/>
      <c r="AI15" s="1934"/>
      <c r="AJ15" s="1934"/>
      <c r="AK15" s="1934"/>
      <c r="AL15" s="1934"/>
      <c r="AM15" s="1934"/>
      <c r="AN15" s="1934"/>
      <c r="AO15" s="1934"/>
      <c r="AP15" s="1934"/>
      <c r="AQ15" s="1934"/>
      <c r="AR15" s="1934"/>
      <c r="AS15" s="1934"/>
      <c r="AT15" s="1934"/>
      <c r="AU15" s="1934"/>
      <c r="AV15" s="1934"/>
      <c r="AW15" s="1934"/>
      <c r="AX15" s="1934"/>
      <c r="AY15" s="1934"/>
      <c r="AZ15" s="1934"/>
      <c r="BA15" s="1934"/>
      <c r="BB15" s="1934"/>
      <c r="BC15" s="1934"/>
      <c r="BD15" s="1934"/>
      <c r="BE15" s="1934"/>
      <c r="BF15" s="1934"/>
      <c r="BG15" s="1934"/>
      <c r="BH15" s="1934"/>
      <c r="BI15" s="1934"/>
      <c r="BJ15" s="1934"/>
    </row>
    <row r="16" spans="1:62" ht="13.5" customHeight="1">
      <c r="A16" s="2459"/>
      <c r="B16" s="2459"/>
      <c r="C16" s="2459"/>
      <c r="D16" s="2459"/>
      <c r="E16" s="2459"/>
      <c r="F16" s="2459"/>
      <c r="G16" s="2459"/>
      <c r="H16" s="2459"/>
      <c r="I16" s="2459"/>
      <c r="J16" s="2459"/>
      <c r="K16" s="2459"/>
      <c r="L16" s="2459"/>
      <c r="M16" s="2459"/>
      <c r="N16" s="2459"/>
      <c r="O16" s="2459"/>
      <c r="P16" s="2459"/>
      <c r="Q16" s="2459"/>
      <c r="R16" s="2459"/>
      <c r="S16" s="2459"/>
      <c r="T16" s="2459"/>
      <c r="U16" s="2459"/>
      <c r="V16" s="2459"/>
      <c r="W16" s="2459"/>
      <c r="X16" s="2459"/>
      <c r="Y16" s="2459"/>
      <c r="Z16" s="2459"/>
      <c r="AA16" s="2459"/>
      <c r="AB16" s="2459"/>
      <c r="AC16" s="2459"/>
      <c r="AD16" s="2459"/>
      <c r="AE16" s="2459"/>
      <c r="AF16" s="1934"/>
      <c r="AG16" s="1934"/>
      <c r="AH16" s="1934"/>
      <c r="AI16" s="1995"/>
      <c r="AJ16" s="1995"/>
      <c r="AK16" s="1995"/>
      <c r="AL16" s="1995"/>
      <c r="AM16" s="1995"/>
      <c r="AN16" s="1995"/>
      <c r="AO16" s="1995"/>
      <c r="AP16" s="1995"/>
      <c r="AQ16" s="1995"/>
      <c r="AR16" s="1995"/>
      <c r="AS16" s="1995"/>
      <c r="AT16" s="1995"/>
      <c r="AU16" s="1995"/>
      <c r="AV16" s="1995"/>
      <c r="AW16" s="1995"/>
      <c r="AX16" s="1995"/>
      <c r="AY16" s="1995"/>
      <c r="AZ16" s="1995"/>
      <c r="BA16" s="1995"/>
      <c r="BB16" s="1995"/>
      <c r="BC16" s="1995"/>
      <c r="BD16" s="1995"/>
      <c r="BE16" s="1995"/>
      <c r="BF16" s="1995"/>
      <c r="BG16" s="1995"/>
      <c r="BH16" s="1995"/>
      <c r="BI16" s="1934"/>
      <c r="BJ16" s="1934"/>
    </row>
    <row r="17" spans="1:62" ht="13.5" customHeight="1">
      <c r="A17" s="2459"/>
      <c r="B17" s="2459"/>
      <c r="C17" s="2459"/>
      <c r="D17" s="2459"/>
      <c r="E17" s="2459"/>
      <c r="F17" s="2459"/>
      <c r="G17" s="2459"/>
      <c r="H17" s="2459"/>
      <c r="I17" s="2459"/>
      <c r="J17" s="2459"/>
      <c r="K17" s="2459"/>
      <c r="L17" s="2459"/>
      <c r="M17" s="2459"/>
      <c r="N17" s="2459"/>
      <c r="O17" s="2459"/>
      <c r="P17" s="2459"/>
      <c r="Q17" s="2459"/>
      <c r="R17" s="2459"/>
      <c r="S17" s="2459"/>
      <c r="T17" s="2459"/>
      <c r="U17" s="2459"/>
      <c r="V17" s="2459"/>
      <c r="W17" s="2459"/>
      <c r="X17" s="2459"/>
      <c r="Y17" s="2459"/>
      <c r="Z17" s="2459"/>
      <c r="AA17" s="2459"/>
      <c r="AB17" s="2459"/>
      <c r="AC17" s="2459"/>
      <c r="AD17" s="2459"/>
      <c r="AE17" s="2459"/>
      <c r="AF17" s="1934"/>
      <c r="AG17" s="1934"/>
      <c r="AH17" s="1934"/>
      <c r="BJ17" s="1934"/>
    </row>
    <row r="18" spans="1:62" ht="13.5" customHeight="1">
      <c r="A18" s="2459"/>
      <c r="B18" s="2459"/>
      <c r="C18" s="2459"/>
      <c r="D18" s="2459"/>
      <c r="E18" s="2459"/>
      <c r="F18" s="2459"/>
      <c r="G18" s="2459"/>
      <c r="H18" s="2459"/>
      <c r="I18" s="2459"/>
      <c r="J18" s="2459"/>
      <c r="K18" s="2459"/>
      <c r="L18" s="2459"/>
      <c r="M18" s="2459"/>
      <c r="N18" s="2459"/>
      <c r="O18" s="2459"/>
      <c r="P18" s="2459"/>
      <c r="Q18" s="2459"/>
      <c r="R18" s="2459"/>
      <c r="S18" s="2459"/>
      <c r="T18" s="2459"/>
      <c r="U18" s="2459"/>
      <c r="V18" s="2459"/>
      <c r="W18" s="2459"/>
      <c r="X18" s="2459"/>
      <c r="Y18" s="2459"/>
      <c r="Z18" s="2459"/>
      <c r="AA18" s="2459"/>
      <c r="AB18" s="2459"/>
      <c r="AC18" s="2459"/>
      <c r="AD18" s="2459"/>
      <c r="AE18" s="2459"/>
      <c r="AF18" s="1934"/>
      <c r="AG18" s="1934"/>
      <c r="AH18" s="1934"/>
      <c r="BJ18" s="1934"/>
    </row>
    <row r="19" spans="1:62" ht="13.5" customHeight="1">
      <c r="A19" s="423"/>
      <c r="B19" s="423"/>
      <c r="C19" s="2462" t="s">
        <v>20450</v>
      </c>
      <c r="D19" s="2462"/>
      <c r="E19" s="2462"/>
      <c r="F19" s="2462"/>
      <c r="G19" s="2462"/>
      <c r="H19" s="2462"/>
      <c r="I19" s="2462"/>
      <c r="J19" s="2462"/>
      <c r="K19" s="2462"/>
      <c r="L19" s="2462"/>
      <c r="M19" s="2462"/>
      <c r="N19" s="2462"/>
      <c r="O19" s="2462"/>
      <c r="P19" s="2462"/>
      <c r="Q19" s="2462"/>
      <c r="R19" s="2462"/>
      <c r="S19" s="2462"/>
      <c r="T19" s="2462"/>
      <c r="U19" s="2462"/>
      <c r="V19" s="2462"/>
      <c r="W19" s="2462"/>
      <c r="X19" s="2462"/>
      <c r="Y19" s="2462"/>
      <c r="Z19" s="2462"/>
      <c r="AA19" s="2462"/>
      <c r="AB19" s="2462"/>
      <c r="AC19" s="2462"/>
      <c r="AE19" s="423"/>
      <c r="AF19" s="1934"/>
      <c r="AG19" s="1934"/>
      <c r="AH19" s="1934"/>
      <c r="BJ19" s="1934"/>
    </row>
    <row r="20" spans="1:62" ht="13.5" customHeight="1">
      <c r="A20" s="423"/>
      <c r="B20" s="423"/>
      <c r="C20" s="1945" t="s">
        <v>19790</v>
      </c>
      <c r="D20" s="1946"/>
      <c r="E20" s="1946"/>
      <c r="F20" s="1947"/>
      <c r="G20" s="1947"/>
      <c r="H20" s="1947"/>
      <c r="I20" s="1947"/>
      <c r="J20" s="1948"/>
      <c r="K20" s="1949"/>
      <c r="L20" s="1950"/>
      <c r="M20" s="1992" t="s">
        <v>19789</v>
      </c>
      <c r="N20" s="1990"/>
      <c r="O20" s="1991"/>
      <c r="P20" s="1945" t="s">
        <v>19788</v>
      </c>
      <c r="Q20" s="1951"/>
      <c r="R20" s="1951"/>
      <c r="S20" s="1952"/>
      <c r="T20" s="1951"/>
      <c r="U20" s="1951"/>
      <c r="V20" s="1951"/>
      <c r="W20" s="1951"/>
      <c r="X20" s="1951"/>
      <c r="Y20" s="1951"/>
      <c r="Z20" s="1936"/>
      <c r="AA20" s="1951"/>
      <c r="AB20" s="1951"/>
      <c r="AC20" s="1953"/>
      <c r="AE20" s="423"/>
      <c r="AF20" s="1934"/>
      <c r="BJ20" s="1934"/>
    </row>
    <row r="21" spans="1:62" ht="13.5" customHeight="1">
      <c r="A21" s="1937"/>
      <c r="B21" s="1937"/>
      <c r="C21" s="1954" t="s">
        <v>19874</v>
      </c>
      <c r="D21" s="1955"/>
      <c r="E21" s="1955"/>
      <c r="F21" s="906"/>
      <c r="G21" s="906"/>
      <c r="H21" s="906"/>
      <c r="I21" s="906"/>
      <c r="J21" s="1956"/>
      <c r="K21" s="1957"/>
      <c r="L21" s="1958"/>
      <c r="M21" s="2465">
        <f>'Uplift Attachment Calcs'!D3</f>
        <v>528.19199999999989</v>
      </c>
      <c r="N21" s="2466"/>
      <c r="O21" s="1967" t="s">
        <v>39</v>
      </c>
      <c r="P21" s="1971" t="s">
        <v>20449</v>
      </c>
      <c r="Q21" s="1972"/>
      <c r="R21" s="1972"/>
      <c r="S21" s="912"/>
      <c r="T21" s="1972"/>
      <c r="U21" s="1972"/>
      <c r="V21" s="1972"/>
      <c r="W21" s="1972"/>
      <c r="X21" s="1972"/>
      <c r="Y21" s="1972"/>
      <c r="Z21" s="1973"/>
      <c r="AA21" s="1972"/>
      <c r="AB21" s="1972"/>
      <c r="AC21" s="1974"/>
      <c r="AF21" s="1934"/>
      <c r="BJ21" s="1934"/>
    </row>
    <row r="22" spans="1:62" ht="13.5" customHeight="1">
      <c r="A22" s="1937"/>
      <c r="B22" s="1937"/>
      <c r="C22" s="1959" t="s">
        <v>19873</v>
      </c>
      <c r="D22" s="1941"/>
      <c r="E22" s="1941"/>
      <c r="F22" s="716"/>
      <c r="G22" s="716"/>
      <c r="H22" s="716"/>
      <c r="I22" s="716"/>
      <c r="J22" s="1943"/>
      <c r="K22" s="1944"/>
      <c r="L22" s="1960"/>
      <c r="M22" s="2463">
        <f>'Uplift Attachment Calcs'!D4</f>
        <v>314.39999999999998</v>
      </c>
      <c r="N22" s="2464"/>
      <c r="O22" s="1968" t="s">
        <v>39</v>
      </c>
      <c r="P22" s="1975" t="s">
        <v>19876</v>
      </c>
      <c r="Q22" s="1937"/>
      <c r="R22" s="1937"/>
      <c r="S22" s="1934"/>
      <c r="T22" s="1937"/>
      <c r="U22" s="1937"/>
      <c r="V22" s="1937"/>
      <c r="W22" s="1937"/>
      <c r="X22" s="1937"/>
      <c r="Y22" s="1937"/>
      <c r="Z22" s="1938"/>
      <c r="AA22" s="1937"/>
      <c r="AB22" s="1937"/>
      <c r="AC22" s="1976"/>
      <c r="AF22" s="1934"/>
      <c r="BJ22" s="1934"/>
    </row>
    <row r="23" spans="1:62" ht="13.5" customHeight="1">
      <c r="A23" s="1937"/>
      <c r="B23" s="1937"/>
      <c r="C23" s="1961" t="s">
        <v>19791</v>
      </c>
      <c r="D23" s="1939"/>
      <c r="E23" s="1939"/>
      <c r="F23" s="716"/>
      <c r="G23" s="716"/>
      <c r="H23" s="716"/>
      <c r="I23" s="716"/>
      <c r="J23" s="1943"/>
      <c r="K23" s="1944"/>
      <c r="L23" s="1960"/>
      <c r="M23" s="2463">
        <f>'Uplift Attachment Calcs'!D5</f>
        <v>1844</v>
      </c>
      <c r="N23" s="2464"/>
      <c r="O23" s="1969" t="s">
        <v>39</v>
      </c>
      <c r="P23" s="1961" t="s">
        <v>19879</v>
      </c>
      <c r="Q23" s="1937"/>
      <c r="R23" s="1937"/>
      <c r="S23" s="1934"/>
      <c r="T23" s="1937"/>
      <c r="U23" s="1937"/>
      <c r="V23" s="1937"/>
      <c r="W23" s="1937"/>
      <c r="X23" s="1937"/>
      <c r="Y23" s="1937"/>
      <c r="Z23" s="1938"/>
      <c r="AA23" s="1937"/>
      <c r="AB23" s="1937"/>
      <c r="AC23" s="1976"/>
      <c r="AF23" s="1934"/>
      <c r="BJ23" s="1934"/>
    </row>
    <row r="24" spans="1:62" ht="13.5" customHeight="1">
      <c r="A24" s="1937"/>
      <c r="B24" s="1937"/>
      <c r="C24" s="1962" t="s">
        <v>19872</v>
      </c>
      <c r="D24" s="1941"/>
      <c r="E24" s="1941"/>
      <c r="F24" s="716"/>
      <c r="G24" s="716"/>
      <c r="H24" s="716"/>
      <c r="I24" s="716"/>
      <c r="J24" s="1943"/>
      <c r="K24" s="1944"/>
      <c r="L24" s="1960"/>
      <c r="M24" s="2463">
        <f>'Uplift Attachment Calcs'!D6</f>
        <v>922</v>
      </c>
      <c r="N24" s="2464"/>
      <c r="O24" s="1968" t="s">
        <v>39</v>
      </c>
      <c r="P24" s="1977" t="s">
        <v>19877</v>
      </c>
      <c r="Q24" s="1934"/>
      <c r="R24" s="1934"/>
      <c r="S24" s="1934"/>
      <c r="T24" s="1934"/>
      <c r="U24" s="1934"/>
      <c r="V24" s="1934"/>
      <c r="W24" s="1934"/>
      <c r="X24" s="1934"/>
      <c r="Y24" s="1934"/>
      <c r="Z24" s="1934"/>
      <c r="AA24" s="1934"/>
      <c r="AB24" s="1934"/>
      <c r="AC24" s="1978"/>
      <c r="AF24" s="406"/>
      <c r="BJ24" s="1934"/>
    </row>
    <row r="25" spans="1:62" ht="13.5" customHeight="1">
      <c r="A25" s="1937"/>
      <c r="B25" s="1937"/>
      <c r="C25" s="1961" t="s">
        <v>19792</v>
      </c>
      <c r="D25" s="1939"/>
      <c r="E25" s="1939"/>
      <c r="F25" s="716"/>
      <c r="G25" s="716"/>
      <c r="H25" s="716"/>
      <c r="I25" s="716"/>
      <c r="J25" s="1944"/>
      <c r="K25" s="1944"/>
      <c r="L25" s="1960"/>
      <c r="M25" s="2463">
        <f>'Uplift Attachment Calcs'!D7</f>
        <v>1116</v>
      </c>
      <c r="N25" s="2464"/>
      <c r="O25" s="1969" t="s">
        <v>39</v>
      </c>
      <c r="P25" s="1961" t="s">
        <v>19879</v>
      </c>
      <c r="Q25" s="1934"/>
      <c r="R25" s="1934"/>
      <c r="S25" s="1934"/>
      <c r="T25" s="1934"/>
      <c r="U25" s="1934"/>
      <c r="V25" s="1934"/>
      <c r="W25" s="1934"/>
      <c r="X25" s="1934"/>
      <c r="Y25" s="1934"/>
      <c r="Z25" s="1934"/>
      <c r="AA25" s="1934"/>
      <c r="AB25" s="1934"/>
      <c r="AC25" s="1978"/>
      <c r="AF25" s="406"/>
      <c r="BJ25" s="406"/>
    </row>
    <row r="26" spans="1:62" ht="13.5" customHeight="1">
      <c r="A26" s="1937"/>
      <c r="B26" s="1937"/>
      <c r="C26" s="1963" t="s">
        <v>20447</v>
      </c>
      <c r="D26" s="1942"/>
      <c r="E26" s="1942"/>
      <c r="F26" s="910"/>
      <c r="G26" s="910"/>
      <c r="H26" s="910"/>
      <c r="I26" s="910"/>
      <c r="J26" s="1964"/>
      <c r="K26" s="1965"/>
      <c r="L26" s="1966"/>
      <c r="M26" s="2469">
        <f>'Uplift Attachment Calcs'!D8</f>
        <v>558</v>
      </c>
      <c r="N26" s="2470"/>
      <c r="O26" s="1970" t="s">
        <v>39</v>
      </c>
      <c r="P26" s="1979" t="s">
        <v>19877</v>
      </c>
      <c r="Q26" s="917"/>
      <c r="R26" s="917"/>
      <c r="S26" s="917"/>
      <c r="T26" s="917"/>
      <c r="U26" s="917"/>
      <c r="V26" s="917"/>
      <c r="W26" s="917"/>
      <c r="X26" s="917"/>
      <c r="Y26" s="917"/>
      <c r="Z26" s="917"/>
      <c r="AA26" s="917"/>
      <c r="AB26" s="917"/>
      <c r="AC26" s="1980"/>
      <c r="AF26" s="406"/>
      <c r="BJ26" s="406"/>
    </row>
    <row r="27" spans="1:62" ht="13.5" customHeight="1">
      <c r="A27" s="1937"/>
      <c r="B27" s="1937"/>
      <c r="C27" s="1981" t="s">
        <v>19875</v>
      </c>
      <c r="D27" s="1982"/>
      <c r="E27" s="1982"/>
      <c r="F27" s="906"/>
      <c r="G27" s="906"/>
      <c r="H27" s="906"/>
      <c r="I27" s="906"/>
      <c r="J27" s="1956"/>
      <c r="K27" s="1956"/>
      <c r="L27" s="1983"/>
      <c r="M27" s="2465">
        <f>'Uplift Attachment Calcs'!D9</f>
        <v>314.39999999999998</v>
      </c>
      <c r="N27" s="2466"/>
      <c r="O27" s="1986" t="s">
        <v>39</v>
      </c>
      <c r="P27" s="905" t="s">
        <v>20448</v>
      </c>
      <c r="Q27" s="912"/>
      <c r="R27" s="912"/>
      <c r="S27" s="39"/>
      <c r="T27" s="912"/>
      <c r="U27" s="912"/>
      <c r="V27" s="912"/>
      <c r="W27" s="912"/>
      <c r="X27" s="912"/>
      <c r="Y27" s="912"/>
      <c r="Z27" s="912"/>
      <c r="AA27" s="912"/>
      <c r="AB27" s="912"/>
      <c r="AC27" s="1989"/>
      <c r="AF27" s="406"/>
      <c r="BJ27" s="406"/>
    </row>
    <row r="28" spans="1:62" ht="13.5" customHeight="1">
      <c r="A28" s="1937"/>
      <c r="B28" s="1937"/>
      <c r="C28" s="1975" t="s">
        <v>19890</v>
      </c>
      <c r="D28" s="1940"/>
      <c r="E28" s="1940"/>
      <c r="F28" s="716"/>
      <c r="G28" s="716"/>
      <c r="H28" s="716"/>
      <c r="I28" s="716"/>
      <c r="J28" s="716"/>
      <c r="K28" s="716"/>
      <c r="L28" s="404"/>
      <c r="M28" s="2471">
        <f>'Uplift Attachment Calcs'!D11</f>
        <v>524</v>
      </c>
      <c r="N28" s="2472"/>
      <c r="O28" s="1987" t="s">
        <v>39</v>
      </c>
      <c r="P28" s="1975" t="str">
        <f>"Attachment Design Load / Dead Load Factor ("&amp;factors!$B$6&amp;")"</f>
        <v>Attachment Design Load / Dead Load Factor (0.6)</v>
      </c>
      <c r="Q28" s="1934"/>
      <c r="R28" s="1934"/>
      <c r="S28" s="1934"/>
      <c r="T28" s="1934"/>
      <c r="U28" s="1934"/>
      <c r="V28" s="1934"/>
      <c r="W28" s="1934"/>
      <c r="X28" s="1934"/>
      <c r="Y28" s="1934"/>
      <c r="Z28" s="1934"/>
      <c r="AA28" s="1934"/>
      <c r="AB28" s="1934"/>
      <c r="AC28" s="1978"/>
      <c r="AF28" s="406"/>
      <c r="BH28" s="406"/>
      <c r="BI28" s="406"/>
      <c r="BJ28" s="406"/>
    </row>
    <row r="29" spans="1:62" ht="13.5" customHeight="1">
      <c r="A29" s="1937"/>
      <c r="B29" s="1937"/>
      <c r="C29" s="1984" t="s">
        <v>19880</v>
      </c>
      <c r="D29" s="1985"/>
      <c r="E29" s="1985"/>
      <c r="F29" s="910"/>
      <c r="G29" s="910"/>
      <c r="H29" s="910"/>
      <c r="I29" s="910"/>
      <c r="J29" s="910"/>
      <c r="K29" s="910"/>
      <c r="L29" s="405"/>
      <c r="M29" s="2460">
        <f>'Uplift Attachment Calcs'!D12</f>
        <v>16.375</v>
      </c>
      <c r="N29" s="2461"/>
      <c r="O29" s="1988"/>
      <c r="P29" s="1984" t="str">
        <f>"Ballast to offset / Ballast Block Weight ("&amp;'1-Eng Inputs'!$C$38&amp;")"</f>
        <v>Ballast to offset / Ballast Block Weight (32)</v>
      </c>
      <c r="Q29" s="917"/>
      <c r="R29" s="917"/>
      <c r="S29" s="917"/>
      <c r="T29" s="917"/>
      <c r="U29" s="917"/>
      <c r="V29" s="917"/>
      <c r="W29" s="917"/>
      <c r="X29" s="917"/>
      <c r="Y29" s="917"/>
      <c r="Z29" s="917"/>
      <c r="AA29" s="917"/>
      <c r="AB29" s="917"/>
      <c r="AC29" s="1980"/>
      <c r="AF29" s="406"/>
      <c r="BH29" s="406"/>
      <c r="BI29" s="406"/>
      <c r="BJ29" s="406"/>
    </row>
    <row r="30" spans="1:62" ht="13.5" customHeight="1">
      <c r="AF30" s="406"/>
    </row>
    <row r="31" spans="1:62" ht="13.5" customHeight="1">
      <c r="A31" s="2459" t="s">
        <v>20451</v>
      </c>
      <c r="B31" s="2459"/>
      <c r="C31" s="2459"/>
      <c r="D31" s="2459"/>
      <c r="E31" s="2459"/>
      <c r="F31" s="2459"/>
      <c r="G31" s="2459"/>
      <c r="H31" s="2459"/>
      <c r="I31" s="2459"/>
      <c r="J31" s="2459"/>
      <c r="K31" s="2459"/>
      <c r="L31" s="2459"/>
      <c r="M31" s="2459"/>
      <c r="N31" s="2459"/>
      <c r="O31" s="2459"/>
      <c r="P31" s="2459"/>
      <c r="Q31" s="2459"/>
      <c r="R31" s="2459"/>
      <c r="S31" s="2459"/>
      <c r="T31" s="2459"/>
      <c r="U31" s="2459"/>
      <c r="V31" s="2459"/>
      <c r="W31" s="2459"/>
      <c r="X31" s="2459"/>
      <c r="Y31" s="2459"/>
      <c r="Z31" s="2459"/>
      <c r="AA31" s="2459"/>
      <c r="AB31" s="2459"/>
      <c r="AC31" s="2459"/>
      <c r="AD31" s="2459"/>
      <c r="AE31" s="2459"/>
      <c r="AF31" s="406"/>
      <c r="AG31" s="406"/>
    </row>
    <row r="32" spans="1:62" ht="13.5" customHeight="1">
      <c r="A32" s="2459"/>
      <c r="B32" s="2459"/>
      <c r="C32" s="2459"/>
      <c r="D32" s="2459"/>
      <c r="E32" s="2459"/>
      <c r="F32" s="2459"/>
      <c r="G32" s="2459"/>
      <c r="H32" s="2459"/>
      <c r="I32" s="2459"/>
      <c r="J32" s="2459"/>
      <c r="K32" s="2459"/>
      <c r="L32" s="2459"/>
      <c r="M32" s="2459"/>
      <c r="N32" s="2459"/>
      <c r="O32" s="2459"/>
      <c r="P32" s="2459"/>
      <c r="Q32" s="2459"/>
      <c r="R32" s="2459"/>
      <c r="S32" s="2459"/>
      <c r="T32" s="2459"/>
      <c r="U32" s="2459"/>
      <c r="V32" s="2459"/>
      <c r="W32" s="2459"/>
      <c r="X32" s="2459"/>
      <c r="Y32" s="2459"/>
      <c r="Z32" s="2459"/>
      <c r="AA32" s="2459"/>
      <c r="AB32" s="2459"/>
      <c r="AC32" s="2459"/>
      <c r="AD32" s="2459"/>
      <c r="AE32" s="2459"/>
      <c r="AF32" s="406"/>
      <c r="AG32" s="406"/>
    </row>
    <row r="33" spans="1:62" ht="13.5" customHeight="1">
      <c r="A33" s="2459"/>
      <c r="B33" s="2459"/>
      <c r="C33" s="2459"/>
      <c r="D33" s="2459"/>
      <c r="E33" s="2459"/>
      <c r="F33" s="2459"/>
      <c r="G33" s="2459"/>
      <c r="H33" s="2459"/>
      <c r="I33" s="2459"/>
      <c r="J33" s="2459"/>
      <c r="K33" s="2459"/>
      <c r="L33" s="2459"/>
      <c r="M33" s="2459"/>
      <c r="N33" s="2459"/>
      <c r="O33" s="2459"/>
      <c r="P33" s="2459"/>
      <c r="Q33" s="2459"/>
      <c r="R33" s="2459"/>
      <c r="S33" s="2459"/>
      <c r="T33" s="2459"/>
      <c r="U33" s="2459"/>
      <c r="V33" s="2459"/>
      <c r="W33" s="2459"/>
      <c r="X33" s="2459"/>
      <c r="Y33" s="2459"/>
      <c r="Z33" s="2459"/>
      <c r="AA33" s="2459"/>
      <c r="AB33" s="2459"/>
      <c r="AC33" s="2459"/>
      <c r="AD33" s="2459"/>
      <c r="AE33" s="2459"/>
      <c r="AF33" s="406"/>
      <c r="AG33" s="406"/>
    </row>
    <row r="34" spans="1:62" ht="13.5" customHeight="1">
      <c r="A34" s="2459"/>
      <c r="B34" s="2459"/>
      <c r="C34" s="2459"/>
      <c r="D34" s="2459"/>
      <c r="E34" s="2459"/>
      <c r="F34" s="2459"/>
      <c r="G34" s="2459"/>
      <c r="H34" s="2459"/>
      <c r="I34" s="2459"/>
      <c r="J34" s="2459"/>
      <c r="K34" s="2459"/>
      <c r="L34" s="2459"/>
      <c r="M34" s="2459"/>
      <c r="N34" s="2459"/>
      <c r="O34" s="2459"/>
      <c r="P34" s="2459"/>
      <c r="Q34" s="2459"/>
      <c r="R34" s="2459"/>
      <c r="S34" s="2459"/>
      <c r="T34" s="2459"/>
      <c r="U34" s="2459"/>
      <c r="V34" s="2459"/>
      <c r="W34" s="2459"/>
      <c r="X34" s="2459"/>
      <c r="Y34" s="2459"/>
      <c r="Z34" s="2459"/>
      <c r="AA34" s="2459"/>
      <c r="AB34" s="2459"/>
      <c r="AC34" s="2459"/>
      <c r="AD34" s="2459"/>
      <c r="AE34" s="2459"/>
      <c r="AF34" s="1934"/>
      <c r="AG34" s="1934"/>
    </row>
    <row r="35" spans="1:62" ht="13.5" customHeight="1">
      <c r="A35" s="2459"/>
      <c r="B35" s="2459"/>
      <c r="C35" s="2459"/>
      <c r="D35" s="2459"/>
      <c r="E35" s="2459"/>
      <c r="F35" s="2459"/>
      <c r="G35" s="2459"/>
      <c r="H35" s="2459"/>
      <c r="I35" s="2459"/>
      <c r="J35" s="2459"/>
      <c r="K35" s="2459"/>
      <c r="L35" s="2459"/>
      <c r="M35" s="2459"/>
      <c r="N35" s="2459"/>
      <c r="O35" s="2459"/>
      <c r="P35" s="2459"/>
      <c r="Q35" s="2459"/>
      <c r="R35" s="2459"/>
      <c r="S35" s="2459"/>
      <c r="T35" s="2459"/>
      <c r="U35" s="2459"/>
      <c r="V35" s="2459"/>
      <c r="W35" s="2459"/>
      <c r="X35" s="2459"/>
      <c r="Y35" s="2459"/>
      <c r="Z35" s="2459"/>
      <c r="AA35" s="2459"/>
      <c r="AB35" s="2459"/>
      <c r="AC35" s="2459"/>
      <c r="AD35" s="2459"/>
      <c r="AE35" s="2459"/>
      <c r="AF35" s="1934"/>
      <c r="AG35" s="1934"/>
    </row>
    <row r="36" spans="1:62" ht="13.5" customHeight="1">
      <c r="A36" s="2459"/>
      <c r="B36" s="2459"/>
      <c r="C36" s="2459"/>
      <c r="D36" s="2459"/>
      <c r="E36" s="2459"/>
      <c r="F36" s="2459"/>
      <c r="G36" s="2459"/>
      <c r="H36" s="2459"/>
      <c r="I36" s="2459"/>
      <c r="J36" s="2459"/>
      <c r="K36" s="2459"/>
      <c r="L36" s="2459"/>
      <c r="M36" s="2459"/>
      <c r="N36" s="2459"/>
      <c r="O36" s="2459"/>
      <c r="P36" s="2459"/>
      <c r="Q36" s="2459"/>
      <c r="R36" s="2459"/>
      <c r="S36" s="2459"/>
      <c r="T36" s="2459"/>
      <c r="U36" s="2459"/>
      <c r="V36" s="2459"/>
      <c r="W36" s="2459"/>
      <c r="X36" s="2459"/>
      <c r="Y36" s="2459"/>
      <c r="Z36" s="2459"/>
      <c r="AA36" s="2459"/>
      <c r="AB36" s="2459"/>
      <c r="AC36" s="2459"/>
      <c r="AD36" s="2459"/>
      <c r="AE36" s="2459"/>
      <c r="AF36" s="1934"/>
      <c r="AG36" s="1934"/>
    </row>
    <row r="37" spans="1:62" ht="13.5" customHeight="1">
      <c r="A37" s="2459"/>
      <c r="B37" s="2459"/>
      <c r="C37" s="2459"/>
      <c r="D37" s="2459"/>
      <c r="E37" s="2459"/>
      <c r="F37" s="2459"/>
      <c r="G37" s="2459"/>
      <c r="H37" s="2459"/>
      <c r="I37" s="2459"/>
      <c r="J37" s="2459"/>
      <c r="K37" s="2459"/>
      <c r="L37" s="2459"/>
      <c r="M37" s="2459"/>
      <c r="N37" s="2459"/>
      <c r="O37" s="2459"/>
      <c r="P37" s="2459"/>
      <c r="Q37" s="2459"/>
      <c r="R37" s="2459"/>
      <c r="S37" s="2459"/>
      <c r="T37" s="2459"/>
      <c r="U37" s="2459"/>
      <c r="V37" s="2459"/>
      <c r="W37" s="2459"/>
      <c r="X37" s="2459"/>
      <c r="Y37" s="2459"/>
      <c r="Z37" s="2459"/>
      <c r="AA37" s="2459"/>
      <c r="AB37" s="2459"/>
      <c r="AC37" s="2459"/>
      <c r="AD37" s="2459"/>
      <c r="AE37" s="2459"/>
      <c r="AF37" s="1934"/>
      <c r="AG37" s="1934"/>
      <c r="AH37" s="1934"/>
      <c r="AI37" s="1934"/>
      <c r="AJ37" s="1934"/>
      <c r="AK37" s="1934"/>
      <c r="AL37" s="1934"/>
      <c r="AM37" s="1934"/>
      <c r="AN37" s="1934"/>
      <c r="AO37" s="1934"/>
      <c r="AP37" s="1934"/>
      <c r="AQ37" s="1934"/>
      <c r="AR37" s="1934"/>
      <c r="AS37" s="1934"/>
      <c r="AT37" s="1934"/>
      <c r="AU37" s="1934"/>
      <c r="AV37" s="1934"/>
      <c r="AW37" s="1934"/>
      <c r="AX37" s="1934"/>
      <c r="AY37" s="1934"/>
      <c r="AZ37" s="1934"/>
      <c r="BA37" s="1934"/>
      <c r="BB37" s="1934"/>
      <c r="BC37" s="1934"/>
      <c r="BD37" s="1934"/>
      <c r="BE37" s="1934"/>
      <c r="BF37" s="1934"/>
      <c r="BG37" s="1934"/>
      <c r="BH37" s="1934"/>
      <c r="BI37" s="1934"/>
      <c r="BJ37" s="1934"/>
    </row>
    <row r="38" spans="1:62" ht="13.5" customHeight="1">
      <c r="B38" s="2467" t="s">
        <v>20452</v>
      </c>
      <c r="C38" s="2467"/>
      <c r="D38" s="2467"/>
      <c r="E38" s="2467"/>
      <c r="F38" s="2467"/>
      <c r="G38" s="2467"/>
      <c r="H38" s="2467"/>
      <c r="I38" s="2467"/>
      <c r="J38" s="2467"/>
      <c r="K38" s="2467"/>
      <c r="L38" s="2467"/>
      <c r="M38" s="2467"/>
      <c r="O38" s="2468" t="s">
        <v>20457</v>
      </c>
      <c r="P38" s="2468"/>
      <c r="Q38" s="2468"/>
      <c r="R38" s="2468"/>
      <c r="S38" s="2468"/>
      <c r="T38" s="2468"/>
      <c r="U38" s="2468"/>
      <c r="V38" s="2468"/>
      <c r="W38" s="2468"/>
      <c r="X38" s="2468"/>
      <c r="Y38" s="2468"/>
      <c r="Z38" s="2468"/>
      <c r="AA38" s="2468"/>
      <c r="AB38" s="2468"/>
      <c r="AC38" s="2468"/>
      <c r="AD38" s="2468"/>
      <c r="AE38" s="2468"/>
      <c r="AF38" s="1934"/>
      <c r="AG38" s="1934"/>
      <c r="AH38" s="1934"/>
      <c r="AI38" s="1934"/>
      <c r="AJ38" s="1934"/>
      <c r="AK38" s="1934"/>
      <c r="AL38" s="1934"/>
      <c r="AM38" s="1934"/>
      <c r="AN38" s="1934"/>
      <c r="AO38" s="1934"/>
      <c r="AP38" s="1934"/>
      <c r="AQ38" s="1934"/>
      <c r="AR38" s="1934"/>
      <c r="AS38" s="1934"/>
      <c r="AT38" s="1934"/>
      <c r="AU38" s="1934"/>
      <c r="AV38" s="1934"/>
      <c r="AW38" s="1934"/>
      <c r="AX38" s="1934"/>
      <c r="AY38" s="1934"/>
      <c r="AZ38" s="1934"/>
      <c r="BA38" s="1934"/>
      <c r="BB38" s="1934"/>
      <c r="BC38" s="1934"/>
      <c r="BD38" s="1934"/>
      <c r="BE38" s="1934"/>
      <c r="BF38" s="1934"/>
      <c r="BG38" s="1934"/>
      <c r="BH38" s="1934"/>
      <c r="BI38" s="1934"/>
      <c r="BJ38" s="1934"/>
    </row>
    <row r="39" spans="1:62" ht="13.5" customHeight="1">
      <c r="AF39" s="1934"/>
      <c r="AG39" s="1934"/>
      <c r="AH39" s="1934"/>
      <c r="AI39" s="1934"/>
      <c r="AJ39" s="1934"/>
      <c r="AK39" s="1934"/>
      <c r="AL39" s="1934"/>
      <c r="AM39" s="1934"/>
      <c r="AN39" s="1934"/>
      <c r="AO39" s="1934"/>
      <c r="AP39" s="1934"/>
      <c r="AQ39" s="1934"/>
      <c r="AR39" s="1934"/>
      <c r="AS39" s="1934"/>
      <c r="AT39" s="1934"/>
      <c r="AU39" s="1934"/>
      <c r="AV39" s="1934"/>
      <c r="AW39" s="1934"/>
      <c r="AX39" s="1934"/>
      <c r="AY39" s="1934"/>
      <c r="AZ39" s="1934"/>
      <c r="BA39" s="1934"/>
      <c r="BB39" s="1934"/>
      <c r="BC39" s="1934"/>
      <c r="BD39" s="1934"/>
      <c r="BE39" s="1934"/>
      <c r="BF39" s="1934"/>
      <c r="BG39" s="1934"/>
      <c r="BH39" s="1934"/>
      <c r="BI39" s="1934"/>
      <c r="BJ39" s="1934"/>
    </row>
    <row r="40" spans="1:62" ht="13.5" customHeight="1">
      <c r="AF40" s="1934"/>
      <c r="AG40" s="1934"/>
      <c r="AH40" s="1934"/>
      <c r="AI40" s="1934"/>
      <c r="AJ40" s="1934"/>
      <c r="AK40" s="1934"/>
      <c r="AL40" s="1934"/>
      <c r="AM40" s="1934"/>
      <c r="AN40" s="1934"/>
      <c r="AO40" s="1934"/>
      <c r="AP40" s="1934"/>
      <c r="AQ40" s="1934"/>
      <c r="AR40" s="1934"/>
      <c r="AS40" s="1934"/>
      <c r="AT40" s="1934"/>
      <c r="AU40" s="1934"/>
      <c r="AV40" s="1934"/>
      <c r="AW40" s="1934"/>
      <c r="AX40" s="1934"/>
      <c r="AY40" s="1934"/>
      <c r="AZ40" s="1934"/>
      <c r="BA40" s="1934"/>
      <c r="BB40" s="1934"/>
      <c r="BC40" s="1934"/>
      <c r="BD40" s="1934"/>
      <c r="BE40" s="1934"/>
      <c r="BF40" s="1934"/>
      <c r="BG40" s="1934"/>
      <c r="BH40" s="1934"/>
      <c r="BI40" s="1934"/>
      <c r="BJ40" s="1934"/>
    </row>
    <row r="41" spans="1:62" ht="13.5" customHeight="1">
      <c r="A41" s="423"/>
      <c r="B41" s="423"/>
      <c r="AD41" s="423"/>
      <c r="AF41" s="1934"/>
      <c r="AG41" s="1934"/>
      <c r="AH41" s="1934"/>
      <c r="AI41" s="1934"/>
      <c r="AJ41" s="1934"/>
      <c r="AK41" s="1934"/>
      <c r="AL41" s="1934"/>
      <c r="AM41" s="1934"/>
      <c r="AN41" s="1934"/>
      <c r="AO41" s="1934"/>
      <c r="AP41" s="1934"/>
      <c r="AQ41" s="1934"/>
      <c r="AR41" s="1934"/>
      <c r="AS41" s="1934"/>
      <c r="AT41" s="1934"/>
      <c r="AU41" s="1934"/>
      <c r="AV41" s="1934"/>
      <c r="AW41" s="1934"/>
      <c r="AX41" s="1934"/>
      <c r="AY41" s="1934"/>
      <c r="AZ41" s="1934"/>
      <c r="BA41" s="1934"/>
      <c r="BB41" s="1934"/>
      <c r="BC41" s="1934"/>
      <c r="BD41" s="1934"/>
      <c r="BE41" s="1934"/>
      <c r="BF41" s="1934"/>
      <c r="BG41" s="1934"/>
      <c r="BH41" s="1934"/>
      <c r="BI41" s="1934"/>
      <c r="BJ41" s="1934"/>
    </row>
    <row r="42" spans="1:62" ht="13.5" customHeight="1">
      <c r="A42" s="423"/>
      <c r="AF42" s="1934"/>
      <c r="AG42" s="1934"/>
      <c r="AH42" s="1934"/>
      <c r="AI42" s="1934"/>
      <c r="AJ42" s="1934"/>
      <c r="AK42" s="1934"/>
      <c r="AL42" s="1934"/>
      <c r="AM42" s="1934"/>
      <c r="AN42" s="1934"/>
      <c r="AO42" s="1934"/>
      <c r="AP42" s="1934"/>
      <c r="AQ42" s="1934"/>
      <c r="AR42" s="1934"/>
      <c r="AS42" s="1934"/>
      <c r="AT42" s="1934"/>
      <c r="AU42" s="1934"/>
      <c r="AV42" s="1934"/>
      <c r="AW42" s="1934"/>
      <c r="AX42" s="1934"/>
      <c r="AY42" s="1934"/>
      <c r="AZ42" s="1934"/>
      <c r="BA42" s="1934"/>
      <c r="BB42" s="1934"/>
      <c r="BC42" s="1934"/>
      <c r="BD42" s="1934"/>
      <c r="BE42" s="1934"/>
      <c r="BF42" s="1934"/>
      <c r="BG42" s="1934"/>
      <c r="BH42" s="1934"/>
      <c r="BI42" s="1934"/>
      <c r="BJ42" s="1934"/>
    </row>
    <row r="43" spans="1:62" ht="13.5" customHeight="1">
      <c r="A43" s="423"/>
      <c r="B43" s="423"/>
      <c r="AD43" s="423"/>
      <c r="AF43" s="1934"/>
      <c r="AG43" s="1934"/>
      <c r="AH43" s="1934"/>
      <c r="AI43" s="1934"/>
      <c r="AJ43" s="1934"/>
      <c r="AK43" s="1934"/>
      <c r="AL43" s="1934"/>
      <c r="AM43" s="1934"/>
      <c r="AN43" s="1934"/>
      <c r="AO43" s="1934"/>
      <c r="AP43" s="1934"/>
      <c r="AQ43" s="1934"/>
      <c r="AR43" s="1934"/>
      <c r="AS43" s="1934"/>
      <c r="AT43" s="1934"/>
      <c r="AU43" s="1934"/>
      <c r="AV43" s="1934"/>
      <c r="AW43" s="1934"/>
      <c r="AX43" s="1934"/>
      <c r="AY43" s="1934"/>
      <c r="AZ43" s="1934"/>
      <c r="BA43" s="1934"/>
      <c r="BB43" s="1934"/>
      <c r="BC43" s="1934"/>
      <c r="BD43" s="1934"/>
      <c r="BE43" s="1934"/>
      <c r="BF43" s="1934"/>
      <c r="BG43" s="1934"/>
      <c r="BH43" s="1934"/>
      <c r="BI43" s="1934"/>
      <c r="BJ43" s="1934"/>
    </row>
    <row r="44" spans="1:62" ht="13.5" customHeight="1">
      <c r="A44" s="423"/>
      <c r="B44" s="423"/>
      <c r="AD44" s="423"/>
      <c r="AF44" s="1934"/>
      <c r="AG44" s="1934"/>
      <c r="AH44" s="1934"/>
      <c r="AI44" s="1934"/>
      <c r="AJ44" s="1934"/>
      <c r="AK44" s="1934"/>
      <c r="AL44" s="1934"/>
      <c r="AM44" s="1934"/>
      <c r="AN44" s="1934"/>
      <c r="AO44" s="1934"/>
      <c r="AP44" s="1934"/>
      <c r="AQ44" s="1934"/>
      <c r="AR44" s="1934"/>
      <c r="AS44" s="1934"/>
      <c r="AT44" s="1934"/>
      <c r="AU44" s="1934"/>
      <c r="AV44" s="1934"/>
      <c r="AW44" s="1934"/>
      <c r="AX44" s="1934"/>
      <c r="AY44" s="1934"/>
      <c r="AZ44" s="1934"/>
      <c r="BA44" s="1934"/>
      <c r="BB44" s="1934"/>
      <c r="BC44" s="1934"/>
      <c r="BD44" s="1934"/>
      <c r="BE44" s="1934"/>
      <c r="BF44" s="1934"/>
      <c r="BG44" s="1934"/>
      <c r="BH44" s="1934"/>
      <c r="BI44" s="1934"/>
      <c r="BJ44" s="1934"/>
    </row>
    <row r="45" spans="1:62" ht="13.5" customHeight="1">
      <c r="A45" s="423"/>
      <c r="B45" s="423"/>
      <c r="C45" s="423"/>
      <c r="D45" s="423"/>
      <c r="E45" s="423"/>
      <c r="F45" s="423"/>
      <c r="G45" s="423"/>
      <c r="H45" s="423"/>
      <c r="I45" s="423"/>
      <c r="J45" s="423"/>
      <c r="K45" s="423"/>
      <c r="L45" s="423"/>
      <c r="M45" s="423"/>
      <c r="N45" s="423"/>
      <c r="O45" s="423"/>
      <c r="P45" s="423"/>
      <c r="Q45" s="423"/>
      <c r="R45" s="423"/>
      <c r="S45" s="423"/>
      <c r="T45" s="423"/>
      <c r="U45" s="423"/>
      <c r="V45" s="423"/>
      <c r="W45" s="423"/>
      <c r="X45" s="423"/>
      <c r="Y45" s="423"/>
      <c r="Z45" s="423"/>
      <c r="AA45" s="423"/>
      <c r="AB45" s="423"/>
      <c r="AC45" s="423"/>
      <c r="AD45" s="423"/>
      <c r="AF45" s="1934"/>
      <c r="AG45" s="1934"/>
      <c r="AH45" s="1934"/>
      <c r="AI45" s="1934"/>
      <c r="AJ45" s="1934"/>
      <c r="AK45" s="1934"/>
      <c r="AL45" s="1934"/>
      <c r="AM45" s="1934"/>
      <c r="AN45" s="1934"/>
      <c r="AO45" s="1934"/>
      <c r="AP45" s="1934"/>
      <c r="AQ45" s="1934"/>
      <c r="AR45" s="1934"/>
      <c r="AS45" s="1934"/>
      <c r="AT45" s="1934"/>
      <c r="AU45" s="1934"/>
      <c r="AV45" s="1934"/>
      <c r="AW45" s="1934"/>
      <c r="AX45" s="1934"/>
      <c r="AY45" s="1934"/>
      <c r="AZ45" s="1934"/>
      <c r="BA45" s="1934"/>
      <c r="BB45" s="1934"/>
      <c r="BC45" s="1934"/>
      <c r="BD45" s="1934"/>
      <c r="BE45" s="1934"/>
      <c r="BF45" s="1934"/>
      <c r="BG45" s="1934"/>
      <c r="BH45" s="1934"/>
      <c r="BI45" s="1934"/>
      <c r="BJ45" s="1934"/>
    </row>
    <row r="46" spans="1:62" ht="13.5" customHeight="1">
      <c r="A46" s="423"/>
      <c r="B46" s="423"/>
      <c r="C46" s="423"/>
      <c r="D46" s="423"/>
      <c r="E46" s="423"/>
      <c r="F46" s="423"/>
      <c r="G46" s="423"/>
      <c r="H46" s="423"/>
      <c r="I46" s="423"/>
      <c r="J46" s="423"/>
      <c r="K46" s="423"/>
      <c r="L46" s="423"/>
      <c r="M46" s="423"/>
      <c r="N46" s="423"/>
      <c r="O46" s="423"/>
      <c r="P46" s="423"/>
      <c r="Q46" s="423"/>
      <c r="R46" s="423"/>
      <c r="S46" s="423"/>
      <c r="T46" s="423"/>
      <c r="U46" s="423"/>
      <c r="V46" s="423"/>
      <c r="W46" s="423"/>
      <c r="X46" s="423"/>
      <c r="Y46" s="423"/>
      <c r="Z46" s="423"/>
      <c r="AA46" s="423"/>
      <c r="AB46" s="423"/>
      <c r="AC46" s="423"/>
      <c r="AD46" s="423"/>
      <c r="AF46" s="1934"/>
      <c r="AG46" s="1934"/>
      <c r="AH46" s="1934"/>
      <c r="AI46" s="1934"/>
      <c r="AJ46" s="1934"/>
      <c r="AK46" s="1934"/>
      <c r="AL46" s="1934"/>
      <c r="AM46" s="1934"/>
      <c r="AN46" s="1934"/>
      <c r="AO46" s="1934"/>
      <c r="AP46" s="1934"/>
      <c r="AQ46" s="1934"/>
      <c r="AR46" s="1934"/>
      <c r="AS46" s="1934"/>
      <c r="AT46" s="1934"/>
      <c r="AU46" s="1934"/>
      <c r="AV46" s="1934"/>
      <c r="AW46" s="1934"/>
      <c r="AX46" s="1934"/>
      <c r="AY46" s="1934"/>
      <c r="AZ46" s="1934"/>
      <c r="BA46" s="1934"/>
      <c r="BB46" s="1934"/>
      <c r="BC46" s="1934"/>
      <c r="BD46" s="1934"/>
      <c r="BE46" s="1934"/>
      <c r="BF46" s="1934"/>
      <c r="BG46" s="1934"/>
      <c r="BH46" s="1934"/>
      <c r="BI46" s="1934"/>
      <c r="BJ46" s="1934"/>
    </row>
    <row r="47" spans="1:62" ht="13.5" customHeight="1">
      <c r="A47" s="423"/>
      <c r="B47" s="423"/>
      <c r="C47" s="423"/>
      <c r="D47" s="423"/>
      <c r="E47" s="423"/>
      <c r="F47" s="423"/>
      <c r="G47" s="423"/>
      <c r="H47" s="423"/>
      <c r="I47" s="423"/>
      <c r="J47" s="423"/>
      <c r="K47" s="423"/>
      <c r="L47" s="423"/>
      <c r="M47" s="423"/>
      <c r="N47" s="423"/>
      <c r="O47" s="423"/>
      <c r="P47" s="423"/>
      <c r="Q47" s="423"/>
      <c r="R47" s="423"/>
      <c r="S47" s="423"/>
      <c r="T47" s="423"/>
      <c r="U47" s="423"/>
      <c r="V47" s="423"/>
      <c r="W47" s="423"/>
      <c r="X47" s="423"/>
      <c r="Y47" s="423"/>
      <c r="Z47" s="423"/>
      <c r="AA47" s="423"/>
      <c r="AB47" s="423"/>
      <c r="AC47" s="423"/>
      <c r="AD47" s="423"/>
      <c r="AF47" s="1934"/>
      <c r="AG47" s="1934"/>
      <c r="AH47" s="1934"/>
      <c r="AI47" s="1934"/>
      <c r="AJ47" s="1934"/>
      <c r="AK47" s="1934"/>
      <c r="AL47" s="1934"/>
      <c r="AM47" s="1934"/>
      <c r="AN47" s="1934"/>
      <c r="AO47" s="1934"/>
      <c r="AP47" s="1934"/>
      <c r="AQ47" s="1934"/>
      <c r="AR47" s="1934"/>
      <c r="AS47" s="1934"/>
      <c r="AT47" s="1934"/>
      <c r="AU47" s="1934"/>
      <c r="AV47" s="1934"/>
      <c r="AW47" s="1934"/>
      <c r="AX47" s="1934"/>
      <c r="AY47" s="1934"/>
      <c r="AZ47" s="1934"/>
      <c r="BA47" s="1934"/>
      <c r="BB47" s="1934"/>
      <c r="BC47" s="1934"/>
      <c r="BD47" s="1934"/>
      <c r="BE47" s="1934"/>
      <c r="BF47" s="1934"/>
      <c r="BG47" s="1934"/>
      <c r="BH47" s="1934"/>
      <c r="BI47" s="1934"/>
      <c r="BJ47" s="1934"/>
    </row>
    <row r="48" spans="1:62" ht="13.5" customHeight="1">
      <c r="AF48" s="1934"/>
      <c r="AG48" s="1934"/>
      <c r="AH48" s="1934"/>
      <c r="AI48" s="1934"/>
      <c r="AJ48" s="1934"/>
      <c r="AK48" s="1934"/>
      <c r="AL48" s="1934"/>
      <c r="AM48" s="1934"/>
      <c r="AN48" s="1934"/>
      <c r="AO48" s="1934"/>
      <c r="AP48" s="1934"/>
      <c r="AQ48" s="1934"/>
      <c r="AR48" s="1934"/>
      <c r="AS48" s="1934"/>
      <c r="AT48" s="1934"/>
      <c r="AU48" s="1934"/>
      <c r="AV48" s="1934"/>
      <c r="AW48" s="1934"/>
      <c r="AX48" s="1934"/>
      <c r="AY48" s="1934"/>
      <c r="AZ48" s="1934"/>
      <c r="BA48" s="1934"/>
      <c r="BB48" s="1934"/>
      <c r="BC48" s="1934"/>
      <c r="BD48" s="1934"/>
      <c r="BE48" s="1934"/>
      <c r="BF48" s="1934"/>
      <c r="BG48" s="1934"/>
      <c r="BH48" s="1934"/>
      <c r="BI48" s="1934"/>
      <c r="BJ48" s="1934"/>
    </row>
    <row r="49" spans="3:62" ht="13.5" customHeight="1">
      <c r="AF49" s="1934"/>
      <c r="AG49" s="1934"/>
      <c r="AH49" s="1934"/>
      <c r="AI49" s="1934"/>
      <c r="AJ49" s="1934"/>
      <c r="AK49" s="1934"/>
      <c r="AL49" s="1934"/>
      <c r="AM49" s="1934"/>
      <c r="AN49" s="1934"/>
      <c r="AO49" s="1934"/>
      <c r="AP49" s="1934"/>
      <c r="AQ49" s="1934"/>
      <c r="AR49" s="1934"/>
      <c r="AS49" s="1934"/>
      <c r="AT49" s="1934"/>
      <c r="AU49" s="1934"/>
      <c r="AV49" s="1934"/>
      <c r="AW49" s="1934"/>
      <c r="AX49" s="1934"/>
      <c r="AY49" s="1934"/>
      <c r="AZ49" s="1934"/>
      <c r="BA49" s="1934"/>
      <c r="BB49" s="1934"/>
      <c r="BC49" s="1934"/>
      <c r="BD49" s="1934"/>
      <c r="BE49" s="1934"/>
      <c r="BF49" s="1934"/>
      <c r="BG49" s="1934"/>
      <c r="BH49" s="1934"/>
      <c r="BI49" s="1934"/>
      <c r="BJ49" s="1934"/>
    </row>
    <row r="50" spans="3:62" ht="13.5" customHeight="1">
      <c r="H50" s="881" t="s">
        <v>20453</v>
      </c>
      <c r="AF50" s="1934"/>
      <c r="AG50" s="1934"/>
      <c r="AH50" s="1934"/>
      <c r="AI50" s="1934"/>
      <c r="AJ50" s="1934"/>
      <c r="AK50" s="1934"/>
      <c r="AL50" s="1934"/>
      <c r="AM50" s="1934"/>
      <c r="AN50" s="1934"/>
      <c r="AO50" s="1934"/>
      <c r="AP50" s="1934"/>
      <c r="AQ50" s="1934"/>
      <c r="AR50" s="1934"/>
      <c r="AS50" s="1934"/>
      <c r="AT50" s="1934"/>
      <c r="AU50" s="1934"/>
      <c r="AV50" s="1934"/>
      <c r="AW50" s="1934"/>
      <c r="AX50" s="1934"/>
      <c r="AY50" s="1934"/>
      <c r="AZ50" s="1934"/>
      <c r="BA50" s="1934"/>
      <c r="BB50" s="1934"/>
      <c r="BC50" s="1934"/>
      <c r="BD50" s="1934"/>
      <c r="BE50" s="1934"/>
      <c r="BF50" s="1934"/>
      <c r="BG50" s="1934"/>
      <c r="BH50" s="1934"/>
      <c r="BI50" s="1934"/>
      <c r="BJ50" s="1934"/>
    </row>
    <row r="51" spans="3:62" ht="13.5" customHeight="1">
      <c r="AF51" s="1934"/>
      <c r="AG51" s="1934"/>
      <c r="AH51" s="1934"/>
      <c r="AI51" s="1934"/>
      <c r="AJ51" s="1934"/>
      <c r="AK51" s="1934"/>
      <c r="AL51" s="1934"/>
      <c r="AM51" s="1934"/>
      <c r="AN51" s="1934"/>
      <c r="AO51" s="1934"/>
      <c r="AP51" s="1934"/>
      <c r="AQ51" s="1934"/>
      <c r="AR51" s="1934"/>
      <c r="AS51" s="1934"/>
      <c r="AT51" s="1934"/>
      <c r="AU51" s="1934"/>
      <c r="AV51" s="1934"/>
      <c r="AW51" s="1934"/>
      <c r="AX51" s="1934"/>
      <c r="AY51" s="1934"/>
      <c r="AZ51" s="1934"/>
      <c r="BA51" s="1934"/>
      <c r="BB51" s="1934"/>
      <c r="BC51" s="1934"/>
      <c r="BD51" s="1934"/>
      <c r="BE51" s="1934"/>
      <c r="BF51" s="1934"/>
      <c r="BG51" s="1934"/>
      <c r="BH51" s="1934"/>
      <c r="BI51" s="1934"/>
      <c r="BJ51" s="1934"/>
    </row>
    <row r="52" spans="3:62" ht="13.5" customHeight="1">
      <c r="F52" s="881" t="s">
        <v>20454</v>
      </c>
      <c r="AF52" s="1934"/>
      <c r="AG52" s="1934"/>
      <c r="AH52" s="1934"/>
      <c r="AI52" s="1934"/>
      <c r="AJ52" s="1934"/>
      <c r="AK52" s="1934"/>
      <c r="AL52" s="1934"/>
      <c r="AM52" s="1934"/>
      <c r="AN52" s="1934"/>
      <c r="AO52" s="1934"/>
      <c r="AP52" s="1934"/>
      <c r="AQ52" s="1934"/>
      <c r="AR52" s="1934"/>
      <c r="AS52" s="1934"/>
      <c r="AT52" s="1934"/>
      <c r="AU52" s="1934"/>
      <c r="AV52" s="1934"/>
      <c r="AW52" s="1934"/>
      <c r="AX52" s="1934"/>
      <c r="AY52" s="1934"/>
      <c r="AZ52" s="1934"/>
      <c r="BA52" s="1934"/>
      <c r="BB52" s="1934"/>
      <c r="BC52" s="1934"/>
      <c r="BD52" s="1934"/>
      <c r="BE52" s="1934"/>
      <c r="BF52" s="1934"/>
      <c r="BG52" s="1934"/>
      <c r="BH52" s="1934"/>
      <c r="BI52" s="1934"/>
      <c r="BJ52" s="1934"/>
    </row>
    <row r="53" spans="3:62" ht="13.5" customHeight="1">
      <c r="AE53" s="1891"/>
      <c r="AF53" s="1934"/>
      <c r="AG53" s="1934"/>
      <c r="AH53" s="1934"/>
      <c r="AI53" s="1934"/>
      <c r="AJ53" s="1934"/>
      <c r="AK53" s="1934"/>
      <c r="AL53" s="1934"/>
      <c r="AM53" s="1934"/>
      <c r="AN53" s="1934"/>
      <c r="AO53" s="1934"/>
      <c r="AP53" s="1934"/>
      <c r="AQ53" s="1934"/>
      <c r="AR53" s="1934"/>
      <c r="AS53" s="1934"/>
      <c r="AT53" s="1934"/>
      <c r="AU53" s="1934"/>
      <c r="AV53" s="1934"/>
      <c r="AW53" s="1934"/>
      <c r="AX53" s="1934"/>
      <c r="AY53" s="1934"/>
      <c r="AZ53" s="1934"/>
      <c r="BA53" s="1934"/>
      <c r="BB53" s="1934"/>
      <c r="BC53" s="1934"/>
      <c r="BD53" s="1934"/>
      <c r="BE53" s="1934"/>
      <c r="BF53" s="1934"/>
      <c r="BG53" s="1934"/>
      <c r="BH53" s="1934"/>
      <c r="BI53" s="1934"/>
      <c r="BJ53" s="1934"/>
    </row>
    <row r="54" spans="3:62" ht="13.5" customHeight="1">
      <c r="C54" s="881" t="s">
        <v>20455</v>
      </c>
      <c r="AF54" s="1934"/>
      <c r="AG54" s="1934"/>
      <c r="AH54" s="1934"/>
      <c r="AI54" s="1934"/>
      <c r="AJ54" s="1934"/>
      <c r="AK54" s="1934"/>
      <c r="AL54" s="1934"/>
      <c r="AM54" s="1934"/>
      <c r="AN54" s="1934"/>
      <c r="AO54" s="1934"/>
      <c r="AP54" s="1934"/>
      <c r="AQ54" s="1934"/>
      <c r="AR54" s="1934"/>
      <c r="AS54" s="1934"/>
      <c r="AT54" s="1934"/>
      <c r="AU54" s="1934"/>
      <c r="AV54" s="1934"/>
      <c r="AW54" s="1934"/>
      <c r="AX54" s="1934"/>
      <c r="AY54" s="1934"/>
      <c r="AZ54" s="1934"/>
      <c r="BA54" s="1934"/>
      <c r="BB54" s="1934"/>
      <c r="BC54" s="1934"/>
      <c r="BD54" s="1934"/>
      <c r="BE54" s="1934"/>
      <c r="BF54" s="1934"/>
      <c r="BG54" s="1934"/>
      <c r="BH54" s="1934"/>
      <c r="BI54" s="1934"/>
      <c r="BJ54" s="1934"/>
    </row>
    <row r="55" spans="3:62" ht="13.5" customHeight="1">
      <c r="AF55" s="1934"/>
      <c r="AG55" s="1934"/>
      <c r="AH55" s="1934"/>
      <c r="AI55" s="1934"/>
      <c r="AJ55" s="1934"/>
      <c r="AK55" s="1934"/>
      <c r="AL55" s="1934"/>
      <c r="AM55" s="1934"/>
      <c r="AN55" s="1934"/>
      <c r="AO55" s="1934"/>
      <c r="AP55" s="1934"/>
      <c r="AQ55" s="1934"/>
      <c r="AR55" s="1934"/>
      <c r="AS55" s="1934"/>
      <c r="AT55" s="1934"/>
      <c r="AU55" s="1934"/>
      <c r="AV55" s="1934"/>
      <c r="AW55" s="1934"/>
      <c r="AX55" s="1934"/>
      <c r="AY55" s="1934"/>
      <c r="AZ55" s="1934"/>
      <c r="BA55" s="1934"/>
      <c r="BB55" s="1934"/>
      <c r="BC55" s="1934"/>
      <c r="BD55" s="1934"/>
      <c r="BE55" s="1934"/>
      <c r="BF55" s="1934"/>
      <c r="BG55" s="1934"/>
      <c r="BH55" s="1934"/>
      <c r="BI55" s="1934"/>
      <c r="BJ55" s="1934"/>
    </row>
    <row r="56" spans="3:62" ht="13.5" customHeight="1">
      <c r="AF56" s="1934"/>
      <c r="AG56" s="1934"/>
      <c r="AH56" s="1934"/>
      <c r="AI56" s="1934"/>
      <c r="AJ56" s="1934"/>
      <c r="AK56" s="1934"/>
      <c r="AL56" s="1934"/>
      <c r="AM56" s="1934"/>
      <c r="AN56" s="1934"/>
      <c r="AO56" s="1934"/>
      <c r="AP56" s="1934"/>
      <c r="AQ56" s="1934"/>
      <c r="AR56" s="1934"/>
      <c r="AS56" s="1934"/>
      <c r="AT56" s="1934"/>
      <c r="AU56" s="1934"/>
      <c r="AV56" s="1934"/>
      <c r="AW56" s="1934"/>
      <c r="AX56" s="1934"/>
      <c r="AY56" s="1934"/>
      <c r="AZ56" s="1934"/>
      <c r="BA56" s="1934"/>
      <c r="BB56" s="1934"/>
      <c r="BC56" s="1934"/>
      <c r="BD56" s="1934"/>
      <c r="BE56" s="1934"/>
      <c r="BF56" s="1934"/>
      <c r="BG56" s="1934"/>
      <c r="BH56" s="1934"/>
      <c r="BI56" s="1934"/>
      <c r="BJ56" s="1934"/>
    </row>
    <row r="58" spans="3:62" ht="13.5" customHeight="1">
      <c r="O58" s="881" t="s">
        <v>20458</v>
      </c>
    </row>
  </sheetData>
  <mergeCells count="15">
    <mergeCell ref="B38:M38"/>
    <mergeCell ref="O38:AE38"/>
    <mergeCell ref="M24:N24"/>
    <mergeCell ref="M25:N25"/>
    <mergeCell ref="M26:N26"/>
    <mergeCell ref="M27:N27"/>
    <mergeCell ref="M28:N28"/>
    <mergeCell ref="A6:AE18"/>
    <mergeCell ref="A4:AE5"/>
    <mergeCell ref="M29:N29"/>
    <mergeCell ref="C19:AC19"/>
    <mergeCell ref="A31:AE37"/>
    <mergeCell ref="M22:N22"/>
    <mergeCell ref="M23:N23"/>
    <mergeCell ref="M21:N21"/>
  </mergeCells>
  <pageMargins left="0.7" right="0.7" top="0.75" bottom="0.75" header="0.3" footer="0.3"/>
  <pageSetup scale="69" orientation="portrait" r:id="rId1"/>
  <rowBreaks count="1" manualBreakCount="1">
    <brk id="72" max="61" man="1"/>
  </rowBreaks>
  <colBreaks count="1" manualBreakCount="1">
    <brk id="31" max="43"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rgb="FF55A648"/>
    <pageSetUpPr fitToPage="1"/>
  </sheetPr>
  <dimension ref="A1:BT39"/>
  <sheetViews>
    <sheetView view="pageBreakPreview" zoomScale="55" zoomScaleNormal="100" zoomScaleSheetLayoutView="55" zoomScalePageLayoutView="55" workbookViewId="0">
      <selection activeCell="U47" sqref="U47"/>
    </sheetView>
  </sheetViews>
  <sheetFormatPr defaultColWidth="9.140625" defaultRowHeight="21" customHeight="1"/>
  <cols>
    <col min="1" max="1" width="9.140625" style="461"/>
    <col min="2" max="2" width="18" style="461" customWidth="1"/>
    <col min="3" max="3" width="9.42578125" style="461" bestFit="1" customWidth="1"/>
    <col min="4" max="4" width="10.140625" style="461" bestFit="1" customWidth="1"/>
    <col min="5" max="5" width="10" style="461" bestFit="1" customWidth="1"/>
    <col min="6" max="8" width="9.140625" style="461"/>
    <col min="9" max="9" width="2.5703125" style="461" customWidth="1"/>
    <col min="10" max="10" width="6.140625" style="461" customWidth="1"/>
    <col min="11" max="11" width="12.42578125" style="461" customWidth="1"/>
    <col min="12" max="12" width="9.140625" style="461"/>
    <col min="13" max="13" width="38.28515625" style="461" customWidth="1"/>
    <col min="14" max="14" width="31.7109375" style="461" customWidth="1"/>
    <col min="15" max="15" width="5.7109375" style="461" customWidth="1"/>
    <col min="16" max="16" width="9.140625" style="461"/>
    <col min="17" max="17" width="12" style="461" customWidth="1"/>
    <col min="18" max="18" width="8" style="461" customWidth="1"/>
    <col min="19" max="20" width="9.140625" style="461"/>
    <col min="21" max="21" width="12" style="461" customWidth="1"/>
    <col min="22" max="22" width="6.42578125" style="461" customWidth="1"/>
    <col min="23" max="27" width="9.140625" style="461"/>
    <col min="28" max="28" width="14.7109375" style="461" customWidth="1"/>
    <col min="29" max="29" width="9.140625" style="461"/>
    <col min="30" max="30" width="5.140625" style="461" customWidth="1"/>
    <col min="31" max="31" width="5" style="461" customWidth="1"/>
    <col min="32" max="32" width="9.140625" style="461"/>
    <col min="33" max="33" width="28.7109375" style="461" customWidth="1"/>
    <col min="34" max="34" width="6.7109375" style="461" customWidth="1"/>
    <col min="35" max="37" width="9.140625" style="461"/>
    <col min="38" max="38" width="14.42578125" style="461" customWidth="1"/>
    <col min="39" max="43" width="9.140625" style="461"/>
    <col min="44" max="44" width="10" style="461" bestFit="1" customWidth="1"/>
    <col min="45" max="48" width="9.140625" style="461"/>
    <col min="49" max="49" width="12.5703125" style="461" customWidth="1"/>
    <col min="50" max="50" width="9.85546875" style="461" bestFit="1" customWidth="1"/>
    <col min="51" max="51" width="9.140625" style="461"/>
    <col min="52" max="52" width="7.5703125" style="461" customWidth="1"/>
    <col min="53" max="53" width="9.85546875" style="461" customWidth="1"/>
    <col min="54" max="54" width="9.140625" style="461"/>
    <col min="55" max="55" width="6.28515625" style="461" customWidth="1"/>
    <col min="56" max="56" width="9.42578125" style="461" customWidth="1"/>
    <col min="57" max="57" width="14.42578125" style="461" customWidth="1"/>
    <col min="58" max="59" width="9.140625" style="461"/>
    <col min="60" max="60" width="11.140625" style="461" customWidth="1"/>
    <col min="61" max="64" width="9.140625" style="461"/>
    <col min="65" max="65" width="9.85546875" style="461" customWidth="1"/>
    <col min="66" max="66" width="4.28515625" style="461" customWidth="1"/>
    <col min="67" max="67" width="15.28515625" style="461" customWidth="1"/>
    <col min="68" max="69" width="13.7109375" style="461" customWidth="1"/>
    <col min="70" max="70" width="12.140625" style="461" customWidth="1"/>
    <col min="71" max="16384" width="9.140625" style="461"/>
  </cols>
  <sheetData>
    <row r="1" spans="1:70" s="568" customFormat="1" ht="12">
      <c r="A1" s="566" t="str">
        <f>CONCATENATE(C9," - ",C10," - EcoMount Calculations ",N13)</f>
        <v>CED greentech Denver  - 7590 Suagr Pine Court , Reno, NV 89523 - EcoMount Calculations ASCE7-10</v>
      </c>
      <c r="B1" s="566"/>
      <c r="C1" s="566"/>
      <c r="D1" s="566"/>
      <c r="E1" s="566"/>
      <c r="F1" s="566"/>
      <c r="G1" s="566"/>
      <c r="H1" s="566"/>
      <c r="I1" s="566"/>
      <c r="J1" s="566"/>
      <c r="K1" s="566"/>
      <c r="L1" s="566" t="str">
        <f>$A$1</f>
        <v>CED greentech Denver  - 7590 Suagr Pine Court , Reno, NV 89523 - EcoMount Calculations ASCE7-10</v>
      </c>
      <c r="M1" s="567"/>
      <c r="N1" s="567"/>
      <c r="O1" s="567"/>
      <c r="P1" s="567"/>
      <c r="Q1" s="567"/>
      <c r="R1" s="566" t="str">
        <f>$A$1</f>
        <v>CED greentech Denver  - 7590 Suagr Pine Court , Reno, NV 89523 - EcoMount Calculations ASCE7-10</v>
      </c>
      <c r="S1" s="567"/>
      <c r="T1" s="567"/>
      <c r="U1" s="567"/>
      <c r="V1" s="567"/>
      <c r="W1" s="567"/>
      <c r="X1" s="567"/>
      <c r="Y1" s="567"/>
      <c r="Z1" s="567"/>
      <c r="AA1" s="567"/>
      <c r="AB1" s="567"/>
      <c r="AC1" s="566" t="str">
        <f>$A$1</f>
        <v>CED greentech Denver  - 7590 Suagr Pine Court , Reno, NV 89523 - EcoMount Calculations ASCE7-10</v>
      </c>
      <c r="AD1" s="566"/>
      <c r="AE1" s="567"/>
      <c r="AF1" s="567"/>
      <c r="AG1" s="567"/>
      <c r="AH1" s="567"/>
      <c r="AI1" s="567"/>
      <c r="AJ1" s="567"/>
      <c r="AK1" s="567"/>
      <c r="AL1" s="567"/>
      <c r="AM1" s="566" t="str">
        <f>$A$1</f>
        <v>CED greentech Denver  - 7590 Suagr Pine Court , Reno, NV 89523 - EcoMount Calculations ASCE7-10</v>
      </c>
      <c r="AN1" s="567"/>
      <c r="AO1" s="567"/>
      <c r="AP1" s="567"/>
      <c r="AQ1" s="567"/>
      <c r="AR1" s="567"/>
      <c r="AS1" s="567"/>
      <c r="AT1" s="567"/>
      <c r="AU1" s="567"/>
      <c r="AV1" s="567"/>
      <c r="AW1" s="567"/>
      <c r="AX1" s="566" t="str">
        <f>$A$1</f>
        <v>CED greentech Denver  - 7590 Suagr Pine Court , Reno, NV 89523 - EcoMount Calculations ASCE7-10</v>
      </c>
      <c r="AY1" s="567"/>
      <c r="AZ1" s="567"/>
      <c r="BA1" s="567"/>
      <c r="BB1" s="567"/>
      <c r="BC1" s="567"/>
      <c r="BD1" s="567"/>
      <c r="BE1" s="567"/>
      <c r="BF1" s="567"/>
      <c r="BG1" s="567"/>
      <c r="BH1" s="567"/>
      <c r="BI1" s="566" t="str">
        <f>$A$1</f>
        <v>CED greentech Denver  - 7590 Suagr Pine Court , Reno, NV 89523 - EcoMount Calculations ASCE7-10</v>
      </c>
      <c r="BJ1" s="567"/>
      <c r="BK1" s="567"/>
      <c r="BL1" s="567"/>
      <c r="BM1" s="567"/>
      <c r="BN1" s="567"/>
      <c r="BO1" s="567"/>
      <c r="BP1" s="567"/>
      <c r="BQ1" s="567"/>
      <c r="BR1" s="567"/>
    </row>
    <row r="2" spans="1:70" ht="21" customHeight="1">
      <c r="A2" s="517"/>
      <c r="B2" s="517"/>
      <c r="C2" s="517"/>
      <c r="D2" s="517"/>
      <c r="E2" s="517"/>
      <c r="F2" s="517"/>
      <c r="G2" s="517"/>
      <c r="H2" s="517"/>
      <c r="I2" s="517"/>
      <c r="J2" s="517"/>
      <c r="K2" s="517"/>
      <c r="L2" s="463"/>
      <c r="M2" s="463"/>
      <c r="N2" s="463"/>
      <c r="O2" s="463"/>
      <c r="P2" s="463"/>
      <c r="Q2" s="463"/>
      <c r="R2" s="463"/>
      <c r="S2" s="463"/>
      <c r="T2" s="463"/>
      <c r="U2" s="463"/>
      <c r="V2" s="463"/>
      <c r="W2" s="463"/>
      <c r="X2" s="463"/>
      <c r="Y2" s="463"/>
      <c r="Z2" s="463"/>
      <c r="AA2" s="463"/>
      <c r="AB2" s="463"/>
      <c r="AC2" s="463"/>
      <c r="AD2" s="463"/>
      <c r="AE2" s="463"/>
      <c r="AF2" s="463"/>
      <c r="AG2" s="463"/>
      <c r="AH2" s="463"/>
      <c r="AI2" s="463"/>
      <c r="AJ2" s="463"/>
      <c r="AK2" s="463"/>
      <c r="AL2" s="463"/>
      <c r="AM2" s="463"/>
      <c r="AN2" s="463"/>
      <c r="AO2" s="463"/>
      <c r="AP2" s="463"/>
      <c r="AQ2" s="463"/>
      <c r="AR2" s="463"/>
      <c r="AS2" s="463"/>
      <c r="AT2" s="463"/>
      <c r="AU2" s="463"/>
      <c r="AV2" s="463"/>
      <c r="AW2" s="463"/>
      <c r="AX2" s="463"/>
      <c r="AY2" s="463"/>
      <c r="AZ2" s="463"/>
      <c r="BA2" s="463"/>
      <c r="BB2" s="463"/>
      <c r="BC2" s="463"/>
      <c r="BD2" s="463"/>
      <c r="BE2" s="463"/>
      <c r="BF2" s="463"/>
      <c r="BG2" s="463"/>
      <c r="BH2" s="463"/>
      <c r="BI2" s="463"/>
      <c r="BJ2" s="463"/>
      <c r="BK2" s="463"/>
      <c r="BL2" s="463"/>
      <c r="BM2" s="463"/>
      <c r="BN2" s="463"/>
      <c r="BO2" s="463"/>
      <c r="BP2" s="463"/>
      <c r="BQ2" s="463"/>
      <c r="BR2" s="463"/>
    </row>
    <row r="3" spans="1:70" ht="21" customHeight="1">
      <c r="A3" s="517"/>
      <c r="B3" s="517"/>
      <c r="C3" s="517"/>
      <c r="D3" s="517"/>
      <c r="E3" s="517"/>
      <c r="F3" s="517"/>
      <c r="G3" s="517"/>
      <c r="H3" s="517"/>
      <c r="I3" s="517"/>
      <c r="J3" s="517"/>
      <c r="K3" s="517"/>
      <c r="L3" s="463"/>
      <c r="M3" s="463"/>
      <c r="N3" s="463"/>
      <c r="O3" s="463"/>
      <c r="P3" s="463"/>
      <c r="Q3" s="463"/>
      <c r="R3" s="463"/>
      <c r="S3" s="463"/>
      <c r="T3" s="463"/>
      <c r="U3" s="463"/>
      <c r="V3" s="463"/>
      <c r="W3" s="463"/>
      <c r="X3" s="463"/>
      <c r="Y3" s="463"/>
      <c r="Z3" s="463"/>
      <c r="AA3" s="463"/>
      <c r="AB3" s="463"/>
      <c r="AC3" s="463"/>
      <c r="AD3" s="463"/>
      <c r="AE3" s="463"/>
      <c r="AF3" s="463"/>
      <c r="AG3" s="463"/>
      <c r="AH3" s="463"/>
      <c r="AI3" s="463"/>
      <c r="AJ3" s="463"/>
      <c r="AK3" s="463"/>
      <c r="AL3" s="463"/>
      <c r="AM3" s="463"/>
      <c r="AN3" s="463"/>
      <c r="AO3" s="463"/>
      <c r="AP3" s="463"/>
      <c r="AQ3" s="463"/>
      <c r="AR3" s="463"/>
      <c r="AS3" s="463"/>
      <c r="AT3" s="463"/>
      <c r="AU3" s="463"/>
      <c r="AV3" s="463"/>
      <c r="AW3" s="463"/>
      <c r="AX3" s="489" t="s">
        <v>19604</v>
      </c>
      <c r="AY3" s="518"/>
      <c r="AZ3" s="463"/>
      <c r="BA3" s="463"/>
      <c r="BB3" s="463"/>
      <c r="BC3" s="463"/>
      <c r="BD3" s="463"/>
      <c r="BE3" s="463"/>
      <c r="BF3" s="463"/>
      <c r="BG3" s="463"/>
      <c r="BH3" s="463"/>
      <c r="BI3" s="489" t="s">
        <v>19603</v>
      </c>
      <c r="BJ3" s="463"/>
      <c r="BK3" s="463"/>
      <c r="BL3" s="463"/>
      <c r="BM3" s="463"/>
      <c r="BN3" s="463"/>
      <c r="BO3" s="463"/>
      <c r="BP3" s="463"/>
      <c r="BQ3" s="463"/>
      <c r="BR3" s="463"/>
    </row>
    <row r="4" spans="1:70" ht="21" customHeight="1">
      <c r="A4" s="517"/>
      <c r="B4" s="517"/>
      <c r="C4" s="517"/>
      <c r="D4" s="517"/>
      <c r="E4" s="517"/>
      <c r="F4" s="517"/>
      <c r="G4" s="517"/>
      <c r="H4" s="517"/>
      <c r="I4" s="517"/>
      <c r="J4" s="517"/>
      <c r="K4" s="517"/>
      <c r="L4" s="2474" t="s">
        <v>19701</v>
      </c>
      <c r="M4" s="2474"/>
      <c r="N4" s="2474"/>
      <c r="O4" s="2474"/>
      <c r="P4" s="2474"/>
      <c r="Q4" s="2474"/>
      <c r="R4" s="463"/>
      <c r="S4" s="516" t="s">
        <v>19602</v>
      </c>
      <c r="T4" s="512"/>
      <c r="U4" s="512"/>
      <c r="V4" s="512"/>
      <c r="W4" s="509"/>
      <c r="X4" s="463"/>
      <c r="Y4" s="463"/>
      <c r="Z4" s="463"/>
      <c r="AA4" s="463"/>
      <c r="AB4" s="463"/>
      <c r="AC4" s="2474" t="s">
        <v>19601</v>
      </c>
      <c r="AD4" s="2474"/>
      <c r="AE4" s="2474"/>
      <c r="AF4" s="2474"/>
      <c r="AG4" s="2474"/>
      <c r="AH4" s="2474"/>
      <c r="AI4" s="2474"/>
      <c r="AJ4" s="2474"/>
      <c r="AK4" s="2474"/>
      <c r="AL4" s="2474"/>
      <c r="AM4" s="2474" t="s">
        <v>19600</v>
      </c>
      <c r="AN4" s="2474"/>
      <c r="AO4" s="2474"/>
      <c r="AP4" s="2474"/>
      <c r="AQ4" s="2474"/>
      <c r="AR4" s="2474"/>
      <c r="AS4" s="2474"/>
      <c r="AT4" s="2474"/>
      <c r="AU4" s="2474"/>
      <c r="AV4" s="2474"/>
      <c r="AW4" s="2474"/>
      <c r="AX4" s="2474" t="s">
        <v>19690</v>
      </c>
      <c r="AY4" s="2474"/>
      <c r="AZ4" s="2474"/>
      <c r="BA4" s="2474"/>
      <c r="BB4" s="2474"/>
      <c r="BC4" s="2474"/>
      <c r="BD4" s="2474"/>
      <c r="BE4" s="2474"/>
      <c r="BF4" s="2474"/>
      <c r="BG4" s="2474"/>
      <c r="BH4" s="2474"/>
      <c r="BI4" s="2474" t="s">
        <v>19599</v>
      </c>
      <c r="BJ4" s="2474"/>
      <c r="BK4" s="2474"/>
      <c r="BL4" s="2474"/>
      <c r="BM4" s="2474"/>
      <c r="BN4" s="2474"/>
      <c r="BO4" s="2474"/>
      <c r="BP4" s="2474"/>
      <c r="BQ4" s="2474"/>
      <c r="BR4" s="2474"/>
    </row>
    <row r="5" spans="1:70" ht="21" customHeight="1">
      <c r="A5" s="463"/>
      <c r="B5" s="2475" t="s">
        <v>20051</v>
      </c>
      <c r="C5" s="2476"/>
      <c r="D5" s="2476"/>
      <c r="E5" s="2476"/>
      <c r="F5" s="2476"/>
      <c r="G5" s="2476"/>
      <c r="H5" s="2476"/>
      <c r="I5" s="2476"/>
      <c r="J5" s="2476"/>
      <c r="K5" s="463"/>
      <c r="L5" s="2474"/>
      <c r="M5" s="2474"/>
      <c r="N5" s="2474"/>
      <c r="O5" s="2474"/>
      <c r="P5" s="2474"/>
      <c r="Q5" s="2474"/>
      <c r="R5" s="512"/>
      <c r="S5" s="512"/>
      <c r="T5" s="512"/>
      <c r="U5" s="512"/>
      <c r="V5" s="512"/>
      <c r="W5" s="509"/>
      <c r="X5" s="463"/>
      <c r="Y5" s="463"/>
      <c r="Z5" s="463"/>
      <c r="AA5" s="463"/>
      <c r="AB5" s="463"/>
      <c r="AC5" s="2474"/>
      <c r="AD5" s="2474"/>
      <c r="AE5" s="2474"/>
      <c r="AF5" s="2474"/>
      <c r="AG5" s="2474"/>
      <c r="AH5" s="2474"/>
      <c r="AI5" s="2474"/>
      <c r="AJ5" s="2474"/>
      <c r="AK5" s="2474"/>
      <c r="AL5" s="2474"/>
      <c r="AM5" s="2474"/>
      <c r="AN5" s="2474"/>
      <c r="AO5" s="2474"/>
      <c r="AP5" s="2474"/>
      <c r="AQ5" s="2474"/>
      <c r="AR5" s="2474"/>
      <c r="AS5" s="2474"/>
      <c r="AT5" s="2474"/>
      <c r="AU5" s="2474"/>
      <c r="AV5" s="2474"/>
      <c r="AW5" s="2474"/>
      <c r="AX5" s="2474"/>
      <c r="AY5" s="2474"/>
      <c r="AZ5" s="2474"/>
      <c r="BA5" s="2474"/>
      <c r="BB5" s="2474"/>
      <c r="BC5" s="2474"/>
      <c r="BD5" s="2474"/>
      <c r="BE5" s="2474"/>
      <c r="BF5" s="2474"/>
      <c r="BG5" s="2474"/>
      <c r="BH5" s="2474"/>
      <c r="BI5" s="2474"/>
      <c r="BJ5" s="2474"/>
      <c r="BK5" s="2474"/>
      <c r="BL5" s="2474"/>
      <c r="BM5" s="2474"/>
      <c r="BN5" s="2474"/>
      <c r="BO5" s="2474"/>
      <c r="BP5" s="2474"/>
      <c r="BQ5" s="2474"/>
      <c r="BR5" s="2474"/>
    </row>
    <row r="6" spans="1:70" ht="21" customHeight="1">
      <c r="A6" s="463"/>
      <c r="B6" s="2476"/>
      <c r="C6" s="2476"/>
      <c r="D6" s="2476"/>
      <c r="E6" s="2476"/>
      <c r="F6" s="2476"/>
      <c r="G6" s="2476"/>
      <c r="H6" s="2476"/>
      <c r="I6" s="2476"/>
      <c r="J6" s="2476"/>
      <c r="K6" s="463"/>
      <c r="L6" s="2474"/>
      <c r="M6" s="2474"/>
      <c r="N6" s="2474"/>
      <c r="O6" s="2474"/>
      <c r="P6" s="2474"/>
      <c r="Q6" s="2474"/>
      <c r="R6" s="512"/>
      <c r="S6" s="512"/>
      <c r="T6" s="512"/>
      <c r="U6" s="512"/>
      <c r="V6" s="512"/>
      <c r="W6" s="509"/>
      <c r="X6" s="463"/>
      <c r="Y6" s="463"/>
      <c r="Z6" s="463"/>
      <c r="AA6" s="463"/>
      <c r="AB6" s="463"/>
      <c r="AC6" s="2474"/>
      <c r="AD6" s="2474"/>
      <c r="AE6" s="2474"/>
      <c r="AF6" s="2474"/>
      <c r="AG6" s="2474"/>
      <c r="AH6" s="2474"/>
      <c r="AI6" s="2474"/>
      <c r="AJ6" s="2474"/>
      <c r="AK6" s="2474"/>
      <c r="AL6" s="2474"/>
      <c r="AM6" s="2474"/>
      <c r="AN6" s="2474"/>
      <c r="AO6" s="2474"/>
      <c r="AP6" s="2474"/>
      <c r="AQ6" s="2474"/>
      <c r="AR6" s="2474"/>
      <c r="AS6" s="2474"/>
      <c r="AT6" s="2474"/>
      <c r="AU6" s="2474"/>
      <c r="AV6" s="2474"/>
      <c r="AW6" s="2474"/>
      <c r="AX6" s="2474"/>
      <c r="AY6" s="2474"/>
      <c r="AZ6" s="2474"/>
      <c r="BA6" s="2474"/>
      <c r="BB6" s="2474"/>
      <c r="BC6" s="2474"/>
      <c r="BD6" s="2474"/>
      <c r="BE6" s="2474"/>
      <c r="BF6" s="2474"/>
      <c r="BG6" s="2474"/>
      <c r="BH6" s="2474"/>
      <c r="BI6" s="2474"/>
      <c r="BJ6" s="2474"/>
      <c r="BK6" s="2474"/>
      <c r="BL6" s="2474"/>
      <c r="BM6" s="2474"/>
      <c r="BN6" s="2474"/>
      <c r="BO6" s="2474"/>
      <c r="BP6" s="2474"/>
      <c r="BQ6" s="2474"/>
      <c r="BR6" s="2474"/>
    </row>
    <row r="7" spans="1:70" ht="21" customHeight="1">
      <c r="A7" s="463"/>
      <c r="B7" s="2476"/>
      <c r="C7" s="2476"/>
      <c r="D7" s="2476"/>
      <c r="E7" s="2476"/>
      <c r="F7" s="2476"/>
      <c r="G7" s="2476"/>
      <c r="H7" s="2476"/>
      <c r="I7" s="2476"/>
      <c r="J7" s="2476"/>
      <c r="K7" s="463"/>
      <c r="L7" s="2474"/>
      <c r="M7" s="2474"/>
      <c r="N7" s="2474"/>
      <c r="O7" s="2474"/>
      <c r="P7" s="2474"/>
      <c r="Q7" s="2474"/>
      <c r="R7" s="512"/>
      <c r="S7" s="512"/>
      <c r="T7" s="512"/>
      <c r="U7" s="512"/>
      <c r="V7" s="512"/>
      <c r="W7" s="509"/>
      <c r="X7" s="463"/>
      <c r="Y7" s="463"/>
      <c r="Z7" s="463"/>
      <c r="AA7" s="463"/>
      <c r="AB7" s="463"/>
      <c r="AC7" s="2474"/>
      <c r="AD7" s="2474"/>
      <c r="AE7" s="2474"/>
      <c r="AF7" s="2474"/>
      <c r="AG7" s="2474"/>
      <c r="AH7" s="2474"/>
      <c r="AI7" s="2474"/>
      <c r="AJ7" s="2474"/>
      <c r="AK7" s="2474"/>
      <c r="AL7" s="2474"/>
      <c r="AM7" s="2474"/>
      <c r="AN7" s="2474"/>
      <c r="AO7" s="2474"/>
      <c r="AP7" s="2474"/>
      <c r="AQ7" s="2474"/>
      <c r="AR7" s="2474"/>
      <c r="AS7" s="2474"/>
      <c r="AT7" s="2474"/>
      <c r="AU7" s="2474"/>
      <c r="AV7" s="2474"/>
      <c r="AW7" s="2474"/>
      <c r="AX7" s="463"/>
      <c r="AY7" s="463"/>
      <c r="AZ7" s="463"/>
      <c r="BA7" s="463"/>
      <c r="BB7" s="463"/>
      <c r="BC7" s="463"/>
      <c r="BD7" s="463"/>
      <c r="BE7" s="463"/>
      <c r="BF7" s="463"/>
      <c r="BG7" s="463"/>
      <c r="BH7" s="463"/>
      <c r="BI7" s="2474"/>
      <c r="BJ7" s="2474"/>
      <c r="BK7" s="2474"/>
      <c r="BL7" s="2474"/>
      <c r="BM7" s="2474"/>
      <c r="BN7" s="2474"/>
      <c r="BO7" s="2474"/>
      <c r="BP7" s="2474"/>
      <c r="BQ7" s="2474"/>
      <c r="BR7" s="2474"/>
    </row>
    <row r="8" spans="1:70" ht="21" customHeight="1">
      <c r="A8" s="463"/>
      <c r="B8" s="2476"/>
      <c r="C8" s="2476"/>
      <c r="D8" s="2476"/>
      <c r="E8" s="2476"/>
      <c r="F8" s="2476"/>
      <c r="G8" s="2476"/>
      <c r="H8" s="2476"/>
      <c r="I8" s="2476"/>
      <c r="J8" s="2476"/>
      <c r="K8" s="463"/>
      <c r="L8" s="2474"/>
      <c r="M8" s="2474"/>
      <c r="N8" s="2474"/>
      <c r="O8" s="2474"/>
      <c r="P8" s="2474"/>
      <c r="Q8" s="2474"/>
      <c r="R8" s="512"/>
      <c r="S8" s="512"/>
      <c r="T8" s="512"/>
      <c r="U8" s="512"/>
      <c r="V8" s="512"/>
      <c r="W8" s="509"/>
      <c r="X8" s="463"/>
      <c r="Y8" s="463"/>
      <c r="Z8" s="463"/>
      <c r="AA8" s="463"/>
      <c r="AB8" s="463"/>
      <c r="AC8" s="2474"/>
      <c r="AD8" s="2474"/>
      <c r="AE8" s="2474"/>
      <c r="AF8" s="2474"/>
      <c r="AG8" s="2474"/>
      <c r="AH8" s="2474"/>
      <c r="AI8" s="2474"/>
      <c r="AJ8" s="2474"/>
      <c r="AK8" s="2474"/>
      <c r="AL8" s="2474"/>
      <c r="AM8" s="463"/>
      <c r="AN8" s="469" t="s">
        <v>19598</v>
      </c>
      <c r="AO8" s="463"/>
      <c r="AP8" s="465" t="s">
        <v>19597</v>
      </c>
      <c r="AQ8" s="463"/>
      <c r="AR8" s="463"/>
      <c r="AS8" s="463"/>
      <c r="AT8" s="515" t="str">
        <f>CONCATENATE(ROUND('EcoMount Inputs'!B49,2)," lbs.")</f>
        <v>0 lbs.</v>
      </c>
      <c r="AU8" s="463"/>
      <c r="AV8" s="463"/>
      <c r="AW8" s="463"/>
      <c r="AX8" s="463"/>
      <c r="AY8" s="469" t="s">
        <v>19596</v>
      </c>
      <c r="AZ8" s="463"/>
      <c r="BA8" s="465" t="s">
        <v>19595</v>
      </c>
      <c r="BB8" s="463"/>
      <c r="BC8" s="463"/>
      <c r="BD8" s="463"/>
      <c r="BE8" s="464" t="str">
        <f>CONCATENATE(ROUND('EcoMount Inputs'!B60,2)," lbs.")</f>
        <v>0 lbs.</v>
      </c>
      <c r="BF8" s="463"/>
      <c r="BG8" s="463"/>
      <c r="BH8" s="463"/>
      <c r="BI8" s="2474"/>
      <c r="BJ8" s="2474"/>
      <c r="BK8" s="2474"/>
      <c r="BL8" s="2474"/>
      <c r="BM8" s="2474"/>
      <c r="BN8" s="2474"/>
      <c r="BO8" s="2474"/>
      <c r="BP8" s="2474"/>
      <c r="BQ8" s="2474"/>
      <c r="BR8" s="2474"/>
    </row>
    <row r="9" spans="1:70" ht="21" customHeight="1" thickBot="1">
      <c r="A9" s="463"/>
      <c r="B9" s="513" t="s">
        <v>19594</v>
      </c>
      <c r="C9" s="2477" t="str">
        <f>'EcoMount Inputs'!B2</f>
        <v xml:space="preserve">CED greentech Denver </v>
      </c>
      <c r="D9" s="2478"/>
      <c r="E9" s="2478"/>
      <c r="F9" s="463"/>
      <c r="G9" s="463"/>
      <c r="H9" s="463"/>
      <c r="I9" s="463"/>
      <c r="J9" s="463"/>
      <c r="K9" s="463"/>
      <c r="L9" s="2474" t="str">
        <f>CONCATENATE("Below in Table 1, you will find the design criteria specific to the ",C9," project located in ",C10, ".")</f>
        <v>Below in Table 1, you will find the design criteria specific to the CED greentech Denver  project located in 7590 Suagr Pine Court , Reno, NV 89523.</v>
      </c>
      <c r="M9" s="2474"/>
      <c r="N9" s="2474"/>
      <c r="O9" s="2474"/>
      <c r="P9" s="2474"/>
      <c r="Q9" s="2474"/>
      <c r="R9" s="512"/>
      <c r="S9" s="512"/>
      <c r="T9" s="512"/>
      <c r="U9" s="512"/>
      <c r="V9" s="512"/>
      <c r="W9" s="509"/>
      <c r="X9" s="463"/>
      <c r="Y9" s="463"/>
      <c r="Z9" s="463"/>
      <c r="AA9" s="463"/>
      <c r="AB9" s="463"/>
      <c r="AC9" s="463"/>
      <c r="AD9" s="463"/>
      <c r="AE9" s="463"/>
      <c r="AF9" s="463"/>
      <c r="AG9" s="514" t="s">
        <v>19593</v>
      </c>
      <c r="AH9" s="514"/>
      <c r="AI9" s="514"/>
      <c r="AJ9" s="463"/>
      <c r="AK9" s="463"/>
      <c r="AL9" s="463"/>
      <c r="AM9" s="463"/>
      <c r="AN9" s="463"/>
      <c r="AO9" s="465"/>
      <c r="AP9" s="465"/>
      <c r="AQ9" s="465"/>
      <c r="AR9" s="465"/>
      <c r="AS9" s="465"/>
      <c r="AT9" s="465"/>
      <c r="AU9" s="465"/>
      <c r="AV9" s="465"/>
      <c r="AW9" s="463"/>
      <c r="AX9" s="463"/>
      <c r="AY9" s="463"/>
      <c r="AZ9" s="463"/>
      <c r="BA9" s="463"/>
      <c r="BB9" s="463"/>
      <c r="BC9" s="463"/>
      <c r="BD9" s="463"/>
      <c r="BE9" s="463"/>
      <c r="BF9" s="463"/>
      <c r="BG9" s="463"/>
      <c r="BH9" s="463"/>
      <c r="BI9" s="463"/>
      <c r="BJ9" s="463"/>
      <c r="BK9" s="463"/>
      <c r="BL9" s="463"/>
      <c r="BM9" s="463"/>
      <c r="BN9" s="463"/>
      <c r="BO9" s="463"/>
      <c r="BP9" s="463"/>
      <c r="BQ9" s="463"/>
      <c r="BR9" s="463"/>
    </row>
    <row r="10" spans="1:70" ht="21" customHeight="1" thickBot="1">
      <c r="A10" s="463"/>
      <c r="B10" s="513" t="s">
        <v>19592</v>
      </c>
      <c r="C10" s="2477" t="str">
        <f>'EcoMount Inputs'!B3</f>
        <v>7590 Suagr Pine Court , Reno, NV 89523</v>
      </c>
      <c r="D10" s="2477"/>
      <c r="E10" s="2477"/>
      <c r="F10" s="2477"/>
      <c r="G10" s="2477"/>
      <c r="H10" s="2477"/>
      <c r="I10" s="2477"/>
      <c r="J10" s="2477"/>
      <c r="K10" s="2477"/>
      <c r="L10" s="2474"/>
      <c r="M10" s="2474"/>
      <c r="N10" s="2474"/>
      <c r="O10" s="2474"/>
      <c r="P10" s="2474"/>
      <c r="Q10" s="2474"/>
      <c r="R10" s="512"/>
      <c r="S10" s="512"/>
      <c r="T10" s="512"/>
      <c r="U10" s="512"/>
      <c r="V10" s="512"/>
      <c r="W10" s="509"/>
      <c r="X10" s="463"/>
      <c r="Y10" s="463"/>
      <c r="Z10" s="463"/>
      <c r="AA10" s="463"/>
      <c r="AB10" s="463"/>
      <c r="AC10" s="463"/>
      <c r="AD10" s="463"/>
      <c r="AE10" s="463"/>
      <c r="AF10" s="463"/>
      <c r="AG10" s="504" t="s">
        <v>283</v>
      </c>
      <c r="AH10" s="503">
        <f>'EcoMount Inputs'!B41</f>
        <v>30.816666666666666</v>
      </c>
      <c r="AI10" s="502" t="s">
        <v>284</v>
      </c>
      <c r="AJ10" s="463"/>
      <c r="AK10" s="463"/>
      <c r="AL10" s="463"/>
      <c r="AM10" s="465" t="s">
        <v>19554</v>
      </c>
      <c r="AN10" s="465"/>
      <c r="AO10" s="465"/>
      <c r="AP10" s="465"/>
      <c r="AQ10" s="465"/>
      <c r="AR10" s="465"/>
      <c r="AS10" s="465"/>
      <c r="AT10" s="465"/>
      <c r="AU10" s="465"/>
      <c r="AV10" s="465"/>
      <c r="AW10" s="465"/>
      <c r="AX10" s="466" t="s">
        <v>19554</v>
      </c>
      <c r="AY10" s="466"/>
      <c r="AZ10" s="466"/>
      <c r="BA10" s="466"/>
      <c r="BB10" s="466"/>
      <c r="BC10" s="466"/>
      <c r="BD10" s="466"/>
      <c r="BE10" s="466"/>
      <c r="BF10" s="466"/>
      <c r="BG10" s="466"/>
      <c r="BH10" s="466"/>
      <c r="BI10" s="463"/>
      <c r="BJ10" s="469" t="s">
        <v>19591</v>
      </c>
      <c r="BK10" s="463"/>
      <c r="BL10" s="465" t="s">
        <v>19590</v>
      </c>
      <c r="BM10" s="463"/>
      <c r="BN10" s="463"/>
      <c r="BO10" s="463"/>
      <c r="BP10" s="463"/>
      <c r="BQ10" s="463"/>
      <c r="BR10" s="463"/>
    </row>
    <row r="11" spans="1:70" ht="21" customHeight="1" thickBot="1">
      <c r="A11" s="463"/>
      <c r="B11" s="513" t="s">
        <v>19589</v>
      </c>
      <c r="C11" s="2479">
        <f ca="1">TODAY()</f>
        <v>43287</v>
      </c>
      <c r="D11" s="2479"/>
      <c r="E11" s="2479"/>
      <c r="F11" s="463"/>
      <c r="G11" s="463"/>
      <c r="H11" s="463"/>
      <c r="I11" s="463"/>
      <c r="J11" s="463"/>
      <c r="K11" s="463"/>
      <c r="L11" s="512"/>
      <c r="O11" s="512"/>
      <c r="P11" s="512"/>
      <c r="Q11" s="512"/>
      <c r="R11" s="512"/>
      <c r="S11" s="512"/>
      <c r="T11" s="512"/>
      <c r="U11" s="512"/>
      <c r="V11" s="512"/>
      <c r="W11" s="509"/>
      <c r="X11" s="463"/>
      <c r="Y11" s="463"/>
      <c r="Z11" s="463"/>
      <c r="AA11" s="463"/>
      <c r="AB11" s="463"/>
      <c r="AC11" s="463"/>
      <c r="AD11" s="463"/>
      <c r="AE11" s="463"/>
      <c r="AF11" s="463"/>
      <c r="AG11" s="504" t="s">
        <v>285</v>
      </c>
      <c r="AH11" s="503">
        <f>'EcoMount Inputs'!B42</f>
        <v>15.408333333333333</v>
      </c>
      <c r="AI11" s="502" t="s">
        <v>284</v>
      </c>
      <c r="AJ11" s="463"/>
      <c r="AK11" s="463"/>
      <c r="AL11" s="463"/>
      <c r="AM11" s="465"/>
      <c r="AN11" s="465" t="s">
        <v>19588</v>
      </c>
      <c r="AO11" s="465"/>
      <c r="AP11" s="465"/>
      <c r="AQ11" s="465"/>
      <c r="AR11" s="465"/>
      <c r="AS11" s="465"/>
      <c r="AT11" s="465"/>
      <c r="AU11" s="465"/>
      <c r="AV11" s="465"/>
      <c r="AW11" s="465"/>
      <c r="AX11" s="466"/>
      <c r="AY11" s="468" t="s">
        <v>19587</v>
      </c>
      <c r="AZ11" s="468"/>
      <c r="BA11" s="466"/>
      <c r="BB11" s="466"/>
      <c r="BC11" s="466"/>
      <c r="BD11" s="466"/>
      <c r="BE11" s="466"/>
      <c r="BF11" s="466"/>
      <c r="BG11" s="466"/>
      <c r="BH11" s="466"/>
      <c r="BI11" s="463"/>
      <c r="BJ11" s="463"/>
      <c r="BK11" s="463"/>
      <c r="BL11" s="511"/>
      <c r="BM11" s="463"/>
      <c r="BN11" s="463"/>
      <c r="BO11" s="463"/>
      <c r="BP11" s="463"/>
      <c r="BQ11" s="463"/>
      <c r="BR11" s="463"/>
    </row>
    <row r="12" spans="1:70" ht="21" customHeight="1" thickBot="1">
      <c r="A12" s="463"/>
      <c r="B12" s="463"/>
      <c r="C12" s="463"/>
      <c r="D12" s="463"/>
      <c r="E12" s="463"/>
      <c r="F12" s="463"/>
      <c r="G12" s="463"/>
      <c r="H12" s="463"/>
      <c r="I12" s="463"/>
      <c r="J12" s="463"/>
      <c r="K12" s="463"/>
      <c r="L12" s="509"/>
      <c r="M12" s="510" t="s">
        <v>19404</v>
      </c>
      <c r="N12" s="510"/>
      <c r="O12" s="509"/>
      <c r="P12" s="509"/>
      <c r="Q12" s="509"/>
      <c r="R12" s="2474" t="s">
        <v>19586</v>
      </c>
      <c r="S12" s="2474"/>
      <c r="T12" s="2474"/>
      <c r="U12" s="2474"/>
      <c r="V12" s="2474"/>
      <c r="W12" s="2474"/>
      <c r="X12" s="2474"/>
      <c r="Y12" s="2474"/>
      <c r="Z12" s="2474"/>
      <c r="AA12" s="2474"/>
      <c r="AB12" s="2474"/>
      <c r="AC12" s="463"/>
      <c r="AD12" s="463"/>
      <c r="AE12" s="463"/>
      <c r="AF12" s="463"/>
      <c r="AG12" s="504" t="s">
        <v>286</v>
      </c>
      <c r="AH12" s="503">
        <f>'EcoMount Inputs'!B43</f>
        <v>30.816666666666666</v>
      </c>
      <c r="AI12" s="502" t="s">
        <v>284</v>
      </c>
      <c r="AJ12" s="463"/>
      <c r="AK12" s="463"/>
      <c r="AL12" s="463"/>
      <c r="AM12" s="465"/>
      <c r="AN12" s="465" t="s">
        <v>19585</v>
      </c>
      <c r="AO12" s="465"/>
      <c r="AP12" s="465"/>
      <c r="AQ12" s="465"/>
      <c r="AR12" s="465"/>
      <c r="AS12" s="465"/>
      <c r="AT12" s="465"/>
      <c r="AU12" s="465"/>
      <c r="AV12" s="465"/>
      <c r="AW12" s="465"/>
      <c r="AX12" s="466"/>
      <c r="AY12" s="468" t="s">
        <v>19584</v>
      </c>
      <c r="AZ12" s="468"/>
      <c r="BA12" s="466"/>
      <c r="BB12" s="466"/>
      <c r="BC12" s="466"/>
      <c r="BD12" s="466"/>
      <c r="BE12" s="466"/>
      <c r="BF12" s="466"/>
      <c r="BG12" s="466"/>
      <c r="BH12" s="466"/>
      <c r="BI12" s="463"/>
      <c r="BJ12" s="469" t="s">
        <v>19583</v>
      </c>
      <c r="BK12" s="463"/>
      <c r="BL12" s="508" t="s">
        <v>19582</v>
      </c>
      <c r="BM12" s="463"/>
      <c r="BN12" s="463"/>
      <c r="BO12" s="463"/>
      <c r="BP12" s="464" t="str">
        <f>CONCATENATE(ROUND('EcoMount Inputs'!B64,2)," lbs.")</f>
        <v>0 lbs.</v>
      </c>
      <c r="BQ12" s="464"/>
      <c r="BR12" s="463"/>
    </row>
    <row r="13" spans="1:70" ht="21" customHeight="1" thickBot="1">
      <c r="A13" s="463"/>
      <c r="B13" s="463"/>
      <c r="C13" s="463"/>
      <c r="D13" s="463"/>
      <c r="E13" s="463"/>
      <c r="F13" s="463"/>
      <c r="G13" s="463"/>
      <c r="H13" s="463"/>
      <c r="I13" s="463"/>
      <c r="J13" s="463"/>
      <c r="K13" s="463"/>
      <c r="L13" s="463"/>
      <c r="M13" s="604" t="s">
        <v>19667</v>
      </c>
      <c r="N13" s="605" t="str">
        <f>CONCATENATE("ASCE7-",RIGHT('EcoMount Inputs'!B4, 2))</f>
        <v>ASCE7-10</v>
      </c>
      <c r="O13" s="463"/>
      <c r="P13" s="463"/>
      <c r="Q13" s="463"/>
      <c r="R13" s="2474"/>
      <c r="S13" s="2474"/>
      <c r="T13" s="2474"/>
      <c r="U13" s="2474"/>
      <c r="V13" s="2474"/>
      <c r="W13" s="2474"/>
      <c r="X13" s="2474"/>
      <c r="Y13" s="2474"/>
      <c r="Z13" s="2474"/>
      <c r="AA13" s="2474"/>
      <c r="AB13" s="2474"/>
      <c r="AC13" s="463"/>
      <c r="AD13" s="463"/>
      <c r="AE13" s="463"/>
      <c r="AF13" s="463"/>
      <c r="AG13" s="504" t="s">
        <v>287</v>
      </c>
      <c r="AH13" s="503">
        <f>'EcoMount Inputs'!B44</f>
        <v>30.816666666666666</v>
      </c>
      <c r="AI13" s="502" t="s">
        <v>284</v>
      </c>
      <c r="AJ13" s="463"/>
      <c r="AK13" s="463"/>
      <c r="AL13" s="463"/>
      <c r="AM13" s="465"/>
      <c r="AN13" s="465" t="s">
        <v>19691</v>
      </c>
      <c r="AO13" s="463"/>
      <c r="AP13" s="465"/>
      <c r="AQ13" s="465"/>
      <c r="AR13" s="465"/>
      <c r="AS13" s="465"/>
      <c r="AT13" s="465"/>
      <c r="AU13" s="465"/>
      <c r="AV13" s="465"/>
      <c r="AW13" s="465"/>
      <c r="AX13" s="466"/>
      <c r="AY13" s="468" t="s">
        <v>19691</v>
      </c>
      <c r="AZ13" s="468"/>
      <c r="BA13" s="466"/>
      <c r="BB13" s="466"/>
      <c r="BC13" s="466"/>
      <c r="BD13" s="466"/>
      <c r="BE13" s="466"/>
      <c r="BF13" s="466"/>
      <c r="BG13" s="466"/>
      <c r="BH13" s="466"/>
      <c r="BI13" s="463"/>
      <c r="BJ13" s="468"/>
      <c r="BK13" s="468"/>
      <c r="BL13" s="468"/>
      <c r="BM13" s="468"/>
      <c r="BN13" s="468"/>
      <c r="BO13" s="468"/>
      <c r="BP13" s="468"/>
      <c r="BQ13" s="468"/>
      <c r="BR13" s="468"/>
    </row>
    <row r="14" spans="1:70" ht="21" customHeight="1" thickBot="1">
      <c r="A14" s="463"/>
      <c r="B14" s="463"/>
      <c r="C14" s="463"/>
      <c r="D14" s="463"/>
      <c r="E14" s="463"/>
      <c r="F14" s="463"/>
      <c r="G14" s="463"/>
      <c r="H14" s="463"/>
      <c r="I14" s="463"/>
      <c r="J14" s="463"/>
      <c r="K14" s="463"/>
      <c r="L14" s="463"/>
      <c r="M14" s="498" t="s">
        <v>138</v>
      </c>
      <c r="N14" s="565" t="str">
        <f>'EcoMount Inputs'!B5</f>
        <v>TPO</v>
      </c>
      <c r="O14" s="463"/>
      <c r="P14" s="463"/>
      <c r="Q14" s="463"/>
      <c r="R14" s="463"/>
      <c r="S14" s="507" t="s">
        <v>19581</v>
      </c>
      <c r="T14" s="501"/>
      <c r="U14" s="501"/>
      <c r="V14" s="506" t="str">
        <f>IF(T('EcoMount Inputs'!B18)="",CONCATENATE('EcoMount Inputs'!B18, " ft."), "Not Applicable")</f>
        <v xml:space="preserve"> ft.</v>
      </c>
      <c r="W14" s="505"/>
      <c r="Y14" s="501"/>
      <c r="Z14" s="501"/>
      <c r="AA14" s="501"/>
      <c r="AB14" s="501"/>
      <c r="AC14" s="463"/>
      <c r="AD14" s="463"/>
      <c r="AE14" s="463"/>
      <c r="AF14" s="463"/>
      <c r="AG14" s="504" t="s">
        <v>288</v>
      </c>
      <c r="AH14" s="503">
        <f>'EcoMount Inputs'!B45</f>
        <v>46.225000000000001</v>
      </c>
      <c r="AI14" s="502" t="s">
        <v>284</v>
      </c>
      <c r="AJ14" s="463"/>
      <c r="AK14" s="463"/>
      <c r="AL14" s="463"/>
      <c r="AM14" s="465"/>
      <c r="AN14" s="465" t="s">
        <v>19692</v>
      </c>
      <c r="AO14" s="465"/>
      <c r="AP14" s="465"/>
      <c r="AQ14" s="465"/>
      <c r="AR14" s="465"/>
      <c r="AS14" s="465"/>
      <c r="AT14" s="465"/>
      <c r="AU14" s="465"/>
      <c r="AV14" s="465"/>
      <c r="AW14" s="465"/>
      <c r="AX14" s="466"/>
      <c r="AY14" s="465" t="s">
        <v>19692</v>
      </c>
      <c r="AZ14" s="468"/>
      <c r="BA14" s="466"/>
      <c r="BB14" s="466"/>
      <c r="BC14" s="466"/>
      <c r="BD14" s="466"/>
      <c r="BE14" s="466"/>
      <c r="BF14" s="466"/>
      <c r="BG14" s="466"/>
      <c r="BH14" s="466"/>
      <c r="BI14" s="466" t="s">
        <v>19580</v>
      </c>
      <c r="BJ14" s="466"/>
      <c r="BK14" s="466"/>
      <c r="BL14" s="466"/>
      <c r="BM14" s="466"/>
      <c r="BN14" s="466"/>
      <c r="BO14" s="466"/>
      <c r="BP14" s="466"/>
      <c r="BQ14" s="466"/>
      <c r="BR14" s="466"/>
    </row>
    <row r="15" spans="1:70" ht="21" customHeight="1" thickBot="1">
      <c r="A15" s="463"/>
      <c r="B15" s="645" t="s">
        <v>19579</v>
      </c>
      <c r="C15" s="646"/>
      <c r="D15" s="646"/>
      <c r="E15" s="646"/>
      <c r="F15" s="646"/>
      <c r="G15" s="646"/>
      <c r="H15" s="463"/>
      <c r="I15" s="463"/>
      <c r="J15" s="463"/>
      <c r="K15" s="463"/>
      <c r="L15" s="463"/>
      <c r="M15" s="498" t="s">
        <v>19576</v>
      </c>
      <c r="N15" s="565">
        <f>'EcoMount Inputs'!B11</f>
        <v>0</v>
      </c>
      <c r="O15" s="463"/>
      <c r="P15" s="463"/>
      <c r="Q15" s="463"/>
      <c r="R15" s="501"/>
      <c r="S15" s="501"/>
      <c r="T15" s="501"/>
      <c r="U15" s="501"/>
      <c r="V15" s="484" t="str">
        <f>IF(T('EcoMount Inputs'!B18)&lt;&gt;"","This project requires components to be placed less than 'a' from the roof edge","")</f>
        <v/>
      </c>
      <c r="W15" s="501"/>
      <c r="X15" s="501"/>
      <c r="Y15" s="501"/>
      <c r="Z15" s="501"/>
      <c r="AA15" s="501"/>
      <c r="AB15" s="501"/>
      <c r="AC15" s="463"/>
      <c r="AD15" s="463"/>
      <c r="AE15" s="463"/>
      <c r="AF15" s="463"/>
      <c r="AG15" s="463"/>
      <c r="AH15" s="463"/>
      <c r="AI15" s="463"/>
      <c r="AJ15" s="463"/>
      <c r="AK15" s="463"/>
      <c r="AL15" s="463"/>
      <c r="AM15" s="465"/>
      <c r="AN15" s="465" t="s">
        <v>19578</v>
      </c>
      <c r="AO15" s="463"/>
      <c r="AP15" s="465"/>
      <c r="AQ15" s="465"/>
      <c r="AR15" s="465"/>
      <c r="AS15" s="465"/>
      <c r="AT15" s="465"/>
      <c r="AU15" s="465"/>
      <c r="AV15" s="465"/>
      <c r="AW15" s="465"/>
      <c r="AX15" s="466"/>
      <c r="AY15" s="466" t="s">
        <v>19694</v>
      </c>
      <c r="AZ15" s="468"/>
      <c r="BA15" s="466"/>
      <c r="BB15" s="466"/>
      <c r="BC15" s="466"/>
      <c r="BD15" s="466"/>
      <c r="BE15" s="466"/>
      <c r="BF15" s="466"/>
      <c r="BG15" s="466"/>
      <c r="BH15" s="466"/>
      <c r="BI15" s="466"/>
      <c r="BJ15" s="468" t="s">
        <v>19577</v>
      </c>
      <c r="BK15" s="466"/>
      <c r="BL15" s="466"/>
      <c r="BM15" s="466"/>
      <c r="BN15" s="466"/>
      <c r="BO15" s="466"/>
      <c r="BP15" s="466"/>
      <c r="BQ15" s="466"/>
      <c r="BR15" s="466"/>
    </row>
    <row r="16" spans="1:70" ht="21" customHeight="1" thickBot="1">
      <c r="A16" s="463"/>
      <c r="B16" s="2495" t="s">
        <v>19843</v>
      </c>
      <c r="C16" s="2495"/>
      <c r="D16" s="2495"/>
      <c r="E16" s="2486" t="str">
        <f>'EcoMount Inputs'!B23</f>
        <v xml:space="preserve"> - </v>
      </c>
      <c r="F16" s="2486"/>
      <c r="G16" s="2486"/>
      <c r="H16" s="2486"/>
      <c r="I16" s="463"/>
      <c r="J16" s="463"/>
      <c r="K16" s="463"/>
      <c r="L16" s="463"/>
      <c r="M16" s="498" t="s">
        <v>19573</v>
      </c>
      <c r="N16" s="565">
        <f>'EcoMount Inputs'!B12</f>
        <v>1</v>
      </c>
      <c r="O16" s="463"/>
      <c r="P16" s="463"/>
      <c r="Q16" s="463"/>
      <c r="R16" s="2474" t="s">
        <v>19575</v>
      </c>
      <c r="S16" s="2474"/>
      <c r="T16" s="2474"/>
      <c r="U16" s="2474"/>
      <c r="V16" s="2474"/>
      <c r="W16" s="2474"/>
      <c r="X16" s="2474"/>
      <c r="Y16" s="2474"/>
      <c r="Z16" s="2474"/>
      <c r="AA16" s="2474"/>
      <c r="AB16" s="2474"/>
      <c r="AC16" s="463"/>
      <c r="AD16" s="463"/>
      <c r="AE16" s="463"/>
      <c r="AF16" s="463"/>
      <c r="AG16" s="463"/>
      <c r="AH16" s="463"/>
      <c r="AI16" s="463"/>
      <c r="AJ16" s="463"/>
      <c r="AK16" s="463"/>
      <c r="AL16" s="463"/>
      <c r="AM16" s="465"/>
      <c r="AN16" s="471" t="str">
        <f>CONCATENATE("       For this project the roof incline is assumed to be ",ROUND('EcoMount Inputs'!B12,2)," degrees")</f>
        <v xml:space="preserve">       For this project the roof incline is assumed to be 1 degrees</v>
      </c>
      <c r="AO16" s="465"/>
      <c r="AP16" s="465"/>
      <c r="AQ16" s="465"/>
      <c r="AR16" s="465"/>
      <c r="AS16" s="465"/>
      <c r="AT16" s="465"/>
      <c r="AU16" s="465"/>
      <c r="AV16" s="465"/>
      <c r="AW16" s="465"/>
      <c r="AX16" s="466"/>
      <c r="AY16" s="471" t="str">
        <f>CONCATENATE("       Assumed to be ",ROUND('EcoMount Inputs'!$B$26,2)," sqft.")</f>
        <v xml:space="preserve">       Assumed to be 0 sqft.</v>
      </c>
      <c r="AZ16" s="468"/>
      <c r="BA16" s="466"/>
      <c r="BB16" s="466"/>
      <c r="BC16" s="466"/>
      <c r="BD16" s="466"/>
      <c r="BE16" s="466"/>
      <c r="BF16" s="466"/>
      <c r="BG16" s="466"/>
      <c r="BH16" s="466"/>
      <c r="BI16" s="466"/>
      <c r="BJ16" s="471" t="str">
        <f>CONCATENATE("       For this project the roof incline is assumed to be ",ROUND('EcoMount Inputs'!B12,2)," degrees")</f>
        <v xml:space="preserve">       For this project the roof incline is assumed to be 1 degrees</v>
      </c>
      <c r="BK16" s="466"/>
      <c r="BL16" s="466"/>
      <c r="BM16" s="466"/>
      <c r="BN16" s="466"/>
      <c r="BO16" s="466"/>
      <c r="BP16" s="466"/>
      <c r="BQ16" s="466"/>
      <c r="BR16" s="466"/>
    </row>
    <row r="17" spans="1:72" ht="21" customHeight="1" thickBot="1">
      <c r="A17" s="463"/>
      <c r="B17" s="2496"/>
      <c r="C17" s="2496"/>
      <c r="D17" s="2496"/>
      <c r="E17" s="2487"/>
      <c r="F17" s="2487"/>
      <c r="G17" s="2487"/>
      <c r="H17" s="2487"/>
      <c r="I17" s="463" t="s">
        <v>19574</v>
      </c>
      <c r="J17" s="463"/>
      <c r="K17" s="463"/>
      <c r="L17" s="463"/>
      <c r="M17" s="498" t="s">
        <v>375</v>
      </c>
      <c r="N17" s="565">
        <f>'EcoMount Inputs'!B13</f>
        <v>20</v>
      </c>
      <c r="O17" s="463"/>
      <c r="P17" s="463"/>
      <c r="Q17" s="463"/>
      <c r="R17" s="2474"/>
      <c r="S17" s="2474"/>
      <c r="T17" s="2474"/>
      <c r="U17" s="2474"/>
      <c r="V17" s="2474"/>
      <c r="W17" s="2474"/>
      <c r="X17" s="2474"/>
      <c r="Y17" s="2474"/>
      <c r="Z17" s="2474"/>
      <c r="AA17" s="2474"/>
      <c r="AB17" s="2474"/>
      <c r="AC17" s="489" t="s">
        <v>19572</v>
      </c>
      <c r="AD17" s="463"/>
      <c r="AE17" s="463"/>
      <c r="AF17" s="463"/>
      <c r="AG17" s="463"/>
      <c r="AH17" s="463"/>
      <c r="AI17" s="463"/>
      <c r="AJ17" s="463"/>
      <c r="AK17" s="463"/>
      <c r="AL17" s="463"/>
      <c r="AM17" s="465"/>
      <c r="AN17" s="465" t="s">
        <v>19693</v>
      </c>
      <c r="AO17" s="463"/>
      <c r="AP17" s="465"/>
      <c r="AQ17" s="465"/>
      <c r="AR17" s="465"/>
      <c r="AS17" s="465"/>
      <c r="AT17" s="465"/>
      <c r="AU17" s="465"/>
      <c r="AV17" s="465"/>
      <c r="AW17" s="465"/>
      <c r="AX17" s="466"/>
      <c r="AY17" s="466"/>
      <c r="AZ17" s="466"/>
      <c r="BA17" s="466"/>
      <c r="BB17" s="466"/>
      <c r="BC17" s="466"/>
      <c r="BD17" s="466"/>
      <c r="BE17" s="466"/>
      <c r="BF17" s="466"/>
      <c r="BG17" s="466"/>
      <c r="BH17" s="466"/>
      <c r="BI17" s="466"/>
      <c r="BJ17" s="466"/>
      <c r="BK17" s="466"/>
      <c r="BL17" s="466"/>
      <c r="BM17" s="466"/>
      <c r="BN17" s="466"/>
      <c r="BO17" s="466"/>
      <c r="BP17" s="466"/>
      <c r="BQ17" s="466"/>
      <c r="BR17" s="466"/>
    </row>
    <row r="18" spans="1:72" ht="21" customHeight="1" thickBot="1">
      <c r="A18" s="463"/>
      <c r="B18" s="499" t="s">
        <v>19688</v>
      </c>
      <c r="C18" s="500"/>
      <c r="D18" s="500"/>
      <c r="E18" s="2480" t="str">
        <f>CONCATENATE('EcoMount Inputs'!B24," Component EcoMount Kit")</f>
        <v>1 Component EcoMount Kit</v>
      </c>
      <c r="F18" s="2481"/>
      <c r="G18" s="2481"/>
      <c r="H18" s="2482"/>
      <c r="I18" s="463"/>
      <c r="J18" s="463"/>
      <c r="K18" s="463"/>
      <c r="L18" s="463"/>
      <c r="M18" s="498" t="s">
        <v>156</v>
      </c>
      <c r="N18" s="565">
        <f>'EcoMount Inputs'!B14</f>
        <v>140</v>
      </c>
      <c r="O18" s="463"/>
      <c r="P18" s="463"/>
      <c r="Q18" s="463"/>
      <c r="R18" s="2474"/>
      <c r="S18" s="2474"/>
      <c r="T18" s="2474"/>
      <c r="U18" s="2474"/>
      <c r="V18" s="2474"/>
      <c r="W18" s="2474"/>
      <c r="X18" s="2474"/>
      <c r="Y18" s="2474"/>
      <c r="Z18" s="2474"/>
      <c r="AA18" s="2474"/>
      <c r="AB18" s="2474"/>
      <c r="AC18" s="2474" t="s">
        <v>19695</v>
      </c>
      <c r="AD18" s="2474"/>
      <c r="AE18" s="2474"/>
      <c r="AF18" s="2474"/>
      <c r="AG18" s="2474"/>
      <c r="AH18" s="2474"/>
      <c r="AI18" s="2474"/>
      <c r="AJ18" s="2474"/>
      <c r="AK18" s="2474"/>
      <c r="AL18" s="2474"/>
      <c r="AM18" s="465"/>
      <c r="AN18" s="471" t="str">
        <f>CONCATENATE("       Assumed to be ",ROUND('EcoMount Inputs'!$B$26,2)," sqft.")</f>
        <v xml:space="preserve">       Assumed to be 0 sqft.</v>
      </c>
      <c r="AO18" s="463"/>
      <c r="AP18" s="463"/>
      <c r="AQ18" s="463"/>
      <c r="AR18" s="463"/>
      <c r="AS18" s="463"/>
      <c r="AT18" s="463"/>
      <c r="AU18" s="463"/>
      <c r="AV18" s="463"/>
      <c r="AW18" s="465"/>
      <c r="AX18" s="2474" t="s">
        <v>19571</v>
      </c>
      <c r="AY18" s="2474"/>
      <c r="AZ18" s="2474"/>
      <c r="BA18" s="2474"/>
      <c r="BB18" s="2474"/>
      <c r="BC18" s="2474"/>
      <c r="BD18" s="2474"/>
      <c r="BE18" s="2474"/>
      <c r="BF18" s="2474"/>
      <c r="BG18" s="2474"/>
      <c r="BH18" s="2474"/>
      <c r="BI18" s="2474" t="s">
        <v>19570</v>
      </c>
      <c r="BJ18" s="2474"/>
      <c r="BK18" s="2474"/>
      <c r="BL18" s="2474"/>
      <c r="BM18" s="2474"/>
      <c r="BN18" s="2474"/>
      <c r="BO18" s="2474"/>
      <c r="BP18" s="2474"/>
      <c r="BQ18" s="2474"/>
      <c r="BR18" s="2474"/>
    </row>
    <row r="19" spans="1:72" ht="21" customHeight="1" thickBot="1">
      <c r="A19" s="463"/>
      <c r="B19" s="496" t="s">
        <v>19844</v>
      </c>
      <c r="C19" s="495"/>
      <c r="D19" s="495"/>
      <c r="E19" s="2483" t="str">
        <f>ROUND('EcoMount Inputs'!B26,2)&amp;" sqft."</f>
        <v>0 sqft.</v>
      </c>
      <c r="F19" s="2484"/>
      <c r="G19" s="2484"/>
      <c r="H19" s="2485"/>
      <c r="I19" s="463"/>
      <c r="J19" s="463"/>
      <c r="K19" s="463"/>
      <c r="L19" s="463"/>
      <c r="M19" s="498" t="s">
        <v>151</v>
      </c>
      <c r="N19" s="565" t="str">
        <f>'EcoMount Inputs'!B8</f>
        <v>II</v>
      </c>
      <c r="O19" s="463"/>
      <c r="P19" s="463"/>
      <c r="Q19" s="463"/>
      <c r="R19" s="2474"/>
      <c r="S19" s="2474"/>
      <c r="T19" s="2474"/>
      <c r="U19" s="2474"/>
      <c r="V19" s="2474"/>
      <c r="W19" s="2474"/>
      <c r="X19" s="2474"/>
      <c r="Y19" s="2474"/>
      <c r="Z19" s="2474"/>
      <c r="AA19" s="2474"/>
      <c r="AB19" s="2474"/>
      <c r="AC19" s="2474"/>
      <c r="AD19" s="2474"/>
      <c r="AE19" s="2474"/>
      <c r="AF19" s="2474"/>
      <c r="AG19" s="2474"/>
      <c r="AH19" s="2474"/>
      <c r="AI19" s="2474"/>
      <c r="AJ19" s="2474"/>
      <c r="AK19" s="2474"/>
      <c r="AL19" s="2474"/>
      <c r="AM19" s="2474" t="s">
        <v>19568</v>
      </c>
      <c r="AN19" s="2474"/>
      <c r="AO19" s="2474"/>
      <c r="AP19" s="2474"/>
      <c r="AQ19" s="2474"/>
      <c r="AR19" s="2474"/>
      <c r="AS19" s="2474"/>
      <c r="AT19" s="2474"/>
      <c r="AU19" s="2474"/>
      <c r="AV19" s="2474"/>
      <c r="AW19" s="2474"/>
      <c r="AX19" s="2474"/>
      <c r="AY19" s="2474"/>
      <c r="AZ19" s="2474"/>
      <c r="BA19" s="2474"/>
      <c r="BB19" s="2474"/>
      <c r="BC19" s="2474"/>
      <c r="BD19" s="2474"/>
      <c r="BE19" s="2474"/>
      <c r="BF19" s="2474"/>
      <c r="BG19" s="2474"/>
      <c r="BH19" s="2474"/>
      <c r="BI19" s="2474"/>
      <c r="BJ19" s="2474"/>
      <c r="BK19" s="2474"/>
      <c r="BL19" s="2474"/>
      <c r="BM19" s="2474"/>
      <c r="BN19" s="2474"/>
      <c r="BO19" s="2474"/>
      <c r="BP19" s="2474"/>
      <c r="BQ19" s="2474"/>
      <c r="BR19" s="2474"/>
    </row>
    <row r="20" spans="1:72" ht="21" customHeight="1" thickBot="1">
      <c r="A20" s="463"/>
      <c r="B20" s="496" t="s">
        <v>19569</v>
      </c>
      <c r="C20" s="495"/>
      <c r="D20" s="495"/>
      <c r="E20" s="2483" t="e">
        <f>CONCATENATE(IF(T('EcoMount Inputs'!B18)&lt;&gt;"",ROUND('6-EcoMount Report'!AH14,2),ROUND('EcoMount Inputs'!B18*12,2))," inches")</f>
        <v>#VALUE!</v>
      </c>
      <c r="F20" s="2484"/>
      <c r="G20" s="2484"/>
      <c r="H20" s="2485"/>
      <c r="I20" s="463"/>
      <c r="J20" s="463"/>
      <c r="K20" s="463"/>
      <c r="L20" s="463"/>
      <c r="M20" s="498" t="s">
        <v>19618</v>
      </c>
      <c r="N20" s="565" t="str">
        <f>'EcoMount Inputs'!B9</f>
        <v>C</v>
      </c>
      <c r="O20" s="463"/>
      <c r="P20" s="463"/>
      <c r="Q20" s="463"/>
      <c r="R20" s="463"/>
      <c r="S20" s="463"/>
      <c r="T20" s="497" t="s">
        <v>19566</v>
      </c>
      <c r="U20" s="463"/>
      <c r="V20" s="463"/>
      <c r="W20" s="463"/>
      <c r="X20" s="463"/>
      <c r="Y20" s="463"/>
      <c r="Z20" s="463"/>
      <c r="AA20" s="463"/>
      <c r="AB20" s="463"/>
      <c r="AC20" s="2474"/>
      <c r="AD20" s="2474"/>
      <c r="AE20" s="2474"/>
      <c r="AF20" s="2474"/>
      <c r="AG20" s="2474"/>
      <c r="AH20" s="2474"/>
      <c r="AI20" s="2474"/>
      <c r="AJ20" s="2474"/>
      <c r="AK20" s="2474"/>
      <c r="AL20" s="2474"/>
      <c r="AM20" s="2474"/>
      <c r="AN20" s="2474"/>
      <c r="AO20" s="2474"/>
      <c r="AP20" s="2474"/>
      <c r="AQ20" s="2474"/>
      <c r="AR20" s="2474"/>
      <c r="AS20" s="2474"/>
      <c r="AT20" s="2474"/>
      <c r="AU20" s="2474"/>
      <c r="AV20" s="2474"/>
      <c r="AW20" s="2474"/>
      <c r="AX20" s="2474"/>
      <c r="AY20" s="2474"/>
      <c r="AZ20" s="2474"/>
      <c r="BA20" s="2474"/>
      <c r="BB20" s="2474"/>
      <c r="BC20" s="2474"/>
      <c r="BD20" s="2474"/>
      <c r="BE20" s="2474"/>
      <c r="BF20" s="2474"/>
      <c r="BG20" s="2474"/>
      <c r="BH20" s="2474"/>
      <c r="BI20" s="2474"/>
      <c r="BJ20" s="2474"/>
      <c r="BK20" s="2474"/>
      <c r="BL20" s="2474"/>
      <c r="BM20" s="2474"/>
      <c r="BN20" s="2474"/>
      <c r="BO20" s="2474"/>
      <c r="BP20" s="2474"/>
      <c r="BQ20" s="2474"/>
      <c r="BR20" s="2474"/>
    </row>
    <row r="21" spans="1:72" ht="21" customHeight="1" thickBot="1">
      <c r="A21" s="463"/>
      <c r="B21" s="496" t="s">
        <v>19567</v>
      </c>
      <c r="C21" s="495"/>
      <c r="D21" s="495"/>
      <c r="E21" s="2483" t="str">
        <f>CONCATENATE(ROUND(AH12,2)," ",AI12)</f>
        <v>30.82 Inches</v>
      </c>
      <c r="F21" s="2484"/>
      <c r="G21" s="2484"/>
      <c r="H21" s="2485"/>
      <c r="I21" s="463"/>
      <c r="J21" s="463"/>
      <c r="K21" s="463"/>
      <c r="L21" s="463"/>
      <c r="M21" s="498" t="s">
        <v>376</v>
      </c>
      <c r="N21" s="565">
        <f>'EcoMount Inputs'!B15</f>
        <v>1.675</v>
      </c>
      <c r="O21" s="463"/>
      <c r="P21" s="463"/>
      <c r="Q21" s="463"/>
      <c r="R21" s="463"/>
      <c r="S21" s="463"/>
      <c r="T21" s="463"/>
      <c r="U21" s="463"/>
      <c r="V21" s="463"/>
      <c r="W21" s="463"/>
      <c r="X21" s="463"/>
      <c r="Y21" s="463"/>
      <c r="Z21" s="463"/>
      <c r="AA21" s="463"/>
      <c r="AB21" s="463"/>
      <c r="AC21" s="2474"/>
      <c r="AD21" s="2474"/>
      <c r="AE21" s="2474"/>
      <c r="AF21" s="2474"/>
      <c r="AG21" s="2474"/>
      <c r="AH21" s="2474"/>
      <c r="AI21" s="2474"/>
      <c r="AJ21" s="2474"/>
      <c r="AK21" s="2474"/>
      <c r="AL21" s="2474"/>
      <c r="AM21" s="2474"/>
      <c r="AN21" s="2474"/>
      <c r="AO21" s="2474"/>
      <c r="AP21" s="2474"/>
      <c r="AQ21" s="2474"/>
      <c r="AR21" s="2474"/>
      <c r="AS21" s="2474"/>
      <c r="AT21" s="2474"/>
      <c r="AU21" s="2474"/>
      <c r="AV21" s="2474"/>
      <c r="AW21" s="2474"/>
      <c r="AX21" s="2474"/>
      <c r="AY21" s="2474"/>
      <c r="AZ21" s="2474"/>
      <c r="BA21" s="2474"/>
      <c r="BB21" s="2474"/>
      <c r="BC21" s="2474"/>
      <c r="BD21" s="2474"/>
      <c r="BE21" s="2474"/>
      <c r="BF21" s="2474"/>
      <c r="BG21" s="2474"/>
      <c r="BH21" s="2474"/>
      <c r="BI21" s="2474"/>
      <c r="BJ21" s="2474"/>
      <c r="BK21" s="2474"/>
      <c r="BL21" s="2474"/>
      <c r="BM21" s="2474"/>
      <c r="BN21" s="2474"/>
      <c r="BO21" s="2474"/>
      <c r="BP21" s="2474"/>
      <c r="BQ21" s="2474"/>
      <c r="BR21" s="2474"/>
    </row>
    <row r="22" spans="1:72" ht="21" customHeight="1" thickBot="1">
      <c r="A22" s="463"/>
      <c r="B22" s="496" t="s">
        <v>19565</v>
      </c>
      <c r="C22" s="495"/>
      <c r="D22" s="495"/>
      <c r="E22" s="2488" t="str">
        <f>CONCATENATE(ROUND(AH11,2)," ",AI11)</f>
        <v>15.41 Inches</v>
      </c>
      <c r="F22" s="2489"/>
      <c r="G22" s="2489"/>
      <c r="H22" s="2490"/>
      <c r="I22" s="463"/>
      <c r="J22" s="463"/>
      <c r="K22" s="463"/>
      <c r="L22" s="463"/>
      <c r="M22" s="498" t="s">
        <v>19698</v>
      </c>
      <c r="N22" s="565">
        <f>'EcoMount Inputs'!B24</f>
        <v>1</v>
      </c>
      <c r="O22" s="463"/>
      <c r="P22" s="463"/>
      <c r="Q22" s="463"/>
      <c r="R22" s="463"/>
      <c r="S22" s="463"/>
      <c r="T22" s="463"/>
      <c r="U22" s="463"/>
      <c r="V22" s="463"/>
      <c r="W22" s="463"/>
      <c r="X22" s="463"/>
      <c r="Y22" s="463"/>
      <c r="Z22" s="463"/>
      <c r="AA22" s="463"/>
      <c r="AB22" s="463"/>
      <c r="AC22" s="2474"/>
      <c r="AD22" s="2474"/>
      <c r="AE22" s="2474"/>
      <c r="AF22" s="2474"/>
      <c r="AG22" s="2474"/>
      <c r="AH22" s="2474"/>
      <c r="AI22" s="2474"/>
      <c r="AJ22" s="2474"/>
      <c r="AK22" s="2474"/>
      <c r="AL22" s="2474"/>
      <c r="AM22" s="463"/>
      <c r="AN22" s="469" t="s">
        <v>19563</v>
      </c>
      <c r="AO22" s="463"/>
      <c r="AP22" s="465" t="str">
        <f>CONCATENATE("Dup = 0.9BL + ",IF('EcoMount Inputs'!B4=2010, "", "1.6*"),"Wup")</f>
        <v>Dup = 0.9BL + Wup</v>
      </c>
      <c r="AQ22" s="463"/>
      <c r="AR22" s="463"/>
      <c r="AS22" s="463"/>
      <c r="AT22" s="463"/>
      <c r="AU22" s="463"/>
      <c r="AV22" s="463"/>
      <c r="AW22" s="463"/>
      <c r="AX22" s="2474" t="e">
        <f>CONCATENATE("For this project, ",IF('EcoMount Inputs'!B6="NO","without","with"), " a slipsheet and in wet conditions, ", IF('EcoMount Inputs'!B7="BARE", "and with an EcoFoot Base that is bare, ", "and with an EcoFoot Base that has EPDM runners attached, "), "the following friction value applies:")</f>
        <v>#REF!</v>
      </c>
      <c r="AY22" s="2474"/>
      <c r="AZ22" s="2474"/>
      <c r="BA22" s="2474"/>
      <c r="BB22" s="2474"/>
      <c r="BC22" s="2474"/>
      <c r="BD22" s="2474"/>
      <c r="BE22" s="2474"/>
      <c r="BF22" s="2474"/>
      <c r="BG22" s="2474"/>
      <c r="BH22" s="2474"/>
      <c r="BI22" s="463"/>
      <c r="BJ22" s="463"/>
      <c r="BK22" s="463"/>
      <c r="BL22" s="463"/>
      <c r="BM22" s="463"/>
      <c r="BN22" s="463"/>
      <c r="BO22" s="463"/>
      <c r="BP22" s="463"/>
      <c r="BQ22" s="463"/>
      <c r="BR22" s="466"/>
    </row>
    <row r="23" spans="1:72" ht="21" customHeight="1" thickBot="1">
      <c r="A23" s="463"/>
      <c r="B23" s="496" t="s">
        <v>19564</v>
      </c>
      <c r="C23" s="495"/>
      <c r="D23" s="495"/>
      <c r="E23" s="2488" t="str">
        <f>BP12</f>
        <v>0 lbs.</v>
      </c>
      <c r="F23" s="2489"/>
      <c r="G23" s="2489"/>
      <c r="H23" s="2490"/>
      <c r="I23" s="463"/>
      <c r="J23" s="463"/>
      <c r="K23" s="463"/>
      <c r="L23" s="463"/>
      <c r="M23" s="498" t="s">
        <v>19696</v>
      </c>
      <c r="N23" s="565">
        <f>'EcoMount Inputs'!B25</f>
        <v>0</v>
      </c>
      <c r="O23" s="463"/>
      <c r="P23" s="463"/>
      <c r="Q23" s="463"/>
      <c r="R23" s="463"/>
      <c r="S23" s="463"/>
      <c r="T23" s="463"/>
      <c r="U23" s="463"/>
      <c r="V23" s="463"/>
      <c r="W23" s="463"/>
      <c r="X23" s="463"/>
      <c r="Y23" s="463"/>
      <c r="Z23" s="463"/>
      <c r="AA23" s="463"/>
      <c r="AB23" s="463"/>
      <c r="AC23" s="2474"/>
      <c r="AD23" s="2474"/>
      <c r="AE23" s="2474"/>
      <c r="AF23" s="2474"/>
      <c r="AG23" s="2474"/>
      <c r="AH23" s="2474"/>
      <c r="AI23" s="2474"/>
      <c r="AJ23" s="2474"/>
      <c r="AK23" s="2474"/>
      <c r="AL23" s="2474"/>
      <c r="AM23" s="463"/>
      <c r="AN23" s="463"/>
      <c r="AO23" s="463"/>
      <c r="AP23" s="463"/>
      <c r="AQ23" s="463"/>
      <c r="AR23" s="463"/>
      <c r="AS23" s="463"/>
      <c r="AT23" s="463"/>
      <c r="AU23" s="463"/>
      <c r="AV23" s="463"/>
      <c r="AW23" s="463"/>
      <c r="AX23" s="2474"/>
      <c r="AY23" s="2474"/>
      <c r="AZ23" s="2474"/>
      <c r="BA23" s="2474"/>
      <c r="BB23" s="2474"/>
      <c r="BC23" s="2474"/>
      <c r="BD23" s="2474"/>
      <c r="BE23" s="2474"/>
      <c r="BF23" s="2474"/>
      <c r="BG23" s="2474"/>
      <c r="BH23" s="2474"/>
      <c r="BI23" s="463"/>
      <c r="BJ23" s="463"/>
      <c r="BK23" s="463"/>
      <c r="BL23" s="463"/>
      <c r="BM23" s="463"/>
      <c r="BN23" s="463"/>
      <c r="BO23" s="463"/>
      <c r="BP23" s="463"/>
      <c r="BQ23" s="463"/>
      <c r="BR23" s="466"/>
    </row>
    <row r="24" spans="1:72" ht="21" customHeight="1" thickBot="1">
      <c r="A24" s="463"/>
      <c r="B24" s="496" t="s">
        <v>19562</v>
      </c>
      <c r="C24" s="495"/>
      <c r="D24" s="495"/>
      <c r="E24" s="2488">
        <f>BO31</f>
        <v>2</v>
      </c>
      <c r="F24" s="2489"/>
      <c r="G24" s="2489"/>
      <c r="H24" s="2490"/>
      <c r="I24" s="463"/>
      <c r="J24" s="463"/>
      <c r="K24" s="463"/>
      <c r="L24" s="463"/>
      <c r="M24" s="491" t="s">
        <v>19697</v>
      </c>
      <c r="N24" s="490">
        <f>'EcoMount Inputs'!B26</f>
        <v>0</v>
      </c>
      <c r="O24" s="466"/>
      <c r="P24" s="466"/>
      <c r="Q24" s="466"/>
      <c r="R24" s="463"/>
      <c r="S24" s="463"/>
      <c r="T24" s="463"/>
      <c r="U24" s="463"/>
      <c r="V24" s="463"/>
      <c r="W24" s="463"/>
      <c r="X24" s="463"/>
      <c r="Y24" s="463"/>
      <c r="Z24" s="463"/>
      <c r="AA24" s="463"/>
      <c r="AB24" s="463"/>
      <c r="AC24" s="2474"/>
      <c r="AD24" s="2474"/>
      <c r="AE24" s="2474"/>
      <c r="AF24" s="2474"/>
      <c r="AG24" s="2474"/>
      <c r="AH24" s="2474"/>
      <c r="AI24" s="2474"/>
      <c r="AJ24" s="2474"/>
      <c r="AK24" s="2474"/>
      <c r="AL24" s="2474"/>
      <c r="AM24" s="2474" t="s">
        <v>19700</v>
      </c>
      <c r="AN24" s="2474"/>
      <c r="AO24" s="2474"/>
      <c r="AP24" s="2474"/>
      <c r="AQ24" s="2474"/>
      <c r="AR24" s="2474"/>
      <c r="AS24" s="2474"/>
      <c r="AT24" s="2474"/>
      <c r="AU24" s="2474"/>
      <c r="AV24" s="2474"/>
      <c r="AW24" s="2474"/>
      <c r="AX24" s="463"/>
      <c r="AY24" s="463"/>
      <c r="AZ24" s="465"/>
      <c r="BA24" s="463"/>
      <c r="BB24" s="463"/>
      <c r="BC24" s="463"/>
      <c r="BD24" s="463"/>
      <c r="BE24" s="463"/>
      <c r="BF24" s="463"/>
      <c r="BG24" s="463"/>
      <c r="BH24" s="463"/>
      <c r="BI24" s="489" t="s">
        <v>19561</v>
      </c>
      <c r="BJ24" s="463"/>
      <c r="BK24" s="463"/>
      <c r="BL24" s="463"/>
      <c r="BM24" s="463"/>
      <c r="BN24" s="463"/>
      <c r="BO24" s="463"/>
      <c r="BP24" s="463"/>
      <c r="BQ24" s="463"/>
      <c r="BR24" s="466"/>
      <c r="BS24" s="488"/>
      <c r="BT24" s="488"/>
    </row>
    <row r="25" spans="1:72" ht="21" customHeight="1" thickBot="1">
      <c r="A25" s="463"/>
      <c r="B25" s="494" t="s">
        <v>19689</v>
      </c>
      <c r="C25" s="493"/>
      <c r="D25" s="492"/>
      <c r="E25" s="2492" t="str">
        <f>BO32</f>
        <v>154 lbs.</v>
      </c>
      <c r="F25" s="2493"/>
      <c r="G25" s="2493"/>
      <c r="H25" s="2494"/>
      <c r="I25" s="463"/>
      <c r="J25" s="463"/>
      <c r="K25" s="463"/>
      <c r="L25" s="466"/>
      <c r="O25" s="466"/>
      <c r="P25" s="466"/>
      <c r="Q25" s="466"/>
      <c r="R25" s="463"/>
      <c r="S25" s="463"/>
      <c r="T25" s="463"/>
      <c r="U25" s="463"/>
      <c r="V25" s="463"/>
      <c r="W25" s="463"/>
      <c r="X25" s="463"/>
      <c r="Y25" s="463"/>
      <c r="Z25" s="463"/>
      <c r="AA25" s="463"/>
      <c r="AB25" s="463"/>
      <c r="AC25" s="463"/>
      <c r="AD25" s="469" t="s">
        <v>19560</v>
      </c>
      <c r="AE25" s="466"/>
      <c r="AF25" s="466"/>
      <c r="AG25" s="466"/>
      <c r="AH25" s="466"/>
      <c r="AI25" s="466"/>
      <c r="AJ25" s="466"/>
      <c r="AK25" s="466"/>
      <c r="AL25" s="466"/>
      <c r="AM25" s="2474"/>
      <c r="AN25" s="2474"/>
      <c r="AO25" s="2474"/>
      <c r="AP25" s="2474"/>
      <c r="AQ25" s="2474"/>
      <c r="AR25" s="2474"/>
      <c r="AS25" s="2474"/>
      <c r="AT25" s="2474"/>
      <c r="AU25" s="2474"/>
      <c r="AV25" s="2474"/>
      <c r="AW25" s="2474"/>
      <c r="AX25" s="463"/>
      <c r="AY25" s="465" t="s">
        <v>19559</v>
      </c>
      <c r="AZ25" s="463"/>
      <c r="BA25" s="463"/>
      <c r="BB25" s="464">
        <f>'Friction Data'!G34</f>
        <v>0.57999999999999996</v>
      </c>
      <c r="BC25" s="463"/>
      <c r="BD25" s="463"/>
      <c r="BE25" s="463"/>
      <c r="BF25" s="463"/>
      <c r="BG25" s="463"/>
      <c r="BH25" s="463"/>
      <c r="BI25" s="2474" t="str">
        <f>CONCATENATE("Given that the EcoMount system weighs ", IF('EcoMount Inputs'!B24=1,'EcoMount Inputs'!B27,'EcoMount Inputs'!B28),", and each component weighs ",'EcoMount Inputs'!B25," lbs., the remaining ballast required - ",'EcoMount Inputs'!B65," lbs. - will need to be added in the form of ",'EcoMount Inputs'!B16," lb ballast blocks, rounding up to ",'EcoMount Inputs'!B67," blocks total",'EcoMount Inputs'!D69,'EcoMount Inputs'!B70," blocks per EcoFoot base, with a total dead load weight of ",ROUND('EcoMount Inputs'!B71,2)," lbs.")</f>
        <v>Given that the EcoMount system weighs 26, and each component weighs 0 lbs., the remaining ballast required - -26 lbs. - will need to be added in the form of 32 lb ballast blocks, rounding up to -1 blocks total. However, in order to satisfy the SEAOC stipulation regarding center of gravity, each Ecofoot Base shall have no fewer than 2 blocks. Therefore this site requires 2 blocks per EcoFoot base, with a total dead load weight of 154 lbs.</v>
      </c>
      <c r="BJ25" s="2474"/>
      <c r="BK25" s="2474"/>
      <c r="BL25" s="2474"/>
      <c r="BM25" s="2474"/>
      <c r="BN25" s="2474"/>
      <c r="BO25" s="2474"/>
      <c r="BP25" s="2474"/>
      <c r="BQ25" s="2474"/>
      <c r="BR25" s="2474"/>
      <c r="BS25" s="488"/>
      <c r="BT25" s="488"/>
    </row>
    <row r="26" spans="1:72" ht="21" customHeight="1">
      <c r="A26" s="463"/>
      <c r="I26" s="463"/>
      <c r="J26" s="463"/>
      <c r="K26" s="463"/>
      <c r="L26" s="489" t="s">
        <v>19558</v>
      </c>
      <c r="M26" s="466"/>
      <c r="N26" s="466"/>
      <c r="O26" s="466"/>
      <c r="P26" s="466"/>
      <c r="Q26" s="466"/>
      <c r="R26" s="463"/>
      <c r="S26" s="463"/>
      <c r="T26" s="463"/>
      <c r="U26" s="463"/>
      <c r="V26" s="463"/>
      <c r="W26" s="463"/>
      <c r="X26" s="463"/>
      <c r="Y26" s="463"/>
      <c r="Z26" s="463"/>
      <c r="AA26" s="463"/>
      <c r="AB26" s="463"/>
      <c r="AC26" s="2474" t="s">
        <v>19557</v>
      </c>
      <c r="AD26" s="2474"/>
      <c r="AE26" s="2474"/>
      <c r="AF26" s="2474"/>
      <c r="AG26" s="2474"/>
      <c r="AH26" s="2474"/>
      <c r="AI26" s="2474"/>
      <c r="AJ26" s="2474"/>
      <c r="AK26" s="2474"/>
      <c r="AL26" s="2474"/>
      <c r="AM26" s="2474"/>
      <c r="AN26" s="2474"/>
      <c r="AO26" s="2474"/>
      <c r="AP26" s="2474"/>
      <c r="AQ26" s="2474"/>
      <c r="AR26" s="2474"/>
      <c r="AS26" s="2474"/>
      <c r="AT26" s="2474"/>
      <c r="AU26" s="2474"/>
      <c r="AV26" s="2474"/>
      <c r="AW26" s="2474"/>
      <c r="AX26" s="463"/>
      <c r="AY26" s="463"/>
      <c r="AZ26" s="463"/>
      <c r="BA26" s="463"/>
      <c r="BB26" s="463"/>
      <c r="BC26" s="463"/>
      <c r="BD26" s="463"/>
      <c r="BE26" s="463"/>
      <c r="BF26" s="463"/>
      <c r="BG26" s="463"/>
      <c r="BH26" s="463"/>
      <c r="BI26" s="2474"/>
      <c r="BJ26" s="2474"/>
      <c r="BK26" s="2474"/>
      <c r="BL26" s="2474"/>
      <c r="BM26" s="2474"/>
      <c r="BN26" s="2474"/>
      <c r="BO26" s="2474"/>
      <c r="BP26" s="2474"/>
      <c r="BQ26" s="2474"/>
      <c r="BR26" s="2474"/>
      <c r="BS26" s="488"/>
      <c r="BT26" s="488"/>
    </row>
    <row r="27" spans="1:72" ht="21" customHeight="1">
      <c r="A27" s="463"/>
      <c r="B27" s="2141" t="s">
        <v>19845</v>
      </c>
      <c r="C27" s="2141"/>
      <c r="D27" s="2141"/>
      <c r="E27" s="2142">
        <f>'1-Eng Inputs'!C47</f>
        <v>0</v>
      </c>
      <c r="F27" s="2142"/>
      <c r="G27" s="2142"/>
      <c r="H27" s="2142"/>
      <c r="I27" s="463"/>
      <c r="J27" s="463"/>
      <c r="K27" s="463"/>
      <c r="L27" s="2474" t="s">
        <v>19699</v>
      </c>
      <c r="M27" s="2474"/>
      <c r="N27" s="2474"/>
      <c r="O27" s="2474"/>
      <c r="P27" s="2474"/>
      <c r="Q27" s="2474"/>
      <c r="R27" s="463"/>
      <c r="S27" s="468"/>
      <c r="T27" s="468"/>
      <c r="U27" s="468"/>
      <c r="V27" s="468"/>
      <c r="W27" s="468"/>
      <c r="X27" s="468"/>
      <c r="Y27" s="468"/>
      <c r="Z27" s="468"/>
      <c r="AA27" s="468"/>
      <c r="AB27" s="468"/>
      <c r="AC27" s="2474"/>
      <c r="AD27" s="2474"/>
      <c r="AE27" s="2474"/>
      <c r="AF27" s="2474"/>
      <c r="AG27" s="2474"/>
      <c r="AH27" s="2474"/>
      <c r="AI27" s="2474"/>
      <c r="AJ27" s="2474"/>
      <c r="AK27" s="2474"/>
      <c r="AL27" s="2474"/>
      <c r="AM27" s="2474"/>
      <c r="AN27" s="2474"/>
      <c r="AO27" s="2474"/>
      <c r="AP27" s="2474"/>
      <c r="AQ27" s="2474"/>
      <c r="AR27" s="2474"/>
      <c r="AS27" s="2474"/>
      <c r="AT27" s="2474"/>
      <c r="AU27" s="2474"/>
      <c r="AV27" s="2474"/>
      <c r="AW27" s="2474"/>
      <c r="AX27" s="463"/>
      <c r="AY27" s="469" t="s">
        <v>19556</v>
      </c>
      <c r="AZ27" s="463"/>
      <c r="BA27" s="465" t="str">
        <f>CONCATENATE("BD = (Wdg / µ)/.9",IF('EcoMount Inputs'!B4=2010, "", " * 1.6"), " = ")</f>
        <v xml:space="preserve">BD = (Wdg / µ)/.9 = </v>
      </c>
      <c r="BC27" s="463"/>
      <c r="BD27" s="464" t="str">
        <f>CONCATENATE(ROUND('EcoMount Inputs'!B61,2)," lbs.")</f>
        <v>0 lbs.</v>
      </c>
      <c r="BG27" s="463"/>
      <c r="BH27" s="463"/>
      <c r="BI27" s="2474"/>
      <c r="BJ27" s="2474"/>
      <c r="BK27" s="2474"/>
      <c r="BL27" s="2474"/>
      <c r="BM27" s="2474"/>
      <c r="BN27" s="2474"/>
      <c r="BO27" s="2474"/>
      <c r="BP27" s="2474"/>
      <c r="BQ27" s="2474"/>
      <c r="BR27" s="2474"/>
      <c r="BS27" s="488"/>
      <c r="BT27" s="488"/>
    </row>
    <row r="28" spans="1:72" ht="21" customHeight="1">
      <c r="A28" s="463"/>
      <c r="B28" s="2141" t="s">
        <v>19846</v>
      </c>
      <c r="C28" s="2142"/>
      <c r="D28" s="2142"/>
      <c r="E28" s="2142">
        <f>'1-Eng Inputs'!C48</f>
        <v>0</v>
      </c>
      <c r="F28" s="2142"/>
      <c r="G28" s="2142"/>
      <c r="H28" s="2142"/>
      <c r="I28" s="463"/>
      <c r="J28" s="463"/>
      <c r="K28" s="463"/>
      <c r="L28" s="2474"/>
      <c r="M28" s="2474"/>
      <c r="N28" s="2474"/>
      <c r="O28" s="2474"/>
      <c r="P28" s="2474"/>
      <c r="Q28" s="2474"/>
      <c r="R28" s="468"/>
      <c r="S28" s="468"/>
      <c r="T28" s="468"/>
      <c r="U28" s="468"/>
      <c r="V28" s="468"/>
      <c r="W28" s="468"/>
      <c r="X28" s="468"/>
      <c r="Y28" s="468"/>
      <c r="Z28" s="468"/>
      <c r="AA28" s="468"/>
      <c r="AB28" s="468"/>
      <c r="AC28" s="2474"/>
      <c r="AD28" s="2474"/>
      <c r="AE28" s="2474"/>
      <c r="AF28" s="2474"/>
      <c r="AG28" s="2474"/>
      <c r="AH28" s="2474"/>
      <c r="AI28" s="2474"/>
      <c r="AJ28" s="2474"/>
      <c r="AK28" s="2474"/>
      <c r="AL28" s="2474"/>
      <c r="AM28" s="2474"/>
      <c r="AN28" s="2474"/>
      <c r="AO28" s="2474"/>
      <c r="AP28" s="2474"/>
      <c r="AQ28" s="2474"/>
      <c r="AR28" s="2474"/>
      <c r="AS28" s="2474"/>
      <c r="AT28" s="2474"/>
      <c r="AU28" s="2474"/>
      <c r="AV28" s="2474"/>
      <c r="AW28" s="2474"/>
      <c r="AX28" s="463"/>
      <c r="AY28" s="463"/>
      <c r="AZ28" s="463"/>
      <c r="BA28" s="463"/>
      <c r="BB28" s="463"/>
      <c r="BC28" s="463"/>
      <c r="BD28" s="463"/>
      <c r="BE28" s="463"/>
      <c r="BF28" s="463"/>
      <c r="BG28" s="463"/>
      <c r="BH28" s="463"/>
      <c r="BI28" s="2474"/>
      <c r="BJ28" s="2474"/>
      <c r="BK28" s="2474"/>
      <c r="BL28" s="2474"/>
      <c r="BM28" s="2474"/>
      <c r="BN28" s="2474"/>
      <c r="BO28" s="2474"/>
      <c r="BP28" s="2474"/>
      <c r="BQ28" s="2474"/>
      <c r="BR28" s="2474"/>
    </row>
    <row r="29" spans="1:72" ht="21" customHeight="1" thickBot="1">
      <c r="A29" s="463"/>
      <c r="B29" s="2141" t="s">
        <v>19847</v>
      </c>
      <c r="C29" s="2142"/>
      <c r="D29" s="2142"/>
      <c r="E29" s="2142">
        <f>'1-Eng Inputs'!C49</f>
        <v>0</v>
      </c>
      <c r="F29" s="2142"/>
      <c r="G29" s="2142"/>
      <c r="H29" s="2142"/>
      <c r="I29" s="463"/>
      <c r="J29" s="463"/>
      <c r="K29" s="463"/>
      <c r="L29" s="2474"/>
      <c r="M29" s="2474"/>
      <c r="N29" s="2474"/>
      <c r="O29" s="2474"/>
      <c r="P29" s="2474"/>
      <c r="Q29" s="2474"/>
      <c r="R29" s="2474" t="s">
        <v>19555</v>
      </c>
      <c r="S29" s="2474"/>
      <c r="T29" s="2474"/>
      <c r="U29" s="2474"/>
      <c r="V29" s="2474"/>
      <c r="W29" s="2474"/>
      <c r="X29" s="2474"/>
      <c r="Y29" s="2474"/>
      <c r="Z29" s="2474"/>
      <c r="AA29" s="2474"/>
      <c r="AB29" s="2474"/>
      <c r="AC29" s="2474"/>
      <c r="AD29" s="2474"/>
      <c r="AE29" s="2474"/>
      <c r="AF29" s="2474"/>
      <c r="AG29" s="2474"/>
      <c r="AH29" s="2474"/>
      <c r="AI29" s="2474"/>
      <c r="AJ29" s="2474"/>
      <c r="AK29" s="2474"/>
      <c r="AL29" s="2474"/>
      <c r="AM29" s="2474"/>
      <c r="AN29" s="2474"/>
      <c r="AO29" s="2474"/>
      <c r="AP29" s="2474"/>
      <c r="AQ29" s="2474"/>
      <c r="AR29" s="2474"/>
      <c r="AS29" s="2474"/>
      <c r="AT29" s="2474"/>
      <c r="AU29" s="2474"/>
      <c r="AV29" s="2474"/>
      <c r="AW29" s="2474"/>
      <c r="AX29" s="463" t="s">
        <v>19554</v>
      </c>
      <c r="AY29" s="466"/>
      <c r="AZ29" s="466"/>
      <c r="BA29" s="466"/>
      <c r="BB29" s="466"/>
      <c r="BC29" s="466"/>
      <c r="BD29" s="466"/>
      <c r="BE29" s="466"/>
      <c r="BF29" s="466"/>
      <c r="BG29" s="466"/>
      <c r="BH29" s="466"/>
      <c r="BI29" s="2474"/>
      <c r="BJ29" s="2474"/>
      <c r="BK29" s="2474"/>
      <c r="BL29" s="2474"/>
      <c r="BM29" s="2474"/>
      <c r="BN29" s="2474"/>
      <c r="BO29" s="2474"/>
      <c r="BP29" s="2474"/>
      <c r="BQ29" s="2474"/>
      <c r="BR29" s="2474"/>
    </row>
    <row r="30" spans="1:72" ht="21" customHeight="1">
      <c r="A30" s="463"/>
      <c r="B30" s="2141" t="s">
        <v>19848</v>
      </c>
      <c r="C30" s="2142"/>
      <c r="D30" s="2142"/>
      <c r="E30" s="2142">
        <f>'1-Eng Inputs'!C50</f>
        <v>0</v>
      </c>
      <c r="F30" s="2142"/>
      <c r="G30" s="2142"/>
      <c r="H30" s="2142"/>
      <c r="I30" s="475"/>
      <c r="J30" s="475"/>
      <c r="K30" s="463"/>
      <c r="L30" s="2474"/>
      <c r="M30" s="2474"/>
      <c r="N30" s="2474"/>
      <c r="O30" s="2474"/>
      <c r="P30" s="2474"/>
      <c r="Q30" s="2474"/>
      <c r="R30" s="2474"/>
      <c r="S30" s="2474"/>
      <c r="T30" s="2474"/>
      <c r="U30" s="2474"/>
      <c r="V30" s="2474"/>
      <c r="W30" s="2474"/>
      <c r="X30" s="2474"/>
      <c r="Y30" s="2474"/>
      <c r="Z30" s="2474"/>
      <c r="AA30" s="2474"/>
      <c r="AB30" s="2474"/>
      <c r="AC30" s="2474"/>
      <c r="AD30" s="2474"/>
      <c r="AE30" s="2474"/>
      <c r="AF30" s="2474"/>
      <c r="AG30" s="2474"/>
      <c r="AH30" s="2474"/>
      <c r="AI30" s="2474"/>
      <c r="AJ30" s="2474"/>
      <c r="AK30" s="2474"/>
      <c r="AL30" s="2474"/>
      <c r="AM30" s="2474"/>
      <c r="AN30" s="2474"/>
      <c r="AO30" s="2474"/>
      <c r="AP30" s="2474"/>
      <c r="AQ30" s="2474"/>
      <c r="AR30" s="2474"/>
      <c r="AS30" s="2474"/>
      <c r="AT30" s="2474"/>
      <c r="AU30" s="2474"/>
      <c r="AV30" s="2474"/>
      <c r="AW30" s="2474"/>
      <c r="AX30" s="466"/>
      <c r="AY30" s="468" t="s">
        <v>19553</v>
      </c>
      <c r="AZ30" s="466"/>
      <c r="BA30" s="466"/>
      <c r="BB30" s="466"/>
      <c r="BC30" s="466"/>
      <c r="BD30" s="466"/>
      <c r="BE30" s="466"/>
      <c r="BF30" s="466"/>
      <c r="BG30" s="466"/>
      <c r="BH30" s="466"/>
      <c r="BI30" s="463"/>
      <c r="BJ30" s="487" t="s">
        <v>19552</v>
      </c>
      <c r="BK30" s="486"/>
      <c r="BL30" s="486"/>
      <c r="BM30" s="486"/>
      <c r="BN30" s="486"/>
      <c r="BO30" s="485">
        <f>IF('EcoMount Inputs'!B68*'EcoMount Inputs'!B66&gt;'EcoMount Inputs'!B67,ROUND('EcoMount Inputs'!B68*'EcoMount Inputs'!B66,2),'EcoMount Inputs'!B67)</f>
        <v>4</v>
      </c>
      <c r="BP30" s="463"/>
      <c r="BQ30" s="463"/>
      <c r="BR30" s="463"/>
    </row>
    <row r="31" spans="1:72" ht="21" customHeight="1">
      <c r="A31" s="463"/>
      <c r="B31" s="2141" t="s">
        <v>20050</v>
      </c>
      <c r="C31" s="2142"/>
      <c r="D31" s="2142"/>
      <c r="E31" s="2142">
        <f>'1-Eng Inputs'!C51</f>
        <v>0</v>
      </c>
      <c r="F31" s="2142"/>
      <c r="G31" s="2142"/>
      <c r="H31" s="2142"/>
      <c r="I31" s="463"/>
      <c r="J31" s="463"/>
      <c r="K31" s="463"/>
      <c r="L31" s="2474"/>
      <c r="M31" s="2474"/>
      <c r="N31" s="2474"/>
      <c r="O31" s="2474"/>
      <c r="P31" s="2474"/>
      <c r="Q31" s="2474"/>
      <c r="R31" s="2474"/>
      <c r="S31" s="2474"/>
      <c r="T31" s="2474"/>
      <c r="U31" s="2474"/>
      <c r="V31" s="2474"/>
      <c r="W31" s="2474"/>
      <c r="X31" s="2474"/>
      <c r="Y31" s="2474"/>
      <c r="Z31" s="2474"/>
      <c r="AA31" s="2474"/>
      <c r="AB31" s="2474"/>
      <c r="AC31" s="2474"/>
      <c r="AD31" s="2474"/>
      <c r="AE31" s="2474"/>
      <c r="AF31" s="2474"/>
      <c r="AG31" s="2474"/>
      <c r="AH31" s="2474"/>
      <c r="AI31" s="2474"/>
      <c r="AJ31" s="2474"/>
      <c r="AK31" s="2474"/>
      <c r="AL31" s="2474"/>
      <c r="AM31" s="2474"/>
      <c r="AN31" s="2474"/>
      <c r="AO31" s="2474"/>
      <c r="AP31" s="2474"/>
      <c r="AQ31" s="2474"/>
      <c r="AR31" s="2474"/>
      <c r="AS31" s="2474"/>
      <c r="AT31" s="2474"/>
      <c r="AU31" s="2474"/>
      <c r="AV31" s="2474"/>
      <c r="AW31" s="2474"/>
      <c r="AX31" s="463"/>
      <c r="AY31" s="463"/>
      <c r="AZ31" s="463"/>
      <c r="BA31" s="463"/>
      <c r="BB31" s="463"/>
      <c r="BC31" s="463"/>
      <c r="BD31" s="463"/>
      <c r="BE31" s="463"/>
      <c r="BF31" s="463"/>
      <c r="BG31" s="463"/>
      <c r="BH31" s="463"/>
      <c r="BI31" s="463"/>
      <c r="BJ31" s="483" t="s">
        <v>19551</v>
      </c>
      <c r="BK31" s="482"/>
      <c r="BL31" s="482"/>
      <c r="BM31" s="482"/>
      <c r="BN31" s="482"/>
      <c r="BO31" s="481">
        <f>'EcoMount Inputs'!B70</f>
        <v>2</v>
      </c>
      <c r="BP31" s="463"/>
      <c r="BQ31" s="463"/>
      <c r="BR31" s="463"/>
    </row>
    <row r="32" spans="1:72" ht="21" customHeight="1" thickBot="1">
      <c r="A32" s="463"/>
      <c r="B32" s="2142" t="str">
        <f>IF('1-Eng Inputs'!C56=0,"","2nd Component Make/Model:")</f>
        <v/>
      </c>
      <c r="C32" s="2142"/>
      <c r="D32" s="2142"/>
      <c r="E32" s="2142" t="str">
        <f>IF('1-Eng Inputs'!$C$56=0,"",'1-Eng Inputs'!C52)</f>
        <v/>
      </c>
      <c r="F32" s="2142"/>
      <c r="G32" s="2142"/>
      <c r="H32" s="2142"/>
      <c r="I32" s="463"/>
      <c r="J32" s="463"/>
      <c r="K32" s="463"/>
      <c r="L32" s="2474"/>
      <c r="M32" s="2474"/>
      <c r="N32" s="2474"/>
      <c r="O32" s="2474"/>
      <c r="P32" s="2474"/>
      <c r="Q32" s="2474"/>
      <c r="R32" s="2474"/>
      <c r="S32" s="2474"/>
      <c r="T32" s="2474"/>
      <c r="U32" s="2474"/>
      <c r="V32" s="2474"/>
      <c r="W32" s="2474"/>
      <c r="X32" s="2474"/>
      <c r="Y32" s="2474"/>
      <c r="Z32" s="2474"/>
      <c r="AA32" s="2474"/>
      <c r="AB32" s="2474"/>
      <c r="AC32" s="463"/>
      <c r="AD32" s="471" t="s">
        <v>19550</v>
      </c>
      <c r="AE32" s="471"/>
      <c r="AF32" s="474">
        <f>'EcoMount Inputs'!B19</f>
        <v>1.29</v>
      </c>
      <c r="AG32" s="463"/>
      <c r="AH32" s="463"/>
      <c r="AI32" s="463"/>
      <c r="AJ32" s="463"/>
      <c r="AK32" s="463"/>
      <c r="AL32" s="463"/>
      <c r="AM32" s="2474"/>
      <c r="AN32" s="2474"/>
      <c r="AO32" s="2474"/>
      <c r="AP32" s="2474"/>
      <c r="AQ32" s="2474"/>
      <c r="AR32" s="2474"/>
      <c r="AS32" s="2474"/>
      <c r="AT32" s="2474"/>
      <c r="AU32" s="2474"/>
      <c r="AV32" s="2474"/>
      <c r="AW32" s="2474"/>
      <c r="AX32" s="2474" t="s">
        <v>19548</v>
      </c>
      <c r="AY32" s="2474"/>
      <c r="AZ32" s="2474"/>
      <c r="BA32" s="2474"/>
      <c r="BB32" s="2474"/>
      <c r="BC32" s="2474"/>
      <c r="BD32" s="2474"/>
      <c r="BE32" s="2474"/>
      <c r="BF32" s="2474"/>
      <c r="BG32" s="2474"/>
      <c r="BH32" s="2474"/>
      <c r="BI32" s="463"/>
      <c r="BJ32" s="480" t="s">
        <v>19547</v>
      </c>
      <c r="BK32" s="479"/>
      <c r="BL32" s="479"/>
      <c r="BM32" s="479"/>
      <c r="BN32" s="479"/>
      <c r="BO32" s="478" t="str">
        <f>CONCATENATE(ROUND('EcoMount Inputs'!B71,2)," lbs.")</f>
        <v>154 lbs.</v>
      </c>
      <c r="BP32" s="463"/>
      <c r="BQ32" s="463"/>
      <c r="BR32" s="463"/>
    </row>
    <row r="33" spans="1:70" ht="21" customHeight="1">
      <c r="A33" s="463"/>
      <c r="B33" s="2491" t="str">
        <f>IF('1-Eng Inputs'!C56=0,"","2nd Component Total Length (in):")</f>
        <v/>
      </c>
      <c r="C33" s="2491"/>
      <c r="D33" s="2491"/>
      <c r="E33" s="2142" t="str">
        <f>IF('1-Eng Inputs'!$C$56=0,"",'1-Eng Inputs'!C53)</f>
        <v/>
      </c>
      <c r="F33" s="2142"/>
      <c r="G33" s="2142"/>
      <c r="H33" s="2142"/>
      <c r="I33" s="463"/>
      <c r="J33" s="463"/>
      <c r="K33" s="463"/>
      <c r="L33" s="2474"/>
      <c r="M33" s="2474"/>
      <c r="N33" s="2474"/>
      <c r="O33" s="2474"/>
      <c r="P33" s="2474"/>
      <c r="Q33" s="2474"/>
      <c r="R33" s="2474"/>
      <c r="S33" s="2474"/>
      <c r="T33" s="2474"/>
      <c r="U33" s="2474"/>
      <c r="V33" s="2474"/>
      <c r="W33" s="2474"/>
      <c r="X33" s="2474"/>
      <c r="Y33" s="2474"/>
      <c r="Z33" s="2474"/>
      <c r="AA33" s="2474"/>
      <c r="AB33" s="2474"/>
      <c r="AC33" s="463"/>
      <c r="AD33" s="477" t="s">
        <v>19546</v>
      </c>
      <c r="AF33" s="476">
        <f>'EcoMount Inputs'!B20</f>
        <v>1</v>
      </c>
      <c r="AG33" s="463" t="str">
        <f>IF('EcoMount Inputs'!B4=2010,"(this value omitted from ASCE7-10, and is therefore evaluated here as 1)","")</f>
        <v>(this value omitted from ASCE7-10, and is therefore evaluated here as 1)</v>
      </c>
      <c r="AK33" s="463"/>
      <c r="AL33" s="463"/>
      <c r="AM33" s="463"/>
      <c r="AN33" s="469" t="s">
        <v>19549</v>
      </c>
      <c r="AO33" s="463"/>
      <c r="AP33" s="465" t="str">
        <f>'EcoMount Inputs'!A50</f>
        <v>BL = Wup/0.9  =</v>
      </c>
      <c r="AQ33" s="463"/>
      <c r="AS33" s="464" t="str">
        <f>CONCATENATE(ROUND('EcoMount Inputs'!B50,2)," lbs.")</f>
        <v>0 lbs.</v>
      </c>
      <c r="AT33" s="463"/>
      <c r="AU33" s="463"/>
      <c r="AV33" s="463"/>
      <c r="AW33" s="463"/>
      <c r="AX33" s="2474"/>
      <c r="AY33" s="2474"/>
      <c r="AZ33" s="2474"/>
      <c r="BA33" s="2474"/>
      <c r="BB33" s="2474"/>
      <c r="BC33" s="2474"/>
      <c r="BD33" s="2474"/>
      <c r="BE33" s="2474"/>
      <c r="BF33" s="2474"/>
      <c r="BG33" s="2474"/>
      <c r="BH33" s="2474"/>
      <c r="BI33" s="463"/>
      <c r="BJ33" s="463"/>
      <c r="BK33" s="463"/>
      <c r="BL33" s="463"/>
      <c r="BM33" s="463"/>
      <c r="BN33" s="463"/>
      <c r="BO33" s="463"/>
      <c r="BP33" s="463"/>
      <c r="BQ33" s="463"/>
      <c r="BR33" s="463"/>
    </row>
    <row r="34" spans="1:70" ht="21" customHeight="1">
      <c r="B34" s="2142" t="str">
        <f>IF('1-Eng Inputs'!C56=0,"","2nd Component Total Width (in):")</f>
        <v/>
      </c>
      <c r="C34" s="2142"/>
      <c r="D34" s="2142"/>
      <c r="E34" s="2142" t="str">
        <f>IF('1-Eng Inputs'!$C$56=0,"",'1-Eng Inputs'!C54)</f>
        <v/>
      </c>
      <c r="F34" s="2142"/>
      <c r="G34" s="2142"/>
      <c r="H34" s="2142"/>
      <c r="L34" s="2474"/>
      <c r="M34" s="2474"/>
      <c r="N34" s="2474"/>
      <c r="O34" s="2474"/>
      <c r="P34" s="2474"/>
      <c r="Q34" s="2474"/>
      <c r="R34" s="2474"/>
      <c r="S34" s="2474"/>
      <c r="T34" s="2474"/>
      <c r="U34" s="2474"/>
      <c r="V34" s="2474"/>
      <c r="W34" s="2474"/>
      <c r="X34" s="2474"/>
      <c r="Y34" s="2474"/>
      <c r="Z34" s="2474"/>
      <c r="AA34" s="2474"/>
      <c r="AB34" s="2474"/>
      <c r="AC34" s="463"/>
      <c r="AD34" s="471" t="s">
        <v>19544</v>
      </c>
      <c r="AE34" s="471"/>
      <c r="AF34" s="474">
        <v>1</v>
      </c>
      <c r="AG34" s="463"/>
      <c r="AK34" s="463"/>
      <c r="AL34" s="463"/>
      <c r="AM34" s="470"/>
      <c r="AN34" s="470"/>
      <c r="AO34" s="470"/>
      <c r="AP34" s="470"/>
      <c r="AQ34" s="470"/>
      <c r="AR34" s="470"/>
      <c r="AS34" s="470"/>
      <c r="AT34" s="470"/>
      <c r="AU34" s="470"/>
      <c r="AV34" s="470"/>
      <c r="AW34" s="470"/>
      <c r="AX34" s="463"/>
      <c r="AY34" s="463"/>
      <c r="AZ34" s="463"/>
      <c r="BA34" s="463"/>
      <c r="BB34" s="463"/>
      <c r="BC34" s="463"/>
      <c r="BD34" s="463"/>
      <c r="BE34" s="463"/>
      <c r="BF34" s="463"/>
      <c r="BG34" s="463"/>
      <c r="BH34" s="463"/>
      <c r="BI34" s="463"/>
      <c r="BJ34" s="463"/>
      <c r="BK34" s="463"/>
      <c r="BL34" s="463"/>
      <c r="BM34" s="463"/>
      <c r="BN34" s="463"/>
      <c r="BO34" s="463"/>
      <c r="BP34" s="463"/>
      <c r="BQ34" s="463"/>
      <c r="BR34" s="463"/>
    </row>
    <row r="35" spans="1:70" ht="21" customHeight="1" thickBot="1">
      <c r="A35" s="463"/>
      <c r="B35" s="2491" t="str">
        <f>IF('1-Eng Inputs'!C56=0,"","2nd Component Total Weight (lbs):")</f>
        <v/>
      </c>
      <c r="C35" s="2491"/>
      <c r="D35" s="2491"/>
      <c r="E35" s="2142" t="str">
        <f>IF('1-Eng Inputs'!$C$56=0,"",'1-Eng Inputs'!C55)</f>
        <v/>
      </c>
      <c r="F35" s="2142"/>
      <c r="G35" s="2142"/>
      <c r="H35" s="2142"/>
      <c r="I35" s="463"/>
      <c r="J35" s="463"/>
      <c r="K35" s="463"/>
      <c r="L35" s="2474"/>
      <c r="M35" s="2474"/>
      <c r="N35" s="2474"/>
      <c r="O35" s="2474"/>
      <c r="P35" s="2474"/>
      <c r="Q35" s="2474"/>
      <c r="R35" s="2474"/>
      <c r="S35" s="2474"/>
      <c r="T35" s="2474"/>
      <c r="U35" s="2474"/>
      <c r="V35" s="2474"/>
      <c r="W35" s="2474"/>
      <c r="X35" s="2474"/>
      <c r="Y35" s="2474"/>
      <c r="Z35" s="2474"/>
      <c r="AA35" s="2474"/>
      <c r="AB35" s="2474"/>
      <c r="AC35" s="463"/>
      <c r="AD35" s="473" t="s">
        <v>19543</v>
      </c>
      <c r="AE35" s="473"/>
      <c r="AF35" s="472">
        <f>'EcoMount Inputs'!B21</f>
        <v>-35.299999999999997</v>
      </c>
      <c r="AG35" s="463"/>
      <c r="AK35" s="463"/>
      <c r="AL35" s="463"/>
      <c r="AM35" s="470"/>
      <c r="AN35" s="470"/>
      <c r="AO35" s="470"/>
      <c r="AP35" s="470"/>
      <c r="AQ35" s="470"/>
      <c r="AR35" s="470"/>
      <c r="AS35" s="470"/>
      <c r="AT35" s="470"/>
      <c r="AU35" s="470"/>
      <c r="AV35" s="470"/>
      <c r="AW35" s="470"/>
      <c r="AX35" s="463"/>
      <c r="AY35" s="471" t="s">
        <v>19542</v>
      </c>
      <c r="AZ35" s="463"/>
      <c r="BA35" s="465" t="s">
        <v>19541</v>
      </c>
      <c r="BC35" s="464" t="str">
        <f>CONCATENATE(ROUND('EcoMount Inputs'!B62,2)," lbs.")</f>
        <v>0 lbs.</v>
      </c>
      <c r="BF35" s="463"/>
      <c r="BG35" s="463"/>
      <c r="BH35" s="463"/>
      <c r="BI35" s="463"/>
      <c r="BJ35" s="463"/>
      <c r="BK35" s="463"/>
      <c r="BL35" s="463"/>
      <c r="BM35" s="463"/>
      <c r="BN35" s="463"/>
      <c r="BO35" s="463"/>
      <c r="BP35" s="463"/>
      <c r="BQ35" s="463"/>
      <c r="BR35" s="463"/>
    </row>
    <row r="36" spans="1:70" ht="21" customHeight="1">
      <c r="A36" s="463"/>
      <c r="B36" s="2142" t="str">
        <f>IF('1-Eng Inputs'!C56=0,"","2nd Component Qty To Be Installed:")</f>
        <v/>
      </c>
      <c r="C36" s="2142"/>
      <c r="D36" s="2142"/>
      <c r="E36" s="2142" t="str">
        <f>IF('1-Eng Inputs'!$C$56=0,"",'1-Eng Inputs'!C56)</f>
        <v/>
      </c>
      <c r="F36" s="2142"/>
      <c r="G36" s="2142"/>
      <c r="H36" s="2142"/>
      <c r="I36" s="463"/>
      <c r="J36" s="463"/>
      <c r="K36" s="463"/>
      <c r="L36" s="2474"/>
      <c r="M36" s="2474"/>
      <c r="N36" s="2474"/>
      <c r="O36" s="2474"/>
      <c r="P36" s="2474"/>
      <c r="Q36" s="2474"/>
      <c r="R36" s="463"/>
      <c r="S36" s="463"/>
      <c r="T36" s="463"/>
      <c r="U36" s="463"/>
      <c r="V36" s="463"/>
      <c r="W36" s="463"/>
      <c r="X36" s="463"/>
      <c r="Y36" s="463"/>
      <c r="Z36" s="463"/>
      <c r="AA36" s="463"/>
      <c r="AB36" s="463"/>
      <c r="AC36" s="463"/>
      <c r="AD36" s="465" t="s">
        <v>19540</v>
      </c>
      <c r="AE36" s="465"/>
      <c r="AF36" s="464" t="str">
        <f>CONCATENATE(ROUND(AF32*AF34*AF35,2)," psf.")</f>
        <v>-45.54 psf.</v>
      </c>
      <c r="AG36" s="466"/>
      <c r="AH36" s="466"/>
      <c r="AI36" s="466"/>
      <c r="AJ36" s="466"/>
      <c r="AK36" s="466"/>
      <c r="AL36" s="466"/>
      <c r="AM36" s="470"/>
      <c r="AN36" s="470"/>
      <c r="AO36" s="470"/>
      <c r="AP36" s="470"/>
      <c r="AQ36" s="470"/>
      <c r="AR36" s="470"/>
      <c r="AS36" s="470"/>
      <c r="AT36" s="470"/>
      <c r="AU36" s="470"/>
      <c r="AV36" s="470"/>
      <c r="AW36" s="470"/>
      <c r="AX36" s="463"/>
      <c r="AY36" s="463"/>
      <c r="AZ36" s="463"/>
      <c r="BA36" s="463"/>
      <c r="BB36" s="463"/>
      <c r="BC36" s="463"/>
      <c r="BD36" s="463"/>
      <c r="BE36" s="463"/>
      <c r="BF36" s="463"/>
      <c r="BG36" s="463"/>
      <c r="BH36" s="463"/>
      <c r="BI36" s="463"/>
      <c r="BJ36" s="463"/>
      <c r="BK36" s="463"/>
      <c r="BL36" s="463"/>
      <c r="BM36" s="463"/>
      <c r="BN36" s="463"/>
      <c r="BO36" s="463"/>
      <c r="BP36" s="463"/>
      <c r="BQ36" s="463"/>
      <c r="BR36" s="463"/>
    </row>
    <row r="37" spans="1:70" ht="21" customHeight="1">
      <c r="A37" s="463"/>
      <c r="I37" s="463"/>
      <c r="J37" s="463"/>
      <c r="K37" s="463"/>
      <c r="L37" s="2474"/>
      <c r="M37" s="2474"/>
      <c r="N37" s="2474"/>
      <c r="O37" s="2474"/>
      <c r="P37" s="2474"/>
      <c r="Q37" s="2474"/>
      <c r="R37" s="463"/>
      <c r="S37" s="469" t="s">
        <v>19539</v>
      </c>
      <c r="T37" s="463"/>
      <c r="U37"/>
      <c r="V37" s="463"/>
      <c r="W37" s="463"/>
      <c r="X37" s="463"/>
      <c r="Y37" s="463"/>
      <c r="Z37" s="463"/>
      <c r="AA37" s="463"/>
      <c r="AB37" s="463"/>
      <c r="AC37" s="2473" t="s">
        <v>19538</v>
      </c>
      <c r="AD37" s="2473"/>
      <c r="AE37" s="2473"/>
      <c r="AF37" s="2473"/>
      <c r="AG37" s="2473"/>
      <c r="AH37" s="2473"/>
      <c r="AI37" s="2473"/>
      <c r="AJ37" s="2473"/>
      <c r="AK37" s="2473"/>
      <c r="AL37" s="2473"/>
      <c r="AM37" s="466"/>
      <c r="AN37" s="468"/>
      <c r="AO37" s="466"/>
      <c r="AP37" s="466"/>
      <c r="AQ37" s="466"/>
      <c r="AR37" s="467"/>
      <c r="AS37" s="466"/>
      <c r="AT37" s="466"/>
      <c r="AU37" s="466"/>
      <c r="AV37" s="466"/>
      <c r="AW37" s="466"/>
      <c r="AX37" s="463"/>
      <c r="AY37" s="463"/>
      <c r="AZ37" s="463"/>
      <c r="BA37" s="463"/>
      <c r="BB37" s="463"/>
      <c r="BC37" s="463"/>
      <c r="BD37" s="463"/>
      <c r="BE37" s="463"/>
      <c r="BF37" s="463"/>
      <c r="BG37" s="463"/>
      <c r="BH37" s="463"/>
      <c r="BI37" s="463"/>
      <c r="BJ37" s="463"/>
      <c r="BK37" s="463"/>
      <c r="BL37" s="463"/>
      <c r="BM37" s="463"/>
      <c r="BN37" s="463"/>
      <c r="BO37" s="463"/>
      <c r="BP37" s="463"/>
      <c r="BQ37" s="463"/>
      <c r="BR37" s="463"/>
    </row>
    <row r="38" spans="1:70" ht="21" customHeight="1">
      <c r="A38" s="475" t="s">
        <v>19545</v>
      </c>
      <c r="B38" s="463"/>
      <c r="C38" s="463"/>
      <c r="D38" s="463"/>
      <c r="E38" s="463"/>
      <c r="F38" s="463"/>
      <c r="G38" s="463"/>
      <c r="H38" s="463"/>
      <c r="I38" s="463"/>
      <c r="J38" s="463"/>
      <c r="K38" s="463"/>
      <c r="L38" s="2474"/>
      <c r="M38" s="2474"/>
      <c r="N38" s="2474"/>
      <c r="O38" s="2474"/>
      <c r="P38" s="2474"/>
      <c r="Q38" s="2474"/>
      <c r="R38" s="463"/>
      <c r="S38" s="463"/>
      <c r="T38" s="463"/>
      <c r="U38" s="463"/>
      <c r="V38" s="463"/>
      <c r="W38" s="463"/>
      <c r="X38" s="463"/>
      <c r="Y38" s="463"/>
      <c r="Z38" s="463"/>
      <c r="AA38" s="463"/>
      <c r="AB38" s="463"/>
      <c r="AC38" s="2473"/>
      <c r="AD38" s="2473"/>
      <c r="AE38" s="2473"/>
      <c r="AF38" s="2473"/>
      <c r="AG38" s="2473"/>
      <c r="AH38" s="2473"/>
      <c r="AI38" s="2473"/>
      <c r="AJ38" s="2473"/>
      <c r="AK38" s="2473"/>
      <c r="AL38" s="2473"/>
      <c r="AM38" s="463"/>
      <c r="AN38" s="465"/>
      <c r="AO38" s="463"/>
      <c r="AP38" s="463"/>
      <c r="AQ38" s="463"/>
      <c r="AR38" s="464"/>
      <c r="AS38" s="463"/>
      <c r="AT38" s="463"/>
      <c r="AU38" s="463"/>
      <c r="AV38" s="463"/>
      <c r="AW38" s="463"/>
      <c r="AX38" s="463"/>
      <c r="AY38" s="463"/>
      <c r="AZ38" s="463"/>
      <c r="BA38" s="463"/>
      <c r="BB38" s="463"/>
      <c r="BC38" s="463"/>
      <c r="BD38" s="463"/>
      <c r="BE38" s="463"/>
      <c r="BF38" s="463"/>
      <c r="BG38" s="463"/>
      <c r="BH38" s="463"/>
      <c r="BI38" s="463"/>
      <c r="BJ38" s="463"/>
      <c r="BK38" s="463"/>
      <c r="BL38" s="463"/>
      <c r="BM38" s="463"/>
      <c r="BN38" s="463"/>
      <c r="BO38" s="463"/>
      <c r="BP38" s="463"/>
      <c r="BQ38" s="463"/>
      <c r="BR38" s="463"/>
    </row>
    <row r="39" spans="1:70" ht="21" customHeight="1">
      <c r="L39" s="2474"/>
      <c r="M39" s="2474"/>
      <c r="N39" s="2474"/>
      <c r="O39" s="2474"/>
      <c r="P39" s="2474"/>
      <c r="Q39" s="2474"/>
    </row>
  </sheetData>
  <mergeCells count="54">
    <mergeCell ref="E36:H36"/>
    <mergeCell ref="B34:D34"/>
    <mergeCell ref="B35:D35"/>
    <mergeCell ref="B36:D36"/>
    <mergeCell ref="B16:D17"/>
    <mergeCell ref="B27:D27"/>
    <mergeCell ref="B28:D28"/>
    <mergeCell ref="B29:D29"/>
    <mergeCell ref="B30:D30"/>
    <mergeCell ref="AM4:AW7"/>
    <mergeCell ref="AM19:AW21"/>
    <mergeCell ref="B31:D31"/>
    <mergeCell ref="B32:D32"/>
    <mergeCell ref="B33:D33"/>
    <mergeCell ref="E27:H27"/>
    <mergeCell ref="E28:H28"/>
    <mergeCell ref="E29:H29"/>
    <mergeCell ref="E30:H30"/>
    <mergeCell ref="E31:H31"/>
    <mergeCell ref="E32:H32"/>
    <mergeCell ref="E33:H33"/>
    <mergeCell ref="E24:H24"/>
    <mergeCell ref="E25:H25"/>
    <mergeCell ref="AC26:AL31"/>
    <mergeCell ref="AC18:AL24"/>
    <mergeCell ref="BI25:BR29"/>
    <mergeCell ref="BI4:BR8"/>
    <mergeCell ref="BI18:BR21"/>
    <mergeCell ref="AX22:BH23"/>
    <mergeCell ref="AX4:BH6"/>
    <mergeCell ref="AX18:BH21"/>
    <mergeCell ref="AM24:AW32"/>
    <mergeCell ref="R29:AB35"/>
    <mergeCell ref="AX32:BH33"/>
    <mergeCell ref="E22:H22"/>
    <mergeCell ref="E23:H23"/>
    <mergeCell ref="E34:H34"/>
    <mergeCell ref="E35:H35"/>
    <mergeCell ref="AC37:AL38"/>
    <mergeCell ref="L27:Q39"/>
    <mergeCell ref="B5:J8"/>
    <mergeCell ref="C9:E9"/>
    <mergeCell ref="C11:E11"/>
    <mergeCell ref="AC4:AL8"/>
    <mergeCell ref="L9:Q10"/>
    <mergeCell ref="L4:Q8"/>
    <mergeCell ref="C10:K10"/>
    <mergeCell ref="E18:H18"/>
    <mergeCell ref="E19:H19"/>
    <mergeCell ref="E20:H20"/>
    <mergeCell ref="E21:H21"/>
    <mergeCell ref="R16:AB19"/>
    <mergeCell ref="R12:AB13"/>
    <mergeCell ref="E16:H17"/>
  </mergeCells>
  <pageMargins left="0.7" right="0.7" top="0.75" bottom="0.75" header="0.3" footer="0.375"/>
  <pageSetup scale="85" fitToWidth="0" orientation="portrait" horizontalDpi="4294967292" r:id="rId1"/>
  <headerFooter>
    <oddHeader>&amp;R&amp;G</oddHeader>
    <oddFooter>&amp;Lecolibriumsolar.com&amp;CPage &amp;P
244 W. State Street, Athens, OH 45701&amp;R 740-249-1877</oddFooter>
  </headerFooter>
  <rowBreaks count="1" manualBreakCount="1">
    <brk id="42" max="68" man="1"/>
  </rowBreaks>
  <colBreaks count="6" manualBreakCount="6">
    <brk id="11" max="38" man="1"/>
    <brk id="17" max="38" man="1"/>
    <brk id="28" max="38" man="1"/>
    <brk id="38" max="38" man="1"/>
    <brk id="49" max="38" man="1"/>
    <brk id="60" max="38"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
  <dimension ref="A1:E49"/>
  <sheetViews>
    <sheetView workbookViewId="0">
      <selection activeCell="E28" sqref="E28"/>
    </sheetView>
  </sheetViews>
  <sheetFormatPr defaultColWidth="8.7109375" defaultRowHeight="12.75"/>
  <cols>
    <col min="1" max="1" width="27.140625" bestFit="1" customWidth="1"/>
    <col min="2" max="2" width="27.7109375" bestFit="1" customWidth="1"/>
    <col min="3" max="3" width="36.42578125" bestFit="1" customWidth="1"/>
    <col min="4" max="5" width="39.140625" bestFit="1" customWidth="1"/>
  </cols>
  <sheetData>
    <row r="1" spans="1:5" ht="15">
      <c r="A1" s="90" t="s">
        <v>208</v>
      </c>
      <c r="B1" s="90"/>
      <c r="C1" s="90"/>
      <c r="D1" s="90"/>
      <c r="E1" s="90"/>
    </row>
    <row r="2" spans="1:5" ht="15">
      <c r="A2" s="90"/>
      <c r="B2" s="90"/>
      <c r="C2" s="90"/>
      <c r="D2" s="90"/>
    </row>
    <row r="3" spans="1:5" ht="15">
      <c r="A3" s="91" t="s">
        <v>209</v>
      </c>
      <c r="B3" s="95" t="s">
        <v>210</v>
      </c>
      <c r="C3" s="95" t="s">
        <v>211</v>
      </c>
      <c r="D3" s="95" t="s">
        <v>212</v>
      </c>
    </row>
    <row r="4" spans="1:5" ht="15">
      <c r="A4" s="96">
        <f>1*factors!B9-5</f>
        <v>21.435907582014671</v>
      </c>
      <c r="B4" s="97">
        <v>1</v>
      </c>
      <c r="C4" s="95"/>
      <c r="D4" s="95"/>
    </row>
    <row r="5" spans="1:5" ht="15">
      <c r="A5" s="96">
        <f>2*factors!B9-5</f>
        <v>47.871815164029343</v>
      </c>
      <c r="B5" s="97">
        <f>AVERAGE('Land Coeffs 10deg'!E8:E13)/AVERAGE('Land Coeffs 10deg'!$C$8:$C$13)</f>
        <v>0.70552147239263796</v>
      </c>
      <c r="C5" s="95"/>
      <c r="D5" s="95"/>
    </row>
    <row r="6" spans="1:5" s="98" customFormat="1" ht="15">
      <c r="A6" s="125">
        <v>70</v>
      </c>
      <c r="B6" s="126">
        <f>B5-((A6-A5)/(A7-A5))*(B5-B7)</f>
        <v>0.64261431662663149</v>
      </c>
      <c r="C6" s="127"/>
      <c r="D6" s="127"/>
    </row>
    <row r="7" spans="1:5" ht="15">
      <c r="A7" s="96">
        <f>4*factors!B9-5</f>
        <v>100.74363032805869</v>
      </c>
      <c r="B7" s="97">
        <f>AVERAGE('Land Coeffs 10deg'!H8:H13)/AVERAGE('Land Coeffs 10deg'!$C$8:$C$13)</f>
        <v>0.55521472392638038</v>
      </c>
      <c r="C7" s="95"/>
      <c r="D7" s="95"/>
    </row>
    <row r="8" spans="1:5" s="128" customFormat="1" ht="15">
      <c r="A8" s="125">
        <v>150</v>
      </c>
      <c r="B8" s="126">
        <f>B7-((A8-A7)/(A10-A7))*(B7-B10)</f>
        <v>0.49005857214346327</v>
      </c>
      <c r="C8" s="127"/>
      <c r="D8" s="127"/>
    </row>
    <row r="9" spans="1:5" s="98" customFormat="1" ht="15">
      <c r="A9" s="125">
        <v>200</v>
      </c>
      <c r="B9" s="126">
        <f>B7-((A9-A7)/(A10-A7))*(B7-B10)</f>
        <v>0.42391874878978131</v>
      </c>
      <c r="C9" s="127"/>
      <c r="D9" s="127"/>
    </row>
    <row r="10" spans="1:5" ht="15">
      <c r="A10" s="96">
        <f>9*factors!B9-5</f>
        <v>232.92316823813204</v>
      </c>
      <c r="B10" s="97">
        <f>AVERAGE('Land Coeffs 10deg'!K8:K13)/AVERAGE('Land Coeffs 10deg'!$C$8:$C$13)</f>
        <v>0.38036809815950917</v>
      </c>
      <c r="C10" s="95"/>
      <c r="D10" s="95"/>
    </row>
    <row r="11" spans="1:5" s="98" customFormat="1" ht="15">
      <c r="A11" s="125">
        <v>350</v>
      </c>
      <c r="B11" s="126">
        <f>B10-((A11-A10)/(A14-A10))*(B10-B14)</f>
        <v>0.35718985486988775</v>
      </c>
      <c r="C11" s="127"/>
      <c r="D11" s="127"/>
    </row>
    <row r="12" spans="1:5" s="98" customFormat="1" ht="15">
      <c r="A12" s="125">
        <v>500</v>
      </c>
      <c r="B12" s="126">
        <f>B10-((A12-A10)/(A14-A10))*(B10-B14)</f>
        <v>0.32749365929367985</v>
      </c>
      <c r="C12" s="127"/>
      <c r="D12" s="127"/>
    </row>
    <row r="13" spans="1:5" s="98" customFormat="1" ht="15">
      <c r="A13" s="125">
        <v>625</v>
      </c>
      <c r="B13" s="126">
        <f>B10-((A13-A10)/(A14-A10))*(B10-B14)</f>
        <v>0.30274682964683997</v>
      </c>
      <c r="C13" s="127"/>
      <c r="D13" s="127"/>
    </row>
    <row r="14" spans="1:5" ht="15">
      <c r="A14" s="91">
        <v>750</v>
      </c>
      <c r="B14" s="92">
        <v>0.27800000000000002</v>
      </c>
      <c r="C14" s="92">
        <v>0.42899999999999999</v>
      </c>
      <c r="D14" s="92">
        <v>0.51500000000000001</v>
      </c>
    </row>
    <row r="15" spans="1:5" ht="15">
      <c r="A15" s="91">
        <v>1000</v>
      </c>
      <c r="B15" s="92">
        <v>0.249</v>
      </c>
      <c r="C15" s="92">
        <v>0.39500000000000002</v>
      </c>
      <c r="D15" s="92">
        <v>0.47299999999999998</v>
      </c>
    </row>
    <row r="16" spans="1:5" ht="15">
      <c r="A16" s="91">
        <v>1500</v>
      </c>
      <c r="B16" s="92">
        <v>0.21299999999999999</v>
      </c>
      <c r="C16" s="92">
        <v>0.35099999999999998</v>
      </c>
      <c r="D16" s="92">
        <v>0.42099999999999999</v>
      </c>
    </row>
    <row r="17" spans="1:5" ht="15">
      <c r="A17" s="91">
        <v>2000</v>
      </c>
      <c r="B17" s="92">
        <v>0.19</v>
      </c>
      <c r="C17" s="92">
        <v>0.32300000000000001</v>
      </c>
      <c r="D17" s="92">
        <v>0.38700000000000001</v>
      </c>
    </row>
    <row r="18" spans="1:5" ht="15">
      <c r="A18" s="91">
        <v>2500</v>
      </c>
      <c r="B18" s="92">
        <v>0.17399999999999999</v>
      </c>
      <c r="C18" s="92">
        <v>0.30199999999999999</v>
      </c>
      <c r="D18" s="92">
        <v>0.36299999999999999</v>
      </c>
    </row>
    <row r="19" spans="1:5" ht="15">
      <c r="A19" s="91">
        <v>3000</v>
      </c>
      <c r="B19" s="92">
        <v>0.16200000000000001</v>
      </c>
      <c r="C19" s="92">
        <v>0.28699999999999998</v>
      </c>
      <c r="D19" s="92">
        <v>0.34399999999999997</v>
      </c>
    </row>
    <row r="20" spans="1:5" ht="15">
      <c r="A20" s="91">
        <v>3500</v>
      </c>
      <c r="B20" s="92">
        <v>0.153</v>
      </c>
      <c r="C20" s="92">
        <v>0.27400000000000002</v>
      </c>
      <c r="D20" s="92">
        <v>0.32900000000000001</v>
      </c>
    </row>
    <row r="21" spans="1:5" ht="15">
      <c r="A21" s="91">
        <v>4000</v>
      </c>
      <c r="B21" s="92">
        <v>0.14499999999999999</v>
      </c>
      <c r="C21" s="92">
        <v>0.26400000000000001</v>
      </c>
      <c r="D21" s="92">
        <v>0.317</v>
      </c>
    </row>
    <row r="22" spans="1:5" ht="15">
      <c r="A22" s="91">
        <v>4500</v>
      </c>
      <c r="B22" s="92">
        <v>0.13800000000000001</v>
      </c>
      <c r="C22" s="92">
        <v>0.255</v>
      </c>
      <c r="D22" s="92">
        <v>0.30599999999999999</v>
      </c>
    </row>
    <row r="23" spans="1:5" ht="15">
      <c r="A23" s="91">
        <v>5000</v>
      </c>
      <c r="B23" s="92">
        <v>0.13300000000000001</v>
      </c>
      <c r="C23" s="92">
        <v>0.247</v>
      </c>
      <c r="D23" s="92">
        <v>0.29699999999999999</v>
      </c>
    </row>
    <row r="24" spans="1:5" ht="15">
      <c r="A24" s="91">
        <v>5500</v>
      </c>
      <c r="B24" s="92">
        <v>0.128</v>
      </c>
      <c r="C24" s="92">
        <v>0.24099999999999999</v>
      </c>
      <c r="D24" s="92">
        <v>0.28899999999999998</v>
      </c>
    </row>
    <row r="25" spans="1:5" ht="15">
      <c r="A25" s="91">
        <v>6000</v>
      </c>
      <c r="B25" s="92">
        <v>0.124</v>
      </c>
      <c r="C25" s="92">
        <v>0.23499999999999999</v>
      </c>
      <c r="D25" s="92">
        <v>0.28199999999999997</v>
      </c>
    </row>
    <row r="26" spans="1:5" ht="15">
      <c r="A26" s="91">
        <v>7000</v>
      </c>
      <c r="B26" s="92">
        <v>0.11700000000000001</v>
      </c>
      <c r="C26" s="92">
        <v>0.224</v>
      </c>
      <c r="D26" s="92">
        <v>0.26900000000000002</v>
      </c>
    </row>
    <row r="27" spans="1:5" ht="15">
      <c r="A27" s="91">
        <v>8000</v>
      </c>
      <c r="B27" s="92">
        <v>0.111</v>
      </c>
      <c r="C27" s="92">
        <v>0.216</v>
      </c>
      <c r="D27" s="92">
        <v>0.25900000000000001</v>
      </c>
    </row>
    <row r="28" spans="1:5" ht="15">
      <c r="A28" s="91">
        <v>9000</v>
      </c>
      <c r="B28" s="92">
        <v>0.106</v>
      </c>
      <c r="C28" s="92">
        <v>0.20899999999999999</v>
      </c>
      <c r="D28" s="92">
        <v>0.25</v>
      </c>
    </row>
    <row r="29" spans="1:5" ht="15">
      <c r="A29" s="91">
        <v>10000</v>
      </c>
      <c r="B29" s="92">
        <v>0.1</v>
      </c>
      <c r="C29" s="92">
        <v>0.2</v>
      </c>
      <c r="D29" s="92">
        <v>0.25</v>
      </c>
    </row>
    <row r="30" spans="1:5" ht="15">
      <c r="A30" s="91">
        <v>100000</v>
      </c>
      <c r="B30" s="92">
        <v>0.1</v>
      </c>
      <c r="C30" s="92">
        <v>0.2</v>
      </c>
      <c r="D30" s="92">
        <v>0.25</v>
      </c>
    </row>
    <row r="31" spans="1:5">
      <c r="A31" s="74"/>
      <c r="B31" s="74"/>
      <c r="C31" s="854" t="s">
        <v>19940</v>
      </c>
      <c r="D31" s="74"/>
      <c r="E31" s="74"/>
    </row>
    <row r="32" spans="1:5">
      <c r="A32" s="23" t="s">
        <v>19943</v>
      </c>
      <c r="B32" s="856">
        <f>factors!B9*'Land Calcs 10deg (sliding)'!D4</f>
        <v>422.97452131223474</v>
      </c>
      <c r="C32" s="858">
        <f ca="1">D39</f>
        <v>0.34274275049009928</v>
      </c>
    </row>
    <row r="33" spans="1:4">
      <c r="A33" s="23" t="s">
        <v>224</v>
      </c>
      <c r="B33" s="856">
        <f>factors!B11*'Port Calcs (sliding)'!D4</f>
        <v>508.6611994828155</v>
      </c>
      <c r="C33" s="858">
        <f ca="1">D44</f>
        <v>0.3257789614685716</v>
      </c>
    </row>
    <row r="34" spans="1:4">
      <c r="A34" s="23" t="s">
        <v>19944</v>
      </c>
      <c r="B34" s="856">
        <f>factors!B10*'Land Calcs 5deg (sliding)'!D4</f>
        <v>211.50909449953525</v>
      </c>
      <c r="C34" s="858">
        <f ca="1">D49</f>
        <v>0.40869455924657944</v>
      </c>
    </row>
    <row r="36" spans="1:4">
      <c r="A36" s="749" t="s">
        <v>19942</v>
      </c>
      <c r="B36" s="104" t="s">
        <v>19934</v>
      </c>
      <c r="C36" s="104" t="s">
        <v>19935</v>
      </c>
      <c r="D36" s="104" t="s">
        <v>19936</v>
      </c>
    </row>
    <row r="37" spans="1:4">
      <c r="A37" s="207" t="s">
        <v>19937</v>
      </c>
      <c r="B37" s="333" t="str">
        <f>("A"&amp;MATCH(VLOOKUP($B$32,$A$4:$B$30,1),$A$1:$A$30))</f>
        <v>A11</v>
      </c>
      <c r="C37" s="333" t="str">
        <f>("B"&amp;MATCH(VLOOKUP($B$32,$A$4:$B$30,1),$A$1:$A$30))</f>
        <v>B11</v>
      </c>
      <c r="D37" s="856">
        <f ca="1">INDIRECT(C37)</f>
        <v>0.35718985486988775</v>
      </c>
    </row>
    <row r="38" spans="1:4">
      <c r="A38" s="207" t="s">
        <v>19938</v>
      </c>
      <c r="B38" s="333" t="str">
        <f>("A"&amp;MATCH(VLOOKUP($B$32,$A$4:$B$30,1),$A$1:$A$30)+1)</f>
        <v>A12</v>
      </c>
      <c r="C38" s="333" t="str">
        <f>("B"&amp;MATCH(VLOOKUP($B$32,$A$4:$B$30,1),$A$1:$A$30)+1)</f>
        <v>B12</v>
      </c>
      <c r="D38" s="856">
        <f ca="1">INDIRECT(C38)</f>
        <v>0.32749365929367985</v>
      </c>
    </row>
    <row r="39" spans="1:4">
      <c r="A39" s="207" t="s">
        <v>19939</v>
      </c>
      <c r="B39" s="856">
        <f ca="1">(B32-INDIRECT(B37))/(INDIRECT(B38)-INDIRECT(B37))</f>
        <v>0.48649680874823159</v>
      </c>
      <c r="C39" s="333"/>
      <c r="D39" s="857">
        <f ca="1">(D37-(D37-D38)*B39)</f>
        <v>0.34274275049009928</v>
      </c>
    </row>
    <row r="41" spans="1:4">
      <c r="A41" s="749" t="s">
        <v>19941</v>
      </c>
      <c r="B41" s="104" t="s">
        <v>19934</v>
      </c>
      <c r="C41" s="104" t="s">
        <v>19935</v>
      </c>
      <c r="D41" s="104" t="s">
        <v>19936</v>
      </c>
    </row>
    <row r="42" spans="1:4">
      <c r="A42" s="207" t="s">
        <v>19937</v>
      </c>
      <c r="B42" s="333" t="str">
        <f>("A"&amp;MATCH(VLOOKUP($B$33,$A$4:$B$30,1),$A$1:$A$30))</f>
        <v>A12</v>
      </c>
      <c r="C42" s="333" t="str">
        <f>("B"&amp;MATCH(VLOOKUP($B$33,$A$4:$B$30,1),$A$1:$A$30))</f>
        <v>B12</v>
      </c>
      <c r="D42" s="856">
        <f ca="1">INDIRECT(C42)</f>
        <v>0.32749365929367985</v>
      </c>
    </row>
    <row r="43" spans="1:4">
      <c r="A43" s="207" t="s">
        <v>19938</v>
      </c>
      <c r="B43" s="333" t="str">
        <f>("A"&amp;MATCH(VLOOKUP($B$33,$A$4:$B$30,1),$A$1:$A$30)+1)</f>
        <v>A13</v>
      </c>
      <c r="C43" s="333" t="str">
        <f>("B"&amp;MATCH(VLOOKUP($B$33,$A$4:$B$30,1),$A$1:$A$30)+1)</f>
        <v>B13</v>
      </c>
      <c r="D43" s="856">
        <f ca="1">INDIRECT(C43)</f>
        <v>0.30274682964683997</v>
      </c>
    </row>
    <row r="44" spans="1:4">
      <c r="A44" s="207" t="s">
        <v>19939</v>
      </c>
      <c r="B44" s="856">
        <f ca="1">(B33-INDIRECT(B42))/(INDIRECT(B43)-INDIRECT(B42))</f>
        <v>6.9289595862524034E-2</v>
      </c>
      <c r="C44" s="333"/>
      <c r="D44" s="857">
        <f ca="1">(D42-(D42-D43)*B44)</f>
        <v>0.3257789614685716</v>
      </c>
    </row>
    <row r="46" spans="1:4">
      <c r="A46" s="749" t="s">
        <v>19942</v>
      </c>
      <c r="B46" s="104" t="s">
        <v>19934</v>
      </c>
      <c r="C46" s="104" t="s">
        <v>19935</v>
      </c>
      <c r="D46" s="104" t="s">
        <v>19936</v>
      </c>
    </row>
    <row r="47" spans="1:4">
      <c r="A47" s="207" t="s">
        <v>19937</v>
      </c>
      <c r="B47" s="333" t="str">
        <f>("A"&amp;MATCH(VLOOKUP($B$34,$A$4:$B$30,1),$A$1:$A$30))</f>
        <v>A9</v>
      </c>
      <c r="C47" s="333" t="str">
        <f>("B"&amp;MATCH(VLOOKUP($B$34,$A$4:$B$30,1),$A$1:$A$30))</f>
        <v>B9</v>
      </c>
      <c r="D47" s="856">
        <f ca="1">INDIRECT(C47)</f>
        <v>0.42391874878978131</v>
      </c>
    </row>
    <row r="48" spans="1:4">
      <c r="A48" s="207" t="s">
        <v>19938</v>
      </c>
      <c r="B48" s="333" t="str">
        <f>("A"&amp;MATCH(VLOOKUP($B$34,$A$4:$B$30,1),$A$1:$A$30)+1)</f>
        <v>A10</v>
      </c>
      <c r="C48" s="333" t="str">
        <f>("B"&amp;MATCH(VLOOKUP($B$34,$A$4:$B$30,1),$A$1:$A$30)+1)</f>
        <v>B10</v>
      </c>
      <c r="D48" s="856">
        <f ca="1">INDIRECT(C48)</f>
        <v>0.38036809815950917</v>
      </c>
    </row>
    <row r="49" spans="1:4">
      <c r="A49" s="207" t="s">
        <v>19939</v>
      </c>
      <c r="B49" s="856">
        <f ca="1">(B34-INDIRECT(B47))/(INDIRECT(B48)-INDIRECT(B47))</f>
        <v>0.34957433064431725</v>
      </c>
      <c r="C49" s="333"/>
      <c r="D49" s="857">
        <f ca="1">(D47-(D47-D48)*B49)</f>
        <v>0.40869455924657944</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pageSetup orientation="portrait" horizontalDpi="4294967292"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B2:J34"/>
  <sheetViews>
    <sheetView workbookViewId="0">
      <selection activeCell="M30" sqref="M30"/>
    </sheetView>
  </sheetViews>
  <sheetFormatPr defaultRowHeight="12.75"/>
  <cols>
    <col min="1" max="1" width="2.7109375" customWidth="1"/>
    <col min="2" max="2" width="15.7109375" bestFit="1" customWidth="1"/>
    <col min="3" max="3" width="19.5703125" bestFit="1" customWidth="1"/>
    <col min="4" max="4" width="13.140625" bestFit="1" customWidth="1"/>
    <col min="5" max="5" width="23" bestFit="1" customWidth="1"/>
    <col min="6" max="6" width="7.42578125" customWidth="1"/>
    <col min="7" max="7" width="8.85546875" bestFit="1" customWidth="1"/>
    <col min="8" max="8" width="2.7109375" customWidth="1"/>
    <col min="9" max="9" width="5.7109375" bestFit="1" customWidth="1"/>
  </cols>
  <sheetData>
    <row r="2" spans="2:10">
      <c r="B2" s="2497" t="s">
        <v>137</v>
      </c>
      <c r="C2" s="2498"/>
      <c r="D2" s="2498"/>
      <c r="E2" s="2498"/>
      <c r="F2" s="2498"/>
      <c r="G2" s="2499"/>
      <c r="H2" s="38"/>
    </row>
    <row r="3" spans="2:10">
      <c r="B3" s="201" t="s">
        <v>363</v>
      </c>
      <c r="C3" s="202" t="s">
        <v>364</v>
      </c>
      <c r="D3" s="202" t="s">
        <v>361</v>
      </c>
      <c r="E3" s="202"/>
      <c r="F3" s="630" t="s">
        <v>255</v>
      </c>
      <c r="G3" s="205" t="s">
        <v>256</v>
      </c>
      <c r="H3" s="38"/>
    </row>
    <row r="4" spans="2:10">
      <c r="B4" s="8" t="s">
        <v>102</v>
      </c>
      <c r="C4" s="132" t="s">
        <v>274</v>
      </c>
      <c r="D4" s="132" t="s">
        <v>342</v>
      </c>
      <c r="E4" s="632" t="str">
        <f>B4&amp;C4&amp;D4</f>
        <v>tpoBareYes</v>
      </c>
      <c r="F4" s="633">
        <v>0.53</v>
      </c>
      <c r="G4" s="634">
        <v>0.53</v>
      </c>
      <c r="H4" s="38"/>
      <c r="I4" s="637" t="s">
        <v>17270</v>
      </c>
      <c r="J4" s="207" t="s">
        <v>19678</v>
      </c>
    </row>
    <row r="5" spans="2:10">
      <c r="B5" s="8" t="s">
        <v>102</v>
      </c>
      <c r="C5" s="132" t="s">
        <v>274</v>
      </c>
      <c r="D5" s="132" t="s">
        <v>362</v>
      </c>
      <c r="E5" s="632" t="str">
        <f t="shared" ref="E5:E34" si="0">B5&amp;C5&amp;D5</f>
        <v>tpoBareNo</v>
      </c>
      <c r="F5" s="635">
        <v>0.48</v>
      </c>
      <c r="G5" s="636">
        <v>0.48</v>
      </c>
      <c r="H5" s="38"/>
      <c r="I5" s="207" t="s">
        <v>8842</v>
      </c>
      <c r="J5" s="207" t="s">
        <v>19676</v>
      </c>
    </row>
    <row r="6" spans="2:10">
      <c r="B6" s="8" t="s">
        <v>80</v>
      </c>
      <c r="C6" s="132" t="s">
        <v>274</v>
      </c>
      <c r="D6" s="132" t="s">
        <v>342</v>
      </c>
      <c r="E6" s="632" t="str">
        <f t="shared" si="0"/>
        <v>epdmBareYes</v>
      </c>
      <c r="F6" s="635">
        <v>0.49</v>
      </c>
      <c r="G6" s="636">
        <v>0.49</v>
      </c>
      <c r="H6" s="38"/>
      <c r="I6" s="98" t="s">
        <v>19675</v>
      </c>
      <c r="J6" s="207" t="s">
        <v>19677</v>
      </c>
    </row>
    <row r="7" spans="2:10">
      <c r="B7" s="8" t="s">
        <v>80</v>
      </c>
      <c r="C7" s="132" t="s">
        <v>274</v>
      </c>
      <c r="D7" s="132" t="s">
        <v>362</v>
      </c>
      <c r="E7" s="632" t="str">
        <f t="shared" si="0"/>
        <v>epdmBareNo</v>
      </c>
      <c r="F7" s="635">
        <v>0.53</v>
      </c>
      <c r="G7" s="636">
        <v>0.53</v>
      </c>
      <c r="H7" s="38"/>
    </row>
    <row r="8" spans="2:10">
      <c r="B8" s="8" t="s">
        <v>129</v>
      </c>
      <c r="C8" s="132" t="s">
        <v>274</v>
      </c>
      <c r="D8" s="132" t="s">
        <v>342</v>
      </c>
      <c r="E8" s="632" t="str">
        <f t="shared" si="0"/>
        <v>PVCBareYes</v>
      </c>
      <c r="F8" s="635">
        <v>0.84</v>
      </c>
      <c r="G8" s="636">
        <v>0.84</v>
      </c>
      <c r="H8" s="38"/>
    </row>
    <row r="9" spans="2:10">
      <c r="B9" s="8" t="s">
        <v>129</v>
      </c>
      <c r="C9" s="132" t="s">
        <v>274</v>
      </c>
      <c r="D9" s="132" t="s">
        <v>362</v>
      </c>
      <c r="E9" s="632" t="str">
        <f t="shared" si="0"/>
        <v>PVCBareNo</v>
      </c>
      <c r="F9" s="635">
        <v>0.7</v>
      </c>
      <c r="G9" s="636">
        <v>0.7</v>
      </c>
      <c r="H9" s="38"/>
    </row>
    <row r="10" spans="2:10">
      <c r="B10" s="631" t="s">
        <v>19673</v>
      </c>
      <c r="C10" s="132" t="s">
        <v>274</v>
      </c>
      <c r="D10" s="132" t="s">
        <v>342</v>
      </c>
      <c r="E10" s="632" t="str">
        <f t="shared" si="0"/>
        <v>Granule CoatedBareYes</v>
      </c>
      <c r="F10" s="628">
        <v>0.59671707142243235</v>
      </c>
      <c r="G10" s="629">
        <v>0.51938966854992319</v>
      </c>
      <c r="H10" s="38"/>
      <c r="J10" s="207"/>
    </row>
    <row r="11" spans="2:10" s="624" customFormat="1">
      <c r="B11" s="631" t="s">
        <v>19673</v>
      </c>
      <c r="C11" s="632" t="s">
        <v>274</v>
      </c>
      <c r="D11" s="632" t="s">
        <v>362</v>
      </c>
      <c r="E11" s="632" t="str">
        <f t="shared" si="0"/>
        <v>Granule CoatedBareNo</v>
      </c>
      <c r="F11" s="635">
        <v>0.42</v>
      </c>
      <c r="G11" s="636">
        <v>0.42</v>
      </c>
      <c r="H11" s="626"/>
      <c r="I11" s="627"/>
      <c r="J11" s="627"/>
    </row>
    <row r="12" spans="2:10" s="625" customFormat="1">
      <c r="B12" s="8" t="s">
        <v>19672</v>
      </c>
      <c r="C12" s="132" t="s">
        <v>274</v>
      </c>
      <c r="D12" s="132" t="s">
        <v>342</v>
      </c>
      <c r="E12" s="632" t="str">
        <f>B12&amp;C12&amp;D12</f>
        <v>gravelBareYes</v>
      </c>
      <c r="F12" s="141">
        <v>0.23</v>
      </c>
      <c r="G12" s="142">
        <v>0.23</v>
      </c>
      <c r="H12" s="626"/>
      <c r="I12" s="627"/>
      <c r="J12" s="627"/>
    </row>
    <row r="13" spans="2:10" s="624" customFormat="1">
      <c r="B13" s="8" t="s">
        <v>19672</v>
      </c>
      <c r="C13" s="132" t="s">
        <v>274</v>
      </c>
      <c r="D13" s="132" t="s">
        <v>362</v>
      </c>
      <c r="E13" s="632" t="str">
        <f t="shared" si="0"/>
        <v>gravelBareNo</v>
      </c>
      <c r="F13" s="638">
        <v>0.23</v>
      </c>
      <c r="G13" s="639">
        <v>0.23</v>
      </c>
      <c r="H13" s="626"/>
      <c r="I13" s="627"/>
    </row>
    <row r="14" spans="2:10">
      <c r="B14" s="8" t="s">
        <v>124</v>
      </c>
      <c r="C14" s="132" t="s">
        <v>274</v>
      </c>
      <c r="D14" s="132" t="s">
        <v>342</v>
      </c>
      <c r="E14" s="132" t="str">
        <f t="shared" si="0"/>
        <v>otherBareYes</v>
      </c>
      <c r="F14" s="141">
        <v>0.371</v>
      </c>
      <c r="G14" s="142">
        <v>0.371</v>
      </c>
      <c r="H14" s="38"/>
      <c r="J14" s="101"/>
    </row>
    <row r="15" spans="2:10">
      <c r="B15" s="193" t="s">
        <v>124</v>
      </c>
      <c r="C15" s="194" t="s">
        <v>274</v>
      </c>
      <c r="D15" s="194" t="s">
        <v>362</v>
      </c>
      <c r="E15" s="194" t="str">
        <f t="shared" si="0"/>
        <v>otherBareNo</v>
      </c>
      <c r="F15" s="195">
        <v>0.371</v>
      </c>
      <c r="G15" s="196">
        <v>0.371</v>
      </c>
      <c r="H15" s="38"/>
      <c r="J15" s="101"/>
    </row>
    <row r="16" spans="2:10">
      <c r="B16" s="203" t="s">
        <v>363</v>
      </c>
      <c r="C16" s="204" t="s">
        <v>364</v>
      </c>
      <c r="D16" s="204" t="s">
        <v>361</v>
      </c>
      <c r="E16" s="204"/>
      <c r="F16" s="198" t="s">
        <v>255</v>
      </c>
      <c r="G16" s="200" t="s">
        <v>256</v>
      </c>
      <c r="H16" s="38"/>
    </row>
    <row r="17" spans="2:8">
      <c r="B17" s="8" t="s">
        <v>102</v>
      </c>
      <c r="C17" s="132" t="s">
        <v>18</v>
      </c>
      <c r="D17" s="132" t="s">
        <v>342</v>
      </c>
      <c r="E17" s="132" t="str">
        <f t="shared" si="0"/>
        <v>tpoEPDMYes</v>
      </c>
      <c r="F17" s="628">
        <v>0.83444466519526928</v>
      </c>
      <c r="G17" s="629">
        <v>0.75867756807075126</v>
      </c>
      <c r="H17" s="38"/>
    </row>
    <row r="18" spans="2:8">
      <c r="B18" s="8" t="s">
        <v>102</v>
      </c>
      <c r="C18" s="132" t="s">
        <v>18</v>
      </c>
      <c r="D18" s="132" t="s">
        <v>362</v>
      </c>
      <c r="E18" s="132" t="str">
        <f t="shared" si="0"/>
        <v>tpoEPDMNo</v>
      </c>
      <c r="F18" s="628">
        <v>1.3156236310821832</v>
      </c>
      <c r="G18" s="629">
        <v>1.2129280886923379</v>
      </c>
      <c r="H18" s="38"/>
    </row>
    <row r="19" spans="2:8">
      <c r="B19" s="8" t="s">
        <v>80</v>
      </c>
      <c r="C19" s="132" t="s">
        <v>18</v>
      </c>
      <c r="D19" s="132" t="s">
        <v>342</v>
      </c>
      <c r="E19" s="132" t="str">
        <f t="shared" si="0"/>
        <v>epdmEPDMYes</v>
      </c>
      <c r="F19" s="628">
        <v>0.68715276921402524</v>
      </c>
      <c r="G19" s="629">
        <v>0.65259528270207956</v>
      </c>
      <c r="H19" s="38"/>
    </row>
    <row r="20" spans="2:8">
      <c r="B20" s="8" t="s">
        <v>80</v>
      </c>
      <c r="C20" s="132" t="s">
        <v>18</v>
      </c>
      <c r="D20" s="132" t="s">
        <v>362</v>
      </c>
      <c r="E20" s="132" t="str">
        <f t="shared" si="0"/>
        <v>epdmEPDMNo</v>
      </c>
      <c r="F20" s="628">
        <v>1.0786592077548451</v>
      </c>
      <c r="G20" s="629">
        <v>0.88876572693701006</v>
      </c>
      <c r="H20" s="38"/>
    </row>
    <row r="21" spans="2:8">
      <c r="B21" s="8" t="s">
        <v>129</v>
      </c>
      <c r="C21" s="132" t="s">
        <v>18</v>
      </c>
      <c r="D21" s="132" t="s">
        <v>342</v>
      </c>
      <c r="E21" s="132" t="str">
        <f t="shared" si="0"/>
        <v>PVCEPDMYes</v>
      </c>
      <c r="F21" s="628">
        <v>1.2557147511105373</v>
      </c>
      <c r="G21" s="629">
        <v>1.0537230822849166</v>
      </c>
      <c r="H21" s="38"/>
    </row>
    <row r="22" spans="2:8">
      <c r="B22" s="8" t="s">
        <v>129</v>
      </c>
      <c r="C22" s="132" t="s">
        <v>18</v>
      </c>
      <c r="D22" s="132" t="s">
        <v>362</v>
      </c>
      <c r="E22" s="132" t="str">
        <f t="shared" si="0"/>
        <v>PVCEPDMNo</v>
      </c>
      <c r="F22" s="628">
        <v>1.2725045009115086</v>
      </c>
      <c r="G22" s="629">
        <v>1.1910849445683658</v>
      </c>
      <c r="H22" s="38"/>
    </row>
    <row r="23" spans="2:8">
      <c r="B23" s="631" t="s">
        <v>19673</v>
      </c>
      <c r="C23" s="132" t="s">
        <v>18</v>
      </c>
      <c r="D23" s="132" t="s">
        <v>342</v>
      </c>
      <c r="E23" s="132" t="str">
        <f t="shared" si="0"/>
        <v>Granule CoatedEPDMYes</v>
      </c>
      <c r="F23" s="628">
        <v>0.61694108822814731</v>
      </c>
      <c r="G23" s="629">
        <v>0.51687569253900723</v>
      </c>
      <c r="H23" s="38"/>
    </row>
    <row r="24" spans="2:8">
      <c r="B24" s="631" t="s">
        <v>19673</v>
      </c>
      <c r="C24" s="132" t="s">
        <v>18</v>
      </c>
      <c r="D24" s="132" t="s">
        <v>362</v>
      </c>
      <c r="E24" s="132" t="str">
        <f t="shared" si="0"/>
        <v>Granule CoatedEPDMNo</v>
      </c>
      <c r="F24" s="628">
        <v>0.69898191111925467</v>
      </c>
      <c r="G24" s="629">
        <v>0.47973368016827012</v>
      </c>
      <c r="H24" s="38"/>
    </row>
    <row r="25" spans="2:8">
      <c r="B25" s="8" t="s">
        <v>19672</v>
      </c>
      <c r="C25" s="132" t="s">
        <v>18</v>
      </c>
      <c r="D25" s="132" t="s">
        <v>342</v>
      </c>
      <c r="E25" s="132" t="str">
        <f t="shared" si="0"/>
        <v>gravelEPDMYes</v>
      </c>
      <c r="F25" s="141">
        <v>0.53</v>
      </c>
      <c r="G25" s="142">
        <v>0.5</v>
      </c>
      <c r="H25" s="38"/>
    </row>
    <row r="26" spans="2:8">
      <c r="B26" s="8" t="s">
        <v>19672</v>
      </c>
      <c r="C26" s="132" t="s">
        <v>18</v>
      </c>
      <c r="D26" s="132" t="s">
        <v>362</v>
      </c>
      <c r="E26" s="132" t="str">
        <f t="shared" si="0"/>
        <v>gravelEPDMNo</v>
      </c>
      <c r="F26" s="141">
        <v>0.53</v>
      </c>
      <c r="G26" s="142">
        <v>0.5</v>
      </c>
      <c r="H26" s="38"/>
    </row>
    <row r="27" spans="2:8">
      <c r="B27" s="8" t="s">
        <v>124</v>
      </c>
      <c r="C27" s="132" t="s">
        <v>18</v>
      </c>
      <c r="D27" s="132" t="s">
        <v>342</v>
      </c>
      <c r="E27" s="132" t="str">
        <f t="shared" si="0"/>
        <v>otherEPDMYes</v>
      </c>
      <c r="F27" s="141">
        <v>0.53</v>
      </c>
      <c r="G27" s="142">
        <v>0.53</v>
      </c>
      <c r="H27" s="38"/>
    </row>
    <row r="28" spans="2:8">
      <c r="B28" s="193" t="s">
        <v>124</v>
      </c>
      <c r="C28" s="194" t="s">
        <v>18</v>
      </c>
      <c r="D28" s="194" t="s">
        <v>362</v>
      </c>
      <c r="E28" s="194" t="str">
        <f t="shared" si="0"/>
        <v>otherEPDMNo</v>
      </c>
      <c r="F28" s="195">
        <v>0.53</v>
      </c>
      <c r="G28" s="196">
        <v>0.53</v>
      </c>
      <c r="H28" s="38"/>
    </row>
    <row r="29" spans="2:8" s="335" customFormat="1">
      <c r="B29" s="203" t="s">
        <v>363</v>
      </c>
      <c r="C29" s="204" t="s">
        <v>364</v>
      </c>
      <c r="D29" s="204" t="s">
        <v>361</v>
      </c>
      <c r="E29" s="204"/>
      <c r="F29" s="198" t="s">
        <v>255</v>
      </c>
      <c r="G29" s="200" t="s">
        <v>256</v>
      </c>
      <c r="H29" s="334"/>
    </row>
    <row r="30" spans="2:8" s="335" customFormat="1">
      <c r="B30" s="8" t="s">
        <v>80</v>
      </c>
      <c r="C30" s="132" t="s">
        <v>121</v>
      </c>
      <c r="D30" s="132" t="s">
        <v>342</v>
      </c>
      <c r="E30" s="132" t="str">
        <f>B30&amp;C30&amp;D30</f>
        <v>epdmTPOYes</v>
      </c>
      <c r="F30" s="339">
        <v>0.64</v>
      </c>
      <c r="G30" s="340">
        <v>0.57999999999999996</v>
      </c>
      <c r="H30" s="334"/>
    </row>
    <row r="31" spans="2:8" s="335" customFormat="1">
      <c r="B31" s="8" t="s">
        <v>80</v>
      </c>
      <c r="C31" s="132" t="s">
        <v>121</v>
      </c>
      <c r="D31" s="132" t="s">
        <v>362</v>
      </c>
      <c r="E31" s="132" t="str">
        <f>B31&amp;C31&amp;D31</f>
        <v>epdmTPONo</v>
      </c>
      <c r="F31" s="341">
        <v>1.01</v>
      </c>
      <c r="G31" s="342">
        <v>0.93</v>
      </c>
      <c r="H31" s="334"/>
    </row>
    <row r="32" spans="2:8" s="335" customFormat="1">
      <c r="B32" s="8" t="s">
        <v>102</v>
      </c>
      <c r="C32" s="132" t="s">
        <v>121</v>
      </c>
      <c r="D32" s="132" t="s">
        <v>342</v>
      </c>
      <c r="E32" s="132" t="str">
        <f>B32&amp;C32&amp;D32</f>
        <v>tpoTPOYes</v>
      </c>
      <c r="F32" s="341">
        <v>0.64</v>
      </c>
      <c r="G32" s="342">
        <v>0.57999999999999996</v>
      </c>
      <c r="H32" s="334"/>
    </row>
    <row r="33" spans="2:8" s="335" customFormat="1">
      <c r="B33" s="8" t="s">
        <v>102</v>
      </c>
      <c r="C33" s="132" t="s">
        <v>121</v>
      </c>
      <c r="D33" s="132" t="s">
        <v>362</v>
      </c>
      <c r="E33" s="132" t="str">
        <f>B33&amp;C33&amp;D33</f>
        <v>tpoTPONo</v>
      </c>
      <c r="F33" s="343">
        <v>0.64</v>
      </c>
      <c r="G33" s="344">
        <v>0.57999999999999996</v>
      </c>
      <c r="H33" s="334"/>
    </row>
    <row r="34" spans="2:8">
      <c r="B34" s="197" t="str">
        <f>'1-Eng Inputs'!$C$11</f>
        <v>TPO</v>
      </c>
      <c r="C34" s="198" t="str">
        <f>'1-Eng Inputs'!C11</f>
        <v>TPO</v>
      </c>
      <c r="D34" s="198" t="str">
        <f>'1-Eng Inputs'!$C$43</f>
        <v>YES</v>
      </c>
      <c r="E34" s="199" t="str">
        <f t="shared" si="0"/>
        <v>TPOTPOYES</v>
      </c>
      <c r="F34" s="337">
        <f>VLOOKUP(E34,E4:G33,2,0)</f>
        <v>0.64</v>
      </c>
      <c r="G34" s="338">
        <f>VLOOKUP(E34,E4:G33,3,0)</f>
        <v>0.57999999999999996</v>
      </c>
      <c r="H34" s="38"/>
    </row>
  </sheetData>
  <customSheetViews>
    <customSheetView guid="{F2CCAFB5-9C02-49AC-87E7-8695C5014AAE}" hiddenColumns="1" state="hidden">
      <selection activeCell="G52" sqref="G52"/>
      <pageMargins left="0.7" right="0.7" top="0.75" bottom="0.75" header="0.3" footer="0.3"/>
      <pageSetup orientation="portrait" horizontalDpi="0" verticalDpi="0" r:id="rId1"/>
    </customSheetView>
  </customSheetViews>
  <mergeCells count="1">
    <mergeCell ref="B2:G2"/>
  </mergeCells>
  <pageMargins left="0.7" right="0.7" top="0.75" bottom="0.75" header="0.3" footer="0.3"/>
  <pageSetup orientation="portrait" horizontalDpi="0" verticalDpi="0"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0"/>
  <dimension ref="A1:Z60"/>
  <sheetViews>
    <sheetView zoomScaleNormal="100" workbookViewId="0">
      <selection activeCell="A59" sqref="A59"/>
    </sheetView>
  </sheetViews>
  <sheetFormatPr defaultRowHeight="12.75"/>
  <cols>
    <col min="1" max="1" width="23" bestFit="1" customWidth="1"/>
    <col min="2" max="2" width="12" bestFit="1" customWidth="1"/>
    <col min="3" max="3" width="15.7109375" customWidth="1"/>
    <col min="4" max="4" width="28.5703125" customWidth="1"/>
    <col min="5" max="5" width="21.140625" bestFit="1" customWidth="1"/>
    <col min="6" max="6" width="12" bestFit="1" customWidth="1"/>
    <col min="7" max="7" width="10.85546875" bestFit="1" customWidth="1"/>
    <col min="8" max="8" width="7" customWidth="1"/>
    <col min="9" max="9" width="6.42578125" customWidth="1"/>
    <col min="10" max="10" width="7.7109375" bestFit="1" customWidth="1"/>
    <col min="11" max="11" width="13.7109375" bestFit="1" customWidth="1"/>
    <col min="12" max="12" width="5.5703125" bestFit="1" customWidth="1"/>
    <col min="13" max="13" width="5.5703125" customWidth="1"/>
    <col min="14" max="14" width="6.5703125" customWidth="1"/>
    <col min="15" max="15" width="8" customWidth="1"/>
    <col min="16" max="16" width="7.7109375" bestFit="1" customWidth="1"/>
    <col min="17" max="17" width="13.7109375" bestFit="1" customWidth="1"/>
    <col min="18" max="19" width="4.85546875" customWidth="1"/>
    <col min="20" max="20" width="6.5703125" bestFit="1" customWidth="1"/>
    <col min="21" max="21" width="5.5703125" bestFit="1" customWidth="1"/>
    <col min="22" max="22" width="8.85546875" bestFit="1" customWidth="1"/>
    <col min="23" max="23" width="14.28515625" bestFit="1" customWidth="1"/>
    <col min="24" max="24" width="4.5703125" bestFit="1" customWidth="1"/>
    <col min="25" max="25" width="4.5703125" customWidth="1"/>
    <col min="26" max="26" width="4.5703125" bestFit="1" customWidth="1"/>
  </cols>
  <sheetData>
    <row r="1" spans="1:4">
      <c r="A1" s="328" t="s">
        <v>19338</v>
      </c>
      <c r="B1" s="308" t="s">
        <v>144</v>
      </c>
      <c r="C1" s="261" t="s">
        <v>19340</v>
      </c>
      <c r="D1" s="261" t="s">
        <v>19339</v>
      </c>
    </row>
    <row r="2" spans="1:4">
      <c r="A2" s="207" t="s">
        <v>19264</v>
      </c>
      <c r="B2" s="298">
        <f>'1-Eng Inputs'!C27</f>
        <v>20</v>
      </c>
      <c r="C2" s="207" t="s">
        <v>4</v>
      </c>
      <c r="D2" s="261" t="s">
        <v>19265</v>
      </c>
    </row>
    <row r="3" spans="1:4">
      <c r="A3" s="207" t="s">
        <v>19266</v>
      </c>
      <c r="B3" s="303">
        <v>217</v>
      </c>
      <c r="C3" s="207" t="s">
        <v>4</v>
      </c>
      <c r="D3" s="261" t="s">
        <v>19267</v>
      </c>
    </row>
    <row r="4" spans="1:4">
      <c r="A4" s="207" t="s">
        <v>19268</v>
      </c>
      <c r="B4" s="207">
        <f>MIN(0.5*SQRT(B2*B3),B2)</f>
        <v>20</v>
      </c>
      <c r="C4" s="207" t="s">
        <v>4</v>
      </c>
      <c r="D4" s="261"/>
    </row>
    <row r="5" spans="1:4">
      <c r="A5" s="207"/>
      <c r="B5" s="207"/>
      <c r="C5" s="207"/>
    </row>
    <row r="6" spans="1:4">
      <c r="A6" s="207" t="s">
        <v>19271</v>
      </c>
      <c r="B6" s="298">
        <f>'1-Eng Inputs'!C19/12</f>
        <v>3.2833333333333332</v>
      </c>
      <c r="C6" s="207" t="s">
        <v>4</v>
      </c>
      <c r="D6" s="261" t="s">
        <v>19272</v>
      </c>
    </row>
    <row r="7" spans="1:4">
      <c r="A7" s="207" t="s">
        <v>19335</v>
      </c>
      <c r="B7" s="298">
        <f>'1-Eng Inputs'!C18/12</f>
        <v>6.5750000000000002</v>
      </c>
      <c r="C7" s="207" t="s">
        <v>4</v>
      </c>
      <c r="D7" s="261" t="s">
        <v>19336</v>
      </c>
    </row>
    <row r="8" spans="1:4">
      <c r="A8" s="207" t="s">
        <v>19269</v>
      </c>
      <c r="B8" s="298">
        <f>IF('1-Eng Inputs'!C37="Landscape",B6,IF('1-Eng Inputs'!C37="Portrait",B7))</f>
        <v>3.2833333333333332</v>
      </c>
      <c r="C8" s="207" t="s">
        <v>4</v>
      </c>
      <c r="D8" s="261" t="s">
        <v>19270</v>
      </c>
    </row>
    <row r="9" spans="1:4">
      <c r="A9" s="207" t="s">
        <v>19273</v>
      </c>
      <c r="B9" s="309">
        <v>100</v>
      </c>
      <c r="C9" s="207" t="s">
        <v>77</v>
      </c>
      <c r="D9" s="261" t="s">
        <v>19274</v>
      </c>
    </row>
    <row r="10" spans="1:4">
      <c r="A10" s="207"/>
      <c r="B10" s="207"/>
      <c r="C10" s="207"/>
    </row>
    <row r="11" spans="1:4">
      <c r="A11" s="207" t="s">
        <v>19275</v>
      </c>
      <c r="B11" s="262">
        <f>(1000/(MAX(B4,15))^2)*B9</f>
        <v>250</v>
      </c>
      <c r="C11" s="207"/>
      <c r="D11" s="261" t="s">
        <v>19276</v>
      </c>
    </row>
    <row r="12" spans="1:4">
      <c r="A12" s="207"/>
      <c r="B12" s="207"/>
      <c r="C12" s="207"/>
    </row>
    <row r="13" spans="1:4">
      <c r="A13" s="263" t="s">
        <v>19277</v>
      </c>
      <c r="B13" s="298">
        <f>IF(('1-Eng Inputs'!C44)/12&lt;=4,1,MIN(0.25*('1-Eng Inputs'!C44)/12,1.3))</f>
        <v>1</v>
      </c>
      <c r="C13" s="207"/>
      <c r="D13" s="261" t="s">
        <v>19278</v>
      </c>
    </row>
    <row r="14" spans="1:4">
      <c r="A14" s="264" t="s">
        <v>19280</v>
      </c>
      <c r="B14" s="324">
        <f>DEGREES(ASIN((6+5/32)/(B8*12)))</f>
        <v>8.9892993451628076</v>
      </c>
      <c r="C14" s="207" t="s">
        <v>19281</v>
      </c>
      <c r="D14" s="261" t="s">
        <v>19282</v>
      </c>
    </row>
    <row r="16" spans="1:4" ht="13.5" thickBot="1">
      <c r="A16" s="225" t="s">
        <v>19279</v>
      </c>
    </row>
    <row r="17" spans="1:9" ht="13.5" thickBot="1">
      <c r="A17" s="314" t="s">
        <v>19331</v>
      </c>
      <c r="B17" s="315" t="s">
        <v>19330</v>
      </c>
      <c r="C17" s="316" t="s">
        <v>19326</v>
      </c>
    </row>
    <row r="18" spans="1:9" ht="13.5" thickBot="1">
      <c r="A18" s="317">
        <v>1</v>
      </c>
      <c r="B18" s="318">
        <f>MAX(0.6+0.06*B8,0.8)</f>
        <v>0.8</v>
      </c>
      <c r="C18" s="319">
        <f>IF(B14&lt;5,A18,IF(B14&gt;15,B18,(B14-5)/(15-5)*(B18-A18)+A18))</f>
        <v>0.92021401309674389</v>
      </c>
    </row>
    <row r="19" spans="1:9">
      <c r="A19" s="207"/>
    </row>
    <row r="20" spans="1:9">
      <c r="A20" s="104" t="s">
        <v>19334</v>
      </c>
    </row>
    <row r="21" spans="1:9" ht="13.5" thickBot="1"/>
    <row r="22" spans="1:9" ht="13.5" thickBot="1">
      <c r="A22" s="104" t="s">
        <v>19337</v>
      </c>
      <c r="B22" s="2500" t="s">
        <v>19284</v>
      </c>
      <c r="C22" s="2501"/>
      <c r="D22" s="2501"/>
      <c r="E22" s="2501" t="s">
        <v>19285</v>
      </c>
      <c r="F22" s="2501"/>
      <c r="G22" s="2502"/>
    </row>
    <row r="23" spans="1:9" ht="13.5" thickBot="1">
      <c r="A23" s="270" t="s">
        <v>19283</v>
      </c>
      <c r="B23" s="311">
        <v>1</v>
      </c>
      <c r="C23" s="312">
        <v>500</v>
      </c>
      <c r="D23" s="312">
        <v>5000</v>
      </c>
      <c r="E23" s="313">
        <v>1</v>
      </c>
      <c r="F23" s="312">
        <v>500</v>
      </c>
      <c r="G23" s="313">
        <v>5000</v>
      </c>
    </row>
    <row r="24" spans="1:9">
      <c r="A24" s="272">
        <v>0</v>
      </c>
      <c r="B24" s="265">
        <v>0.8</v>
      </c>
      <c r="C24" s="265">
        <v>0.3</v>
      </c>
      <c r="D24" s="265">
        <v>0.1</v>
      </c>
      <c r="E24" s="266">
        <v>1.1000000000000001</v>
      </c>
      <c r="F24" s="265">
        <v>0.5</v>
      </c>
      <c r="G24" s="266">
        <v>0.25</v>
      </c>
    </row>
    <row r="25" spans="1:9">
      <c r="A25" s="273">
        <v>1</v>
      </c>
      <c r="B25" s="129">
        <v>1.5</v>
      </c>
      <c r="C25" s="129">
        <v>0.35</v>
      </c>
      <c r="D25" s="129">
        <v>0.1</v>
      </c>
      <c r="E25" s="267">
        <v>2</v>
      </c>
      <c r="F25" s="129">
        <v>0.55000000000000004</v>
      </c>
      <c r="G25" s="267">
        <v>0.3</v>
      </c>
    </row>
    <row r="26" spans="1:9">
      <c r="A26" s="273">
        <v>2</v>
      </c>
      <c r="B26" s="129">
        <v>2</v>
      </c>
      <c r="C26" s="129">
        <v>0.45</v>
      </c>
      <c r="D26" s="129">
        <v>0.15</v>
      </c>
      <c r="E26" s="267">
        <v>2.9</v>
      </c>
      <c r="F26" s="129">
        <v>0.65</v>
      </c>
      <c r="G26" s="267">
        <v>0.4</v>
      </c>
    </row>
    <row r="27" spans="1:9" ht="13.5" thickBot="1">
      <c r="A27" s="274">
        <v>3</v>
      </c>
      <c r="B27" s="268">
        <v>2.2999999999999998</v>
      </c>
      <c r="C27" s="268">
        <v>0.5</v>
      </c>
      <c r="D27" s="268">
        <v>0.15</v>
      </c>
      <c r="E27" s="269">
        <v>3.5</v>
      </c>
      <c r="F27" s="268">
        <v>0.8</v>
      </c>
      <c r="G27" s="269">
        <v>0.5</v>
      </c>
    </row>
    <row r="28" spans="1:9" ht="13.5" thickBot="1"/>
    <row r="29" spans="1:9" ht="13.5" thickBot="1">
      <c r="A29" s="104" t="s">
        <v>19320</v>
      </c>
      <c r="B29" s="2500" t="s">
        <v>19328</v>
      </c>
      <c r="C29" s="2501"/>
      <c r="D29" s="2501" t="s">
        <v>19329</v>
      </c>
      <c r="E29" s="2502"/>
      <c r="F29" s="2503" t="s">
        <v>19326</v>
      </c>
      <c r="G29" s="2504"/>
    </row>
    <row r="30" spans="1:9" ht="13.5" thickBot="1">
      <c r="A30" s="270" t="s">
        <v>19283</v>
      </c>
      <c r="B30" s="310" t="s">
        <v>19333</v>
      </c>
      <c r="C30" s="310" t="s">
        <v>19327</v>
      </c>
      <c r="D30" s="310" t="s">
        <v>19333</v>
      </c>
      <c r="E30" s="271" t="s">
        <v>19327</v>
      </c>
      <c r="F30" s="310" t="s">
        <v>19333</v>
      </c>
      <c r="G30" s="271" t="s">
        <v>19327</v>
      </c>
      <c r="H30" s="323" t="s">
        <v>19332</v>
      </c>
      <c r="I30" s="323" t="s">
        <v>19275</v>
      </c>
    </row>
    <row r="31" spans="1:9">
      <c r="A31" s="272">
        <v>0</v>
      </c>
      <c r="B31" s="265">
        <f>SLOPE(B24:C24,LOG(B$23:C$23))*LOG($B$11)+INTERCEPT(B24:C24,LOG(B$23:C$23))</f>
        <v>0.35576756969887824</v>
      </c>
      <c r="C31" s="265">
        <f t="shared" ref="B31:C34" si="0">SLOPE(C24:D24,LOG(C$23:D$23))*LOG($B$11)+INTERCEPT(C24:D24,LOG(C$23:D$23))</f>
        <v>0.36020599913279633</v>
      </c>
      <c r="D31" s="265">
        <f>$C$18*(SLOPE(E24:F24,LOG(E$23:F$23))*LOG($B$11)+INTERCEPT(E24:F24,LOG(E$23:F$23)))</f>
        <v>0.52168872548428047</v>
      </c>
      <c r="E31" s="266">
        <f t="shared" ref="D31:E34" si="1">$C$18*(SLOPE(F24:G24,LOG(F$23:G$23))*LOG($B$11)+INTERCEPT(F24:G24,LOG(F$23:G$23)))</f>
        <v>0.52936001164148383</v>
      </c>
      <c r="F31" s="265">
        <f>IF($B$14&lt;5,B31,IF($B$14&gt;15,D31,($B$14-5)/(15-5)*(D31-B31)+B31))</f>
        <v>0.4219584855112144</v>
      </c>
      <c r="G31" s="320">
        <f t="shared" ref="F31:G34" si="2">IF($B$14&lt;5,C31,IF($B$14&gt;15,E31,($B$14-5)/(15-5)*(E31-C31)+C31))</f>
        <v>0.42768659826605315</v>
      </c>
      <c r="H31" s="325">
        <f>IF($B$11&lt;=500,F31,IF($B$11&lt;=5000,G31))</f>
        <v>0.4219584855112144</v>
      </c>
      <c r="I31" s="325">
        <f>$B$11</f>
        <v>250</v>
      </c>
    </row>
    <row r="32" spans="1:9">
      <c r="A32" s="273">
        <v>1</v>
      </c>
      <c r="B32" s="265">
        <f t="shared" si="0"/>
        <v>0.47826541030741976</v>
      </c>
      <c r="C32" s="129">
        <f t="shared" si="0"/>
        <v>0.42525749891599529</v>
      </c>
      <c r="D32" s="129">
        <f t="shared" si="1"/>
        <v>0.65494019463165487</v>
      </c>
      <c r="E32" s="267">
        <f t="shared" si="1"/>
        <v>0.5753707122963212</v>
      </c>
      <c r="F32" s="129">
        <f t="shared" si="2"/>
        <v>0.54874627044856494</v>
      </c>
      <c r="G32" s="321">
        <f>IF($B$14&lt;5,C32,IF($B$14&gt;15,E32,($B$14-5)/(15-5)*(E32-C32)+C32))</f>
        <v>0.48514215329983718</v>
      </c>
      <c r="H32" s="326">
        <f>IF($B$11&lt;=500,F32,IF($B$11&lt;=5000,G32))</f>
        <v>0.54874627044856494</v>
      </c>
      <c r="I32" s="326">
        <f>$B$11</f>
        <v>250</v>
      </c>
    </row>
    <row r="33" spans="1:26">
      <c r="A33" s="273">
        <v>2</v>
      </c>
      <c r="B33" s="265">
        <f t="shared" si="0"/>
        <v>0.62287946606652245</v>
      </c>
      <c r="C33" s="129">
        <f t="shared" si="0"/>
        <v>0.54030899869919446</v>
      </c>
      <c r="D33" s="129">
        <f t="shared" si="1"/>
        <v>0.8290705545225403</v>
      </c>
      <c r="E33" s="267">
        <f t="shared" si="1"/>
        <v>0.66739211360599537</v>
      </c>
      <c r="F33" s="129">
        <f t="shared" si="2"/>
        <v>0.7051352634821223</v>
      </c>
      <c r="G33" s="321">
        <f t="shared" si="2"/>
        <v>0.59100625740708956</v>
      </c>
      <c r="H33" s="326">
        <f>IF($B$11&lt;=500,F33,IF($B$11&lt;=5000,G33))</f>
        <v>0.7051352634821223</v>
      </c>
      <c r="I33" s="326">
        <f>$B$11</f>
        <v>250</v>
      </c>
    </row>
    <row r="34" spans="1:26" ht="13.5" thickBot="1">
      <c r="A34" s="274">
        <v>3</v>
      </c>
      <c r="B34" s="268">
        <f t="shared" si="0"/>
        <v>0.70076325091596181</v>
      </c>
      <c r="C34" s="268">
        <f t="shared" si="0"/>
        <v>0.60536049848239326</v>
      </c>
      <c r="D34" s="268">
        <f t="shared" si="1"/>
        <v>1.0132889456889835</v>
      </c>
      <c r="E34" s="269">
        <f t="shared" si="1"/>
        <v>0.8192748165891296</v>
      </c>
      <c r="F34" s="268">
        <f t="shared" si="2"/>
        <v>0.82543910586641855</v>
      </c>
      <c r="G34" s="322">
        <f t="shared" si="2"/>
        <v>0.69069732339680845</v>
      </c>
      <c r="H34" s="327">
        <f>IF($B$11&lt;=500,F34,IF($B$11&lt;=5000,G34))</f>
        <v>0.82543910586641855</v>
      </c>
      <c r="I34" s="327">
        <f>$B$11</f>
        <v>250</v>
      </c>
    </row>
    <row r="38" spans="1:26">
      <c r="A38" s="207" t="s">
        <v>19286</v>
      </c>
      <c r="B38">
        <f>2.125/12</f>
        <v>0.17708333333333334</v>
      </c>
      <c r="C38" s="207" t="s">
        <v>4</v>
      </c>
      <c r="D38" s="261" t="s">
        <v>19287</v>
      </c>
    </row>
    <row r="39" spans="1:26">
      <c r="A39" s="207" t="s">
        <v>19288</v>
      </c>
      <c r="B39">
        <f>MIN(B38,1)+B8*SIN(RADIANS(B14))</f>
        <v>0.69010416666666663</v>
      </c>
      <c r="C39" s="207" t="s">
        <v>4</v>
      </c>
      <c r="D39" s="261" t="s">
        <v>19289</v>
      </c>
    </row>
    <row r="40" spans="1:26">
      <c r="A40" s="207" t="s">
        <v>19290</v>
      </c>
      <c r="B40">
        <f>0.1*B4</f>
        <v>2</v>
      </c>
      <c r="C40" s="207" t="s">
        <v>4</v>
      </c>
      <c r="D40" s="261" t="s">
        <v>19291</v>
      </c>
    </row>
    <row r="41" spans="1:26" ht="13.5" thickBot="1"/>
    <row r="42" spans="1:26">
      <c r="A42" s="2509" t="s">
        <v>19283</v>
      </c>
      <c r="B42" s="2505" t="s">
        <v>19292</v>
      </c>
      <c r="C42" s="2506"/>
      <c r="D42" s="2506"/>
      <c r="E42" s="2506"/>
      <c r="F42" s="2506"/>
      <c r="G42" s="2507"/>
      <c r="H42" s="2505" t="s">
        <v>19293</v>
      </c>
      <c r="I42" s="2506"/>
      <c r="J42" s="2506"/>
      <c r="K42" s="2506"/>
      <c r="L42" s="2506"/>
      <c r="M42" s="2507"/>
      <c r="N42" s="2505" t="s">
        <v>19294</v>
      </c>
      <c r="O42" s="2506"/>
      <c r="P42" s="2506"/>
      <c r="Q42" s="2506"/>
      <c r="R42" s="2506"/>
      <c r="S42" s="2507"/>
      <c r="T42" s="2505" t="s">
        <v>19295</v>
      </c>
      <c r="U42" s="2506"/>
      <c r="V42" s="2506"/>
      <c r="W42" s="2506"/>
      <c r="X42" s="2506"/>
      <c r="Y42" s="2507"/>
      <c r="Z42" s="2507" t="s">
        <v>260</v>
      </c>
    </row>
    <row r="43" spans="1:26" ht="26.25" thickBot="1">
      <c r="A43" s="2510"/>
      <c r="B43" s="275" t="s">
        <v>19296</v>
      </c>
      <c r="C43" s="276" t="s">
        <v>19297</v>
      </c>
      <c r="D43" s="277" t="s">
        <v>19298</v>
      </c>
      <c r="E43" s="277" t="s">
        <v>19299</v>
      </c>
      <c r="F43" s="277" t="s">
        <v>19300</v>
      </c>
      <c r="G43" s="278" t="s">
        <v>19292</v>
      </c>
      <c r="H43" s="275" t="s">
        <v>19301</v>
      </c>
      <c r="I43" s="276" t="s">
        <v>19302</v>
      </c>
      <c r="J43" s="277" t="s">
        <v>19303</v>
      </c>
      <c r="K43" s="277" t="s">
        <v>19304</v>
      </c>
      <c r="L43" s="277" t="s">
        <v>19305</v>
      </c>
      <c r="M43" s="278" t="s">
        <v>19293</v>
      </c>
      <c r="N43" s="275" t="s">
        <v>19306</v>
      </c>
      <c r="O43" s="276" t="s">
        <v>19307</v>
      </c>
      <c r="P43" s="277" t="s">
        <v>19308</v>
      </c>
      <c r="Q43" s="277" t="s">
        <v>19309</v>
      </c>
      <c r="R43" s="277" t="s">
        <v>19310</v>
      </c>
      <c r="S43" s="278" t="s">
        <v>19294</v>
      </c>
      <c r="T43" s="275" t="s">
        <v>19311</v>
      </c>
      <c r="U43" s="276" t="s">
        <v>19312</v>
      </c>
      <c r="V43" s="277" t="s">
        <v>19313</v>
      </c>
      <c r="W43" s="277" t="s">
        <v>19314</v>
      </c>
      <c r="X43" s="277" t="s">
        <v>19315</v>
      </c>
      <c r="Y43" s="278" t="s">
        <v>19295</v>
      </c>
      <c r="Z43" s="2508"/>
    </row>
    <row r="44" spans="1:26">
      <c r="A44" s="279" t="s">
        <v>19316</v>
      </c>
      <c r="B44" s="304">
        <f>19/12</f>
        <v>1.5833333333333333</v>
      </c>
      <c r="C44" s="265">
        <f>B39</f>
        <v>0.69010416666666663</v>
      </c>
      <c r="D44" s="265">
        <f>B44/C44</f>
        <v>2.2943396226415094</v>
      </c>
      <c r="E44" s="280" t="s">
        <v>302</v>
      </c>
      <c r="F44" s="299" t="s">
        <v>302</v>
      </c>
      <c r="G44" s="281">
        <f>IF(D44&lt;=2,1,IF(D44&gt;=8,2,(1+(2-1)*((D44-2)/(8-2)))))</f>
        <v>1.0490566037735849</v>
      </c>
      <c r="H44" s="304">
        <f>0.375/12</f>
        <v>3.125E-2</v>
      </c>
      <c r="I44" s="265">
        <f>C44</f>
        <v>0.69010416666666663</v>
      </c>
      <c r="J44" s="265">
        <f>H44/I44</f>
        <v>4.5283018867924532E-2</v>
      </c>
      <c r="K44" s="280" t="s">
        <v>302</v>
      </c>
      <c r="L44" s="299" t="s">
        <v>302</v>
      </c>
      <c r="M44" s="281">
        <f>IF(J44&lt;=2,1,IF(J44&gt;=8,2,(1+(1.5-1)*((J44-2)/(8-2)))))</f>
        <v>1</v>
      </c>
      <c r="N44" s="304">
        <f>H44</f>
        <v>3.125E-2</v>
      </c>
      <c r="O44" s="265">
        <f>I44</f>
        <v>0.69010416666666663</v>
      </c>
      <c r="P44" s="265">
        <f>N44/O44</f>
        <v>4.5283018867924532E-2</v>
      </c>
      <c r="Q44" s="280" t="s">
        <v>302</v>
      </c>
      <c r="R44" s="299" t="s">
        <v>302</v>
      </c>
      <c r="S44" s="281">
        <f>IF(P44&lt;=2,1,IF(P44&gt;=8,2,(1+(1.5-1)*((P44-2)/(8-2)))))</f>
        <v>1</v>
      </c>
      <c r="T44" s="304">
        <f>N44</f>
        <v>3.125E-2</v>
      </c>
      <c r="U44" s="265">
        <f>O44</f>
        <v>0.69010416666666663</v>
      </c>
      <c r="V44" s="265">
        <f>T44/U44</f>
        <v>4.5283018867924532E-2</v>
      </c>
      <c r="W44" s="280" t="s">
        <v>302</v>
      </c>
      <c r="X44" s="299" t="s">
        <v>302</v>
      </c>
      <c r="Y44" s="281">
        <f>IF(V44&lt;=2,1,IF(V44&gt;=8,2,(1+(1.5-1)*((V44-2)/(8-2)))))</f>
        <v>1</v>
      </c>
      <c r="Z44" s="282">
        <f>MAX(G44,M44,S44,Y44)</f>
        <v>1.0490566037735849</v>
      </c>
    </row>
    <row r="45" spans="1:26">
      <c r="A45" s="283" t="s">
        <v>19317</v>
      </c>
      <c r="B45" s="305">
        <f>19/12</f>
        <v>1.5833333333333333</v>
      </c>
      <c r="C45" s="129">
        <f>B39</f>
        <v>0.69010416666666663</v>
      </c>
      <c r="D45" s="129">
        <f>B45/C45</f>
        <v>2.2943396226415094</v>
      </c>
      <c r="E45" s="284" t="s">
        <v>302</v>
      </c>
      <c r="F45" s="300" t="s">
        <v>302</v>
      </c>
      <c r="G45" s="281">
        <f>IF(D45&lt;=2,1,IF(D45&gt;=8,2,(1+(2-1)*((D45-2)/(8-2)))))</f>
        <v>1.0490566037735849</v>
      </c>
      <c r="H45" s="305">
        <f>0.375/12</f>
        <v>3.125E-2</v>
      </c>
      <c r="I45" s="129">
        <f>C45</f>
        <v>0.69010416666666663</v>
      </c>
      <c r="J45" s="129">
        <f>H45/I45</f>
        <v>4.5283018867924532E-2</v>
      </c>
      <c r="K45" s="284" t="s">
        <v>302</v>
      </c>
      <c r="L45" s="300" t="s">
        <v>302</v>
      </c>
      <c r="M45" s="281">
        <f>IF(J45&lt;=2,1,IF(J45&gt;=8,2,(1+(1.5-1)*((J45-2)/(8-2)))))</f>
        <v>1</v>
      </c>
      <c r="N45" s="305">
        <f>H45</f>
        <v>3.125E-2</v>
      </c>
      <c r="O45" s="129">
        <f>I45</f>
        <v>0.69010416666666663</v>
      </c>
      <c r="P45" s="129">
        <f>N45/O45</f>
        <v>4.5283018867924532E-2</v>
      </c>
      <c r="Q45" s="284" t="s">
        <v>302</v>
      </c>
      <c r="R45" s="300" t="s">
        <v>302</v>
      </c>
      <c r="S45" s="281">
        <f>IF(P45&lt;=2,1,IF(P45&gt;=8,2,(1+(1.5-1)*((P45-2)/(8-2)))))</f>
        <v>1</v>
      </c>
      <c r="T45" s="307">
        <f>N45</f>
        <v>3.125E-2</v>
      </c>
      <c r="U45" s="129">
        <f>O45</f>
        <v>0.69010416666666663</v>
      </c>
      <c r="V45" s="129">
        <f>T45/U45</f>
        <v>4.5283018867924532E-2</v>
      </c>
      <c r="W45" s="284" t="s">
        <v>302</v>
      </c>
      <c r="X45" s="300" t="s">
        <v>302</v>
      </c>
      <c r="Y45" s="281">
        <f>IF(V45&lt;=2,1,IF(V45&gt;=8,2,(1+(1.5-1)*((V45-2)/(8-2)))))</f>
        <v>1</v>
      </c>
      <c r="Z45" s="286">
        <f>MAX(G45,M45,S45,Y45)</f>
        <v>1.0490566037735849</v>
      </c>
    </row>
    <row r="46" spans="1:26">
      <c r="A46" s="283" t="s">
        <v>19318</v>
      </c>
      <c r="B46" s="305">
        <f>242/12</f>
        <v>20.166666666666668</v>
      </c>
      <c r="C46" s="129">
        <f>B40</f>
        <v>2</v>
      </c>
      <c r="D46" s="129">
        <f>B46/C46</f>
        <v>10.083333333333334</v>
      </c>
      <c r="E46" s="284" t="str">
        <f>IF(B46&gt;3*$B$4,"Y","N")</f>
        <v>N</v>
      </c>
      <c r="F46" s="129">
        <f>IF(D46&lt;=2,1,IF(D46&gt;=8,2,(1+(2-1)*((D46-2)/(8-2)))))</f>
        <v>2</v>
      </c>
      <c r="G46" s="285">
        <f>IF(E46="N",F46,MIN(F46,1.5))</f>
        <v>2</v>
      </c>
      <c r="H46" s="305">
        <f>158/12</f>
        <v>13.166666666666666</v>
      </c>
      <c r="I46" s="129">
        <f>C46</f>
        <v>2</v>
      </c>
      <c r="J46" s="129">
        <f>H46/I46</f>
        <v>6.583333333333333</v>
      </c>
      <c r="K46" s="284" t="str">
        <f>IF(H46&gt;3*$B$4,"Y","N")</f>
        <v>N</v>
      </c>
      <c r="L46" s="129">
        <f>IF(J46&lt;=2,1,IF(J46&gt;=8,2,(1+(1.5-1)*((J46-2)/(8-2)))))</f>
        <v>1.3819444444444444</v>
      </c>
      <c r="M46" s="285">
        <f>IF(K46="N",L46,MIN(L46,1))</f>
        <v>1.3819444444444444</v>
      </c>
      <c r="N46" s="305">
        <f>154/12</f>
        <v>12.833333333333334</v>
      </c>
      <c r="O46" s="129">
        <f>I46</f>
        <v>2</v>
      </c>
      <c r="P46" s="129">
        <f>N46/O46</f>
        <v>6.416666666666667</v>
      </c>
      <c r="Q46" s="284" t="str">
        <f>IF(N46&gt;3*$B$4,"Y","N")</f>
        <v>N</v>
      </c>
      <c r="R46" s="129">
        <f>IF(P46&lt;=2,1,IF(P46&gt;=8,2,(1+(1.5-1)*((P46-2)/(8-2)))))</f>
        <v>1.3680555555555556</v>
      </c>
      <c r="S46" s="285">
        <f>IF(Q46="N",R46,MIN(R46,1))</f>
        <v>1.3680555555555556</v>
      </c>
      <c r="T46" s="305">
        <f>1904/12</f>
        <v>158.66666666666666</v>
      </c>
      <c r="U46" s="129">
        <f>O46</f>
        <v>2</v>
      </c>
      <c r="V46" s="129">
        <f>T46/U46</f>
        <v>79.333333333333329</v>
      </c>
      <c r="W46" s="284" t="str">
        <f>IF(T46&gt;3*$B$4,"Y","N")</f>
        <v>Y</v>
      </c>
      <c r="X46" s="129">
        <f>IF(V46&lt;=2,1,IF(V46&gt;=8,2,(1+(1.5-1)*((V46-2)/(8-2)))))</f>
        <v>2</v>
      </c>
      <c r="Y46" s="285">
        <f>IF(W46="N",X46,MIN(X46,1))</f>
        <v>1</v>
      </c>
      <c r="Z46" s="286">
        <f>MAX(G46,M46,S46,Y46)</f>
        <v>2</v>
      </c>
    </row>
    <row r="47" spans="1:26" ht="13.5" thickBot="1">
      <c r="A47" s="287" t="s">
        <v>19319</v>
      </c>
      <c r="B47" s="306">
        <f>242/12</f>
        <v>20.166666666666668</v>
      </c>
      <c r="C47" s="288">
        <f>B40</f>
        <v>2</v>
      </c>
      <c r="D47" s="268">
        <f>B47/C47</f>
        <v>10.083333333333334</v>
      </c>
      <c r="E47" s="289" t="str">
        <f>IF(B47&gt;3*$B$4,"Y","N")</f>
        <v>N</v>
      </c>
      <c r="F47" s="268">
        <f>IF(D47&lt;=2,1,IF(D47&gt;=8,2,(1+(2-1)*((D47-2)/(8-2)))))</f>
        <v>2</v>
      </c>
      <c r="G47" s="290">
        <f>IF(E47="N",F47,MIN(F47,1.5))</f>
        <v>2</v>
      </c>
      <c r="H47" s="306">
        <f>158/12</f>
        <v>13.166666666666666</v>
      </c>
      <c r="I47" s="288">
        <f>C47</f>
        <v>2</v>
      </c>
      <c r="J47" s="268">
        <f>H47/I47</f>
        <v>6.583333333333333</v>
      </c>
      <c r="K47" s="289" t="str">
        <f>IF(H47&gt;3*$B$4,"Y","N")</f>
        <v>N</v>
      </c>
      <c r="L47" s="268">
        <f>IF(J47&lt;=2,1,IF(J47&gt;=8,2,(1+(1.5-1)*((J47-2)/(8-2)))))</f>
        <v>1.3819444444444444</v>
      </c>
      <c r="M47" s="290">
        <f>IF(K47="N",L47,MIN(L47,1))</f>
        <v>1.3819444444444444</v>
      </c>
      <c r="N47" s="306">
        <f>154/12</f>
        <v>12.833333333333334</v>
      </c>
      <c r="O47" s="268">
        <f>I47</f>
        <v>2</v>
      </c>
      <c r="P47" s="268">
        <f>N47/O47</f>
        <v>6.416666666666667</v>
      </c>
      <c r="Q47" s="289" t="str">
        <f>IF(N47&gt;3*$B$4,"Y","N")</f>
        <v>N</v>
      </c>
      <c r="R47" s="268">
        <f>IF(P47&lt;=2,1,IF(P47&gt;=8,2,(1+(1.5-1)*((P47-2)/(8-2)))))</f>
        <v>1.3680555555555556</v>
      </c>
      <c r="S47" s="290">
        <f>IF(Q47="N",R47,MIN(R47,1))</f>
        <v>1.3680555555555556</v>
      </c>
      <c r="T47" s="306">
        <f>1904/12</f>
        <v>158.66666666666666</v>
      </c>
      <c r="U47" s="268">
        <f>O47</f>
        <v>2</v>
      </c>
      <c r="V47" s="268">
        <f>T47/U47</f>
        <v>79.333333333333329</v>
      </c>
      <c r="W47" s="289" t="str">
        <f>IF(T47&gt;3*$B$4,"Y","N")</f>
        <v>Y</v>
      </c>
      <c r="X47" s="268">
        <f>IF(V47&lt;=2,1,IF(V47&gt;=8,2,(1+(1.5-1)*((V47-2)/(8-2)))))</f>
        <v>2</v>
      </c>
      <c r="Y47" s="290">
        <f>IF(W47="N",X47,MIN(X47,1))</f>
        <v>1</v>
      </c>
      <c r="Z47" s="291">
        <f>MAX(G47,M47,S47,Y47)</f>
        <v>2</v>
      </c>
    </row>
    <row r="54" spans="1:5" ht="13.5" thickBot="1"/>
    <row r="55" spans="1:5" ht="13.5" thickBot="1">
      <c r="A55" s="292" t="s">
        <v>19283</v>
      </c>
      <c r="B55" s="293" t="s">
        <v>260</v>
      </c>
      <c r="C55" s="293" t="s">
        <v>19320</v>
      </c>
      <c r="D55" s="293" t="s">
        <v>19321</v>
      </c>
      <c r="E55" s="294" t="s">
        <v>19322</v>
      </c>
    </row>
    <row r="56" spans="1:5">
      <c r="A56" s="272" t="s">
        <v>19316</v>
      </c>
      <c r="B56" s="265">
        <f>Z44</f>
        <v>1.0490566037735849</v>
      </c>
      <c r="C56" s="265">
        <f>H31</f>
        <v>0.4219584855112144</v>
      </c>
      <c r="D56" s="301">
        <f>$B$13*B56*C56</f>
        <v>0.44265833574384</v>
      </c>
      <c r="E56" s="295">
        <f>0.5*D56</f>
        <v>0.22132916787192</v>
      </c>
    </row>
    <row r="57" spans="1:5">
      <c r="A57" s="273" t="s">
        <v>19317</v>
      </c>
      <c r="B57" s="129">
        <f>Z45</f>
        <v>1.0490566037735849</v>
      </c>
      <c r="C57" s="129">
        <f>H32</f>
        <v>0.54874627044856494</v>
      </c>
      <c r="D57" s="130">
        <f>$B$13*B57*C57</f>
        <v>0.5756658988101927</v>
      </c>
      <c r="E57" s="296">
        <f>0.5*D57</f>
        <v>0.28783294940509635</v>
      </c>
    </row>
    <row r="58" spans="1:5">
      <c r="A58" s="273" t="s">
        <v>19318</v>
      </c>
      <c r="B58" s="129">
        <f>Z46</f>
        <v>2</v>
      </c>
      <c r="C58" s="129">
        <f>H33</f>
        <v>0.7051352634821223</v>
      </c>
      <c r="D58" s="130">
        <f>$B$13*B58*C58</f>
        <v>1.4102705269642446</v>
      </c>
      <c r="E58" s="296">
        <f>0.5*D58</f>
        <v>0.7051352634821223</v>
      </c>
    </row>
    <row r="59" spans="1:5" ht="13.5" thickBot="1">
      <c r="A59" s="274" t="s">
        <v>19319</v>
      </c>
      <c r="B59" s="268">
        <f>Z47</f>
        <v>2</v>
      </c>
      <c r="C59" s="268">
        <f>H34</f>
        <v>0.82543910586641855</v>
      </c>
      <c r="D59" s="302">
        <f>$B$13*B59*C59</f>
        <v>1.6508782117328371</v>
      </c>
      <c r="E59" s="297">
        <f>0.5*D59</f>
        <v>0.82543910586641855</v>
      </c>
    </row>
    <row r="60" spans="1:5">
      <c r="A60" s="53"/>
      <c r="B60" s="53"/>
      <c r="C60" s="53"/>
      <c r="D60" s="53"/>
    </row>
  </sheetData>
  <customSheetViews>
    <customSheetView guid="{F2CCAFB5-9C02-49AC-87E7-8695C5014AAE}" topLeftCell="A10">
      <selection activeCell="B17" sqref="B17"/>
      <pageMargins left="0.7" right="0.7" top="0.75" bottom="0.75" header="0.3" footer="0.3"/>
      <pageSetup orientation="portrait" r:id="rId1"/>
    </customSheetView>
  </customSheetViews>
  <mergeCells count="11">
    <mergeCell ref="N42:S42"/>
    <mergeCell ref="T42:Y42"/>
    <mergeCell ref="Z42:Z43"/>
    <mergeCell ref="A42:A43"/>
    <mergeCell ref="B42:G42"/>
    <mergeCell ref="H42:M42"/>
    <mergeCell ref="B22:D22"/>
    <mergeCell ref="E22:G22"/>
    <mergeCell ref="D29:E29"/>
    <mergeCell ref="B29:C29"/>
    <mergeCell ref="F29:G29"/>
  </mergeCells>
  <dataValidations disablePrompts="1" count="1">
    <dataValidation type="list" allowBlank="1" showInputMessage="1" showErrorMessage="1" sqref="B1" xr:uid="{00000000-0002-0000-1C00-000000000000}">
      <formula1>YesNo</formula1>
    </dataValidation>
  </dataValidations>
  <pageMargins left="0.7" right="0.7" top="0.75" bottom="0.75" header="0.3" footer="0.3"/>
  <pageSetup orientation="portrait" r:id="rId2"/>
  <ignoredErrors>
    <ignoredError sqref="B31:E34" formulaRange="1"/>
  </ignoredErrors>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D8CAA-1589-482B-8D81-DD52119C8A9E}">
  <sheetPr codeName="Sheet4"/>
  <dimension ref="A1:AA42"/>
  <sheetViews>
    <sheetView workbookViewId="0">
      <selection activeCell="B3" sqref="B3"/>
    </sheetView>
  </sheetViews>
  <sheetFormatPr defaultColWidth="8.7109375" defaultRowHeight="12.75"/>
  <cols>
    <col min="1" max="1" width="41.7109375" style="1892" bestFit="1" customWidth="1"/>
    <col min="2" max="2" width="11.140625" style="1916" customWidth="1"/>
    <col min="3" max="3" width="9.140625" style="1892" customWidth="1"/>
    <col min="4" max="4" width="95.85546875" style="1892" bestFit="1" customWidth="1"/>
    <col min="5" max="5" width="3.140625" style="1892" bestFit="1" customWidth="1"/>
    <col min="6" max="6" width="5" style="1892" bestFit="1" customWidth="1"/>
    <col min="7" max="7" width="6.5703125" style="1892" bestFit="1" customWidth="1"/>
    <col min="8" max="8" width="4" style="1892" bestFit="1" customWidth="1"/>
    <col min="9" max="9" width="6" style="1892" bestFit="1" customWidth="1"/>
    <col min="10" max="10" width="5" style="1892" bestFit="1" customWidth="1"/>
    <col min="11" max="11" width="6" style="1892" bestFit="1" customWidth="1"/>
    <col min="12" max="12" width="4" style="1892" bestFit="1" customWidth="1"/>
    <col min="13" max="13" width="6" style="1892" bestFit="1" customWidth="1"/>
    <col min="14" max="14" width="5" style="1892" bestFit="1" customWidth="1"/>
    <col min="15" max="16384" width="8.7109375" style="1892"/>
  </cols>
  <sheetData>
    <row r="1" spans="1:4">
      <c r="A1" s="2511" t="s">
        <v>20433</v>
      </c>
      <c r="B1" s="2511"/>
      <c r="C1" s="2511"/>
      <c r="D1" s="2511"/>
    </row>
    <row r="2" spans="1:4">
      <c r="A2" s="2511"/>
      <c r="B2" s="2511"/>
      <c r="C2" s="2511"/>
      <c r="D2" s="2511"/>
    </row>
    <row r="3" spans="1:4">
      <c r="A3" s="1893" t="s">
        <v>20434</v>
      </c>
      <c r="B3" s="1894">
        <v>16302</v>
      </c>
      <c r="C3" s="1895"/>
      <c r="D3" s="1895" t="s">
        <v>20435</v>
      </c>
    </row>
    <row r="4" spans="1:4">
      <c r="A4" s="1896" t="s">
        <v>281</v>
      </c>
      <c r="B4" s="1897" t="str">
        <f>'1-Eng Inputs'!C33</f>
        <v>D</v>
      </c>
      <c r="D4" s="1892" t="s">
        <v>184</v>
      </c>
    </row>
    <row r="5" spans="1:4">
      <c r="A5" s="1896" t="s">
        <v>189</v>
      </c>
      <c r="B5" s="1897" t="str">
        <f>IF(B12&lt;0.167,"A",IF(B12&lt;0.33,"B",IF(B12&lt;0.5,"C","D")))</f>
        <v>D</v>
      </c>
    </row>
    <row r="6" spans="1:4">
      <c r="A6" s="1898" t="s">
        <v>175</v>
      </c>
      <c r="B6" s="1899">
        <v>1</v>
      </c>
      <c r="D6" s="1892" t="s">
        <v>185</v>
      </c>
    </row>
    <row r="7" spans="1:4">
      <c r="A7" s="1898" t="s">
        <v>180</v>
      </c>
      <c r="B7" s="1899">
        <v>2.5</v>
      </c>
      <c r="D7" s="1892" t="s">
        <v>326</v>
      </c>
    </row>
    <row r="8" spans="1:4">
      <c r="A8" s="1898" t="s">
        <v>176</v>
      </c>
      <c r="B8" s="1899">
        <v>1</v>
      </c>
      <c r="D8" s="1892" t="s">
        <v>326</v>
      </c>
    </row>
    <row r="9" spans="1:4">
      <c r="A9" s="1898" t="s">
        <v>262</v>
      </c>
      <c r="B9" s="1899">
        <f>IF(('1-Eng Inputs'!C32&lt;=0.25),1.6,IF(('1-Eng Inputs'!C32&lt;0.5),G29,IF(('1-Eng Inputs'!C32&lt;0.75),I29,IF(('1-Eng Inputs'!C32&lt;1),K29,IF(('1-Eng Inputs'!C32&lt;=1.25),M29,N29)))))</f>
        <v>1</v>
      </c>
      <c r="D9" s="1892" t="s">
        <v>264</v>
      </c>
    </row>
    <row r="10" spans="1:4">
      <c r="A10" s="1898" t="s">
        <v>263</v>
      </c>
      <c r="B10" s="1899">
        <f>IF(('1-Eng Inputs'!C32&lt;=0.25),2.5,IF(('1-Eng Inputs'!C32&lt;0.5),G33,IF(('1-Eng Inputs'!C32&lt;0.75),I33,IF(('1-Eng Inputs'!C32&lt;1),K33,IF(('1-Eng Inputs'!C32&lt;=1.25),M33,N33)))))</f>
        <v>0.9</v>
      </c>
      <c r="D10" s="1892" t="s">
        <v>264</v>
      </c>
    </row>
    <row r="11" spans="1:4">
      <c r="A11" s="1898" t="s">
        <v>49</v>
      </c>
      <c r="B11" s="1899">
        <f>IF('1-Eng Inputs'!C33="D",B9*'1-Eng Inputs'!C32,B10*'1-Eng Inputs'!C32)</f>
        <v>1.675</v>
      </c>
    </row>
    <row r="12" spans="1:4">
      <c r="A12" s="1898" t="s">
        <v>123</v>
      </c>
      <c r="B12" s="1900">
        <f>(2*B11)/3</f>
        <v>1.1166666666666667</v>
      </c>
    </row>
    <row r="13" spans="1:4">
      <c r="A13" s="1898" t="s">
        <v>19501</v>
      </c>
      <c r="B13" s="1900">
        <v>1</v>
      </c>
      <c r="D13" s="1892" t="s">
        <v>177</v>
      </c>
    </row>
    <row r="14" spans="1:4">
      <c r="A14" s="1898" t="s">
        <v>19502</v>
      </c>
      <c r="B14" s="1900">
        <v>1</v>
      </c>
      <c r="D14" s="1892" t="s">
        <v>177</v>
      </c>
    </row>
    <row r="15" spans="1:4">
      <c r="A15" s="1898" t="s">
        <v>19500</v>
      </c>
      <c r="B15" s="1900">
        <f>0.4*B8*B12*B3*(1+2*B13/B14)/(B7/B6)</f>
        <v>8737.8719999999994</v>
      </c>
      <c r="D15" s="1892" t="s">
        <v>177</v>
      </c>
    </row>
    <row r="16" spans="1:4">
      <c r="A16" s="1898" t="s">
        <v>19498</v>
      </c>
      <c r="B16" s="1900">
        <f>1.6*B12*B6*B3</f>
        <v>29126.240000000002</v>
      </c>
      <c r="D16" s="1892" t="s">
        <v>178</v>
      </c>
    </row>
    <row r="17" spans="1:27">
      <c r="A17" s="1898" t="s">
        <v>19499</v>
      </c>
      <c r="B17" s="1900">
        <f>0.3*B12*B6*B3</f>
        <v>5461.17</v>
      </c>
      <c r="D17" s="1892" t="s">
        <v>181</v>
      </c>
    </row>
    <row r="18" spans="1:27">
      <c r="A18" s="1898" t="s">
        <v>182</v>
      </c>
      <c r="B18" s="1900">
        <f>IF(B15&lt;B17,B17,IF(B15&gt;B16,B16,B15))</f>
        <v>8737.8719999999994</v>
      </c>
      <c r="D18" s="1892" t="s">
        <v>183</v>
      </c>
      <c r="O18" s="1901"/>
      <c r="P18" s="1902"/>
      <c r="Q18" s="1901"/>
      <c r="R18" s="1901"/>
      <c r="S18" s="1901"/>
      <c r="T18" s="1901"/>
      <c r="U18" s="1901"/>
      <c r="V18" s="1901"/>
      <c r="W18" s="1903"/>
      <c r="X18" s="1903"/>
      <c r="Y18" s="1903"/>
      <c r="Z18" s="1901"/>
      <c r="AA18" s="1901"/>
    </row>
    <row r="19" spans="1:27">
      <c r="A19" s="1904" t="s">
        <v>73</v>
      </c>
      <c r="B19" s="1905">
        <f>B18*factors!$B$7</f>
        <v>8737.8719999999994</v>
      </c>
      <c r="C19" s="1904" t="s">
        <v>61</v>
      </c>
      <c r="D19" s="1892" t="s">
        <v>186</v>
      </c>
      <c r="O19" s="1901"/>
      <c r="P19" s="1901"/>
      <c r="Q19" s="1906"/>
      <c r="R19" s="1901"/>
      <c r="S19" s="1906"/>
      <c r="T19" s="1901"/>
      <c r="U19" s="1901"/>
      <c r="V19" s="1901"/>
      <c r="W19" s="1903"/>
      <c r="X19" s="1903"/>
      <c r="Y19" s="1903"/>
      <c r="Z19" s="1901"/>
      <c r="AA19" s="1901"/>
    </row>
    <row r="20" spans="1:27">
      <c r="A20" s="1904" t="s">
        <v>126</v>
      </c>
      <c r="B20" s="1905">
        <f>('Friction Data'!G34)</f>
        <v>0.57999999999999996</v>
      </c>
      <c r="C20" s="1904"/>
      <c r="O20" s="1901"/>
      <c r="P20" s="1902"/>
      <c r="Q20" s="1902"/>
      <c r="R20" s="1902"/>
      <c r="S20" s="1902"/>
      <c r="T20" s="1902"/>
      <c r="U20" s="1907"/>
      <c r="V20" s="1907"/>
      <c r="W20" s="1908"/>
      <c r="X20" s="1909"/>
      <c r="Y20" s="1909"/>
      <c r="Z20" s="1910"/>
      <c r="AA20" s="1901"/>
    </row>
    <row r="21" spans="1:27">
      <c r="A21" s="1904" t="s">
        <v>19503</v>
      </c>
      <c r="B21" s="1905">
        <f>(0.9-0.2*$B$12)*(0.7*(B20))*B3</f>
        <v>4478.5941199999988</v>
      </c>
      <c r="C21" s="1904" t="s">
        <v>61</v>
      </c>
      <c r="D21" s="1892" t="s">
        <v>187</v>
      </c>
      <c r="O21" s="1901"/>
      <c r="P21" s="1903"/>
      <c r="Q21" s="1903"/>
      <c r="R21" s="1903"/>
      <c r="S21" s="1903"/>
      <c r="T21" s="1903"/>
      <c r="U21" s="1901"/>
      <c r="V21" s="1901"/>
      <c r="W21" s="1903"/>
      <c r="X21" s="1903"/>
      <c r="Y21" s="1903"/>
      <c r="Z21" s="1910"/>
      <c r="AA21" s="1901"/>
    </row>
    <row r="22" spans="1:27">
      <c r="A22" s="1904" t="s">
        <v>20436</v>
      </c>
      <c r="B22" s="1905">
        <f>B19-B21</f>
        <v>4259.2778800000006</v>
      </c>
      <c r="C22" s="1904" t="s">
        <v>61</v>
      </c>
      <c r="O22" s="1901"/>
      <c r="P22" s="1903"/>
      <c r="Q22" s="1903"/>
      <c r="R22" s="1903"/>
      <c r="S22" s="1903"/>
      <c r="T22" s="1903"/>
      <c r="U22" s="1901"/>
      <c r="V22" s="1901"/>
      <c r="W22" s="1903"/>
      <c r="X22" s="1903"/>
      <c r="Y22" s="1903"/>
      <c r="Z22" s="1910"/>
      <c r="AA22" s="1901"/>
    </row>
    <row r="23" spans="1:27">
      <c r="A23" s="1904" t="s">
        <v>19744</v>
      </c>
      <c r="B23" s="1911">
        <v>1844</v>
      </c>
      <c r="C23" s="1904" t="s">
        <v>61</v>
      </c>
      <c r="D23" s="1912" t="s">
        <v>19879</v>
      </c>
      <c r="O23" s="1910"/>
      <c r="P23" s="1910"/>
      <c r="Q23" s="1901"/>
      <c r="R23" s="1901"/>
      <c r="S23" s="1901"/>
      <c r="T23" s="1910"/>
      <c r="U23" s="1901"/>
      <c r="V23" s="1901"/>
      <c r="W23" s="1913"/>
      <c r="X23" s="1903"/>
      <c r="Y23" s="1903"/>
      <c r="Z23" s="1910"/>
      <c r="AA23" s="1901"/>
    </row>
    <row r="24" spans="1:27">
      <c r="A24" s="1904" t="s">
        <v>19745</v>
      </c>
      <c r="B24" s="1911">
        <f>IF('1-Eng Inputs'!C37="Landscape", IF('1-Eng Inputs'!C21=60,'Strut Values'!F9,'Strut Values'!F11),'Strut Values'!F8)</f>
        <v>371.4</v>
      </c>
      <c r="C24" s="1904" t="s">
        <v>61</v>
      </c>
      <c r="D24" s="1912" t="s">
        <v>20437</v>
      </c>
      <c r="O24" s="1910"/>
      <c r="P24" s="1910"/>
      <c r="Q24" s="1901"/>
      <c r="R24" s="1901"/>
      <c r="S24" s="1901"/>
      <c r="T24" s="1910"/>
      <c r="U24" s="1901"/>
      <c r="V24" s="1901"/>
      <c r="W24" s="1913"/>
      <c r="X24" s="1903"/>
      <c r="Y24" s="1903"/>
      <c r="Z24" s="1910"/>
      <c r="AA24" s="1901"/>
    </row>
    <row r="25" spans="1:27">
      <c r="A25" s="1914" t="s">
        <v>20438</v>
      </c>
      <c r="B25" s="1915">
        <f>B22/B24</f>
        <v>11.468168766828219</v>
      </c>
      <c r="C25" s="1895"/>
      <c r="D25" s="1895"/>
      <c r="O25" s="1901"/>
      <c r="P25" s="1903"/>
      <c r="Q25" s="1903"/>
      <c r="R25" s="1903"/>
      <c r="S25" s="1903"/>
      <c r="T25" s="1903"/>
      <c r="U25" s="1901"/>
      <c r="V25" s="1901"/>
      <c r="W25" s="1913"/>
      <c r="X25" s="1903"/>
      <c r="Y25" s="1903"/>
      <c r="Z25" s="1910"/>
      <c r="AA25" s="1901"/>
    </row>
    <row r="26" spans="1:27" ht="12.75" customHeight="1">
      <c r="O26" s="1910"/>
      <c r="P26" s="1910"/>
      <c r="Q26" s="1901"/>
      <c r="R26" s="1901"/>
      <c r="S26" s="1901"/>
      <c r="T26" s="1910"/>
      <c r="U26" s="1901"/>
      <c r="V26" s="1901"/>
      <c r="W26" s="1913"/>
      <c r="X26" s="1903"/>
      <c r="Y26" s="1903"/>
      <c r="Z26" s="1910"/>
      <c r="AA26" s="1901"/>
    </row>
    <row r="27" spans="1:27" ht="12.75" customHeight="1">
      <c r="O27" s="1901"/>
      <c r="P27" s="1903"/>
      <c r="Q27" s="1903"/>
      <c r="R27" s="1903"/>
      <c r="S27" s="1903"/>
      <c r="T27" s="1903"/>
      <c r="U27" s="1901"/>
      <c r="V27" s="1901"/>
      <c r="W27" s="1901"/>
      <c r="X27" s="1901"/>
      <c r="Y27" s="1901"/>
      <c r="Z27" s="1901"/>
      <c r="AA27" s="1901"/>
    </row>
    <row r="28" spans="1:27" ht="12.75" customHeight="1">
      <c r="E28" s="1904" t="s">
        <v>13</v>
      </c>
      <c r="F28" s="1892">
        <v>0.25</v>
      </c>
      <c r="G28" s="1917">
        <f>'1-Eng Inputs'!$C$32</f>
        <v>1.675</v>
      </c>
      <c r="H28" s="1892">
        <v>0.5</v>
      </c>
      <c r="I28" s="1917">
        <f>'1-Eng Inputs'!$C$32</f>
        <v>1.675</v>
      </c>
      <c r="J28" s="1892">
        <v>0.75</v>
      </c>
      <c r="K28" s="1917">
        <f>'1-Eng Inputs'!$C$32</f>
        <v>1.675</v>
      </c>
      <c r="L28" s="1892">
        <v>1</v>
      </c>
      <c r="M28" s="1917">
        <f>'1-Eng Inputs'!$C$32</f>
        <v>1.675</v>
      </c>
      <c r="N28" s="1892">
        <v>1.25</v>
      </c>
      <c r="O28" s="1901"/>
      <c r="P28" s="1901"/>
      <c r="Q28" s="1901"/>
      <c r="R28" s="1901"/>
      <c r="S28" s="1901"/>
      <c r="T28" s="1901"/>
      <c r="U28" s="1901"/>
      <c r="V28" s="1901"/>
      <c r="W28" s="1901"/>
      <c r="X28" s="1901"/>
      <c r="Y28" s="1901"/>
      <c r="Z28" s="1901"/>
      <c r="AA28" s="1901"/>
    </row>
    <row r="29" spans="1:27" ht="12.75" customHeight="1">
      <c r="E29" s="1904" t="s">
        <v>8</v>
      </c>
      <c r="F29" s="1892">
        <v>1.6</v>
      </c>
      <c r="G29" s="1892">
        <f>F29-G30*(G28-F28)/0.25</f>
        <v>0.45999999999999908</v>
      </c>
      <c r="H29" s="1892">
        <v>1.4</v>
      </c>
      <c r="I29" s="1892">
        <f>H29-I30*(I28-H28)/0.25</f>
        <v>0.46000000000000008</v>
      </c>
      <c r="J29" s="1892">
        <v>1.2</v>
      </c>
      <c r="K29" s="1892">
        <f>J29-K30*(K28-J28)/0.25</f>
        <v>0.8300000000000004</v>
      </c>
      <c r="L29" s="1892">
        <v>1.1000000000000001</v>
      </c>
      <c r="M29" s="1892">
        <f>L29-M30*(M28-L28)/0.25</f>
        <v>0.82999999999999985</v>
      </c>
      <c r="N29" s="1892">
        <v>1</v>
      </c>
      <c r="O29" s="1901"/>
      <c r="P29" s="1902"/>
      <c r="Q29" s="1901"/>
      <c r="R29" s="1901"/>
      <c r="S29" s="1901"/>
      <c r="T29" s="1901"/>
      <c r="U29" s="1901"/>
      <c r="V29" s="1901"/>
      <c r="W29" s="1901"/>
      <c r="X29" s="1901"/>
      <c r="Y29" s="1901"/>
      <c r="Z29" s="1901"/>
      <c r="AA29" s="1901"/>
    </row>
    <row r="30" spans="1:27" ht="12.75" customHeight="1">
      <c r="G30" s="1892">
        <f>F29-H29</f>
        <v>0.20000000000000018</v>
      </c>
      <c r="I30" s="1892">
        <f>H29-J29</f>
        <v>0.19999999999999996</v>
      </c>
      <c r="K30" s="1892">
        <f>J29-L29</f>
        <v>9.9999999999999867E-2</v>
      </c>
      <c r="M30" s="1892">
        <f>L29-N29</f>
        <v>0.10000000000000009</v>
      </c>
      <c r="O30" s="1901"/>
      <c r="P30" s="1901"/>
      <c r="Q30" s="1906"/>
      <c r="R30" s="1901"/>
      <c r="S30" s="1901"/>
      <c r="T30" s="1901"/>
      <c r="U30" s="1901"/>
      <c r="V30" s="1901"/>
      <c r="W30" s="1901"/>
      <c r="X30" s="1901"/>
      <c r="Y30" s="1901"/>
      <c r="Z30" s="1901"/>
      <c r="AA30" s="1901"/>
    </row>
    <row r="31" spans="1:27" ht="12.75" customHeight="1">
      <c r="O31" s="1901"/>
      <c r="P31" s="1918"/>
      <c r="Q31" s="1918"/>
      <c r="R31" s="1918"/>
      <c r="S31" s="1901"/>
      <c r="T31" s="1901"/>
      <c r="U31" s="1919"/>
      <c r="V31" s="1919"/>
      <c r="W31" s="1919"/>
      <c r="X31" s="1901"/>
      <c r="Y31" s="1901"/>
      <c r="Z31" s="1901"/>
      <c r="AA31" s="1901"/>
    </row>
    <row r="32" spans="1:27" ht="12.75" customHeight="1">
      <c r="E32" s="1892" t="s">
        <v>13</v>
      </c>
      <c r="F32" s="1892">
        <v>0.25</v>
      </c>
      <c r="G32" s="1917">
        <f>'1-Eng Inputs'!$C$32</f>
        <v>1.675</v>
      </c>
      <c r="H32" s="1892">
        <v>0.5</v>
      </c>
      <c r="I32" s="1917">
        <f>'1-Eng Inputs'!$C$32</f>
        <v>1.675</v>
      </c>
      <c r="J32" s="1892">
        <v>0.75</v>
      </c>
      <c r="K32" s="1917">
        <f>'1-Eng Inputs'!$C$32</f>
        <v>1.675</v>
      </c>
      <c r="L32" s="1892">
        <v>1</v>
      </c>
      <c r="M32" s="1917">
        <f>'1-Eng Inputs'!$C$32</f>
        <v>1.675</v>
      </c>
      <c r="N32" s="1892">
        <v>1.25</v>
      </c>
      <c r="O32" s="1901"/>
      <c r="P32" s="1903"/>
      <c r="Q32" s="1920"/>
      <c r="R32" s="1920"/>
      <c r="S32" s="1903"/>
      <c r="T32" s="1901"/>
      <c r="U32" s="1901"/>
      <c r="V32" s="1901"/>
      <c r="W32" s="1901"/>
      <c r="X32" s="1901"/>
      <c r="Y32" s="1901"/>
      <c r="Z32" s="1901"/>
      <c r="AA32" s="1901"/>
    </row>
    <row r="33" spans="5:27" ht="12.75" customHeight="1">
      <c r="E33" s="1892" t="s">
        <v>260</v>
      </c>
      <c r="F33" s="1892">
        <v>2.5</v>
      </c>
      <c r="G33" s="1892">
        <f>F33-G34*(G32-F32)/0.25</f>
        <v>-2.0600000000000005</v>
      </c>
      <c r="H33" s="1892">
        <v>1.7</v>
      </c>
      <c r="I33" s="1892">
        <f>H33-I34*(I32-H32)/0.25</f>
        <v>-0.65000000000000013</v>
      </c>
      <c r="J33" s="1892">
        <v>1.2</v>
      </c>
      <c r="K33" s="1892">
        <f>J33-K34*(K32-J32)/0.25</f>
        <v>9.000000000000008E-2</v>
      </c>
      <c r="L33" s="1892">
        <v>0.9</v>
      </c>
      <c r="M33" s="1892">
        <f>L33-M34*(M32-L32)/0.25</f>
        <v>0.9</v>
      </c>
      <c r="N33" s="1892">
        <v>0.9</v>
      </c>
      <c r="O33" s="1901"/>
      <c r="P33" s="1903"/>
      <c r="Q33" s="1921"/>
      <c r="R33" s="1921"/>
      <c r="S33" s="1901"/>
      <c r="T33" s="1901"/>
      <c r="U33" s="1901"/>
      <c r="V33" s="1901"/>
      <c r="W33" s="1901"/>
      <c r="X33" s="1901"/>
      <c r="Y33" s="1901"/>
      <c r="Z33" s="1901"/>
      <c r="AA33" s="1901"/>
    </row>
    <row r="34" spans="5:27" ht="12.75" customHeight="1">
      <c r="G34" s="1892">
        <f>F33-H33</f>
        <v>0.8</v>
      </c>
      <c r="I34" s="1892">
        <f>H33-J33</f>
        <v>0.5</v>
      </c>
      <c r="K34" s="1892">
        <f>J33-L33</f>
        <v>0.29999999999999993</v>
      </c>
      <c r="M34" s="1892">
        <f>L33-N33</f>
        <v>0</v>
      </c>
      <c r="O34" s="1910"/>
      <c r="P34" s="1910"/>
      <c r="Q34" s="1918"/>
      <c r="R34" s="1922"/>
      <c r="S34" s="1903"/>
      <c r="T34" s="1901"/>
      <c r="U34" s="1901"/>
      <c r="V34" s="1901"/>
      <c r="W34" s="1901"/>
      <c r="X34" s="1901"/>
      <c r="Y34" s="1901"/>
      <c r="Z34" s="1901"/>
      <c r="AA34" s="1901"/>
    </row>
    <row r="35" spans="5:27" ht="12.75" customHeight="1">
      <c r="O35" s="1910"/>
      <c r="P35" s="1910"/>
      <c r="Q35" s="1918"/>
      <c r="R35" s="1922"/>
      <c r="S35" s="1903"/>
      <c r="T35" s="1901"/>
      <c r="U35" s="1901"/>
      <c r="V35" s="1901"/>
      <c r="W35" s="1901"/>
      <c r="X35" s="1901"/>
      <c r="Y35" s="1901"/>
      <c r="Z35" s="1901"/>
      <c r="AA35" s="1901"/>
    </row>
    <row r="36" spans="5:27" ht="12.75" customHeight="1">
      <c r="O36" s="1901"/>
      <c r="P36" s="1903"/>
      <c r="Q36" s="1903"/>
      <c r="R36" s="1920"/>
      <c r="S36" s="1903"/>
      <c r="T36" s="1901"/>
      <c r="U36" s="1901"/>
      <c r="V36" s="1901"/>
      <c r="W36" s="1901"/>
      <c r="X36" s="1901"/>
      <c r="Y36" s="1901"/>
      <c r="Z36" s="1901"/>
      <c r="AA36" s="1901"/>
    </row>
    <row r="37" spans="5:27" ht="12.75" customHeight="1">
      <c r="O37" s="1910"/>
      <c r="P37" s="1910"/>
      <c r="Q37" s="1918"/>
      <c r="R37" s="1922"/>
      <c r="S37" s="1903"/>
      <c r="T37" s="1901"/>
      <c r="U37" s="1901"/>
      <c r="V37" s="1901"/>
      <c r="W37" s="1901"/>
      <c r="X37" s="1901"/>
      <c r="Y37" s="1901"/>
      <c r="Z37" s="1901"/>
      <c r="AA37" s="1901"/>
    </row>
    <row r="38" spans="5:27" ht="12.75" customHeight="1">
      <c r="O38" s="1901"/>
      <c r="P38" s="1903"/>
      <c r="Q38" s="1903"/>
      <c r="R38" s="1920"/>
      <c r="S38" s="1903"/>
      <c r="T38" s="1901"/>
      <c r="U38" s="1901"/>
      <c r="V38" s="1901"/>
      <c r="W38" s="1901"/>
      <c r="X38" s="1901"/>
      <c r="Y38" s="1901"/>
      <c r="Z38" s="1901"/>
      <c r="AA38" s="1901"/>
    </row>
    <row r="39" spans="5:27" ht="12.75" customHeight="1">
      <c r="O39" s="1901"/>
      <c r="P39" s="1901"/>
      <c r="Q39" s="1918"/>
      <c r="R39" s="1918"/>
      <c r="S39" s="1923"/>
      <c r="T39" s="1901"/>
      <c r="U39" s="1901"/>
      <c r="V39" s="1901"/>
      <c r="W39" s="1901"/>
      <c r="X39" s="1901"/>
      <c r="Y39" s="1901"/>
      <c r="Z39" s="1901"/>
      <c r="AA39" s="1901"/>
    </row>
    <row r="40" spans="5:27" ht="12.75" customHeight="1">
      <c r="O40" s="1918"/>
      <c r="P40" s="1901"/>
      <c r="Q40" s="1901"/>
      <c r="R40" s="1901"/>
      <c r="S40" s="1901"/>
      <c r="T40" s="1901"/>
      <c r="U40" s="1901"/>
      <c r="V40" s="1901"/>
      <c r="W40" s="1901"/>
      <c r="X40" s="1901"/>
      <c r="Y40" s="1901"/>
      <c r="Z40" s="1901"/>
      <c r="AA40" s="1901"/>
    </row>
    <row r="41" spans="5:27" ht="12.75" customHeight="1">
      <c r="O41" s="1918"/>
      <c r="P41" s="1901"/>
      <c r="Q41" s="1901"/>
      <c r="R41" s="1901"/>
      <c r="S41" s="1901"/>
      <c r="T41" s="1901"/>
      <c r="U41" s="1901"/>
      <c r="V41" s="1901"/>
      <c r="W41" s="1901"/>
      <c r="X41" s="1901"/>
      <c r="Y41" s="1901"/>
      <c r="Z41" s="1901"/>
      <c r="AA41" s="1901"/>
    </row>
    <row r="42" spans="5:27" ht="12.75" customHeight="1">
      <c r="O42" s="1901"/>
      <c r="P42" s="1901"/>
      <c r="Q42" s="1901"/>
      <c r="R42" s="1901"/>
      <c r="S42" s="1901"/>
      <c r="T42" s="1901"/>
      <c r="U42" s="1901"/>
      <c r="V42" s="1901"/>
      <c r="W42" s="1901"/>
      <c r="X42" s="1901"/>
      <c r="Y42" s="1901"/>
      <c r="Z42" s="1901"/>
      <c r="AA42" s="1901"/>
    </row>
  </sheetData>
  <mergeCells count="1">
    <mergeCell ref="A1:D2"/>
  </mergeCells>
  <dataValidations count="1">
    <dataValidation allowBlank="1" showInputMessage="1" showErrorMessage="1" promptTitle="Value Selection Automated" prompt="Please reference Strut Values tab for more information. If you're certain you need to change this value, please do so." sqref="B24" xr:uid="{14851A1D-6CD4-432E-8991-6E958383A39C}"/>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A1:AA42"/>
  <sheetViews>
    <sheetView zoomScaleNormal="100" workbookViewId="0">
      <selection activeCell="B3" sqref="B2:B3"/>
    </sheetView>
  </sheetViews>
  <sheetFormatPr defaultColWidth="8.7109375" defaultRowHeight="12.75" customHeight="1"/>
  <cols>
    <col min="1" max="1" width="41.7109375" bestFit="1" customWidth="1"/>
    <col min="2" max="3" width="9.140625" customWidth="1"/>
    <col min="4" max="4" width="80.140625" bestFit="1" customWidth="1"/>
    <col min="5" max="6" width="4.7109375" hidden="1" customWidth="1"/>
    <col min="7" max="7" width="6.140625" hidden="1" customWidth="1"/>
    <col min="8" max="14" width="4.7109375" hidden="1" customWidth="1"/>
  </cols>
  <sheetData>
    <row r="1" spans="1:4">
      <c r="A1" s="7" t="s">
        <v>33</v>
      </c>
      <c r="B1" s="7" t="str">
        <f>IF(B22&lt;0,"YES","NO")</f>
        <v>NO</v>
      </c>
    </row>
    <row r="2" spans="1:4">
      <c r="A2" s="47" t="s">
        <v>76</v>
      </c>
      <c r="B2" s="67">
        <f>IF('1-Eng Inputs'!C37="Landscape",'1-Eng Inputs'!E72,IF('1-Eng Inputs'!C37="Portrait",'1-Eng Inputs'!E80,0))</f>
        <v>5</v>
      </c>
    </row>
    <row r="3" spans="1:4">
      <c r="A3" s="47" t="s">
        <v>179</v>
      </c>
      <c r="B3" s="47">
        <f>('1-Eng Inputs'!C20+((factors!$B$1+(B2*factors!$B$2))))</f>
        <v>223.02</v>
      </c>
    </row>
    <row r="4" spans="1:4">
      <c r="A4" s="46" t="s">
        <v>281</v>
      </c>
      <c r="B4" s="46" t="str">
        <f>'1-Eng Inputs'!C33</f>
        <v>D</v>
      </c>
      <c r="D4" t="s">
        <v>184</v>
      </c>
    </row>
    <row r="5" spans="1:4">
      <c r="A5" s="46" t="s">
        <v>189</v>
      </c>
      <c r="B5" s="46" t="str">
        <f>IF(B12&lt;0.167,"A",IF(B12&lt;0.33,"B",IF(B12&lt;0.5,"C","D")))</f>
        <v>D</v>
      </c>
    </row>
    <row r="6" spans="1:4">
      <c r="A6" s="23" t="s">
        <v>175</v>
      </c>
      <c r="B6" s="23">
        <v>1</v>
      </c>
      <c r="D6" t="s">
        <v>185</v>
      </c>
    </row>
    <row r="7" spans="1:4">
      <c r="A7" s="23" t="s">
        <v>180</v>
      </c>
      <c r="B7" s="23">
        <f>IFERROR(IF(VLOOKUP(ZIPS!E2,ZIPS!A3:C41874,4)="Los Angeles County",1.5,2.5),2.5)</f>
        <v>2.5</v>
      </c>
      <c r="D7" t="s">
        <v>326</v>
      </c>
    </row>
    <row r="8" spans="1:4">
      <c r="A8" s="23" t="s">
        <v>176</v>
      </c>
      <c r="B8" s="23">
        <v>1</v>
      </c>
      <c r="D8" t="s">
        <v>326</v>
      </c>
    </row>
    <row r="9" spans="1:4">
      <c r="A9" s="23" t="s">
        <v>262</v>
      </c>
      <c r="B9" s="23">
        <f>IF(('1-Eng Inputs'!C32&lt;=0.25),1.6,IF(('1-Eng Inputs'!C32&lt;0.5),G29,IF(('1-Eng Inputs'!C32&lt;0.75),I29,IF(('1-Eng Inputs'!C32&lt;1),K29,IF(('1-Eng Inputs'!C32&lt;=1.25),M29,N29)))))</f>
        <v>1</v>
      </c>
      <c r="D9" t="s">
        <v>264</v>
      </c>
    </row>
    <row r="10" spans="1:4">
      <c r="A10" s="23" t="s">
        <v>263</v>
      </c>
      <c r="B10" s="23">
        <f>IF(('1-Eng Inputs'!C32&lt;=0.25),2.5,IF(('1-Eng Inputs'!C32&lt;0.5),G33,IF(('1-Eng Inputs'!C32&lt;0.75),I33,IF(('1-Eng Inputs'!C32&lt;1),K33,IF(('1-Eng Inputs'!C32&lt;=1.25),M33,N33)))))</f>
        <v>0.9</v>
      </c>
      <c r="D10" t="s">
        <v>264</v>
      </c>
    </row>
    <row r="11" spans="1:4">
      <c r="A11" s="23" t="s">
        <v>49</v>
      </c>
      <c r="B11" s="23">
        <f>IF('1-Eng Inputs'!C33="D",B9*'1-Eng Inputs'!C32,B10*'1-Eng Inputs'!C32)</f>
        <v>1.675</v>
      </c>
    </row>
    <row r="12" spans="1:4">
      <c r="A12" s="23" t="s">
        <v>123</v>
      </c>
      <c r="B12" s="23">
        <f>(2*B11)/3</f>
        <v>1.1166666666666667</v>
      </c>
    </row>
    <row r="13" spans="1:4">
      <c r="A13" s="23" t="s">
        <v>19501</v>
      </c>
      <c r="B13" s="23">
        <v>1</v>
      </c>
      <c r="D13" t="s">
        <v>177</v>
      </c>
    </row>
    <row r="14" spans="1:4">
      <c r="A14" s="23" t="s">
        <v>19502</v>
      </c>
      <c r="B14" s="23">
        <v>1</v>
      </c>
      <c r="D14" t="s">
        <v>177</v>
      </c>
    </row>
    <row r="15" spans="1:4">
      <c r="A15" s="23" t="s">
        <v>19500</v>
      </c>
      <c r="B15" s="23">
        <f>0.4*B8*B12*B3*(1+2*B13/B14)/(B7/B6)</f>
        <v>119.53872000000001</v>
      </c>
      <c r="D15" t="s">
        <v>177</v>
      </c>
    </row>
    <row r="16" spans="1:4">
      <c r="A16" s="23" t="s">
        <v>19498</v>
      </c>
      <c r="B16" s="23">
        <f>1.6*B12*B6*B3</f>
        <v>398.46240000000006</v>
      </c>
      <c r="D16" t="s">
        <v>178</v>
      </c>
    </row>
    <row r="17" spans="1:27">
      <c r="A17" s="23" t="s">
        <v>19499</v>
      </c>
      <c r="B17" s="23">
        <f>0.3*B12*B6*B3</f>
        <v>74.711700000000008</v>
      </c>
      <c r="D17" t="s">
        <v>181</v>
      </c>
    </row>
    <row r="18" spans="1:27">
      <c r="A18" s="23" t="s">
        <v>182</v>
      </c>
      <c r="B18" s="23">
        <f>IF(B15&lt;B17,B17,IF(B15&gt;B16,B16,B15))</f>
        <v>119.53872000000001</v>
      </c>
      <c r="D18" t="s">
        <v>183</v>
      </c>
      <c r="O18" s="648"/>
      <c r="P18" s="659"/>
      <c r="Q18" s="648"/>
      <c r="R18" s="648"/>
      <c r="S18" s="648"/>
      <c r="T18" s="648"/>
      <c r="U18" s="648"/>
      <c r="V18" s="648"/>
      <c r="W18" s="626"/>
      <c r="X18" s="626"/>
      <c r="Y18" s="626"/>
      <c r="Z18" s="648"/>
      <c r="AA18" s="648"/>
    </row>
    <row r="19" spans="1:27">
      <c r="A19" s="24" t="s">
        <v>73</v>
      </c>
      <c r="B19" s="24">
        <f>B18*factors!$B$7</f>
        <v>119.53872000000001</v>
      </c>
      <c r="C19" s="24" t="s">
        <v>61</v>
      </c>
      <c r="D19" t="s">
        <v>186</v>
      </c>
      <c r="O19" s="648"/>
      <c r="P19" s="648"/>
      <c r="Q19" s="656"/>
      <c r="R19" s="648"/>
      <c r="S19" s="656"/>
      <c r="T19" s="648"/>
      <c r="U19" s="648"/>
      <c r="V19" s="648"/>
      <c r="W19" s="626"/>
      <c r="X19" s="626"/>
      <c r="Y19" s="626"/>
      <c r="Z19" s="648"/>
      <c r="AA19" s="648"/>
    </row>
    <row r="20" spans="1:27">
      <c r="A20" s="24" t="s">
        <v>126</v>
      </c>
      <c r="B20" s="206">
        <f>MIN('Friction Data'!F34:G34)</f>
        <v>0.57999999999999996</v>
      </c>
      <c r="C20" s="24"/>
      <c r="O20" s="648"/>
      <c r="P20" s="659"/>
      <c r="Q20" s="659"/>
      <c r="R20" s="659"/>
      <c r="S20" s="659"/>
      <c r="T20" s="659"/>
      <c r="U20" s="224"/>
      <c r="V20" s="224"/>
      <c r="W20" s="669"/>
      <c r="X20" s="664"/>
      <c r="Y20" s="664"/>
      <c r="Z20" s="658"/>
      <c r="AA20" s="648"/>
    </row>
    <row r="21" spans="1:27">
      <c r="A21" s="24" t="s">
        <v>19503</v>
      </c>
      <c r="B21" s="24">
        <f>(0.9-0.2*$B$12)*(0.7*(B20))*B3</f>
        <v>61.269541199999992</v>
      </c>
      <c r="C21" s="24" t="s">
        <v>61</v>
      </c>
      <c r="D21" t="s">
        <v>187</v>
      </c>
      <c r="O21" s="648"/>
      <c r="P21" s="626"/>
      <c r="Q21" s="626"/>
      <c r="R21" s="626"/>
      <c r="S21" s="626"/>
      <c r="T21" s="626"/>
      <c r="U21" s="648"/>
      <c r="V21" s="648"/>
      <c r="W21" s="626"/>
      <c r="X21" s="626"/>
      <c r="Y21" s="626"/>
      <c r="Z21" s="658"/>
      <c r="AA21" s="648"/>
    </row>
    <row r="22" spans="1:27">
      <c r="A22" s="24" t="s">
        <v>107</v>
      </c>
      <c r="B22" s="24">
        <f>B19-B21</f>
        <v>58.26917880000002</v>
      </c>
      <c r="C22" s="24" t="s">
        <v>61</v>
      </c>
      <c r="O22" s="648"/>
      <c r="P22" s="626"/>
      <c r="Q22" s="626"/>
      <c r="R22" s="626"/>
      <c r="S22" s="626"/>
      <c r="T22" s="626"/>
      <c r="U22" s="648"/>
      <c r="V22" s="648"/>
      <c r="W22" s="626"/>
      <c r="X22" s="626"/>
      <c r="Y22" s="626"/>
      <c r="Z22" s="658"/>
      <c r="AA22" s="648"/>
    </row>
    <row r="23" spans="1:27">
      <c r="A23" s="24" t="s">
        <v>19744</v>
      </c>
      <c r="B23" s="1911">
        <v>1844</v>
      </c>
      <c r="C23" s="24" t="s">
        <v>61</v>
      </c>
      <c r="D23" s="104" t="s">
        <v>19720</v>
      </c>
      <c r="O23" s="658"/>
      <c r="P23" s="658"/>
      <c r="Q23" s="648"/>
      <c r="R23" s="648"/>
      <c r="S23" s="648"/>
      <c r="T23" s="658"/>
      <c r="U23" s="648"/>
      <c r="V23" s="648"/>
      <c r="W23" s="672"/>
      <c r="X23" s="626"/>
      <c r="Y23" s="626"/>
      <c r="Z23" s="658"/>
      <c r="AA23" s="648"/>
    </row>
    <row r="24" spans="1:27">
      <c r="A24" s="24" t="s">
        <v>19745</v>
      </c>
      <c r="B24" s="1911">
        <f>IF('1-Eng Inputs'!C37="Landscape", IF('1-Eng Inputs'!C21=60,'Strut Values'!F9,'Strut Values'!F11),'Strut Values'!F8)</f>
        <v>371.4</v>
      </c>
      <c r="C24" s="24" t="s">
        <v>61</v>
      </c>
      <c r="D24" s="207" t="s">
        <v>19746</v>
      </c>
      <c r="O24" s="658"/>
      <c r="P24" s="658"/>
      <c r="Q24" s="648"/>
      <c r="R24" s="648"/>
      <c r="S24" s="648"/>
      <c r="T24" s="658"/>
      <c r="U24" s="648"/>
      <c r="V24" s="648"/>
      <c r="W24" s="672"/>
      <c r="X24" s="626"/>
      <c r="Y24" s="626"/>
      <c r="Z24" s="658"/>
      <c r="AA24" s="648"/>
    </row>
    <row r="25" spans="1:27">
      <c r="A25" s="24" t="s">
        <v>106</v>
      </c>
      <c r="B25" s="24">
        <f>B24/B22</f>
        <v>6.3738670708707472</v>
      </c>
      <c r="D25" t="s">
        <v>188</v>
      </c>
      <c r="O25" s="648"/>
      <c r="P25" s="626"/>
      <c r="Q25" s="626"/>
      <c r="R25" s="626"/>
      <c r="S25" s="626"/>
      <c r="T25" s="626"/>
      <c r="U25" s="648"/>
      <c r="V25" s="648"/>
      <c r="W25" s="672"/>
      <c r="X25" s="626"/>
      <c r="Y25" s="626"/>
      <c r="Z25" s="658"/>
      <c r="AA25" s="648"/>
    </row>
    <row r="26" spans="1:27" ht="12.75" customHeight="1">
      <c r="O26" s="658"/>
      <c r="P26" s="658"/>
      <c r="Q26" s="648"/>
      <c r="R26" s="648"/>
      <c r="S26" s="648"/>
      <c r="T26" s="658"/>
      <c r="U26" s="648"/>
      <c r="V26" s="648"/>
      <c r="W26" s="672"/>
      <c r="X26" s="626"/>
      <c r="Y26" s="626"/>
      <c r="Z26" s="658"/>
      <c r="AA26" s="648"/>
    </row>
    <row r="27" spans="1:27" ht="12.75" customHeight="1">
      <c r="O27" s="648"/>
      <c r="P27" s="626"/>
      <c r="Q27" s="626"/>
      <c r="R27" s="626"/>
      <c r="S27" s="626"/>
      <c r="T27" s="626"/>
      <c r="U27" s="648"/>
      <c r="V27" s="648"/>
      <c r="W27" s="648"/>
      <c r="X27" s="648"/>
      <c r="Y27" s="648"/>
      <c r="Z27" s="648"/>
      <c r="AA27" s="648"/>
    </row>
    <row r="28" spans="1:27" ht="12.75" customHeight="1">
      <c r="E28" s="24" t="s">
        <v>13</v>
      </c>
      <c r="F28">
        <v>0.25</v>
      </c>
      <c r="G28" s="68">
        <f>'1-Eng Inputs'!$C$32</f>
        <v>1.675</v>
      </c>
      <c r="H28">
        <v>0.5</v>
      </c>
      <c r="I28" s="68">
        <f>'1-Eng Inputs'!$C$32</f>
        <v>1.675</v>
      </c>
      <c r="J28">
        <v>0.75</v>
      </c>
      <c r="K28" s="68">
        <f>'1-Eng Inputs'!$C$32</f>
        <v>1.675</v>
      </c>
      <c r="L28">
        <v>1</v>
      </c>
      <c r="M28" s="68">
        <f>'1-Eng Inputs'!$C$32</f>
        <v>1.675</v>
      </c>
      <c r="N28">
        <v>1.25</v>
      </c>
      <c r="O28" s="648"/>
      <c r="P28" s="648"/>
      <c r="Q28" s="648"/>
      <c r="R28" s="648"/>
      <c r="S28" s="648"/>
      <c r="T28" s="648"/>
      <c r="U28" s="648"/>
      <c r="V28" s="648"/>
      <c r="W28" s="648"/>
      <c r="X28" s="648"/>
      <c r="Y28" s="648"/>
      <c r="Z28" s="648"/>
      <c r="AA28" s="648"/>
    </row>
    <row r="29" spans="1:27" ht="12.75" customHeight="1">
      <c r="E29" s="24" t="s">
        <v>8</v>
      </c>
      <c r="F29">
        <v>1.6</v>
      </c>
      <c r="G29">
        <f>F29-G30*(G28-F28)/0.25</f>
        <v>0.45999999999999908</v>
      </c>
      <c r="H29">
        <v>1.4</v>
      </c>
      <c r="I29">
        <f>H29-I30*(I28-H28)/0.25</f>
        <v>0.46000000000000008</v>
      </c>
      <c r="J29">
        <v>1.2</v>
      </c>
      <c r="K29">
        <f>J29-K30*(K28-J28)/0.25</f>
        <v>0.8300000000000004</v>
      </c>
      <c r="L29">
        <v>1.1000000000000001</v>
      </c>
      <c r="M29">
        <f>L29-M30*(M28-L28)/0.25</f>
        <v>0.82999999999999985</v>
      </c>
      <c r="N29">
        <v>1</v>
      </c>
      <c r="O29" s="648"/>
      <c r="P29" s="659"/>
      <c r="Q29" s="648"/>
      <c r="R29" s="648"/>
      <c r="S29" s="648"/>
      <c r="T29" s="648"/>
      <c r="U29" s="648"/>
      <c r="V29" s="648"/>
      <c r="W29" s="648"/>
      <c r="X29" s="648"/>
      <c r="Y29" s="648"/>
      <c r="Z29" s="648"/>
      <c r="AA29" s="648"/>
    </row>
    <row r="30" spans="1:27" ht="12.75" customHeight="1">
      <c r="G30">
        <f>F29-H29</f>
        <v>0.20000000000000018</v>
      </c>
      <c r="I30">
        <f>H29-J29</f>
        <v>0.19999999999999996</v>
      </c>
      <c r="K30">
        <f>J29-L29</f>
        <v>9.9999999999999867E-2</v>
      </c>
      <c r="M30">
        <f>L29-N29</f>
        <v>0.10000000000000009</v>
      </c>
      <c r="O30" s="648"/>
      <c r="P30" s="648"/>
      <c r="Q30" s="656"/>
      <c r="R30" s="648"/>
      <c r="S30" s="648"/>
      <c r="T30" s="648"/>
      <c r="U30" s="648"/>
      <c r="V30" s="648"/>
      <c r="W30" s="648"/>
      <c r="X30" s="648"/>
      <c r="Y30" s="648"/>
      <c r="Z30" s="648"/>
      <c r="AA30" s="648"/>
    </row>
    <row r="31" spans="1:27" ht="12.75" customHeight="1">
      <c r="O31" s="648"/>
      <c r="P31" s="215"/>
      <c r="Q31" s="215"/>
      <c r="R31" s="215"/>
      <c r="S31" s="648"/>
      <c r="T31" s="648"/>
      <c r="U31" s="650"/>
      <c r="V31" s="650"/>
      <c r="W31" s="650"/>
      <c r="X31" s="648"/>
      <c r="Y31" s="648"/>
      <c r="Z31" s="648"/>
      <c r="AA31" s="648"/>
    </row>
    <row r="32" spans="1:27" ht="12.75" customHeight="1">
      <c r="E32" t="s">
        <v>13</v>
      </c>
      <c r="F32">
        <v>0.25</v>
      </c>
      <c r="G32" s="68">
        <f>'1-Eng Inputs'!$C$32</f>
        <v>1.675</v>
      </c>
      <c r="H32">
        <v>0.5</v>
      </c>
      <c r="I32" s="68">
        <f>'1-Eng Inputs'!$C$32</f>
        <v>1.675</v>
      </c>
      <c r="J32">
        <v>0.75</v>
      </c>
      <c r="K32" s="68">
        <f>'1-Eng Inputs'!$C$32</f>
        <v>1.675</v>
      </c>
      <c r="L32">
        <v>1</v>
      </c>
      <c r="M32" s="68">
        <f>'1-Eng Inputs'!$C$32</f>
        <v>1.675</v>
      </c>
      <c r="N32">
        <v>1.25</v>
      </c>
      <c r="O32" s="648"/>
      <c r="P32" s="626"/>
      <c r="Q32" s="660"/>
      <c r="R32" s="660"/>
      <c r="S32" s="626"/>
      <c r="T32" s="648"/>
      <c r="U32" s="648"/>
      <c r="V32" s="648"/>
      <c r="W32" s="648"/>
      <c r="X32" s="648"/>
      <c r="Y32" s="648"/>
      <c r="Z32" s="648"/>
      <c r="AA32" s="648"/>
    </row>
    <row r="33" spans="5:27" ht="12.75" customHeight="1">
      <c r="E33" t="s">
        <v>260</v>
      </c>
      <c r="F33">
        <v>2.5</v>
      </c>
      <c r="G33">
        <f>F33-G34*(G32-F32)/0.25</f>
        <v>-2.0600000000000005</v>
      </c>
      <c r="H33">
        <v>1.7</v>
      </c>
      <c r="I33">
        <f>H33-I34*(I32-H32)/0.25</f>
        <v>-0.65000000000000013</v>
      </c>
      <c r="J33">
        <v>1.2</v>
      </c>
      <c r="K33">
        <f>J33-K34*(K32-J32)/0.25</f>
        <v>9.000000000000008E-2</v>
      </c>
      <c r="L33">
        <v>0.9</v>
      </c>
      <c r="M33">
        <f>L33-M34*(M32-L32)/0.25</f>
        <v>0.9</v>
      </c>
      <c r="N33">
        <v>0.9</v>
      </c>
      <c r="O33" s="648"/>
      <c r="P33" s="626"/>
      <c r="Q33" s="661"/>
      <c r="R33" s="661"/>
      <c r="S33" s="648"/>
      <c r="T33" s="648"/>
      <c r="U33" s="648"/>
      <c r="V33" s="648"/>
      <c r="W33" s="648"/>
      <c r="X33" s="648"/>
      <c r="Y33" s="648"/>
      <c r="Z33" s="648"/>
      <c r="AA33" s="648"/>
    </row>
    <row r="34" spans="5:27" ht="12.75" customHeight="1">
      <c r="G34">
        <f>F33-H33</f>
        <v>0.8</v>
      </c>
      <c r="I34">
        <f>H33-J33</f>
        <v>0.5</v>
      </c>
      <c r="K34">
        <f>J33-L33</f>
        <v>0.29999999999999993</v>
      </c>
      <c r="M34">
        <f>L33-N33</f>
        <v>0</v>
      </c>
      <c r="O34" s="658"/>
      <c r="P34" s="658"/>
      <c r="Q34" s="215"/>
      <c r="R34" s="662"/>
      <c r="S34" s="626"/>
      <c r="T34" s="648"/>
      <c r="U34" s="648"/>
      <c r="V34" s="648"/>
      <c r="W34" s="648"/>
      <c r="X34" s="648"/>
      <c r="Y34" s="648"/>
      <c r="Z34" s="648"/>
      <c r="AA34" s="648"/>
    </row>
    <row r="35" spans="5:27" ht="12.75" customHeight="1">
      <c r="O35" s="658"/>
      <c r="P35" s="658"/>
      <c r="Q35" s="215"/>
      <c r="R35" s="662"/>
      <c r="S35" s="626"/>
      <c r="T35" s="648"/>
      <c r="U35" s="648"/>
      <c r="V35" s="648"/>
      <c r="W35" s="648"/>
      <c r="X35" s="648"/>
      <c r="Y35" s="648"/>
      <c r="Z35" s="648"/>
      <c r="AA35" s="648"/>
    </row>
    <row r="36" spans="5:27" ht="12.75" customHeight="1">
      <c r="O36" s="648"/>
      <c r="P36" s="626"/>
      <c r="Q36" s="626"/>
      <c r="R36" s="660"/>
      <c r="S36" s="626"/>
      <c r="T36" s="648"/>
      <c r="U36" s="648"/>
      <c r="V36" s="648"/>
      <c r="W36" s="648"/>
      <c r="X36" s="648"/>
      <c r="Y36" s="648"/>
      <c r="Z36" s="648"/>
      <c r="AA36" s="648"/>
    </row>
    <row r="37" spans="5:27" ht="12.75" customHeight="1">
      <c r="O37" s="658"/>
      <c r="P37" s="658"/>
      <c r="Q37" s="215"/>
      <c r="R37" s="662"/>
      <c r="S37" s="626"/>
      <c r="T37" s="648"/>
      <c r="U37" s="648"/>
      <c r="V37" s="648"/>
      <c r="W37" s="648"/>
      <c r="X37" s="648"/>
      <c r="Y37" s="648"/>
      <c r="Z37" s="648"/>
      <c r="AA37" s="648"/>
    </row>
    <row r="38" spans="5:27" ht="12.75" customHeight="1">
      <c r="O38" s="648"/>
      <c r="P38" s="626"/>
      <c r="Q38" s="626"/>
      <c r="R38" s="660"/>
      <c r="S38" s="626"/>
      <c r="T38" s="648"/>
      <c r="U38" s="648"/>
      <c r="V38" s="648"/>
      <c r="W38" s="648"/>
      <c r="X38" s="648"/>
      <c r="Y38" s="648"/>
      <c r="Z38" s="648"/>
      <c r="AA38" s="648"/>
    </row>
    <row r="39" spans="5:27" ht="12.75" customHeight="1">
      <c r="O39" s="648"/>
      <c r="P39" s="648"/>
      <c r="Q39" s="215"/>
      <c r="R39" s="215"/>
      <c r="S39" s="665"/>
      <c r="T39" s="648"/>
      <c r="U39" s="648"/>
      <c r="V39" s="648"/>
      <c r="W39" s="648"/>
      <c r="X39" s="648"/>
      <c r="Y39" s="648"/>
      <c r="Z39" s="648"/>
      <c r="AA39" s="648"/>
    </row>
    <row r="40" spans="5:27" ht="12.75" customHeight="1">
      <c r="O40" s="215"/>
      <c r="P40" s="648"/>
      <c r="Q40" s="648"/>
      <c r="R40" s="648"/>
      <c r="S40" s="648"/>
      <c r="T40" s="648"/>
      <c r="U40" s="648"/>
      <c r="V40" s="648"/>
      <c r="W40" s="648"/>
      <c r="X40" s="648"/>
      <c r="Y40" s="648"/>
      <c r="Z40" s="648"/>
      <c r="AA40" s="648"/>
    </row>
    <row r="41" spans="5:27" ht="12.75" customHeight="1">
      <c r="O41" s="215"/>
      <c r="P41" s="648"/>
      <c r="Q41" s="648"/>
      <c r="R41" s="648"/>
      <c r="S41" s="648"/>
      <c r="T41" s="648"/>
      <c r="U41" s="648"/>
      <c r="V41" s="648"/>
      <c r="W41" s="648"/>
      <c r="X41" s="648"/>
      <c r="Y41" s="648"/>
      <c r="Z41" s="648"/>
      <c r="AA41" s="648"/>
    </row>
    <row r="42" spans="5:27" ht="12.75" customHeight="1">
      <c r="O42" s="648"/>
      <c r="P42" s="648"/>
      <c r="Q42" s="648"/>
      <c r="R42" s="648"/>
      <c r="S42" s="648"/>
      <c r="T42" s="648"/>
      <c r="U42" s="648"/>
      <c r="V42" s="648"/>
      <c r="W42" s="648"/>
      <c r="X42" s="648"/>
      <c r="Y42" s="648"/>
      <c r="Z42" s="648"/>
      <c r="AA42" s="648"/>
    </row>
  </sheetData>
  <customSheetViews>
    <customSheetView guid="{F2CCAFB5-9C02-49AC-87E7-8695C5014AAE}" hiddenColumns="1">
      <selection activeCell="C19" sqref="C19"/>
      <pageMargins left="0.75" right="0.75" top="1" bottom="1" header="0.5" footer="0.5"/>
      <pageSetup paperSize="9" orientation="portrait" horizontalDpi="300" verticalDpi="300"/>
      <headerFooter alignWithMargins="0"/>
    </customSheetView>
  </customSheetViews>
  <conditionalFormatting sqref="B1">
    <cfRule type="containsText" dxfId="128" priority="1" operator="containsText" text="YES">
      <formula>NOT(ISERROR(SEARCH("YES",B1)))</formula>
    </cfRule>
    <cfRule type="containsText" dxfId="127" priority="2" operator="containsText" text="NO">
      <formula>NOT(ISERROR(SEARCH("NO",B1)))</formula>
    </cfRule>
  </conditionalFormatting>
  <dataValidations count="1">
    <dataValidation allowBlank="1" showInputMessage="1" showErrorMessage="1" promptTitle="Value Selection Automated" prompt="Please reference Strut Values tab for more information. If you're certain you need to change this value, please do so." sqref="B24" xr:uid="{3ACC9F9A-C3E9-4558-9A27-A5D7F7F8D9D4}"/>
  </dataValidations>
  <pageMargins left="0.75" right="0.75" top="1" bottom="1" header="0.5" footer="0.5"/>
  <pageSetup paperSize="9" orientation="portrait"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B1:DR409"/>
  <sheetViews>
    <sheetView topLeftCell="A58" zoomScale="80" zoomScaleNormal="80" workbookViewId="0">
      <selection activeCell="D16" sqref="D16"/>
    </sheetView>
  </sheetViews>
  <sheetFormatPr defaultColWidth="9.140625" defaultRowHeight="17.25" customHeight="1"/>
  <cols>
    <col min="1" max="1" width="9.140625" style="144"/>
    <col min="2" max="2" width="69" style="144" bestFit="1" customWidth="1"/>
    <col min="3" max="3" width="13.42578125" style="144" customWidth="1"/>
    <col min="4" max="4" width="8.7109375" style="144" customWidth="1"/>
    <col min="5" max="5" width="7.7109375" style="144" customWidth="1"/>
    <col min="6" max="6" width="52.140625" style="144" customWidth="1"/>
    <col min="7" max="7" width="12" style="144" bestFit="1" customWidth="1"/>
    <col min="8" max="8" width="12.7109375" style="144" bestFit="1" customWidth="1"/>
    <col min="9" max="9" width="11.42578125" style="144" customWidth="1"/>
    <col min="10" max="10" width="5.7109375" style="144" customWidth="1"/>
    <col min="11" max="11" width="12.7109375" style="159" customWidth="1"/>
    <col min="12" max="20" width="12.7109375" style="144" customWidth="1"/>
    <col min="21" max="122" width="4.42578125" style="144" bestFit="1" customWidth="1"/>
    <col min="123" max="16384" width="9.140625" style="144"/>
  </cols>
  <sheetData>
    <row r="1" spans="2:8" ht="17.25" customHeight="1">
      <c r="F1" s="145"/>
    </row>
    <row r="2" spans="2:8" ht="17.25" customHeight="1" thickBot="1">
      <c r="B2" s="2512" t="s">
        <v>280</v>
      </c>
      <c r="C2" s="2512"/>
      <c r="D2" s="2512"/>
      <c r="F2" s="145"/>
    </row>
    <row r="3" spans="2:8" ht="17.25" customHeight="1">
      <c r="B3" s="146" t="s">
        <v>281</v>
      </c>
      <c r="C3" s="147" t="str">
        <f>'1-Eng Inputs'!C33</f>
        <v>D</v>
      </c>
    </row>
    <row r="4" spans="2:8" ht="17.25" customHeight="1">
      <c r="B4" s="146" t="s">
        <v>189</v>
      </c>
      <c r="C4" s="147" t="str">
        <f>IF(C9&lt;0.167,"A",IF(C9&lt;0.33,"B",IF(C9&lt;0.5,"C","D")))</f>
        <v>D</v>
      </c>
    </row>
    <row r="5" spans="2:8" ht="17.25" customHeight="1">
      <c r="B5" s="148" t="s">
        <v>175</v>
      </c>
      <c r="C5" s="149">
        <v>1</v>
      </c>
      <c r="F5" s="144" t="s">
        <v>185</v>
      </c>
    </row>
    <row r="6" spans="2:8" ht="17.25" customHeight="1">
      <c r="B6" s="148" t="s">
        <v>262</v>
      </c>
      <c r="C6" s="151">
        <f>IF(('1-Eng Inputs'!C32&lt;=0.25),1.6,IF(('1-Eng Inputs'!C32&lt;0.5),'Seismic Data (Unattached)'!D4,IF(('1-Eng Inputs'!C32&lt;0.75),'Seismic Data (Unattached)'!F4,IF(('1-Eng Inputs'!C32&lt;1),'Seismic Data (Unattached)'!H4,IF(('1-Eng Inputs'!C32&lt;=1.25),'Seismic Data (Unattached)'!J4,'Seismic Data (Unattached)'!K4)))))</f>
        <v>1</v>
      </c>
      <c r="F6" s="144" t="s">
        <v>264</v>
      </c>
    </row>
    <row r="7" spans="2:8" ht="17.25" customHeight="1">
      <c r="B7" s="148" t="s">
        <v>263</v>
      </c>
      <c r="C7" s="151">
        <f>IF(('1-Eng Inputs'!C32&lt;=0.25),2.5,IF(('1-Eng Inputs'!C32&lt;0.5),'Seismic Data (Unattached)'!D8,IF(('1-Eng Inputs'!C32&lt;0.75),'Seismic Data (Unattached)'!F8,IF(('1-Eng Inputs'!C32&lt;1),'Seismic Data (Unattached)'!H8,IF(('1-Eng Inputs'!C32&lt;=1.25),'Seismic Data (Unattached)'!J8,'Seismic Data (Unattached)'!K8)))))</f>
        <v>0.9</v>
      </c>
      <c r="F7" s="144" t="s">
        <v>264</v>
      </c>
      <c r="H7" s="150"/>
    </row>
    <row r="8" spans="2:8" ht="17.25" customHeight="1">
      <c r="B8" s="148" t="s">
        <v>49</v>
      </c>
      <c r="C8" s="151">
        <f>IF('1-Eng Inputs'!C33="D",C6*'1-Eng Inputs'!C32,C7*'1-Eng Inputs'!C32)</f>
        <v>1.675</v>
      </c>
      <c r="H8" s="150"/>
    </row>
    <row r="9" spans="2:8" ht="17.25" customHeight="1">
      <c r="B9" s="148" t="s">
        <v>123</v>
      </c>
      <c r="C9" s="151">
        <f>(2*C8)/3</f>
        <v>1.1166666666666667</v>
      </c>
      <c r="F9" s="152"/>
      <c r="G9" s="152"/>
      <c r="H9" s="150"/>
    </row>
    <row r="10" spans="2:8" ht="17.25" customHeight="1">
      <c r="B10" s="153" t="s">
        <v>151</v>
      </c>
      <c r="C10" s="154" t="str">
        <f>'1-Eng Inputs'!C29</f>
        <v>II</v>
      </c>
      <c r="F10" s="155" t="s">
        <v>153</v>
      </c>
    </row>
    <row r="11" spans="2:8" ht="17.25" customHeight="1">
      <c r="B11" s="144" t="s">
        <v>282</v>
      </c>
      <c r="C11" s="156">
        <f>(IF(OR(C10="I",C10="II"),1,IF(C10="III",1.25,1.5)))</f>
        <v>1</v>
      </c>
    </row>
    <row r="12" spans="2:8" ht="17.25" customHeight="1">
      <c r="C12" s="156"/>
    </row>
    <row r="13" spans="2:8" ht="17.25" customHeight="1">
      <c r="B13" s="157" t="s">
        <v>283</v>
      </c>
      <c r="C13" s="158">
        <f>(IF(((C9-0.4)^2)*60&gt;6,((C9-0.4)^2)*60,6))</f>
        <v>30.816666666666666</v>
      </c>
      <c r="D13" s="144" t="s">
        <v>284</v>
      </c>
    </row>
    <row r="14" spans="2:8" ht="17.25" customHeight="1">
      <c r="B14" s="157" t="s">
        <v>285</v>
      </c>
      <c r="C14" s="158">
        <f>0.5*C5*C13</f>
        <v>15.408333333333333</v>
      </c>
      <c r="D14" s="144" t="s">
        <v>284</v>
      </c>
    </row>
    <row r="15" spans="2:8" ht="17.25" customHeight="1">
      <c r="B15" s="157" t="s">
        <v>286</v>
      </c>
      <c r="C15" s="158">
        <f>C5*C13</f>
        <v>30.816666666666666</v>
      </c>
      <c r="D15" s="144" t="s">
        <v>284</v>
      </c>
    </row>
    <row r="16" spans="2:8" ht="17.25" customHeight="1">
      <c r="B16" s="157" t="s">
        <v>287</v>
      </c>
      <c r="C16" s="158">
        <f>C11*C13</f>
        <v>30.816666666666666</v>
      </c>
      <c r="D16" s="144" t="s">
        <v>284</v>
      </c>
    </row>
    <row r="17" spans="2:122" ht="17.25" customHeight="1">
      <c r="B17" s="157" t="s">
        <v>288</v>
      </c>
      <c r="C17" s="158">
        <f>1.5*C11*C13</f>
        <v>46.225000000000001</v>
      </c>
      <c r="D17" s="144" t="s">
        <v>284</v>
      </c>
    </row>
    <row r="18" spans="2:122" ht="17.25" customHeight="1">
      <c r="C18" s="156"/>
    </row>
    <row r="19" spans="2:122" ht="17.25" customHeight="1">
      <c r="B19" s="157" t="s">
        <v>289</v>
      </c>
      <c r="C19" s="158">
        <v>179</v>
      </c>
      <c r="D19" s="144" t="s">
        <v>290</v>
      </c>
      <c r="F19" s="144" t="s">
        <v>393</v>
      </c>
    </row>
    <row r="20" spans="2:122" ht="17.25" customHeight="1">
      <c r="B20" s="157" t="s">
        <v>291</v>
      </c>
      <c r="C20" s="158">
        <f>C19*2</f>
        <v>358</v>
      </c>
      <c r="D20" s="144" t="s">
        <v>290</v>
      </c>
      <c r="F20" s="144" t="s">
        <v>394</v>
      </c>
    </row>
    <row r="21" spans="2:122" ht="17.25" customHeight="1">
      <c r="B21" s="157" t="s">
        <v>292</v>
      </c>
      <c r="C21" s="158">
        <v>110</v>
      </c>
      <c r="D21" s="144" t="s">
        <v>290</v>
      </c>
      <c r="F21" s="144" t="s">
        <v>393</v>
      </c>
    </row>
    <row r="22" spans="2:122" ht="17.25" customHeight="1">
      <c r="B22" s="157" t="s">
        <v>293</v>
      </c>
      <c r="C22" s="158">
        <f>C21</f>
        <v>110</v>
      </c>
      <c r="D22" s="144" t="s">
        <v>290</v>
      </c>
      <c r="F22" s="144" t="s">
        <v>395</v>
      </c>
    </row>
    <row r="23" spans="2:122" ht="17.25" customHeight="1">
      <c r="C23" s="156"/>
      <c r="I23" s="160"/>
      <c r="J23" s="160"/>
      <c r="K23" s="161"/>
      <c r="L23" s="161"/>
      <c r="M23" s="161"/>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row>
    <row r="24" spans="2:122" ht="17.25" customHeight="1">
      <c r="B24" s="157" t="s">
        <v>316</v>
      </c>
      <c r="C24" s="156">
        <v>5</v>
      </c>
      <c r="D24" s="144" t="s">
        <v>290</v>
      </c>
      <c r="F24" s="160"/>
      <c r="J24" s="160"/>
      <c r="K24" s="161"/>
      <c r="L24" s="161"/>
      <c r="M24" s="161"/>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row>
    <row r="25" spans="2:122" ht="17.25" customHeight="1">
      <c r="B25" s="164" t="s">
        <v>327</v>
      </c>
      <c r="C25" s="149">
        <f>ROUNDUP(IF('1-Eng Inputs'!C37="landscape",AVERAGE('Land Matrix 10deg (lift)'!F11:F36,'Land Matrix 10deg (lift)'!H11:H36,'Land Matrix 10deg (lift)'!J11:J36,'Land Matrix 10deg (lift)'!L11:L36,'Land Matrix 10deg (lift)'!N11:N36,'Land Matrix 10deg (lift)'!P11:P36),AVERAGE('Port Matrix (lift)'!F11:F36,'Port Matrix (lift)'!H11:H36,'Port Matrix (lift)'!J11:J36,'Port Matrix (lift)'!L11:L36,'Port Matrix (lift)'!N11:N36,'Port Matrix (lift)'!P11:P36,'Port Matrix (lift)'!R11:R36,'Port Matrix (lift)'!T11:T36,'Port Matrix (lift)'!V11:V36)),0)</f>
        <v>4</v>
      </c>
      <c r="D25" s="144" t="s">
        <v>295</v>
      </c>
      <c r="J25" s="160"/>
      <c r="K25" s="161"/>
      <c r="L25" s="161"/>
      <c r="M25" s="161"/>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row>
    <row r="26" spans="2:122" ht="17.25" customHeight="1">
      <c r="B26" s="157" t="s">
        <v>28</v>
      </c>
      <c r="C26" s="156">
        <f>'1-Eng Inputs'!C38</f>
        <v>32</v>
      </c>
      <c r="D26" s="144" t="s">
        <v>290</v>
      </c>
      <c r="I26" s="160"/>
      <c r="J26" s="160"/>
      <c r="K26" s="161"/>
      <c r="L26" s="161"/>
      <c r="M26" s="161"/>
      <c r="N26" s="162"/>
      <c r="O26" s="165"/>
      <c r="P26" s="165"/>
      <c r="Q26" s="165"/>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row>
    <row r="27" spans="2:122" ht="17.25" customHeight="1">
      <c r="B27" s="157" t="s">
        <v>317</v>
      </c>
      <c r="C27" s="158">
        <f>C24+C26*C25</f>
        <v>133</v>
      </c>
      <c r="D27" s="144" t="s">
        <v>290</v>
      </c>
      <c r="I27" s="160"/>
      <c r="J27" s="160"/>
      <c r="K27" s="161"/>
      <c r="L27" s="161"/>
      <c r="M27" s="161"/>
      <c r="N27" s="162"/>
      <c r="O27" s="165"/>
      <c r="P27" s="165"/>
      <c r="Q27" s="165"/>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row>
    <row r="28" spans="2:122" ht="17.25" customHeight="1">
      <c r="B28" s="157" t="s">
        <v>294</v>
      </c>
      <c r="C28" s="144">
        <v>5</v>
      </c>
      <c r="D28" s="144" t="s">
        <v>290</v>
      </c>
      <c r="F28" s="163"/>
      <c r="J28" s="160"/>
      <c r="K28" s="161"/>
      <c r="L28" s="161"/>
      <c r="M28" s="161"/>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row>
    <row r="29" spans="2:122" ht="17.25" customHeight="1">
      <c r="B29" s="157" t="s">
        <v>315</v>
      </c>
      <c r="C29" s="152">
        <f>'1-Eng Inputs'!C20</f>
        <v>48.5</v>
      </c>
      <c r="D29" s="144" t="s">
        <v>290</v>
      </c>
      <c r="I29" s="160"/>
      <c r="J29" s="160"/>
      <c r="K29" s="161"/>
      <c r="L29" s="161"/>
      <c r="M29" s="161"/>
      <c r="N29" s="162"/>
      <c r="O29" s="165"/>
      <c r="P29" s="165"/>
      <c r="Q29" s="165"/>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row>
    <row r="30" spans="2:122" ht="17.25" customHeight="1">
      <c r="B30" s="157" t="s">
        <v>322</v>
      </c>
      <c r="C30" s="152">
        <f>C28+C29</f>
        <v>53.5</v>
      </c>
      <c r="D30" s="144" t="s">
        <v>290</v>
      </c>
      <c r="I30" s="160"/>
      <c r="J30" s="160"/>
      <c r="K30" s="161"/>
      <c r="L30" s="161"/>
      <c r="M30" s="161"/>
      <c r="N30" s="162"/>
      <c r="O30" s="165"/>
      <c r="P30" s="165"/>
      <c r="Q30" s="165"/>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row>
    <row r="31" spans="2:122" ht="17.25" customHeight="1">
      <c r="B31" s="157" t="s">
        <v>323</v>
      </c>
      <c r="C31" s="150">
        <f>C27+C28</f>
        <v>138</v>
      </c>
      <c r="D31" s="144" t="s">
        <v>290</v>
      </c>
      <c r="I31" s="160"/>
      <c r="J31" s="160"/>
      <c r="K31" s="161"/>
      <c r="L31" s="161"/>
      <c r="M31" s="161"/>
      <c r="N31" s="162"/>
      <c r="O31" s="165"/>
      <c r="P31" s="165"/>
      <c r="Q31" s="165"/>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row>
    <row r="32" spans="2:122" ht="17.25" customHeight="1">
      <c r="B32" s="157"/>
      <c r="C32" s="150"/>
      <c r="I32" s="160"/>
      <c r="J32" s="160"/>
      <c r="K32" s="161"/>
      <c r="L32" s="161"/>
      <c r="M32" s="161"/>
      <c r="N32" s="162"/>
      <c r="O32" s="165"/>
      <c r="P32" s="165"/>
      <c r="Q32" s="165"/>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row>
    <row r="33" spans="2:122" ht="17.25" customHeight="1" thickBot="1">
      <c r="B33" s="2512" t="s">
        <v>19777</v>
      </c>
      <c r="C33" s="2512"/>
      <c r="D33" s="2512"/>
      <c r="I33" s="160"/>
      <c r="J33" s="160"/>
      <c r="K33" s="161"/>
      <c r="L33" s="161"/>
      <c r="M33" s="161"/>
      <c r="N33" s="162"/>
      <c r="O33" s="165"/>
      <c r="P33" s="165"/>
      <c r="Q33" s="165"/>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row>
    <row r="34" spans="2:122" ht="17.25" customHeight="1">
      <c r="I34" s="160"/>
      <c r="J34" s="160"/>
      <c r="K34" s="161"/>
      <c r="L34" s="161"/>
      <c r="M34" s="161"/>
      <c r="N34" s="162"/>
      <c r="O34" s="165"/>
      <c r="P34" s="165"/>
      <c r="Q34" s="165"/>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row>
    <row r="35" spans="2:122" ht="17.25" customHeight="1">
      <c r="B35" s="145" t="s">
        <v>19767</v>
      </c>
      <c r="C35" s="705" t="s">
        <v>19768</v>
      </c>
      <c r="D35" s="705" t="s">
        <v>19769</v>
      </c>
      <c r="I35" s="160"/>
      <c r="J35" s="160"/>
      <c r="K35" s="161"/>
      <c r="L35" s="161"/>
      <c r="M35" s="161"/>
      <c r="N35" s="162"/>
      <c r="O35" s="165"/>
      <c r="P35" s="165"/>
      <c r="Q35" s="165"/>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row>
    <row r="36" spans="2:122" ht="17.25" customHeight="1">
      <c r="B36" s="144" t="s">
        <v>19770</v>
      </c>
      <c r="C36" s="144">
        <v>1</v>
      </c>
      <c r="D36" s="144">
        <f t="shared" ref="D36:D41" si="0">C36*$C$58</f>
        <v>3</v>
      </c>
      <c r="I36" s="160"/>
      <c r="J36" s="160"/>
      <c r="K36" s="161"/>
      <c r="L36" s="161"/>
      <c r="M36" s="161"/>
      <c r="N36" s="162"/>
      <c r="O36" s="165"/>
      <c r="P36" s="165"/>
      <c r="Q36" s="165"/>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row>
    <row r="37" spans="2:122" ht="17.25" customHeight="1">
      <c r="B37" s="144" t="s">
        <v>19771</v>
      </c>
      <c r="C37" s="144">
        <v>2</v>
      </c>
      <c r="D37" s="144">
        <f t="shared" si="0"/>
        <v>6</v>
      </c>
      <c r="I37" s="160"/>
      <c r="J37" s="160"/>
      <c r="K37" s="161"/>
      <c r="L37" s="161"/>
      <c r="M37" s="161"/>
      <c r="N37" s="162"/>
      <c r="O37" s="165"/>
      <c r="P37" s="165"/>
      <c r="Q37" s="165"/>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row>
    <row r="38" spans="2:122" ht="17.25" customHeight="1">
      <c r="B38" s="144" t="s">
        <v>19772</v>
      </c>
      <c r="C38" s="144">
        <v>3</v>
      </c>
      <c r="D38" s="144">
        <f t="shared" si="0"/>
        <v>9</v>
      </c>
      <c r="I38" s="160"/>
      <c r="J38" s="160"/>
      <c r="K38" s="161"/>
      <c r="L38" s="161"/>
      <c r="M38" s="161"/>
      <c r="N38" s="162"/>
      <c r="O38" s="165"/>
      <c r="P38" s="165"/>
      <c r="Q38" s="165"/>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row>
    <row r="39" spans="2:122" ht="17.25" customHeight="1">
      <c r="B39" s="144" t="s">
        <v>19773</v>
      </c>
      <c r="C39" s="144">
        <v>4</v>
      </c>
      <c r="D39" s="144">
        <f t="shared" si="0"/>
        <v>12</v>
      </c>
      <c r="I39" s="160"/>
      <c r="J39" s="160"/>
      <c r="K39" s="161"/>
      <c r="L39" s="161"/>
      <c r="M39" s="161"/>
      <c r="N39" s="162"/>
      <c r="O39" s="165"/>
      <c r="P39" s="165"/>
      <c r="Q39" s="165"/>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row>
    <row r="40" spans="2:122" ht="17.25" customHeight="1">
      <c r="B40" s="144" t="s">
        <v>19774</v>
      </c>
      <c r="C40" s="144">
        <v>5</v>
      </c>
      <c r="D40" s="144">
        <f t="shared" si="0"/>
        <v>15</v>
      </c>
      <c r="I40" s="160"/>
      <c r="J40" s="160"/>
      <c r="K40" s="161"/>
      <c r="L40" s="161"/>
      <c r="M40" s="161"/>
      <c r="N40" s="162"/>
      <c r="O40" s="165"/>
      <c r="P40" s="165"/>
      <c r="Q40" s="165"/>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row>
    <row r="41" spans="2:122" ht="17.25" customHeight="1">
      <c r="B41" s="144" t="s">
        <v>19775</v>
      </c>
      <c r="C41" s="144">
        <v>6</v>
      </c>
      <c r="D41" s="144">
        <f t="shared" si="0"/>
        <v>18</v>
      </c>
      <c r="I41" s="160"/>
      <c r="J41" s="160"/>
      <c r="K41" s="161"/>
      <c r="L41" s="161"/>
      <c r="M41" s="161"/>
      <c r="N41" s="162"/>
      <c r="O41" s="165"/>
      <c r="P41" s="165"/>
      <c r="Q41" s="165"/>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row>
    <row r="42" spans="2:122" ht="17.25" customHeight="1">
      <c r="I42" s="160"/>
      <c r="J42" s="160"/>
      <c r="K42" s="161"/>
      <c r="L42" s="161"/>
      <c r="M42" s="161"/>
      <c r="N42" s="162"/>
      <c r="O42" s="165"/>
      <c r="P42" s="165"/>
      <c r="Q42" s="165"/>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row>
    <row r="43" spans="2:122" ht="17.25" customHeight="1">
      <c r="B43" s="145" t="s">
        <v>19776</v>
      </c>
      <c r="C43" s="705" t="s">
        <v>19768</v>
      </c>
      <c r="D43" s="705" t="s">
        <v>19769</v>
      </c>
      <c r="J43" s="169"/>
      <c r="K43" s="170"/>
      <c r="L43" s="170"/>
      <c r="M43" s="170"/>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161"/>
      <c r="BV43" s="161"/>
      <c r="BW43" s="161"/>
      <c r="BX43" s="161"/>
      <c r="BY43" s="161"/>
      <c r="BZ43" s="161"/>
      <c r="CA43" s="161"/>
      <c r="CB43" s="161"/>
      <c r="CC43" s="161"/>
      <c r="CD43" s="161"/>
      <c r="CE43" s="161"/>
      <c r="CF43" s="161"/>
      <c r="CG43" s="161"/>
      <c r="CH43" s="161"/>
      <c r="CI43" s="161"/>
      <c r="CJ43" s="161"/>
      <c r="CK43" s="161"/>
      <c r="CL43" s="161"/>
      <c r="CM43" s="161"/>
      <c r="CN43" s="161"/>
      <c r="CO43" s="161"/>
      <c r="CP43" s="161"/>
      <c r="CQ43" s="161"/>
      <c r="CR43" s="161"/>
      <c r="CS43" s="161"/>
      <c r="CT43" s="161"/>
      <c r="CU43" s="161"/>
      <c r="CV43" s="161"/>
      <c r="CW43" s="161"/>
      <c r="CX43" s="161"/>
      <c r="CY43" s="161"/>
      <c r="CZ43" s="161"/>
      <c r="DA43" s="161"/>
      <c r="DB43" s="161"/>
      <c r="DC43" s="161"/>
      <c r="DD43" s="161"/>
      <c r="DE43" s="161"/>
      <c r="DF43" s="161"/>
      <c r="DG43" s="161"/>
      <c r="DH43" s="161"/>
      <c r="DI43" s="161"/>
      <c r="DJ43" s="161"/>
      <c r="DK43" s="161"/>
      <c r="DL43" s="161"/>
      <c r="DM43" s="161"/>
      <c r="DN43" s="161"/>
      <c r="DO43" s="161"/>
      <c r="DP43" s="161"/>
      <c r="DQ43" s="161"/>
      <c r="DR43" s="161"/>
    </row>
    <row r="44" spans="2:122" ht="17.25" customHeight="1">
      <c r="B44" s="144" t="s">
        <v>19770</v>
      </c>
      <c r="C44" s="144">
        <v>1</v>
      </c>
      <c r="D44" s="144">
        <f t="shared" ref="D44:D49" si="1">C44*$C$54</f>
        <v>12</v>
      </c>
      <c r="F44" s="167"/>
      <c r="J44" s="169"/>
      <c r="K44" s="170"/>
      <c r="L44" s="170"/>
      <c r="M44" s="170"/>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61"/>
      <c r="BH44" s="161"/>
      <c r="BI44" s="161"/>
      <c r="BJ44" s="161"/>
      <c r="BK44" s="161"/>
      <c r="BL44" s="161"/>
      <c r="BM44" s="161"/>
      <c r="BN44" s="161"/>
      <c r="BO44" s="161"/>
      <c r="BP44" s="161"/>
      <c r="BQ44" s="161"/>
      <c r="BR44" s="161"/>
      <c r="BS44" s="161"/>
      <c r="BT44" s="161"/>
      <c r="BU44" s="161"/>
      <c r="BV44" s="161"/>
      <c r="BW44" s="161"/>
      <c r="BX44" s="161"/>
      <c r="BY44" s="161"/>
      <c r="BZ44" s="161"/>
      <c r="CA44" s="161"/>
      <c r="CB44" s="161"/>
      <c r="CC44" s="161"/>
      <c r="CD44" s="161"/>
      <c r="CE44" s="161"/>
      <c r="CF44" s="161"/>
      <c r="CG44" s="161"/>
      <c r="CH44" s="161"/>
      <c r="CI44" s="161"/>
      <c r="CJ44" s="161"/>
      <c r="CK44" s="161"/>
      <c r="CL44" s="161"/>
      <c r="CM44" s="161"/>
      <c r="CN44" s="161"/>
      <c r="CO44" s="161"/>
      <c r="CP44" s="161"/>
      <c r="CQ44" s="161"/>
      <c r="CR44" s="161"/>
      <c r="CS44" s="161"/>
      <c r="CT44" s="161"/>
      <c r="CU44" s="161"/>
      <c r="CV44" s="161"/>
      <c r="CW44" s="161"/>
      <c r="CX44" s="161"/>
      <c r="CY44" s="161"/>
      <c r="CZ44" s="161"/>
      <c r="DA44" s="161"/>
      <c r="DB44" s="161"/>
      <c r="DC44" s="161"/>
      <c r="DD44" s="161"/>
      <c r="DE44" s="161"/>
      <c r="DF44" s="161"/>
      <c r="DG44" s="161"/>
      <c r="DH44" s="161"/>
      <c r="DI44" s="161"/>
      <c r="DJ44" s="161"/>
      <c r="DK44" s="161"/>
      <c r="DL44" s="161"/>
      <c r="DM44" s="161"/>
      <c r="DN44" s="161"/>
      <c r="DO44" s="161"/>
      <c r="DP44" s="161"/>
      <c r="DQ44" s="161"/>
      <c r="DR44" s="161"/>
    </row>
    <row r="45" spans="2:122" ht="17.25" customHeight="1">
      <c r="B45" s="144" t="s">
        <v>19771</v>
      </c>
      <c r="C45" s="144">
        <v>2</v>
      </c>
      <c r="D45" s="144">
        <f t="shared" si="1"/>
        <v>24</v>
      </c>
      <c r="J45" s="169"/>
      <c r="K45" s="170"/>
      <c r="L45" s="170"/>
      <c r="M45" s="170"/>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161"/>
      <c r="BD45" s="161"/>
      <c r="BE45" s="161"/>
      <c r="BF45" s="161"/>
      <c r="BG45" s="161"/>
      <c r="BH45" s="161"/>
      <c r="BI45" s="161"/>
      <c r="BJ45" s="161"/>
      <c r="BK45" s="161"/>
      <c r="BL45" s="161"/>
      <c r="BM45" s="161"/>
      <c r="BN45" s="161"/>
      <c r="BO45" s="161"/>
      <c r="BP45" s="161"/>
      <c r="BQ45" s="161"/>
      <c r="BR45" s="161"/>
      <c r="BS45" s="161"/>
      <c r="BT45" s="161"/>
      <c r="BU45" s="161"/>
      <c r="BV45" s="161"/>
      <c r="BW45" s="161"/>
      <c r="BX45" s="161"/>
      <c r="BY45" s="161"/>
      <c r="BZ45" s="161"/>
      <c r="CA45" s="161"/>
      <c r="CB45" s="161"/>
      <c r="CC45" s="161"/>
      <c r="CD45" s="161"/>
      <c r="CE45" s="161"/>
      <c r="CF45" s="161"/>
      <c r="CG45" s="161"/>
      <c r="CH45" s="161"/>
      <c r="CI45" s="161"/>
      <c r="CJ45" s="161"/>
      <c r="CK45" s="161"/>
      <c r="CL45" s="161"/>
      <c r="CM45" s="161"/>
      <c r="CN45" s="161"/>
      <c r="CO45" s="161"/>
      <c r="CP45" s="161"/>
      <c r="CQ45" s="161"/>
      <c r="CR45" s="161"/>
      <c r="CS45" s="161"/>
      <c r="CT45" s="161"/>
      <c r="CU45" s="161"/>
      <c r="CV45" s="161"/>
      <c r="CW45" s="161"/>
      <c r="CX45" s="161"/>
      <c r="CY45" s="161"/>
      <c r="CZ45" s="161"/>
      <c r="DA45" s="161"/>
      <c r="DB45" s="161"/>
      <c r="DC45" s="161"/>
      <c r="DD45" s="161"/>
      <c r="DE45" s="161"/>
      <c r="DF45" s="161"/>
      <c r="DG45" s="161"/>
      <c r="DH45" s="161"/>
      <c r="DI45" s="161"/>
      <c r="DJ45" s="161"/>
      <c r="DK45" s="161"/>
      <c r="DL45" s="161"/>
      <c r="DM45" s="161"/>
      <c r="DN45" s="161"/>
      <c r="DO45" s="161"/>
      <c r="DP45" s="161"/>
      <c r="DQ45" s="161"/>
      <c r="DR45" s="161"/>
    </row>
    <row r="46" spans="2:122" ht="17.25" customHeight="1">
      <c r="B46" s="144" t="s">
        <v>19772</v>
      </c>
      <c r="C46" s="144">
        <v>3</v>
      </c>
      <c r="D46" s="144">
        <f t="shared" si="1"/>
        <v>36</v>
      </c>
      <c r="F46" s="167"/>
      <c r="J46" s="169"/>
      <c r="K46" s="170"/>
      <c r="L46" s="170"/>
      <c r="M46" s="170"/>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1"/>
      <c r="AS46" s="161"/>
      <c r="AT46" s="161"/>
      <c r="AU46" s="161"/>
      <c r="AV46" s="161"/>
      <c r="AW46" s="161"/>
      <c r="AX46" s="161"/>
      <c r="AY46" s="161"/>
      <c r="AZ46" s="161"/>
      <c r="BA46" s="161"/>
      <c r="BB46" s="161"/>
      <c r="BC46" s="161"/>
      <c r="BD46" s="161"/>
      <c r="BE46" s="161"/>
      <c r="BF46" s="161"/>
      <c r="BG46" s="161"/>
      <c r="BH46" s="161"/>
      <c r="BI46" s="161"/>
      <c r="BJ46" s="161"/>
      <c r="BK46" s="161"/>
      <c r="BL46" s="161"/>
      <c r="BM46" s="161"/>
      <c r="BN46" s="161"/>
      <c r="BO46" s="161"/>
      <c r="BP46" s="161"/>
      <c r="BQ46" s="161"/>
      <c r="BR46" s="161"/>
      <c r="BS46" s="161"/>
      <c r="BT46" s="161"/>
      <c r="BU46" s="161"/>
      <c r="BV46" s="161"/>
      <c r="BW46" s="161"/>
      <c r="BX46" s="161"/>
      <c r="BY46" s="161"/>
      <c r="BZ46" s="161"/>
      <c r="CA46" s="161"/>
      <c r="CB46" s="161"/>
      <c r="CC46" s="161"/>
      <c r="CD46" s="161"/>
      <c r="CE46" s="161"/>
      <c r="CF46" s="161"/>
      <c r="CG46" s="161"/>
      <c r="CH46" s="161"/>
      <c r="CI46" s="161"/>
      <c r="CJ46" s="161"/>
      <c r="CK46" s="161"/>
      <c r="CL46" s="161"/>
      <c r="CM46" s="161"/>
      <c r="CN46" s="161"/>
      <c r="CO46" s="161"/>
      <c r="CP46" s="161"/>
      <c r="CQ46" s="161"/>
      <c r="CR46" s="161"/>
      <c r="CS46" s="161"/>
      <c r="CT46" s="161"/>
      <c r="CU46" s="161"/>
      <c r="CV46" s="161"/>
      <c r="CW46" s="161"/>
      <c r="CX46" s="161"/>
      <c r="CY46" s="161"/>
      <c r="CZ46" s="161"/>
      <c r="DA46" s="161"/>
      <c r="DB46" s="161"/>
      <c r="DC46" s="161"/>
      <c r="DD46" s="161"/>
      <c r="DE46" s="161"/>
      <c r="DF46" s="161"/>
      <c r="DG46" s="161"/>
      <c r="DH46" s="161"/>
      <c r="DI46" s="161"/>
      <c r="DJ46" s="161"/>
      <c r="DK46" s="161"/>
      <c r="DL46" s="161"/>
      <c r="DM46" s="161"/>
      <c r="DN46" s="161"/>
      <c r="DO46" s="161"/>
      <c r="DP46" s="161"/>
      <c r="DQ46" s="161"/>
      <c r="DR46" s="161"/>
    </row>
    <row r="47" spans="2:122" ht="17.25" customHeight="1">
      <c r="B47" s="144" t="s">
        <v>19773</v>
      </c>
      <c r="C47" s="144">
        <v>4</v>
      </c>
      <c r="D47" s="144">
        <f t="shared" si="1"/>
        <v>48</v>
      </c>
      <c r="F47" s="167"/>
      <c r="J47" s="169"/>
      <c r="K47" s="170"/>
      <c r="L47" s="170"/>
      <c r="M47" s="170"/>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1"/>
      <c r="AS47" s="161"/>
      <c r="AT47" s="161"/>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161"/>
      <c r="BV47" s="161"/>
      <c r="BW47" s="161"/>
      <c r="BX47" s="161"/>
      <c r="BY47" s="161"/>
      <c r="BZ47" s="161"/>
      <c r="CA47" s="161"/>
      <c r="CB47" s="161"/>
      <c r="CC47" s="161"/>
      <c r="CD47" s="161"/>
      <c r="CE47" s="161"/>
      <c r="CF47" s="161"/>
      <c r="CG47" s="161"/>
      <c r="CH47" s="161"/>
      <c r="CI47" s="161"/>
      <c r="CJ47" s="161"/>
      <c r="CK47" s="161"/>
      <c r="CL47" s="161"/>
      <c r="CM47" s="161"/>
      <c r="CN47" s="161"/>
      <c r="CO47" s="161"/>
      <c r="CP47" s="161"/>
      <c r="CQ47" s="161"/>
      <c r="CR47" s="161"/>
      <c r="CS47" s="161"/>
      <c r="CT47" s="161"/>
      <c r="CU47" s="161"/>
      <c r="CV47" s="161"/>
      <c r="CW47" s="161"/>
      <c r="CX47" s="161"/>
      <c r="CY47" s="161"/>
      <c r="CZ47" s="161"/>
      <c r="DA47" s="161"/>
      <c r="DB47" s="161"/>
      <c r="DC47" s="161"/>
      <c r="DD47" s="161"/>
      <c r="DE47" s="161"/>
      <c r="DF47" s="161"/>
      <c r="DG47" s="161"/>
      <c r="DH47" s="161"/>
      <c r="DI47" s="161"/>
      <c r="DJ47" s="161"/>
      <c r="DK47" s="161"/>
      <c r="DL47" s="161"/>
      <c r="DM47" s="161"/>
      <c r="DN47" s="161"/>
      <c r="DO47" s="161"/>
      <c r="DP47" s="161"/>
      <c r="DQ47" s="161"/>
      <c r="DR47" s="161"/>
    </row>
    <row r="48" spans="2:122" ht="17.25" customHeight="1">
      <c r="B48" s="144" t="s">
        <v>19774</v>
      </c>
      <c r="C48" s="144">
        <v>5</v>
      </c>
      <c r="D48" s="144">
        <f t="shared" si="1"/>
        <v>60</v>
      </c>
      <c r="F48" s="167"/>
      <c r="J48" s="169"/>
      <c r="K48" s="170"/>
      <c r="L48" s="170"/>
      <c r="M48" s="170"/>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161"/>
      <c r="BV48" s="161"/>
      <c r="BW48" s="161"/>
      <c r="BX48" s="161"/>
      <c r="BY48" s="161"/>
      <c r="BZ48" s="161"/>
      <c r="CA48" s="161"/>
      <c r="CB48" s="161"/>
      <c r="CC48" s="161"/>
      <c r="CD48" s="161"/>
      <c r="CE48" s="161"/>
      <c r="CF48" s="161"/>
      <c r="CG48" s="161"/>
      <c r="CH48" s="161"/>
      <c r="CI48" s="161"/>
      <c r="CJ48" s="161"/>
      <c r="CK48" s="161"/>
      <c r="CL48" s="161"/>
      <c r="CM48" s="161"/>
      <c r="CN48" s="161"/>
      <c r="CO48" s="161"/>
      <c r="CP48" s="161"/>
      <c r="CQ48" s="161"/>
      <c r="CR48" s="161"/>
      <c r="CS48" s="161"/>
      <c r="CT48" s="161"/>
      <c r="CU48" s="161"/>
      <c r="CV48" s="161"/>
      <c r="CW48" s="161"/>
      <c r="CX48" s="161"/>
      <c r="CY48" s="161"/>
      <c r="CZ48" s="161"/>
      <c r="DA48" s="161"/>
      <c r="DB48" s="161"/>
      <c r="DC48" s="161"/>
      <c r="DD48" s="161"/>
      <c r="DE48" s="161"/>
      <c r="DF48" s="161"/>
      <c r="DG48" s="161"/>
      <c r="DH48" s="161"/>
      <c r="DI48" s="161"/>
      <c r="DJ48" s="161"/>
      <c r="DK48" s="161"/>
      <c r="DL48" s="161"/>
      <c r="DM48" s="161"/>
      <c r="DN48" s="161"/>
      <c r="DO48" s="161"/>
      <c r="DP48" s="161"/>
      <c r="DQ48" s="161"/>
      <c r="DR48" s="161"/>
    </row>
    <row r="49" spans="2:122" ht="17.25" customHeight="1">
      <c r="B49" s="144" t="s">
        <v>19775</v>
      </c>
      <c r="C49" s="144">
        <v>6</v>
      </c>
      <c r="D49" s="144">
        <f t="shared" si="1"/>
        <v>72</v>
      </c>
      <c r="F49" s="167"/>
      <c r="J49" s="169"/>
      <c r="K49" s="170"/>
      <c r="L49" s="170"/>
      <c r="M49" s="170"/>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1"/>
      <c r="AS49" s="161"/>
      <c r="AT49" s="161"/>
      <c r="AU49" s="161"/>
      <c r="AV49" s="161"/>
      <c r="AW49" s="161"/>
      <c r="AX49" s="161"/>
      <c r="AY49" s="161"/>
      <c r="AZ49" s="161"/>
      <c r="BA49" s="161"/>
      <c r="BB49" s="161"/>
      <c r="BC49" s="161"/>
      <c r="BD49" s="161"/>
      <c r="BE49" s="161"/>
      <c r="BF49" s="161"/>
      <c r="BG49" s="161"/>
      <c r="BH49" s="161"/>
      <c r="BI49" s="161"/>
      <c r="BJ49" s="161"/>
      <c r="BK49" s="161"/>
      <c r="BL49" s="161"/>
      <c r="BM49" s="161"/>
      <c r="BN49" s="161"/>
      <c r="BO49" s="161"/>
      <c r="BP49" s="161"/>
      <c r="BQ49" s="161"/>
      <c r="BR49" s="161"/>
      <c r="BS49" s="161"/>
      <c r="BT49" s="161"/>
      <c r="BU49" s="161"/>
      <c r="BV49" s="161"/>
      <c r="BW49" s="161"/>
      <c r="BX49" s="161"/>
      <c r="BY49" s="161"/>
      <c r="BZ49" s="161"/>
      <c r="CA49" s="161"/>
      <c r="CB49" s="161"/>
      <c r="CC49" s="161"/>
      <c r="CD49" s="161"/>
      <c r="CE49" s="161"/>
      <c r="CF49" s="161"/>
      <c r="CG49" s="161"/>
      <c r="CH49" s="161"/>
      <c r="CI49" s="161"/>
      <c r="CJ49" s="161"/>
      <c r="CK49" s="161"/>
      <c r="CL49" s="161"/>
      <c r="CM49" s="161"/>
      <c r="CN49" s="161"/>
      <c r="CO49" s="161"/>
      <c r="CP49" s="161"/>
      <c r="CQ49" s="161"/>
      <c r="CR49" s="161"/>
      <c r="CS49" s="161"/>
      <c r="CT49" s="161"/>
      <c r="CU49" s="161"/>
      <c r="CV49" s="161"/>
      <c r="CW49" s="161"/>
      <c r="CX49" s="161"/>
      <c r="CY49" s="161"/>
      <c r="CZ49" s="161"/>
      <c r="DA49" s="161"/>
      <c r="DB49" s="161"/>
      <c r="DC49" s="161"/>
      <c r="DD49" s="161"/>
      <c r="DE49" s="161"/>
      <c r="DF49" s="161"/>
      <c r="DG49" s="161"/>
      <c r="DH49" s="161"/>
      <c r="DI49" s="161"/>
      <c r="DJ49" s="161"/>
      <c r="DK49" s="161"/>
      <c r="DL49" s="161"/>
      <c r="DM49" s="161"/>
      <c r="DN49" s="161"/>
      <c r="DO49" s="161"/>
      <c r="DP49" s="161"/>
      <c r="DQ49" s="161"/>
      <c r="DR49" s="161"/>
    </row>
    <row r="50" spans="2:122" ht="17.25" customHeight="1">
      <c r="J50" s="169"/>
      <c r="K50" s="170"/>
      <c r="L50" s="170"/>
      <c r="M50" s="170"/>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1"/>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161"/>
      <c r="BV50" s="161"/>
      <c r="BW50" s="161"/>
      <c r="BX50" s="161"/>
      <c r="BY50" s="161"/>
      <c r="BZ50" s="161"/>
      <c r="CA50" s="161"/>
      <c r="CB50" s="161"/>
      <c r="CC50" s="161"/>
      <c r="CD50" s="161"/>
      <c r="CE50" s="161"/>
      <c r="CF50" s="161"/>
      <c r="CG50" s="161"/>
      <c r="CH50" s="161"/>
      <c r="CI50" s="161"/>
      <c r="CJ50" s="161"/>
      <c r="CK50" s="161"/>
      <c r="CL50" s="161"/>
      <c r="CM50" s="161"/>
      <c r="CN50" s="161"/>
      <c r="CO50" s="161"/>
      <c r="CP50" s="161"/>
      <c r="CQ50" s="161"/>
      <c r="CR50" s="161"/>
      <c r="CS50" s="161"/>
      <c r="CT50" s="161"/>
      <c r="CU50" s="161"/>
      <c r="CV50" s="161"/>
      <c r="CW50" s="161"/>
      <c r="CX50" s="161"/>
      <c r="CY50" s="161"/>
      <c r="CZ50" s="161"/>
      <c r="DA50" s="161"/>
      <c r="DB50" s="161"/>
      <c r="DC50" s="161"/>
      <c r="DD50" s="161"/>
      <c r="DE50" s="161"/>
      <c r="DF50" s="161"/>
      <c r="DG50" s="161"/>
      <c r="DH50" s="161"/>
      <c r="DI50" s="161"/>
      <c r="DJ50" s="161"/>
      <c r="DK50" s="161"/>
      <c r="DL50" s="161"/>
      <c r="DM50" s="161"/>
      <c r="DN50" s="161"/>
      <c r="DO50" s="161"/>
      <c r="DP50" s="161"/>
      <c r="DQ50" s="161"/>
      <c r="DR50" s="161"/>
    </row>
    <row r="51" spans="2:122" ht="17.25" customHeight="1" thickBot="1">
      <c r="B51" s="2512" t="s">
        <v>328</v>
      </c>
      <c r="C51" s="2512"/>
      <c r="D51" s="2512"/>
      <c r="J51" s="169"/>
      <c r="K51" s="170"/>
      <c r="L51" s="173"/>
      <c r="M51" s="170"/>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1"/>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161"/>
      <c r="BV51" s="161"/>
      <c r="BW51" s="161"/>
      <c r="BX51" s="161"/>
      <c r="BY51" s="161"/>
      <c r="BZ51" s="161"/>
      <c r="CA51" s="161"/>
      <c r="CB51" s="161"/>
      <c r="CC51" s="161"/>
      <c r="CD51" s="161"/>
      <c r="CE51" s="161"/>
      <c r="CF51" s="161"/>
      <c r="CG51" s="161"/>
      <c r="CH51" s="161"/>
      <c r="CI51" s="161"/>
      <c r="CJ51" s="161"/>
      <c r="CK51" s="161"/>
      <c r="CL51" s="161"/>
      <c r="CM51" s="161"/>
      <c r="CN51" s="161"/>
      <c r="CO51" s="161"/>
      <c r="CP51" s="161"/>
      <c r="CQ51" s="161"/>
      <c r="CR51" s="161"/>
      <c r="CS51" s="161"/>
      <c r="CT51" s="161"/>
      <c r="CU51" s="161"/>
      <c r="CV51" s="161"/>
      <c r="CW51" s="161"/>
      <c r="CX51" s="161"/>
      <c r="CY51" s="161"/>
      <c r="CZ51" s="161"/>
      <c r="DA51" s="161"/>
      <c r="DB51" s="161"/>
      <c r="DC51" s="161"/>
      <c r="DD51" s="161"/>
      <c r="DE51" s="161"/>
      <c r="DF51" s="161"/>
      <c r="DG51" s="161"/>
      <c r="DH51" s="161"/>
      <c r="DI51" s="161"/>
      <c r="DJ51" s="161"/>
      <c r="DK51" s="161"/>
      <c r="DL51" s="161"/>
      <c r="DM51" s="161"/>
      <c r="DN51" s="161"/>
      <c r="DO51" s="161"/>
      <c r="DP51" s="161"/>
      <c r="DQ51" s="161"/>
      <c r="DR51" s="161"/>
    </row>
    <row r="52" spans="2:122" ht="17.25" customHeight="1">
      <c r="B52" s="166" t="s">
        <v>296</v>
      </c>
      <c r="E52" s="166"/>
      <c r="J52" s="169"/>
      <c r="K52" s="170"/>
      <c r="L52" s="170"/>
      <c r="M52" s="170"/>
      <c r="N52" s="170"/>
      <c r="O52" s="170"/>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1"/>
      <c r="AY52" s="161"/>
      <c r="AZ52" s="161"/>
      <c r="BA52" s="161"/>
      <c r="BB52" s="161"/>
      <c r="BC52" s="161"/>
      <c r="BD52" s="161"/>
      <c r="BE52" s="161"/>
      <c r="BF52" s="161"/>
      <c r="BG52" s="161"/>
      <c r="BH52" s="161"/>
      <c r="BI52" s="161"/>
      <c r="BJ52" s="161"/>
      <c r="BK52" s="161"/>
      <c r="BL52" s="161"/>
      <c r="BM52" s="161"/>
      <c r="BN52" s="161"/>
      <c r="BO52" s="161"/>
      <c r="BP52" s="161"/>
      <c r="BQ52" s="161"/>
      <c r="BR52" s="161"/>
      <c r="BS52" s="161"/>
      <c r="BT52" s="161"/>
      <c r="BU52" s="161"/>
      <c r="BV52" s="161"/>
      <c r="BW52" s="161"/>
      <c r="BX52" s="161"/>
      <c r="BY52" s="161"/>
      <c r="BZ52" s="161"/>
      <c r="CA52" s="161"/>
      <c r="CB52" s="161"/>
      <c r="CC52" s="161"/>
      <c r="CD52" s="161"/>
      <c r="CE52" s="161"/>
      <c r="CF52" s="161"/>
      <c r="CG52" s="161"/>
      <c r="CH52" s="161"/>
      <c r="CI52" s="161"/>
      <c r="CJ52" s="161"/>
      <c r="CK52" s="161"/>
      <c r="CL52" s="161"/>
      <c r="CM52" s="161"/>
      <c r="CN52" s="161"/>
      <c r="CO52" s="161"/>
      <c r="CP52" s="161"/>
      <c r="CQ52" s="161"/>
      <c r="CR52" s="161"/>
      <c r="CS52" s="161"/>
      <c r="CT52" s="161"/>
      <c r="CU52" s="161"/>
      <c r="CV52" s="161"/>
      <c r="CW52" s="161"/>
      <c r="CX52" s="161"/>
      <c r="CY52" s="161"/>
      <c r="CZ52" s="161"/>
      <c r="DA52" s="161"/>
      <c r="DB52" s="161"/>
      <c r="DC52" s="161"/>
      <c r="DD52" s="161"/>
      <c r="DE52" s="161"/>
      <c r="DF52" s="161"/>
      <c r="DG52" s="161"/>
      <c r="DH52" s="161"/>
      <c r="DI52" s="161"/>
      <c r="DJ52" s="161"/>
      <c r="DK52" s="161"/>
      <c r="DL52" s="161"/>
      <c r="DM52" s="161"/>
      <c r="DN52" s="161"/>
      <c r="DO52" s="161"/>
      <c r="DP52" s="161"/>
      <c r="DQ52" s="161"/>
      <c r="DR52" s="161"/>
    </row>
    <row r="53" spans="2:122" ht="17.25" customHeight="1">
      <c r="B53" s="167" t="s">
        <v>329</v>
      </c>
      <c r="C53" s="152">
        <f>MIN(C20/(0.133*$C$9),C20/0.1)</f>
        <v>2410.5038716193467</v>
      </c>
      <c r="D53" s="144" t="s">
        <v>290</v>
      </c>
      <c r="E53" s="144">
        <f>MIN(C20/(0.133*$C$9),C20/0.1)</f>
        <v>2410.5038716193467</v>
      </c>
      <c r="J53" s="162"/>
      <c r="K53" s="170"/>
      <c r="L53" s="170"/>
      <c r="M53" s="170"/>
      <c r="N53" s="170"/>
      <c r="O53" s="170"/>
      <c r="P53" s="161"/>
      <c r="Q53" s="161"/>
      <c r="R53" s="161"/>
      <c r="S53" s="161"/>
      <c r="T53" s="160"/>
      <c r="U53" s="161"/>
      <c r="V53" s="161"/>
      <c r="W53" s="161"/>
      <c r="X53" s="160"/>
      <c r="Y53" s="161"/>
      <c r="Z53" s="161"/>
      <c r="AA53" s="161"/>
      <c r="AB53" s="160"/>
      <c r="AC53" s="161"/>
      <c r="AD53" s="161"/>
      <c r="AE53" s="161"/>
      <c r="AF53" s="160"/>
      <c r="AG53" s="161"/>
      <c r="AH53" s="161"/>
      <c r="AI53" s="161"/>
      <c r="AJ53" s="160"/>
      <c r="AK53" s="161"/>
      <c r="AL53" s="161"/>
      <c r="AM53" s="161"/>
      <c r="AN53" s="160"/>
      <c r="AO53" s="161"/>
      <c r="AP53" s="161"/>
      <c r="AQ53" s="161"/>
      <c r="AR53" s="160"/>
      <c r="AS53" s="161"/>
      <c r="AT53" s="161"/>
      <c r="AU53" s="161"/>
      <c r="AV53" s="160"/>
      <c r="AW53" s="161"/>
      <c r="AX53" s="161"/>
      <c r="AY53" s="161"/>
      <c r="AZ53" s="160"/>
      <c r="BA53" s="161"/>
      <c r="BB53" s="161"/>
      <c r="BC53" s="161"/>
      <c r="BD53" s="160"/>
      <c r="BE53" s="160"/>
      <c r="BF53" s="160"/>
      <c r="BG53" s="160"/>
      <c r="BH53" s="160"/>
      <c r="BI53" s="160"/>
      <c r="BJ53" s="160"/>
      <c r="BK53" s="160"/>
      <c r="BL53" s="160"/>
      <c r="BM53" s="160"/>
      <c r="BN53" s="160"/>
      <c r="BO53" s="160"/>
      <c r="BP53" s="160"/>
      <c r="BQ53" s="160"/>
      <c r="BR53" s="160"/>
      <c r="BS53" s="160"/>
      <c r="BT53" s="160"/>
      <c r="BU53" s="160"/>
      <c r="BV53" s="160"/>
      <c r="BW53" s="160"/>
      <c r="BX53" s="160"/>
      <c r="BY53" s="160"/>
      <c r="BZ53" s="160"/>
      <c r="CA53" s="160"/>
      <c r="CB53" s="160"/>
      <c r="CC53" s="160"/>
      <c r="CD53" s="160"/>
      <c r="CE53" s="160"/>
      <c r="CF53" s="160"/>
      <c r="CG53" s="160"/>
      <c r="CH53" s="160"/>
      <c r="CI53" s="160"/>
      <c r="CJ53" s="160"/>
      <c r="CK53" s="160"/>
      <c r="CL53" s="160"/>
      <c r="CM53" s="160"/>
      <c r="CN53" s="160"/>
      <c r="CO53" s="160"/>
      <c r="CP53" s="160"/>
      <c r="CQ53" s="160"/>
      <c r="CR53" s="160"/>
      <c r="CS53" s="160"/>
      <c r="CT53" s="160"/>
      <c r="CU53" s="160"/>
      <c r="CV53" s="160"/>
      <c r="CW53" s="160"/>
      <c r="CX53" s="160"/>
      <c r="CY53" s="160"/>
      <c r="CZ53" s="160"/>
      <c r="DA53" s="160"/>
      <c r="DB53" s="160"/>
      <c r="DC53" s="160"/>
      <c r="DD53" s="160"/>
      <c r="DE53" s="160"/>
      <c r="DF53" s="160"/>
      <c r="DG53" s="160"/>
      <c r="DH53" s="160"/>
      <c r="DI53" s="160"/>
      <c r="DJ53" s="160"/>
      <c r="DK53" s="160"/>
      <c r="DL53" s="160"/>
      <c r="DM53" s="160"/>
      <c r="DN53" s="160"/>
      <c r="DO53" s="160"/>
      <c r="DP53" s="160"/>
      <c r="DQ53" s="160"/>
      <c r="DR53" s="160"/>
    </row>
    <row r="54" spans="2:122" ht="17.25" customHeight="1">
      <c r="B54" s="167" t="s">
        <v>328</v>
      </c>
      <c r="C54" s="144">
        <f>ROUNDDOWN((C53-(0.5*C31))/(C31+'1-Eng Inputs'!$C$20),0)</f>
        <v>12</v>
      </c>
      <c r="D54" s="144" t="s">
        <v>297</v>
      </c>
      <c r="E54" s="144">
        <f>ROUNDDOWN((C53)/(C31+C29),0)</f>
        <v>12</v>
      </c>
      <c r="J54" s="162"/>
      <c r="K54" s="170"/>
      <c r="L54" s="170"/>
      <c r="M54" s="170"/>
      <c r="N54" s="170"/>
      <c r="O54" s="170"/>
      <c r="P54" s="161"/>
      <c r="Q54" s="161"/>
      <c r="R54" s="161"/>
      <c r="S54" s="161"/>
      <c r="T54" s="160"/>
      <c r="U54" s="161"/>
      <c r="V54" s="161"/>
      <c r="W54" s="161"/>
      <c r="X54" s="160"/>
      <c r="Y54" s="161"/>
      <c r="Z54" s="161"/>
      <c r="AA54" s="161"/>
      <c r="AB54" s="160"/>
      <c r="AC54" s="161"/>
      <c r="AD54" s="161"/>
      <c r="AE54" s="161"/>
      <c r="AF54" s="160"/>
      <c r="AG54" s="161"/>
      <c r="AH54" s="161"/>
      <c r="AI54" s="161"/>
      <c r="AJ54" s="160"/>
      <c r="AK54" s="161"/>
      <c r="AL54" s="161"/>
      <c r="AM54" s="161"/>
      <c r="AN54" s="160"/>
      <c r="AO54" s="161"/>
      <c r="AP54" s="161"/>
      <c r="AQ54" s="161"/>
      <c r="AR54" s="160"/>
      <c r="AS54" s="161"/>
      <c r="AT54" s="161"/>
      <c r="AU54" s="161"/>
      <c r="AV54" s="160"/>
      <c r="AW54" s="161"/>
      <c r="AX54" s="161"/>
      <c r="AY54" s="161"/>
      <c r="AZ54" s="160"/>
      <c r="BA54" s="161"/>
      <c r="BB54" s="161"/>
      <c r="BC54" s="161"/>
      <c r="BD54" s="160"/>
      <c r="BE54" s="160"/>
      <c r="BF54" s="160"/>
      <c r="BG54" s="160"/>
      <c r="BH54" s="160"/>
      <c r="BI54" s="160"/>
      <c r="BJ54" s="160"/>
      <c r="BK54" s="160"/>
      <c r="BL54" s="160"/>
      <c r="BM54" s="160"/>
      <c r="BN54" s="160"/>
      <c r="BO54" s="160"/>
      <c r="BP54" s="160"/>
      <c r="BQ54" s="160"/>
      <c r="BR54" s="160"/>
      <c r="BS54" s="160"/>
      <c r="BT54" s="160"/>
      <c r="BU54" s="160"/>
      <c r="BV54" s="160"/>
      <c r="BW54" s="160"/>
      <c r="BX54" s="160"/>
      <c r="BY54" s="160"/>
      <c r="BZ54" s="160"/>
      <c r="CA54" s="160"/>
      <c r="CB54" s="160"/>
      <c r="CC54" s="160"/>
      <c r="CD54" s="160"/>
      <c r="CE54" s="160"/>
      <c r="CF54" s="160"/>
      <c r="CG54" s="160"/>
      <c r="CH54" s="160"/>
      <c r="CI54" s="160"/>
      <c r="CJ54" s="160"/>
      <c r="CK54" s="160"/>
      <c r="CL54" s="160"/>
      <c r="CM54" s="160"/>
      <c r="CN54" s="160"/>
      <c r="CO54" s="160"/>
      <c r="CP54" s="160"/>
      <c r="CQ54" s="160"/>
      <c r="CR54" s="160"/>
      <c r="CS54" s="160"/>
      <c r="CT54" s="160"/>
      <c r="CU54" s="160"/>
      <c r="CV54" s="160"/>
      <c r="CW54" s="160"/>
      <c r="CX54" s="160"/>
      <c r="CY54" s="160"/>
      <c r="CZ54" s="160"/>
      <c r="DA54" s="160"/>
      <c r="DB54" s="160"/>
      <c r="DC54" s="160"/>
      <c r="DD54" s="160"/>
      <c r="DE54" s="160"/>
      <c r="DF54" s="160"/>
      <c r="DG54" s="160"/>
      <c r="DH54" s="160"/>
      <c r="DI54" s="160"/>
      <c r="DJ54" s="160"/>
      <c r="DK54" s="160"/>
      <c r="DL54" s="160"/>
      <c r="DM54" s="160"/>
      <c r="DN54" s="160"/>
      <c r="DO54" s="160"/>
      <c r="DP54" s="160"/>
      <c r="DQ54" s="160"/>
      <c r="DR54" s="160"/>
    </row>
    <row r="55" spans="2:122" ht="17.25" customHeight="1">
      <c r="J55" s="162"/>
      <c r="K55" s="170"/>
      <c r="L55" s="170"/>
      <c r="M55" s="170"/>
      <c r="N55" s="161"/>
      <c r="O55" s="161"/>
      <c r="P55" s="161"/>
      <c r="Q55" s="161"/>
      <c r="R55" s="161"/>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c r="BO55" s="160"/>
      <c r="BP55" s="160"/>
      <c r="BQ55" s="160"/>
      <c r="BR55" s="160"/>
      <c r="BS55" s="160"/>
      <c r="BT55" s="160"/>
      <c r="BU55" s="160"/>
      <c r="BV55" s="160"/>
      <c r="BW55" s="160"/>
      <c r="BX55" s="160"/>
      <c r="BY55" s="160"/>
      <c r="BZ55" s="160"/>
      <c r="CA55" s="160"/>
      <c r="CB55" s="160"/>
      <c r="CC55" s="160"/>
      <c r="CD55" s="160"/>
      <c r="CE55" s="160"/>
      <c r="CF55" s="160"/>
      <c r="CG55" s="160"/>
      <c r="CH55" s="160"/>
      <c r="CI55" s="160"/>
      <c r="CJ55" s="160"/>
      <c r="CK55" s="160"/>
      <c r="CL55" s="160"/>
      <c r="CM55" s="160"/>
      <c r="CN55" s="160"/>
      <c r="CO55" s="160"/>
      <c r="CP55" s="160"/>
      <c r="CQ55" s="160"/>
      <c r="CR55" s="160"/>
      <c r="CS55" s="160"/>
      <c r="CT55" s="160"/>
      <c r="CU55" s="160"/>
      <c r="CV55" s="160"/>
      <c r="CW55" s="160"/>
      <c r="CX55" s="160"/>
      <c r="CY55" s="160"/>
      <c r="CZ55" s="160"/>
      <c r="DA55" s="160"/>
      <c r="DB55" s="160"/>
      <c r="DC55" s="160"/>
      <c r="DD55" s="160"/>
      <c r="DE55" s="160"/>
      <c r="DF55" s="160"/>
      <c r="DG55" s="160"/>
      <c r="DH55" s="160"/>
      <c r="DI55" s="160"/>
      <c r="DJ55" s="160"/>
      <c r="DK55" s="160"/>
      <c r="DL55" s="160"/>
      <c r="DM55" s="160"/>
      <c r="DN55" s="160"/>
      <c r="DO55" s="160"/>
      <c r="DP55" s="160"/>
      <c r="DQ55" s="160"/>
      <c r="DR55" s="160"/>
    </row>
    <row r="56" spans="2:122" ht="17.25" customHeight="1">
      <c r="B56" s="166" t="s">
        <v>298</v>
      </c>
      <c r="J56" s="162"/>
      <c r="K56" s="170"/>
      <c r="L56" s="170"/>
      <c r="M56" s="170"/>
      <c r="N56" s="161"/>
      <c r="O56" s="161"/>
      <c r="P56" s="161"/>
      <c r="Q56" s="161"/>
      <c r="R56" s="161"/>
      <c r="S56" s="161"/>
      <c r="T56" s="160"/>
      <c r="U56" s="161"/>
      <c r="V56" s="161"/>
      <c r="W56" s="161"/>
      <c r="X56" s="160"/>
      <c r="Y56" s="161"/>
      <c r="Z56" s="161"/>
      <c r="AA56" s="161"/>
      <c r="AB56" s="160"/>
      <c r="AC56" s="161"/>
      <c r="AD56" s="161"/>
      <c r="AE56" s="161"/>
      <c r="AF56" s="160"/>
      <c r="AG56" s="161"/>
      <c r="AH56" s="161"/>
      <c r="AI56" s="161"/>
      <c r="AJ56" s="160"/>
      <c r="AK56" s="161"/>
      <c r="AL56" s="161"/>
      <c r="AM56" s="161"/>
      <c r="AN56" s="160"/>
      <c r="AO56" s="161"/>
      <c r="AP56" s="161"/>
      <c r="AQ56" s="161"/>
      <c r="AR56" s="160"/>
      <c r="AS56" s="161"/>
      <c r="AT56" s="161"/>
      <c r="AU56" s="161"/>
      <c r="AV56" s="160"/>
      <c r="AW56" s="161"/>
      <c r="AX56" s="161"/>
      <c r="AY56" s="161"/>
      <c r="AZ56" s="160"/>
      <c r="BA56" s="161"/>
      <c r="BB56" s="161"/>
      <c r="BC56" s="161"/>
      <c r="BD56" s="160"/>
      <c r="BE56" s="160"/>
      <c r="BF56" s="160"/>
      <c r="BG56" s="160"/>
      <c r="BH56" s="160"/>
      <c r="BI56" s="160"/>
      <c r="BJ56" s="160"/>
      <c r="BK56" s="160"/>
      <c r="BL56" s="160"/>
      <c r="BM56" s="160"/>
      <c r="BN56" s="160"/>
      <c r="BO56" s="160"/>
      <c r="BP56" s="160"/>
      <c r="BQ56" s="160"/>
      <c r="BR56" s="160"/>
      <c r="BS56" s="160"/>
      <c r="BT56" s="160"/>
      <c r="BU56" s="160"/>
      <c r="BV56" s="160"/>
      <c r="BW56" s="160"/>
      <c r="BX56" s="160"/>
      <c r="BY56" s="160"/>
      <c r="BZ56" s="160"/>
      <c r="CA56" s="160"/>
      <c r="CB56" s="160"/>
      <c r="CC56" s="160"/>
      <c r="CD56" s="160"/>
      <c r="CE56" s="160"/>
      <c r="CF56" s="160"/>
      <c r="CG56" s="160"/>
      <c r="CH56" s="160"/>
      <c r="CI56" s="160"/>
      <c r="CJ56" s="160"/>
      <c r="CK56" s="160"/>
      <c r="CL56" s="160"/>
      <c r="CM56" s="160"/>
      <c r="CN56" s="160"/>
      <c r="CO56" s="160"/>
      <c r="CP56" s="160"/>
      <c r="CQ56" s="160"/>
      <c r="CR56" s="160"/>
      <c r="CS56" s="160"/>
      <c r="CT56" s="160"/>
      <c r="CU56" s="160"/>
      <c r="CV56" s="160"/>
      <c r="CW56" s="160"/>
      <c r="CX56" s="160"/>
      <c r="CY56" s="160"/>
      <c r="CZ56" s="160"/>
      <c r="DA56" s="160"/>
      <c r="DB56" s="160"/>
      <c r="DC56" s="160"/>
      <c r="DD56" s="160"/>
      <c r="DE56" s="160"/>
      <c r="DF56" s="160"/>
      <c r="DG56" s="160"/>
      <c r="DH56" s="160"/>
      <c r="DI56" s="160"/>
      <c r="DJ56" s="160"/>
      <c r="DK56" s="160"/>
      <c r="DL56" s="160"/>
      <c r="DM56" s="160"/>
      <c r="DN56" s="160"/>
      <c r="DO56" s="160"/>
      <c r="DP56" s="160"/>
      <c r="DQ56" s="160"/>
      <c r="DR56" s="160"/>
    </row>
    <row r="57" spans="2:122" ht="17.25" customHeight="1">
      <c r="B57" s="167" t="s">
        <v>329</v>
      </c>
      <c r="C57" s="152">
        <f>MIN(C22/(0.133*$C$9),C22/0.1)</f>
        <v>740.65761418471538</v>
      </c>
      <c r="D57" s="144" t="s">
        <v>290</v>
      </c>
      <c r="J57" s="162"/>
      <c r="K57" s="170"/>
      <c r="L57" s="170"/>
      <c r="M57" s="170"/>
      <c r="N57" s="161"/>
      <c r="O57" s="161"/>
      <c r="P57" s="161"/>
      <c r="Q57" s="161"/>
      <c r="R57" s="161"/>
      <c r="S57" s="161"/>
      <c r="T57" s="160"/>
      <c r="U57" s="161"/>
      <c r="V57" s="161"/>
      <c r="W57" s="161"/>
      <c r="X57" s="160"/>
      <c r="Y57" s="161"/>
      <c r="Z57" s="161"/>
      <c r="AA57" s="161"/>
      <c r="AB57" s="160"/>
      <c r="AC57" s="161"/>
      <c r="AD57" s="161"/>
      <c r="AE57" s="161"/>
      <c r="AF57" s="160"/>
      <c r="AG57" s="161"/>
      <c r="AH57" s="161"/>
      <c r="AI57" s="161"/>
      <c r="AJ57" s="160"/>
      <c r="AK57" s="161"/>
      <c r="AL57" s="161"/>
      <c r="AM57" s="161"/>
      <c r="AN57" s="160"/>
      <c r="AO57" s="161"/>
      <c r="AP57" s="161"/>
      <c r="AQ57" s="161"/>
      <c r="AR57" s="160"/>
      <c r="AS57" s="161"/>
      <c r="AT57" s="161"/>
      <c r="AU57" s="161"/>
      <c r="AV57" s="160"/>
      <c r="AW57" s="161"/>
      <c r="AX57" s="161"/>
      <c r="AY57" s="161"/>
      <c r="AZ57" s="160"/>
      <c r="BA57" s="161"/>
      <c r="BB57" s="161"/>
      <c r="BC57" s="161"/>
      <c r="BD57" s="160"/>
      <c r="BE57" s="160"/>
      <c r="BF57" s="160"/>
      <c r="BG57" s="160"/>
      <c r="BH57" s="160"/>
      <c r="BI57" s="160"/>
      <c r="BJ57" s="160"/>
      <c r="BK57" s="160"/>
      <c r="BL57" s="160"/>
      <c r="BM57" s="160"/>
      <c r="BN57" s="160"/>
      <c r="BO57" s="160"/>
      <c r="BP57" s="160"/>
      <c r="BQ57" s="160"/>
      <c r="BR57" s="160"/>
      <c r="BS57" s="160"/>
      <c r="BT57" s="160"/>
      <c r="BU57" s="160"/>
      <c r="BV57" s="160"/>
      <c r="BW57" s="160"/>
      <c r="BX57" s="160"/>
      <c r="BY57" s="160"/>
      <c r="BZ57" s="160"/>
      <c r="CA57" s="160"/>
      <c r="CB57" s="160"/>
      <c r="CC57" s="160"/>
      <c r="CD57" s="160"/>
      <c r="CE57" s="160"/>
      <c r="CF57" s="160"/>
      <c r="CG57" s="160"/>
      <c r="CH57" s="160"/>
      <c r="CI57" s="160"/>
      <c r="CJ57" s="160"/>
      <c r="CK57" s="160"/>
      <c r="CL57" s="160"/>
      <c r="CM57" s="160"/>
      <c r="CN57" s="160"/>
      <c r="CO57" s="160"/>
      <c r="CP57" s="160"/>
      <c r="CQ57" s="160"/>
      <c r="CR57" s="160"/>
      <c r="CS57" s="160"/>
      <c r="CT57" s="160"/>
      <c r="CU57" s="160"/>
      <c r="CV57" s="160"/>
      <c r="CW57" s="160"/>
      <c r="CX57" s="160"/>
      <c r="CY57" s="160"/>
      <c r="CZ57" s="160"/>
      <c r="DA57" s="160"/>
      <c r="DB57" s="160"/>
      <c r="DC57" s="160"/>
      <c r="DD57" s="160"/>
      <c r="DE57" s="160"/>
      <c r="DF57" s="160"/>
      <c r="DG57" s="160"/>
      <c r="DH57" s="160"/>
      <c r="DI57" s="160"/>
      <c r="DJ57" s="160"/>
      <c r="DK57" s="160"/>
      <c r="DL57" s="160"/>
      <c r="DM57" s="160"/>
      <c r="DN57" s="160"/>
      <c r="DO57" s="160"/>
      <c r="DP57" s="160"/>
      <c r="DQ57" s="160"/>
      <c r="DR57" s="160"/>
    </row>
    <row r="58" spans="2:122" ht="17.25" customHeight="1">
      <c r="B58" s="167" t="s">
        <v>328</v>
      </c>
      <c r="C58" s="144">
        <f>ROUNDDOWN((C57-(0.5*C31))/(C31+'1-Eng Inputs'!$C$20),0)</f>
        <v>3</v>
      </c>
      <c r="D58" s="144" t="s">
        <v>297</v>
      </c>
      <c r="J58" s="162"/>
      <c r="K58" s="170"/>
      <c r="L58" s="170"/>
      <c r="M58" s="170"/>
      <c r="N58" s="161"/>
      <c r="O58" s="161"/>
      <c r="P58" s="161"/>
      <c r="Q58" s="161"/>
      <c r="R58" s="161"/>
      <c r="S58" s="161"/>
      <c r="T58" s="160"/>
      <c r="U58" s="161"/>
      <c r="V58" s="161"/>
      <c r="W58" s="161"/>
      <c r="X58" s="160"/>
      <c r="Y58" s="161"/>
      <c r="Z58" s="161"/>
      <c r="AA58" s="161"/>
      <c r="AB58" s="160"/>
      <c r="AC58" s="161"/>
      <c r="AD58" s="161"/>
      <c r="AE58" s="161"/>
      <c r="AF58" s="160"/>
      <c r="AG58" s="161"/>
      <c r="AH58" s="161"/>
      <c r="AI58" s="161"/>
      <c r="AJ58" s="160"/>
      <c r="AK58" s="161"/>
      <c r="AL58" s="161"/>
      <c r="AM58" s="161"/>
      <c r="AN58" s="160"/>
      <c r="AO58" s="161"/>
      <c r="AP58" s="161"/>
      <c r="AQ58" s="161"/>
      <c r="AR58" s="160"/>
      <c r="AS58" s="161"/>
      <c r="AT58" s="161"/>
      <c r="AU58" s="161"/>
      <c r="AV58" s="160"/>
      <c r="AW58" s="161"/>
      <c r="AX58" s="161"/>
      <c r="AY58" s="161"/>
      <c r="AZ58" s="160"/>
      <c r="BA58" s="161"/>
      <c r="BB58" s="161"/>
      <c r="BC58" s="161"/>
      <c r="BD58" s="160"/>
      <c r="BE58" s="160"/>
      <c r="BF58" s="160"/>
      <c r="BG58" s="160"/>
      <c r="BH58" s="160"/>
      <c r="BI58" s="160"/>
      <c r="BJ58" s="160"/>
      <c r="BK58" s="160"/>
      <c r="BL58" s="160"/>
      <c r="BM58" s="160"/>
      <c r="BN58" s="160"/>
      <c r="BO58" s="160"/>
      <c r="BP58" s="160"/>
      <c r="BQ58" s="160"/>
      <c r="BR58" s="160"/>
      <c r="BS58" s="160"/>
      <c r="BT58" s="160"/>
      <c r="BU58" s="160"/>
      <c r="BV58" s="160"/>
      <c r="BW58" s="160"/>
      <c r="BX58" s="160"/>
      <c r="BY58" s="160"/>
      <c r="BZ58" s="160"/>
      <c r="CA58" s="160"/>
      <c r="CB58" s="160"/>
      <c r="CC58" s="160"/>
      <c r="CD58" s="160"/>
      <c r="CE58" s="160"/>
      <c r="CF58" s="160"/>
      <c r="CG58" s="160"/>
      <c r="CH58" s="160"/>
      <c r="CI58" s="160"/>
      <c r="CJ58" s="160"/>
      <c r="CK58" s="160"/>
      <c r="CL58" s="160"/>
      <c r="CM58" s="160"/>
      <c r="CN58" s="160"/>
      <c r="CO58" s="160"/>
      <c r="CP58" s="160"/>
      <c r="CQ58" s="160"/>
      <c r="CR58" s="160"/>
      <c r="CS58" s="160"/>
      <c r="CT58" s="160"/>
      <c r="CU58" s="160"/>
      <c r="CV58" s="160"/>
      <c r="CW58" s="160"/>
      <c r="CX58" s="160"/>
      <c r="CY58" s="160"/>
      <c r="CZ58" s="160"/>
      <c r="DA58" s="160"/>
      <c r="DB58" s="160"/>
      <c r="DC58" s="160"/>
      <c r="DD58" s="160"/>
      <c r="DE58" s="160"/>
      <c r="DF58" s="160"/>
      <c r="DG58" s="160"/>
      <c r="DH58" s="160"/>
      <c r="DI58" s="160"/>
      <c r="DJ58" s="160"/>
      <c r="DK58" s="160"/>
      <c r="DL58" s="160"/>
      <c r="DM58" s="160"/>
      <c r="DN58" s="160"/>
      <c r="DO58" s="160"/>
      <c r="DP58" s="160"/>
      <c r="DQ58" s="160"/>
      <c r="DR58" s="160"/>
    </row>
    <row r="59" spans="2:122" ht="17.25" customHeight="1">
      <c r="B59" s="155"/>
      <c r="C59" s="155"/>
      <c r="D59" s="155"/>
      <c r="J59" s="162"/>
      <c r="K59" s="170"/>
      <c r="L59" s="170"/>
      <c r="M59" s="170"/>
      <c r="N59" s="161"/>
      <c r="O59" s="161"/>
      <c r="P59" s="161"/>
      <c r="Q59" s="161"/>
      <c r="R59" s="161"/>
      <c r="S59" s="161"/>
      <c r="T59" s="160"/>
      <c r="U59" s="161"/>
      <c r="V59" s="161"/>
      <c r="W59" s="161"/>
      <c r="X59" s="160"/>
      <c r="Y59" s="161"/>
      <c r="Z59" s="161"/>
      <c r="AA59" s="161"/>
      <c r="AB59" s="160"/>
      <c r="AC59" s="161"/>
      <c r="AD59" s="161"/>
      <c r="AE59" s="161"/>
      <c r="AF59" s="160"/>
      <c r="AG59" s="161"/>
      <c r="AH59" s="161"/>
      <c r="AI59" s="161"/>
      <c r="AJ59" s="160"/>
      <c r="AK59" s="161"/>
      <c r="AL59" s="161"/>
      <c r="AM59" s="161"/>
      <c r="AN59" s="160"/>
      <c r="AO59" s="161"/>
      <c r="AP59" s="161"/>
      <c r="AQ59" s="161"/>
      <c r="AR59" s="160"/>
      <c r="AS59" s="161"/>
      <c r="AT59" s="161"/>
      <c r="AU59" s="161"/>
      <c r="AV59" s="160"/>
      <c r="AW59" s="161"/>
      <c r="AX59" s="161"/>
      <c r="AY59" s="161"/>
      <c r="AZ59" s="160"/>
      <c r="BA59" s="161"/>
      <c r="BB59" s="161"/>
      <c r="BC59" s="161"/>
      <c r="BD59" s="160"/>
      <c r="BE59" s="160"/>
      <c r="BF59" s="160"/>
      <c r="BG59" s="160"/>
      <c r="BH59" s="160"/>
      <c r="BI59" s="160"/>
      <c r="BJ59" s="160"/>
      <c r="BK59" s="160"/>
      <c r="BL59" s="160"/>
      <c r="BM59" s="160"/>
      <c r="BN59" s="160"/>
      <c r="BO59" s="160"/>
      <c r="BP59" s="160"/>
      <c r="BQ59" s="160"/>
      <c r="BR59" s="160"/>
      <c r="BS59" s="160"/>
      <c r="BT59" s="160"/>
      <c r="BU59" s="160"/>
      <c r="BV59" s="160"/>
      <c r="BW59" s="160"/>
      <c r="BX59" s="160"/>
      <c r="BY59" s="160"/>
      <c r="BZ59" s="160"/>
      <c r="CA59" s="160"/>
      <c r="CB59" s="160"/>
      <c r="CC59" s="160"/>
      <c r="CD59" s="160"/>
      <c r="CE59" s="160"/>
      <c r="CF59" s="160"/>
      <c r="CG59" s="160"/>
      <c r="CH59" s="160"/>
      <c r="CI59" s="160"/>
      <c r="CJ59" s="160"/>
      <c r="CK59" s="160"/>
      <c r="CL59" s="160"/>
      <c r="CM59" s="160"/>
      <c r="CN59" s="160"/>
      <c r="CO59" s="160"/>
      <c r="CP59" s="160"/>
      <c r="CQ59" s="160"/>
      <c r="CR59" s="160"/>
      <c r="CS59" s="160"/>
      <c r="CT59" s="160"/>
      <c r="CU59" s="160"/>
      <c r="CV59" s="160"/>
      <c r="CW59" s="160"/>
      <c r="CX59" s="160"/>
      <c r="CY59" s="160"/>
      <c r="CZ59" s="160"/>
      <c r="DA59" s="160"/>
      <c r="DB59" s="160"/>
      <c r="DC59" s="160"/>
      <c r="DD59" s="160"/>
      <c r="DE59" s="160"/>
      <c r="DF59" s="160"/>
      <c r="DG59" s="160"/>
      <c r="DH59" s="160"/>
      <c r="DI59" s="160"/>
      <c r="DJ59" s="160"/>
      <c r="DK59" s="160"/>
      <c r="DL59" s="160"/>
      <c r="DM59" s="160"/>
      <c r="DN59" s="160"/>
      <c r="DO59" s="160"/>
      <c r="DP59" s="160"/>
      <c r="DQ59" s="160"/>
      <c r="DR59" s="160"/>
    </row>
    <row r="60" spans="2:122" ht="17.25" customHeight="1">
      <c r="B60" s="167" t="s">
        <v>299</v>
      </c>
      <c r="C60" s="168"/>
      <c r="D60" s="166"/>
      <c r="F60" s="167" t="s">
        <v>300</v>
      </c>
      <c r="J60" s="162"/>
      <c r="K60" s="170"/>
      <c r="L60" s="170"/>
      <c r="M60" s="170"/>
      <c r="N60" s="161"/>
      <c r="O60" s="161"/>
      <c r="P60" s="161"/>
      <c r="Q60" s="161"/>
      <c r="R60" s="161"/>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c r="BH60" s="160"/>
      <c r="BI60" s="160"/>
      <c r="BJ60" s="160"/>
      <c r="BK60" s="160"/>
      <c r="BL60" s="160"/>
      <c r="BM60" s="160"/>
      <c r="BN60" s="160"/>
      <c r="BO60" s="160"/>
      <c r="BP60" s="160"/>
      <c r="BQ60" s="160"/>
      <c r="BR60" s="160"/>
      <c r="BS60" s="160"/>
      <c r="BT60" s="160"/>
      <c r="BU60" s="160"/>
      <c r="BV60" s="160"/>
      <c r="BW60" s="160"/>
      <c r="BX60" s="160"/>
      <c r="BY60" s="160"/>
      <c r="BZ60" s="160"/>
      <c r="CA60" s="160"/>
      <c r="CB60" s="160"/>
      <c r="CC60" s="160"/>
      <c r="CD60" s="160"/>
      <c r="CE60" s="160"/>
      <c r="CF60" s="160"/>
      <c r="CG60" s="160"/>
      <c r="CH60" s="160"/>
      <c r="CI60" s="160"/>
      <c r="CJ60" s="160"/>
      <c r="CK60" s="160"/>
      <c r="CL60" s="160"/>
      <c r="CM60" s="160"/>
      <c r="CN60" s="160"/>
      <c r="CO60" s="160"/>
      <c r="CP60" s="160"/>
      <c r="CQ60" s="160"/>
      <c r="CR60" s="160"/>
      <c r="CS60" s="160"/>
      <c r="CT60" s="160"/>
      <c r="CU60" s="160"/>
      <c r="CV60" s="160"/>
      <c r="CW60" s="160"/>
      <c r="CX60" s="160"/>
      <c r="CY60" s="160"/>
      <c r="CZ60" s="160"/>
      <c r="DA60" s="160"/>
      <c r="DB60" s="160"/>
      <c r="DC60" s="160"/>
      <c r="DD60" s="160"/>
      <c r="DE60" s="160"/>
      <c r="DF60" s="160"/>
      <c r="DG60" s="160"/>
      <c r="DH60" s="160"/>
      <c r="DI60" s="160"/>
      <c r="DJ60" s="160"/>
      <c r="DK60" s="160"/>
      <c r="DL60" s="160"/>
      <c r="DM60" s="160"/>
      <c r="DN60" s="160"/>
      <c r="DO60" s="160"/>
      <c r="DP60" s="160"/>
      <c r="DQ60" s="160"/>
      <c r="DR60" s="160"/>
    </row>
    <row r="61" spans="2:122" ht="17.25" customHeight="1">
      <c r="B61" s="167" t="s">
        <v>301</v>
      </c>
      <c r="C61" s="168" t="s">
        <v>302</v>
      </c>
      <c r="D61" s="166"/>
      <c r="J61" s="162"/>
      <c r="K61" s="170"/>
      <c r="L61" s="170"/>
      <c r="M61" s="170"/>
      <c r="N61" s="161"/>
      <c r="O61" s="161"/>
      <c r="P61" s="161"/>
      <c r="Q61" s="161"/>
      <c r="R61" s="161"/>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c r="BH61" s="160"/>
      <c r="BI61" s="160"/>
      <c r="BJ61" s="160"/>
      <c r="BK61" s="160"/>
      <c r="BL61" s="160"/>
      <c r="BM61" s="160"/>
      <c r="BN61" s="160"/>
      <c r="BO61" s="160"/>
      <c r="BP61" s="160"/>
      <c r="BQ61" s="160"/>
      <c r="BR61" s="160"/>
      <c r="BS61" s="160"/>
      <c r="BT61" s="160"/>
      <c r="BU61" s="160"/>
      <c r="BV61" s="160"/>
      <c r="BW61" s="160"/>
      <c r="BX61" s="160"/>
      <c r="BY61" s="160"/>
      <c r="BZ61" s="160"/>
      <c r="CA61" s="160"/>
      <c r="CB61" s="160"/>
      <c r="CC61" s="160"/>
      <c r="CD61" s="160"/>
      <c r="CE61" s="160"/>
      <c r="CF61" s="160"/>
      <c r="CG61" s="160"/>
      <c r="CH61" s="160"/>
      <c r="CI61" s="160"/>
      <c r="CJ61" s="160"/>
      <c r="CK61" s="160"/>
      <c r="CL61" s="160"/>
      <c r="CM61" s="160"/>
      <c r="CN61" s="160"/>
      <c r="CO61" s="160"/>
      <c r="CP61" s="160"/>
      <c r="CQ61" s="160"/>
      <c r="CR61" s="160"/>
      <c r="CS61" s="160"/>
      <c r="CT61" s="160"/>
      <c r="CU61" s="160"/>
      <c r="CV61" s="160"/>
      <c r="CW61" s="160"/>
      <c r="CX61" s="160"/>
      <c r="CY61" s="160"/>
      <c r="CZ61" s="160"/>
      <c r="DA61" s="160"/>
      <c r="DB61" s="160"/>
      <c r="DC61" s="160"/>
      <c r="DD61" s="160"/>
      <c r="DE61" s="160"/>
      <c r="DF61" s="160"/>
      <c r="DG61" s="160"/>
      <c r="DH61" s="160"/>
      <c r="DI61" s="160"/>
      <c r="DJ61" s="160"/>
      <c r="DK61" s="160"/>
      <c r="DL61" s="160"/>
      <c r="DM61" s="160"/>
      <c r="DN61" s="160"/>
      <c r="DO61" s="160"/>
      <c r="DP61" s="160"/>
      <c r="DQ61" s="160"/>
      <c r="DR61" s="160"/>
    </row>
    <row r="62" spans="2:122" ht="17.25" customHeight="1">
      <c r="B62" s="144" t="str">
        <f>IF(C61="East/West", "Feet - West Section", IF(C61="North/South", "Feet - North Section", "Select Force Direction"))</f>
        <v>Select Force Direction</v>
      </c>
      <c r="C62" s="171"/>
      <c r="D62" s="144" t="s">
        <v>324</v>
      </c>
      <c r="J62" s="162"/>
      <c r="K62" s="170"/>
      <c r="L62" s="170"/>
      <c r="M62" s="170"/>
      <c r="N62" s="161"/>
      <c r="O62" s="161"/>
      <c r="P62" s="161"/>
      <c r="Q62" s="161"/>
      <c r="R62" s="161"/>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c r="BP62" s="160"/>
      <c r="BQ62" s="160"/>
      <c r="BR62" s="160"/>
      <c r="BS62" s="160"/>
      <c r="BT62" s="160"/>
      <c r="BU62" s="160"/>
      <c r="BV62" s="160"/>
      <c r="BW62" s="160"/>
      <c r="BX62" s="160"/>
      <c r="BY62" s="160"/>
      <c r="BZ62" s="160"/>
      <c r="CA62" s="160"/>
      <c r="CB62" s="160"/>
      <c r="CC62" s="160"/>
      <c r="CD62" s="160"/>
      <c r="CE62" s="160"/>
      <c r="CF62" s="160"/>
      <c r="CG62" s="160"/>
      <c r="CH62" s="160"/>
      <c r="CI62" s="160"/>
      <c r="CJ62" s="160"/>
      <c r="CK62" s="160"/>
      <c r="CL62" s="160"/>
      <c r="CM62" s="160"/>
      <c r="CN62" s="160"/>
      <c r="CO62" s="160"/>
      <c r="CP62" s="160"/>
      <c r="CQ62" s="160"/>
      <c r="CR62" s="160"/>
      <c r="CS62" s="160"/>
      <c r="CT62" s="160"/>
      <c r="CU62" s="160"/>
      <c r="CV62" s="160"/>
      <c r="CW62" s="160"/>
      <c r="CX62" s="160"/>
      <c r="CY62" s="160"/>
      <c r="CZ62" s="160"/>
      <c r="DA62" s="160"/>
      <c r="DB62" s="160"/>
      <c r="DC62" s="160"/>
      <c r="DD62" s="160"/>
      <c r="DE62" s="160"/>
      <c r="DF62" s="160"/>
      <c r="DG62" s="160"/>
      <c r="DH62" s="160"/>
      <c r="DI62" s="160"/>
      <c r="DJ62" s="160"/>
      <c r="DK62" s="160"/>
      <c r="DL62" s="160"/>
      <c r="DM62" s="160"/>
      <c r="DN62" s="160"/>
      <c r="DO62" s="160"/>
      <c r="DP62" s="160"/>
      <c r="DQ62" s="160"/>
      <c r="DR62" s="160"/>
    </row>
    <row r="63" spans="2:122" ht="17.25" customHeight="1">
      <c r="B63" s="144" t="str">
        <f>IF(C61="East/West", "Modules - West Section", IF(C61="North/South", "Modules - North Section", "Select Force Direction"))</f>
        <v>Select Force Direction</v>
      </c>
      <c r="C63" s="171"/>
      <c r="D63" s="144" t="s">
        <v>297</v>
      </c>
      <c r="I63" s="162"/>
      <c r="J63" s="162"/>
      <c r="K63" s="170"/>
      <c r="L63" s="170"/>
      <c r="M63" s="17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c r="BP63" s="160"/>
      <c r="BQ63" s="160"/>
      <c r="BR63" s="160"/>
      <c r="BS63" s="160"/>
      <c r="BT63" s="160"/>
      <c r="BU63" s="160"/>
      <c r="BV63" s="160"/>
      <c r="BW63" s="160"/>
      <c r="BX63" s="160"/>
      <c r="BY63" s="160"/>
      <c r="BZ63" s="160"/>
      <c r="CA63" s="160"/>
      <c r="CB63" s="160"/>
      <c r="CC63" s="160"/>
      <c r="CD63" s="160"/>
      <c r="CE63" s="160"/>
      <c r="CF63" s="160"/>
      <c r="CG63" s="160"/>
      <c r="CH63" s="160"/>
      <c r="CI63" s="160"/>
      <c r="CJ63" s="160"/>
      <c r="CK63" s="160"/>
      <c r="CL63" s="160"/>
      <c r="CM63" s="160"/>
      <c r="CN63" s="160"/>
      <c r="CO63" s="160"/>
      <c r="CP63" s="160"/>
      <c r="CQ63" s="160"/>
      <c r="CR63" s="160"/>
      <c r="CS63" s="160"/>
      <c r="CT63" s="160"/>
      <c r="CU63" s="160"/>
      <c r="CV63" s="160"/>
      <c r="CW63" s="160"/>
      <c r="CX63" s="160"/>
      <c r="CY63" s="160"/>
      <c r="CZ63" s="160"/>
      <c r="DA63" s="160"/>
      <c r="DB63" s="160"/>
      <c r="DC63" s="160"/>
      <c r="DD63" s="160"/>
      <c r="DE63" s="160"/>
      <c r="DF63" s="160"/>
      <c r="DG63" s="160"/>
      <c r="DH63" s="160"/>
      <c r="DI63" s="160"/>
      <c r="DJ63" s="160"/>
      <c r="DK63" s="160"/>
      <c r="DL63" s="160"/>
      <c r="DM63" s="160"/>
      <c r="DN63" s="160"/>
      <c r="DO63" s="160"/>
      <c r="DP63" s="160"/>
      <c r="DQ63" s="160"/>
      <c r="DR63" s="160"/>
    </row>
    <row r="64" spans="2:122" ht="17.25" customHeight="1">
      <c r="B64" s="144" t="s">
        <v>303</v>
      </c>
      <c r="C64" s="171"/>
      <c r="D64" s="144" t="s">
        <v>297</v>
      </c>
      <c r="I64" s="162"/>
      <c r="J64" s="162"/>
      <c r="K64" s="170"/>
      <c r="L64" s="170"/>
      <c r="M64" s="17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c r="BP64" s="160"/>
      <c r="BQ64" s="160"/>
      <c r="BR64" s="160"/>
      <c r="BS64" s="160"/>
      <c r="BT64" s="160"/>
      <c r="BU64" s="160"/>
      <c r="BV64" s="160"/>
      <c r="BW64" s="160"/>
      <c r="BX64" s="160"/>
      <c r="BY64" s="160"/>
      <c r="BZ64" s="160"/>
      <c r="CA64" s="160"/>
      <c r="CB64" s="160"/>
      <c r="CC64" s="160"/>
      <c r="CD64" s="160"/>
      <c r="CE64" s="160"/>
      <c r="CF64" s="160"/>
      <c r="CG64" s="160"/>
      <c r="CH64" s="160"/>
      <c r="CI64" s="160"/>
      <c r="CJ64" s="160"/>
      <c r="CK64" s="160"/>
      <c r="CL64" s="160"/>
      <c r="CM64" s="160"/>
      <c r="CN64" s="160"/>
      <c r="CO64" s="160"/>
      <c r="CP64" s="160"/>
      <c r="CQ64" s="160"/>
      <c r="CR64" s="160"/>
      <c r="CS64" s="160"/>
      <c r="CT64" s="160"/>
      <c r="CU64" s="160"/>
      <c r="CV64" s="160"/>
      <c r="CW64" s="160"/>
      <c r="CX64" s="160"/>
      <c r="CY64" s="160"/>
      <c r="CZ64" s="160"/>
      <c r="DA64" s="160"/>
      <c r="DB64" s="160"/>
      <c r="DC64" s="160"/>
      <c r="DD64" s="160"/>
      <c r="DE64" s="160"/>
      <c r="DF64" s="160"/>
      <c r="DG64" s="160"/>
      <c r="DH64" s="160"/>
      <c r="DI64" s="160"/>
      <c r="DJ64" s="160"/>
      <c r="DK64" s="160"/>
      <c r="DL64" s="160"/>
      <c r="DM64" s="160"/>
      <c r="DN64" s="160"/>
      <c r="DO64" s="160"/>
      <c r="DP64" s="160"/>
      <c r="DQ64" s="160"/>
      <c r="DR64" s="160"/>
    </row>
    <row r="65" spans="2:122" ht="17.25" customHeight="1">
      <c r="B65" s="144" t="str">
        <f>IF(C61="East/West", "Modules - East Section", IF(C61="North/South", "Modules - South Section", "Select Force Direction"))</f>
        <v>Select Force Direction</v>
      </c>
      <c r="C65" s="171"/>
      <c r="D65" s="144" t="s">
        <v>297</v>
      </c>
      <c r="I65" s="162"/>
      <c r="J65" s="162"/>
      <c r="K65" s="170"/>
      <c r="L65" s="170"/>
      <c r="M65" s="17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c r="BP65" s="160"/>
      <c r="BQ65" s="160"/>
      <c r="BR65" s="160"/>
      <c r="BS65" s="160"/>
      <c r="BT65" s="160"/>
      <c r="BU65" s="160"/>
      <c r="BV65" s="160"/>
      <c r="BW65" s="160"/>
      <c r="BX65" s="160"/>
      <c r="BY65" s="160"/>
      <c r="BZ65" s="160"/>
      <c r="CA65" s="160"/>
      <c r="CB65" s="160"/>
      <c r="CC65" s="160"/>
      <c r="CD65" s="160"/>
      <c r="CE65" s="160"/>
      <c r="CF65" s="160"/>
      <c r="CG65" s="160"/>
      <c r="CH65" s="160"/>
      <c r="CI65" s="160"/>
      <c r="CJ65" s="160"/>
      <c r="CK65" s="160"/>
      <c r="CL65" s="160"/>
      <c r="CM65" s="160"/>
      <c r="CN65" s="160"/>
      <c r="CO65" s="160"/>
      <c r="CP65" s="160"/>
      <c r="CQ65" s="160"/>
      <c r="CR65" s="160"/>
      <c r="CS65" s="160"/>
      <c r="CT65" s="160"/>
      <c r="CU65" s="160"/>
      <c r="CV65" s="160"/>
      <c r="CW65" s="160"/>
      <c r="CX65" s="160"/>
      <c r="CY65" s="160"/>
      <c r="CZ65" s="160"/>
      <c r="DA65" s="160"/>
      <c r="DB65" s="160"/>
      <c r="DC65" s="160"/>
      <c r="DD65" s="160"/>
      <c r="DE65" s="160"/>
      <c r="DF65" s="160"/>
      <c r="DG65" s="160"/>
      <c r="DH65" s="160"/>
      <c r="DI65" s="160"/>
      <c r="DJ65" s="160"/>
      <c r="DK65" s="160"/>
      <c r="DL65" s="160"/>
      <c r="DM65" s="160"/>
      <c r="DN65" s="160"/>
      <c r="DO65" s="160"/>
      <c r="DP65" s="160"/>
      <c r="DQ65" s="160"/>
      <c r="DR65" s="160"/>
    </row>
    <row r="66" spans="2:122" ht="17.25" customHeight="1">
      <c r="B66" s="144" t="str">
        <f>IF(C61="East/West", "Feet - East Section", IF(C61="North/South", "Feet - South Section", "Select Force Direction"))</f>
        <v>Select Force Direction</v>
      </c>
      <c r="C66" s="171"/>
      <c r="D66" s="144" t="s">
        <v>324</v>
      </c>
      <c r="I66" s="162"/>
      <c r="J66" s="162"/>
      <c r="K66" s="170"/>
      <c r="L66" s="170"/>
      <c r="M66" s="170"/>
      <c r="N66" s="174"/>
      <c r="O66" s="160"/>
      <c r="P66" s="160"/>
      <c r="Q66" s="170"/>
      <c r="R66" s="17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c r="BW66" s="160"/>
      <c r="BX66" s="160"/>
      <c r="BY66" s="160"/>
      <c r="BZ66" s="160"/>
      <c r="CA66" s="160"/>
      <c r="CB66" s="160"/>
      <c r="CC66" s="160"/>
      <c r="CD66" s="160"/>
      <c r="CE66" s="160"/>
      <c r="CF66" s="160"/>
      <c r="CG66" s="160"/>
      <c r="CH66" s="160"/>
      <c r="CI66" s="160"/>
      <c r="CJ66" s="160"/>
      <c r="CK66" s="160"/>
      <c r="CL66" s="160"/>
      <c r="CM66" s="160"/>
      <c r="CN66" s="160"/>
      <c r="CO66" s="160"/>
      <c r="CP66" s="160"/>
      <c r="CQ66" s="160"/>
      <c r="CR66" s="160"/>
      <c r="CS66" s="160"/>
      <c r="CT66" s="160"/>
      <c r="CU66" s="160"/>
      <c r="CV66" s="160"/>
      <c r="CW66" s="160"/>
      <c r="CX66" s="160"/>
      <c r="CY66" s="160"/>
      <c r="CZ66" s="160"/>
      <c r="DA66" s="160"/>
      <c r="DB66" s="160"/>
      <c r="DC66" s="160"/>
      <c r="DD66" s="160"/>
      <c r="DE66" s="160"/>
      <c r="DF66" s="160"/>
      <c r="DG66" s="160"/>
      <c r="DH66" s="160"/>
      <c r="DI66" s="160"/>
      <c r="DJ66" s="160"/>
      <c r="DK66" s="160"/>
      <c r="DL66" s="160"/>
      <c r="DM66" s="160"/>
      <c r="DN66" s="160"/>
      <c r="DO66" s="160"/>
      <c r="DP66" s="160"/>
      <c r="DQ66" s="160"/>
      <c r="DR66" s="160"/>
    </row>
    <row r="67" spans="2:122" ht="17.25" customHeight="1">
      <c r="B67" s="144" t="s">
        <v>304</v>
      </c>
      <c r="C67" s="172">
        <f>IF(C63&lt;C65,C63*$C$30+C62*$C$27,C65*$C$30+C66*$C$27)</f>
        <v>0</v>
      </c>
      <c r="D67" s="144" t="s">
        <v>290</v>
      </c>
      <c r="I67" s="162"/>
      <c r="J67" s="162"/>
      <c r="K67" s="170"/>
      <c r="L67" s="170"/>
      <c r="M67" s="170"/>
      <c r="N67" s="160"/>
      <c r="O67" s="160"/>
      <c r="P67" s="160"/>
      <c r="Q67" s="170"/>
      <c r="R67" s="170"/>
      <c r="S67" s="174"/>
      <c r="T67" s="170"/>
      <c r="U67" s="170"/>
      <c r="V67" s="170"/>
      <c r="W67" s="17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c r="BP67" s="160"/>
      <c r="BQ67" s="160"/>
      <c r="BR67" s="160"/>
      <c r="BS67" s="160"/>
      <c r="BT67" s="160"/>
      <c r="BU67" s="160"/>
      <c r="BV67" s="160"/>
      <c r="BW67" s="160"/>
      <c r="BX67" s="160"/>
      <c r="BY67" s="160"/>
      <c r="BZ67" s="160"/>
      <c r="CA67" s="160"/>
      <c r="CB67" s="160"/>
      <c r="CC67" s="160"/>
      <c r="CD67" s="160"/>
      <c r="CE67" s="160"/>
      <c r="CF67" s="160"/>
      <c r="CG67" s="160"/>
      <c r="CH67" s="160"/>
      <c r="CI67" s="160"/>
      <c r="CJ67" s="160"/>
      <c r="CK67" s="160"/>
      <c r="CL67" s="160"/>
      <c r="CM67" s="160"/>
      <c r="CN67" s="160"/>
      <c r="CO67" s="160"/>
      <c r="CP67" s="160"/>
      <c r="CQ67" s="160"/>
      <c r="CR67" s="160"/>
      <c r="CS67" s="160"/>
      <c r="CT67" s="160"/>
      <c r="CU67" s="160"/>
      <c r="CV67" s="160"/>
      <c r="CW67" s="160"/>
      <c r="CX67" s="160"/>
      <c r="CY67" s="160"/>
      <c r="CZ67" s="160"/>
      <c r="DA67" s="160"/>
      <c r="DB67" s="160"/>
      <c r="DC67" s="160"/>
      <c r="DD67" s="160"/>
      <c r="DE67" s="160"/>
      <c r="DF67" s="160"/>
      <c r="DG67" s="160"/>
      <c r="DH67" s="160"/>
      <c r="DI67" s="160"/>
      <c r="DJ67" s="160"/>
      <c r="DK67" s="160"/>
      <c r="DL67" s="160"/>
      <c r="DM67" s="160"/>
      <c r="DN67" s="160"/>
      <c r="DO67" s="160"/>
      <c r="DP67" s="160"/>
      <c r="DQ67" s="160"/>
      <c r="DR67" s="160"/>
    </row>
    <row r="68" spans="2:122" ht="17.25" customHeight="1">
      <c r="B68" s="144" t="s">
        <v>305</v>
      </c>
      <c r="C68" s="172">
        <f>IF(0.133*C67*$C$9&gt;0.1*C67, 0.133*C67*$C$9, 0.1*C67)</f>
        <v>0</v>
      </c>
      <c r="D68" s="144" t="s">
        <v>290</v>
      </c>
      <c r="I68" s="162"/>
      <c r="J68" s="162"/>
      <c r="K68" s="170"/>
      <c r="L68" s="170"/>
      <c r="M68" s="170"/>
      <c r="N68" s="176"/>
      <c r="O68" s="170"/>
      <c r="P68" s="170"/>
      <c r="Q68" s="160"/>
      <c r="R68" s="160"/>
      <c r="S68" s="174"/>
      <c r="T68" s="170"/>
      <c r="U68" s="170"/>
      <c r="V68" s="170"/>
      <c r="W68" s="170"/>
      <c r="X68" s="174"/>
      <c r="Y68" s="170"/>
      <c r="Z68" s="170"/>
      <c r="AA68" s="170"/>
      <c r="AB68" s="17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c r="BH68" s="160"/>
      <c r="BI68" s="160"/>
      <c r="BJ68" s="160"/>
      <c r="BK68" s="160"/>
      <c r="BL68" s="160"/>
      <c r="BM68" s="160"/>
      <c r="BN68" s="160"/>
      <c r="BO68" s="160"/>
      <c r="BP68" s="160"/>
      <c r="BQ68" s="160"/>
      <c r="BR68" s="160"/>
      <c r="BS68" s="160"/>
      <c r="BT68" s="160"/>
      <c r="BU68" s="160"/>
      <c r="BV68" s="160"/>
      <c r="BW68" s="160"/>
      <c r="BX68" s="160"/>
      <c r="BY68" s="160"/>
      <c r="BZ68" s="160"/>
      <c r="CA68" s="160"/>
      <c r="CB68" s="160"/>
      <c r="CC68" s="160"/>
      <c r="CD68" s="160"/>
      <c r="CE68" s="160"/>
      <c r="CF68" s="160"/>
      <c r="CG68" s="160"/>
      <c r="CH68" s="160"/>
      <c r="CI68" s="160"/>
      <c r="CJ68" s="160"/>
      <c r="CK68" s="160"/>
      <c r="CL68" s="160"/>
      <c r="CM68" s="160"/>
      <c r="CN68" s="160"/>
      <c r="CO68" s="160"/>
      <c r="CP68" s="160"/>
      <c r="CQ68" s="160"/>
      <c r="CR68" s="160"/>
      <c r="CS68" s="160"/>
      <c r="CT68" s="160"/>
      <c r="CU68" s="160"/>
      <c r="CV68" s="160"/>
      <c r="CW68" s="160"/>
      <c r="CX68" s="160"/>
      <c r="CY68" s="160"/>
      <c r="CZ68" s="160"/>
      <c r="DA68" s="160"/>
      <c r="DB68" s="160"/>
      <c r="DC68" s="160"/>
      <c r="DD68" s="160"/>
      <c r="DE68" s="160"/>
      <c r="DF68" s="160"/>
      <c r="DG68" s="160"/>
      <c r="DH68" s="160"/>
      <c r="DI68" s="160"/>
      <c r="DJ68" s="160"/>
      <c r="DK68" s="160"/>
      <c r="DL68" s="160"/>
      <c r="DM68" s="160"/>
      <c r="DN68" s="160"/>
      <c r="DO68" s="160"/>
      <c r="DP68" s="160"/>
      <c r="DQ68" s="160"/>
      <c r="DR68" s="160"/>
    </row>
    <row r="69" spans="2:122" ht="17.25" customHeight="1">
      <c r="B69" s="144" t="s">
        <v>306</v>
      </c>
      <c r="C69" s="172" t="e">
        <f>C68/C64</f>
        <v>#DIV/0!</v>
      </c>
      <c r="D69" s="144" t="s">
        <v>290</v>
      </c>
      <c r="I69" s="162"/>
      <c r="J69" s="162"/>
      <c r="K69" s="170"/>
      <c r="L69" s="170"/>
      <c r="M69" s="170"/>
      <c r="N69" s="160"/>
      <c r="O69" s="160"/>
      <c r="P69" s="160"/>
      <c r="Q69" s="160"/>
      <c r="R69" s="160"/>
      <c r="S69" s="174"/>
      <c r="T69" s="170"/>
      <c r="U69" s="170"/>
      <c r="V69" s="170"/>
      <c r="W69" s="170"/>
      <c r="X69" s="174"/>
      <c r="Y69" s="170"/>
      <c r="Z69" s="170"/>
      <c r="AA69" s="170"/>
      <c r="AB69" s="17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c r="BH69" s="160"/>
      <c r="BI69" s="160"/>
      <c r="BJ69" s="160"/>
      <c r="BK69" s="160"/>
      <c r="BL69" s="160"/>
      <c r="BM69" s="160"/>
      <c r="BN69" s="160"/>
      <c r="BO69" s="160"/>
      <c r="BP69" s="160"/>
      <c r="BQ69" s="160"/>
      <c r="BR69" s="160"/>
      <c r="BS69" s="160"/>
      <c r="BT69" s="160"/>
      <c r="BU69" s="160"/>
      <c r="BV69" s="160"/>
      <c r="BW69" s="160"/>
      <c r="BX69" s="160"/>
      <c r="BY69" s="160"/>
      <c r="BZ69" s="160"/>
      <c r="CA69" s="160"/>
      <c r="CB69" s="160"/>
      <c r="CC69" s="160"/>
      <c r="CD69" s="160"/>
      <c r="CE69" s="160"/>
      <c r="CF69" s="160"/>
      <c r="CG69" s="160"/>
      <c r="CH69" s="160"/>
      <c r="CI69" s="160"/>
      <c r="CJ69" s="160"/>
      <c r="CK69" s="160"/>
      <c r="CL69" s="160"/>
      <c r="CM69" s="160"/>
      <c r="CN69" s="160"/>
      <c r="CO69" s="160"/>
      <c r="CP69" s="160"/>
      <c r="CQ69" s="160"/>
      <c r="CR69" s="160"/>
      <c r="CS69" s="160"/>
      <c r="CT69" s="160"/>
      <c r="CU69" s="160"/>
      <c r="CV69" s="160"/>
      <c r="CW69" s="160"/>
      <c r="CX69" s="160"/>
      <c r="CY69" s="160"/>
      <c r="CZ69" s="160"/>
      <c r="DA69" s="160"/>
      <c r="DB69" s="160"/>
      <c r="DC69" s="160"/>
      <c r="DD69" s="160"/>
      <c r="DE69" s="160"/>
      <c r="DF69" s="160"/>
      <c r="DG69" s="160"/>
      <c r="DH69" s="160"/>
      <c r="DI69" s="160"/>
      <c r="DJ69" s="160"/>
      <c r="DK69" s="160"/>
      <c r="DL69" s="160"/>
      <c r="DM69" s="160"/>
      <c r="DN69" s="160"/>
      <c r="DO69" s="160"/>
      <c r="DP69" s="160"/>
      <c r="DQ69" s="160"/>
      <c r="DR69" s="160"/>
    </row>
    <row r="70" spans="2:122" ht="17.25" customHeight="1">
      <c r="B70" s="144" t="s">
        <v>307</v>
      </c>
      <c r="C70" s="154" t="e">
        <f>IF(C61="EAST/WEST", IF($C$20&gt;=C69,"Pass","Fail"), IF($C$22&gt;=C69,"Pass", "Fail"))</f>
        <v>#DIV/0!</v>
      </c>
      <c r="I70" s="162"/>
      <c r="J70" s="162"/>
      <c r="K70" s="170"/>
      <c r="L70" s="170"/>
      <c r="M70" s="170"/>
      <c r="N70" s="160"/>
      <c r="O70" s="160"/>
      <c r="P70" s="160"/>
      <c r="Q70" s="160"/>
      <c r="R70" s="160"/>
      <c r="S70" s="174"/>
      <c r="T70" s="170"/>
      <c r="U70" s="170"/>
      <c r="V70" s="170"/>
      <c r="W70" s="170"/>
      <c r="X70" s="174"/>
      <c r="Y70" s="170"/>
      <c r="Z70" s="170"/>
      <c r="AA70" s="170"/>
      <c r="AB70" s="17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c r="BP70" s="160"/>
      <c r="BQ70" s="160"/>
      <c r="BR70" s="160"/>
      <c r="BS70" s="160"/>
      <c r="BT70" s="160"/>
      <c r="BU70" s="160"/>
      <c r="BV70" s="160"/>
      <c r="BW70" s="160"/>
      <c r="BX70" s="160"/>
      <c r="BY70" s="160"/>
      <c r="BZ70" s="160"/>
      <c r="CA70" s="160"/>
      <c r="CB70" s="160"/>
      <c r="CC70" s="160"/>
      <c r="CD70" s="160"/>
      <c r="CE70" s="160"/>
      <c r="CF70" s="160"/>
      <c r="CG70" s="160"/>
      <c r="CH70" s="160"/>
      <c r="CI70" s="160"/>
      <c r="CJ70" s="160"/>
      <c r="CK70" s="160"/>
      <c r="CL70" s="160"/>
      <c r="CM70" s="160"/>
      <c r="CN70" s="160"/>
      <c r="CO70" s="160"/>
      <c r="CP70" s="160"/>
      <c r="CQ70" s="160"/>
      <c r="CR70" s="160"/>
      <c r="CS70" s="160"/>
      <c r="CT70" s="160"/>
      <c r="CU70" s="160"/>
      <c r="CV70" s="160"/>
      <c r="CW70" s="160"/>
      <c r="CX70" s="160"/>
      <c r="CY70" s="160"/>
      <c r="CZ70" s="160"/>
      <c r="DA70" s="160"/>
      <c r="DB70" s="160"/>
      <c r="DC70" s="160"/>
      <c r="DD70" s="160"/>
      <c r="DE70" s="160"/>
      <c r="DF70" s="160"/>
      <c r="DG70" s="160"/>
      <c r="DH70" s="160"/>
      <c r="DI70" s="160"/>
      <c r="DJ70" s="160"/>
      <c r="DK70" s="160"/>
      <c r="DL70" s="160"/>
      <c r="DM70" s="160"/>
      <c r="DN70" s="160"/>
      <c r="DO70" s="160"/>
      <c r="DP70" s="160"/>
      <c r="DQ70" s="160"/>
      <c r="DR70" s="160"/>
    </row>
    <row r="71" spans="2:122" ht="17.25" customHeight="1">
      <c r="B71" s="144" t="s">
        <v>308</v>
      </c>
      <c r="C71" s="172" t="e">
        <f>IF(C63&lt;C65,C63/C64,C65/C64)</f>
        <v>#DIV/0!</v>
      </c>
      <c r="D71" s="144" t="s">
        <v>309</v>
      </c>
      <c r="I71" s="162"/>
      <c r="J71" s="162"/>
      <c r="K71" s="170"/>
      <c r="L71" s="170"/>
      <c r="M71" s="170"/>
      <c r="N71" s="160"/>
      <c r="O71" s="160"/>
      <c r="P71" s="160"/>
      <c r="Q71" s="160"/>
      <c r="R71" s="160"/>
      <c r="S71" s="174"/>
      <c r="T71" s="170"/>
      <c r="U71" s="170"/>
      <c r="V71" s="170"/>
      <c r="W71" s="170"/>
      <c r="X71" s="174"/>
      <c r="Y71" s="170"/>
      <c r="Z71" s="170"/>
      <c r="AA71" s="170"/>
      <c r="AB71" s="17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c r="BP71" s="160"/>
      <c r="BQ71" s="160"/>
      <c r="BR71" s="160"/>
      <c r="BS71" s="160"/>
      <c r="BT71" s="160"/>
      <c r="BU71" s="160"/>
      <c r="BV71" s="160"/>
      <c r="BW71" s="160"/>
      <c r="BX71" s="160"/>
      <c r="BY71" s="160"/>
      <c r="BZ71" s="160"/>
      <c r="CA71" s="160"/>
      <c r="CB71" s="160"/>
      <c r="CC71" s="160"/>
      <c r="CD71" s="160"/>
      <c r="CE71" s="160"/>
      <c r="CF71" s="160"/>
      <c r="CG71" s="160"/>
      <c r="CH71" s="160"/>
      <c r="CI71" s="160"/>
      <c r="CJ71" s="160"/>
      <c r="CK71" s="160"/>
      <c r="CL71" s="160"/>
      <c r="CM71" s="160"/>
      <c r="CN71" s="160"/>
      <c r="CO71" s="160"/>
      <c r="CP71" s="160"/>
      <c r="CQ71" s="160"/>
      <c r="CR71" s="160"/>
      <c r="CS71" s="160"/>
      <c r="CT71" s="160"/>
      <c r="CU71" s="160"/>
      <c r="CV71" s="160"/>
      <c r="CW71" s="160"/>
      <c r="CX71" s="160"/>
      <c r="CY71" s="160"/>
      <c r="CZ71" s="160"/>
      <c r="DA71" s="160"/>
      <c r="DB71" s="160"/>
      <c r="DC71" s="160"/>
      <c r="DD71" s="160"/>
      <c r="DE71" s="160"/>
      <c r="DF71" s="160"/>
      <c r="DG71" s="160"/>
      <c r="DH71" s="160"/>
      <c r="DI71" s="160"/>
      <c r="DJ71" s="160"/>
      <c r="DK71" s="160"/>
      <c r="DL71" s="160"/>
      <c r="DM71" s="160"/>
      <c r="DN71" s="160"/>
      <c r="DO71" s="160"/>
      <c r="DP71" s="160"/>
      <c r="DQ71" s="160"/>
      <c r="DR71" s="160"/>
    </row>
    <row r="72" spans="2:122" ht="17.25" customHeight="1">
      <c r="I72" s="162"/>
      <c r="J72" s="162"/>
      <c r="K72" s="170"/>
      <c r="L72" s="170"/>
      <c r="M72" s="170"/>
      <c r="N72" s="160"/>
      <c r="O72" s="160"/>
      <c r="P72" s="160"/>
      <c r="Q72" s="160"/>
      <c r="R72" s="160"/>
      <c r="S72" s="174"/>
      <c r="T72" s="170"/>
      <c r="U72" s="170"/>
      <c r="V72" s="170"/>
      <c r="W72" s="170"/>
      <c r="X72" s="174"/>
      <c r="Y72" s="170"/>
      <c r="Z72" s="170"/>
      <c r="AA72" s="170"/>
      <c r="AB72" s="17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c r="BP72" s="160"/>
      <c r="BQ72" s="160"/>
      <c r="BR72" s="160"/>
      <c r="BS72" s="160"/>
      <c r="BT72" s="160"/>
      <c r="BU72" s="160"/>
      <c r="BV72" s="160"/>
      <c r="BW72" s="160"/>
      <c r="BX72" s="160"/>
      <c r="BY72" s="160"/>
      <c r="BZ72" s="160"/>
      <c r="CA72" s="160"/>
      <c r="CB72" s="160"/>
      <c r="CC72" s="160"/>
      <c r="CD72" s="160"/>
      <c r="CE72" s="160"/>
      <c r="CF72" s="160"/>
      <c r="CG72" s="160"/>
      <c r="CH72" s="160"/>
      <c r="CI72" s="160"/>
      <c r="CJ72" s="160"/>
      <c r="CK72" s="160"/>
      <c r="CL72" s="160"/>
      <c r="CM72" s="160"/>
      <c r="CN72" s="160"/>
      <c r="CO72" s="160"/>
      <c r="CP72" s="160"/>
      <c r="CQ72" s="160"/>
      <c r="CR72" s="160"/>
      <c r="CS72" s="160"/>
      <c r="CT72" s="160"/>
      <c r="CU72" s="160"/>
      <c r="CV72" s="160"/>
      <c r="CW72" s="160"/>
      <c r="CX72" s="160"/>
      <c r="CY72" s="160"/>
      <c r="CZ72" s="160"/>
      <c r="DA72" s="160"/>
      <c r="DB72" s="160"/>
      <c r="DC72" s="160"/>
      <c r="DD72" s="160"/>
      <c r="DE72" s="160"/>
      <c r="DF72" s="160"/>
      <c r="DG72" s="160"/>
      <c r="DH72" s="160"/>
      <c r="DI72" s="160"/>
      <c r="DJ72" s="160"/>
      <c r="DK72" s="160"/>
      <c r="DL72" s="160"/>
      <c r="DM72" s="160"/>
      <c r="DN72" s="160"/>
      <c r="DO72" s="160"/>
      <c r="DP72" s="160"/>
      <c r="DQ72" s="160"/>
      <c r="DR72" s="160"/>
    </row>
    <row r="73" spans="2:122" ht="17.25" customHeight="1">
      <c r="B73" s="167" t="s">
        <v>299</v>
      </c>
      <c r="C73" s="168"/>
      <c r="D73" s="166"/>
      <c r="I73" s="162"/>
      <c r="J73" s="162"/>
      <c r="K73" s="170"/>
      <c r="L73" s="170"/>
      <c r="M73" s="170"/>
      <c r="N73" s="160"/>
      <c r="O73" s="160"/>
      <c r="P73" s="160"/>
      <c r="Q73" s="160"/>
      <c r="R73" s="160"/>
      <c r="S73" s="174"/>
      <c r="T73" s="170"/>
      <c r="U73" s="170"/>
      <c r="V73" s="170"/>
      <c r="W73" s="170"/>
      <c r="X73" s="174"/>
      <c r="Y73" s="170"/>
      <c r="Z73" s="170"/>
      <c r="AA73" s="170"/>
      <c r="AB73" s="17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c r="BP73" s="160"/>
      <c r="BQ73" s="160"/>
      <c r="BR73" s="160"/>
      <c r="BS73" s="160"/>
      <c r="BT73" s="160"/>
      <c r="BU73" s="160"/>
      <c r="BV73" s="160"/>
      <c r="BW73" s="160"/>
      <c r="BX73" s="160"/>
      <c r="BY73" s="160"/>
      <c r="BZ73" s="160"/>
      <c r="CA73" s="160"/>
      <c r="CB73" s="160"/>
      <c r="CC73" s="160"/>
      <c r="CD73" s="160"/>
      <c r="CE73" s="160"/>
      <c r="CF73" s="160"/>
      <c r="CG73" s="160"/>
      <c r="CH73" s="160"/>
      <c r="CI73" s="160"/>
      <c r="CJ73" s="160"/>
      <c r="CK73" s="160"/>
      <c r="CL73" s="160"/>
      <c r="CM73" s="160"/>
      <c r="CN73" s="160"/>
      <c r="CO73" s="160"/>
      <c r="CP73" s="160"/>
      <c r="CQ73" s="160"/>
      <c r="CR73" s="160"/>
      <c r="CS73" s="160"/>
      <c r="CT73" s="160"/>
      <c r="CU73" s="160"/>
      <c r="CV73" s="160"/>
      <c r="CW73" s="160"/>
      <c r="CX73" s="160"/>
      <c r="CY73" s="160"/>
      <c r="CZ73" s="160"/>
      <c r="DA73" s="160"/>
      <c r="DB73" s="160"/>
      <c r="DC73" s="160"/>
      <c r="DD73" s="160"/>
      <c r="DE73" s="160"/>
      <c r="DF73" s="160"/>
      <c r="DG73" s="160"/>
      <c r="DH73" s="160"/>
      <c r="DI73" s="160"/>
      <c r="DJ73" s="160"/>
      <c r="DK73" s="160"/>
      <c r="DL73" s="160"/>
      <c r="DM73" s="160"/>
      <c r="DN73" s="160"/>
      <c r="DO73" s="160"/>
      <c r="DP73" s="160"/>
      <c r="DQ73" s="160"/>
      <c r="DR73" s="160"/>
    </row>
    <row r="74" spans="2:122" ht="17.25" customHeight="1">
      <c r="B74" s="167" t="s">
        <v>301</v>
      </c>
      <c r="C74" s="168" t="s">
        <v>302</v>
      </c>
      <c r="D74" s="166"/>
      <c r="I74" s="162"/>
      <c r="J74" s="162"/>
      <c r="K74" s="170"/>
      <c r="L74" s="170"/>
      <c r="M74" s="170"/>
      <c r="N74" s="160"/>
      <c r="O74" s="160"/>
      <c r="P74" s="160"/>
      <c r="Q74" s="160"/>
      <c r="R74" s="160"/>
      <c r="S74" s="174"/>
      <c r="T74" s="170"/>
      <c r="U74" s="170"/>
      <c r="V74" s="170"/>
      <c r="W74" s="170"/>
      <c r="X74" s="174"/>
      <c r="Y74" s="170"/>
      <c r="Z74" s="170"/>
      <c r="AA74" s="170"/>
      <c r="AB74" s="17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c r="BP74" s="160"/>
      <c r="BQ74" s="160"/>
      <c r="BR74" s="160"/>
      <c r="BS74" s="160"/>
      <c r="BT74" s="160"/>
      <c r="BU74" s="160"/>
      <c r="BV74" s="160"/>
      <c r="BW74" s="160"/>
      <c r="BX74" s="160"/>
      <c r="BY74" s="160"/>
      <c r="BZ74" s="160"/>
      <c r="CA74" s="160"/>
      <c r="CB74" s="160"/>
      <c r="CC74" s="160"/>
      <c r="CD74" s="160"/>
      <c r="CE74" s="160"/>
      <c r="CF74" s="160"/>
      <c r="CG74" s="160"/>
      <c r="CH74" s="160"/>
      <c r="CI74" s="160"/>
      <c r="CJ74" s="160"/>
      <c r="CK74" s="160"/>
      <c r="CL74" s="160"/>
      <c r="CM74" s="160"/>
      <c r="CN74" s="160"/>
      <c r="CO74" s="160"/>
      <c r="CP74" s="160"/>
      <c r="CQ74" s="160"/>
      <c r="CR74" s="160"/>
      <c r="CS74" s="160"/>
      <c r="CT74" s="160"/>
      <c r="CU74" s="160"/>
      <c r="CV74" s="160"/>
      <c r="CW74" s="160"/>
      <c r="CX74" s="160"/>
      <c r="CY74" s="160"/>
      <c r="CZ74" s="160"/>
      <c r="DA74" s="160"/>
      <c r="DB74" s="160"/>
      <c r="DC74" s="160"/>
      <c r="DD74" s="160"/>
      <c r="DE74" s="160"/>
      <c r="DF74" s="160"/>
      <c r="DG74" s="160"/>
      <c r="DH74" s="160"/>
      <c r="DI74" s="160"/>
      <c r="DJ74" s="160"/>
      <c r="DK74" s="160"/>
      <c r="DL74" s="160"/>
      <c r="DM74" s="160"/>
      <c r="DN74" s="160"/>
      <c r="DO74" s="160"/>
      <c r="DP74" s="160"/>
      <c r="DQ74" s="160"/>
      <c r="DR74" s="160"/>
    </row>
    <row r="75" spans="2:122" ht="17.25" customHeight="1">
      <c r="B75" s="144" t="str">
        <f>IF(C74="East/West", "Feet - West Section", IF(C74="North/South", "Feet - North Section", "Select Force Direction"))</f>
        <v>Select Force Direction</v>
      </c>
      <c r="C75" s="171"/>
      <c r="D75" s="144" t="s">
        <v>324</v>
      </c>
      <c r="I75" s="162"/>
      <c r="J75" s="162"/>
      <c r="K75" s="170"/>
      <c r="L75" s="170"/>
      <c r="M75" s="170"/>
      <c r="N75" s="160"/>
      <c r="O75" s="160"/>
      <c r="P75" s="160"/>
      <c r="Q75" s="160"/>
      <c r="R75" s="160"/>
      <c r="S75" s="174"/>
      <c r="T75" s="170"/>
      <c r="U75" s="170"/>
      <c r="V75" s="170"/>
      <c r="W75" s="170"/>
      <c r="X75" s="174"/>
      <c r="Y75" s="170"/>
      <c r="Z75" s="170"/>
      <c r="AA75" s="170"/>
      <c r="AB75" s="17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c r="BP75" s="160"/>
      <c r="BQ75" s="160"/>
      <c r="BR75" s="160"/>
      <c r="BS75" s="160"/>
      <c r="BT75" s="160"/>
      <c r="BU75" s="160"/>
      <c r="BV75" s="160"/>
      <c r="BW75" s="160"/>
      <c r="BX75" s="160"/>
      <c r="BY75" s="160"/>
      <c r="BZ75" s="160"/>
      <c r="CA75" s="160"/>
      <c r="CB75" s="160"/>
      <c r="CC75" s="160"/>
      <c r="CD75" s="160"/>
      <c r="CE75" s="160"/>
      <c r="CF75" s="160"/>
      <c r="CG75" s="160"/>
      <c r="CH75" s="160"/>
      <c r="CI75" s="160"/>
      <c r="CJ75" s="160"/>
      <c r="CK75" s="160"/>
      <c r="CL75" s="160"/>
      <c r="CM75" s="160"/>
      <c r="CN75" s="160"/>
      <c r="CO75" s="160"/>
      <c r="CP75" s="160"/>
      <c r="CQ75" s="160"/>
      <c r="CR75" s="160"/>
      <c r="CS75" s="160"/>
      <c r="CT75" s="160"/>
      <c r="CU75" s="160"/>
      <c r="CV75" s="160"/>
      <c r="CW75" s="160"/>
      <c r="CX75" s="160"/>
      <c r="CY75" s="160"/>
      <c r="CZ75" s="160"/>
      <c r="DA75" s="160"/>
      <c r="DB75" s="160"/>
      <c r="DC75" s="160"/>
      <c r="DD75" s="160"/>
      <c r="DE75" s="160"/>
      <c r="DF75" s="160"/>
      <c r="DG75" s="160"/>
      <c r="DH75" s="160"/>
      <c r="DI75" s="160"/>
      <c r="DJ75" s="160"/>
      <c r="DK75" s="160"/>
      <c r="DL75" s="160"/>
      <c r="DM75" s="160"/>
      <c r="DN75" s="160"/>
      <c r="DO75" s="160"/>
      <c r="DP75" s="160"/>
      <c r="DQ75" s="160"/>
      <c r="DR75" s="160"/>
    </row>
    <row r="76" spans="2:122" ht="17.25" customHeight="1">
      <c r="B76" s="144" t="str">
        <f>IF(C74="East/West", "Modules - West Section", IF(C74="North/South", "Modules - North Section", "Select Force Direction"))</f>
        <v>Select Force Direction</v>
      </c>
      <c r="C76" s="171"/>
      <c r="D76" s="144" t="s">
        <v>297</v>
      </c>
      <c r="I76" s="162"/>
      <c r="J76" s="162"/>
      <c r="K76" s="170"/>
      <c r="L76" s="170"/>
      <c r="M76" s="170"/>
      <c r="N76" s="160"/>
      <c r="O76" s="160"/>
      <c r="P76" s="160"/>
      <c r="Q76" s="160"/>
      <c r="R76" s="160"/>
      <c r="S76" s="174"/>
      <c r="T76" s="170"/>
      <c r="U76" s="170"/>
      <c r="V76" s="170"/>
      <c r="W76" s="170"/>
      <c r="X76" s="174"/>
      <c r="Y76" s="170"/>
      <c r="Z76" s="170"/>
      <c r="AA76" s="170"/>
      <c r="AB76" s="17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c r="BH76" s="160"/>
      <c r="BI76" s="160"/>
      <c r="BJ76" s="160"/>
      <c r="BK76" s="160"/>
      <c r="BL76" s="160"/>
      <c r="BM76" s="160"/>
      <c r="BN76" s="160"/>
      <c r="BO76" s="160"/>
      <c r="BP76" s="160"/>
      <c r="BQ76" s="160"/>
      <c r="BR76" s="160"/>
      <c r="BS76" s="160"/>
      <c r="BT76" s="160"/>
      <c r="BU76" s="160"/>
      <c r="BV76" s="160"/>
      <c r="BW76" s="160"/>
      <c r="BX76" s="160"/>
      <c r="BY76" s="160"/>
      <c r="BZ76" s="160"/>
      <c r="CA76" s="160"/>
      <c r="CB76" s="160"/>
      <c r="CC76" s="160"/>
      <c r="CD76" s="160"/>
      <c r="CE76" s="160"/>
      <c r="CF76" s="160"/>
      <c r="CG76" s="160"/>
      <c r="CH76" s="160"/>
      <c r="CI76" s="160"/>
      <c r="CJ76" s="160"/>
      <c r="CK76" s="160"/>
      <c r="CL76" s="160"/>
      <c r="CM76" s="160"/>
      <c r="CN76" s="160"/>
      <c r="CO76" s="160"/>
      <c r="CP76" s="160"/>
      <c r="CQ76" s="160"/>
      <c r="CR76" s="160"/>
      <c r="CS76" s="160"/>
      <c r="CT76" s="160"/>
      <c r="CU76" s="160"/>
      <c r="CV76" s="160"/>
      <c r="CW76" s="160"/>
      <c r="CX76" s="160"/>
      <c r="CY76" s="160"/>
      <c r="CZ76" s="160"/>
      <c r="DA76" s="160"/>
      <c r="DB76" s="160"/>
      <c r="DC76" s="160"/>
      <c r="DD76" s="160"/>
      <c r="DE76" s="160"/>
      <c r="DF76" s="160"/>
      <c r="DG76" s="160"/>
      <c r="DH76" s="160"/>
      <c r="DI76" s="160"/>
      <c r="DJ76" s="160"/>
      <c r="DK76" s="160"/>
      <c r="DL76" s="160"/>
      <c r="DM76" s="160"/>
      <c r="DN76" s="160"/>
      <c r="DO76" s="160"/>
      <c r="DP76" s="160"/>
      <c r="DQ76" s="160"/>
      <c r="DR76" s="160"/>
    </row>
    <row r="77" spans="2:122" ht="17.25" customHeight="1">
      <c r="B77" s="144" t="s">
        <v>303</v>
      </c>
      <c r="C77" s="171"/>
      <c r="D77" s="144" t="s">
        <v>297</v>
      </c>
      <c r="I77" s="162"/>
      <c r="J77" s="162"/>
      <c r="K77" s="170"/>
      <c r="L77" s="170"/>
      <c r="M77" s="170"/>
      <c r="N77" s="160"/>
      <c r="O77" s="160"/>
      <c r="P77" s="160"/>
      <c r="Q77" s="160"/>
      <c r="R77" s="160"/>
      <c r="S77" s="174"/>
      <c r="T77" s="170"/>
      <c r="U77" s="170"/>
      <c r="V77" s="170"/>
      <c r="W77" s="170"/>
      <c r="X77" s="174"/>
      <c r="Y77" s="170"/>
      <c r="Z77" s="170"/>
      <c r="AA77" s="170"/>
      <c r="AB77" s="17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c r="BH77" s="160"/>
      <c r="BI77" s="160"/>
      <c r="BJ77" s="160"/>
      <c r="BK77" s="160"/>
      <c r="BL77" s="160"/>
      <c r="BM77" s="160"/>
      <c r="BN77" s="160"/>
      <c r="BO77" s="160"/>
      <c r="BP77" s="160"/>
      <c r="BQ77" s="160"/>
      <c r="BR77" s="160"/>
      <c r="BS77" s="160"/>
      <c r="BT77" s="160"/>
      <c r="BU77" s="160"/>
      <c r="BV77" s="160"/>
      <c r="BW77" s="160"/>
      <c r="BX77" s="160"/>
      <c r="BY77" s="160"/>
      <c r="BZ77" s="160"/>
      <c r="CA77" s="160"/>
      <c r="CB77" s="160"/>
      <c r="CC77" s="160"/>
      <c r="CD77" s="160"/>
      <c r="CE77" s="160"/>
      <c r="CF77" s="160"/>
      <c r="CG77" s="160"/>
      <c r="CH77" s="160"/>
      <c r="CI77" s="160"/>
      <c r="CJ77" s="160"/>
      <c r="CK77" s="160"/>
      <c r="CL77" s="160"/>
      <c r="CM77" s="160"/>
      <c r="CN77" s="160"/>
      <c r="CO77" s="160"/>
      <c r="CP77" s="160"/>
      <c r="CQ77" s="160"/>
      <c r="CR77" s="160"/>
      <c r="CS77" s="160"/>
      <c r="CT77" s="160"/>
      <c r="CU77" s="160"/>
      <c r="CV77" s="160"/>
      <c r="CW77" s="160"/>
      <c r="CX77" s="160"/>
      <c r="CY77" s="160"/>
      <c r="CZ77" s="160"/>
      <c r="DA77" s="160"/>
      <c r="DB77" s="160"/>
      <c r="DC77" s="160"/>
      <c r="DD77" s="160"/>
      <c r="DE77" s="160"/>
      <c r="DF77" s="160"/>
      <c r="DG77" s="160"/>
      <c r="DH77" s="160"/>
      <c r="DI77" s="160"/>
      <c r="DJ77" s="160"/>
      <c r="DK77" s="160"/>
      <c r="DL77" s="160"/>
      <c r="DM77" s="160"/>
      <c r="DN77" s="160"/>
      <c r="DO77" s="160"/>
      <c r="DP77" s="160"/>
      <c r="DQ77" s="160"/>
      <c r="DR77" s="160"/>
    </row>
    <row r="78" spans="2:122" ht="17.25" customHeight="1">
      <c r="B78" s="144" t="str">
        <f>IF(C74="East/West", "Modules - East Section", IF(C74="North/South", "Modules - South Section", "Select Force Direction"))</f>
        <v>Select Force Direction</v>
      </c>
      <c r="C78" s="171"/>
      <c r="D78" s="144" t="s">
        <v>297</v>
      </c>
      <c r="I78" s="162"/>
      <c r="J78" s="162"/>
      <c r="K78" s="170"/>
      <c r="L78" s="170"/>
      <c r="M78" s="170"/>
      <c r="N78" s="160"/>
      <c r="O78" s="160"/>
      <c r="P78" s="160"/>
      <c r="Q78" s="160"/>
      <c r="R78" s="160"/>
      <c r="S78" s="174"/>
      <c r="T78" s="170"/>
      <c r="U78" s="170"/>
      <c r="V78" s="170"/>
      <c r="W78" s="170"/>
      <c r="X78" s="174"/>
      <c r="Y78" s="170"/>
      <c r="Z78" s="170"/>
      <c r="AA78" s="170"/>
      <c r="AB78" s="17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c r="BH78" s="160"/>
      <c r="BI78" s="160"/>
      <c r="BJ78" s="160"/>
      <c r="BK78" s="160"/>
      <c r="BL78" s="160"/>
      <c r="BM78" s="160"/>
      <c r="BN78" s="160"/>
      <c r="BO78" s="160"/>
      <c r="BP78" s="160"/>
      <c r="BQ78" s="160"/>
      <c r="BR78" s="160"/>
      <c r="BS78" s="160"/>
      <c r="BT78" s="160"/>
      <c r="BU78" s="160"/>
      <c r="BV78" s="160"/>
      <c r="BW78" s="160"/>
      <c r="BX78" s="160"/>
      <c r="BY78" s="160"/>
      <c r="BZ78" s="160"/>
      <c r="CA78" s="160"/>
      <c r="CB78" s="160"/>
      <c r="CC78" s="160"/>
      <c r="CD78" s="160"/>
      <c r="CE78" s="160"/>
      <c r="CF78" s="160"/>
      <c r="CG78" s="160"/>
      <c r="CH78" s="160"/>
      <c r="CI78" s="160"/>
      <c r="CJ78" s="160"/>
      <c r="CK78" s="160"/>
      <c r="CL78" s="160"/>
      <c r="CM78" s="160"/>
      <c r="CN78" s="160"/>
      <c r="CO78" s="160"/>
      <c r="CP78" s="160"/>
      <c r="CQ78" s="160"/>
      <c r="CR78" s="160"/>
      <c r="CS78" s="160"/>
      <c r="CT78" s="160"/>
      <c r="CU78" s="160"/>
      <c r="CV78" s="160"/>
      <c r="CW78" s="160"/>
      <c r="CX78" s="160"/>
      <c r="CY78" s="160"/>
      <c r="CZ78" s="160"/>
      <c r="DA78" s="160"/>
      <c r="DB78" s="160"/>
      <c r="DC78" s="160"/>
      <c r="DD78" s="160"/>
      <c r="DE78" s="160"/>
      <c r="DF78" s="160"/>
      <c r="DG78" s="160"/>
      <c r="DH78" s="160"/>
      <c r="DI78" s="160"/>
      <c r="DJ78" s="160"/>
      <c r="DK78" s="160"/>
      <c r="DL78" s="160"/>
      <c r="DM78" s="160"/>
      <c r="DN78" s="160"/>
      <c r="DO78" s="160"/>
      <c r="DP78" s="160"/>
      <c r="DQ78" s="160"/>
      <c r="DR78" s="160"/>
    </row>
    <row r="79" spans="2:122" ht="17.25" customHeight="1">
      <c r="B79" s="144" t="str">
        <f>IF(C74="East/West", "Feet - East Section", IF(C74="North/South", "Feet - South Section", "Select Force Direction"))</f>
        <v>Select Force Direction</v>
      </c>
      <c r="C79" s="171"/>
      <c r="D79" s="144" t="s">
        <v>324</v>
      </c>
      <c r="I79" s="162"/>
      <c r="J79" s="162"/>
      <c r="K79" s="170"/>
      <c r="L79" s="170"/>
      <c r="M79" s="170"/>
      <c r="N79" s="160"/>
      <c r="O79" s="160"/>
      <c r="P79" s="160"/>
      <c r="Q79" s="160"/>
      <c r="R79" s="160"/>
      <c r="S79" s="174"/>
      <c r="T79" s="170"/>
      <c r="U79" s="170"/>
      <c r="V79" s="170"/>
      <c r="W79" s="170"/>
      <c r="X79" s="174"/>
      <c r="Y79" s="170"/>
      <c r="Z79" s="170"/>
      <c r="AA79" s="170"/>
      <c r="AB79" s="17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c r="BH79" s="160"/>
      <c r="BI79" s="160"/>
      <c r="BJ79" s="160"/>
      <c r="BK79" s="160"/>
      <c r="BL79" s="160"/>
      <c r="BM79" s="160"/>
      <c r="BN79" s="160"/>
      <c r="BO79" s="160"/>
      <c r="BP79" s="160"/>
      <c r="BQ79" s="160"/>
      <c r="BR79" s="160"/>
      <c r="BS79" s="160"/>
      <c r="BT79" s="160"/>
      <c r="BU79" s="160"/>
      <c r="BV79" s="160"/>
      <c r="BW79" s="160"/>
      <c r="BX79" s="160"/>
      <c r="BY79" s="160"/>
      <c r="BZ79" s="160"/>
      <c r="CA79" s="160"/>
      <c r="CB79" s="160"/>
      <c r="CC79" s="160"/>
      <c r="CD79" s="160"/>
      <c r="CE79" s="160"/>
      <c r="CF79" s="160"/>
      <c r="CG79" s="160"/>
      <c r="CH79" s="160"/>
      <c r="CI79" s="160"/>
      <c r="CJ79" s="160"/>
      <c r="CK79" s="160"/>
      <c r="CL79" s="160"/>
      <c r="CM79" s="160"/>
      <c r="CN79" s="160"/>
      <c r="CO79" s="160"/>
      <c r="CP79" s="160"/>
      <c r="CQ79" s="160"/>
      <c r="CR79" s="160"/>
      <c r="CS79" s="160"/>
      <c r="CT79" s="160"/>
      <c r="CU79" s="160"/>
      <c r="CV79" s="160"/>
      <c r="CW79" s="160"/>
      <c r="CX79" s="160"/>
      <c r="CY79" s="160"/>
      <c r="CZ79" s="160"/>
      <c r="DA79" s="160"/>
      <c r="DB79" s="160"/>
      <c r="DC79" s="160"/>
      <c r="DD79" s="160"/>
      <c r="DE79" s="160"/>
      <c r="DF79" s="160"/>
      <c r="DG79" s="160"/>
      <c r="DH79" s="160"/>
      <c r="DI79" s="160"/>
      <c r="DJ79" s="160"/>
      <c r="DK79" s="160"/>
      <c r="DL79" s="160"/>
      <c r="DM79" s="160"/>
      <c r="DN79" s="160"/>
      <c r="DO79" s="160"/>
      <c r="DP79" s="160"/>
      <c r="DQ79" s="160"/>
      <c r="DR79" s="160"/>
    </row>
    <row r="80" spans="2:122" ht="17.25" customHeight="1">
      <c r="B80" s="144" t="s">
        <v>304</v>
      </c>
      <c r="C80" s="172">
        <f>IF(C76&lt;C78,C76*$C$30+C75*$C$27,C78*$C$30+C79*$C$27)</f>
        <v>0</v>
      </c>
      <c r="D80" s="144" t="s">
        <v>290</v>
      </c>
      <c r="I80" s="162"/>
      <c r="J80" s="162"/>
      <c r="K80" s="170"/>
      <c r="L80" s="170"/>
      <c r="M80" s="170"/>
      <c r="N80" s="160"/>
      <c r="O80" s="160"/>
      <c r="P80" s="160"/>
      <c r="Q80" s="160"/>
      <c r="R80" s="160"/>
      <c r="S80" s="174"/>
      <c r="T80" s="170"/>
      <c r="U80" s="170"/>
      <c r="V80" s="170"/>
      <c r="W80" s="170"/>
      <c r="X80" s="174"/>
      <c r="Y80" s="170"/>
      <c r="Z80" s="170"/>
      <c r="AA80" s="170"/>
      <c r="AB80" s="17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c r="BH80" s="160"/>
      <c r="BI80" s="160"/>
      <c r="BJ80" s="160"/>
      <c r="BK80" s="160"/>
      <c r="BL80" s="160"/>
      <c r="BM80" s="160"/>
      <c r="BN80" s="160"/>
      <c r="BO80" s="160"/>
      <c r="BP80" s="160"/>
      <c r="BQ80" s="160"/>
      <c r="BR80" s="160"/>
      <c r="BS80" s="160"/>
      <c r="BT80" s="160"/>
      <c r="BU80" s="160"/>
      <c r="BV80" s="160"/>
      <c r="BW80" s="160"/>
      <c r="BX80" s="160"/>
      <c r="BY80" s="160"/>
      <c r="BZ80" s="160"/>
      <c r="CA80" s="160"/>
      <c r="CB80" s="160"/>
      <c r="CC80" s="160"/>
      <c r="CD80" s="160"/>
      <c r="CE80" s="160"/>
      <c r="CF80" s="160"/>
      <c r="CG80" s="160"/>
      <c r="CH80" s="160"/>
      <c r="CI80" s="160"/>
      <c r="CJ80" s="160"/>
      <c r="CK80" s="160"/>
      <c r="CL80" s="160"/>
      <c r="CM80" s="160"/>
      <c r="CN80" s="160"/>
      <c r="CO80" s="160"/>
      <c r="CP80" s="160"/>
      <c r="CQ80" s="160"/>
      <c r="CR80" s="160"/>
      <c r="CS80" s="160"/>
      <c r="CT80" s="160"/>
      <c r="CU80" s="160"/>
      <c r="CV80" s="160"/>
      <c r="CW80" s="160"/>
      <c r="CX80" s="160"/>
      <c r="CY80" s="160"/>
      <c r="CZ80" s="160"/>
      <c r="DA80" s="160"/>
      <c r="DB80" s="160"/>
      <c r="DC80" s="160"/>
      <c r="DD80" s="160"/>
      <c r="DE80" s="160"/>
      <c r="DF80" s="160"/>
      <c r="DG80" s="160"/>
      <c r="DH80" s="160"/>
      <c r="DI80" s="160"/>
      <c r="DJ80" s="160"/>
      <c r="DK80" s="160"/>
      <c r="DL80" s="160"/>
      <c r="DM80" s="160"/>
      <c r="DN80" s="160"/>
      <c r="DO80" s="160"/>
      <c r="DP80" s="160"/>
      <c r="DQ80" s="160"/>
      <c r="DR80" s="160"/>
    </row>
    <row r="81" spans="2:122" ht="17.25" customHeight="1">
      <c r="B81" s="144" t="s">
        <v>305</v>
      </c>
      <c r="C81" s="172">
        <f>IF(0.133*C80*$C$9&gt;0.1*C80, 0.133*C80*$C$9, 0.1*C80)</f>
        <v>0</v>
      </c>
      <c r="D81" s="144" t="s">
        <v>290</v>
      </c>
      <c r="I81" s="162"/>
      <c r="J81" s="162"/>
      <c r="K81" s="170"/>
      <c r="L81" s="170"/>
      <c r="M81" s="170"/>
      <c r="N81" s="160"/>
      <c r="O81" s="160"/>
      <c r="P81" s="160"/>
      <c r="Q81" s="160"/>
      <c r="R81" s="160"/>
      <c r="S81" s="174"/>
      <c r="T81" s="170"/>
      <c r="U81" s="170"/>
      <c r="V81" s="170"/>
      <c r="W81" s="170"/>
      <c r="X81" s="174"/>
      <c r="Y81" s="170"/>
      <c r="Z81" s="170"/>
      <c r="AA81" s="170"/>
      <c r="AB81" s="17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c r="BH81" s="160"/>
      <c r="BI81" s="160"/>
      <c r="BJ81" s="160"/>
      <c r="BK81" s="160"/>
      <c r="BL81" s="160"/>
      <c r="BM81" s="160"/>
      <c r="BN81" s="160"/>
      <c r="BO81" s="160"/>
      <c r="BP81" s="160"/>
      <c r="BQ81" s="160"/>
      <c r="BR81" s="160"/>
      <c r="BS81" s="160"/>
      <c r="BT81" s="160"/>
      <c r="BU81" s="160"/>
      <c r="BV81" s="160"/>
      <c r="BW81" s="160"/>
      <c r="BX81" s="160"/>
      <c r="BY81" s="160"/>
      <c r="BZ81" s="160"/>
      <c r="CA81" s="160"/>
      <c r="CB81" s="160"/>
      <c r="CC81" s="160"/>
      <c r="CD81" s="160"/>
      <c r="CE81" s="160"/>
      <c r="CF81" s="160"/>
      <c r="CG81" s="160"/>
      <c r="CH81" s="160"/>
      <c r="CI81" s="160"/>
      <c r="CJ81" s="160"/>
      <c r="CK81" s="160"/>
      <c r="CL81" s="160"/>
      <c r="CM81" s="160"/>
      <c r="CN81" s="160"/>
      <c r="CO81" s="160"/>
      <c r="CP81" s="160"/>
      <c r="CQ81" s="160"/>
      <c r="CR81" s="160"/>
      <c r="CS81" s="160"/>
      <c r="CT81" s="160"/>
      <c r="CU81" s="160"/>
      <c r="CV81" s="160"/>
      <c r="CW81" s="160"/>
      <c r="CX81" s="160"/>
      <c r="CY81" s="160"/>
      <c r="CZ81" s="160"/>
      <c r="DA81" s="160"/>
      <c r="DB81" s="160"/>
      <c r="DC81" s="160"/>
      <c r="DD81" s="160"/>
      <c r="DE81" s="160"/>
      <c r="DF81" s="160"/>
      <c r="DG81" s="160"/>
      <c r="DH81" s="160"/>
      <c r="DI81" s="160"/>
      <c r="DJ81" s="160"/>
      <c r="DK81" s="160"/>
      <c r="DL81" s="160"/>
      <c r="DM81" s="160"/>
      <c r="DN81" s="160"/>
      <c r="DO81" s="160"/>
      <c r="DP81" s="160"/>
      <c r="DQ81" s="160"/>
      <c r="DR81" s="160"/>
    </row>
    <row r="82" spans="2:122" ht="17.25" customHeight="1">
      <c r="B82" s="144" t="s">
        <v>306</v>
      </c>
      <c r="C82" s="172" t="e">
        <f>C81/C77</f>
        <v>#DIV/0!</v>
      </c>
      <c r="D82" s="144" t="s">
        <v>290</v>
      </c>
      <c r="I82" s="162"/>
      <c r="J82" s="162"/>
      <c r="K82" s="170"/>
      <c r="L82" s="170"/>
      <c r="M82" s="170"/>
      <c r="N82" s="160"/>
      <c r="O82" s="160"/>
      <c r="P82" s="160"/>
      <c r="Q82" s="160"/>
      <c r="R82" s="160"/>
      <c r="S82" s="174"/>
      <c r="T82" s="170"/>
      <c r="U82" s="170"/>
      <c r="V82" s="170"/>
      <c r="W82" s="170"/>
      <c r="X82" s="174"/>
      <c r="Y82" s="170"/>
      <c r="Z82" s="170"/>
      <c r="AA82" s="170"/>
      <c r="AB82" s="17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c r="BH82" s="160"/>
      <c r="BI82" s="160"/>
      <c r="BJ82" s="160"/>
      <c r="BK82" s="160"/>
      <c r="BL82" s="160"/>
      <c r="BM82" s="160"/>
      <c r="BN82" s="160"/>
      <c r="BO82" s="160"/>
      <c r="BP82" s="160"/>
      <c r="BQ82" s="160"/>
      <c r="BR82" s="160"/>
      <c r="BS82" s="160"/>
      <c r="BT82" s="160"/>
      <c r="BU82" s="160"/>
      <c r="BV82" s="160"/>
      <c r="BW82" s="160"/>
      <c r="BX82" s="160"/>
      <c r="BY82" s="160"/>
      <c r="BZ82" s="160"/>
      <c r="CA82" s="160"/>
      <c r="CB82" s="160"/>
      <c r="CC82" s="160"/>
      <c r="CD82" s="160"/>
      <c r="CE82" s="160"/>
      <c r="CF82" s="160"/>
      <c r="CG82" s="160"/>
      <c r="CH82" s="160"/>
      <c r="CI82" s="160"/>
      <c r="CJ82" s="160"/>
      <c r="CK82" s="160"/>
      <c r="CL82" s="160"/>
      <c r="CM82" s="160"/>
      <c r="CN82" s="160"/>
      <c r="CO82" s="160"/>
      <c r="CP82" s="160"/>
      <c r="CQ82" s="160"/>
      <c r="CR82" s="160"/>
      <c r="CS82" s="160"/>
      <c r="CT82" s="160"/>
      <c r="CU82" s="160"/>
      <c r="CV82" s="160"/>
      <c r="CW82" s="160"/>
      <c r="CX82" s="160"/>
      <c r="CY82" s="160"/>
      <c r="CZ82" s="160"/>
      <c r="DA82" s="160"/>
      <c r="DB82" s="160"/>
      <c r="DC82" s="160"/>
      <c r="DD82" s="160"/>
      <c r="DE82" s="160"/>
      <c r="DF82" s="160"/>
      <c r="DG82" s="160"/>
      <c r="DH82" s="160"/>
      <c r="DI82" s="160"/>
      <c r="DJ82" s="160"/>
      <c r="DK82" s="160"/>
      <c r="DL82" s="160"/>
      <c r="DM82" s="160"/>
      <c r="DN82" s="160"/>
      <c r="DO82" s="160"/>
      <c r="DP82" s="160"/>
      <c r="DQ82" s="160"/>
      <c r="DR82" s="160"/>
    </row>
    <row r="83" spans="2:122" ht="17.25" customHeight="1">
      <c r="B83" s="144" t="s">
        <v>307</v>
      </c>
      <c r="C83" s="154" t="e">
        <f>IF(C74="EAST/WEST", IF($C$20&gt;=C82,"Pass","Fail"), IF($C$22&gt;=C82,"Pass", "Fail"))</f>
        <v>#DIV/0!</v>
      </c>
      <c r="I83" s="162"/>
      <c r="J83" s="162"/>
      <c r="K83" s="170"/>
      <c r="L83" s="170"/>
      <c r="M83" s="170"/>
      <c r="N83" s="160"/>
      <c r="O83" s="160"/>
      <c r="P83" s="160"/>
      <c r="Q83" s="160"/>
      <c r="R83" s="160"/>
      <c r="S83" s="174"/>
      <c r="T83" s="170"/>
      <c r="U83" s="170"/>
      <c r="V83" s="170"/>
      <c r="W83" s="170"/>
      <c r="X83" s="174"/>
      <c r="Y83" s="170"/>
      <c r="Z83" s="170"/>
      <c r="AA83" s="170"/>
      <c r="AB83" s="17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c r="BH83" s="160"/>
      <c r="BI83" s="160"/>
      <c r="BJ83" s="160"/>
      <c r="BK83" s="160"/>
      <c r="BL83" s="160"/>
      <c r="BM83" s="160"/>
      <c r="BN83" s="160"/>
      <c r="BO83" s="160"/>
      <c r="BP83" s="160"/>
      <c r="BQ83" s="160"/>
      <c r="BR83" s="160"/>
      <c r="BS83" s="160"/>
      <c r="BT83" s="160"/>
      <c r="BU83" s="160"/>
      <c r="BV83" s="160"/>
      <c r="BW83" s="160"/>
      <c r="BX83" s="160"/>
      <c r="BY83" s="160"/>
      <c r="BZ83" s="160"/>
      <c r="CA83" s="160"/>
      <c r="CB83" s="160"/>
      <c r="CC83" s="160"/>
      <c r="CD83" s="160"/>
      <c r="CE83" s="160"/>
      <c r="CF83" s="160"/>
      <c r="CG83" s="160"/>
      <c r="CH83" s="160"/>
      <c r="CI83" s="160"/>
      <c r="CJ83" s="160"/>
      <c r="CK83" s="160"/>
      <c r="CL83" s="160"/>
      <c r="CM83" s="160"/>
      <c r="CN83" s="160"/>
      <c r="CO83" s="160"/>
      <c r="CP83" s="160"/>
      <c r="CQ83" s="160"/>
      <c r="CR83" s="160"/>
      <c r="CS83" s="160"/>
      <c r="CT83" s="160"/>
      <c r="CU83" s="160"/>
      <c r="CV83" s="160"/>
      <c r="CW83" s="160"/>
      <c r="CX83" s="160"/>
      <c r="CY83" s="160"/>
      <c r="CZ83" s="160"/>
      <c r="DA83" s="160"/>
      <c r="DB83" s="160"/>
      <c r="DC83" s="160"/>
      <c r="DD83" s="160"/>
      <c r="DE83" s="160"/>
      <c r="DF83" s="160"/>
      <c r="DG83" s="160"/>
      <c r="DH83" s="160"/>
      <c r="DI83" s="160"/>
      <c r="DJ83" s="160"/>
      <c r="DK83" s="160"/>
      <c r="DL83" s="160"/>
      <c r="DM83" s="160"/>
      <c r="DN83" s="160"/>
      <c r="DO83" s="160"/>
      <c r="DP83" s="160"/>
      <c r="DQ83" s="160"/>
      <c r="DR83" s="160"/>
    </row>
    <row r="84" spans="2:122" ht="17.25" customHeight="1">
      <c r="B84" s="144" t="s">
        <v>308</v>
      </c>
      <c r="C84" s="172" t="e">
        <f>IF(C76&lt;C78,C76/C77,C78/C77)</f>
        <v>#DIV/0!</v>
      </c>
      <c r="D84" s="144" t="s">
        <v>309</v>
      </c>
      <c r="I84" s="162"/>
      <c r="J84" s="162"/>
      <c r="K84" s="170"/>
      <c r="L84" s="170"/>
      <c r="M84" s="170"/>
      <c r="N84" s="160"/>
      <c r="O84" s="160"/>
      <c r="P84" s="160"/>
      <c r="Q84" s="160"/>
      <c r="R84" s="160"/>
      <c r="S84" s="174"/>
      <c r="T84" s="170"/>
      <c r="U84" s="170"/>
      <c r="V84" s="170"/>
      <c r="W84" s="170"/>
      <c r="X84" s="174"/>
      <c r="Y84" s="170"/>
      <c r="Z84" s="170"/>
      <c r="AA84" s="170"/>
      <c r="AB84" s="17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c r="BH84" s="160"/>
      <c r="BI84" s="160"/>
      <c r="BJ84" s="160"/>
      <c r="BK84" s="160"/>
      <c r="BL84" s="160"/>
      <c r="BM84" s="160"/>
      <c r="BN84" s="160"/>
      <c r="BO84" s="160"/>
      <c r="BP84" s="160"/>
      <c r="BQ84" s="160"/>
      <c r="BR84" s="160"/>
      <c r="BS84" s="160"/>
      <c r="BT84" s="160"/>
      <c r="BU84" s="160"/>
      <c r="BV84" s="160"/>
      <c r="BW84" s="160"/>
      <c r="BX84" s="160"/>
      <c r="BY84" s="160"/>
      <c r="BZ84" s="160"/>
      <c r="CA84" s="160"/>
      <c r="CB84" s="160"/>
      <c r="CC84" s="160"/>
      <c r="CD84" s="160"/>
      <c r="CE84" s="160"/>
      <c r="CF84" s="160"/>
      <c r="CG84" s="160"/>
      <c r="CH84" s="160"/>
      <c r="CI84" s="160"/>
      <c r="CJ84" s="160"/>
      <c r="CK84" s="160"/>
      <c r="CL84" s="160"/>
      <c r="CM84" s="160"/>
      <c r="CN84" s="160"/>
      <c r="CO84" s="160"/>
      <c r="CP84" s="160"/>
      <c r="CQ84" s="160"/>
      <c r="CR84" s="160"/>
      <c r="CS84" s="160"/>
      <c r="CT84" s="160"/>
      <c r="CU84" s="160"/>
      <c r="CV84" s="160"/>
      <c r="CW84" s="160"/>
      <c r="CX84" s="160"/>
      <c r="CY84" s="160"/>
      <c r="CZ84" s="160"/>
      <c r="DA84" s="160"/>
      <c r="DB84" s="160"/>
      <c r="DC84" s="160"/>
      <c r="DD84" s="160"/>
      <c r="DE84" s="160"/>
      <c r="DF84" s="160"/>
      <c r="DG84" s="160"/>
      <c r="DH84" s="160"/>
      <c r="DI84" s="160"/>
      <c r="DJ84" s="160"/>
      <c r="DK84" s="160"/>
      <c r="DL84" s="160"/>
      <c r="DM84" s="160"/>
      <c r="DN84" s="160"/>
      <c r="DO84" s="160"/>
      <c r="DP84" s="160"/>
      <c r="DQ84" s="160"/>
      <c r="DR84" s="160"/>
    </row>
    <row r="85" spans="2:122" ht="17.25" customHeight="1">
      <c r="B85" s="159"/>
      <c r="C85" s="175"/>
      <c r="D85" s="159"/>
      <c r="I85" s="162"/>
      <c r="J85" s="162"/>
      <c r="K85" s="170"/>
      <c r="L85" s="170"/>
      <c r="M85" s="170"/>
      <c r="N85" s="160"/>
      <c r="O85" s="160"/>
      <c r="P85" s="160"/>
      <c r="Q85" s="160"/>
      <c r="R85" s="160"/>
      <c r="S85" s="174"/>
      <c r="T85" s="170"/>
      <c r="U85" s="170"/>
      <c r="V85" s="170"/>
      <c r="W85" s="170"/>
      <c r="X85" s="174"/>
      <c r="Y85" s="170"/>
      <c r="Z85" s="170"/>
      <c r="AA85" s="170"/>
      <c r="AB85" s="17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c r="BH85" s="160"/>
      <c r="BI85" s="160"/>
      <c r="BJ85" s="160"/>
      <c r="BK85" s="160"/>
      <c r="BL85" s="160"/>
      <c r="BM85" s="160"/>
      <c r="BN85" s="160"/>
      <c r="BO85" s="160"/>
      <c r="BP85" s="160"/>
      <c r="BQ85" s="160"/>
      <c r="BR85" s="160"/>
      <c r="BS85" s="160"/>
      <c r="BT85" s="160"/>
      <c r="BU85" s="160"/>
      <c r="BV85" s="160"/>
      <c r="BW85" s="160"/>
      <c r="BX85" s="160"/>
      <c r="BY85" s="160"/>
      <c r="BZ85" s="160"/>
      <c r="CA85" s="160"/>
      <c r="CB85" s="160"/>
      <c r="CC85" s="160"/>
      <c r="CD85" s="160"/>
      <c r="CE85" s="160"/>
      <c r="CF85" s="160"/>
      <c r="CG85" s="160"/>
      <c r="CH85" s="160"/>
      <c r="CI85" s="160"/>
      <c r="CJ85" s="160"/>
      <c r="CK85" s="160"/>
      <c r="CL85" s="160"/>
      <c r="CM85" s="160"/>
      <c r="CN85" s="160"/>
      <c r="CO85" s="160"/>
      <c r="CP85" s="160"/>
      <c r="CQ85" s="160"/>
      <c r="CR85" s="160"/>
      <c r="CS85" s="160"/>
      <c r="CT85" s="160"/>
      <c r="CU85" s="160"/>
      <c r="CV85" s="160"/>
      <c r="CW85" s="160"/>
      <c r="CX85" s="160"/>
      <c r="CY85" s="160"/>
      <c r="CZ85" s="160"/>
      <c r="DA85" s="160"/>
      <c r="DB85" s="160"/>
      <c r="DC85" s="160"/>
      <c r="DD85" s="160"/>
      <c r="DE85" s="160"/>
      <c r="DF85" s="160"/>
      <c r="DG85" s="160"/>
      <c r="DH85" s="160"/>
      <c r="DI85" s="160"/>
      <c r="DJ85" s="160"/>
      <c r="DK85" s="160"/>
      <c r="DL85" s="160"/>
      <c r="DM85" s="160"/>
      <c r="DN85" s="160"/>
      <c r="DO85" s="160"/>
      <c r="DP85" s="160"/>
      <c r="DQ85" s="160"/>
      <c r="DR85" s="160"/>
    </row>
    <row r="86" spans="2:122" ht="17.25" customHeight="1">
      <c r="B86" s="167" t="s">
        <v>299</v>
      </c>
      <c r="C86" s="168"/>
      <c r="D86" s="166"/>
      <c r="I86" s="162"/>
      <c r="J86" s="162"/>
      <c r="K86" s="170"/>
      <c r="L86" s="170"/>
      <c r="M86" s="170"/>
      <c r="N86" s="160"/>
      <c r="O86" s="160"/>
      <c r="P86" s="160"/>
      <c r="Q86" s="160"/>
      <c r="R86" s="160"/>
      <c r="S86" s="174"/>
      <c r="T86" s="170"/>
      <c r="U86" s="170"/>
      <c r="V86" s="170"/>
      <c r="W86" s="170"/>
      <c r="X86" s="174"/>
      <c r="Y86" s="170"/>
      <c r="Z86" s="170"/>
      <c r="AA86" s="170"/>
      <c r="AB86" s="17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c r="BH86" s="160"/>
      <c r="BI86" s="160"/>
      <c r="BJ86" s="160"/>
      <c r="BK86" s="160"/>
      <c r="BL86" s="160"/>
      <c r="BM86" s="160"/>
      <c r="BN86" s="160"/>
      <c r="BO86" s="160"/>
      <c r="BP86" s="160"/>
      <c r="BQ86" s="160"/>
      <c r="BR86" s="160"/>
      <c r="BS86" s="160"/>
      <c r="BT86" s="160"/>
      <c r="BU86" s="160"/>
      <c r="BV86" s="160"/>
      <c r="BW86" s="160"/>
      <c r="BX86" s="160"/>
      <c r="BY86" s="160"/>
      <c r="BZ86" s="160"/>
      <c r="CA86" s="160"/>
      <c r="CB86" s="160"/>
      <c r="CC86" s="160"/>
      <c r="CD86" s="160"/>
      <c r="CE86" s="160"/>
      <c r="CF86" s="160"/>
      <c r="CG86" s="160"/>
      <c r="CH86" s="160"/>
      <c r="CI86" s="160"/>
      <c r="CJ86" s="160"/>
      <c r="CK86" s="160"/>
      <c r="CL86" s="160"/>
      <c r="CM86" s="160"/>
      <c r="CN86" s="160"/>
      <c r="CO86" s="160"/>
      <c r="CP86" s="160"/>
      <c r="CQ86" s="160"/>
      <c r="CR86" s="160"/>
      <c r="CS86" s="160"/>
      <c r="CT86" s="160"/>
      <c r="CU86" s="160"/>
      <c r="CV86" s="160"/>
      <c r="CW86" s="160"/>
      <c r="CX86" s="160"/>
      <c r="CY86" s="160"/>
      <c r="CZ86" s="160"/>
      <c r="DA86" s="160"/>
      <c r="DB86" s="160"/>
      <c r="DC86" s="160"/>
      <c r="DD86" s="160"/>
      <c r="DE86" s="160"/>
      <c r="DF86" s="160"/>
      <c r="DG86" s="160"/>
      <c r="DH86" s="160"/>
      <c r="DI86" s="160"/>
      <c r="DJ86" s="160"/>
      <c r="DK86" s="160"/>
      <c r="DL86" s="160"/>
      <c r="DM86" s="160"/>
      <c r="DN86" s="160"/>
      <c r="DO86" s="160"/>
      <c r="DP86" s="160"/>
      <c r="DQ86" s="160"/>
      <c r="DR86" s="160"/>
    </row>
    <row r="87" spans="2:122" ht="17.25" customHeight="1">
      <c r="B87" s="167" t="s">
        <v>301</v>
      </c>
      <c r="C87" s="168" t="s">
        <v>302</v>
      </c>
      <c r="D87" s="166"/>
      <c r="I87" s="162"/>
      <c r="J87" s="162"/>
      <c r="K87" s="170"/>
      <c r="L87" s="170"/>
      <c r="M87" s="170"/>
      <c r="N87" s="174"/>
      <c r="O87" s="160"/>
      <c r="P87" s="160"/>
      <c r="Q87" s="160"/>
      <c r="R87" s="160"/>
      <c r="S87" s="174"/>
      <c r="T87" s="170"/>
      <c r="U87" s="170"/>
      <c r="V87" s="170"/>
      <c r="W87" s="170"/>
      <c r="X87" s="174"/>
      <c r="Y87" s="170"/>
      <c r="Z87" s="170"/>
      <c r="AA87" s="170"/>
      <c r="AB87" s="17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c r="BH87" s="160"/>
      <c r="BI87" s="160"/>
      <c r="BJ87" s="160"/>
      <c r="BK87" s="160"/>
      <c r="BL87" s="160"/>
      <c r="BM87" s="160"/>
      <c r="BN87" s="160"/>
      <c r="BO87" s="160"/>
      <c r="BP87" s="160"/>
      <c r="BQ87" s="160"/>
      <c r="BR87" s="160"/>
      <c r="BS87" s="160"/>
      <c r="BT87" s="160"/>
      <c r="BU87" s="160"/>
      <c r="BV87" s="160"/>
      <c r="BW87" s="160"/>
      <c r="BX87" s="160"/>
      <c r="BY87" s="160"/>
      <c r="BZ87" s="160"/>
      <c r="CA87" s="160"/>
      <c r="CB87" s="160"/>
      <c r="CC87" s="160"/>
      <c r="CD87" s="160"/>
      <c r="CE87" s="160"/>
      <c r="CF87" s="160"/>
      <c r="CG87" s="160"/>
      <c r="CH87" s="160"/>
      <c r="CI87" s="160"/>
      <c r="CJ87" s="160"/>
      <c r="CK87" s="160"/>
      <c r="CL87" s="160"/>
      <c r="CM87" s="160"/>
      <c r="CN87" s="160"/>
      <c r="CO87" s="160"/>
      <c r="CP87" s="160"/>
      <c r="CQ87" s="160"/>
      <c r="CR87" s="160"/>
      <c r="CS87" s="160"/>
      <c r="CT87" s="160"/>
      <c r="CU87" s="160"/>
      <c r="CV87" s="160"/>
      <c r="CW87" s="160"/>
      <c r="CX87" s="160"/>
      <c r="CY87" s="160"/>
      <c r="CZ87" s="160"/>
      <c r="DA87" s="160"/>
      <c r="DB87" s="160"/>
      <c r="DC87" s="160"/>
      <c r="DD87" s="160"/>
      <c r="DE87" s="160"/>
      <c r="DF87" s="160"/>
      <c r="DG87" s="160"/>
      <c r="DH87" s="160"/>
      <c r="DI87" s="160"/>
      <c r="DJ87" s="160"/>
      <c r="DK87" s="160"/>
      <c r="DL87" s="160"/>
      <c r="DM87" s="160"/>
      <c r="DN87" s="160"/>
      <c r="DO87" s="160"/>
      <c r="DP87" s="160"/>
      <c r="DQ87" s="160"/>
      <c r="DR87" s="160"/>
    </row>
    <row r="88" spans="2:122" ht="17.25" customHeight="1">
      <c r="B88" s="144" t="str">
        <f>IF(C87="East/West", "Feet - West Section", IF(C87="North/South", "Feet - North Section", "Select Force Direction"))</f>
        <v>Select Force Direction</v>
      </c>
      <c r="C88" s="171"/>
      <c r="D88" s="144" t="s">
        <v>324</v>
      </c>
      <c r="I88" s="162"/>
      <c r="J88" s="162"/>
      <c r="K88" s="170"/>
      <c r="L88" s="170"/>
      <c r="M88" s="170"/>
      <c r="N88" s="160"/>
      <c r="O88" s="160"/>
      <c r="P88" s="160"/>
      <c r="Q88" s="160"/>
      <c r="R88" s="160"/>
      <c r="S88" s="174"/>
      <c r="T88" s="170"/>
      <c r="U88" s="170"/>
      <c r="V88" s="170"/>
      <c r="W88" s="170"/>
      <c r="X88" s="174"/>
      <c r="Y88" s="170"/>
      <c r="Z88" s="170"/>
      <c r="AA88" s="170"/>
      <c r="AB88" s="17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c r="BH88" s="160"/>
      <c r="BI88" s="160"/>
      <c r="BJ88" s="160"/>
      <c r="BK88" s="160"/>
      <c r="BL88" s="160"/>
      <c r="BM88" s="160"/>
      <c r="BN88" s="160"/>
      <c r="BO88" s="160"/>
      <c r="BP88" s="160"/>
      <c r="BQ88" s="160"/>
      <c r="BR88" s="160"/>
      <c r="BS88" s="160"/>
      <c r="BT88" s="160"/>
      <c r="BU88" s="160"/>
      <c r="BV88" s="160"/>
      <c r="BW88" s="160"/>
      <c r="BX88" s="160"/>
      <c r="BY88" s="160"/>
      <c r="BZ88" s="160"/>
      <c r="CA88" s="160"/>
      <c r="CB88" s="160"/>
      <c r="CC88" s="160"/>
      <c r="CD88" s="160"/>
      <c r="CE88" s="160"/>
      <c r="CF88" s="160"/>
      <c r="CG88" s="160"/>
      <c r="CH88" s="160"/>
      <c r="CI88" s="160"/>
      <c r="CJ88" s="160"/>
      <c r="CK88" s="160"/>
      <c r="CL88" s="160"/>
      <c r="CM88" s="160"/>
      <c r="CN88" s="160"/>
      <c r="CO88" s="160"/>
      <c r="CP88" s="160"/>
      <c r="CQ88" s="160"/>
      <c r="CR88" s="160"/>
      <c r="CS88" s="160"/>
      <c r="CT88" s="160"/>
      <c r="CU88" s="160"/>
      <c r="CV88" s="160"/>
      <c r="CW88" s="160"/>
      <c r="CX88" s="160"/>
      <c r="CY88" s="160"/>
      <c r="CZ88" s="160"/>
      <c r="DA88" s="160"/>
      <c r="DB88" s="160"/>
      <c r="DC88" s="160"/>
      <c r="DD88" s="160"/>
      <c r="DE88" s="160"/>
      <c r="DF88" s="160"/>
      <c r="DG88" s="160"/>
      <c r="DH88" s="160"/>
      <c r="DI88" s="160"/>
      <c r="DJ88" s="160"/>
      <c r="DK88" s="160"/>
      <c r="DL88" s="160"/>
      <c r="DM88" s="160"/>
      <c r="DN88" s="160"/>
      <c r="DO88" s="160"/>
      <c r="DP88" s="160"/>
      <c r="DQ88" s="160"/>
      <c r="DR88" s="160"/>
    </row>
    <row r="89" spans="2:122" ht="17.25" customHeight="1">
      <c r="B89" s="144" t="str">
        <f>IF(C87="East/West", "Modules - West Section", IF(C87="North/South", "Modules - North Section", "Select Force Direction"))</f>
        <v>Select Force Direction</v>
      </c>
      <c r="C89" s="171"/>
      <c r="D89" s="144" t="s">
        <v>297</v>
      </c>
      <c r="I89" s="162"/>
      <c r="J89" s="162"/>
      <c r="K89" s="170"/>
      <c r="L89" s="170"/>
      <c r="M89" s="170"/>
      <c r="N89" s="174"/>
      <c r="O89" s="160"/>
      <c r="P89" s="160"/>
      <c r="Q89" s="160"/>
      <c r="R89" s="160"/>
      <c r="S89" s="174"/>
      <c r="T89" s="170"/>
      <c r="U89" s="170"/>
      <c r="V89" s="170"/>
      <c r="W89" s="170"/>
      <c r="X89" s="174"/>
      <c r="Y89" s="170"/>
      <c r="Z89" s="170"/>
      <c r="AA89" s="170"/>
      <c r="AB89" s="17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c r="BH89" s="160"/>
      <c r="BI89" s="160"/>
      <c r="BJ89" s="160"/>
      <c r="BK89" s="160"/>
      <c r="BL89" s="160"/>
      <c r="BM89" s="160"/>
      <c r="BN89" s="160"/>
      <c r="BO89" s="160"/>
      <c r="BP89" s="160"/>
      <c r="BQ89" s="160"/>
      <c r="BR89" s="160"/>
      <c r="BS89" s="160"/>
      <c r="BT89" s="160"/>
      <c r="BU89" s="160"/>
      <c r="BV89" s="160"/>
      <c r="BW89" s="160"/>
      <c r="BX89" s="160"/>
      <c r="BY89" s="160"/>
      <c r="BZ89" s="160"/>
      <c r="CA89" s="160"/>
      <c r="CB89" s="160"/>
      <c r="CC89" s="160"/>
      <c r="CD89" s="160"/>
      <c r="CE89" s="160"/>
      <c r="CF89" s="160"/>
      <c r="CG89" s="160"/>
      <c r="CH89" s="160"/>
      <c r="CI89" s="160"/>
      <c r="CJ89" s="160"/>
      <c r="CK89" s="160"/>
      <c r="CL89" s="160"/>
      <c r="CM89" s="160"/>
      <c r="CN89" s="160"/>
      <c r="CO89" s="160"/>
      <c r="CP89" s="160"/>
      <c r="CQ89" s="160"/>
      <c r="CR89" s="160"/>
      <c r="CS89" s="160"/>
      <c r="CT89" s="160"/>
      <c r="CU89" s="160"/>
      <c r="CV89" s="160"/>
      <c r="CW89" s="160"/>
      <c r="CX89" s="160"/>
      <c r="CY89" s="160"/>
      <c r="CZ89" s="160"/>
      <c r="DA89" s="160"/>
      <c r="DB89" s="160"/>
      <c r="DC89" s="160"/>
      <c r="DD89" s="160"/>
      <c r="DE89" s="160"/>
      <c r="DF89" s="160"/>
      <c r="DG89" s="160"/>
      <c r="DH89" s="160"/>
      <c r="DI89" s="160"/>
      <c r="DJ89" s="160"/>
      <c r="DK89" s="160"/>
      <c r="DL89" s="160"/>
      <c r="DM89" s="160"/>
      <c r="DN89" s="160"/>
      <c r="DO89" s="160"/>
      <c r="DP89" s="160"/>
      <c r="DQ89" s="160"/>
      <c r="DR89" s="160"/>
    </row>
    <row r="90" spans="2:122" ht="17.25" customHeight="1">
      <c r="B90" s="144" t="s">
        <v>303</v>
      </c>
      <c r="C90" s="171"/>
      <c r="D90" s="144" t="s">
        <v>297</v>
      </c>
      <c r="I90" s="162"/>
      <c r="J90" s="162"/>
      <c r="K90" s="170"/>
      <c r="L90" s="170"/>
      <c r="M90" s="170"/>
      <c r="N90" s="176"/>
      <c r="O90" s="160"/>
      <c r="P90" s="160"/>
      <c r="Q90" s="160"/>
      <c r="R90" s="160"/>
      <c r="S90" s="174"/>
      <c r="T90" s="170"/>
      <c r="U90" s="170"/>
      <c r="V90" s="170"/>
      <c r="W90" s="170"/>
      <c r="X90" s="174"/>
      <c r="Y90" s="170"/>
      <c r="Z90" s="170"/>
      <c r="AA90" s="170"/>
      <c r="AB90" s="17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c r="BH90" s="160"/>
      <c r="BI90" s="160"/>
      <c r="BJ90" s="160"/>
      <c r="BK90" s="160"/>
      <c r="BL90" s="160"/>
      <c r="BM90" s="160"/>
      <c r="BN90" s="160"/>
      <c r="BO90" s="160"/>
      <c r="BP90" s="160"/>
      <c r="BQ90" s="160"/>
      <c r="BR90" s="160"/>
      <c r="BS90" s="160"/>
      <c r="BT90" s="160"/>
      <c r="BU90" s="160"/>
      <c r="BV90" s="160"/>
      <c r="BW90" s="160"/>
      <c r="BX90" s="160"/>
      <c r="BY90" s="160"/>
      <c r="BZ90" s="160"/>
      <c r="CA90" s="160"/>
      <c r="CB90" s="160"/>
      <c r="CC90" s="160"/>
      <c r="CD90" s="160"/>
      <c r="CE90" s="160"/>
      <c r="CF90" s="160"/>
      <c r="CG90" s="160"/>
      <c r="CH90" s="160"/>
      <c r="CI90" s="160"/>
      <c r="CJ90" s="160"/>
      <c r="CK90" s="160"/>
      <c r="CL90" s="160"/>
      <c r="CM90" s="160"/>
      <c r="CN90" s="160"/>
      <c r="CO90" s="160"/>
      <c r="CP90" s="160"/>
      <c r="CQ90" s="160"/>
      <c r="CR90" s="160"/>
      <c r="CS90" s="160"/>
      <c r="CT90" s="160"/>
      <c r="CU90" s="160"/>
      <c r="CV90" s="160"/>
      <c r="CW90" s="160"/>
      <c r="CX90" s="160"/>
      <c r="CY90" s="160"/>
      <c r="CZ90" s="160"/>
      <c r="DA90" s="160"/>
      <c r="DB90" s="160"/>
      <c r="DC90" s="160"/>
      <c r="DD90" s="160"/>
      <c r="DE90" s="160"/>
      <c r="DF90" s="160"/>
      <c r="DG90" s="160"/>
      <c r="DH90" s="160"/>
      <c r="DI90" s="160"/>
      <c r="DJ90" s="160"/>
      <c r="DK90" s="160"/>
      <c r="DL90" s="160"/>
      <c r="DM90" s="160"/>
      <c r="DN90" s="160"/>
      <c r="DO90" s="160"/>
      <c r="DP90" s="160"/>
      <c r="DQ90" s="160"/>
      <c r="DR90" s="160"/>
    </row>
    <row r="91" spans="2:122" ht="17.25" customHeight="1">
      <c r="B91" s="144" t="str">
        <f>IF(C87="East/West", "Modules - East Section", IF(C87="North/South", "Modules - South Section", "Select Force Direction"))</f>
        <v>Select Force Direction</v>
      </c>
      <c r="C91" s="171"/>
      <c r="D91" s="144" t="s">
        <v>297</v>
      </c>
      <c r="I91" s="162"/>
      <c r="J91" s="162"/>
      <c r="K91" s="170"/>
      <c r="L91" s="170"/>
      <c r="M91" s="170"/>
      <c r="N91" s="160"/>
      <c r="O91" s="160"/>
      <c r="P91" s="160"/>
      <c r="Q91" s="160"/>
      <c r="R91" s="160"/>
      <c r="S91" s="174"/>
      <c r="T91" s="170"/>
      <c r="U91" s="170"/>
      <c r="V91" s="170"/>
      <c r="W91" s="170"/>
      <c r="X91" s="174"/>
      <c r="Y91" s="170"/>
      <c r="Z91" s="170"/>
      <c r="AA91" s="170"/>
      <c r="AB91" s="17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c r="BH91" s="160"/>
      <c r="BI91" s="160"/>
      <c r="BJ91" s="160"/>
      <c r="BK91" s="160"/>
      <c r="BL91" s="160"/>
      <c r="BM91" s="160"/>
      <c r="BN91" s="160"/>
      <c r="BO91" s="160"/>
      <c r="BP91" s="160"/>
      <c r="BQ91" s="160"/>
      <c r="BR91" s="160"/>
      <c r="BS91" s="160"/>
      <c r="BT91" s="160"/>
      <c r="BU91" s="160"/>
      <c r="BV91" s="160"/>
      <c r="BW91" s="160"/>
      <c r="BX91" s="160"/>
      <c r="BY91" s="160"/>
      <c r="BZ91" s="160"/>
      <c r="CA91" s="160"/>
      <c r="CB91" s="160"/>
      <c r="CC91" s="160"/>
      <c r="CD91" s="160"/>
      <c r="CE91" s="160"/>
      <c r="CF91" s="160"/>
      <c r="CG91" s="160"/>
      <c r="CH91" s="160"/>
      <c r="CI91" s="160"/>
      <c r="CJ91" s="160"/>
      <c r="CK91" s="160"/>
      <c r="CL91" s="160"/>
      <c r="CM91" s="160"/>
      <c r="CN91" s="160"/>
      <c r="CO91" s="160"/>
      <c r="CP91" s="160"/>
      <c r="CQ91" s="160"/>
      <c r="CR91" s="160"/>
      <c r="CS91" s="160"/>
      <c r="CT91" s="160"/>
      <c r="CU91" s="160"/>
      <c r="CV91" s="160"/>
      <c r="CW91" s="160"/>
      <c r="CX91" s="160"/>
      <c r="CY91" s="160"/>
      <c r="CZ91" s="160"/>
      <c r="DA91" s="160"/>
      <c r="DB91" s="160"/>
      <c r="DC91" s="160"/>
      <c r="DD91" s="160"/>
      <c r="DE91" s="160"/>
      <c r="DF91" s="160"/>
      <c r="DG91" s="160"/>
      <c r="DH91" s="160"/>
      <c r="DI91" s="160"/>
      <c r="DJ91" s="160"/>
      <c r="DK91" s="160"/>
      <c r="DL91" s="160"/>
      <c r="DM91" s="160"/>
      <c r="DN91" s="160"/>
      <c r="DO91" s="160"/>
      <c r="DP91" s="160"/>
      <c r="DQ91" s="160"/>
      <c r="DR91" s="160"/>
    </row>
    <row r="92" spans="2:122" ht="17.25" customHeight="1">
      <c r="B92" s="144" t="str">
        <f>IF(C87="East/West", "Feet - East Section", IF(C87="North/South", "Feet - South Section", "Select Force Direction"))</f>
        <v>Select Force Direction</v>
      </c>
      <c r="C92" s="171"/>
      <c r="D92" s="144" t="s">
        <v>324</v>
      </c>
      <c r="I92" s="162"/>
      <c r="J92" s="162"/>
      <c r="K92" s="170"/>
      <c r="L92" s="170"/>
      <c r="M92" s="170"/>
      <c r="N92" s="160"/>
      <c r="O92" s="160"/>
      <c r="P92" s="160"/>
      <c r="Q92" s="160"/>
      <c r="R92" s="160"/>
      <c r="S92" s="174"/>
      <c r="T92" s="170"/>
      <c r="U92" s="170"/>
      <c r="V92" s="170"/>
      <c r="W92" s="170"/>
      <c r="X92" s="174"/>
      <c r="Y92" s="170"/>
      <c r="Z92" s="170"/>
      <c r="AA92" s="170"/>
      <c r="AB92" s="17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c r="BH92" s="160"/>
      <c r="BI92" s="160"/>
      <c r="BJ92" s="160"/>
      <c r="BK92" s="160"/>
      <c r="BL92" s="160"/>
      <c r="BM92" s="160"/>
      <c r="BN92" s="160"/>
      <c r="BO92" s="160"/>
      <c r="BP92" s="160"/>
      <c r="BQ92" s="160"/>
      <c r="BR92" s="160"/>
      <c r="BS92" s="160"/>
      <c r="BT92" s="160"/>
      <c r="BU92" s="160"/>
      <c r="BV92" s="160"/>
      <c r="BW92" s="160"/>
      <c r="BX92" s="160"/>
      <c r="BY92" s="160"/>
      <c r="BZ92" s="160"/>
      <c r="CA92" s="160"/>
      <c r="CB92" s="160"/>
      <c r="CC92" s="160"/>
      <c r="CD92" s="160"/>
      <c r="CE92" s="160"/>
      <c r="CF92" s="160"/>
      <c r="CG92" s="160"/>
      <c r="CH92" s="160"/>
      <c r="CI92" s="160"/>
      <c r="CJ92" s="160"/>
      <c r="CK92" s="160"/>
      <c r="CL92" s="160"/>
      <c r="CM92" s="160"/>
      <c r="CN92" s="160"/>
      <c r="CO92" s="160"/>
      <c r="CP92" s="160"/>
      <c r="CQ92" s="160"/>
      <c r="CR92" s="160"/>
      <c r="CS92" s="160"/>
      <c r="CT92" s="160"/>
      <c r="CU92" s="160"/>
      <c r="CV92" s="160"/>
      <c r="CW92" s="160"/>
      <c r="CX92" s="160"/>
      <c r="CY92" s="160"/>
      <c r="CZ92" s="160"/>
      <c r="DA92" s="160"/>
      <c r="DB92" s="160"/>
      <c r="DC92" s="160"/>
      <c r="DD92" s="160"/>
      <c r="DE92" s="160"/>
      <c r="DF92" s="160"/>
      <c r="DG92" s="160"/>
      <c r="DH92" s="160"/>
      <c r="DI92" s="160"/>
      <c r="DJ92" s="160"/>
      <c r="DK92" s="160"/>
      <c r="DL92" s="160"/>
      <c r="DM92" s="160"/>
      <c r="DN92" s="160"/>
      <c r="DO92" s="160"/>
      <c r="DP92" s="160"/>
      <c r="DQ92" s="160"/>
      <c r="DR92" s="160"/>
    </row>
    <row r="93" spans="2:122" ht="17.25" customHeight="1">
      <c r="B93" s="144" t="s">
        <v>304</v>
      </c>
      <c r="C93" s="172">
        <f>IF(C89&lt;C91,C89*$C$30+C88*$C$27,C91*$C$30+C92*$C$27)</f>
        <v>0</v>
      </c>
      <c r="D93" s="144" t="s">
        <v>290</v>
      </c>
      <c r="I93" s="162"/>
      <c r="J93" s="162"/>
      <c r="K93" s="170"/>
      <c r="L93" s="170"/>
      <c r="M93" s="170"/>
      <c r="N93" s="160"/>
      <c r="O93" s="160"/>
      <c r="P93" s="160"/>
      <c r="Q93" s="160"/>
      <c r="R93" s="160"/>
      <c r="S93" s="174"/>
      <c r="T93" s="170"/>
      <c r="U93" s="170"/>
      <c r="V93" s="170"/>
      <c r="W93" s="170"/>
      <c r="X93" s="174"/>
      <c r="Y93" s="170"/>
      <c r="Z93" s="170"/>
      <c r="AA93" s="170"/>
      <c r="AB93" s="17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c r="BH93" s="160"/>
      <c r="BI93" s="160"/>
      <c r="BJ93" s="160"/>
      <c r="BK93" s="160"/>
      <c r="BL93" s="160"/>
      <c r="BM93" s="160"/>
      <c r="BN93" s="160"/>
      <c r="BO93" s="160"/>
      <c r="BP93" s="160"/>
      <c r="BQ93" s="160"/>
      <c r="BR93" s="160"/>
      <c r="BS93" s="160"/>
      <c r="BT93" s="160"/>
      <c r="BU93" s="160"/>
      <c r="BV93" s="160"/>
      <c r="BW93" s="160"/>
      <c r="BX93" s="160"/>
      <c r="BY93" s="160"/>
      <c r="BZ93" s="160"/>
      <c r="CA93" s="160"/>
      <c r="CB93" s="160"/>
      <c r="CC93" s="160"/>
      <c r="CD93" s="160"/>
      <c r="CE93" s="160"/>
      <c r="CF93" s="160"/>
      <c r="CG93" s="160"/>
      <c r="CH93" s="160"/>
      <c r="CI93" s="160"/>
      <c r="CJ93" s="160"/>
      <c r="CK93" s="160"/>
      <c r="CL93" s="160"/>
      <c r="CM93" s="160"/>
      <c r="CN93" s="160"/>
      <c r="CO93" s="160"/>
      <c r="CP93" s="160"/>
      <c r="CQ93" s="160"/>
      <c r="CR93" s="160"/>
      <c r="CS93" s="160"/>
      <c r="CT93" s="160"/>
      <c r="CU93" s="160"/>
      <c r="CV93" s="160"/>
      <c r="CW93" s="160"/>
      <c r="CX93" s="160"/>
      <c r="CY93" s="160"/>
      <c r="CZ93" s="160"/>
      <c r="DA93" s="160"/>
      <c r="DB93" s="160"/>
      <c r="DC93" s="160"/>
      <c r="DD93" s="160"/>
      <c r="DE93" s="160"/>
      <c r="DF93" s="160"/>
      <c r="DG93" s="160"/>
      <c r="DH93" s="160"/>
      <c r="DI93" s="160"/>
      <c r="DJ93" s="160"/>
      <c r="DK93" s="160"/>
      <c r="DL93" s="160"/>
      <c r="DM93" s="160"/>
      <c r="DN93" s="160"/>
      <c r="DO93" s="160"/>
      <c r="DP93" s="160"/>
      <c r="DQ93" s="160"/>
      <c r="DR93" s="160"/>
    </row>
    <row r="94" spans="2:122" ht="17.25" customHeight="1">
      <c r="B94" s="144" t="s">
        <v>305</v>
      </c>
      <c r="C94" s="172">
        <f>IF(0.133*C93*$C$9&gt;0.1*C93, 0.133*C93*$C$9, 0.1*C93)</f>
        <v>0</v>
      </c>
      <c r="D94" s="144" t="s">
        <v>290</v>
      </c>
      <c r="I94" s="162"/>
      <c r="J94" s="162"/>
      <c r="K94" s="170"/>
      <c r="L94" s="170"/>
      <c r="M94" s="170"/>
      <c r="N94" s="160"/>
      <c r="O94" s="160"/>
      <c r="P94" s="160"/>
      <c r="Q94" s="160"/>
      <c r="R94" s="160"/>
      <c r="S94" s="174"/>
      <c r="T94" s="170"/>
      <c r="U94" s="170"/>
      <c r="V94" s="170"/>
      <c r="W94" s="170"/>
      <c r="X94" s="174"/>
      <c r="Y94" s="170"/>
      <c r="Z94" s="170"/>
      <c r="AA94" s="170"/>
      <c r="AB94" s="17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c r="BH94" s="160"/>
      <c r="BI94" s="160"/>
      <c r="BJ94" s="160"/>
      <c r="BK94" s="160"/>
      <c r="BL94" s="160"/>
      <c r="BM94" s="160"/>
      <c r="BN94" s="160"/>
      <c r="BO94" s="160"/>
      <c r="BP94" s="160"/>
      <c r="BQ94" s="160"/>
      <c r="BR94" s="160"/>
      <c r="BS94" s="160"/>
      <c r="BT94" s="160"/>
      <c r="BU94" s="160"/>
      <c r="BV94" s="160"/>
      <c r="BW94" s="160"/>
      <c r="BX94" s="160"/>
      <c r="BY94" s="160"/>
      <c r="BZ94" s="160"/>
      <c r="CA94" s="160"/>
      <c r="CB94" s="160"/>
      <c r="CC94" s="160"/>
      <c r="CD94" s="160"/>
      <c r="CE94" s="160"/>
      <c r="CF94" s="160"/>
      <c r="CG94" s="160"/>
      <c r="CH94" s="160"/>
      <c r="CI94" s="160"/>
      <c r="CJ94" s="160"/>
      <c r="CK94" s="160"/>
      <c r="CL94" s="160"/>
      <c r="CM94" s="160"/>
      <c r="CN94" s="160"/>
      <c r="CO94" s="160"/>
      <c r="CP94" s="160"/>
      <c r="CQ94" s="160"/>
      <c r="CR94" s="160"/>
      <c r="CS94" s="160"/>
      <c r="CT94" s="160"/>
      <c r="CU94" s="160"/>
      <c r="CV94" s="160"/>
      <c r="CW94" s="160"/>
      <c r="CX94" s="160"/>
      <c r="CY94" s="160"/>
      <c r="CZ94" s="160"/>
      <c r="DA94" s="160"/>
      <c r="DB94" s="160"/>
      <c r="DC94" s="160"/>
      <c r="DD94" s="160"/>
      <c r="DE94" s="160"/>
      <c r="DF94" s="160"/>
      <c r="DG94" s="160"/>
      <c r="DH94" s="160"/>
      <c r="DI94" s="160"/>
      <c r="DJ94" s="160"/>
      <c r="DK94" s="160"/>
      <c r="DL94" s="160"/>
      <c r="DM94" s="160"/>
      <c r="DN94" s="160"/>
      <c r="DO94" s="160"/>
      <c r="DP94" s="160"/>
      <c r="DQ94" s="160"/>
      <c r="DR94" s="160"/>
    </row>
    <row r="95" spans="2:122" ht="17.25" customHeight="1">
      <c r="B95" s="144" t="s">
        <v>306</v>
      </c>
      <c r="C95" s="172" t="e">
        <f>C94/C90</f>
        <v>#DIV/0!</v>
      </c>
      <c r="D95" s="144" t="s">
        <v>290</v>
      </c>
      <c r="I95" s="162"/>
      <c r="J95" s="162"/>
      <c r="K95" s="170"/>
      <c r="L95" s="170"/>
      <c r="M95" s="170"/>
      <c r="N95" s="160"/>
      <c r="O95" s="160"/>
      <c r="P95" s="160"/>
      <c r="Q95" s="160"/>
      <c r="R95" s="160"/>
      <c r="S95" s="174"/>
      <c r="T95" s="170"/>
      <c r="U95" s="170"/>
      <c r="V95" s="170"/>
      <c r="W95" s="170"/>
      <c r="X95" s="174"/>
      <c r="Y95" s="170"/>
      <c r="Z95" s="170"/>
      <c r="AA95" s="170"/>
      <c r="AB95" s="17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c r="BH95" s="160"/>
      <c r="BI95" s="160"/>
      <c r="BJ95" s="160"/>
      <c r="BK95" s="160"/>
      <c r="BL95" s="160"/>
      <c r="BM95" s="160"/>
      <c r="BN95" s="160"/>
      <c r="BO95" s="160"/>
      <c r="BP95" s="160"/>
      <c r="BQ95" s="160"/>
      <c r="BR95" s="160"/>
      <c r="BS95" s="160"/>
      <c r="BT95" s="160"/>
      <c r="BU95" s="160"/>
      <c r="BV95" s="160"/>
      <c r="BW95" s="160"/>
      <c r="BX95" s="160"/>
      <c r="BY95" s="160"/>
      <c r="BZ95" s="160"/>
      <c r="CA95" s="160"/>
      <c r="CB95" s="160"/>
      <c r="CC95" s="160"/>
      <c r="CD95" s="160"/>
      <c r="CE95" s="160"/>
      <c r="CF95" s="160"/>
      <c r="CG95" s="160"/>
      <c r="CH95" s="160"/>
      <c r="CI95" s="160"/>
      <c r="CJ95" s="160"/>
      <c r="CK95" s="160"/>
      <c r="CL95" s="160"/>
      <c r="CM95" s="160"/>
      <c r="CN95" s="160"/>
      <c r="CO95" s="160"/>
      <c r="CP95" s="160"/>
      <c r="CQ95" s="160"/>
      <c r="CR95" s="160"/>
      <c r="CS95" s="160"/>
      <c r="CT95" s="160"/>
      <c r="CU95" s="160"/>
      <c r="CV95" s="160"/>
      <c r="CW95" s="160"/>
      <c r="CX95" s="160"/>
      <c r="CY95" s="160"/>
      <c r="CZ95" s="160"/>
      <c r="DA95" s="160"/>
      <c r="DB95" s="160"/>
      <c r="DC95" s="160"/>
      <c r="DD95" s="160"/>
      <c r="DE95" s="160"/>
      <c r="DF95" s="160"/>
      <c r="DG95" s="160"/>
      <c r="DH95" s="160"/>
      <c r="DI95" s="160"/>
      <c r="DJ95" s="160"/>
      <c r="DK95" s="160"/>
      <c r="DL95" s="160"/>
      <c r="DM95" s="160"/>
      <c r="DN95" s="160"/>
      <c r="DO95" s="160"/>
      <c r="DP95" s="160"/>
      <c r="DQ95" s="160"/>
      <c r="DR95" s="160"/>
    </row>
    <row r="96" spans="2:122" ht="17.25" customHeight="1">
      <c r="B96" s="144" t="s">
        <v>307</v>
      </c>
      <c r="C96" s="154" t="e">
        <f>IF(C87="EAST/WEST", IF($C$20&gt;=C95,"Pass","Fail"), IF($C$22&gt;=C95,"Pass", "Fail"))</f>
        <v>#DIV/0!</v>
      </c>
      <c r="I96" s="162"/>
      <c r="J96" s="162"/>
      <c r="K96" s="170"/>
      <c r="L96" s="170"/>
      <c r="M96" s="170"/>
      <c r="N96" s="160"/>
      <c r="O96" s="160"/>
      <c r="P96" s="160"/>
      <c r="Q96" s="160"/>
      <c r="R96" s="160"/>
      <c r="S96" s="174"/>
      <c r="T96" s="170"/>
      <c r="U96" s="170"/>
      <c r="V96" s="170"/>
      <c r="W96" s="170"/>
      <c r="X96" s="174"/>
      <c r="Y96" s="170"/>
      <c r="Z96" s="170"/>
      <c r="AA96" s="170"/>
      <c r="AB96" s="17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c r="BH96" s="160"/>
      <c r="BI96" s="160"/>
      <c r="BJ96" s="160"/>
      <c r="BK96" s="160"/>
      <c r="BL96" s="160"/>
      <c r="BM96" s="160"/>
      <c r="BN96" s="160"/>
      <c r="BO96" s="160"/>
      <c r="BP96" s="160"/>
      <c r="BQ96" s="160"/>
      <c r="BR96" s="160"/>
      <c r="BS96" s="160"/>
      <c r="BT96" s="160"/>
      <c r="BU96" s="160"/>
      <c r="BV96" s="160"/>
      <c r="BW96" s="160"/>
      <c r="BX96" s="160"/>
      <c r="BY96" s="160"/>
      <c r="BZ96" s="160"/>
      <c r="CA96" s="160"/>
      <c r="CB96" s="160"/>
      <c r="CC96" s="160"/>
      <c r="CD96" s="160"/>
      <c r="CE96" s="160"/>
      <c r="CF96" s="160"/>
      <c r="CG96" s="160"/>
      <c r="CH96" s="160"/>
      <c r="CI96" s="160"/>
      <c r="CJ96" s="160"/>
      <c r="CK96" s="160"/>
      <c r="CL96" s="160"/>
      <c r="CM96" s="160"/>
      <c r="CN96" s="160"/>
      <c r="CO96" s="160"/>
      <c r="CP96" s="160"/>
      <c r="CQ96" s="160"/>
      <c r="CR96" s="160"/>
      <c r="CS96" s="160"/>
      <c r="CT96" s="160"/>
      <c r="CU96" s="160"/>
      <c r="CV96" s="160"/>
      <c r="CW96" s="160"/>
      <c r="CX96" s="160"/>
      <c r="CY96" s="160"/>
      <c r="CZ96" s="160"/>
      <c r="DA96" s="160"/>
      <c r="DB96" s="160"/>
      <c r="DC96" s="160"/>
      <c r="DD96" s="160"/>
      <c r="DE96" s="160"/>
      <c r="DF96" s="160"/>
      <c r="DG96" s="160"/>
      <c r="DH96" s="160"/>
      <c r="DI96" s="160"/>
      <c r="DJ96" s="160"/>
      <c r="DK96" s="160"/>
      <c r="DL96" s="160"/>
      <c r="DM96" s="160"/>
      <c r="DN96" s="160"/>
      <c r="DO96" s="160"/>
      <c r="DP96" s="160"/>
      <c r="DQ96" s="160"/>
      <c r="DR96" s="160"/>
    </row>
    <row r="97" spans="2:122" ht="17.25" customHeight="1">
      <c r="B97" s="144" t="s">
        <v>308</v>
      </c>
      <c r="C97" s="172" t="e">
        <f>IF(C89&lt;C91,C89/C90,C91/C90)</f>
        <v>#DIV/0!</v>
      </c>
      <c r="D97" s="144" t="s">
        <v>309</v>
      </c>
      <c r="I97" s="162"/>
      <c r="J97" s="162"/>
      <c r="K97" s="170"/>
      <c r="L97" s="170"/>
      <c r="M97" s="170"/>
      <c r="N97" s="160"/>
      <c r="O97" s="160"/>
      <c r="P97" s="160"/>
      <c r="Q97" s="160"/>
      <c r="R97" s="160"/>
      <c r="S97" s="174"/>
      <c r="T97" s="170"/>
      <c r="U97" s="170"/>
      <c r="V97" s="170"/>
      <c r="W97" s="170"/>
      <c r="X97" s="174"/>
      <c r="Y97" s="170"/>
      <c r="Z97" s="170"/>
      <c r="AA97" s="170"/>
      <c r="AB97" s="17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c r="BH97" s="160"/>
      <c r="BI97" s="160"/>
      <c r="BJ97" s="160"/>
      <c r="BK97" s="160"/>
      <c r="BL97" s="160"/>
      <c r="BM97" s="160"/>
      <c r="BN97" s="160"/>
      <c r="BO97" s="160"/>
      <c r="BP97" s="160"/>
      <c r="BQ97" s="160"/>
      <c r="BR97" s="160"/>
      <c r="BS97" s="160"/>
      <c r="BT97" s="160"/>
      <c r="BU97" s="160"/>
      <c r="BV97" s="160"/>
      <c r="BW97" s="160"/>
      <c r="BX97" s="160"/>
      <c r="BY97" s="160"/>
      <c r="BZ97" s="160"/>
      <c r="CA97" s="160"/>
      <c r="CB97" s="160"/>
      <c r="CC97" s="160"/>
      <c r="CD97" s="160"/>
      <c r="CE97" s="160"/>
      <c r="CF97" s="160"/>
      <c r="CG97" s="160"/>
      <c r="CH97" s="160"/>
      <c r="CI97" s="160"/>
      <c r="CJ97" s="160"/>
      <c r="CK97" s="160"/>
      <c r="CL97" s="160"/>
      <c r="CM97" s="160"/>
      <c r="CN97" s="160"/>
      <c r="CO97" s="160"/>
      <c r="CP97" s="160"/>
      <c r="CQ97" s="160"/>
      <c r="CR97" s="160"/>
      <c r="CS97" s="160"/>
      <c r="CT97" s="160"/>
      <c r="CU97" s="160"/>
      <c r="CV97" s="160"/>
      <c r="CW97" s="160"/>
      <c r="CX97" s="160"/>
      <c r="CY97" s="160"/>
      <c r="CZ97" s="160"/>
      <c r="DA97" s="160"/>
      <c r="DB97" s="160"/>
      <c r="DC97" s="160"/>
      <c r="DD97" s="160"/>
      <c r="DE97" s="160"/>
      <c r="DF97" s="160"/>
      <c r="DG97" s="160"/>
      <c r="DH97" s="160"/>
      <c r="DI97" s="160"/>
      <c r="DJ97" s="160"/>
      <c r="DK97" s="160"/>
      <c r="DL97" s="160"/>
      <c r="DM97" s="160"/>
      <c r="DN97" s="160"/>
      <c r="DO97" s="160"/>
      <c r="DP97" s="160"/>
      <c r="DQ97" s="160"/>
      <c r="DR97" s="160"/>
    </row>
    <row r="98" spans="2:122" ht="17.25" customHeight="1">
      <c r="I98" s="162"/>
      <c r="J98" s="162"/>
      <c r="K98" s="170"/>
      <c r="L98" s="170"/>
      <c r="M98" s="170"/>
      <c r="N98" s="160"/>
      <c r="O98" s="160"/>
      <c r="P98" s="160"/>
      <c r="Q98" s="160"/>
      <c r="R98" s="160"/>
      <c r="S98" s="174"/>
      <c r="T98" s="170"/>
      <c r="U98" s="170"/>
      <c r="V98" s="170"/>
      <c r="W98" s="170"/>
      <c r="X98" s="174"/>
      <c r="Y98" s="170"/>
      <c r="Z98" s="170"/>
      <c r="AA98" s="170"/>
      <c r="AB98" s="17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c r="BH98" s="160"/>
      <c r="BI98" s="160"/>
      <c r="BJ98" s="160"/>
      <c r="BK98" s="160"/>
      <c r="BL98" s="160"/>
      <c r="BM98" s="160"/>
      <c r="BN98" s="160"/>
      <c r="BO98" s="160"/>
      <c r="BP98" s="160"/>
      <c r="BQ98" s="160"/>
      <c r="BR98" s="160"/>
      <c r="BS98" s="160"/>
      <c r="BT98" s="160"/>
      <c r="BU98" s="160"/>
      <c r="BV98" s="160"/>
      <c r="BW98" s="160"/>
      <c r="BX98" s="160"/>
      <c r="BY98" s="160"/>
      <c r="BZ98" s="160"/>
      <c r="CA98" s="160"/>
      <c r="CB98" s="160"/>
      <c r="CC98" s="160"/>
      <c r="CD98" s="160"/>
      <c r="CE98" s="160"/>
      <c r="CF98" s="160"/>
      <c r="CG98" s="160"/>
      <c r="CH98" s="160"/>
      <c r="CI98" s="160"/>
      <c r="CJ98" s="160"/>
      <c r="CK98" s="160"/>
      <c r="CL98" s="160"/>
      <c r="CM98" s="160"/>
      <c r="CN98" s="160"/>
      <c r="CO98" s="160"/>
      <c r="CP98" s="160"/>
      <c r="CQ98" s="160"/>
      <c r="CR98" s="160"/>
      <c r="CS98" s="160"/>
      <c r="CT98" s="160"/>
      <c r="CU98" s="160"/>
      <c r="CV98" s="160"/>
      <c r="CW98" s="160"/>
      <c r="CX98" s="160"/>
      <c r="CY98" s="160"/>
      <c r="CZ98" s="160"/>
      <c r="DA98" s="160"/>
      <c r="DB98" s="160"/>
      <c r="DC98" s="160"/>
      <c r="DD98" s="160"/>
      <c r="DE98" s="160"/>
      <c r="DF98" s="160"/>
      <c r="DG98" s="160"/>
      <c r="DH98" s="160"/>
      <c r="DI98" s="160"/>
      <c r="DJ98" s="160"/>
      <c r="DK98" s="160"/>
      <c r="DL98" s="160"/>
      <c r="DM98" s="160"/>
      <c r="DN98" s="160"/>
      <c r="DO98" s="160"/>
      <c r="DP98" s="160"/>
      <c r="DQ98" s="160"/>
      <c r="DR98" s="160"/>
    </row>
    <row r="99" spans="2:122" ht="17.25" customHeight="1">
      <c r="B99" s="167" t="s">
        <v>299</v>
      </c>
      <c r="C99" s="168"/>
      <c r="D99" s="166"/>
      <c r="I99" s="162"/>
      <c r="J99" s="162"/>
      <c r="K99" s="170"/>
      <c r="L99" s="170"/>
      <c r="M99" s="170"/>
      <c r="N99" s="160"/>
      <c r="O99" s="160"/>
      <c r="P99" s="160"/>
      <c r="Q99" s="160"/>
      <c r="R99" s="160"/>
      <c r="S99" s="160"/>
      <c r="T99" s="160"/>
      <c r="U99" s="160"/>
      <c r="V99" s="160"/>
      <c r="W99" s="160"/>
      <c r="X99" s="174"/>
      <c r="Y99" s="170"/>
      <c r="Z99" s="170"/>
      <c r="AA99" s="170"/>
      <c r="AB99" s="170"/>
      <c r="AC99" s="174"/>
      <c r="AD99" s="170"/>
      <c r="AE99" s="170"/>
      <c r="AF99" s="170"/>
      <c r="AG99" s="17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c r="BH99" s="160"/>
      <c r="BI99" s="160"/>
      <c r="BJ99" s="160"/>
      <c r="BK99" s="160"/>
      <c r="BL99" s="160"/>
      <c r="BM99" s="160"/>
      <c r="BN99" s="160"/>
      <c r="BO99" s="160"/>
      <c r="BP99" s="160"/>
      <c r="BQ99" s="160"/>
      <c r="BR99" s="160"/>
      <c r="BS99" s="160"/>
      <c r="BT99" s="160"/>
      <c r="BU99" s="160"/>
      <c r="BV99" s="160"/>
      <c r="BW99" s="160"/>
      <c r="BX99" s="160"/>
      <c r="BY99" s="160"/>
      <c r="BZ99" s="160"/>
      <c r="CA99" s="160"/>
      <c r="CB99" s="160"/>
      <c r="CC99" s="160"/>
      <c r="CD99" s="160"/>
      <c r="CE99" s="160"/>
      <c r="CF99" s="160"/>
      <c r="CG99" s="160"/>
      <c r="CH99" s="160"/>
      <c r="CI99" s="160"/>
      <c r="CJ99" s="160"/>
      <c r="CK99" s="160"/>
      <c r="CL99" s="160"/>
      <c r="CM99" s="160"/>
      <c r="CN99" s="160"/>
      <c r="CO99" s="160"/>
      <c r="CP99" s="160"/>
      <c r="CQ99" s="160"/>
      <c r="CR99" s="160"/>
      <c r="CS99" s="160"/>
      <c r="CT99" s="160"/>
      <c r="CU99" s="160"/>
      <c r="CV99" s="160"/>
      <c r="CW99" s="160"/>
      <c r="CX99" s="160"/>
      <c r="CY99" s="160"/>
      <c r="CZ99" s="160"/>
      <c r="DA99" s="160"/>
      <c r="DB99" s="160"/>
      <c r="DC99" s="160"/>
      <c r="DD99" s="160"/>
      <c r="DE99" s="160"/>
      <c r="DF99" s="160"/>
      <c r="DG99" s="160"/>
      <c r="DH99" s="160"/>
      <c r="DI99" s="160"/>
      <c r="DJ99" s="160"/>
      <c r="DK99" s="160"/>
      <c r="DL99" s="160"/>
      <c r="DM99" s="160"/>
      <c r="DN99" s="160"/>
      <c r="DO99" s="160"/>
      <c r="DP99" s="160"/>
      <c r="DQ99" s="160"/>
      <c r="DR99" s="160"/>
    </row>
    <row r="100" spans="2:122" ht="17.25" customHeight="1">
      <c r="B100" s="167" t="s">
        <v>301</v>
      </c>
      <c r="C100" s="168" t="s">
        <v>302</v>
      </c>
      <c r="D100" s="166"/>
      <c r="I100" s="162"/>
      <c r="J100" s="162"/>
      <c r="K100" s="170"/>
      <c r="L100" s="170"/>
      <c r="M100" s="170"/>
      <c r="N100" s="160"/>
      <c r="O100" s="160"/>
      <c r="P100" s="160"/>
      <c r="Q100" s="160"/>
      <c r="R100" s="160"/>
      <c r="S100" s="160"/>
      <c r="T100" s="160"/>
      <c r="U100" s="160"/>
      <c r="V100" s="160"/>
      <c r="W100" s="160"/>
      <c r="X100" s="174"/>
      <c r="Y100" s="170"/>
      <c r="Z100" s="170"/>
      <c r="AA100" s="170"/>
      <c r="AB100" s="170"/>
      <c r="AC100" s="174"/>
      <c r="AD100" s="170"/>
      <c r="AE100" s="170"/>
      <c r="AF100" s="170"/>
      <c r="AG100" s="170"/>
      <c r="AH100" s="174"/>
      <c r="AI100" s="170"/>
      <c r="AJ100" s="170"/>
      <c r="AK100" s="170"/>
      <c r="AL100" s="17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c r="BH100" s="160"/>
      <c r="BI100" s="160"/>
      <c r="BJ100" s="160"/>
      <c r="BK100" s="160"/>
      <c r="BL100" s="160"/>
      <c r="BM100" s="160"/>
      <c r="BN100" s="160"/>
      <c r="BO100" s="160"/>
      <c r="BP100" s="160"/>
      <c r="BQ100" s="160"/>
      <c r="BR100" s="160"/>
      <c r="BS100" s="160"/>
      <c r="BT100" s="160"/>
      <c r="BU100" s="160"/>
      <c r="BV100" s="160"/>
      <c r="BW100" s="160"/>
      <c r="BX100" s="160"/>
      <c r="BY100" s="160"/>
      <c r="BZ100" s="160"/>
      <c r="CA100" s="160"/>
      <c r="CB100" s="160"/>
      <c r="CC100" s="160"/>
      <c r="CD100" s="160"/>
      <c r="CE100" s="160"/>
      <c r="CF100" s="160"/>
      <c r="CG100" s="160"/>
      <c r="CH100" s="160"/>
      <c r="CI100" s="160"/>
      <c r="CJ100" s="160"/>
      <c r="CK100" s="160"/>
      <c r="CL100" s="160"/>
      <c r="CM100" s="160"/>
      <c r="CN100" s="160"/>
      <c r="CO100" s="160"/>
      <c r="CP100" s="160"/>
      <c r="CQ100" s="160"/>
      <c r="CR100" s="160"/>
      <c r="CS100" s="160"/>
      <c r="CT100" s="160"/>
      <c r="CU100" s="160"/>
      <c r="CV100" s="160"/>
      <c r="CW100" s="160"/>
      <c r="CX100" s="160"/>
      <c r="CY100" s="160"/>
      <c r="CZ100" s="160"/>
      <c r="DA100" s="160"/>
      <c r="DB100" s="160"/>
      <c r="DC100" s="160"/>
      <c r="DD100" s="160"/>
      <c r="DE100" s="160"/>
      <c r="DF100" s="160"/>
      <c r="DG100" s="160"/>
      <c r="DH100" s="160"/>
      <c r="DI100" s="160"/>
      <c r="DJ100" s="160"/>
      <c r="DK100" s="160"/>
      <c r="DL100" s="160"/>
      <c r="DM100" s="160"/>
      <c r="DN100" s="160"/>
      <c r="DO100" s="160"/>
      <c r="DP100" s="160"/>
      <c r="DQ100" s="160"/>
      <c r="DR100" s="160"/>
    </row>
    <row r="101" spans="2:122" ht="17.25" customHeight="1">
      <c r="B101" s="144" t="str">
        <f>IF(C100="East/West", "Feet - West Section", IF(C100="North/South", "Feet - North Section", "Select Force Direction"))</f>
        <v>Select Force Direction</v>
      </c>
      <c r="C101" s="171"/>
      <c r="D101" s="144" t="s">
        <v>324</v>
      </c>
      <c r="I101" s="162"/>
      <c r="J101" s="162"/>
      <c r="K101" s="170"/>
      <c r="L101" s="170"/>
      <c r="M101" s="170"/>
      <c r="N101" s="160"/>
      <c r="O101" s="160"/>
      <c r="P101" s="160"/>
      <c r="Q101" s="160"/>
      <c r="R101" s="160"/>
      <c r="S101" s="160"/>
      <c r="T101" s="160"/>
      <c r="U101" s="160"/>
      <c r="V101" s="160"/>
      <c r="W101" s="160"/>
      <c r="X101" s="174"/>
      <c r="Y101" s="170"/>
      <c r="Z101" s="170"/>
      <c r="AA101" s="170"/>
      <c r="AB101" s="170"/>
      <c r="AC101" s="174"/>
      <c r="AD101" s="170"/>
      <c r="AE101" s="170"/>
      <c r="AF101" s="170"/>
      <c r="AG101" s="170"/>
      <c r="AH101" s="174"/>
      <c r="AI101" s="170"/>
      <c r="AJ101" s="170"/>
      <c r="AK101" s="170"/>
      <c r="AL101" s="170"/>
      <c r="AM101" s="174"/>
      <c r="AN101" s="170"/>
      <c r="AO101" s="170"/>
      <c r="AP101" s="170"/>
      <c r="AQ101" s="170"/>
      <c r="AR101" s="160"/>
      <c r="AS101" s="160"/>
      <c r="AT101" s="160"/>
      <c r="AU101" s="160"/>
      <c r="AV101" s="160"/>
      <c r="AW101" s="160"/>
      <c r="AX101" s="160"/>
      <c r="AY101" s="160"/>
      <c r="AZ101" s="160"/>
      <c r="BA101" s="160"/>
      <c r="BB101" s="160"/>
      <c r="BC101" s="160"/>
      <c r="BD101" s="160"/>
      <c r="BE101" s="160"/>
      <c r="BF101" s="160"/>
      <c r="BG101" s="160"/>
      <c r="BH101" s="160"/>
      <c r="BI101" s="160"/>
      <c r="BJ101" s="160"/>
      <c r="BK101" s="160"/>
      <c r="BL101" s="160"/>
      <c r="BM101" s="160"/>
      <c r="BN101" s="160"/>
      <c r="BO101" s="160"/>
      <c r="BP101" s="160"/>
      <c r="BQ101" s="160"/>
      <c r="BR101" s="160"/>
      <c r="BS101" s="160"/>
      <c r="BT101" s="160"/>
      <c r="BU101" s="160"/>
      <c r="BV101" s="160"/>
      <c r="BW101" s="160"/>
      <c r="BX101" s="160"/>
      <c r="BY101" s="160"/>
      <c r="BZ101" s="160"/>
      <c r="CA101" s="160"/>
      <c r="CB101" s="160"/>
      <c r="CC101" s="160"/>
      <c r="CD101" s="160"/>
      <c r="CE101" s="160"/>
      <c r="CF101" s="160"/>
      <c r="CG101" s="160"/>
      <c r="CH101" s="160"/>
      <c r="CI101" s="160"/>
      <c r="CJ101" s="160"/>
      <c r="CK101" s="160"/>
      <c r="CL101" s="160"/>
      <c r="CM101" s="160"/>
      <c r="CN101" s="160"/>
      <c r="CO101" s="160"/>
      <c r="CP101" s="160"/>
      <c r="CQ101" s="160"/>
      <c r="CR101" s="160"/>
      <c r="CS101" s="160"/>
      <c r="CT101" s="160"/>
      <c r="CU101" s="160"/>
      <c r="CV101" s="160"/>
      <c r="CW101" s="160"/>
      <c r="CX101" s="160"/>
      <c r="CY101" s="160"/>
      <c r="CZ101" s="160"/>
      <c r="DA101" s="160"/>
      <c r="DB101" s="160"/>
      <c r="DC101" s="160"/>
      <c r="DD101" s="160"/>
      <c r="DE101" s="160"/>
      <c r="DF101" s="160"/>
      <c r="DG101" s="160"/>
      <c r="DH101" s="160"/>
      <c r="DI101" s="160"/>
      <c r="DJ101" s="160"/>
      <c r="DK101" s="160"/>
      <c r="DL101" s="160"/>
      <c r="DM101" s="160"/>
      <c r="DN101" s="160"/>
      <c r="DO101" s="160"/>
      <c r="DP101" s="160"/>
      <c r="DQ101" s="160"/>
      <c r="DR101" s="160"/>
    </row>
    <row r="102" spans="2:122" ht="17.25" customHeight="1">
      <c r="B102" s="144" t="str">
        <f>IF(C100="East/West", "Modules - West Section", IF(C100="North/South", "Modules - North Section", "Select Force Direction"))</f>
        <v>Select Force Direction</v>
      </c>
      <c r="C102" s="171"/>
      <c r="D102" s="144" t="s">
        <v>297</v>
      </c>
      <c r="I102" s="162"/>
      <c r="J102" s="162"/>
      <c r="K102" s="170"/>
      <c r="L102" s="170"/>
      <c r="M102" s="170"/>
      <c r="N102" s="160"/>
      <c r="O102" s="160"/>
      <c r="P102" s="160"/>
      <c r="Q102" s="160"/>
      <c r="R102" s="160"/>
      <c r="S102" s="160"/>
      <c r="T102" s="160"/>
      <c r="U102" s="160"/>
      <c r="V102" s="160"/>
      <c r="W102" s="160"/>
      <c r="X102" s="174"/>
      <c r="Y102" s="170"/>
      <c r="Z102" s="170"/>
      <c r="AA102" s="170"/>
      <c r="AB102" s="170"/>
      <c r="AC102" s="174"/>
      <c r="AD102" s="170"/>
      <c r="AE102" s="170"/>
      <c r="AF102" s="170"/>
      <c r="AG102" s="170"/>
      <c r="AH102" s="160"/>
      <c r="AI102" s="160"/>
      <c r="AJ102" s="160"/>
      <c r="AK102" s="160"/>
      <c r="AL102" s="160"/>
      <c r="AM102" s="174"/>
      <c r="AN102" s="170"/>
      <c r="AO102" s="170"/>
      <c r="AP102" s="170"/>
      <c r="AQ102" s="170"/>
      <c r="AR102" s="174"/>
      <c r="AS102" s="170"/>
      <c r="AT102" s="170"/>
      <c r="AU102" s="170"/>
      <c r="AV102" s="170"/>
      <c r="AW102" s="160"/>
      <c r="AX102" s="160"/>
      <c r="AY102" s="160"/>
      <c r="AZ102" s="160"/>
      <c r="BA102" s="160"/>
      <c r="BB102" s="160"/>
      <c r="BC102" s="160"/>
      <c r="BD102" s="160"/>
      <c r="BE102" s="160"/>
      <c r="BF102" s="160"/>
      <c r="BG102" s="160"/>
      <c r="BH102" s="160"/>
      <c r="BI102" s="160"/>
      <c r="BJ102" s="160"/>
      <c r="BK102" s="160"/>
      <c r="BL102" s="160"/>
      <c r="BM102" s="160"/>
      <c r="BN102" s="160"/>
      <c r="BO102" s="160"/>
      <c r="BP102" s="160"/>
      <c r="BQ102" s="160"/>
      <c r="BR102" s="160"/>
      <c r="BS102" s="160"/>
      <c r="BT102" s="160"/>
      <c r="BU102" s="160"/>
      <c r="BV102" s="160"/>
      <c r="BW102" s="160"/>
      <c r="BX102" s="160"/>
      <c r="BY102" s="160"/>
      <c r="BZ102" s="160"/>
      <c r="CA102" s="160"/>
      <c r="CB102" s="160"/>
      <c r="CC102" s="160"/>
      <c r="CD102" s="160"/>
      <c r="CE102" s="160"/>
      <c r="CF102" s="160"/>
      <c r="CG102" s="160"/>
      <c r="CH102" s="160"/>
      <c r="CI102" s="160"/>
      <c r="CJ102" s="160"/>
      <c r="CK102" s="160"/>
      <c r="CL102" s="160"/>
      <c r="CM102" s="160"/>
      <c r="CN102" s="160"/>
      <c r="CO102" s="160"/>
      <c r="CP102" s="160"/>
      <c r="CQ102" s="160"/>
      <c r="CR102" s="160"/>
      <c r="CS102" s="160"/>
      <c r="CT102" s="160"/>
      <c r="CU102" s="160"/>
      <c r="CV102" s="160"/>
      <c r="CW102" s="160"/>
      <c r="CX102" s="160"/>
      <c r="CY102" s="160"/>
      <c r="CZ102" s="160"/>
      <c r="DA102" s="160"/>
      <c r="DB102" s="160"/>
      <c r="DC102" s="160"/>
      <c r="DD102" s="160"/>
      <c r="DE102" s="160"/>
      <c r="DF102" s="160"/>
      <c r="DG102" s="160"/>
      <c r="DH102" s="160"/>
      <c r="DI102" s="160"/>
      <c r="DJ102" s="160"/>
      <c r="DK102" s="160"/>
      <c r="DL102" s="160"/>
      <c r="DM102" s="160"/>
      <c r="DN102" s="160"/>
      <c r="DO102" s="160"/>
      <c r="DP102" s="160"/>
      <c r="DQ102" s="160"/>
      <c r="DR102" s="160"/>
    </row>
    <row r="103" spans="2:122" ht="17.25" customHeight="1">
      <c r="B103" s="144" t="s">
        <v>303</v>
      </c>
      <c r="C103" s="171"/>
      <c r="D103" s="144" t="s">
        <v>297</v>
      </c>
      <c r="I103" s="162"/>
      <c r="J103" s="162"/>
      <c r="K103" s="170"/>
      <c r="L103" s="170"/>
      <c r="M103" s="170"/>
      <c r="N103" s="160"/>
      <c r="O103" s="160"/>
      <c r="P103" s="160"/>
      <c r="Q103" s="160"/>
      <c r="R103" s="160"/>
      <c r="S103" s="160"/>
      <c r="T103" s="160"/>
      <c r="U103" s="160"/>
      <c r="V103" s="160"/>
      <c r="W103" s="160"/>
      <c r="X103" s="174"/>
      <c r="Y103" s="170"/>
      <c r="Z103" s="170"/>
      <c r="AA103" s="170"/>
      <c r="AB103" s="170"/>
      <c r="AC103" s="174"/>
      <c r="AD103" s="170"/>
      <c r="AE103" s="170"/>
      <c r="AF103" s="170"/>
      <c r="AG103" s="170"/>
      <c r="AH103" s="160"/>
      <c r="AI103" s="160"/>
      <c r="AJ103" s="160"/>
      <c r="AK103" s="160"/>
      <c r="AL103" s="160"/>
      <c r="AM103" s="160"/>
      <c r="AN103" s="160"/>
      <c r="AO103" s="160"/>
      <c r="AP103" s="160"/>
      <c r="AQ103" s="160"/>
      <c r="AR103" s="174"/>
      <c r="AS103" s="170"/>
      <c r="AT103" s="170"/>
      <c r="AU103" s="170"/>
      <c r="AV103" s="170"/>
      <c r="AW103" s="174"/>
      <c r="AX103" s="170"/>
      <c r="AY103" s="170"/>
      <c r="AZ103" s="170"/>
      <c r="BA103" s="17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c r="CH103" s="160"/>
      <c r="CI103" s="160"/>
      <c r="CJ103" s="160"/>
      <c r="CK103" s="160"/>
      <c r="CL103" s="160"/>
      <c r="CM103" s="160"/>
      <c r="CN103" s="160"/>
      <c r="CO103" s="160"/>
      <c r="CP103" s="160"/>
      <c r="CQ103" s="160"/>
      <c r="CR103" s="160"/>
      <c r="CS103" s="160"/>
      <c r="CT103" s="160"/>
      <c r="CU103" s="160"/>
      <c r="CV103" s="160"/>
      <c r="CW103" s="160"/>
      <c r="CX103" s="160"/>
      <c r="CY103" s="160"/>
      <c r="CZ103" s="160"/>
      <c r="DA103" s="160"/>
      <c r="DB103" s="160"/>
      <c r="DC103" s="160"/>
      <c r="DD103" s="160"/>
      <c r="DE103" s="160"/>
      <c r="DF103" s="160"/>
      <c r="DG103" s="160"/>
      <c r="DH103" s="160"/>
      <c r="DI103" s="160"/>
      <c r="DJ103" s="160"/>
      <c r="DK103" s="160"/>
      <c r="DL103" s="160"/>
      <c r="DM103" s="160"/>
      <c r="DN103" s="160"/>
      <c r="DO103" s="160"/>
      <c r="DP103" s="160"/>
      <c r="DQ103" s="160"/>
      <c r="DR103" s="160"/>
    </row>
    <row r="104" spans="2:122" ht="17.25" customHeight="1">
      <c r="B104" s="144" t="str">
        <f>IF(C100="East/West", "Modules - East Section", IF(C100="North/South", "Modules - South Section", "Select Force Direction"))</f>
        <v>Select Force Direction</v>
      </c>
      <c r="C104" s="171"/>
      <c r="D104" s="144" t="s">
        <v>297</v>
      </c>
      <c r="I104" s="162"/>
      <c r="J104" s="162"/>
      <c r="K104" s="170"/>
      <c r="L104" s="170"/>
      <c r="M104" s="170"/>
      <c r="N104" s="160"/>
      <c r="O104" s="160"/>
      <c r="P104" s="160"/>
      <c r="Q104" s="160"/>
      <c r="R104" s="160"/>
      <c r="S104" s="160"/>
      <c r="T104" s="160"/>
      <c r="U104" s="160"/>
      <c r="V104" s="160"/>
      <c r="W104" s="160"/>
      <c r="X104" s="174"/>
      <c r="Y104" s="170"/>
      <c r="Z104" s="170"/>
      <c r="AA104" s="170"/>
      <c r="AB104" s="170"/>
      <c r="AC104" s="174"/>
      <c r="AD104" s="170"/>
      <c r="AE104" s="170"/>
      <c r="AF104" s="170"/>
      <c r="AG104" s="170"/>
      <c r="AH104" s="160"/>
      <c r="AI104" s="160"/>
      <c r="AJ104" s="160"/>
      <c r="AK104" s="160"/>
      <c r="AL104" s="160"/>
      <c r="AM104" s="160"/>
      <c r="AN104" s="160"/>
      <c r="AO104" s="160"/>
      <c r="AP104" s="160"/>
      <c r="AQ104" s="160"/>
      <c r="AR104" s="160"/>
      <c r="AS104" s="160"/>
      <c r="AT104" s="160"/>
      <c r="AU104" s="160"/>
      <c r="AV104" s="160"/>
      <c r="AW104" s="174"/>
      <c r="AX104" s="170"/>
      <c r="AY104" s="170"/>
      <c r="AZ104" s="170"/>
      <c r="BA104" s="170"/>
      <c r="BB104" s="174"/>
      <c r="BC104" s="170"/>
      <c r="BD104" s="170"/>
      <c r="BE104" s="170"/>
      <c r="BF104" s="170"/>
      <c r="BG104" s="160"/>
      <c r="BH104" s="160"/>
      <c r="BI104" s="160"/>
      <c r="BJ104" s="160"/>
      <c r="BK104" s="160"/>
      <c r="BL104" s="160"/>
      <c r="BM104" s="160"/>
      <c r="BN104" s="160"/>
      <c r="BO104" s="160"/>
      <c r="BP104" s="160"/>
      <c r="BQ104" s="160"/>
      <c r="BR104" s="160"/>
      <c r="BS104" s="160"/>
      <c r="BT104" s="160"/>
      <c r="BU104" s="160"/>
      <c r="BV104" s="160"/>
      <c r="BW104" s="160"/>
      <c r="BX104" s="160"/>
      <c r="BY104" s="160"/>
      <c r="BZ104" s="160"/>
      <c r="CA104" s="160"/>
      <c r="CB104" s="160"/>
      <c r="CC104" s="160"/>
      <c r="CD104" s="160"/>
      <c r="CE104" s="160"/>
      <c r="CF104" s="160"/>
      <c r="CG104" s="160"/>
      <c r="CH104" s="160"/>
      <c r="CI104" s="160"/>
      <c r="CJ104" s="160"/>
      <c r="CK104" s="160"/>
      <c r="CL104" s="160"/>
      <c r="CM104" s="160"/>
      <c r="CN104" s="160"/>
      <c r="CO104" s="160"/>
      <c r="CP104" s="160"/>
      <c r="CQ104" s="160"/>
      <c r="CR104" s="160"/>
      <c r="CS104" s="160"/>
      <c r="CT104" s="160"/>
      <c r="CU104" s="160"/>
      <c r="CV104" s="160"/>
      <c r="CW104" s="160"/>
      <c r="CX104" s="160"/>
      <c r="CY104" s="160"/>
      <c r="CZ104" s="160"/>
      <c r="DA104" s="160"/>
      <c r="DB104" s="160"/>
      <c r="DC104" s="160"/>
      <c r="DD104" s="160"/>
      <c r="DE104" s="160"/>
      <c r="DF104" s="160"/>
      <c r="DG104" s="160"/>
      <c r="DH104" s="160"/>
      <c r="DI104" s="160"/>
      <c r="DJ104" s="160"/>
      <c r="DK104" s="160"/>
      <c r="DL104" s="160"/>
      <c r="DM104" s="160"/>
      <c r="DN104" s="160"/>
      <c r="DO104" s="160"/>
      <c r="DP104" s="160"/>
      <c r="DQ104" s="160"/>
      <c r="DR104" s="160"/>
    </row>
    <row r="105" spans="2:122" ht="17.25" customHeight="1">
      <c r="B105" s="144" t="str">
        <f>IF(C100="East/West", "Feet - East Section", IF(C100="North/South", "Feet - South Section", "Select Force Direction"))</f>
        <v>Select Force Direction</v>
      </c>
      <c r="C105" s="171"/>
      <c r="D105" s="144" t="s">
        <v>324</v>
      </c>
      <c r="I105" s="162"/>
      <c r="J105" s="162"/>
      <c r="K105" s="170"/>
      <c r="L105" s="170"/>
      <c r="M105" s="170"/>
      <c r="N105" s="160"/>
      <c r="O105" s="160"/>
      <c r="P105" s="160"/>
      <c r="Q105" s="160"/>
      <c r="R105" s="160"/>
      <c r="S105" s="160"/>
      <c r="T105" s="160"/>
      <c r="U105" s="160"/>
      <c r="V105" s="160"/>
      <c r="W105" s="160"/>
      <c r="X105" s="174"/>
      <c r="Y105" s="170"/>
      <c r="Z105" s="170"/>
      <c r="AA105" s="170"/>
      <c r="AB105" s="170"/>
      <c r="AC105" s="174"/>
      <c r="AD105" s="170"/>
      <c r="AE105" s="170"/>
      <c r="AF105" s="170"/>
      <c r="AG105" s="17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74"/>
      <c r="BC105" s="170"/>
      <c r="BD105" s="170"/>
      <c r="BE105" s="170"/>
      <c r="BF105" s="170"/>
      <c r="BG105" s="174"/>
      <c r="BH105" s="170"/>
      <c r="BI105" s="170"/>
      <c r="BJ105" s="170"/>
      <c r="BK105" s="170"/>
      <c r="BL105" s="160"/>
      <c r="BM105" s="160"/>
      <c r="BN105" s="160"/>
      <c r="BO105" s="160"/>
      <c r="BP105" s="160"/>
      <c r="BQ105" s="160"/>
      <c r="BR105" s="160"/>
      <c r="BS105" s="160"/>
      <c r="BT105" s="160"/>
      <c r="BU105" s="160"/>
      <c r="BV105" s="160"/>
      <c r="BW105" s="160"/>
      <c r="BX105" s="160"/>
      <c r="BY105" s="160"/>
      <c r="BZ105" s="160"/>
      <c r="CA105" s="160"/>
      <c r="CB105" s="160"/>
      <c r="CC105" s="160"/>
      <c r="CD105" s="160"/>
      <c r="CE105" s="160"/>
      <c r="CF105" s="160"/>
      <c r="CG105" s="160"/>
      <c r="CH105" s="160"/>
      <c r="CI105" s="160"/>
      <c r="CJ105" s="160"/>
      <c r="CK105" s="160"/>
      <c r="CL105" s="160"/>
      <c r="CM105" s="160"/>
      <c r="CN105" s="160"/>
      <c r="CO105" s="160"/>
      <c r="CP105" s="160"/>
      <c r="CQ105" s="160"/>
      <c r="CR105" s="160"/>
      <c r="CS105" s="160"/>
      <c r="CT105" s="160"/>
      <c r="CU105" s="160"/>
      <c r="CV105" s="160"/>
      <c r="CW105" s="160"/>
      <c r="CX105" s="160"/>
      <c r="CY105" s="160"/>
      <c r="CZ105" s="160"/>
      <c r="DA105" s="160"/>
      <c r="DB105" s="160"/>
      <c r="DC105" s="160"/>
      <c r="DD105" s="160"/>
      <c r="DE105" s="160"/>
      <c r="DF105" s="160"/>
      <c r="DG105" s="160"/>
      <c r="DH105" s="160"/>
      <c r="DI105" s="160"/>
      <c r="DJ105" s="160"/>
      <c r="DK105" s="160"/>
      <c r="DL105" s="160"/>
      <c r="DM105" s="160"/>
      <c r="DN105" s="160"/>
      <c r="DO105" s="160"/>
      <c r="DP105" s="160"/>
      <c r="DQ105" s="160"/>
      <c r="DR105" s="160"/>
    </row>
    <row r="106" spans="2:122" ht="17.25" customHeight="1">
      <c r="B106" s="144" t="s">
        <v>304</v>
      </c>
      <c r="C106" s="172">
        <f>IF(C102&lt;C104,C102*$C$30+C101*$C$27,C104*$C$30+C105*$C$27)</f>
        <v>0</v>
      </c>
      <c r="D106" s="144" t="s">
        <v>290</v>
      </c>
      <c r="I106" s="162"/>
      <c r="J106" s="162"/>
      <c r="K106" s="170"/>
      <c r="L106" s="170"/>
      <c r="M106" s="170"/>
      <c r="N106" s="174"/>
      <c r="O106" s="160"/>
      <c r="P106" s="160"/>
      <c r="Q106" s="160"/>
      <c r="R106" s="160"/>
      <c r="S106" s="160"/>
      <c r="T106" s="160"/>
      <c r="U106" s="160"/>
      <c r="V106" s="160"/>
      <c r="W106" s="160"/>
      <c r="X106" s="174"/>
      <c r="Y106" s="170"/>
      <c r="Z106" s="170"/>
      <c r="AA106" s="170"/>
      <c r="AB106" s="170"/>
      <c r="AC106" s="174"/>
      <c r="AD106" s="170"/>
      <c r="AE106" s="170"/>
      <c r="AF106" s="170"/>
      <c r="AG106" s="17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74"/>
      <c r="BH106" s="170"/>
      <c r="BI106" s="170"/>
      <c r="BJ106" s="170"/>
      <c r="BK106" s="170"/>
      <c r="BL106" s="174"/>
      <c r="BM106" s="170"/>
      <c r="BN106" s="170"/>
      <c r="BO106" s="170"/>
      <c r="BP106" s="170"/>
      <c r="BQ106" s="160"/>
      <c r="BR106" s="160"/>
      <c r="BS106" s="160"/>
      <c r="BT106" s="160"/>
      <c r="BU106" s="160"/>
      <c r="BV106" s="160"/>
      <c r="BW106" s="160"/>
      <c r="BX106" s="160"/>
      <c r="BY106" s="160"/>
      <c r="BZ106" s="160"/>
      <c r="CA106" s="160"/>
      <c r="CB106" s="160"/>
      <c r="CC106" s="160"/>
      <c r="CD106" s="160"/>
      <c r="CE106" s="160"/>
      <c r="CF106" s="160"/>
      <c r="CG106" s="160"/>
      <c r="CH106" s="160"/>
      <c r="CI106" s="160"/>
      <c r="CJ106" s="160"/>
      <c r="CK106" s="160"/>
      <c r="CL106" s="160"/>
      <c r="CM106" s="160"/>
      <c r="CN106" s="160"/>
      <c r="CO106" s="160"/>
      <c r="CP106" s="160"/>
      <c r="CQ106" s="160"/>
      <c r="CR106" s="160"/>
      <c r="CS106" s="160"/>
      <c r="CT106" s="160"/>
      <c r="CU106" s="160"/>
      <c r="CV106" s="160"/>
      <c r="CW106" s="160"/>
      <c r="CX106" s="160"/>
      <c r="CY106" s="160"/>
      <c r="CZ106" s="160"/>
      <c r="DA106" s="160"/>
      <c r="DB106" s="160"/>
      <c r="DC106" s="160"/>
      <c r="DD106" s="160"/>
      <c r="DE106" s="160"/>
      <c r="DF106" s="160"/>
      <c r="DG106" s="160"/>
      <c r="DH106" s="160"/>
      <c r="DI106" s="160"/>
      <c r="DJ106" s="160"/>
      <c r="DK106" s="160"/>
      <c r="DL106" s="160"/>
      <c r="DM106" s="160"/>
      <c r="DN106" s="160"/>
      <c r="DO106" s="160"/>
      <c r="DP106" s="160"/>
      <c r="DQ106" s="160"/>
      <c r="DR106" s="160"/>
    </row>
    <row r="107" spans="2:122" ht="17.25" customHeight="1">
      <c r="B107" s="144" t="s">
        <v>305</v>
      </c>
      <c r="C107" s="172">
        <f>IF(0.133*C106*$C$9&gt;0.1*C106, 0.133*C106*$C$9, 0.1*C106)</f>
        <v>0</v>
      </c>
      <c r="D107" s="144" t="s">
        <v>290</v>
      </c>
      <c r="I107" s="162"/>
      <c r="J107" s="162"/>
      <c r="K107" s="170"/>
      <c r="L107" s="170"/>
      <c r="M107" s="170"/>
      <c r="N107" s="160"/>
      <c r="O107" s="160"/>
      <c r="P107" s="160"/>
      <c r="Q107" s="160"/>
      <c r="R107" s="160"/>
      <c r="S107" s="160"/>
      <c r="T107" s="160"/>
      <c r="U107" s="160"/>
      <c r="V107" s="160"/>
      <c r="W107" s="160"/>
      <c r="X107" s="174"/>
      <c r="Y107" s="170"/>
      <c r="Z107" s="170"/>
      <c r="AA107" s="170"/>
      <c r="AB107" s="170"/>
      <c r="AC107" s="174"/>
      <c r="AD107" s="170"/>
      <c r="AE107" s="170"/>
      <c r="AF107" s="170"/>
      <c r="AG107" s="17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H107" s="160"/>
      <c r="BI107" s="160"/>
      <c r="BJ107" s="160"/>
      <c r="BK107" s="160"/>
      <c r="BL107" s="174"/>
      <c r="BM107" s="170"/>
      <c r="BN107" s="170"/>
      <c r="BO107" s="170"/>
      <c r="BP107" s="170"/>
      <c r="BQ107" s="174"/>
      <c r="BR107" s="170"/>
      <c r="BS107" s="170"/>
      <c r="BT107" s="170"/>
      <c r="BU107" s="170"/>
      <c r="BV107" s="160"/>
      <c r="BW107" s="160"/>
      <c r="BX107" s="160"/>
      <c r="BY107" s="160"/>
      <c r="BZ107" s="160"/>
      <c r="CA107" s="160"/>
      <c r="CB107" s="160"/>
      <c r="CC107" s="160"/>
      <c r="CD107" s="160"/>
      <c r="CE107" s="160"/>
      <c r="CF107" s="160"/>
      <c r="CG107" s="160"/>
      <c r="CH107" s="160"/>
      <c r="CI107" s="160"/>
      <c r="CJ107" s="160"/>
      <c r="CK107" s="160"/>
      <c r="CL107" s="160"/>
      <c r="CM107" s="160"/>
      <c r="CN107" s="160"/>
      <c r="CO107" s="160"/>
      <c r="CP107" s="160"/>
      <c r="CQ107" s="160"/>
      <c r="CR107" s="160"/>
      <c r="CS107" s="160"/>
      <c r="CT107" s="160"/>
      <c r="CU107" s="160"/>
      <c r="CV107" s="160"/>
      <c r="CW107" s="160"/>
      <c r="CX107" s="160"/>
      <c r="CY107" s="160"/>
      <c r="CZ107" s="160"/>
      <c r="DA107" s="160"/>
      <c r="DB107" s="160"/>
      <c r="DC107" s="160"/>
      <c r="DD107" s="160"/>
      <c r="DE107" s="160"/>
      <c r="DF107" s="160"/>
      <c r="DG107" s="160"/>
      <c r="DH107" s="160"/>
      <c r="DI107" s="160"/>
      <c r="DJ107" s="160"/>
      <c r="DK107" s="160"/>
      <c r="DL107" s="160"/>
      <c r="DM107" s="160"/>
      <c r="DN107" s="160"/>
      <c r="DO107" s="160"/>
      <c r="DP107" s="160"/>
      <c r="DQ107" s="160"/>
      <c r="DR107" s="160"/>
    </row>
    <row r="108" spans="2:122" ht="17.25" customHeight="1">
      <c r="B108" s="144" t="s">
        <v>306</v>
      </c>
      <c r="C108" s="172" t="e">
        <f>C107/C103</f>
        <v>#DIV/0!</v>
      </c>
      <c r="D108" s="144" t="s">
        <v>290</v>
      </c>
      <c r="I108" s="162"/>
      <c r="J108" s="162"/>
      <c r="K108" s="170"/>
      <c r="L108" s="170"/>
      <c r="M108" s="170"/>
      <c r="N108" s="160"/>
      <c r="O108" s="160"/>
      <c r="P108" s="160"/>
      <c r="Q108" s="160"/>
      <c r="R108" s="160"/>
      <c r="S108" s="160"/>
      <c r="T108" s="160"/>
      <c r="U108" s="160"/>
      <c r="V108" s="160"/>
      <c r="W108" s="160"/>
      <c r="X108" s="174"/>
      <c r="Y108" s="170"/>
      <c r="Z108" s="170"/>
      <c r="AA108" s="170"/>
      <c r="AB108" s="170"/>
      <c r="AC108" s="174"/>
      <c r="AD108" s="170"/>
      <c r="AE108" s="170"/>
      <c r="AF108" s="170"/>
      <c r="AG108" s="17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H108" s="160"/>
      <c r="BI108" s="160"/>
      <c r="BJ108" s="160"/>
      <c r="BK108" s="160"/>
      <c r="BL108" s="174"/>
      <c r="BM108" s="170"/>
      <c r="BN108" s="170"/>
      <c r="BO108" s="170"/>
      <c r="BP108" s="170"/>
      <c r="BQ108" s="174"/>
      <c r="BR108" s="170"/>
      <c r="BS108" s="170"/>
      <c r="BT108" s="170"/>
      <c r="BU108" s="170"/>
      <c r="BV108" s="160"/>
      <c r="BW108" s="160"/>
      <c r="BX108" s="160"/>
      <c r="BY108" s="160"/>
      <c r="BZ108" s="160"/>
      <c r="CA108" s="160"/>
      <c r="CB108" s="160"/>
      <c r="CC108" s="160"/>
      <c r="CD108" s="160"/>
      <c r="CE108" s="160"/>
      <c r="CF108" s="160"/>
      <c r="CG108" s="160"/>
      <c r="CH108" s="160"/>
      <c r="CI108" s="160"/>
      <c r="CJ108" s="160"/>
      <c r="CK108" s="160"/>
      <c r="CL108" s="160"/>
      <c r="CM108" s="160"/>
      <c r="CN108" s="160"/>
      <c r="CO108" s="160"/>
      <c r="CP108" s="160"/>
      <c r="CQ108" s="160"/>
      <c r="CR108" s="160"/>
      <c r="CS108" s="160"/>
      <c r="CT108" s="160"/>
      <c r="CU108" s="160"/>
      <c r="CV108" s="160"/>
      <c r="CW108" s="160"/>
      <c r="CX108" s="160"/>
      <c r="CY108" s="160"/>
      <c r="CZ108" s="160"/>
      <c r="DA108" s="160"/>
      <c r="DB108" s="160"/>
      <c r="DC108" s="160"/>
      <c r="DD108" s="160"/>
      <c r="DE108" s="160"/>
      <c r="DF108" s="160"/>
      <c r="DG108" s="160"/>
      <c r="DH108" s="160"/>
      <c r="DI108" s="160"/>
      <c r="DJ108" s="160"/>
      <c r="DK108" s="160"/>
      <c r="DL108" s="160"/>
      <c r="DM108" s="160"/>
      <c r="DN108" s="160"/>
      <c r="DO108" s="160"/>
      <c r="DP108" s="160"/>
      <c r="DQ108" s="160"/>
      <c r="DR108" s="160"/>
    </row>
    <row r="109" spans="2:122" ht="17.25" customHeight="1">
      <c r="B109" s="144" t="s">
        <v>307</v>
      </c>
      <c r="C109" s="154" t="e">
        <f>IF(C100="EAST/WEST", IF($C$20&gt;=C108,"Pass","Fail"), IF($C$22&gt;=C108,"Pass", "Fail"))</f>
        <v>#DIV/0!</v>
      </c>
      <c r="I109" s="162"/>
      <c r="J109" s="162"/>
      <c r="K109" s="170"/>
      <c r="L109" s="170"/>
      <c r="M109" s="170"/>
      <c r="N109" s="160"/>
      <c r="O109" s="160"/>
      <c r="P109" s="160"/>
      <c r="Q109" s="160"/>
      <c r="R109" s="160"/>
      <c r="S109" s="160"/>
      <c r="T109" s="160"/>
      <c r="U109" s="160"/>
      <c r="V109" s="160"/>
      <c r="W109" s="160"/>
      <c r="X109" s="174"/>
      <c r="Y109" s="170"/>
      <c r="Z109" s="170"/>
      <c r="AA109" s="170"/>
      <c r="AB109" s="170"/>
      <c r="AC109" s="174"/>
      <c r="AD109" s="170"/>
      <c r="AE109" s="170"/>
      <c r="AF109" s="170"/>
      <c r="AG109" s="17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c r="BH109" s="160"/>
      <c r="BI109" s="160"/>
      <c r="BJ109" s="160"/>
      <c r="BK109" s="160"/>
      <c r="BL109" s="174"/>
      <c r="BM109" s="170"/>
      <c r="BN109" s="170"/>
      <c r="BO109" s="170"/>
      <c r="BP109" s="170"/>
      <c r="BQ109" s="174"/>
      <c r="BR109" s="170"/>
      <c r="BS109" s="170"/>
      <c r="BT109" s="170"/>
      <c r="BU109" s="170"/>
      <c r="BV109" s="160"/>
      <c r="BW109" s="160"/>
      <c r="BX109" s="160"/>
      <c r="BY109" s="160"/>
      <c r="BZ109" s="160"/>
      <c r="CA109" s="160"/>
      <c r="CB109" s="160"/>
      <c r="CC109" s="160"/>
      <c r="CD109" s="160"/>
      <c r="CE109" s="160"/>
      <c r="CF109" s="160"/>
      <c r="CG109" s="160"/>
      <c r="CH109" s="160"/>
      <c r="CI109" s="160"/>
      <c r="CJ109" s="160"/>
      <c r="CK109" s="160"/>
      <c r="CL109" s="160"/>
      <c r="CM109" s="160"/>
      <c r="CN109" s="160"/>
      <c r="CO109" s="160"/>
      <c r="CP109" s="160"/>
      <c r="CQ109" s="160"/>
      <c r="CR109" s="160"/>
      <c r="CS109" s="160"/>
      <c r="CT109" s="160"/>
      <c r="CU109" s="160"/>
      <c r="CV109" s="160"/>
      <c r="CW109" s="160"/>
      <c r="CX109" s="160"/>
      <c r="CY109" s="160"/>
      <c r="CZ109" s="160"/>
      <c r="DA109" s="160"/>
      <c r="DB109" s="160"/>
      <c r="DC109" s="160"/>
      <c r="DD109" s="160"/>
      <c r="DE109" s="160"/>
      <c r="DF109" s="160"/>
      <c r="DG109" s="160"/>
      <c r="DH109" s="160"/>
      <c r="DI109" s="160"/>
      <c r="DJ109" s="160"/>
      <c r="DK109" s="160"/>
      <c r="DL109" s="160"/>
      <c r="DM109" s="160"/>
      <c r="DN109" s="160"/>
      <c r="DO109" s="160"/>
      <c r="DP109" s="160"/>
      <c r="DQ109" s="160"/>
      <c r="DR109" s="160"/>
    </row>
    <row r="110" spans="2:122" ht="17.25" customHeight="1">
      <c r="B110" s="144" t="s">
        <v>308</v>
      </c>
      <c r="C110" s="172" t="e">
        <f>IF(C102&lt;C104,C102/C103,C104/C103)</f>
        <v>#DIV/0!</v>
      </c>
      <c r="D110" s="144" t="s">
        <v>309</v>
      </c>
      <c r="I110" s="162"/>
      <c r="J110" s="162"/>
      <c r="K110" s="170"/>
      <c r="L110" s="170"/>
      <c r="M110" s="170"/>
      <c r="N110" s="176"/>
      <c r="O110" s="160"/>
      <c r="P110" s="160"/>
      <c r="Q110" s="160"/>
      <c r="R110" s="160"/>
      <c r="S110" s="160"/>
      <c r="T110" s="160"/>
      <c r="U110" s="160"/>
      <c r="V110" s="160"/>
      <c r="W110" s="160"/>
      <c r="X110" s="174"/>
      <c r="Y110" s="170"/>
      <c r="Z110" s="170"/>
      <c r="AA110" s="170"/>
      <c r="AB110" s="170"/>
      <c r="AC110" s="174"/>
      <c r="AD110" s="170"/>
      <c r="AE110" s="170"/>
      <c r="AF110" s="170"/>
      <c r="AG110" s="17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c r="BH110" s="160"/>
      <c r="BI110" s="160"/>
      <c r="BJ110" s="160"/>
      <c r="BK110" s="160"/>
      <c r="BL110" s="160"/>
      <c r="BM110" s="160"/>
      <c r="BN110" s="160"/>
      <c r="BO110" s="160"/>
      <c r="BP110" s="160"/>
      <c r="BQ110" s="160"/>
      <c r="BR110" s="160"/>
      <c r="BS110" s="160"/>
      <c r="BT110" s="160"/>
      <c r="BU110" s="160"/>
      <c r="BV110" s="174"/>
      <c r="BW110" s="170"/>
      <c r="BX110" s="170"/>
      <c r="BY110" s="170"/>
      <c r="BZ110" s="170"/>
      <c r="CA110" s="160"/>
      <c r="CB110" s="160"/>
      <c r="CC110" s="160"/>
      <c r="CD110" s="160"/>
      <c r="CE110" s="160"/>
      <c r="CF110" s="160"/>
      <c r="CG110" s="160"/>
      <c r="CH110" s="160"/>
      <c r="CI110" s="160"/>
      <c r="CJ110" s="160"/>
      <c r="CK110" s="160"/>
      <c r="CL110" s="160"/>
      <c r="CM110" s="160"/>
      <c r="CN110" s="160"/>
      <c r="CO110" s="160"/>
      <c r="CP110" s="160"/>
      <c r="CQ110" s="160"/>
      <c r="CR110" s="160"/>
      <c r="CS110" s="160"/>
      <c r="CT110" s="160"/>
      <c r="CU110" s="160"/>
      <c r="CV110" s="160"/>
      <c r="CW110" s="160"/>
      <c r="CX110" s="160"/>
      <c r="CY110" s="160"/>
      <c r="CZ110" s="160"/>
      <c r="DA110" s="160"/>
      <c r="DB110" s="160"/>
      <c r="DC110" s="160"/>
      <c r="DD110" s="160"/>
      <c r="DE110" s="160"/>
      <c r="DF110" s="160"/>
      <c r="DG110" s="160"/>
      <c r="DH110" s="160"/>
      <c r="DI110" s="160"/>
      <c r="DJ110" s="160"/>
      <c r="DK110" s="160"/>
      <c r="DL110" s="160"/>
      <c r="DM110" s="160"/>
      <c r="DN110" s="160"/>
      <c r="DO110" s="160"/>
      <c r="DP110" s="160"/>
      <c r="DQ110" s="160"/>
      <c r="DR110" s="160"/>
    </row>
    <row r="111" spans="2:122" ht="17.25" customHeight="1">
      <c r="I111" s="162"/>
      <c r="J111" s="162"/>
      <c r="K111" s="170"/>
      <c r="L111" s="170"/>
      <c r="M111" s="170"/>
      <c r="N111" s="160"/>
      <c r="O111" s="160"/>
      <c r="P111" s="160"/>
      <c r="Q111" s="160"/>
      <c r="R111" s="160"/>
      <c r="S111" s="160"/>
      <c r="T111" s="160"/>
      <c r="U111" s="160"/>
      <c r="V111" s="160"/>
      <c r="W111" s="160"/>
      <c r="X111" s="174"/>
      <c r="Y111" s="170"/>
      <c r="Z111" s="170"/>
      <c r="AA111" s="170"/>
      <c r="AB111" s="170"/>
      <c r="AC111" s="174"/>
      <c r="AD111" s="170"/>
      <c r="AE111" s="170"/>
      <c r="AF111" s="170"/>
      <c r="AG111" s="17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c r="BH111" s="160"/>
      <c r="BI111" s="160"/>
      <c r="BJ111" s="160"/>
      <c r="BK111" s="160"/>
      <c r="BL111" s="160"/>
      <c r="BM111" s="160"/>
      <c r="BN111" s="160"/>
      <c r="BO111" s="160"/>
      <c r="BP111" s="160"/>
      <c r="BQ111" s="160"/>
      <c r="BR111" s="160"/>
      <c r="BS111" s="160"/>
      <c r="BT111" s="160"/>
      <c r="BU111" s="160"/>
      <c r="BV111" s="160"/>
      <c r="BW111" s="160"/>
      <c r="BX111" s="160"/>
      <c r="BY111" s="160"/>
      <c r="BZ111" s="160"/>
      <c r="CA111" s="160"/>
      <c r="CB111" s="160"/>
      <c r="CC111" s="160"/>
      <c r="CD111" s="160"/>
      <c r="CE111" s="160"/>
      <c r="CF111" s="160"/>
      <c r="CG111" s="160"/>
      <c r="CH111" s="160"/>
      <c r="CI111" s="160"/>
      <c r="CJ111" s="160"/>
      <c r="CK111" s="160"/>
      <c r="CL111" s="160"/>
      <c r="CM111" s="160"/>
      <c r="CN111" s="160"/>
      <c r="CO111" s="160"/>
      <c r="CP111" s="160"/>
      <c r="CQ111" s="160"/>
      <c r="CR111" s="160"/>
      <c r="CS111" s="160"/>
      <c r="CT111" s="160"/>
      <c r="CU111" s="160"/>
      <c r="CV111" s="160"/>
      <c r="CW111" s="160"/>
      <c r="CX111" s="160"/>
      <c r="CY111" s="160"/>
      <c r="CZ111" s="160"/>
      <c r="DA111" s="160"/>
      <c r="DB111" s="160"/>
      <c r="DC111" s="160"/>
      <c r="DD111" s="160"/>
      <c r="DE111" s="160"/>
      <c r="DF111" s="160"/>
      <c r="DG111" s="160"/>
      <c r="DH111" s="160"/>
      <c r="DI111" s="160"/>
      <c r="DJ111" s="160"/>
      <c r="DK111" s="160"/>
      <c r="DL111" s="160"/>
      <c r="DM111" s="160"/>
      <c r="DN111" s="160"/>
      <c r="DO111" s="160"/>
      <c r="DP111" s="160"/>
      <c r="DQ111" s="160"/>
      <c r="DR111" s="160"/>
    </row>
    <row r="112" spans="2:122" ht="17.25" customHeight="1">
      <c r="B112" s="167" t="s">
        <v>299</v>
      </c>
      <c r="C112" s="168"/>
      <c r="D112" s="166"/>
      <c r="I112" s="177"/>
      <c r="J112" s="162"/>
      <c r="K112" s="170"/>
      <c r="L112" s="170"/>
      <c r="M112" s="17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c r="BH112" s="160"/>
      <c r="BI112" s="160"/>
      <c r="BJ112" s="160"/>
      <c r="BK112" s="160"/>
      <c r="BL112" s="160"/>
      <c r="BM112" s="160"/>
      <c r="BN112" s="160"/>
      <c r="BO112" s="160"/>
      <c r="BP112" s="160"/>
      <c r="BQ112" s="160"/>
      <c r="BR112" s="160"/>
      <c r="BS112" s="160"/>
      <c r="BT112" s="160"/>
      <c r="BU112" s="160"/>
      <c r="BV112" s="160"/>
      <c r="BW112" s="160"/>
      <c r="BX112" s="160"/>
      <c r="BY112" s="160"/>
      <c r="BZ112" s="160"/>
      <c r="CA112" s="160"/>
      <c r="CB112" s="160"/>
      <c r="CC112" s="160"/>
      <c r="CD112" s="160"/>
      <c r="CE112" s="160"/>
      <c r="CF112" s="160"/>
      <c r="CG112" s="160"/>
      <c r="CH112" s="160"/>
      <c r="CI112" s="160"/>
      <c r="CJ112" s="160"/>
      <c r="CK112" s="160"/>
      <c r="CL112" s="160"/>
      <c r="CM112" s="160"/>
      <c r="CN112" s="160"/>
      <c r="CO112" s="160"/>
      <c r="CP112" s="160"/>
      <c r="CQ112" s="160"/>
      <c r="CR112" s="160"/>
      <c r="CS112" s="160"/>
      <c r="CT112" s="160"/>
      <c r="CU112" s="160"/>
      <c r="CV112" s="160"/>
      <c r="CW112" s="160"/>
      <c r="CX112" s="160"/>
      <c r="CY112" s="160"/>
      <c r="CZ112" s="160"/>
      <c r="DA112" s="160"/>
      <c r="DB112" s="160"/>
      <c r="DC112" s="160"/>
      <c r="DD112" s="160"/>
      <c r="DE112" s="160"/>
      <c r="DF112" s="160"/>
      <c r="DG112" s="160"/>
      <c r="DH112" s="160"/>
      <c r="DI112" s="160"/>
      <c r="DJ112" s="160"/>
      <c r="DK112" s="160"/>
      <c r="DL112" s="160"/>
      <c r="DM112" s="160"/>
      <c r="DN112" s="160"/>
      <c r="DO112" s="160"/>
      <c r="DP112" s="160"/>
      <c r="DQ112" s="160"/>
      <c r="DR112" s="160"/>
    </row>
    <row r="113" spans="2:122" ht="17.25" customHeight="1">
      <c r="B113" s="167" t="s">
        <v>301</v>
      </c>
      <c r="C113" s="168" t="s">
        <v>302</v>
      </c>
      <c r="D113" s="166"/>
      <c r="I113" s="178"/>
      <c r="J113" s="177"/>
      <c r="K113" s="170"/>
      <c r="L113" s="170"/>
      <c r="M113" s="17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c r="BH113" s="160"/>
      <c r="BI113" s="160"/>
      <c r="BJ113" s="160"/>
      <c r="BK113" s="160"/>
      <c r="BL113" s="160"/>
      <c r="BM113" s="160"/>
      <c r="BN113" s="160"/>
      <c r="BO113" s="160"/>
      <c r="BP113" s="160"/>
      <c r="BQ113" s="160"/>
      <c r="BR113" s="160"/>
      <c r="BS113" s="160"/>
      <c r="BT113" s="160"/>
      <c r="BU113" s="160"/>
      <c r="BV113" s="160"/>
      <c r="BW113" s="160"/>
      <c r="BX113" s="160"/>
      <c r="BY113" s="160"/>
      <c r="BZ113" s="160"/>
      <c r="CA113" s="160"/>
      <c r="CB113" s="160"/>
      <c r="CC113" s="160"/>
      <c r="CD113" s="160"/>
      <c r="CE113" s="160"/>
      <c r="CF113" s="160"/>
      <c r="CG113" s="160"/>
      <c r="CH113" s="160"/>
      <c r="CI113" s="160"/>
      <c r="CJ113" s="160"/>
      <c r="CK113" s="160"/>
      <c r="CL113" s="160"/>
      <c r="CM113" s="160"/>
      <c r="CN113" s="160"/>
      <c r="CO113" s="160"/>
      <c r="CP113" s="160"/>
      <c r="CQ113" s="160"/>
      <c r="CR113" s="160"/>
      <c r="CS113" s="160"/>
      <c r="CT113" s="160"/>
      <c r="CU113" s="160"/>
      <c r="CV113" s="160"/>
      <c r="CW113" s="160"/>
      <c r="CX113" s="160"/>
      <c r="CY113" s="160"/>
      <c r="CZ113" s="160"/>
      <c r="DA113" s="160"/>
      <c r="DB113" s="160"/>
      <c r="DC113" s="160"/>
      <c r="DD113" s="160"/>
      <c r="DE113" s="160"/>
      <c r="DF113" s="160"/>
      <c r="DG113" s="160"/>
      <c r="DH113" s="160"/>
      <c r="DI113" s="160"/>
      <c r="DJ113" s="160"/>
      <c r="DK113" s="160"/>
      <c r="DL113" s="160"/>
      <c r="DM113" s="160"/>
      <c r="DN113" s="160"/>
      <c r="DO113" s="160"/>
      <c r="DP113" s="160"/>
      <c r="DQ113" s="160"/>
      <c r="DR113" s="160"/>
    </row>
    <row r="114" spans="2:122" ht="17.25" customHeight="1">
      <c r="B114" s="144" t="str">
        <f>IF(C113="East/West", "Feet - West Section", IF(C113="North/South", "Feet - North Section", "Select Force Direction"))</f>
        <v>Select Force Direction</v>
      </c>
      <c r="C114" s="171"/>
      <c r="D114" s="144" t="s">
        <v>324</v>
      </c>
      <c r="I114" s="162"/>
      <c r="J114" s="162"/>
      <c r="K114" s="170"/>
      <c r="L114" s="170"/>
      <c r="M114" s="17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H114" s="160"/>
      <c r="BI114" s="160"/>
      <c r="BJ114" s="160"/>
      <c r="BK114" s="160"/>
      <c r="BL114" s="160"/>
      <c r="BM114" s="160"/>
      <c r="BN114" s="160"/>
      <c r="BO114" s="160"/>
      <c r="BP114" s="160"/>
      <c r="BQ114" s="160"/>
      <c r="BR114" s="160"/>
      <c r="BS114" s="160"/>
      <c r="BT114" s="160"/>
      <c r="BU114" s="160"/>
      <c r="BV114" s="160"/>
      <c r="BW114" s="160"/>
      <c r="BX114" s="160"/>
      <c r="BY114" s="160"/>
      <c r="BZ114" s="160"/>
      <c r="CA114" s="160"/>
      <c r="CB114" s="160"/>
      <c r="CC114" s="160"/>
      <c r="CD114" s="160"/>
      <c r="CE114" s="160"/>
      <c r="CF114" s="160"/>
      <c r="CG114" s="160"/>
      <c r="CH114" s="160"/>
      <c r="CI114" s="160"/>
      <c r="CJ114" s="160"/>
      <c r="CK114" s="160"/>
      <c r="CL114" s="160"/>
      <c r="CM114" s="160"/>
      <c r="CN114" s="160"/>
      <c r="CO114" s="160"/>
      <c r="CP114" s="160"/>
      <c r="CQ114" s="160"/>
      <c r="CR114" s="160"/>
      <c r="CS114" s="160"/>
      <c r="CT114" s="160"/>
      <c r="CU114" s="160"/>
      <c r="CV114" s="160"/>
      <c r="CW114" s="160"/>
      <c r="CX114" s="160"/>
      <c r="CY114" s="160"/>
      <c r="CZ114" s="160"/>
      <c r="DA114" s="160"/>
      <c r="DB114" s="160"/>
      <c r="DC114" s="160"/>
      <c r="DD114" s="160"/>
      <c r="DE114" s="160"/>
      <c r="DF114" s="160"/>
      <c r="DG114" s="160"/>
      <c r="DH114" s="160"/>
      <c r="DI114" s="160"/>
      <c r="DJ114" s="160"/>
      <c r="DK114" s="160"/>
      <c r="DL114" s="160"/>
      <c r="DM114" s="160"/>
      <c r="DN114" s="160"/>
      <c r="DO114" s="160"/>
      <c r="DP114" s="160"/>
      <c r="DQ114" s="160"/>
      <c r="DR114" s="160"/>
    </row>
    <row r="115" spans="2:122" ht="17.25" customHeight="1">
      <c r="B115" s="144" t="str">
        <f>IF(C113="East/West", "Modules - West Section", IF(C113="North/South", "Modules - North Section", "Select Force Direction"))</f>
        <v>Select Force Direction</v>
      </c>
      <c r="C115" s="171"/>
      <c r="D115" s="144" t="s">
        <v>297</v>
      </c>
      <c r="I115" s="162"/>
      <c r="J115" s="162"/>
      <c r="K115" s="170"/>
      <c r="L115" s="170"/>
      <c r="M115" s="170"/>
      <c r="N115" s="160"/>
      <c r="O115" s="160"/>
      <c r="P115" s="160"/>
      <c r="Q115" s="170"/>
      <c r="R115" s="17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H115" s="160"/>
      <c r="BI115" s="160"/>
      <c r="BJ115" s="160"/>
      <c r="BK115" s="160"/>
      <c r="BL115" s="160"/>
      <c r="BM115" s="160"/>
      <c r="BN115" s="160"/>
      <c r="BO115" s="160"/>
      <c r="BP115" s="160"/>
      <c r="BQ115" s="160"/>
      <c r="BR115" s="160"/>
      <c r="BS115" s="160"/>
      <c r="BT115" s="160"/>
      <c r="BU115" s="160"/>
      <c r="BV115" s="160"/>
      <c r="BW115" s="160"/>
      <c r="BX115" s="160"/>
      <c r="BY115" s="160"/>
      <c r="BZ115" s="160"/>
      <c r="CA115" s="160"/>
      <c r="CB115" s="160"/>
      <c r="CC115" s="160"/>
      <c r="CD115" s="160"/>
      <c r="CE115" s="160"/>
      <c r="CF115" s="160"/>
      <c r="CG115" s="160"/>
      <c r="CH115" s="160"/>
      <c r="CI115" s="160"/>
      <c r="CJ115" s="160"/>
      <c r="CK115" s="160"/>
      <c r="CL115" s="160"/>
      <c r="CM115" s="160"/>
      <c r="CN115" s="160"/>
      <c r="CO115" s="160"/>
      <c r="CP115" s="160"/>
      <c r="CQ115" s="160"/>
      <c r="CR115" s="160"/>
      <c r="CS115" s="160"/>
      <c r="CT115" s="160"/>
      <c r="CU115" s="160"/>
      <c r="CV115" s="160"/>
      <c r="CW115" s="160"/>
      <c r="CX115" s="160"/>
      <c r="CY115" s="160"/>
      <c r="CZ115" s="160"/>
      <c r="DA115" s="160"/>
      <c r="DB115" s="160"/>
      <c r="DC115" s="160"/>
      <c r="DD115" s="160"/>
      <c r="DE115" s="160"/>
      <c r="DF115" s="160"/>
      <c r="DG115" s="160"/>
      <c r="DH115" s="160"/>
      <c r="DI115" s="160"/>
      <c r="DJ115" s="160"/>
      <c r="DK115" s="160"/>
      <c r="DL115" s="160"/>
      <c r="DM115" s="160"/>
      <c r="DN115" s="160"/>
      <c r="DO115" s="160"/>
      <c r="DP115" s="160"/>
      <c r="DQ115" s="160"/>
      <c r="DR115" s="160"/>
    </row>
    <row r="116" spans="2:122" ht="17.25" customHeight="1">
      <c r="B116" s="144" t="s">
        <v>303</v>
      </c>
      <c r="C116" s="171"/>
      <c r="D116" s="144" t="s">
        <v>297</v>
      </c>
      <c r="I116" s="162"/>
      <c r="J116" s="162"/>
      <c r="K116" s="170"/>
      <c r="L116" s="170"/>
      <c r="M116" s="170"/>
      <c r="N116" s="160"/>
      <c r="O116" s="160"/>
      <c r="P116" s="160"/>
      <c r="Q116" s="170"/>
      <c r="R116" s="170"/>
      <c r="S116" s="174"/>
      <c r="T116" s="170"/>
      <c r="U116" s="170"/>
      <c r="V116" s="170"/>
      <c r="W116" s="17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H116" s="160"/>
      <c r="BI116" s="160"/>
      <c r="BJ116" s="160"/>
      <c r="BK116" s="160"/>
      <c r="BL116" s="160"/>
      <c r="BM116" s="160"/>
      <c r="BN116" s="160"/>
      <c r="BO116" s="160"/>
      <c r="BP116" s="160"/>
      <c r="BQ116" s="160"/>
      <c r="BR116" s="160"/>
      <c r="BS116" s="160"/>
      <c r="BT116" s="160"/>
      <c r="BU116" s="160"/>
      <c r="BV116" s="160"/>
      <c r="BW116" s="160"/>
      <c r="BX116" s="160"/>
      <c r="BY116" s="160"/>
      <c r="BZ116" s="160"/>
      <c r="CA116" s="160"/>
      <c r="CB116" s="160"/>
      <c r="CC116" s="160"/>
      <c r="CD116" s="160"/>
      <c r="CE116" s="160"/>
      <c r="CF116" s="160"/>
      <c r="CG116" s="160"/>
      <c r="CH116" s="160"/>
      <c r="CI116" s="160"/>
      <c r="CJ116" s="160"/>
      <c r="CK116" s="160"/>
      <c r="CL116" s="160"/>
      <c r="CM116" s="160"/>
      <c r="CN116" s="160"/>
      <c r="CO116" s="160"/>
      <c r="CP116" s="160"/>
      <c r="CQ116" s="160"/>
      <c r="CR116" s="160"/>
      <c r="CS116" s="160"/>
      <c r="CT116" s="160"/>
      <c r="CU116" s="160"/>
      <c r="CV116" s="160"/>
      <c r="CW116" s="160"/>
      <c r="CX116" s="160"/>
      <c r="CY116" s="160"/>
      <c r="CZ116" s="160"/>
      <c r="DA116" s="160"/>
      <c r="DB116" s="160"/>
      <c r="DC116" s="160"/>
      <c r="DD116" s="160"/>
      <c r="DE116" s="160"/>
      <c r="DF116" s="160"/>
      <c r="DG116" s="160"/>
      <c r="DH116" s="160"/>
      <c r="DI116" s="160"/>
      <c r="DJ116" s="160"/>
      <c r="DK116" s="160"/>
      <c r="DL116" s="160"/>
      <c r="DM116" s="160"/>
      <c r="DN116" s="160"/>
      <c r="DO116" s="160"/>
      <c r="DP116" s="160"/>
      <c r="DQ116" s="160"/>
      <c r="DR116" s="160"/>
    </row>
    <row r="117" spans="2:122" ht="17.25" customHeight="1">
      <c r="B117" s="144" t="str">
        <f>IF(C113="East/West", "Modules - East Section", IF(C113="North/South", "Modules - South Section", "Select Force Direction"))</f>
        <v>Select Force Direction</v>
      </c>
      <c r="C117" s="171"/>
      <c r="D117" s="144" t="s">
        <v>297</v>
      </c>
      <c r="I117" s="162"/>
      <c r="J117" s="162"/>
      <c r="K117" s="170"/>
      <c r="L117" s="170"/>
      <c r="M117" s="170"/>
      <c r="N117" s="160"/>
      <c r="O117" s="160"/>
      <c r="P117" s="160"/>
      <c r="Q117" s="160"/>
      <c r="R117" s="160"/>
      <c r="S117" s="174"/>
      <c r="T117" s="170"/>
      <c r="U117" s="170"/>
      <c r="V117" s="170"/>
      <c r="W117" s="17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160"/>
      <c r="BI117" s="160"/>
      <c r="BJ117" s="160"/>
      <c r="BK117" s="160"/>
      <c r="BL117" s="160"/>
      <c r="BM117" s="160"/>
      <c r="BN117" s="160"/>
      <c r="BO117" s="160"/>
      <c r="BP117" s="160"/>
      <c r="BQ117" s="160"/>
      <c r="BR117" s="160"/>
      <c r="BS117" s="160"/>
      <c r="BT117" s="160"/>
      <c r="BU117" s="160"/>
      <c r="BV117" s="160"/>
      <c r="BW117" s="160"/>
      <c r="BX117" s="160"/>
      <c r="BY117" s="160"/>
      <c r="BZ117" s="160"/>
      <c r="CA117" s="160"/>
      <c r="CB117" s="160"/>
      <c r="CC117" s="160"/>
      <c r="CD117" s="160"/>
      <c r="CE117" s="160"/>
      <c r="CF117" s="160"/>
      <c r="CG117" s="160"/>
      <c r="CH117" s="160"/>
      <c r="CI117" s="160"/>
      <c r="CJ117" s="160"/>
      <c r="CK117" s="160"/>
      <c r="CL117" s="160"/>
      <c r="CM117" s="160"/>
      <c r="CN117" s="160"/>
      <c r="CO117" s="160"/>
      <c r="CP117" s="160"/>
      <c r="CQ117" s="160"/>
      <c r="CR117" s="160"/>
      <c r="CS117" s="160"/>
      <c r="CT117" s="160"/>
      <c r="CU117" s="160"/>
      <c r="CV117" s="160"/>
      <c r="CW117" s="160"/>
      <c r="CX117" s="160"/>
      <c r="CY117" s="160"/>
      <c r="CZ117" s="160"/>
      <c r="DA117" s="160"/>
      <c r="DB117" s="160"/>
      <c r="DC117" s="160"/>
      <c r="DD117" s="160"/>
      <c r="DE117" s="160"/>
      <c r="DF117" s="160"/>
      <c r="DG117" s="160"/>
      <c r="DH117" s="160"/>
      <c r="DI117" s="160"/>
      <c r="DJ117" s="160"/>
      <c r="DK117" s="160"/>
      <c r="DL117" s="160"/>
      <c r="DM117" s="160"/>
      <c r="DN117" s="160"/>
      <c r="DO117" s="160"/>
      <c r="DP117" s="160"/>
      <c r="DQ117" s="160"/>
      <c r="DR117" s="160"/>
    </row>
    <row r="118" spans="2:122" ht="17.25" customHeight="1">
      <c r="B118" s="144" t="str">
        <f>IF(C113="East/West", "Feet - East Section", IF(C113="North/South", "Feet - South Section", "Select Force Direction"))</f>
        <v>Select Force Direction</v>
      </c>
      <c r="C118" s="171"/>
      <c r="D118" s="144" t="s">
        <v>324</v>
      </c>
      <c r="I118" s="162"/>
      <c r="J118" s="162"/>
      <c r="K118" s="170"/>
      <c r="L118" s="170"/>
      <c r="M118" s="170"/>
      <c r="N118" s="160"/>
      <c r="O118" s="160"/>
      <c r="P118" s="160"/>
      <c r="Q118" s="160"/>
      <c r="R118" s="160"/>
      <c r="S118" s="160"/>
      <c r="T118" s="160"/>
      <c r="U118" s="160"/>
      <c r="V118" s="160"/>
      <c r="W118" s="160"/>
      <c r="X118" s="174"/>
      <c r="Y118" s="170"/>
      <c r="Z118" s="170"/>
      <c r="AA118" s="170"/>
      <c r="AB118" s="17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H118" s="160"/>
      <c r="BI118" s="160"/>
      <c r="BJ118" s="160"/>
      <c r="BK118" s="160"/>
      <c r="BL118" s="160"/>
      <c r="BM118" s="160"/>
      <c r="BN118" s="160"/>
      <c r="BO118" s="160"/>
      <c r="BP118" s="160"/>
      <c r="BQ118" s="160"/>
      <c r="BR118" s="160"/>
      <c r="BS118" s="160"/>
      <c r="BT118" s="160"/>
      <c r="BU118" s="160"/>
      <c r="BV118" s="160"/>
      <c r="BW118" s="160"/>
      <c r="BX118" s="160"/>
      <c r="BY118" s="160"/>
      <c r="BZ118" s="160"/>
      <c r="CA118" s="160"/>
      <c r="CB118" s="160"/>
      <c r="CC118" s="160"/>
      <c r="CD118" s="160"/>
      <c r="CE118" s="160"/>
      <c r="CF118" s="160"/>
      <c r="CG118" s="160"/>
      <c r="CH118" s="160"/>
      <c r="CI118" s="160"/>
      <c r="CJ118" s="160"/>
      <c r="CK118" s="160"/>
      <c r="CL118" s="160"/>
      <c r="CM118" s="160"/>
      <c r="CN118" s="160"/>
      <c r="CO118" s="160"/>
      <c r="CP118" s="160"/>
      <c r="CQ118" s="160"/>
      <c r="CR118" s="160"/>
      <c r="CS118" s="160"/>
      <c r="CT118" s="160"/>
      <c r="CU118" s="160"/>
      <c r="CV118" s="160"/>
      <c r="CW118" s="160"/>
      <c r="CX118" s="160"/>
      <c r="CY118" s="160"/>
      <c r="CZ118" s="160"/>
      <c r="DA118" s="160"/>
      <c r="DB118" s="160"/>
      <c r="DC118" s="160"/>
      <c r="DD118" s="160"/>
      <c r="DE118" s="160"/>
      <c r="DF118" s="160"/>
      <c r="DG118" s="160"/>
      <c r="DH118" s="160"/>
      <c r="DI118" s="160"/>
      <c r="DJ118" s="160"/>
      <c r="DK118" s="160"/>
      <c r="DL118" s="160"/>
      <c r="DM118" s="160"/>
      <c r="DN118" s="160"/>
      <c r="DO118" s="160"/>
      <c r="DP118" s="160"/>
      <c r="DQ118" s="160"/>
      <c r="DR118" s="160"/>
    </row>
    <row r="119" spans="2:122" ht="17.25" customHeight="1">
      <c r="B119" s="144" t="s">
        <v>304</v>
      </c>
      <c r="C119" s="172">
        <f>IF(C115&lt;C117,C115*$C$30+C114*$C$27,C117*$C$30+C118*$C$27)</f>
        <v>0</v>
      </c>
      <c r="D119" s="144" t="s">
        <v>290</v>
      </c>
      <c r="I119" s="162"/>
      <c r="J119" s="162"/>
      <c r="K119" s="170"/>
      <c r="L119" s="170"/>
      <c r="M119" s="170"/>
      <c r="N119" s="160"/>
      <c r="O119" s="160"/>
      <c r="P119" s="160"/>
      <c r="Q119" s="160"/>
      <c r="R119" s="160"/>
      <c r="S119" s="160"/>
      <c r="T119" s="160"/>
      <c r="U119" s="160"/>
      <c r="V119" s="160"/>
      <c r="W119" s="160"/>
      <c r="X119" s="174"/>
      <c r="Y119" s="170"/>
      <c r="Z119" s="170"/>
      <c r="AA119" s="170"/>
      <c r="AB119" s="170"/>
      <c r="AC119" s="174"/>
      <c r="AD119" s="170"/>
      <c r="AE119" s="170"/>
      <c r="AF119" s="170"/>
      <c r="AG119" s="17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H119" s="160"/>
      <c r="BI119" s="160"/>
      <c r="BJ119" s="160"/>
      <c r="BK119" s="160"/>
      <c r="BL119" s="160"/>
      <c r="BM119" s="160"/>
      <c r="BN119" s="160"/>
      <c r="BO119" s="160"/>
      <c r="BP119" s="160"/>
      <c r="BQ119" s="160"/>
      <c r="BR119" s="160"/>
      <c r="BS119" s="160"/>
      <c r="BT119" s="160"/>
      <c r="BU119" s="160"/>
      <c r="BV119" s="160"/>
      <c r="BW119" s="160"/>
      <c r="BX119" s="160"/>
      <c r="BY119" s="160"/>
      <c r="BZ119" s="160"/>
      <c r="CA119" s="160"/>
      <c r="CB119" s="160"/>
      <c r="CC119" s="160"/>
      <c r="CD119" s="160"/>
      <c r="CE119" s="160"/>
      <c r="CF119" s="160"/>
      <c r="CG119" s="160"/>
      <c r="CH119" s="160"/>
      <c r="CI119" s="160"/>
      <c r="CJ119" s="160"/>
      <c r="CK119" s="160"/>
      <c r="CL119" s="160"/>
      <c r="CM119" s="160"/>
      <c r="CN119" s="160"/>
      <c r="CO119" s="160"/>
      <c r="CP119" s="160"/>
      <c r="CQ119" s="160"/>
      <c r="CR119" s="160"/>
      <c r="CS119" s="160"/>
      <c r="CT119" s="160"/>
      <c r="CU119" s="160"/>
      <c r="CV119" s="160"/>
      <c r="CW119" s="160"/>
      <c r="CX119" s="160"/>
      <c r="CY119" s="160"/>
      <c r="CZ119" s="160"/>
      <c r="DA119" s="160"/>
      <c r="DB119" s="160"/>
      <c r="DC119" s="160"/>
      <c r="DD119" s="160"/>
      <c r="DE119" s="160"/>
      <c r="DF119" s="160"/>
      <c r="DG119" s="160"/>
      <c r="DH119" s="160"/>
      <c r="DI119" s="160"/>
      <c r="DJ119" s="160"/>
      <c r="DK119" s="160"/>
      <c r="DL119" s="160"/>
      <c r="DM119" s="160"/>
      <c r="DN119" s="160"/>
      <c r="DO119" s="160"/>
      <c r="DP119" s="160"/>
      <c r="DQ119" s="160"/>
      <c r="DR119" s="160"/>
    </row>
    <row r="120" spans="2:122" ht="17.25" customHeight="1">
      <c r="B120" s="144" t="s">
        <v>305</v>
      </c>
      <c r="C120" s="172">
        <f>IF(0.133*C119*$C$9&gt;0.1*C119, 0.133*C119*$C$9, 0.1*C119)</f>
        <v>0</v>
      </c>
      <c r="D120" s="144" t="s">
        <v>290</v>
      </c>
      <c r="I120" s="162"/>
      <c r="J120" s="162"/>
      <c r="K120" s="170"/>
      <c r="L120" s="170"/>
      <c r="M120" s="170"/>
      <c r="N120" s="160"/>
      <c r="O120" s="160"/>
      <c r="P120" s="160"/>
      <c r="Q120" s="160"/>
      <c r="R120" s="160"/>
      <c r="S120" s="160"/>
      <c r="T120" s="160"/>
      <c r="U120" s="160"/>
      <c r="V120" s="160"/>
      <c r="W120" s="160"/>
      <c r="X120" s="174"/>
      <c r="Y120" s="170"/>
      <c r="Z120" s="170"/>
      <c r="AA120" s="170"/>
      <c r="AB120" s="170"/>
      <c r="AC120" s="174"/>
      <c r="AD120" s="170"/>
      <c r="AE120" s="170"/>
      <c r="AF120" s="170"/>
      <c r="AG120" s="17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H120" s="160"/>
      <c r="BI120" s="160"/>
      <c r="BJ120" s="160"/>
      <c r="BK120" s="160"/>
      <c r="BL120" s="160"/>
      <c r="BM120" s="160"/>
      <c r="BN120" s="160"/>
      <c r="BO120" s="160"/>
      <c r="BP120" s="160"/>
      <c r="BQ120" s="160"/>
      <c r="BR120" s="160"/>
      <c r="BS120" s="160"/>
      <c r="BT120" s="160"/>
      <c r="BU120" s="160"/>
      <c r="BV120" s="160"/>
      <c r="BW120" s="160"/>
      <c r="BX120" s="160"/>
      <c r="BY120" s="160"/>
      <c r="BZ120" s="160"/>
      <c r="CA120" s="160"/>
      <c r="CB120" s="160"/>
      <c r="CC120" s="160"/>
      <c r="CD120" s="160"/>
      <c r="CE120" s="160"/>
      <c r="CF120" s="160"/>
      <c r="CG120" s="160"/>
      <c r="CH120" s="160"/>
      <c r="CI120" s="160"/>
      <c r="CJ120" s="160"/>
      <c r="CK120" s="160"/>
      <c r="CL120" s="160"/>
      <c r="CM120" s="160"/>
      <c r="CN120" s="160"/>
      <c r="CO120" s="160"/>
      <c r="CP120" s="160"/>
      <c r="CQ120" s="160"/>
      <c r="CR120" s="160"/>
      <c r="CS120" s="160"/>
      <c r="CT120" s="160"/>
      <c r="CU120" s="160"/>
      <c r="CV120" s="160"/>
      <c r="CW120" s="160"/>
      <c r="CX120" s="160"/>
      <c r="CY120" s="160"/>
      <c r="CZ120" s="160"/>
      <c r="DA120" s="160"/>
      <c r="DB120" s="160"/>
      <c r="DC120" s="160"/>
      <c r="DD120" s="160"/>
      <c r="DE120" s="160"/>
      <c r="DF120" s="160"/>
      <c r="DG120" s="160"/>
      <c r="DH120" s="160"/>
      <c r="DI120" s="160"/>
      <c r="DJ120" s="160"/>
      <c r="DK120" s="160"/>
      <c r="DL120" s="160"/>
      <c r="DM120" s="160"/>
      <c r="DN120" s="160"/>
      <c r="DO120" s="160"/>
      <c r="DP120" s="160"/>
      <c r="DQ120" s="160"/>
      <c r="DR120" s="160"/>
    </row>
    <row r="121" spans="2:122" ht="17.25" customHeight="1">
      <c r="B121" s="144" t="s">
        <v>306</v>
      </c>
      <c r="C121" s="172" t="e">
        <f>C120/C116</f>
        <v>#DIV/0!</v>
      </c>
      <c r="D121" s="144" t="s">
        <v>290</v>
      </c>
      <c r="I121" s="162"/>
      <c r="J121" s="162"/>
      <c r="K121" s="170"/>
      <c r="L121" s="170"/>
      <c r="M121" s="170"/>
      <c r="N121" s="160"/>
      <c r="O121" s="160"/>
      <c r="P121" s="160"/>
      <c r="Q121" s="160"/>
      <c r="R121" s="160"/>
      <c r="S121" s="160"/>
      <c r="T121" s="160"/>
      <c r="U121" s="160"/>
      <c r="V121" s="160"/>
      <c r="W121" s="160"/>
      <c r="X121" s="160"/>
      <c r="Y121" s="160"/>
      <c r="Z121" s="160"/>
      <c r="AA121" s="160"/>
      <c r="AB121" s="160"/>
      <c r="AC121" s="174"/>
      <c r="AD121" s="170"/>
      <c r="AE121" s="170"/>
      <c r="AF121" s="170"/>
      <c r="AG121" s="170"/>
      <c r="AH121" s="174"/>
      <c r="AI121" s="170"/>
      <c r="AJ121" s="170"/>
      <c r="AK121" s="170"/>
      <c r="AL121" s="17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H121" s="160"/>
      <c r="BI121" s="160"/>
      <c r="BJ121" s="160"/>
      <c r="BK121" s="160"/>
      <c r="BL121" s="160"/>
      <c r="BM121" s="160"/>
      <c r="BN121" s="160"/>
      <c r="BO121" s="160"/>
      <c r="BP121" s="160"/>
      <c r="BQ121" s="160"/>
      <c r="BR121" s="160"/>
      <c r="BS121" s="160"/>
      <c r="BT121" s="160"/>
      <c r="BU121" s="160"/>
      <c r="BV121" s="160"/>
      <c r="BW121" s="160"/>
      <c r="BX121" s="160"/>
      <c r="BY121" s="160"/>
      <c r="BZ121" s="160"/>
      <c r="CA121" s="160"/>
      <c r="CB121" s="160"/>
      <c r="CC121" s="160"/>
      <c r="CD121" s="160"/>
      <c r="CE121" s="160"/>
      <c r="CF121" s="160"/>
      <c r="CG121" s="160"/>
      <c r="CH121" s="160"/>
      <c r="CI121" s="160"/>
      <c r="CJ121" s="160"/>
      <c r="CK121" s="160"/>
      <c r="CL121" s="160"/>
      <c r="CM121" s="160"/>
      <c r="CN121" s="160"/>
      <c r="CO121" s="160"/>
      <c r="CP121" s="160"/>
      <c r="CQ121" s="160"/>
      <c r="CR121" s="160"/>
      <c r="CS121" s="160"/>
      <c r="CT121" s="160"/>
      <c r="CU121" s="160"/>
      <c r="CV121" s="160"/>
      <c r="CW121" s="160"/>
      <c r="CX121" s="160"/>
      <c r="CY121" s="160"/>
      <c r="CZ121" s="160"/>
      <c r="DA121" s="160"/>
      <c r="DB121" s="160"/>
      <c r="DC121" s="160"/>
      <c r="DD121" s="160"/>
      <c r="DE121" s="160"/>
      <c r="DF121" s="160"/>
      <c r="DG121" s="160"/>
      <c r="DH121" s="160"/>
      <c r="DI121" s="160"/>
      <c r="DJ121" s="160"/>
      <c r="DK121" s="160"/>
      <c r="DL121" s="160"/>
      <c r="DM121" s="160"/>
      <c r="DN121" s="160"/>
      <c r="DO121" s="160"/>
      <c r="DP121" s="160"/>
      <c r="DQ121" s="160"/>
      <c r="DR121" s="160"/>
    </row>
    <row r="122" spans="2:122" ht="17.25" customHeight="1">
      <c r="B122" s="144" t="s">
        <v>307</v>
      </c>
      <c r="C122" s="154" t="e">
        <f>IF(C113="EAST/WEST", IF($C$20&gt;=C121,"Pass","Fail"), IF($C$22&gt;=C121,"Pass", "Fail"))</f>
        <v>#DIV/0!</v>
      </c>
      <c r="I122" s="162"/>
      <c r="J122" s="162"/>
      <c r="K122" s="170"/>
      <c r="L122" s="170"/>
      <c r="M122" s="170"/>
      <c r="N122" s="160"/>
      <c r="O122" s="160"/>
      <c r="P122" s="160"/>
      <c r="Q122" s="160"/>
      <c r="R122" s="160"/>
      <c r="S122" s="160"/>
      <c r="T122" s="160"/>
      <c r="U122" s="160"/>
      <c r="V122" s="160"/>
      <c r="W122" s="160"/>
      <c r="X122" s="160"/>
      <c r="Y122" s="160"/>
      <c r="Z122" s="160"/>
      <c r="AA122" s="160"/>
      <c r="AB122" s="160"/>
      <c r="AC122" s="174"/>
      <c r="AD122" s="170"/>
      <c r="AE122" s="170"/>
      <c r="AF122" s="170"/>
      <c r="AG122" s="170"/>
      <c r="AH122" s="174"/>
      <c r="AI122" s="170"/>
      <c r="AJ122" s="170"/>
      <c r="AK122" s="170"/>
      <c r="AL122" s="17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H122" s="160"/>
      <c r="BI122" s="160"/>
      <c r="BJ122" s="160"/>
      <c r="BK122" s="160"/>
      <c r="BL122" s="160"/>
      <c r="BM122" s="160"/>
      <c r="BN122" s="160"/>
      <c r="BO122" s="160"/>
      <c r="BP122" s="160"/>
      <c r="BQ122" s="160"/>
      <c r="BR122" s="160"/>
      <c r="BS122" s="160"/>
      <c r="BT122" s="160"/>
      <c r="BU122" s="160"/>
      <c r="BV122" s="160"/>
      <c r="BW122" s="160"/>
      <c r="BX122" s="160"/>
      <c r="BY122" s="160"/>
      <c r="BZ122" s="160"/>
      <c r="CA122" s="160"/>
      <c r="CB122" s="160"/>
      <c r="CC122" s="160"/>
      <c r="CD122" s="160"/>
      <c r="CE122" s="160"/>
      <c r="CF122" s="160"/>
      <c r="CG122" s="160"/>
      <c r="CH122" s="160"/>
      <c r="CI122" s="160"/>
      <c r="CJ122" s="160"/>
      <c r="CK122" s="160"/>
      <c r="CL122" s="160"/>
      <c r="CM122" s="160"/>
      <c r="CN122" s="160"/>
      <c r="CO122" s="160"/>
      <c r="CP122" s="160"/>
      <c r="CQ122" s="160"/>
      <c r="CR122" s="160"/>
      <c r="CS122" s="160"/>
      <c r="CT122" s="160"/>
      <c r="CU122" s="160"/>
      <c r="CV122" s="160"/>
      <c r="CW122" s="160"/>
      <c r="CX122" s="160"/>
      <c r="CY122" s="160"/>
      <c r="CZ122" s="160"/>
      <c r="DA122" s="160"/>
      <c r="DB122" s="160"/>
      <c r="DC122" s="160"/>
      <c r="DD122" s="160"/>
      <c r="DE122" s="160"/>
      <c r="DF122" s="160"/>
      <c r="DG122" s="160"/>
      <c r="DH122" s="160"/>
      <c r="DI122" s="160"/>
      <c r="DJ122" s="160"/>
      <c r="DK122" s="160"/>
      <c r="DL122" s="160"/>
      <c r="DM122" s="160"/>
      <c r="DN122" s="160"/>
      <c r="DO122" s="160"/>
      <c r="DP122" s="160"/>
      <c r="DQ122" s="160"/>
      <c r="DR122" s="160"/>
    </row>
    <row r="123" spans="2:122" ht="17.25" customHeight="1">
      <c r="B123" s="144" t="s">
        <v>308</v>
      </c>
      <c r="C123" s="172" t="e">
        <f>IF(C115&lt;C117,C115/C116,C117/C116)</f>
        <v>#DIV/0!</v>
      </c>
      <c r="D123" s="144" t="s">
        <v>309</v>
      </c>
      <c r="I123" s="162"/>
      <c r="J123" s="162"/>
      <c r="K123" s="170"/>
      <c r="L123" s="170"/>
      <c r="M123" s="17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c r="BH123" s="160"/>
      <c r="BI123" s="160"/>
      <c r="BJ123" s="160"/>
      <c r="BK123" s="160"/>
      <c r="BL123" s="160"/>
      <c r="BM123" s="160"/>
      <c r="BN123" s="160"/>
      <c r="BO123" s="160"/>
      <c r="BP123" s="160"/>
      <c r="BQ123" s="160"/>
      <c r="BR123" s="160"/>
      <c r="BS123" s="160"/>
      <c r="BT123" s="160"/>
      <c r="BU123" s="160"/>
      <c r="BV123" s="160"/>
      <c r="BW123" s="160"/>
      <c r="BX123" s="160"/>
      <c r="BY123" s="160"/>
      <c r="BZ123" s="160"/>
      <c r="CA123" s="160"/>
      <c r="CB123" s="160"/>
      <c r="CC123" s="160"/>
      <c r="CD123" s="160"/>
      <c r="CE123" s="160"/>
      <c r="CF123" s="160"/>
      <c r="CG123" s="160"/>
      <c r="CH123" s="160"/>
      <c r="CI123" s="160"/>
      <c r="CJ123" s="160"/>
      <c r="CK123" s="160"/>
      <c r="CL123" s="160"/>
      <c r="CM123" s="160"/>
      <c r="CN123" s="160"/>
      <c r="CO123" s="160"/>
      <c r="CP123" s="160"/>
      <c r="CQ123" s="160"/>
      <c r="CR123" s="160"/>
      <c r="CS123" s="160"/>
      <c r="CT123" s="160"/>
      <c r="CU123" s="160"/>
      <c r="CV123" s="160"/>
      <c r="CW123" s="160"/>
      <c r="CX123" s="160"/>
      <c r="CY123" s="160"/>
      <c r="CZ123" s="160"/>
      <c r="DA123" s="160"/>
      <c r="DB123" s="160"/>
      <c r="DC123" s="160"/>
      <c r="DD123" s="160"/>
      <c r="DE123" s="160"/>
      <c r="DF123" s="160"/>
      <c r="DG123" s="160"/>
      <c r="DH123" s="160"/>
      <c r="DI123" s="160"/>
      <c r="DJ123" s="160"/>
      <c r="DK123" s="160"/>
      <c r="DL123" s="160"/>
      <c r="DM123" s="160"/>
      <c r="DN123" s="160"/>
      <c r="DO123" s="160"/>
      <c r="DP123" s="160"/>
      <c r="DQ123" s="160"/>
      <c r="DR123" s="160"/>
    </row>
    <row r="124" spans="2:122" ht="17.25" customHeight="1">
      <c r="B124" s="159"/>
      <c r="C124" s="175"/>
      <c r="D124" s="159"/>
      <c r="I124" s="162"/>
      <c r="J124" s="162"/>
      <c r="K124" s="170"/>
      <c r="L124" s="170"/>
      <c r="M124" s="17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c r="BH124" s="160"/>
      <c r="BI124" s="160"/>
      <c r="BJ124" s="160"/>
      <c r="BK124" s="160"/>
      <c r="BL124" s="160"/>
      <c r="BM124" s="160"/>
      <c r="BN124" s="160"/>
      <c r="BO124" s="160"/>
      <c r="BP124" s="160"/>
      <c r="BQ124" s="160"/>
      <c r="BR124" s="160"/>
      <c r="BS124" s="160"/>
      <c r="BT124" s="160"/>
      <c r="BU124" s="160"/>
      <c r="BV124" s="160"/>
      <c r="BW124" s="160"/>
      <c r="BX124" s="160"/>
      <c r="BY124" s="160"/>
      <c r="BZ124" s="160"/>
      <c r="CA124" s="160"/>
      <c r="CB124" s="160"/>
      <c r="CC124" s="160"/>
      <c r="CD124" s="160"/>
      <c r="CE124" s="160"/>
      <c r="CF124" s="160"/>
      <c r="CG124" s="160"/>
      <c r="CH124" s="160"/>
      <c r="CI124" s="160"/>
      <c r="CJ124" s="160"/>
      <c r="CK124" s="160"/>
      <c r="CL124" s="160"/>
      <c r="CM124" s="160"/>
      <c r="CN124" s="160"/>
      <c r="CO124" s="160"/>
      <c r="CP124" s="160"/>
      <c r="CQ124" s="160"/>
      <c r="CR124" s="160"/>
      <c r="CS124" s="160"/>
      <c r="CT124" s="160"/>
      <c r="CU124" s="160"/>
      <c r="CV124" s="160"/>
      <c r="CW124" s="160"/>
      <c r="CX124" s="160"/>
      <c r="CY124" s="160"/>
      <c r="CZ124" s="160"/>
      <c r="DA124" s="160"/>
      <c r="DB124" s="160"/>
      <c r="DC124" s="160"/>
      <c r="DD124" s="160"/>
      <c r="DE124" s="160"/>
      <c r="DF124" s="160"/>
      <c r="DG124" s="160"/>
      <c r="DH124" s="160"/>
      <c r="DI124" s="160"/>
      <c r="DJ124" s="160"/>
      <c r="DK124" s="160"/>
      <c r="DL124" s="160"/>
      <c r="DM124" s="160"/>
      <c r="DN124" s="160"/>
      <c r="DO124" s="160"/>
      <c r="DP124" s="160"/>
      <c r="DQ124" s="160"/>
      <c r="DR124" s="160"/>
    </row>
    <row r="125" spans="2:122" ht="17.25" customHeight="1">
      <c r="B125" s="167" t="s">
        <v>299</v>
      </c>
      <c r="C125" s="168"/>
      <c r="D125" s="166"/>
      <c r="I125" s="162"/>
      <c r="J125" s="162"/>
      <c r="K125" s="170"/>
      <c r="L125" s="170"/>
      <c r="M125" s="17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H125" s="160"/>
      <c r="BI125" s="160"/>
      <c r="BJ125" s="160"/>
      <c r="BK125" s="160"/>
      <c r="BL125" s="160"/>
      <c r="BM125" s="160"/>
      <c r="BN125" s="160"/>
      <c r="BO125" s="160"/>
      <c r="BP125" s="160"/>
      <c r="BQ125" s="160"/>
      <c r="BR125" s="160"/>
      <c r="BS125" s="160"/>
      <c r="BT125" s="160"/>
      <c r="BU125" s="160"/>
      <c r="BV125" s="160"/>
      <c r="BW125" s="160"/>
      <c r="BX125" s="160"/>
      <c r="BY125" s="160"/>
      <c r="BZ125" s="160"/>
      <c r="CA125" s="160"/>
      <c r="CB125" s="160"/>
      <c r="CC125" s="160"/>
      <c r="CD125" s="160"/>
      <c r="CE125" s="160"/>
      <c r="CF125" s="160"/>
      <c r="CG125" s="160"/>
      <c r="CH125" s="160"/>
      <c r="CI125" s="160"/>
      <c r="CJ125" s="160"/>
      <c r="CK125" s="160"/>
      <c r="CL125" s="160"/>
      <c r="CM125" s="160"/>
      <c r="CN125" s="160"/>
      <c r="CO125" s="160"/>
      <c r="CP125" s="160"/>
      <c r="CQ125" s="160"/>
      <c r="CR125" s="160"/>
      <c r="CS125" s="160"/>
      <c r="CT125" s="160"/>
      <c r="CU125" s="160"/>
      <c r="CV125" s="160"/>
      <c r="CW125" s="160"/>
      <c r="CX125" s="160"/>
      <c r="CY125" s="160"/>
      <c r="CZ125" s="160"/>
      <c r="DA125" s="160"/>
      <c r="DB125" s="160"/>
      <c r="DC125" s="160"/>
      <c r="DD125" s="160"/>
      <c r="DE125" s="160"/>
      <c r="DF125" s="160"/>
      <c r="DG125" s="160"/>
      <c r="DH125" s="160"/>
      <c r="DI125" s="160"/>
      <c r="DJ125" s="160"/>
      <c r="DK125" s="160"/>
      <c r="DL125" s="160"/>
      <c r="DM125" s="160"/>
      <c r="DN125" s="160"/>
      <c r="DO125" s="160"/>
      <c r="DP125" s="160"/>
      <c r="DQ125" s="160"/>
      <c r="DR125" s="160"/>
    </row>
    <row r="126" spans="2:122" ht="17.25" customHeight="1">
      <c r="B126" s="167" t="s">
        <v>301</v>
      </c>
      <c r="C126" s="168" t="s">
        <v>302</v>
      </c>
      <c r="D126" s="166"/>
      <c r="I126" s="162"/>
      <c r="J126" s="162"/>
      <c r="K126" s="170"/>
      <c r="L126" s="170"/>
      <c r="M126" s="170"/>
      <c r="N126" s="174"/>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c r="BW126" s="160"/>
      <c r="BX126" s="160"/>
      <c r="BY126" s="160"/>
      <c r="BZ126" s="160"/>
      <c r="CA126" s="160"/>
      <c r="CB126" s="160"/>
      <c r="CC126" s="160"/>
      <c r="CD126" s="160"/>
      <c r="CE126" s="160"/>
      <c r="CF126" s="160"/>
      <c r="CG126" s="160"/>
      <c r="CH126" s="160"/>
      <c r="CI126" s="160"/>
      <c r="CJ126" s="160"/>
      <c r="CK126" s="160"/>
      <c r="CL126" s="160"/>
      <c r="CM126" s="160"/>
      <c r="CN126" s="160"/>
      <c r="CO126" s="160"/>
      <c r="CP126" s="160"/>
      <c r="CQ126" s="160"/>
      <c r="CR126" s="160"/>
      <c r="CS126" s="160"/>
      <c r="CT126" s="160"/>
      <c r="CU126" s="160"/>
      <c r="CV126" s="160"/>
      <c r="CW126" s="160"/>
      <c r="CX126" s="160"/>
      <c r="CY126" s="160"/>
      <c r="CZ126" s="160"/>
      <c r="DA126" s="160"/>
      <c r="DB126" s="160"/>
      <c r="DC126" s="160"/>
      <c r="DD126" s="160"/>
      <c r="DE126" s="160"/>
      <c r="DF126" s="160"/>
      <c r="DG126" s="160"/>
      <c r="DH126" s="160"/>
      <c r="DI126" s="160"/>
      <c r="DJ126" s="160"/>
      <c r="DK126" s="160"/>
      <c r="DL126" s="160"/>
      <c r="DM126" s="160"/>
      <c r="DN126" s="160"/>
      <c r="DO126" s="160"/>
      <c r="DP126" s="160"/>
      <c r="DQ126" s="160"/>
      <c r="DR126" s="160"/>
    </row>
    <row r="127" spans="2:122" ht="17.25" customHeight="1">
      <c r="B127" s="144" t="str">
        <f>IF(C126="East/West", "Feet - West Section", IF(C126="North/South", "Feet - North Section", "Select Force Direction"))</f>
        <v>Select Force Direction</v>
      </c>
      <c r="C127" s="171"/>
      <c r="D127" s="144" t="s">
        <v>324</v>
      </c>
      <c r="I127" s="162"/>
      <c r="J127" s="162"/>
      <c r="K127" s="170"/>
      <c r="L127" s="170"/>
      <c r="M127" s="17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c r="BH127" s="160"/>
      <c r="BI127" s="160"/>
      <c r="BJ127" s="160"/>
      <c r="BK127" s="160"/>
      <c r="BL127" s="160"/>
      <c r="BM127" s="160"/>
      <c r="BN127" s="160"/>
      <c r="BO127" s="160"/>
      <c r="BP127" s="160"/>
      <c r="BQ127" s="160"/>
      <c r="BR127" s="160"/>
      <c r="BS127" s="160"/>
      <c r="BT127" s="160"/>
      <c r="BU127" s="160"/>
      <c r="BV127" s="160"/>
      <c r="BW127" s="160"/>
      <c r="BX127" s="160"/>
      <c r="BY127" s="160"/>
      <c r="BZ127" s="160"/>
      <c r="CA127" s="160"/>
      <c r="CB127" s="160"/>
      <c r="CC127" s="160"/>
      <c r="CD127" s="160"/>
      <c r="CE127" s="160"/>
      <c r="CF127" s="160"/>
      <c r="CG127" s="160"/>
      <c r="CH127" s="160"/>
      <c r="CI127" s="160"/>
      <c r="CJ127" s="160"/>
      <c r="CK127" s="160"/>
      <c r="CL127" s="160"/>
      <c r="CM127" s="160"/>
      <c r="CN127" s="160"/>
      <c r="CO127" s="160"/>
      <c r="CP127" s="160"/>
      <c r="CQ127" s="160"/>
      <c r="CR127" s="160"/>
      <c r="CS127" s="160"/>
      <c r="CT127" s="160"/>
      <c r="CU127" s="160"/>
      <c r="CV127" s="160"/>
      <c r="CW127" s="160"/>
      <c r="CX127" s="160"/>
      <c r="CY127" s="160"/>
      <c r="CZ127" s="160"/>
      <c r="DA127" s="160"/>
      <c r="DB127" s="160"/>
      <c r="DC127" s="160"/>
      <c r="DD127" s="160"/>
      <c r="DE127" s="160"/>
      <c r="DF127" s="160"/>
      <c r="DG127" s="160"/>
      <c r="DH127" s="160"/>
      <c r="DI127" s="160"/>
      <c r="DJ127" s="160"/>
      <c r="DK127" s="160"/>
      <c r="DL127" s="160"/>
      <c r="DM127" s="160"/>
      <c r="DN127" s="160"/>
      <c r="DO127" s="160"/>
      <c r="DP127" s="160"/>
      <c r="DQ127" s="160"/>
      <c r="DR127" s="160"/>
    </row>
    <row r="128" spans="2:122" ht="17.25" customHeight="1">
      <c r="B128" s="144" t="str">
        <f>IF(C126="East/West", "Modules - West Section", IF(C126="North/South", "Modules - North Section", "Select Force Direction"))</f>
        <v>Select Force Direction</v>
      </c>
      <c r="C128" s="171"/>
      <c r="D128" s="144" t="s">
        <v>297</v>
      </c>
      <c r="I128" s="162"/>
      <c r="J128" s="162"/>
      <c r="K128" s="170"/>
      <c r="L128" s="170"/>
      <c r="M128" s="170"/>
      <c r="N128" s="174"/>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c r="BH128" s="160"/>
      <c r="BI128" s="160"/>
      <c r="BJ128" s="160"/>
      <c r="BK128" s="160"/>
      <c r="BL128" s="160"/>
      <c r="BM128" s="160"/>
      <c r="BN128" s="160"/>
      <c r="BO128" s="160"/>
      <c r="BP128" s="160"/>
      <c r="BQ128" s="160"/>
      <c r="BR128" s="160"/>
      <c r="BS128" s="160"/>
      <c r="BT128" s="160"/>
      <c r="BU128" s="160"/>
      <c r="BV128" s="160"/>
      <c r="BW128" s="160"/>
      <c r="BX128" s="160"/>
      <c r="BY128" s="160"/>
      <c r="BZ128" s="160"/>
      <c r="CA128" s="160"/>
      <c r="CB128" s="160"/>
      <c r="CC128" s="160"/>
      <c r="CD128" s="160"/>
      <c r="CE128" s="160"/>
      <c r="CF128" s="160"/>
      <c r="CG128" s="160"/>
      <c r="CH128" s="160"/>
      <c r="CI128" s="160"/>
      <c r="CJ128" s="160"/>
      <c r="CK128" s="160"/>
      <c r="CL128" s="160"/>
      <c r="CM128" s="160"/>
      <c r="CN128" s="160"/>
      <c r="CO128" s="160"/>
      <c r="CP128" s="160"/>
      <c r="CQ128" s="160"/>
      <c r="CR128" s="160"/>
      <c r="CS128" s="160"/>
      <c r="CT128" s="160"/>
      <c r="CU128" s="160"/>
      <c r="CV128" s="160"/>
      <c r="CW128" s="160"/>
      <c r="CX128" s="160"/>
      <c r="CY128" s="160"/>
      <c r="CZ128" s="160"/>
      <c r="DA128" s="160"/>
      <c r="DB128" s="160"/>
      <c r="DC128" s="160"/>
      <c r="DD128" s="160"/>
      <c r="DE128" s="160"/>
      <c r="DF128" s="160"/>
      <c r="DG128" s="160"/>
      <c r="DH128" s="160"/>
      <c r="DI128" s="160"/>
      <c r="DJ128" s="160"/>
      <c r="DK128" s="160"/>
      <c r="DL128" s="160"/>
      <c r="DM128" s="160"/>
      <c r="DN128" s="160"/>
      <c r="DO128" s="160"/>
      <c r="DP128" s="160"/>
      <c r="DQ128" s="160"/>
      <c r="DR128" s="160"/>
    </row>
    <row r="129" spans="2:122" ht="17.25" customHeight="1">
      <c r="B129" s="144" t="s">
        <v>303</v>
      </c>
      <c r="C129" s="171"/>
      <c r="D129" s="144" t="s">
        <v>297</v>
      </c>
      <c r="I129" s="162"/>
      <c r="J129" s="162"/>
      <c r="K129" s="170"/>
      <c r="L129" s="170"/>
      <c r="M129" s="170"/>
      <c r="N129" s="176"/>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c r="BH129" s="160"/>
      <c r="BI129" s="160"/>
      <c r="BJ129" s="160"/>
      <c r="BK129" s="160"/>
      <c r="BL129" s="160"/>
      <c r="BM129" s="160"/>
      <c r="BN129" s="160"/>
      <c r="BO129" s="160"/>
      <c r="BP129" s="160"/>
      <c r="BQ129" s="160"/>
      <c r="BR129" s="160"/>
      <c r="BS129" s="160"/>
      <c r="BT129" s="160"/>
      <c r="BU129" s="160"/>
      <c r="BV129" s="160"/>
      <c r="BW129" s="160"/>
      <c r="BX129" s="160"/>
      <c r="BY129" s="160"/>
      <c r="BZ129" s="160"/>
      <c r="CA129" s="160"/>
      <c r="CB129" s="160"/>
      <c r="CC129" s="160"/>
      <c r="CD129" s="160"/>
      <c r="CE129" s="160"/>
      <c r="CF129" s="160"/>
      <c r="CG129" s="160"/>
      <c r="CH129" s="160"/>
      <c r="CI129" s="160"/>
      <c r="CJ129" s="160"/>
      <c r="CK129" s="160"/>
      <c r="CL129" s="160"/>
      <c r="CM129" s="160"/>
      <c r="CN129" s="160"/>
      <c r="CO129" s="160"/>
      <c r="CP129" s="160"/>
      <c r="CQ129" s="160"/>
      <c r="CR129" s="160"/>
      <c r="CS129" s="160"/>
      <c r="CT129" s="160"/>
      <c r="CU129" s="160"/>
      <c r="CV129" s="160"/>
      <c r="CW129" s="160"/>
      <c r="CX129" s="160"/>
      <c r="CY129" s="160"/>
      <c r="CZ129" s="160"/>
      <c r="DA129" s="160"/>
      <c r="DB129" s="160"/>
      <c r="DC129" s="160"/>
      <c r="DD129" s="160"/>
      <c r="DE129" s="160"/>
      <c r="DF129" s="160"/>
      <c r="DG129" s="160"/>
      <c r="DH129" s="160"/>
      <c r="DI129" s="160"/>
      <c r="DJ129" s="160"/>
      <c r="DK129" s="160"/>
      <c r="DL129" s="160"/>
      <c r="DM129" s="160"/>
      <c r="DN129" s="160"/>
      <c r="DO129" s="160"/>
      <c r="DP129" s="160"/>
      <c r="DQ129" s="160"/>
      <c r="DR129" s="160"/>
    </row>
    <row r="130" spans="2:122" ht="17.25" customHeight="1">
      <c r="B130" s="144" t="str">
        <f>IF(C126="East/West", "Modules - East Section", IF(C126="North/South", "Modules - South Section", "Select Force Direction"))</f>
        <v>Select Force Direction</v>
      </c>
      <c r="C130" s="171"/>
      <c r="D130" s="144" t="s">
        <v>297</v>
      </c>
      <c r="I130" s="162"/>
      <c r="J130" s="162"/>
      <c r="K130" s="170"/>
      <c r="L130" s="170"/>
      <c r="M130" s="17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c r="BH130" s="160"/>
      <c r="BI130" s="160"/>
      <c r="BJ130" s="160"/>
      <c r="BK130" s="160"/>
      <c r="BL130" s="160"/>
      <c r="BM130" s="160"/>
      <c r="BN130" s="160"/>
      <c r="BO130" s="160"/>
      <c r="BP130" s="160"/>
      <c r="BQ130" s="160"/>
      <c r="BR130" s="160"/>
      <c r="BS130" s="160"/>
      <c r="BT130" s="160"/>
      <c r="BU130" s="160"/>
      <c r="BV130" s="160"/>
      <c r="BW130" s="160"/>
      <c r="BX130" s="160"/>
      <c r="BY130" s="160"/>
      <c r="BZ130" s="160"/>
      <c r="CA130" s="160"/>
      <c r="CB130" s="160"/>
      <c r="CC130" s="160"/>
      <c r="CD130" s="160"/>
      <c r="CE130" s="160"/>
      <c r="CF130" s="160"/>
      <c r="CG130" s="160"/>
      <c r="CH130" s="160"/>
      <c r="CI130" s="160"/>
      <c r="CJ130" s="160"/>
      <c r="CK130" s="160"/>
      <c r="CL130" s="160"/>
      <c r="CM130" s="160"/>
      <c r="CN130" s="160"/>
      <c r="CO130" s="160"/>
      <c r="CP130" s="160"/>
      <c r="CQ130" s="160"/>
      <c r="CR130" s="160"/>
      <c r="CS130" s="160"/>
      <c r="CT130" s="160"/>
      <c r="CU130" s="160"/>
      <c r="CV130" s="160"/>
      <c r="CW130" s="160"/>
      <c r="CX130" s="160"/>
      <c r="CY130" s="160"/>
      <c r="CZ130" s="160"/>
      <c r="DA130" s="160"/>
      <c r="DB130" s="160"/>
      <c r="DC130" s="160"/>
      <c r="DD130" s="160"/>
      <c r="DE130" s="160"/>
      <c r="DF130" s="160"/>
      <c r="DG130" s="160"/>
      <c r="DH130" s="160"/>
      <c r="DI130" s="160"/>
      <c r="DJ130" s="160"/>
      <c r="DK130" s="160"/>
      <c r="DL130" s="160"/>
      <c r="DM130" s="160"/>
      <c r="DN130" s="160"/>
      <c r="DO130" s="160"/>
      <c r="DP130" s="160"/>
      <c r="DQ130" s="160"/>
      <c r="DR130" s="160"/>
    </row>
    <row r="131" spans="2:122" ht="17.25" customHeight="1">
      <c r="B131" s="144" t="str">
        <f>IF(C126="East/West", "Feet - East Section", IF(C126="North/South", "Feet - South Section", "Select Force Direction"))</f>
        <v>Select Force Direction</v>
      </c>
      <c r="C131" s="171"/>
      <c r="D131" s="144" t="s">
        <v>324</v>
      </c>
      <c r="I131" s="162"/>
      <c r="J131" s="162"/>
      <c r="K131" s="170"/>
      <c r="L131" s="170"/>
      <c r="M131" s="17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c r="BH131" s="160"/>
      <c r="BI131" s="160"/>
      <c r="BJ131" s="160"/>
      <c r="BK131" s="160"/>
      <c r="BL131" s="160"/>
      <c r="BM131" s="160"/>
      <c r="BN131" s="160"/>
      <c r="BO131" s="160"/>
      <c r="BP131" s="160"/>
      <c r="BQ131" s="160"/>
      <c r="BR131" s="160"/>
      <c r="BS131" s="160"/>
      <c r="BT131" s="160"/>
      <c r="BU131" s="160"/>
      <c r="BV131" s="160"/>
      <c r="BW131" s="160"/>
      <c r="BX131" s="160"/>
      <c r="BY131" s="160"/>
      <c r="BZ131" s="160"/>
      <c r="CA131" s="160"/>
      <c r="CB131" s="160"/>
      <c r="CC131" s="160"/>
      <c r="CD131" s="160"/>
      <c r="CE131" s="160"/>
      <c r="CF131" s="160"/>
      <c r="CG131" s="160"/>
      <c r="CH131" s="160"/>
      <c r="CI131" s="160"/>
      <c r="CJ131" s="160"/>
      <c r="CK131" s="160"/>
      <c r="CL131" s="160"/>
      <c r="CM131" s="160"/>
      <c r="CN131" s="160"/>
      <c r="CO131" s="160"/>
      <c r="CP131" s="160"/>
      <c r="CQ131" s="160"/>
      <c r="CR131" s="160"/>
      <c r="CS131" s="160"/>
      <c r="CT131" s="160"/>
      <c r="CU131" s="160"/>
      <c r="CV131" s="160"/>
      <c r="CW131" s="160"/>
      <c r="CX131" s="160"/>
      <c r="CY131" s="160"/>
      <c r="CZ131" s="160"/>
      <c r="DA131" s="160"/>
      <c r="DB131" s="160"/>
      <c r="DC131" s="160"/>
      <c r="DD131" s="160"/>
      <c r="DE131" s="160"/>
      <c r="DF131" s="160"/>
      <c r="DG131" s="160"/>
      <c r="DH131" s="160"/>
      <c r="DI131" s="160"/>
      <c r="DJ131" s="160"/>
      <c r="DK131" s="160"/>
      <c r="DL131" s="160"/>
      <c r="DM131" s="160"/>
      <c r="DN131" s="160"/>
      <c r="DO131" s="160"/>
      <c r="DP131" s="160"/>
      <c r="DQ131" s="160"/>
      <c r="DR131" s="160"/>
    </row>
    <row r="132" spans="2:122" ht="17.25" customHeight="1">
      <c r="B132" s="144" t="s">
        <v>304</v>
      </c>
      <c r="C132" s="172">
        <f>IF(C128&lt;C130,C128*$C$30+C127*$C$27,C130*$C$30+C131*$C$27)</f>
        <v>0</v>
      </c>
      <c r="D132" s="144" t="s">
        <v>290</v>
      </c>
      <c r="I132" s="162"/>
      <c r="J132" s="162"/>
      <c r="K132" s="170"/>
      <c r="L132" s="170"/>
      <c r="M132" s="17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c r="BH132" s="160"/>
      <c r="BI132" s="160"/>
      <c r="BJ132" s="160"/>
      <c r="BK132" s="160"/>
      <c r="BL132" s="160"/>
      <c r="BM132" s="160"/>
      <c r="BN132" s="160"/>
      <c r="BO132" s="160"/>
      <c r="BP132" s="160"/>
      <c r="BQ132" s="160"/>
      <c r="BR132" s="160"/>
      <c r="BS132" s="160"/>
      <c r="BT132" s="160"/>
      <c r="BU132" s="160"/>
      <c r="BV132" s="160"/>
      <c r="BW132" s="160"/>
      <c r="BX132" s="160"/>
      <c r="BY132" s="160"/>
      <c r="BZ132" s="160"/>
      <c r="CA132" s="160"/>
      <c r="CB132" s="160"/>
      <c r="CC132" s="160"/>
      <c r="CD132" s="160"/>
      <c r="CE132" s="160"/>
      <c r="CF132" s="160"/>
      <c r="CG132" s="160"/>
      <c r="CH132" s="160"/>
      <c r="CI132" s="160"/>
      <c r="CJ132" s="160"/>
      <c r="CK132" s="160"/>
      <c r="CL132" s="160"/>
      <c r="CM132" s="160"/>
      <c r="CN132" s="160"/>
      <c r="CO132" s="160"/>
      <c r="CP132" s="160"/>
      <c r="CQ132" s="160"/>
      <c r="CR132" s="160"/>
      <c r="CS132" s="160"/>
      <c r="CT132" s="160"/>
      <c r="CU132" s="160"/>
      <c r="CV132" s="160"/>
      <c r="CW132" s="160"/>
      <c r="CX132" s="160"/>
      <c r="CY132" s="160"/>
      <c r="CZ132" s="160"/>
      <c r="DA132" s="160"/>
      <c r="DB132" s="160"/>
      <c r="DC132" s="160"/>
      <c r="DD132" s="160"/>
      <c r="DE132" s="160"/>
      <c r="DF132" s="160"/>
      <c r="DG132" s="160"/>
      <c r="DH132" s="160"/>
      <c r="DI132" s="160"/>
      <c r="DJ132" s="160"/>
      <c r="DK132" s="160"/>
      <c r="DL132" s="160"/>
      <c r="DM132" s="160"/>
      <c r="DN132" s="160"/>
      <c r="DO132" s="160"/>
      <c r="DP132" s="160"/>
      <c r="DQ132" s="160"/>
      <c r="DR132" s="160"/>
    </row>
    <row r="133" spans="2:122" ht="17.25" customHeight="1">
      <c r="B133" s="144" t="s">
        <v>305</v>
      </c>
      <c r="C133" s="172">
        <f>IF(0.133*C132*$C$9&gt;0.1*C132, 0.133*C132*$C$9, 0.1*C132)</f>
        <v>0</v>
      </c>
      <c r="D133" s="144" t="s">
        <v>290</v>
      </c>
      <c r="I133" s="162"/>
      <c r="J133" s="162"/>
      <c r="K133" s="170"/>
      <c r="L133" s="170"/>
      <c r="M133" s="17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c r="BH133" s="160"/>
      <c r="BI133" s="160"/>
      <c r="BJ133" s="160"/>
      <c r="BK133" s="160"/>
      <c r="BL133" s="160"/>
      <c r="BM133" s="160"/>
      <c r="BN133" s="160"/>
      <c r="BO133" s="160"/>
      <c r="BP133" s="160"/>
      <c r="BQ133" s="160"/>
      <c r="BR133" s="160"/>
      <c r="BS133" s="160"/>
      <c r="BT133" s="160"/>
      <c r="BU133" s="160"/>
      <c r="BV133" s="160"/>
      <c r="BW133" s="160"/>
      <c r="BX133" s="160"/>
      <c r="BY133" s="160"/>
      <c r="BZ133" s="160"/>
      <c r="CA133" s="160"/>
      <c r="CB133" s="160"/>
      <c r="CC133" s="160"/>
      <c r="CD133" s="160"/>
      <c r="CE133" s="160"/>
      <c r="CF133" s="160"/>
      <c r="CG133" s="160"/>
      <c r="CH133" s="160"/>
      <c r="CI133" s="160"/>
      <c r="CJ133" s="160"/>
      <c r="CK133" s="160"/>
      <c r="CL133" s="160"/>
      <c r="CM133" s="160"/>
      <c r="CN133" s="160"/>
      <c r="CO133" s="160"/>
      <c r="CP133" s="160"/>
      <c r="CQ133" s="160"/>
      <c r="CR133" s="160"/>
      <c r="CS133" s="160"/>
      <c r="CT133" s="160"/>
      <c r="CU133" s="160"/>
      <c r="CV133" s="160"/>
      <c r="CW133" s="160"/>
      <c r="CX133" s="160"/>
      <c r="CY133" s="160"/>
      <c r="CZ133" s="160"/>
      <c r="DA133" s="160"/>
      <c r="DB133" s="160"/>
      <c r="DC133" s="160"/>
      <c r="DD133" s="160"/>
      <c r="DE133" s="160"/>
      <c r="DF133" s="160"/>
      <c r="DG133" s="160"/>
      <c r="DH133" s="160"/>
      <c r="DI133" s="160"/>
      <c r="DJ133" s="160"/>
      <c r="DK133" s="160"/>
      <c r="DL133" s="160"/>
      <c r="DM133" s="160"/>
      <c r="DN133" s="160"/>
      <c r="DO133" s="160"/>
      <c r="DP133" s="160"/>
      <c r="DQ133" s="160"/>
      <c r="DR133" s="160"/>
    </row>
    <row r="134" spans="2:122" ht="17.25" customHeight="1">
      <c r="B134" s="144" t="s">
        <v>306</v>
      </c>
      <c r="C134" s="172" t="e">
        <f>C133/C129</f>
        <v>#DIV/0!</v>
      </c>
      <c r="D134" s="144" t="s">
        <v>290</v>
      </c>
      <c r="I134" s="162"/>
      <c r="J134" s="162"/>
      <c r="K134" s="170"/>
      <c r="L134" s="170"/>
      <c r="M134" s="17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c r="BH134" s="160"/>
      <c r="BI134" s="160"/>
      <c r="BJ134" s="160"/>
      <c r="BK134" s="160"/>
      <c r="BL134" s="160"/>
      <c r="BM134" s="160"/>
      <c r="BN134" s="160"/>
      <c r="BO134" s="160"/>
      <c r="BP134" s="160"/>
      <c r="BQ134" s="160"/>
      <c r="BR134" s="160"/>
      <c r="BS134" s="160"/>
      <c r="BT134" s="160"/>
      <c r="BU134" s="160"/>
      <c r="BV134" s="160"/>
      <c r="BW134" s="160"/>
      <c r="BX134" s="160"/>
      <c r="BY134" s="160"/>
      <c r="BZ134" s="160"/>
      <c r="CA134" s="160"/>
      <c r="CB134" s="160"/>
      <c r="CC134" s="160"/>
      <c r="CD134" s="160"/>
      <c r="CE134" s="160"/>
      <c r="CF134" s="160"/>
      <c r="CG134" s="160"/>
      <c r="CH134" s="160"/>
      <c r="CI134" s="160"/>
      <c r="CJ134" s="160"/>
      <c r="CK134" s="160"/>
      <c r="CL134" s="160"/>
      <c r="CM134" s="160"/>
      <c r="CN134" s="160"/>
      <c r="CO134" s="160"/>
      <c r="CP134" s="160"/>
      <c r="CQ134" s="160"/>
      <c r="CR134" s="160"/>
      <c r="CS134" s="160"/>
      <c r="CT134" s="160"/>
      <c r="CU134" s="160"/>
      <c r="CV134" s="160"/>
      <c r="CW134" s="160"/>
      <c r="CX134" s="160"/>
      <c r="CY134" s="160"/>
      <c r="CZ134" s="160"/>
      <c r="DA134" s="160"/>
      <c r="DB134" s="160"/>
      <c r="DC134" s="160"/>
      <c r="DD134" s="160"/>
      <c r="DE134" s="160"/>
      <c r="DF134" s="160"/>
      <c r="DG134" s="160"/>
      <c r="DH134" s="160"/>
      <c r="DI134" s="160"/>
      <c r="DJ134" s="160"/>
      <c r="DK134" s="160"/>
      <c r="DL134" s="160"/>
      <c r="DM134" s="160"/>
      <c r="DN134" s="160"/>
      <c r="DO134" s="160"/>
      <c r="DP134" s="160"/>
      <c r="DQ134" s="160"/>
      <c r="DR134" s="160"/>
    </row>
    <row r="135" spans="2:122" ht="17.25" customHeight="1">
      <c r="B135" s="144" t="s">
        <v>307</v>
      </c>
      <c r="C135" s="154" t="e">
        <f>IF(C126="EAST/WEST", IF($C$20&gt;=C134,"Pass","Fail"), IF($C$22&gt;=C134,"Pass", "Fail"))</f>
        <v>#DIV/0!</v>
      </c>
      <c r="I135" s="162"/>
      <c r="J135" s="162"/>
      <c r="K135" s="170"/>
      <c r="L135" s="170"/>
      <c r="M135" s="17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c r="BH135" s="160"/>
      <c r="BI135" s="160"/>
      <c r="BJ135" s="160"/>
      <c r="BK135" s="160"/>
      <c r="BL135" s="160"/>
      <c r="BM135" s="160"/>
      <c r="BN135" s="160"/>
      <c r="BO135" s="160"/>
      <c r="BP135" s="160"/>
      <c r="BQ135" s="160"/>
      <c r="BR135" s="160"/>
      <c r="BS135" s="160"/>
      <c r="BT135" s="160"/>
      <c r="BU135" s="160"/>
      <c r="BV135" s="160"/>
      <c r="BW135" s="160"/>
      <c r="BX135" s="160"/>
      <c r="BY135" s="160"/>
      <c r="BZ135" s="160"/>
      <c r="CA135" s="160"/>
      <c r="CB135" s="160"/>
      <c r="CC135" s="160"/>
      <c r="CD135" s="160"/>
      <c r="CE135" s="160"/>
      <c r="CF135" s="160"/>
      <c r="CG135" s="160"/>
      <c r="CH135" s="160"/>
      <c r="CI135" s="160"/>
      <c r="CJ135" s="160"/>
      <c r="CK135" s="160"/>
      <c r="CL135" s="160"/>
      <c r="CM135" s="160"/>
      <c r="CN135" s="160"/>
      <c r="CO135" s="160"/>
      <c r="CP135" s="160"/>
      <c r="CQ135" s="160"/>
      <c r="CR135" s="160"/>
      <c r="CS135" s="160"/>
      <c r="CT135" s="160"/>
      <c r="CU135" s="160"/>
      <c r="CV135" s="160"/>
      <c r="CW135" s="160"/>
      <c r="CX135" s="160"/>
      <c r="CY135" s="160"/>
      <c r="CZ135" s="160"/>
      <c r="DA135" s="160"/>
      <c r="DB135" s="160"/>
      <c r="DC135" s="160"/>
      <c r="DD135" s="160"/>
      <c r="DE135" s="160"/>
      <c r="DF135" s="160"/>
      <c r="DG135" s="160"/>
      <c r="DH135" s="160"/>
      <c r="DI135" s="160"/>
      <c r="DJ135" s="160"/>
      <c r="DK135" s="160"/>
      <c r="DL135" s="160"/>
      <c r="DM135" s="160"/>
      <c r="DN135" s="160"/>
      <c r="DO135" s="160"/>
      <c r="DP135" s="160"/>
      <c r="DQ135" s="160"/>
      <c r="DR135" s="160"/>
    </row>
    <row r="136" spans="2:122" ht="17.25" customHeight="1">
      <c r="B136" s="144" t="s">
        <v>308</v>
      </c>
      <c r="C136" s="172" t="e">
        <f>IF(C128&lt;C130,C128/C129,C130/C129)</f>
        <v>#DIV/0!</v>
      </c>
      <c r="D136" s="144" t="s">
        <v>309</v>
      </c>
      <c r="I136" s="162"/>
      <c r="J136" s="162"/>
      <c r="K136" s="170"/>
      <c r="L136" s="170"/>
      <c r="M136" s="17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c r="BH136" s="160"/>
      <c r="BI136" s="160"/>
      <c r="BJ136" s="160"/>
      <c r="BK136" s="160"/>
      <c r="BL136" s="160"/>
      <c r="BM136" s="160"/>
      <c r="BN136" s="160"/>
      <c r="BO136" s="160"/>
      <c r="BP136" s="160"/>
      <c r="BQ136" s="160"/>
      <c r="BR136" s="160"/>
      <c r="BS136" s="160"/>
      <c r="BT136" s="160"/>
      <c r="BU136" s="160"/>
      <c r="BV136" s="160"/>
      <c r="BW136" s="160"/>
      <c r="BX136" s="160"/>
      <c r="BY136" s="160"/>
      <c r="BZ136" s="160"/>
      <c r="CA136" s="160"/>
      <c r="CB136" s="160"/>
      <c r="CC136" s="160"/>
      <c r="CD136" s="160"/>
      <c r="CE136" s="160"/>
      <c r="CF136" s="160"/>
      <c r="CG136" s="160"/>
      <c r="CH136" s="160"/>
      <c r="CI136" s="160"/>
      <c r="CJ136" s="160"/>
      <c r="CK136" s="160"/>
      <c r="CL136" s="160"/>
      <c r="CM136" s="160"/>
      <c r="CN136" s="160"/>
      <c r="CO136" s="160"/>
      <c r="CP136" s="160"/>
      <c r="CQ136" s="160"/>
      <c r="CR136" s="160"/>
      <c r="CS136" s="160"/>
      <c r="CT136" s="160"/>
      <c r="CU136" s="160"/>
      <c r="CV136" s="160"/>
      <c r="CW136" s="160"/>
      <c r="CX136" s="160"/>
      <c r="CY136" s="160"/>
      <c r="CZ136" s="160"/>
      <c r="DA136" s="160"/>
      <c r="DB136" s="160"/>
      <c r="DC136" s="160"/>
      <c r="DD136" s="160"/>
      <c r="DE136" s="160"/>
      <c r="DF136" s="160"/>
      <c r="DG136" s="160"/>
      <c r="DH136" s="160"/>
      <c r="DI136" s="160"/>
      <c r="DJ136" s="160"/>
      <c r="DK136" s="160"/>
      <c r="DL136" s="160"/>
      <c r="DM136" s="160"/>
      <c r="DN136" s="160"/>
      <c r="DO136" s="160"/>
      <c r="DP136" s="160"/>
      <c r="DQ136" s="160"/>
      <c r="DR136" s="160"/>
    </row>
    <row r="137" spans="2:122" ht="17.25" customHeight="1">
      <c r="I137" s="162"/>
      <c r="J137" s="162"/>
      <c r="K137" s="170"/>
      <c r="L137" s="170"/>
      <c r="M137" s="17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c r="BH137" s="160"/>
      <c r="BI137" s="160"/>
      <c r="BJ137" s="160"/>
      <c r="BK137" s="160"/>
      <c r="BL137" s="160"/>
      <c r="BM137" s="160"/>
      <c r="BN137" s="160"/>
      <c r="BO137" s="160"/>
      <c r="BP137" s="160"/>
      <c r="BQ137" s="160"/>
      <c r="BR137" s="160"/>
      <c r="BS137" s="160"/>
      <c r="BT137" s="160"/>
      <c r="BU137" s="160"/>
      <c r="BV137" s="160"/>
      <c r="BW137" s="160"/>
      <c r="BX137" s="160"/>
      <c r="BY137" s="160"/>
      <c r="BZ137" s="160"/>
      <c r="CA137" s="160"/>
      <c r="CB137" s="160"/>
      <c r="CC137" s="160"/>
      <c r="CD137" s="160"/>
      <c r="CE137" s="160"/>
      <c r="CF137" s="160"/>
      <c r="CG137" s="160"/>
      <c r="CH137" s="160"/>
      <c r="CI137" s="160"/>
      <c r="CJ137" s="160"/>
      <c r="CK137" s="160"/>
      <c r="CL137" s="160"/>
      <c r="CM137" s="160"/>
      <c r="CN137" s="160"/>
      <c r="CO137" s="160"/>
      <c r="CP137" s="160"/>
      <c r="CQ137" s="160"/>
      <c r="CR137" s="160"/>
      <c r="CS137" s="160"/>
      <c r="CT137" s="160"/>
      <c r="CU137" s="160"/>
      <c r="CV137" s="160"/>
      <c r="CW137" s="160"/>
      <c r="CX137" s="160"/>
      <c r="CY137" s="160"/>
      <c r="CZ137" s="160"/>
      <c r="DA137" s="160"/>
      <c r="DB137" s="160"/>
      <c r="DC137" s="160"/>
      <c r="DD137" s="160"/>
      <c r="DE137" s="160"/>
      <c r="DF137" s="160"/>
      <c r="DG137" s="160"/>
      <c r="DH137" s="160"/>
      <c r="DI137" s="160"/>
      <c r="DJ137" s="160"/>
      <c r="DK137" s="160"/>
      <c r="DL137" s="160"/>
      <c r="DM137" s="160"/>
      <c r="DN137" s="160"/>
      <c r="DO137" s="160"/>
      <c r="DP137" s="160"/>
      <c r="DQ137" s="160"/>
      <c r="DR137" s="160"/>
    </row>
    <row r="138" spans="2:122" ht="17.25" customHeight="1">
      <c r="B138" s="167" t="s">
        <v>299</v>
      </c>
      <c r="C138" s="168"/>
      <c r="D138" s="166"/>
      <c r="I138" s="162"/>
      <c r="J138" s="162"/>
      <c r="K138" s="170"/>
      <c r="L138" s="170"/>
      <c r="M138" s="17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c r="BH138" s="160"/>
      <c r="BI138" s="160"/>
      <c r="BJ138" s="160"/>
      <c r="BK138" s="160"/>
      <c r="BL138" s="160"/>
      <c r="BM138" s="160"/>
      <c r="BN138" s="160"/>
      <c r="BO138" s="160"/>
      <c r="BP138" s="160"/>
      <c r="BQ138" s="160"/>
      <c r="BR138" s="160"/>
      <c r="BS138" s="160"/>
      <c r="BT138" s="160"/>
      <c r="BU138" s="160"/>
      <c r="BV138" s="160"/>
      <c r="BW138" s="160"/>
      <c r="BX138" s="160"/>
      <c r="BY138" s="160"/>
      <c r="BZ138" s="160"/>
      <c r="CA138" s="160"/>
      <c r="CB138" s="160"/>
      <c r="CC138" s="160"/>
      <c r="CD138" s="160"/>
      <c r="CE138" s="160"/>
      <c r="CF138" s="160"/>
      <c r="CG138" s="160"/>
      <c r="CH138" s="160"/>
      <c r="CI138" s="160"/>
      <c r="CJ138" s="160"/>
      <c r="CK138" s="160"/>
      <c r="CL138" s="160"/>
      <c r="CM138" s="160"/>
      <c r="CN138" s="160"/>
      <c r="CO138" s="160"/>
      <c r="CP138" s="160"/>
      <c r="CQ138" s="160"/>
      <c r="CR138" s="160"/>
      <c r="CS138" s="160"/>
      <c r="CT138" s="160"/>
      <c r="CU138" s="160"/>
      <c r="CV138" s="160"/>
      <c r="CW138" s="160"/>
      <c r="CX138" s="160"/>
      <c r="CY138" s="160"/>
      <c r="CZ138" s="160"/>
      <c r="DA138" s="160"/>
      <c r="DB138" s="160"/>
      <c r="DC138" s="160"/>
      <c r="DD138" s="160"/>
      <c r="DE138" s="160"/>
      <c r="DF138" s="160"/>
      <c r="DG138" s="160"/>
      <c r="DH138" s="160"/>
      <c r="DI138" s="160"/>
      <c r="DJ138" s="160"/>
      <c r="DK138" s="160"/>
      <c r="DL138" s="160"/>
      <c r="DM138" s="160"/>
      <c r="DN138" s="160"/>
      <c r="DO138" s="160"/>
      <c r="DP138" s="160"/>
      <c r="DQ138" s="160"/>
      <c r="DR138" s="160"/>
    </row>
    <row r="139" spans="2:122" ht="17.25" customHeight="1">
      <c r="B139" s="167" t="s">
        <v>301</v>
      </c>
      <c r="C139" s="168" t="s">
        <v>302</v>
      </c>
      <c r="D139" s="166"/>
      <c r="I139" s="162"/>
      <c r="J139" s="162"/>
      <c r="K139" s="170"/>
      <c r="L139" s="170"/>
      <c r="M139" s="17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c r="BH139" s="160"/>
      <c r="BI139" s="160"/>
      <c r="BJ139" s="160"/>
      <c r="BK139" s="160"/>
      <c r="BL139" s="160"/>
      <c r="BM139" s="160"/>
      <c r="BN139" s="160"/>
      <c r="BO139" s="160"/>
      <c r="BP139" s="160"/>
      <c r="BQ139" s="160"/>
      <c r="BR139" s="160"/>
      <c r="BS139" s="160"/>
      <c r="BT139" s="160"/>
      <c r="BU139" s="160"/>
      <c r="BV139" s="160"/>
      <c r="BW139" s="160"/>
      <c r="BX139" s="160"/>
      <c r="BY139" s="160"/>
      <c r="BZ139" s="160"/>
      <c r="CA139" s="160"/>
      <c r="CB139" s="160"/>
      <c r="CC139" s="160"/>
      <c r="CD139" s="160"/>
      <c r="CE139" s="160"/>
      <c r="CF139" s="160"/>
      <c r="CG139" s="160"/>
      <c r="CH139" s="160"/>
      <c r="CI139" s="160"/>
      <c r="CJ139" s="160"/>
      <c r="CK139" s="160"/>
      <c r="CL139" s="160"/>
      <c r="CM139" s="160"/>
      <c r="CN139" s="160"/>
      <c r="CO139" s="160"/>
      <c r="CP139" s="160"/>
      <c r="CQ139" s="160"/>
      <c r="CR139" s="160"/>
      <c r="CS139" s="160"/>
      <c r="CT139" s="160"/>
      <c r="CU139" s="160"/>
      <c r="CV139" s="160"/>
      <c r="CW139" s="160"/>
      <c r="CX139" s="160"/>
      <c r="CY139" s="160"/>
      <c r="CZ139" s="160"/>
      <c r="DA139" s="160"/>
      <c r="DB139" s="160"/>
      <c r="DC139" s="160"/>
      <c r="DD139" s="160"/>
      <c r="DE139" s="160"/>
      <c r="DF139" s="160"/>
      <c r="DG139" s="160"/>
      <c r="DH139" s="160"/>
      <c r="DI139" s="160"/>
      <c r="DJ139" s="160"/>
      <c r="DK139" s="160"/>
      <c r="DL139" s="160"/>
      <c r="DM139" s="160"/>
      <c r="DN139" s="160"/>
      <c r="DO139" s="160"/>
      <c r="DP139" s="160"/>
      <c r="DQ139" s="160"/>
      <c r="DR139" s="160"/>
    </row>
    <row r="140" spans="2:122" ht="17.25" customHeight="1">
      <c r="B140" s="144" t="str">
        <f>IF(C139="East/West", "Feet - West Section", IF(C139="North/South", "Feet - North Section", "Select Force Direction"))</f>
        <v>Select Force Direction</v>
      </c>
      <c r="C140" s="171"/>
      <c r="D140" s="144" t="s">
        <v>324</v>
      </c>
      <c r="I140" s="162"/>
      <c r="J140" s="162"/>
      <c r="K140" s="170"/>
      <c r="L140" s="170"/>
      <c r="M140" s="17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c r="BH140" s="160"/>
      <c r="BI140" s="160"/>
      <c r="BJ140" s="160"/>
      <c r="BK140" s="160"/>
      <c r="BL140" s="160"/>
      <c r="BM140" s="160"/>
      <c r="BN140" s="160"/>
      <c r="BO140" s="160"/>
      <c r="BP140" s="160"/>
      <c r="BQ140" s="160"/>
      <c r="BR140" s="160"/>
      <c r="BS140" s="160"/>
      <c r="BT140" s="160"/>
      <c r="BU140" s="160"/>
      <c r="BV140" s="160"/>
      <c r="BW140" s="160"/>
      <c r="BX140" s="160"/>
      <c r="BY140" s="160"/>
      <c r="BZ140" s="160"/>
      <c r="CA140" s="160"/>
      <c r="CB140" s="160"/>
      <c r="CC140" s="160"/>
      <c r="CD140" s="160"/>
      <c r="CE140" s="160"/>
      <c r="CF140" s="160"/>
      <c r="CG140" s="160"/>
      <c r="CH140" s="160"/>
      <c r="CI140" s="160"/>
      <c r="CJ140" s="160"/>
      <c r="CK140" s="160"/>
      <c r="CL140" s="160"/>
      <c r="CM140" s="160"/>
      <c r="CN140" s="160"/>
      <c r="CO140" s="160"/>
      <c r="CP140" s="160"/>
      <c r="CQ140" s="160"/>
      <c r="CR140" s="160"/>
      <c r="CS140" s="160"/>
      <c r="CT140" s="160"/>
      <c r="CU140" s="160"/>
      <c r="CV140" s="160"/>
      <c r="CW140" s="160"/>
      <c r="CX140" s="160"/>
      <c r="CY140" s="160"/>
      <c r="CZ140" s="160"/>
      <c r="DA140" s="160"/>
      <c r="DB140" s="160"/>
      <c r="DC140" s="160"/>
      <c r="DD140" s="160"/>
      <c r="DE140" s="160"/>
      <c r="DF140" s="160"/>
      <c r="DG140" s="160"/>
      <c r="DH140" s="160"/>
      <c r="DI140" s="160"/>
      <c r="DJ140" s="160"/>
      <c r="DK140" s="160"/>
      <c r="DL140" s="160"/>
      <c r="DM140" s="160"/>
      <c r="DN140" s="160"/>
      <c r="DO140" s="160"/>
      <c r="DP140" s="160"/>
      <c r="DQ140" s="160"/>
      <c r="DR140" s="160"/>
    </row>
    <row r="141" spans="2:122" ht="17.25" customHeight="1">
      <c r="B141" s="144" t="str">
        <f>IF(C139="East/West", "Modules - West Section", IF(C139="North/South", "Modules - North Section", "Select Force Direction"))</f>
        <v>Select Force Direction</v>
      </c>
      <c r="C141" s="171"/>
      <c r="D141" s="144" t="s">
        <v>297</v>
      </c>
      <c r="I141" s="162"/>
      <c r="J141" s="162"/>
      <c r="K141" s="170"/>
      <c r="L141" s="170"/>
      <c r="M141" s="17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c r="BH141" s="160"/>
      <c r="BI141" s="160"/>
      <c r="BJ141" s="160"/>
      <c r="BK141" s="160"/>
      <c r="BL141" s="160"/>
      <c r="BM141" s="160"/>
      <c r="BN141" s="160"/>
      <c r="BO141" s="160"/>
      <c r="BP141" s="160"/>
      <c r="BQ141" s="160"/>
      <c r="BR141" s="160"/>
      <c r="BS141" s="160"/>
      <c r="BT141" s="160"/>
      <c r="BU141" s="160"/>
      <c r="BV141" s="160"/>
      <c r="BW141" s="160"/>
      <c r="BX141" s="160"/>
      <c r="BY141" s="160"/>
      <c r="BZ141" s="160"/>
      <c r="CA141" s="160"/>
      <c r="CB141" s="160"/>
      <c r="CC141" s="160"/>
      <c r="CD141" s="160"/>
      <c r="CE141" s="160"/>
      <c r="CF141" s="160"/>
      <c r="CG141" s="160"/>
      <c r="CH141" s="160"/>
      <c r="CI141" s="160"/>
      <c r="CJ141" s="160"/>
      <c r="CK141" s="160"/>
      <c r="CL141" s="160"/>
      <c r="CM141" s="160"/>
      <c r="CN141" s="160"/>
      <c r="CO141" s="160"/>
      <c r="CP141" s="160"/>
      <c r="CQ141" s="160"/>
      <c r="CR141" s="160"/>
      <c r="CS141" s="160"/>
      <c r="CT141" s="160"/>
      <c r="CU141" s="160"/>
      <c r="CV141" s="160"/>
      <c r="CW141" s="160"/>
      <c r="CX141" s="160"/>
      <c r="CY141" s="160"/>
      <c r="CZ141" s="160"/>
      <c r="DA141" s="160"/>
      <c r="DB141" s="160"/>
      <c r="DC141" s="160"/>
      <c r="DD141" s="160"/>
      <c r="DE141" s="160"/>
      <c r="DF141" s="160"/>
      <c r="DG141" s="160"/>
      <c r="DH141" s="160"/>
      <c r="DI141" s="160"/>
      <c r="DJ141" s="160"/>
      <c r="DK141" s="160"/>
      <c r="DL141" s="160"/>
      <c r="DM141" s="160"/>
      <c r="DN141" s="160"/>
      <c r="DO141" s="160"/>
      <c r="DP141" s="160"/>
      <c r="DQ141" s="160"/>
      <c r="DR141" s="160"/>
    </row>
    <row r="142" spans="2:122" ht="17.25" customHeight="1">
      <c r="B142" s="144" t="s">
        <v>303</v>
      </c>
      <c r="C142" s="171"/>
      <c r="D142" s="144" t="s">
        <v>297</v>
      </c>
      <c r="I142" s="162"/>
      <c r="J142" s="162"/>
      <c r="K142" s="170"/>
      <c r="L142" s="170"/>
      <c r="M142" s="17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c r="BH142" s="160"/>
      <c r="BI142" s="160"/>
      <c r="BJ142" s="160"/>
      <c r="BK142" s="160"/>
      <c r="BL142" s="160"/>
      <c r="BM142" s="160"/>
      <c r="BN142" s="160"/>
      <c r="BO142" s="160"/>
      <c r="BP142" s="160"/>
      <c r="BQ142" s="160"/>
      <c r="BR142" s="160"/>
      <c r="BS142" s="160"/>
      <c r="BT142" s="160"/>
      <c r="BU142" s="160"/>
      <c r="BV142" s="160"/>
      <c r="BW142" s="160"/>
      <c r="BX142" s="160"/>
      <c r="BY142" s="160"/>
      <c r="BZ142" s="160"/>
      <c r="CA142" s="160"/>
      <c r="CB142" s="160"/>
      <c r="CC142" s="160"/>
      <c r="CD142" s="160"/>
      <c r="CE142" s="160"/>
      <c r="CF142" s="160"/>
      <c r="CG142" s="160"/>
      <c r="CH142" s="160"/>
      <c r="CI142" s="160"/>
      <c r="CJ142" s="160"/>
      <c r="CK142" s="160"/>
      <c r="CL142" s="160"/>
      <c r="CM142" s="160"/>
      <c r="CN142" s="160"/>
      <c r="CO142" s="160"/>
      <c r="CP142" s="160"/>
      <c r="CQ142" s="160"/>
      <c r="CR142" s="160"/>
      <c r="CS142" s="160"/>
      <c r="CT142" s="160"/>
      <c r="CU142" s="160"/>
      <c r="CV142" s="160"/>
      <c r="CW142" s="160"/>
      <c r="CX142" s="160"/>
      <c r="CY142" s="160"/>
      <c r="CZ142" s="160"/>
      <c r="DA142" s="160"/>
      <c r="DB142" s="160"/>
      <c r="DC142" s="160"/>
      <c r="DD142" s="160"/>
      <c r="DE142" s="160"/>
      <c r="DF142" s="160"/>
      <c r="DG142" s="160"/>
      <c r="DH142" s="160"/>
      <c r="DI142" s="160"/>
      <c r="DJ142" s="160"/>
      <c r="DK142" s="160"/>
      <c r="DL142" s="160"/>
      <c r="DM142" s="160"/>
      <c r="DN142" s="160"/>
      <c r="DO142" s="160"/>
      <c r="DP142" s="160"/>
      <c r="DQ142" s="160"/>
      <c r="DR142" s="160"/>
    </row>
    <row r="143" spans="2:122" ht="17.25" customHeight="1">
      <c r="B143" s="144" t="str">
        <f>IF(C139="East/West", "Modules - East Section", IF(C139="North/South", "Modules - South Section", "Select Force Direction"))</f>
        <v>Select Force Direction</v>
      </c>
      <c r="C143" s="171"/>
      <c r="D143" s="144" t="s">
        <v>297</v>
      </c>
      <c r="I143" s="162"/>
      <c r="J143" s="162"/>
      <c r="K143" s="170"/>
      <c r="L143" s="170"/>
      <c r="M143" s="17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c r="BH143" s="160"/>
      <c r="BI143" s="160"/>
      <c r="BJ143" s="160"/>
      <c r="BK143" s="160"/>
      <c r="BL143" s="160"/>
      <c r="BM143" s="160"/>
      <c r="BN143" s="160"/>
      <c r="BO143" s="160"/>
      <c r="BP143" s="160"/>
      <c r="BQ143" s="160"/>
      <c r="BR143" s="160"/>
      <c r="BS143" s="160"/>
      <c r="BT143" s="160"/>
      <c r="BU143" s="160"/>
      <c r="BV143" s="160"/>
      <c r="BW143" s="160"/>
      <c r="BX143" s="160"/>
      <c r="BY143" s="160"/>
      <c r="BZ143" s="160"/>
      <c r="CA143" s="160"/>
      <c r="CB143" s="160"/>
      <c r="CC143" s="160"/>
      <c r="CD143" s="160"/>
      <c r="CE143" s="160"/>
      <c r="CF143" s="160"/>
      <c r="CG143" s="160"/>
      <c r="CH143" s="160"/>
      <c r="CI143" s="160"/>
      <c r="CJ143" s="160"/>
      <c r="CK143" s="160"/>
      <c r="CL143" s="160"/>
      <c r="CM143" s="160"/>
      <c r="CN143" s="160"/>
      <c r="CO143" s="160"/>
      <c r="CP143" s="160"/>
      <c r="CQ143" s="160"/>
      <c r="CR143" s="160"/>
      <c r="CS143" s="160"/>
      <c r="CT143" s="160"/>
      <c r="CU143" s="160"/>
      <c r="CV143" s="160"/>
      <c r="CW143" s="160"/>
      <c r="CX143" s="160"/>
      <c r="CY143" s="160"/>
      <c r="CZ143" s="160"/>
      <c r="DA143" s="160"/>
      <c r="DB143" s="160"/>
      <c r="DC143" s="160"/>
      <c r="DD143" s="160"/>
      <c r="DE143" s="160"/>
      <c r="DF143" s="160"/>
      <c r="DG143" s="160"/>
      <c r="DH143" s="160"/>
      <c r="DI143" s="160"/>
      <c r="DJ143" s="160"/>
      <c r="DK143" s="160"/>
      <c r="DL143" s="160"/>
      <c r="DM143" s="160"/>
      <c r="DN143" s="160"/>
      <c r="DO143" s="160"/>
      <c r="DP143" s="160"/>
      <c r="DQ143" s="160"/>
      <c r="DR143" s="160"/>
    </row>
    <row r="144" spans="2:122" ht="17.25" customHeight="1">
      <c r="B144" s="144" t="str">
        <f>IF(C139="East/West", "Feet - East Section", IF(C139="North/South", "Feet - South Section", "Select Force Direction"))</f>
        <v>Select Force Direction</v>
      </c>
      <c r="C144" s="171"/>
      <c r="D144" s="144" t="s">
        <v>324</v>
      </c>
      <c r="I144" s="162"/>
      <c r="J144" s="162"/>
      <c r="K144" s="170"/>
      <c r="L144" s="170"/>
      <c r="M144" s="17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c r="BH144" s="160"/>
      <c r="BI144" s="160"/>
      <c r="BJ144" s="160"/>
      <c r="BK144" s="160"/>
      <c r="BL144" s="160"/>
      <c r="BM144" s="160"/>
      <c r="BN144" s="160"/>
      <c r="BO144" s="160"/>
      <c r="BP144" s="160"/>
      <c r="BQ144" s="160"/>
      <c r="BR144" s="160"/>
      <c r="BS144" s="160"/>
      <c r="BT144" s="160"/>
      <c r="BU144" s="160"/>
      <c r="BV144" s="160"/>
      <c r="BW144" s="160"/>
      <c r="BX144" s="160"/>
      <c r="BY144" s="160"/>
      <c r="BZ144" s="160"/>
      <c r="CA144" s="160"/>
      <c r="CB144" s="160"/>
      <c r="CC144" s="160"/>
      <c r="CD144" s="160"/>
      <c r="CE144" s="160"/>
      <c r="CF144" s="160"/>
      <c r="CG144" s="160"/>
      <c r="CH144" s="160"/>
      <c r="CI144" s="160"/>
      <c r="CJ144" s="160"/>
      <c r="CK144" s="160"/>
      <c r="CL144" s="160"/>
      <c r="CM144" s="160"/>
      <c r="CN144" s="160"/>
      <c r="CO144" s="160"/>
      <c r="CP144" s="160"/>
      <c r="CQ144" s="160"/>
      <c r="CR144" s="160"/>
      <c r="CS144" s="160"/>
      <c r="CT144" s="160"/>
      <c r="CU144" s="160"/>
      <c r="CV144" s="160"/>
      <c r="CW144" s="160"/>
      <c r="CX144" s="160"/>
      <c r="CY144" s="160"/>
      <c r="CZ144" s="160"/>
      <c r="DA144" s="160"/>
      <c r="DB144" s="160"/>
      <c r="DC144" s="160"/>
      <c r="DD144" s="160"/>
      <c r="DE144" s="160"/>
      <c r="DF144" s="160"/>
      <c r="DG144" s="160"/>
      <c r="DH144" s="160"/>
      <c r="DI144" s="160"/>
      <c r="DJ144" s="160"/>
      <c r="DK144" s="160"/>
      <c r="DL144" s="160"/>
      <c r="DM144" s="160"/>
      <c r="DN144" s="160"/>
      <c r="DO144" s="160"/>
      <c r="DP144" s="160"/>
      <c r="DQ144" s="160"/>
      <c r="DR144" s="160"/>
    </row>
    <row r="145" spans="2:122" ht="17.25" customHeight="1">
      <c r="B145" s="144" t="s">
        <v>304</v>
      </c>
      <c r="C145" s="172">
        <f>IF(C141&lt;C143,C141*$C$30+C140*$C$27,C143*$C$30+C144*$C$27)</f>
        <v>0</v>
      </c>
      <c r="D145" s="144" t="s">
        <v>290</v>
      </c>
      <c r="I145" s="162"/>
      <c r="J145" s="162"/>
      <c r="K145" s="170"/>
      <c r="L145" s="170"/>
      <c r="M145" s="17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H145" s="160"/>
      <c r="BI145" s="160"/>
      <c r="BJ145" s="160"/>
      <c r="BK145" s="160"/>
      <c r="BL145" s="160"/>
      <c r="BM145" s="160"/>
      <c r="BN145" s="160"/>
      <c r="BO145" s="160"/>
      <c r="BP145" s="160"/>
      <c r="BQ145" s="160"/>
      <c r="BR145" s="160"/>
      <c r="BS145" s="160"/>
      <c r="BT145" s="160"/>
      <c r="BU145" s="160"/>
      <c r="BV145" s="160"/>
      <c r="BW145" s="160"/>
      <c r="BX145" s="160"/>
      <c r="BY145" s="160"/>
      <c r="BZ145" s="160"/>
      <c r="CA145" s="160"/>
      <c r="CB145" s="160"/>
      <c r="CC145" s="160"/>
      <c r="CD145" s="160"/>
      <c r="CE145" s="160"/>
      <c r="CF145" s="160"/>
      <c r="CG145" s="160"/>
      <c r="CH145" s="160"/>
      <c r="CI145" s="160"/>
      <c r="CJ145" s="160"/>
      <c r="CK145" s="160"/>
      <c r="CL145" s="160"/>
      <c r="CM145" s="160"/>
      <c r="CN145" s="160"/>
      <c r="CO145" s="160"/>
      <c r="CP145" s="160"/>
      <c r="CQ145" s="160"/>
      <c r="CR145" s="160"/>
      <c r="CS145" s="160"/>
      <c r="CT145" s="160"/>
      <c r="CU145" s="160"/>
      <c r="CV145" s="160"/>
      <c r="CW145" s="160"/>
      <c r="CX145" s="160"/>
      <c r="CY145" s="160"/>
      <c r="CZ145" s="160"/>
      <c r="DA145" s="160"/>
      <c r="DB145" s="160"/>
      <c r="DC145" s="160"/>
      <c r="DD145" s="160"/>
      <c r="DE145" s="160"/>
      <c r="DF145" s="160"/>
      <c r="DG145" s="160"/>
      <c r="DH145" s="160"/>
      <c r="DI145" s="160"/>
      <c r="DJ145" s="160"/>
      <c r="DK145" s="160"/>
      <c r="DL145" s="160"/>
      <c r="DM145" s="160"/>
      <c r="DN145" s="160"/>
      <c r="DO145" s="160"/>
      <c r="DP145" s="160"/>
      <c r="DQ145" s="160"/>
      <c r="DR145" s="160"/>
    </row>
    <row r="146" spans="2:122" ht="17.25" customHeight="1">
      <c r="B146" s="144" t="s">
        <v>305</v>
      </c>
      <c r="C146" s="172">
        <f>IF(0.133*C145*$C$9&gt;0.1*C145, 0.133*C145*$C$9, 0.1*C145)</f>
        <v>0</v>
      </c>
      <c r="D146" s="144" t="s">
        <v>290</v>
      </c>
      <c r="I146" s="162"/>
      <c r="J146" s="162"/>
      <c r="K146" s="170"/>
      <c r="L146" s="170"/>
      <c r="M146" s="17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c r="BH146" s="160"/>
      <c r="BI146" s="160"/>
      <c r="BJ146" s="160"/>
      <c r="BK146" s="160"/>
      <c r="BL146" s="160"/>
      <c r="BM146" s="160"/>
      <c r="BN146" s="160"/>
      <c r="BO146" s="160"/>
      <c r="BP146" s="160"/>
      <c r="BQ146" s="160"/>
      <c r="BR146" s="160"/>
      <c r="BS146" s="160"/>
      <c r="BT146" s="160"/>
      <c r="BU146" s="160"/>
      <c r="BV146" s="160"/>
      <c r="BW146" s="160"/>
      <c r="BX146" s="160"/>
      <c r="BY146" s="160"/>
      <c r="BZ146" s="160"/>
      <c r="CA146" s="160"/>
      <c r="CB146" s="160"/>
      <c r="CC146" s="160"/>
      <c r="CD146" s="160"/>
      <c r="CE146" s="160"/>
      <c r="CF146" s="160"/>
      <c r="CG146" s="160"/>
      <c r="CH146" s="160"/>
      <c r="CI146" s="160"/>
      <c r="CJ146" s="160"/>
      <c r="CK146" s="160"/>
      <c r="CL146" s="160"/>
      <c r="CM146" s="160"/>
      <c r="CN146" s="160"/>
      <c r="CO146" s="160"/>
      <c r="CP146" s="160"/>
      <c r="CQ146" s="160"/>
      <c r="CR146" s="160"/>
      <c r="CS146" s="160"/>
      <c r="CT146" s="160"/>
      <c r="CU146" s="160"/>
      <c r="CV146" s="160"/>
      <c r="CW146" s="160"/>
      <c r="CX146" s="160"/>
      <c r="CY146" s="160"/>
      <c r="CZ146" s="160"/>
      <c r="DA146" s="160"/>
      <c r="DB146" s="160"/>
      <c r="DC146" s="160"/>
      <c r="DD146" s="160"/>
      <c r="DE146" s="160"/>
      <c r="DF146" s="160"/>
      <c r="DG146" s="160"/>
      <c r="DH146" s="160"/>
      <c r="DI146" s="160"/>
      <c r="DJ146" s="160"/>
      <c r="DK146" s="160"/>
      <c r="DL146" s="160"/>
      <c r="DM146" s="160"/>
      <c r="DN146" s="160"/>
      <c r="DO146" s="160"/>
      <c r="DP146" s="160"/>
      <c r="DQ146" s="160"/>
      <c r="DR146" s="160"/>
    </row>
    <row r="147" spans="2:122" ht="17.25" customHeight="1">
      <c r="B147" s="144" t="s">
        <v>306</v>
      </c>
      <c r="C147" s="172" t="e">
        <f>C146/C142</f>
        <v>#DIV/0!</v>
      </c>
      <c r="D147" s="144" t="s">
        <v>290</v>
      </c>
      <c r="I147" s="162"/>
      <c r="J147" s="162"/>
      <c r="K147" s="170"/>
      <c r="L147" s="170"/>
      <c r="M147" s="17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c r="BH147" s="160"/>
      <c r="BI147" s="160"/>
      <c r="BJ147" s="160"/>
      <c r="BK147" s="160"/>
      <c r="BL147" s="160"/>
      <c r="BM147" s="160"/>
      <c r="BN147" s="160"/>
      <c r="BO147" s="160"/>
      <c r="BP147" s="160"/>
      <c r="BQ147" s="160"/>
      <c r="BR147" s="160"/>
      <c r="BS147" s="160"/>
      <c r="BT147" s="160"/>
      <c r="BU147" s="160"/>
      <c r="BV147" s="160"/>
      <c r="BW147" s="160"/>
      <c r="BX147" s="160"/>
      <c r="BY147" s="160"/>
      <c r="BZ147" s="160"/>
      <c r="CA147" s="160"/>
      <c r="CB147" s="160"/>
      <c r="CC147" s="160"/>
      <c r="CD147" s="160"/>
      <c r="CE147" s="160"/>
      <c r="CF147" s="160"/>
      <c r="CG147" s="160"/>
      <c r="CH147" s="160"/>
      <c r="CI147" s="160"/>
      <c r="CJ147" s="160"/>
      <c r="CK147" s="160"/>
      <c r="CL147" s="160"/>
      <c r="CM147" s="160"/>
      <c r="CN147" s="160"/>
      <c r="CO147" s="160"/>
      <c r="CP147" s="160"/>
      <c r="CQ147" s="160"/>
      <c r="CR147" s="160"/>
      <c r="CS147" s="160"/>
      <c r="CT147" s="160"/>
      <c r="CU147" s="160"/>
      <c r="CV147" s="160"/>
      <c r="CW147" s="160"/>
      <c r="CX147" s="160"/>
      <c r="CY147" s="160"/>
      <c r="CZ147" s="160"/>
      <c r="DA147" s="160"/>
      <c r="DB147" s="160"/>
      <c r="DC147" s="160"/>
      <c r="DD147" s="160"/>
      <c r="DE147" s="160"/>
      <c r="DF147" s="160"/>
      <c r="DG147" s="160"/>
      <c r="DH147" s="160"/>
      <c r="DI147" s="160"/>
      <c r="DJ147" s="160"/>
      <c r="DK147" s="160"/>
      <c r="DL147" s="160"/>
      <c r="DM147" s="160"/>
      <c r="DN147" s="160"/>
      <c r="DO147" s="160"/>
      <c r="DP147" s="160"/>
      <c r="DQ147" s="160"/>
      <c r="DR147" s="160"/>
    </row>
    <row r="148" spans="2:122" ht="17.25" customHeight="1">
      <c r="B148" s="144" t="s">
        <v>307</v>
      </c>
      <c r="C148" s="154" t="e">
        <f>IF(C139="EAST/WEST", IF($C$20&gt;=C147,"Pass","Fail"), IF($C$22&gt;=C147,"Pass", "Fail"))</f>
        <v>#DIV/0!</v>
      </c>
      <c r="I148" s="162"/>
      <c r="J148" s="162"/>
      <c r="K148" s="170"/>
      <c r="L148" s="170"/>
      <c r="M148" s="17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c r="BH148" s="160"/>
      <c r="BI148" s="160"/>
      <c r="BJ148" s="160"/>
      <c r="BK148" s="160"/>
      <c r="BL148" s="160"/>
      <c r="BM148" s="160"/>
      <c r="BN148" s="160"/>
      <c r="BO148" s="160"/>
      <c r="BP148" s="160"/>
      <c r="BQ148" s="160"/>
      <c r="BR148" s="160"/>
      <c r="BS148" s="160"/>
      <c r="BT148" s="160"/>
      <c r="BU148" s="160"/>
      <c r="BV148" s="160"/>
      <c r="BW148" s="160"/>
      <c r="BX148" s="160"/>
      <c r="BY148" s="160"/>
      <c r="BZ148" s="160"/>
      <c r="CA148" s="160"/>
      <c r="CB148" s="160"/>
      <c r="CC148" s="160"/>
      <c r="CD148" s="160"/>
      <c r="CE148" s="160"/>
      <c r="CF148" s="160"/>
      <c r="CG148" s="160"/>
      <c r="CH148" s="160"/>
      <c r="CI148" s="160"/>
      <c r="CJ148" s="160"/>
      <c r="CK148" s="160"/>
      <c r="CL148" s="160"/>
      <c r="CM148" s="160"/>
      <c r="CN148" s="160"/>
      <c r="CO148" s="160"/>
      <c r="CP148" s="160"/>
      <c r="CQ148" s="160"/>
      <c r="CR148" s="160"/>
      <c r="CS148" s="160"/>
      <c r="CT148" s="160"/>
      <c r="CU148" s="160"/>
      <c r="CV148" s="160"/>
      <c r="CW148" s="160"/>
      <c r="CX148" s="160"/>
      <c r="CY148" s="160"/>
      <c r="CZ148" s="160"/>
      <c r="DA148" s="160"/>
      <c r="DB148" s="160"/>
      <c r="DC148" s="160"/>
      <c r="DD148" s="160"/>
      <c r="DE148" s="160"/>
      <c r="DF148" s="160"/>
      <c r="DG148" s="160"/>
      <c r="DH148" s="160"/>
      <c r="DI148" s="160"/>
      <c r="DJ148" s="160"/>
      <c r="DK148" s="160"/>
      <c r="DL148" s="160"/>
      <c r="DM148" s="160"/>
      <c r="DN148" s="160"/>
      <c r="DO148" s="160"/>
      <c r="DP148" s="160"/>
      <c r="DQ148" s="160"/>
      <c r="DR148" s="160"/>
    </row>
    <row r="149" spans="2:122" ht="17.25" customHeight="1">
      <c r="B149" s="144" t="s">
        <v>308</v>
      </c>
      <c r="C149" s="172" t="e">
        <f>IF(C141&lt;C143,C141/C142,C143/C142)</f>
        <v>#DIV/0!</v>
      </c>
      <c r="D149" s="144" t="s">
        <v>309</v>
      </c>
    </row>
    <row r="151" spans="2:122" ht="17.25" customHeight="1">
      <c r="B151" s="167" t="s">
        <v>299</v>
      </c>
      <c r="C151" s="168"/>
      <c r="D151" s="166"/>
    </row>
    <row r="152" spans="2:122" ht="17.25" customHeight="1">
      <c r="B152" s="167" t="s">
        <v>301</v>
      </c>
      <c r="C152" s="168" t="s">
        <v>302</v>
      </c>
      <c r="D152" s="166"/>
    </row>
    <row r="153" spans="2:122" ht="17.25" customHeight="1">
      <c r="B153" s="144" t="str">
        <f>IF(C152="East/West", "Feet - West Section", IF(C152="North/South", "Feet - North Section", "Select Force Direction"))</f>
        <v>Select Force Direction</v>
      </c>
      <c r="C153" s="171"/>
      <c r="D153" s="144" t="s">
        <v>324</v>
      </c>
    </row>
    <row r="154" spans="2:122" ht="17.25" customHeight="1">
      <c r="B154" s="144" t="str">
        <f>IF(C152="East/West", "Modules - West Section", IF(C152="North/South", "Modules - North Section", "Select Force Direction"))</f>
        <v>Select Force Direction</v>
      </c>
      <c r="C154" s="171"/>
      <c r="D154" s="144" t="s">
        <v>297</v>
      </c>
    </row>
    <row r="155" spans="2:122" ht="17.25" customHeight="1">
      <c r="B155" s="144" t="s">
        <v>303</v>
      </c>
      <c r="C155" s="171"/>
      <c r="D155" s="144" t="s">
        <v>297</v>
      </c>
    </row>
    <row r="156" spans="2:122" ht="17.25" customHeight="1">
      <c r="B156" s="144" t="str">
        <f>IF(C152="East/West", "Modules - East Section", IF(C152="North/South", "Modules - South Section", "Select Force Direction"))</f>
        <v>Select Force Direction</v>
      </c>
      <c r="C156" s="171"/>
      <c r="D156" s="144" t="s">
        <v>297</v>
      </c>
    </row>
    <row r="157" spans="2:122" ht="17.25" customHeight="1">
      <c r="B157" s="144" t="str">
        <f>IF(C152="East/West", "Feet - East Section", IF(C152="North/South", "Feet - South Section", "Select Force Direction"))</f>
        <v>Select Force Direction</v>
      </c>
      <c r="C157" s="171"/>
      <c r="D157" s="144" t="s">
        <v>324</v>
      </c>
    </row>
    <row r="158" spans="2:122" ht="17.25" customHeight="1">
      <c r="B158" s="144" t="s">
        <v>304</v>
      </c>
      <c r="C158" s="172">
        <f>IF(C154&lt;C156,C154*$C$30+C153*$C$27,C156*$C$30+C157*$C$27)</f>
        <v>0</v>
      </c>
      <c r="D158" s="144" t="s">
        <v>290</v>
      </c>
    </row>
    <row r="159" spans="2:122" ht="17.25" customHeight="1">
      <c r="B159" s="144" t="s">
        <v>305</v>
      </c>
      <c r="C159" s="172">
        <f>IF(0.133*C158*$C$9&gt;0.1*C158, 0.133*C158*$C$9, 0.1*C158)</f>
        <v>0</v>
      </c>
      <c r="D159" s="144" t="s">
        <v>290</v>
      </c>
    </row>
    <row r="160" spans="2:122" ht="17.25" customHeight="1">
      <c r="B160" s="144" t="s">
        <v>306</v>
      </c>
      <c r="C160" s="172" t="e">
        <f>C159/C155</f>
        <v>#DIV/0!</v>
      </c>
      <c r="D160" s="144" t="s">
        <v>290</v>
      </c>
    </row>
    <row r="161" spans="2:4" ht="17.25" customHeight="1">
      <c r="B161" s="144" t="s">
        <v>307</v>
      </c>
      <c r="C161" s="154" t="e">
        <f>IF(C152="EAST/WEST", IF($C$20&gt;=C160,"Pass","Fail"), IF($C$22&gt;=C160,"Pass", "Fail"))</f>
        <v>#DIV/0!</v>
      </c>
    </row>
    <row r="162" spans="2:4" ht="17.25" customHeight="1">
      <c r="B162" s="144" t="s">
        <v>308</v>
      </c>
      <c r="C162" s="172" t="e">
        <f>IF(C154&lt;C156,C154/C155,C156/C155)</f>
        <v>#DIV/0!</v>
      </c>
      <c r="D162" s="144" t="s">
        <v>309</v>
      </c>
    </row>
    <row r="163" spans="2:4" ht="17.25" customHeight="1">
      <c r="B163" s="159"/>
      <c r="C163" s="175"/>
      <c r="D163" s="159"/>
    </row>
    <row r="164" spans="2:4" ht="17.25" customHeight="1">
      <c r="B164" s="167" t="s">
        <v>299</v>
      </c>
      <c r="C164" s="168"/>
      <c r="D164" s="166"/>
    </row>
    <row r="165" spans="2:4" ht="17.25" customHeight="1">
      <c r="B165" s="167" t="s">
        <v>301</v>
      </c>
      <c r="C165" s="168" t="s">
        <v>302</v>
      </c>
      <c r="D165" s="166"/>
    </row>
    <row r="166" spans="2:4" ht="17.25" customHeight="1">
      <c r="B166" s="144" t="str">
        <f>IF(C165="East/West", "Feet - West Section", IF(C165="North/South", "Feet - North Section", "Select Force Direction"))</f>
        <v>Select Force Direction</v>
      </c>
      <c r="C166" s="171"/>
      <c r="D166" s="144" t="s">
        <v>324</v>
      </c>
    </row>
    <row r="167" spans="2:4" ht="17.25" customHeight="1">
      <c r="B167" s="144" t="str">
        <f>IF(C165="East/West", "Modules - West Section", IF(C165="North/South", "Modules - North Section", "Select Force Direction"))</f>
        <v>Select Force Direction</v>
      </c>
      <c r="C167" s="171"/>
      <c r="D167" s="144" t="s">
        <v>297</v>
      </c>
    </row>
    <row r="168" spans="2:4" ht="17.25" customHeight="1">
      <c r="B168" s="144" t="s">
        <v>303</v>
      </c>
      <c r="C168" s="171"/>
      <c r="D168" s="144" t="s">
        <v>297</v>
      </c>
    </row>
    <row r="169" spans="2:4" ht="17.25" customHeight="1">
      <c r="B169" s="144" t="str">
        <f>IF(C165="East/West", "Modules - East Section", IF(C165="North/South", "Modules - South Section", "Select Force Direction"))</f>
        <v>Select Force Direction</v>
      </c>
      <c r="C169" s="171"/>
      <c r="D169" s="144" t="s">
        <v>297</v>
      </c>
    </row>
    <row r="170" spans="2:4" ht="17.25" customHeight="1">
      <c r="B170" s="144" t="str">
        <f>IF(C165="East/West", "Feet - East Section", IF(C165="North/South", "Feet - South Section", "Select Force Direction"))</f>
        <v>Select Force Direction</v>
      </c>
      <c r="C170" s="171"/>
      <c r="D170" s="144" t="s">
        <v>324</v>
      </c>
    </row>
    <row r="171" spans="2:4" ht="17.25" customHeight="1">
      <c r="B171" s="144" t="s">
        <v>304</v>
      </c>
      <c r="C171" s="172">
        <f>IF(C167&lt;C169,C167*$C$30+C166*$C$27,C169*$C$30+C170*$C$27)</f>
        <v>0</v>
      </c>
      <c r="D171" s="144" t="s">
        <v>290</v>
      </c>
    </row>
    <row r="172" spans="2:4" ht="17.25" customHeight="1">
      <c r="B172" s="144" t="s">
        <v>305</v>
      </c>
      <c r="C172" s="172">
        <f>IF(0.133*C171*$C$9&gt;0.1*C171, 0.133*C171*$C$9, 0.1*C171)</f>
        <v>0</v>
      </c>
      <c r="D172" s="144" t="s">
        <v>290</v>
      </c>
    </row>
    <row r="173" spans="2:4" ht="17.25" customHeight="1">
      <c r="B173" s="144" t="s">
        <v>306</v>
      </c>
      <c r="C173" s="172" t="e">
        <f>C172/C168</f>
        <v>#DIV/0!</v>
      </c>
      <c r="D173" s="144" t="s">
        <v>290</v>
      </c>
    </row>
    <row r="174" spans="2:4" ht="17.25" customHeight="1">
      <c r="B174" s="144" t="s">
        <v>307</v>
      </c>
      <c r="C174" s="154" t="e">
        <f>IF(C165="EAST/WEST", IF($C$20&gt;=C173,"Pass","Fail"), IF($C$22&gt;=C173,"Pass", "Fail"))</f>
        <v>#DIV/0!</v>
      </c>
    </row>
    <row r="175" spans="2:4" ht="17.25" customHeight="1">
      <c r="B175" s="144" t="s">
        <v>308</v>
      </c>
      <c r="C175" s="172" t="e">
        <f>IF(C167&lt;C169,C167/C168,C169/C168)</f>
        <v>#DIV/0!</v>
      </c>
      <c r="D175" s="144" t="s">
        <v>309</v>
      </c>
    </row>
    <row r="177" spans="2:4" ht="17.25" customHeight="1">
      <c r="B177" s="167" t="s">
        <v>299</v>
      </c>
      <c r="C177" s="168"/>
      <c r="D177" s="166"/>
    </row>
    <row r="178" spans="2:4" ht="17.25" customHeight="1">
      <c r="B178" s="167" t="s">
        <v>301</v>
      </c>
      <c r="C178" s="168" t="s">
        <v>302</v>
      </c>
      <c r="D178" s="166"/>
    </row>
    <row r="179" spans="2:4" ht="17.25" customHeight="1">
      <c r="B179" s="144" t="str">
        <f>IF(C178="East/West", "Feet - West Section", IF(C178="North/South", "Feet - North Section", "Select Force Direction"))</f>
        <v>Select Force Direction</v>
      </c>
      <c r="C179" s="171"/>
      <c r="D179" s="144" t="s">
        <v>324</v>
      </c>
    </row>
    <row r="180" spans="2:4" ht="17.25" customHeight="1">
      <c r="B180" s="144" t="str">
        <f>IF(C178="East/West", "Modules - West Section", IF(C178="North/South", "Modules - North Section", "Select Force Direction"))</f>
        <v>Select Force Direction</v>
      </c>
      <c r="C180" s="171"/>
      <c r="D180" s="144" t="s">
        <v>297</v>
      </c>
    </row>
    <row r="181" spans="2:4" ht="17.25" customHeight="1">
      <c r="B181" s="144" t="s">
        <v>303</v>
      </c>
      <c r="C181" s="171"/>
      <c r="D181" s="144" t="s">
        <v>297</v>
      </c>
    </row>
    <row r="182" spans="2:4" ht="17.25" customHeight="1">
      <c r="B182" s="144" t="str">
        <f>IF(C178="East/West", "Modules - East Section", IF(C178="North/South", "Modules - South Section", "Select Force Direction"))</f>
        <v>Select Force Direction</v>
      </c>
      <c r="C182" s="171"/>
      <c r="D182" s="144" t="s">
        <v>297</v>
      </c>
    </row>
    <row r="183" spans="2:4" ht="17.25" customHeight="1">
      <c r="B183" s="144" t="str">
        <f>IF(C178="East/West", "Feet - East Section", IF(C178="North/South", "Feet - South Section", "Select Force Direction"))</f>
        <v>Select Force Direction</v>
      </c>
      <c r="C183" s="171"/>
      <c r="D183" s="144" t="s">
        <v>324</v>
      </c>
    </row>
    <row r="184" spans="2:4" ht="17.25" customHeight="1">
      <c r="B184" s="144" t="s">
        <v>304</v>
      </c>
      <c r="C184" s="172">
        <f>IF(C180&lt;C182,C180*$C$30+C179*$C$27,C182*$C$30+C183*$C$27)</f>
        <v>0</v>
      </c>
      <c r="D184" s="144" t="s">
        <v>290</v>
      </c>
    </row>
    <row r="185" spans="2:4" ht="17.25" customHeight="1">
      <c r="B185" s="144" t="s">
        <v>305</v>
      </c>
      <c r="C185" s="172">
        <f>IF(0.133*C184*$C$9&gt;0.1*C184, 0.133*C184*$C$9, 0.1*C184)</f>
        <v>0</v>
      </c>
      <c r="D185" s="144" t="s">
        <v>290</v>
      </c>
    </row>
    <row r="186" spans="2:4" ht="17.25" customHeight="1">
      <c r="B186" s="144" t="s">
        <v>306</v>
      </c>
      <c r="C186" s="172" t="e">
        <f>C185/C181</f>
        <v>#DIV/0!</v>
      </c>
      <c r="D186" s="144" t="s">
        <v>290</v>
      </c>
    </row>
    <row r="187" spans="2:4" ht="17.25" customHeight="1">
      <c r="B187" s="144" t="s">
        <v>307</v>
      </c>
      <c r="C187" s="154" t="e">
        <f>IF(C178="EAST/WEST", IF($C$20&gt;=C186,"Pass","Fail"), IF($C$22&gt;=C186,"Pass", "Fail"))</f>
        <v>#DIV/0!</v>
      </c>
    </row>
    <row r="188" spans="2:4" ht="17.25" customHeight="1">
      <c r="B188" s="144" t="s">
        <v>308</v>
      </c>
      <c r="C188" s="172" t="e">
        <f>IF(C180&lt;C182,C180/C181,C182/C181)</f>
        <v>#DIV/0!</v>
      </c>
      <c r="D188" s="144" t="s">
        <v>309</v>
      </c>
    </row>
    <row r="190" spans="2:4" ht="17.25" customHeight="1">
      <c r="B190" s="167" t="s">
        <v>299</v>
      </c>
      <c r="C190" s="168"/>
      <c r="D190" s="166"/>
    </row>
    <row r="191" spans="2:4" ht="17.25" customHeight="1">
      <c r="B191" s="167" t="s">
        <v>301</v>
      </c>
      <c r="C191" s="168" t="s">
        <v>302</v>
      </c>
      <c r="D191" s="166"/>
    </row>
    <row r="192" spans="2:4" ht="17.25" customHeight="1">
      <c r="B192" s="144" t="str">
        <f>IF(C191="East/West", "Feet - West Section", IF(C191="North/South", "Feet - North Section", "Select Force Direction"))</f>
        <v>Select Force Direction</v>
      </c>
      <c r="C192" s="171"/>
      <c r="D192" s="144" t="s">
        <v>324</v>
      </c>
    </row>
    <row r="193" spans="2:4" ht="17.25" customHeight="1">
      <c r="B193" s="144" t="str">
        <f>IF(C191="East/West", "Modules - West Section", IF(C191="North/South", "Modules - North Section", "Select Force Direction"))</f>
        <v>Select Force Direction</v>
      </c>
      <c r="C193" s="171"/>
      <c r="D193" s="144" t="s">
        <v>297</v>
      </c>
    </row>
    <row r="194" spans="2:4" ht="17.25" customHeight="1">
      <c r="B194" s="144" t="s">
        <v>303</v>
      </c>
      <c r="C194" s="171"/>
      <c r="D194" s="144" t="s">
        <v>297</v>
      </c>
    </row>
    <row r="195" spans="2:4" ht="17.25" customHeight="1">
      <c r="B195" s="144" t="str">
        <f>IF(C191="East/West", "Modules - East Section", IF(C191="North/South", "Modules - South Section", "Select Force Direction"))</f>
        <v>Select Force Direction</v>
      </c>
      <c r="C195" s="171"/>
      <c r="D195" s="144" t="s">
        <v>297</v>
      </c>
    </row>
    <row r="196" spans="2:4" ht="17.25" customHeight="1">
      <c r="B196" s="144" t="str">
        <f>IF(C191="East/West", "Feet - East Section", IF(C191="North/South", "Feet - South Section", "Select Force Direction"))</f>
        <v>Select Force Direction</v>
      </c>
      <c r="C196" s="171"/>
      <c r="D196" s="144" t="s">
        <v>324</v>
      </c>
    </row>
    <row r="197" spans="2:4" ht="17.25" customHeight="1">
      <c r="B197" s="144" t="s">
        <v>304</v>
      </c>
      <c r="C197" s="172">
        <f>IF(C193&lt;C195,C193*$C$30+C192*$C$27,C195*$C$30+C196*$C$27)</f>
        <v>0</v>
      </c>
      <c r="D197" s="144" t="s">
        <v>290</v>
      </c>
    </row>
    <row r="198" spans="2:4" ht="17.25" customHeight="1">
      <c r="B198" s="144" t="s">
        <v>305</v>
      </c>
      <c r="C198" s="172">
        <f>IF(0.133*C197*$C$9&gt;0.1*C197, 0.133*C197*$C$9, 0.1*C197)</f>
        <v>0</v>
      </c>
      <c r="D198" s="144" t="s">
        <v>290</v>
      </c>
    </row>
    <row r="199" spans="2:4" ht="17.25" customHeight="1">
      <c r="B199" s="144" t="s">
        <v>306</v>
      </c>
      <c r="C199" s="172" t="e">
        <f>C198/C194</f>
        <v>#DIV/0!</v>
      </c>
      <c r="D199" s="144" t="s">
        <v>290</v>
      </c>
    </row>
    <row r="200" spans="2:4" ht="17.25" customHeight="1">
      <c r="B200" s="144" t="s">
        <v>307</v>
      </c>
      <c r="C200" s="154" t="e">
        <f>IF(C191="EAST/WEST", IF($C$20&gt;=C199,"Pass","Fail"), IF($C$22&gt;=C199,"Pass", "Fail"))</f>
        <v>#DIV/0!</v>
      </c>
    </row>
    <row r="201" spans="2:4" ht="17.25" customHeight="1">
      <c r="B201" s="144" t="s">
        <v>308</v>
      </c>
      <c r="C201" s="172" t="e">
        <f>IF(C193&lt;C195,C193/C194,C195/C194)</f>
        <v>#DIV/0!</v>
      </c>
      <c r="D201" s="144" t="s">
        <v>309</v>
      </c>
    </row>
    <row r="202" spans="2:4" ht="17.25" customHeight="1">
      <c r="B202" s="159"/>
      <c r="C202" s="175"/>
      <c r="D202" s="159"/>
    </row>
    <row r="203" spans="2:4" ht="17.25" customHeight="1">
      <c r="B203" s="167" t="s">
        <v>299</v>
      </c>
      <c r="C203" s="168"/>
      <c r="D203" s="166"/>
    </row>
    <row r="204" spans="2:4" ht="17.25" customHeight="1">
      <c r="B204" s="167" t="s">
        <v>301</v>
      </c>
      <c r="C204" s="168" t="s">
        <v>302</v>
      </c>
      <c r="D204" s="166"/>
    </row>
    <row r="205" spans="2:4" ht="17.25" customHeight="1">
      <c r="B205" s="144" t="str">
        <f>IF(C204="East/West", "Feet - West Section", IF(C204="North/South", "Feet - North Section", "Select Force Direction"))</f>
        <v>Select Force Direction</v>
      </c>
      <c r="C205" s="171"/>
      <c r="D205" s="144" t="s">
        <v>324</v>
      </c>
    </row>
    <row r="206" spans="2:4" ht="17.25" customHeight="1">
      <c r="B206" s="144" t="str">
        <f>IF(C204="East/West", "Modules - West Section", IF(C204="North/South", "Modules - North Section", "Select Force Direction"))</f>
        <v>Select Force Direction</v>
      </c>
      <c r="C206" s="171"/>
      <c r="D206" s="144" t="s">
        <v>297</v>
      </c>
    </row>
    <row r="207" spans="2:4" ht="17.25" customHeight="1">
      <c r="B207" s="144" t="s">
        <v>303</v>
      </c>
      <c r="C207" s="171"/>
      <c r="D207" s="144" t="s">
        <v>297</v>
      </c>
    </row>
    <row r="208" spans="2:4" ht="17.25" customHeight="1">
      <c r="B208" s="144" t="str">
        <f>IF(C204="East/West", "Modules - East Section", IF(C204="North/South", "Modules - South Section", "Select Force Direction"))</f>
        <v>Select Force Direction</v>
      </c>
      <c r="C208" s="171"/>
      <c r="D208" s="144" t="s">
        <v>297</v>
      </c>
    </row>
    <row r="209" spans="2:4" ht="17.25" customHeight="1">
      <c r="B209" s="144" t="str">
        <f>IF(C204="East/West", "Feet - East Section", IF(C204="North/South", "Feet - South Section", "Select Force Direction"))</f>
        <v>Select Force Direction</v>
      </c>
      <c r="C209" s="171"/>
      <c r="D209" s="144" t="s">
        <v>324</v>
      </c>
    </row>
    <row r="210" spans="2:4" ht="17.25" customHeight="1">
      <c r="B210" s="144" t="s">
        <v>304</v>
      </c>
      <c r="C210" s="172">
        <f>IF(C206&lt;C208,C206*$C$30+C205*$C$27,C208*$C$30+C209*$C$27)</f>
        <v>0</v>
      </c>
      <c r="D210" s="144" t="s">
        <v>290</v>
      </c>
    </row>
    <row r="211" spans="2:4" ht="17.25" customHeight="1">
      <c r="B211" s="144" t="s">
        <v>305</v>
      </c>
      <c r="C211" s="172">
        <f>IF(0.133*C210*$C$9&gt;0.1*C210, 0.133*C210*$C$9, 0.1*C210)</f>
        <v>0</v>
      </c>
      <c r="D211" s="144" t="s">
        <v>290</v>
      </c>
    </row>
    <row r="212" spans="2:4" ht="17.25" customHeight="1">
      <c r="B212" s="144" t="s">
        <v>306</v>
      </c>
      <c r="C212" s="172" t="e">
        <f>C211/C207</f>
        <v>#DIV/0!</v>
      </c>
      <c r="D212" s="144" t="s">
        <v>290</v>
      </c>
    </row>
    <row r="213" spans="2:4" ht="17.25" customHeight="1">
      <c r="B213" s="144" t="s">
        <v>307</v>
      </c>
      <c r="C213" s="154" t="e">
        <f>IF(C204="EAST/WEST", IF($C$20&gt;=C212,"Pass","Fail"), IF($C$22&gt;=C212,"Pass", "Fail"))</f>
        <v>#DIV/0!</v>
      </c>
    </row>
    <row r="214" spans="2:4" ht="17.25" customHeight="1">
      <c r="B214" s="144" t="s">
        <v>308</v>
      </c>
      <c r="C214" s="172" t="e">
        <f>IF(C206&lt;C208,C206/C207,C208/C207)</f>
        <v>#DIV/0!</v>
      </c>
      <c r="D214" s="144" t="s">
        <v>309</v>
      </c>
    </row>
    <row r="216" spans="2:4" ht="17.25" customHeight="1">
      <c r="B216" s="167" t="s">
        <v>299</v>
      </c>
      <c r="C216" s="168"/>
      <c r="D216" s="166"/>
    </row>
    <row r="217" spans="2:4" ht="17.25" customHeight="1">
      <c r="B217" s="167" t="s">
        <v>301</v>
      </c>
      <c r="C217" s="168" t="s">
        <v>302</v>
      </c>
      <c r="D217" s="166"/>
    </row>
    <row r="218" spans="2:4" ht="17.25" customHeight="1">
      <c r="B218" s="144" t="s">
        <v>325</v>
      </c>
      <c r="C218" s="171"/>
      <c r="D218" s="144" t="s">
        <v>324</v>
      </c>
    </row>
    <row r="219" spans="2:4" ht="17.25" customHeight="1">
      <c r="B219" s="144" t="s">
        <v>325</v>
      </c>
      <c r="C219" s="171"/>
      <c r="D219" s="144" t="s">
        <v>297</v>
      </c>
    </row>
    <row r="220" spans="2:4" ht="17.25" customHeight="1">
      <c r="B220" s="144" t="s">
        <v>303</v>
      </c>
      <c r="C220" s="171"/>
      <c r="D220" s="144" t="s">
        <v>297</v>
      </c>
    </row>
    <row r="221" spans="2:4" ht="17.25" customHeight="1">
      <c r="B221" s="144" t="s">
        <v>325</v>
      </c>
      <c r="C221" s="171"/>
      <c r="D221" s="144" t="s">
        <v>297</v>
      </c>
    </row>
    <row r="222" spans="2:4" ht="17.25" customHeight="1">
      <c r="B222" s="144" t="s">
        <v>325</v>
      </c>
      <c r="C222" s="171"/>
      <c r="D222" s="144" t="s">
        <v>324</v>
      </c>
    </row>
    <row r="223" spans="2:4" ht="17.25" customHeight="1">
      <c r="B223" s="144" t="s">
        <v>304</v>
      </c>
      <c r="C223" s="172">
        <f>IF(C219&lt;C221,C219*$C$30+C218*$C$27,C221*$C$30+C222*$C$27)</f>
        <v>0</v>
      </c>
      <c r="D223" s="144" t="s">
        <v>290</v>
      </c>
    </row>
    <row r="224" spans="2:4" ht="17.25" customHeight="1">
      <c r="B224" s="144" t="s">
        <v>305</v>
      </c>
      <c r="C224" s="172">
        <f>IF(0.133*C223*$C$9&gt;0.1*C223, 0.133*C223*$C$9, 0.1*C223)</f>
        <v>0</v>
      </c>
      <c r="D224" s="144" t="s">
        <v>290</v>
      </c>
    </row>
    <row r="225" spans="2:4" ht="17.25" customHeight="1">
      <c r="B225" s="144" t="s">
        <v>306</v>
      </c>
      <c r="C225" s="172" t="e">
        <f>C224/C220</f>
        <v>#DIV/0!</v>
      </c>
      <c r="D225" s="144" t="s">
        <v>290</v>
      </c>
    </row>
    <row r="226" spans="2:4" ht="17.25" customHeight="1">
      <c r="B226" s="144" t="s">
        <v>307</v>
      </c>
      <c r="C226" s="154" t="e">
        <f>IF(C217="EAST/WEST", IF($C$20&gt;=C225,"Pass","Fail"), IF($C$22&gt;=C225,"Pass", "Fail"))</f>
        <v>#DIV/0!</v>
      </c>
    </row>
    <row r="227" spans="2:4" ht="17.25" customHeight="1">
      <c r="B227" s="144" t="s">
        <v>308</v>
      </c>
      <c r="C227" s="172" t="e">
        <f>IF(C219&lt;C221,C219/C220,C221/C220)</f>
        <v>#DIV/0!</v>
      </c>
      <c r="D227" s="144" t="s">
        <v>309</v>
      </c>
    </row>
    <row r="229" spans="2:4" ht="17.25" customHeight="1">
      <c r="B229" s="167" t="s">
        <v>299</v>
      </c>
      <c r="C229" s="168"/>
      <c r="D229" s="166"/>
    </row>
    <row r="230" spans="2:4" ht="17.25" customHeight="1">
      <c r="B230" s="167" t="s">
        <v>301</v>
      </c>
      <c r="C230" s="168" t="s">
        <v>302</v>
      </c>
      <c r="D230" s="166"/>
    </row>
    <row r="231" spans="2:4" ht="17.25" customHeight="1">
      <c r="B231" s="144" t="str">
        <f>IF(C230="East/West", "Feet - West Section", IF(C230="North/South", "Feet - North Section", "Select Force Direction"))</f>
        <v>Select Force Direction</v>
      </c>
      <c r="C231" s="171"/>
      <c r="D231" s="144" t="s">
        <v>324</v>
      </c>
    </row>
    <row r="232" spans="2:4" ht="17.25" customHeight="1">
      <c r="B232" s="144" t="str">
        <f>IF(C230="East/West", "Modules - West Section", IF(C230="North/South", "Modules - North Section", "Select Force Direction"))</f>
        <v>Select Force Direction</v>
      </c>
      <c r="C232" s="171"/>
      <c r="D232" s="144" t="s">
        <v>297</v>
      </c>
    </row>
    <row r="233" spans="2:4" ht="17.25" customHeight="1">
      <c r="B233" s="144" t="s">
        <v>303</v>
      </c>
      <c r="C233" s="171"/>
      <c r="D233" s="144" t="s">
        <v>297</v>
      </c>
    </row>
    <row r="234" spans="2:4" ht="17.25" customHeight="1">
      <c r="B234" s="144" t="str">
        <f>IF(C230="East/West", "Modules - East Section", IF(C230="North/South", "Modules - South Section", "Select Force Direction"))</f>
        <v>Select Force Direction</v>
      </c>
      <c r="C234" s="171"/>
      <c r="D234" s="144" t="s">
        <v>297</v>
      </c>
    </row>
    <row r="235" spans="2:4" ht="17.25" customHeight="1">
      <c r="B235" s="144" t="str">
        <f>IF(C230="East/West", "Feet - East Section", IF(C230="North/South", "Feet - South Section", "Select Force Direction"))</f>
        <v>Select Force Direction</v>
      </c>
      <c r="C235" s="171"/>
      <c r="D235" s="144" t="s">
        <v>324</v>
      </c>
    </row>
    <row r="236" spans="2:4" ht="17.25" customHeight="1">
      <c r="B236" s="144" t="s">
        <v>304</v>
      </c>
      <c r="C236" s="172">
        <f>IF(C232&lt;C234,C232*$C$30+C231*$C$27,C234*$C$30+C235*$C$27)</f>
        <v>0</v>
      </c>
      <c r="D236" s="144" t="s">
        <v>290</v>
      </c>
    </row>
    <row r="237" spans="2:4" ht="17.25" customHeight="1">
      <c r="B237" s="144" t="s">
        <v>305</v>
      </c>
      <c r="C237" s="172">
        <f>IF(0.133*C236*$C$9&gt;0.1*C236, 0.133*C236*$C$9, 0.1*C236)</f>
        <v>0</v>
      </c>
      <c r="D237" s="144" t="s">
        <v>290</v>
      </c>
    </row>
    <row r="238" spans="2:4" ht="17.25" customHeight="1">
      <c r="B238" s="144" t="s">
        <v>306</v>
      </c>
      <c r="C238" s="172" t="e">
        <f>C237/C233</f>
        <v>#DIV/0!</v>
      </c>
      <c r="D238" s="144" t="s">
        <v>290</v>
      </c>
    </row>
    <row r="239" spans="2:4" ht="17.25" customHeight="1">
      <c r="B239" s="144" t="s">
        <v>307</v>
      </c>
      <c r="C239" s="154" t="e">
        <f>IF(C230="EAST/WEST", IF($C$20&gt;=C238,"Pass","Fail"), IF($C$22&gt;=C238,"Pass", "Fail"))</f>
        <v>#DIV/0!</v>
      </c>
    </row>
    <row r="240" spans="2:4" ht="17.25" customHeight="1">
      <c r="B240" s="144" t="s">
        <v>308</v>
      </c>
      <c r="C240" s="172" t="e">
        <f>IF(C232&lt;C234,C232/C233,C234/C233)</f>
        <v>#DIV/0!</v>
      </c>
      <c r="D240" s="144" t="s">
        <v>309</v>
      </c>
    </row>
    <row r="242" spans="2:4" ht="17.25" customHeight="1">
      <c r="B242" s="167" t="s">
        <v>299</v>
      </c>
      <c r="C242" s="168"/>
      <c r="D242" s="166"/>
    </row>
    <row r="243" spans="2:4" ht="17.25" customHeight="1">
      <c r="B243" s="167" t="s">
        <v>301</v>
      </c>
      <c r="C243" s="168" t="s">
        <v>302</v>
      </c>
      <c r="D243" s="166"/>
    </row>
    <row r="244" spans="2:4" ht="17.25" customHeight="1">
      <c r="B244" s="144" t="str">
        <f>IF(C243="East/West", "Feet - West Section", IF(C243="North/South", "Feet - North Section", "Select Force Direction"))</f>
        <v>Select Force Direction</v>
      </c>
      <c r="C244" s="171"/>
      <c r="D244" s="144" t="s">
        <v>324</v>
      </c>
    </row>
    <row r="245" spans="2:4" ht="17.25" customHeight="1">
      <c r="B245" s="144" t="str">
        <f>IF(C243="East/West", "Modules - West Section", IF(C243="North/South", "Modules - North Section", "Select Force Direction"))</f>
        <v>Select Force Direction</v>
      </c>
      <c r="C245" s="171"/>
      <c r="D245" s="144" t="s">
        <v>297</v>
      </c>
    </row>
    <row r="246" spans="2:4" ht="17.25" customHeight="1">
      <c r="B246" s="144" t="s">
        <v>303</v>
      </c>
      <c r="C246" s="171"/>
      <c r="D246" s="144" t="s">
        <v>297</v>
      </c>
    </row>
    <row r="247" spans="2:4" ht="17.25" customHeight="1">
      <c r="B247" s="144" t="str">
        <f>IF(C243="East/West", "Modules - East Section", IF(C243="North/South", "Modules - South Section", "Select Force Direction"))</f>
        <v>Select Force Direction</v>
      </c>
      <c r="C247" s="171"/>
      <c r="D247" s="144" t="s">
        <v>297</v>
      </c>
    </row>
    <row r="248" spans="2:4" ht="17.25" customHeight="1">
      <c r="B248" s="144" t="str">
        <f>IF(C243="East/West", "Feet - East Section", IF(C243="North/South", "Feet - South Section", "Select Force Direction"))</f>
        <v>Select Force Direction</v>
      </c>
      <c r="C248" s="171"/>
      <c r="D248" s="144" t="s">
        <v>324</v>
      </c>
    </row>
    <row r="249" spans="2:4" ht="17.25" customHeight="1">
      <c r="B249" s="144" t="s">
        <v>304</v>
      </c>
      <c r="C249" s="172">
        <f>IF(C245&lt;C247,C245*$C$30+C244*$C$27,C247*$C$30+C248*$C$27)</f>
        <v>0</v>
      </c>
      <c r="D249" s="144" t="s">
        <v>290</v>
      </c>
    </row>
    <row r="250" spans="2:4" ht="17.25" customHeight="1">
      <c r="B250" s="144" t="s">
        <v>305</v>
      </c>
      <c r="C250" s="172">
        <f>IF(0.133*C249*$C$9&gt;0.1*C249, 0.133*C249*$C$9, 0.1*C249)</f>
        <v>0</v>
      </c>
      <c r="D250" s="144" t="s">
        <v>290</v>
      </c>
    </row>
    <row r="251" spans="2:4" ht="17.25" customHeight="1">
      <c r="B251" s="144" t="s">
        <v>306</v>
      </c>
      <c r="C251" s="172" t="e">
        <f>C250/C246</f>
        <v>#DIV/0!</v>
      </c>
      <c r="D251" s="144" t="s">
        <v>290</v>
      </c>
    </row>
    <row r="252" spans="2:4" ht="17.25" customHeight="1">
      <c r="B252" s="144" t="s">
        <v>307</v>
      </c>
      <c r="C252" s="154" t="e">
        <f>IF(C243="EAST/WEST", IF($C$20&gt;=C251,"Pass","Fail"), IF($C$22&gt;=C251,"Pass", "Fail"))</f>
        <v>#DIV/0!</v>
      </c>
    </row>
    <row r="253" spans="2:4" ht="17.25" customHeight="1">
      <c r="B253" s="144" t="s">
        <v>308</v>
      </c>
      <c r="C253" s="172" t="e">
        <f>IF(C245&lt;C247,C245/C246,C247/C246)</f>
        <v>#DIV/0!</v>
      </c>
      <c r="D253" s="144" t="s">
        <v>309</v>
      </c>
    </row>
    <row r="255" spans="2:4" ht="17.25" customHeight="1">
      <c r="B255" s="167" t="s">
        <v>299</v>
      </c>
      <c r="C255" s="168"/>
      <c r="D255" s="166"/>
    </row>
    <row r="256" spans="2:4" ht="17.25" customHeight="1">
      <c r="B256" s="167" t="s">
        <v>301</v>
      </c>
      <c r="C256" s="168" t="s">
        <v>302</v>
      </c>
      <c r="D256" s="166"/>
    </row>
    <row r="257" spans="2:4" ht="17.25" customHeight="1">
      <c r="B257" s="144" t="str">
        <f>IF(C256="East/West", "Feet - West Section", IF(C256="North/South", "Feet - North Section", "Select Force Direction"))</f>
        <v>Select Force Direction</v>
      </c>
      <c r="C257" s="171"/>
      <c r="D257" s="144" t="s">
        <v>324</v>
      </c>
    </row>
    <row r="258" spans="2:4" ht="17.25" customHeight="1">
      <c r="B258" s="144" t="str">
        <f>IF(C256="East/West", "Modules - West Section", IF(C256="North/South", "Modules - North Section", "Select Force Direction"))</f>
        <v>Select Force Direction</v>
      </c>
      <c r="C258" s="171"/>
      <c r="D258" s="144" t="s">
        <v>297</v>
      </c>
    </row>
    <row r="259" spans="2:4" ht="17.25" customHeight="1">
      <c r="B259" s="144" t="s">
        <v>303</v>
      </c>
      <c r="C259" s="171"/>
      <c r="D259" s="144" t="s">
        <v>297</v>
      </c>
    </row>
    <row r="260" spans="2:4" ht="17.25" customHeight="1">
      <c r="B260" s="144" t="str">
        <f>IF(C256="East/West", "Modules - East Section", IF(C256="North/South", "Modules - South Section", "Select Force Direction"))</f>
        <v>Select Force Direction</v>
      </c>
      <c r="C260" s="171"/>
      <c r="D260" s="144" t="s">
        <v>297</v>
      </c>
    </row>
    <row r="261" spans="2:4" ht="17.25" customHeight="1">
      <c r="B261" s="144" t="str">
        <f>IF(C256="East/West", "Feet - East Section", IF(C256="North/South", "Feet - South Section", "Select Force Direction"))</f>
        <v>Select Force Direction</v>
      </c>
      <c r="C261" s="171"/>
      <c r="D261" s="144" t="s">
        <v>324</v>
      </c>
    </row>
    <row r="262" spans="2:4" ht="17.25" customHeight="1">
      <c r="B262" s="144" t="s">
        <v>304</v>
      </c>
      <c r="C262" s="172">
        <f>IF(C258&lt;C260,C258*$C$30+C257*$C$27,C260*$C$30+C261*$C$27)</f>
        <v>0</v>
      </c>
      <c r="D262" s="144" t="s">
        <v>290</v>
      </c>
    </row>
    <row r="263" spans="2:4" ht="17.25" customHeight="1">
      <c r="B263" s="144" t="s">
        <v>305</v>
      </c>
      <c r="C263" s="172">
        <f>IF(0.133*C262*$C$9&gt;0.1*C262, 0.133*C262*$C$9, 0.1*C262)</f>
        <v>0</v>
      </c>
      <c r="D263" s="144" t="s">
        <v>290</v>
      </c>
    </row>
    <row r="264" spans="2:4" ht="17.25" customHeight="1">
      <c r="B264" s="144" t="s">
        <v>306</v>
      </c>
      <c r="C264" s="172" t="e">
        <f>C263/C259</f>
        <v>#DIV/0!</v>
      </c>
      <c r="D264" s="144" t="s">
        <v>290</v>
      </c>
    </row>
    <row r="265" spans="2:4" ht="17.25" customHeight="1">
      <c r="B265" s="144" t="s">
        <v>307</v>
      </c>
      <c r="C265" s="154" t="e">
        <f>IF(C256="EAST/WEST", IF($C$20&gt;=C264,"Pass","Fail"), IF($C$22&gt;=C264,"Pass", "Fail"))</f>
        <v>#DIV/0!</v>
      </c>
    </row>
    <row r="266" spans="2:4" ht="17.25" customHeight="1">
      <c r="B266" s="144" t="s">
        <v>308</v>
      </c>
      <c r="C266" s="172" t="e">
        <f>IF(C258&lt;C260,C258/C259,C260/C259)</f>
        <v>#DIV/0!</v>
      </c>
      <c r="D266" s="144" t="s">
        <v>309</v>
      </c>
    </row>
    <row r="268" spans="2:4" ht="17.25" customHeight="1">
      <c r="B268" s="167" t="s">
        <v>299</v>
      </c>
      <c r="C268" s="168"/>
      <c r="D268" s="166"/>
    </row>
    <row r="269" spans="2:4" ht="17.25" customHeight="1">
      <c r="B269" s="167" t="s">
        <v>301</v>
      </c>
      <c r="C269" s="168" t="s">
        <v>302</v>
      </c>
      <c r="D269" s="166"/>
    </row>
    <row r="270" spans="2:4" ht="17.25" customHeight="1">
      <c r="B270" s="144" t="s">
        <v>325</v>
      </c>
      <c r="C270" s="171"/>
      <c r="D270" s="144" t="s">
        <v>324</v>
      </c>
    </row>
    <row r="271" spans="2:4" ht="17.25" customHeight="1">
      <c r="B271" s="144" t="s">
        <v>325</v>
      </c>
      <c r="C271" s="171"/>
      <c r="D271" s="144" t="s">
        <v>297</v>
      </c>
    </row>
    <row r="272" spans="2:4" ht="17.25" customHeight="1">
      <c r="B272" s="144" t="s">
        <v>303</v>
      </c>
      <c r="C272" s="171"/>
      <c r="D272" s="144" t="s">
        <v>297</v>
      </c>
    </row>
    <row r="273" spans="2:4" ht="17.25" customHeight="1">
      <c r="B273" s="144" t="s">
        <v>325</v>
      </c>
      <c r="C273" s="171"/>
      <c r="D273" s="144" t="s">
        <v>297</v>
      </c>
    </row>
    <row r="274" spans="2:4" ht="17.25" customHeight="1">
      <c r="B274" s="144" t="s">
        <v>325</v>
      </c>
      <c r="C274" s="171"/>
      <c r="D274" s="144" t="s">
        <v>324</v>
      </c>
    </row>
    <row r="275" spans="2:4" ht="17.25" customHeight="1">
      <c r="B275" s="144" t="s">
        <v>304</v>
      </c>
      <c r="C275" s="172">
        <f>IF(C271&lt;C273,C271*$C$30+C270*$C$27,C273*$C$30+C274*$C$27)</f>
        <v>0</v>
      </c>
      <c r="D275" s="144" t="s">
        <v>290</v>
      </c>
    </row>
    <row r="276" spans="2:4" ht="17.25" customHeight="1">
      <c r="B276" s="144" t="s">
        <v>305</v>
      </c>
      <c r="C276" s="172">
        <f>IF(0.133*C275*$C$9&gt;0.1*C275, 0.133*C275*$C$9, 0.1*C275)</f>
        <v>0</v>
      </c>
      <c r="D276" s="144" t="s">
        <v>290</v>
      </c>
    </row>
    <row r="277" spans="2:4" ht="17.25" customHeight="1">
      <c r="B277" s="144" t="s">
        <v>306</v>
      </c>
      <c r="C277" s="172" t="e">
        <f>C276/C272</f>
        <v>#DIV/0!</v>
      </c>
      <c r="D277" s="144" t="s">
        <v>290</v>
      </c>
    </row>
    <row r="278" spans="2:4" ht="17.25" customHeight="1">
      <c r="B278" s="144" t="s">
        <v>307</v>
      </c>
      <c r="C278" s="154" t="e">
        <f>IF(C269="EAST/WEST", IF($C$20&gt;=C277,"Pass","Fail"), IF($C$22&gt;=C277,"Pass", "Fail"))</f>
        <v>#DIV/0!</v>
      </c>
    </row>
    <row r="279" spans="2:4" ht="17.25" customHeight="1">
      <c r="B279" s="144" t="s">
        <v>308</v>
      </c>
      <c r="C279" s="172" t="e">
        <f>IF(C271&lt;C273,C271/C272,C273/C272)</f>
        <v>#DIV/0!</v>
      </c>
      <c r="D279" s="144" t="s">
        <v>309</v>
      </c>
    </row>
    <row r="281" spans="2:4" ht="17.25" customHeight="1">
      <c r="B281" s="167" t="s">
        <v>299</v>
      </c>
      <c r="C281" s="168"/>
      <c r="D281" s="166"/>
    </row>
    <row r="282" spans="2:4" ht="17.25" customHeight="1">
      <c r="B282" s="167" t="s">
        <v>301</v>
      </c>
      <c r="C282" s="168" t="s">
        <v>302</v>
      </c>
      <c r="D282" s="166"/>
    </row>
    <row r="283" spans="2:4" ht="17.25" customHeight="1">
      <c r="B283" s="144" t="str">
        <f>IF(C282="East/West", "Feet - West Section", IF(C282="North/South", "Feet - North Section", "Select Force Direction"))</f>
        <v>Select Force Direction</v>
      </c>
      <c r="C283" s="171"/>
      <c r="D283" s="144" t="s">
        <v>324</v>
      </c>
    </row>
    <row r="284" spans="2:4" ht="17.25" customHeight="1">
      <c r="B284" s="144" t="str">
        <f>IF(C282="East/West", "Modules - West Section", IF(C282="North/South", "Modules - North Section", "Select Force Direction"))</f>
        <v>Select Force Direction</v>
      </c>
      <c r="C284" s="171"/>
      <c r="D284" s="144" t="s">
        <v>297</v>
      </c>
    </row>
    <row r="285" spans="2:4" ht="17.25" customHeight="1">
      <c r="B285" s="144" t="s">
        <v>303</v>
      </c>
      <c r="C285" s="171"/>
      <c r="D285" s="144" t="s">
        <v>297</v>
      </c>
    </row>
    <row r="286" spans="2:4" ht="17.25" customHeight="1">
      <c r="B286" s="144" t="str">
        <f>IF(C282="East/West", "Modules - East Section", IF(C282="North/South", "Modules - South Section", "Select Force Direction"))</f>
        <v>Select Force Direction</v>
      </c>
      <c r="C286" s="171"/>
      <c r="D286" s="144" t="s">
        <v>297</v>
      </c>
    </row>
    <row r="287" spans="2:4" ht="17.25" customHeight="1">
      <c r="B287" s="144" t="str">
        <f>IF(C282="East/West", "Feet - East Section", IF(C282="North/South", "Feet - South Section", "Select Force Direction"))</f>
        <v>Select Force Direction</v>
      </c>
      <c r="C287" s="171"/>
      <c r="D287" s="144" t="s">
        <v>324</v>
      </c>
    </row>
    <row r="288" spans="2:4" ht="17.25" customHeight="1">
      <c r="B288" s="144" t="s">
        <v>304</v>
      </c>
      <c r="C288" s="172">
        <f>IF(C284&lt;C286,C284*$C$30+C283*$C$27,C286*$C$30+C287*$C$27)</f>
        <v>0</v>
      </c>
      <c r="D288" s="144" t="s">
        <v>290</v>
      </c>
    </row>
    <row r="289" spans="2:4" ht="17.25" customHeight="1">
      <c r="B289" s="144" t="s">
        <v>305</v>
      </c>
      <c r="C289" s="172">
        <f>IF(0.133*C288*$C$9&gt;0.1*C288, 0.133*C288*$C$9, 0.1*C288)</f>
        <v>0</v>
      </c>
      <c r="D289" s="144" t="s">
        <v>290</v>
      </c>
    </row>
    <row r="290" spans="2:4" ht="17.25" customHeight="1">
      <c r="B290" s="144" t="s">
        <v>306</v>
      </c>
      <c r="C290" s="172" t="e">
        <f>C289/C285</f>
        <v>#DIV/0!</v>
      </c>
      <c r="D290" s="144" t="s">
        <v>290</v>
      </c>
    </row>
    <row r="291" spans="2:4" ht="17.25" customHeight="1">
      <c r="B291" s="144" t="s">
        <v>307</v>
      </c>
      <c r="C291" s="154" t="e">
        <f>IF(C282="EAST/WEST", IF($C$20&gt;=C290,"Pass","Fail"), IF($C$22&gt;=C290,"Pass", "Fail"))</f>
        <v>#DIV/0!</v>
      </c>
    </row>
    <row r="292" spans="2:4" ht="17.25" customHeight="1">
      <c r="B292" s="144" t="s">
        <v>308</v>
      </c>
      <c r="C292" s="172" t="e">
        <f>IF(C284&lt;C286,C284/C285,C286/C285)</f>
        <v>#DIV/0!</v>
      </c>
      <c r="D292" s="144" t="s">
        <v>309</v>
      </c>
    </row>
    <row r="294" spans="2:4" ht="17.25" customHeight="1">
      <c r="B294" s="167" t="s">
        <v>299</v>
      </c>
      <c r="C294" s="168"/>
      <c r="D294" s="166"/>
    </row>
    <row r="295" spans="2:4" ht="17.25" customHeight="1">
      <c r="B295" s="167" t="s">
        <v>301</v>
      </c>
      <c r="C295" s="168" t="s">
        <v>302</v>
      </c>
      <c r="D295" s="166"/>
    </row>
    <row r="296" spans="2:4" ht="17.25" customHeight="1">
      <c r="B296" s="144" t="str">
        <f>IF(C295="East/West", "Feet - West Section", IF(C295="North/South", "Feet - North Section", "Select Force Direction"))</f>
        <v>Select Force Direction</v>
      </c>
      <c r="C296" s="171"/>
      <c r="D296" s="144" t="s">
        <v>324</v>
      </c>
    </row>
    <row r="297" spans="2:4" ht="17.25" customHeight="1">
      <c r="B297" s="144" t="str">
        <f>IF(C295="East/West", "Modules - West Section", IF(C295="North/South", "Modules - North Section", "Select Force Direction"))</f>
        <v>Select Force Direction</v>
      </c>
      <c r="C297" s="171"/>
      <c r="D297" s="144" t="s">
        <v>297</v>
      </c>
    </row>
    <row r="298" spans="2:4" ht="17.25" customHeight="1">
      <c r="B298" s="144" t="s">
        <v>303</v>
      </c>
      <c r="C298" s="171"/>
      <c r="D298" s="144" t="s">
        <v>297</v>
      </c>
    </row>
    <row r="299" spans="2:4" ht="17.25" customHeight="1">
      <c r="B299" s="144" t="str">
        <f>IF(C295="East/West", "Modules - East Section", IF(C295="North/South", "Modules - South Section", "Select Force Direction"))</f>
        <v>Select Force Direction</v>
      </c>
      <c r="C299" s="171"/>
      <c r="D299" s="144" t="s">
        <v>297</v>
      </c>
    </row>
    <row r="300" spans="2:4" ht="17.25" customHeight="1">
      <c r="B300" s="144" t="str">
        <f>IF(C295="East/West", "Feet - East Section", IF(C295="North/South", "Feet - South Section", "Select Force Direction"))</f>
        <v>Select Force Direction</v>
      </c>
      <c r="C300" s="171"/>
      <c r="D300" s="144" t="s">
        <v>324</v>
      </c>
    </row>
    <row r="301" spans="2:4" ht="17.25" customHeight="1">
      <c r="B301" s="144" t="s">
        <v>304</v>
      </c>
      <c r="C301" s="172">
        <f>IF(C297&lt;C299,C297*$C$30+C296*$C$27,C299*$C$30+C300*$C$27)</f>
        <v>0</v>
      </c>
      <c r="D301" s="144" t="s">
        <v>290</v>
      </c>
    </row>
    <row r="302" spans="2:4" ht="17.25" customHeight="1">
      <c r="B302" s="144" t="s">
        <v>305</v>
      </c>
      <c r="C302" s="172">
        <f>IF(0.133*C301*$C$9&gt;0.1*C301, 0.133*C301*$C$9, 0.1*C301)</f>
        <v>0</v>
      </c>
      <c r="D302" s="144" t="s">
        <v>290</v>
      </c>
    </row>
    <row r="303" spans="2:4" ht="17.25" customHeight="1">
      <c r="B303" s="144" t="s">
        <v>306</v>
      </c>
      <c r="C303" s="172" t="e">
        <f>C302/C298</f>
        <v>#DIV/0!</v>
      </c>
      <c r="D303" s="144" t="s">
        <v>290</v>
      </c>
    </row>
    <row r="304" spans="2:4" ht="17.25" customHeight="1">
      <c r="B304" s="144" t="s">
        <v>307</v>
      </c>
      <c r="C304" s="154" t="e">
        <f>IF(C295="EAST/WEST", IF($C$20&gt;=C303,"Pass","Fail"), IF($C$22&gt;=C303,"Pass", "Fail"))</f>
        <v>#DIV/0!</v>
      </c>
    </row>
    <row r="305" spans="2:4" ht="17.25" customHeight="1">
      <c r="B305" s="144" t="s">
        <v>308</v>
      </c>
      <c r="C305" s="172" t="e">
        <f>IF(C297&lt;C299,C297/C298,C299/C298)</f>
        <v>#DIV/0!</v>
      </c>
      <c r="D305" s="144" t="s">
        <v>309</v>
      </c>
    </row>
    <row r="307" spans="2:4" ht="17.25" customHeight="1">
      <c r="B307" s="167" t="s">
        <v>299</v>
      </c>
      <c r="C307" s="168"/>
      <c r="D307" s="166"/>
    </row>
    <row r="308" spans="2:4" ht="17.25" customHeight="1">
      <c r="B308" s="167" t="s">
        <v>301</v>
      </c>
      <c r="C308" s="168" t="s">
        <v>302</v>
      </c>
      <c r="D308" s="166"/>
    </row>
    <row r="309" spans="2:4" ht="17.25" customHeight="1">
      <c r="B309" s="144" t="str">
        <f>IF(C308="East/West", "Feet - West Section", IF(C308="North/South", "Feet - North Section", "Select Force Direction"))</f>
        <v>Select Force Direction</v>
      </c>
      <c r="C309" s="171"/>
      <c r="D309" s="144" t="s">
        <v>324</v>
      </c>
    </row>
    <row r="310" spans="2:4" ht="17.25" customHeight="1">
      <c r="B310" s="144" t="str">
        <f>IF(C308="East/West", "Modules - West Section", IF(C308="North/South", "Modules - North Section", "Select Force Direction"))</f>
        <v>Select Force Direction</v>
      </c>
      <c r="C310" s="171"/>
      <c r="D310" s="144" t="s">
        <v>297</v>
      </c>
    </row>
    <row r="311" spans="2:4" ht="17.25" customHeight="1">
      <c r="B311" s="144" t="s">
        <v>303</v>
      </c>
      <c r="C311" s="171"/>
      <c r="D311" s="144" t="s">
        <v>297</v>
      </c>
    </row>
    <row r="312" spans="2:4" ht="17.25" customHeight="1">
      <c r="B312" s="144" t="str">
        <f>IF(C308="East/West", "Modules - East Section", IF(C308="North/South", "Modules - South Section", "Select Force Direction"))</f>
        <v>Select Force Direction</v>
      </c>
      <c r="C312" s="171"/>
      <c r="D312" s="144" t="s">
        <v>297</v>
      </c>
    </row>
    <row r="313" spans="2:4" ht="17.25" customHeight="1">
      <c r="B313" s="144" t="str">
        <f>IF(C308="East/West", "Feet - East Section", IF(C308="North/South", "Feet - South Section", "Select Force Direction"))</f>
        <v>Select Force Direction</v>
      </c>
      <c r="C313" s="171"/>
      <c r="D313" s="144" t="s">
        <v>324</v>
      </c>
    </row>
    <row r="314" spans="2:4" ht="17.25" customHeight="1">
      <c r="B314" s="144" t="s">
        <v>304</v>
      </c>
      <c r="C314" s="172">
        <f>IF(C310&lt;C312,C310*$C$30+C309*$C$27,C312*$C$30+C313*$C$27)</f>
        <v>0</v>
      </c>
      <c r="D314" s="144" t="s">
        <v>290</v>
      </c>
    </row>
    <row r="315" spans="2:4" ht="17.25" customHeight="1">
      <c r="B315" s="144" t="s">
        <v>305</v>
      </c>
      <c r="C315" s="172">
        <f>IF(0.133*C314*$C$9&gt;0.1*C314, 0.133*C314*$C$9, 0.1*C314)</f>
        <v>0</v>
      </c>
      <c r="D315" s="144" t="s">
        <v>290</v>
      </c>
    </row>
    <row r="316" spans="2:4" ht="17.25" customHeight="1">
      <c r="B316" s="144" t="s">
        <v>306</v>
      </c>
      <c r="C316" s="172" t="e">
        <f>C315/C311</f>
        <v>#DIV/0!</v>
      </c>
      <c r="D316" s="144" t="s">
        <v>290</v>
      </c>
    </row>
    <row r="317" spans="2:4" ht="17.25" customHeight="1">
      <c r="B317" s="144" t="s">
        <v>307</v>
      </c>
      <c r="C317" s="154" t="e">
        <f>IF(C308="EAST/WEST", IF($C$20&gt;=C316,"Pass","Fail"), IF($C$22&gt;=C316,"Pass", "Fail"))</f>
        <v>#DIV/0!</v>
      </c>
    </row>
    <row r="318" spans="2:4" ht="17.25" customHeight="1">
      <c r="B318" s="144" t="s">
        <v>308</v>
      </c>
      <c r="C318" s="172" t="e">
        <f>IF(C310&lt;C312,C310/C311,C312/C311)</f>
        <v>#DIV/0!</v>
      </c>
      <c r="D318" s="144" t="s">
        <v>309</v>
      </c>
    </row>
    <row r="319" spans="2:4" ht="17.25" customHeight="1">
      <c r="B319" s="159"/>
      <c r="C319" s="175"/>
      <c r="D319" s="159"/>
    </row>
    <row r="320" spans="2:4" ht="17.25" customHeight="1">
      <c r="B320" s="167" t="s">
        <v>299</v>
      </c>
      <c r="C320" s="168"/>
      <c r="D320" s="166"/>
    </row>
    <row r="321" spans="2:4" ht="17.25" customHeight="1">
      <c r="B321" s="167" t="s">
        <v>301</v>
      </c>
      <c r="C321" s="168" t="s">
        <v>302</v>
      </c>
      <c r="D321" s="166"/>
    </row>
    <row r="322" spans="2:4" ht="17.25" customHeight="1">
      <c r="B322" s="144" t="str">
        <f>IF(C321="East/West", "Feet - West Section", IF(C321="North/South", "Feet - North Section", "Select Force Direction"))</f>
        <v>Select Force Direction</v>
      </c>
      <c r="C322" s="171"/>
      <c r="D322" s="144" t="s">
        <v>324</v>
      </c>
    </row>
    <row r="323" spans="2:4" ht="17.25" customHeight="1">
      <c r="B323" s="144" t="str">
        <f>IF(C321="East/West", "Modules - West Section", IF(C321="North/South", "Modules - North Section", "Select Force Direction"))</f>
        <v>Select Force Direction</v>
      </c>
      <c r="C323" s="171"/>
      <c r="D323" s="144" t="s">
        <v>297</v>
      </c>
    </row>
    <row r="324" spans="2:4" ht="17.25" customHeight="1">
      <c r="B324" s="144" t="s">
        <v>303</v>
      </c>
      <c r="C324" s="171"/>
      <c r="D324" s="144" t="s">
        <v>297</v>
      </c>
    </row>
    <row r="325" spans="2:4" ht="17.25" customHeight="1">
      <c r="B325" s="144" t="str">
        <f>IF(C321="East/West", "Modules - East Section", IF(C321="North/South", "Modules - South Section", "Select Force Direction"))</f>
        <v>Select Force Direction</v>
      </c>
      <c r="C325" s="171"/>
      <c r="D325" s="144" t="s">
        <v>297</v>
      </c>
    </row>
    <row r="326" spans="2:4" ht="17.25" customHeight="1">
      <c r="B326" s="144" t="str">
        <f>IF(C321="East/West", "Feet - East Section", IF(C321="North/South", "Feet - South Section", "Select Force Direction"))</f>
        <v>Select Force Direction</v>
      </c>
      <c r="C326" s="171"/>
      <c r="D326" s="144" t="s">
        <v>324</v>
      </c>
    </row>
    <row r="327" spans="2:4" ht="17.25" customHeight="1">
      <c r="B327" s="144" t="s">
        <v>304</v>
      </c>
      <c r="C327" s="172">
        <f>IF(C323&lt;C325,C323*$C$30+C322*$C$27,C325*$C$30+C326*$C$27)</f>
        <v>0</v>
      </c>
      <c r="D327" s="144" t="s">
        <v>290</v>
      </c>
    </row>
    <row r="328" spans="2:4" ht="17.25" customHeight="1">
      <c r="B328" s="144" t="s">
        <v>305</v>
      </c>
      <c r="C328" s="172">
        <f>IF(0.133*C327*$C$9&gt;0.1*C327, 0.133*C327*$C$9, 0.1*C327)</f>
        <v>0</v>
      </c>
      <c r="D328" s="144" t="s">
        <v>290</v>
      </c>
    </row>
    <row r="329" spans="2:4" ht="17.25" customHeight="1">
      <c r="B329" s="144" t="s">
        <v>306</v>
      </c>
      <c r="C329" s="172" t="e">
        <f>C328/C324</f>
        <v>#DIV/0!</v>
      </c>
      <c r="D329" s="144" t="s">
        <v>290</v>
      </c>
    </row>
    <row r="330" spans="2:4" ht="17.25" customHeight="1">
      <c r="B330" s="144" t="s">
        <v>307</v>
      </c>
      <c r="C330" s="154" t="e">
        <f>IF(C321="EAST/WEST", IF($C$20&gt;=C329,"Pass","Fail"), IF($C$22&gt;=C329,"Pass", "Fail"))</f>
        <v>#DIV/0!</v>
      </c>
    </row>
    <row r="331" spans="2:4" ht="17.25" customHeight="1">
      <c r="B331" s="144" t="s">
        <v>308</v>
      </c>
      <c r="C331" s="172" t="e">
        <f>IF(C323&lt;C325,C323/C324,C325/C324)</f>
        <v>#DIV/0!</v>
      </c>
      <c r="D331" s="144" t="s">
        <v>309</v>
      </c>
    </row>
    <row r="333" spans="2:4" ht="17.25" customHeight="1">
      <c r="B333" s="167" t="s">
        <v>299</v>
      </c>
      <c r="C333" s="168"/>
      <c r="D333" s="166"/>
    </row>
    <row r="334" spans="2:4" ht="17.25" customHeight="1">
      <c r="B334" s="167" t="s">
        <v>301</v>
      </c>
      <c r="C334" s="168" t="s">
        <v>302</v>
      </c>
      <c r="D334" s="166"/>
    </row>
    <row r="335" spans="2:4" ht="17.25" customHeight="1">
      <c r="B335" s="144" t="str">
        <f>IF(C334="East/West", "Feet - West Section", IF(C334="North/South", "Feet - North Section", "Select Force Direction"))</f>
        <v>Select Force Direction</v>
      </c>
      <c r="C335" s="171"/>
      <c r="D335" s="144" t="s">
        <v>324</v>
      </c>
    </row>
    <row r="336" spans="2:4" ht="17.25" customHeight="1">
      <c r="B336" s="144" t="str">
        <f>IF(C334="East/West", "Modules - West Section", IF(C334="North/South", "Modules - North Section", "Select Force Direction"))</f>
        <v>Select Force Direction</v>
      </c>
      <c r="C336" s="171"/>
      <c r="D336" s="144" t="s">
        <v>297</v>
      </c>
    </row>
    <row r="337" spans="2:4" ht="17.25" customHeight="1">
      <c r="B337" s="144" t="s">
        <v>303</v>
      </c>
      <c r="C337" s="171"/>
      <c r="D337" s="144" t="s">
        <v>297</v>
      </c>
    </row>
    <row r="338" spans="2:4" ht="17.25" customHeight="1">
      <c r="B338" s="144" t="str">
        <f>IF(C334="East/West", "Modules - East Section", IF(C334="North/South", "Modules - South Section", "Select Force Direction"))</f>
        <v>Select Force Direction</v>
      </c>
      <c r="C338" s="171"/>
      <c r="D338" s="144" t="s">
        <v>297</v>
      </c>
    </row>
    <row r="339" spans="2:4" ht="17.25" customHeight="1">
      <c r="B339" s="144" t="str">
        <f>IF(C334="East/West", "Feet - East Section", IF(C334="North/South", "Feet - South Section", "Select Force Direction"))</f>
        <v>Select Force Direction</v>
      </c>
      <c r="C339" s="171"/>
      <c r="D339" s="144" t="s">
        <v>324</v>
      </c>
    </row>
    <row r="340" spans="2:4" ht="17.25" customHeight="1">
      <c r="B340" s="144" t="s">
        <v>304</v>
      </c>
      <c r="C340" s="172">
        <f>IF(C336&lt;C338,C336*$C$30+C335*$C$27,C338*$C$30+C339*$C$27)</f>
        <v>0</v>
      </c>
      <c r="D340" s="144" t="s">
        <v>290</v>
      </c>
    </row>
    <row r="341" spans="2:4" ht="17.25" customHeight="1">
      <c r="B341" s="144" t="s">
        <v>305</v>
      </c>
      <c r="C341" s="172">
        <f>IF(0.133*C340*$C$9&gt;0.1*C340, 0.133*C340*$C$9, 0.1*C340)</f>
        <v>0</v>
      </c>
      <c r="D341" s="144" t="s">
        <v>290</v>
      </c>
    </row>
    <row r="342" spans="2:4" ht="17.25" customHeight="1">
      <c r="B342" s="144" t="s">
        <v>306</v>
      </c>
      <c r="C342" s="172" t="e">
        <f>C341/C337</f>
        <v>#DIV/0!</v>
      </c>
      <c r="D342" s="144" t="s">
        <v>290</v>
      </c>
    </row>
    <row r="343" spans="2:4" ht="17.25" customHeight="1">
      <c r="B343" s="144" t="s">
        <v>307</v>
      </c>
      <c r="C343" s="154" t="e">
        <f>IF(C334="EAST/WEST", IF($C$20&gt;=C342,"Pass","Fail"), IF($C$22&gt;=C342,"Pass", "Fail"))</f>
        <v>#DIV/0!</v>
      </c>
    </row>
    <row r="344" spans="2:4" ht="17.25" customHeight="1">
      <c r="B344" s="144" t="s">
        <v>308</v>
      </c>
      <c r="C344" s="172" t="e">
        <f>IF(C336&lt;C338,C336/C337,C338/C337)</f>
        <v>#DIV/0!</v>
      </c>
      <c r="D344" s="144" t="s">
        <v>309</v>
      </c>
    </row>
    <row r="346" spans="2:4" ht="17.25" customHeight="1">
      <c r="B346" s="167" t="s">
        <v>299</v>
      </c>
      <c r="C346" s="168"/>
      <c r="D346" s="166"/>
    </row>
    <row r="347" spans="2:4" ht="17.25" customHeight="1">
      <c r="B347" s="167" t="s">
        <v>301</v>
      </c>
      <c r="C347" s="168" t="s">
        <v>302</v>
      </c>
      <c r="D347" s="166"/>
    </row>
    <row r="348" spans="2:4" ht="17.25" customHeight="1">
      <c r="B348" s="144" t="str">
        <f>IF(C347="East/West", "Feet - West Section", IF(C347="North/South", "Feet - North Section", "Select Force Direction"))</f>
        <v>Select Force Direction</v>
      </c>
      <c r="C348" s="171"/>
      <c r="D348" s="144" t="s">
        <v>324</v>
      </c>
    </row>
    <row r="349" spans="2:4" ht="17.25" customHeight="1">
      <c r="B349" s="144" t="str">
        <f>IF(C347="East/West", "Modules - West Section", IF(C347="North/South", "Modules - North Section", "Select Force Direction"))</f>
        <v>Select Force Direction</v>
      </c>
      <c r="C349" s="171"/>
      <c r="D349" s="144" t="s">
        <v>297</v>
      </c>
    </row>
    <row r="350" spans="2:4" ht="17.25" customHeight="1">
      <c r="B350" s="144" t="s">
        <v>303</v>
      </c>
      <c r="C350" s="171"/>
      <c r="D350" s="144" t="s">
        <v>297</v>
      </c>
    </row>
    <row r="351" spans="2:4" ht="17.25" customHeight="1">
      <c r="B351" s="144" t="str">
        <f>IF(C347="East/West", "Modules - East Section", IF(C347="North/South", "Modules - South Section", "Select Force Direction"))</f>
        <v>Select Force Direction</v>
      </c>
      <c r="C351" s="171"/>
      <c r="D351" s="144" t="s">
        <v>297</v>
      </c>
    </row>
    <row r="352" spans="2:4" ht="17.25" customHeight="1">
      <c r="B352" s="144" t="str">
        <f>IF(C347="East/West", "Feet - East Section", IF(C347="North/South", "Feet - South Section", "Select Force Direction"))</f>
        <v>Select Force Direction</v>
      </c>
      <c r="C352" s="171"/>
      <c r="D352" s="144" t="s">
        <v>324</v>
      </c>
    </row>
    <row r="353" spans="2:4" ht="17.25" customHeight="1">
      <c r="B353" s="144" t="s">
        <v>304</v>
      </c>
      <c r="C353" s="172">
        <f>IF(C349&lt;C351,C349*$C$30+C348*$C$27,C351*$C$30+C352*$C$27)</f>
        <v>0</v>
      </c>
      <c r="D353" s="144" t="s">
        <v>290</v>
      </c>
    </row>
    <row r="354" spans="2:4" ht="17.25" customHeight="1">
      <c r="B354" s="144" t="s">
        <v>305</v>
      </c>
      <c r="C354" s="172">
        <f>IF(0.133*C353*$C$9&gt;0.1*C353, 0.133*C353*$C$9, 0.1*C353)</f>
        <v>0</v>
      </c>
      <c r="D354" s="144" t="s">
        <v>290</v>
      </c>
    </row>
    <row r="355" spans="2:4" ht="17.25" customHeight="1">
      <c r="B355" s="144" t="s">
        <v>306</v>
      </c>
      <c r="C355" s="172" t="e">
        <f>C354/C350</f>
        <v>#DIV/0!</v>
      </c>
      <c r="D355" s="144" t="s">
        <v>290</v>
      </c>
    </row>
    <row r="356" spans="2:4" ht="17.25" customHeight="1">
      <c r="B356" s="144" t="s">
        <v>307</v>
      </c>
      <c r="C356" s="154" t="e">
        <f>IF(C347="EAST/WEST", IF($C$20&gt;=C355,"Pass","Fail"), IF($C$22&gt;=C355,"Pass", "Fail"))</f>
        <v>#DIV/0!</v>
      </c>
    </row>
    <row r="357" spans="2:4" ht="17.25" customHeight="1">
      <c r="B357" s="144" t="s">
        <v>308</v>
      </c>
      <c r="C357" s="172" t="e">
        <f>IF(C349&lt;C351,C349/C350,C351/C350)</f>
        <v>#DIV/0!</v>
      </c>
      <c r="D357" s="144" t="s">
        <v>309</v>
      </c>
    </row>
    <row r="359" spans="2:4" ht="17.25" customHeight="1">
      <c r="B359" s="167" t="s">
        <v>299</v>
      </c>
      <c r="C359" s="168"/>
      <c r="D359" s="166"/>
    </row>
    <row r="360" spans="2:4" ht="17.25" customHeight="1">
      <c r="B360" s="167" t="s">
        <v>301</v>
      </c>
      <c r="C360" s="168" t="s">
        <v>302</v>
      </c>
      <c r="D360" s="166"/>
    </row>
    <row r="361" spans="2:4" ht="17.25" customHeight="1">
      <c r="B361" s="144" t="str">
        <f>IF(C360="East/West", "Feet - West Section", IF(C360="North/South", "Feet - North Section", "Select Force Direction"))</f>
        <v>Select Force Direction</v>
      </c>
      <c r="C361" s="171"/>
      <c r="D361" s="144" t="s">
        <v>324</v>
      </c>
    </row>
    <row r="362" spans="2:4" ht="17.25" customHeight="1">
      <c r="B362" s="144" t="str">
        <f>IF(C360="East/West", "Modules - West Section", IF(C360="North/South", "Modules - North Section", "Select Force Direction"))</f>
        <v>Select Force Direction</v>
      </c>
      <c r="C362" s="171"/>
      <c r="D362" s="144" t="s">
        <v>297</v>
      </c>
    </row>
    <row r="363" spans="2:4" ht="17.25" customHeight="1">
      <c r="B363" s="144" t="s">
        <v>303</v>
      </c>
      <c r="C363" s="171"/>
      <c r="D363" s="144" t="s">
        <v>297</v>
      </c>
    </row>
    <row r="364" spans="2:4" ht="17.25" customHeight="1">
      <c r="B364" s="144" t="str">
        <f>IF(C360="East/West", "Modules - East Section", IF(C360="North/South", "Modules - South Section", "Select Force Direction"))</f>
        <v>Select Force Direction</v>
      </c>
      <c r="C364" s="171"/>
      <c r="D364" s="144" t="s">
        <v>297</v>
      </c>
    </row>
    <row r="365" spans="2:4" ht="17.25" customHeight="1">
      <c r="B365" s="144" t="str">
        <f>IF(C360="East/West", "Feet - East Section", IF(C360="North/South", "Feet - South Section", "Select Force Direction"))</f>
        <v>Select Force Direction</v>
      </c>
      <c r="C365" s="171"/>
      <c r="D365" s="144" t="s">
        <v>324</v>
      </c>
    </row>
    <row r="366" spans="2:4" ht="17.25" customHeight="1">
      <c r="B366" s="144" t="s">
        <v>304</v>
      </c>
      <c r="C366" s="172">
        <f>IF(C362&lt;C364,C362*$C$30+C361*$C$27,C364*$C$30+C365*$C$27)</f>
        <v>0</v>
      </c>
      <c r="D366" s="144" t="s">
        <v>290</v>
      </c>
    </row>
    <row r="367" spans="2:4" ht="17.25" customHeight="1">
      <c r="B367" s="144" t="s">
        <v>305</v>
      </c>
      <c r="C367" s="172">
        <f>IF(0.133*C366*$C$9&gt;0.1*C366, 0.133*C366*$C$9, 0.1*C366)</f>
        <v>0</v>
      </c>
      <c r="D367" s="144" t="s">
        <v>290</v>
      </c>
    </row>
    <row r="368" spans="2:4" ht="17.25" customHeight="1">
      <c r="B368" s="144" t="s">
        <v>306</v>
      </c>
      <c r="C368" s="172" t="e">
        <f>C367/C363</f>
        <v>#DIV/0!</v>
      </c>
      <c r="D368" s="144" t="s">
        <v>290</v>
      </c>
    </row>
    <row r="369" spans="2:4" ht="17.25" customHeight="1">
      <c r="B369" s="144" t="s">
        <v>307</v>
      </c>
      <c r="C369" s="154" t="e">
        <f>IF(C360="EAST/WEST", IF($C$20&gt;=C368,"Pass","Fail"), IF($C$22&gt;=C368,"Pass", "Fail"))</f>
        <v>#DIV/0!</v>
      </c>
    </row>
    <row r="370" spans="2:4" ht="17.25" customHeight="1">
      <c r="B370" s="144" t="s">
        <v>308</v>
      </c>
      <c r="C370" s="172" t="e">
        <f>IF(C362&lt;C364,C362/C363,C364/C363)</f>
        <v>#DIV/0!</v>
      </c>
      <c r="D370" s="144" t="s">
        <v>309</v>
      </c>
    </row>
    <row r="372" spans="2:4" ht="17.25" customHeight="1">
      <c r="B372" s="167" t="s">
        <v>299</v>
      </c>
      <c r="C372" s="168"/>
      <c r="D372" s="166"/>
    </row>
    <row r="373" spans="2:4" ht="17.25" customHeight="1">
      <c r="B373" s="167" t="s">
        <v>301</v>
      </c>
      <c r="C373" s="168" t="s">
        <v>302</v>
      </c>
      <c r="D373" s="166"/>
    </row>
    <row r="374" spans="2:4" ht="17.25" customHeight="1">
      <c r="B374" s="144" t="str">
        <f>IF(C373="East/West", "Feet - West Section", IF(C373="North/South", "Feet - North Section", "Select Force Direction"))</f>
        <v>Select Force Direction</v>
      </c>
      <c r="C374" s="171"/>
      <c r="D374" s="144" t="s">
        <v>324</v>
      </c>
    </row>
    <row r="375" spans="2:4" ht="17.25" customHeight="1">
      <c r="B375" s="144" t="str">
        <f>IF(C373="East/West", "Modules - West Section", IF(C373="North/South", "Modules - North Section", "Select Force Direction"))</f>
        <v>Select Force Direction</v>
      </c>
      <c r="C375" s="171"/>
      <c r="D375" s="144" t="s">
        <v>297</v>
      </c>
    </row>
    <row r="376" spans="2:4" ht="17.25" customHeight="1">
      <c r="B376" s="144" t="s">
        <v>303</v>
      </c>
      <c r="C376" s="171"/>
      <c r="D376" s="144" t="s">
        <v>297</v>
      </c>
    </row>
    <row r="377" spans="2:4" ht="17.25" customHeight="1">
      <c r="B377" s="144" t="str">
        <f>IF(C373="East/West", "Modules - East Section", IF(C373="North/South", "Modules - South Section", "Select Force Direction"))</f>
        <v>Select Force Direction</v>
      </c>
      <c r="C377" s="171"/>
      <c r="D377" s="144" t="s">
        <v>297</v>
      </c>
    </row>
    <row r="378" spans="2:4" ht="17.25" customHeight="1">
      <c r="B378" s="144" t="str">
        <f>IF(C373="East/West", "Feet - East Section", IF(C373="North/South", "Feet - South Section", "Select Force Direction"))</f>
        <v>Select Force Direction</v>
      </c>
      <c r="C378" s="171"/>
      <c r="D378" s="144" t="s">
        <v>324</v>
      </c>
    </row>
    <row r="379" spans="2:4" ht="17.25" customHeight="1">
      <c r="B379" s="144" t="s">
        <v>304</v>
      </c>
      <c r="C379" s="172">
        <f>IF(C375&lt;C377,C375*$C$30+C374*$C$27,C377*$C$30+C378*$C$27)</f>
        <v>0</v>
      </c>
      <c r="D379" s="144" t="s">
        <v>290</v>
      </c>
    </row>
    <row r="380" spans="2:4" ht="17.25" customHeight="1">
      <c r="B380" s="144" t="s">
        <v>305</v>
      </c>
      <c r="C380" s="172">
        <f>IF(0.133*C379*$C$9&gt;0.1*C379, 0.133*C379*$C$9, 0.1*C379)</f>
        <v>0</v>
      </c>
      <c r="D380" s="144" t="s">
        <v>290</v>
      </c>
    </row>
    <row r="381" spans="2:4" ht="17.25" customHeight="1">
      <c r="B381" s="144" t="s">
        <v>306</v>
      </c>
      <c r="C381" s="172" t="e">
        <f>C380/C376</f>
        <v>#DIV/0!</v>
      </c>
      <c r="D381" s="144" t="s">
        <v>290</v>
      </c>
    </row>
    <row r="382" spans="2:4" ht="17.25" customHeight="1">
      <c r="B382" s="144" t="s">
        <v>307</v>
      </c>
      <c r="C382" s="154" t="e">
        <f>IF(C373="EAST/WEST", IF($C$20&gt;=C381,"Pass","Fail"), IF($C$22&gt;=C381,"Pass", "Fail"))</f>
        <v>#DIV/0!</v>
      </c>
    </row>
    <row r="383" spans="2:4" ht="17.25" customHeight="1">
      <c r="B383" s="144" t="s">
        <v>308</v>
      </c>
      <c r="C383" s="172" t="e">
        <f>IF(C375&lt;C377,C375/C376,C377/C376)</f>
        <v>#DIV/0!</v>
      </c>
      <c r="D383" s="144" t="s">
        <v>309</v>
      </c>
    </row>
    <row r="385" spans="2:4" ht="17.25" customHeight="1">
      <c r="B385" s="167" t="s">
        <v>299</v>
      </c>
      <c r="C385" s="168"/>
      <c r="D385" s="166"/>
    </row>
    <row r="386" spans="2:4" ht="17.25" customHeight="1">
      <c r="B386" s="167" t="s">
        <v>301</v>
      </c>
      <c r="C386" s="168" t="s">
        <v>302</v>
      </c>
      <c r="D386" s="166"/>
    </row>
    <row r="387" spans="2:4" ht="17.25" customHeight="1">
      <c r="B387" s="144" t="str">
        <f>IF(C386="East/West", "Feet - West Section", IF(C386="North/South", "Feet - North Section", "Select Force Direction"))</f>
        <v>Select Force Direction</v>
      </c>
      <c r="C387" s="171"/>
      <c r="D387" s="144" t="s">
        <v>324</v>
      </c>
    </row>
    <row r="388" spans="2:4" ht="17.25" customHeight="1">
      <c r="B388" s="144" t="str">
        <f>IF(C386="East/West", "Modules - West Section", IF(C386="North/South", "Modules - North Section", "Select Force Direction"))</f>
        <v>Select Force Direction</v>
      </c>
      <c r="C388" s="171"/>
      <c r="D388" s="144" t="s">
        <v>297</v>
      </c>
    </row>
    <row r="389" spans="2:4" ht="17.25" customHeight="1">
      <c r="B389" s="144" t="s">
        <v>303</v>
      </c>
      <c r="C389" s="171"/>
      <c r="D389" s="144" t="s">
        <v>297</v>
      </c>
    </row>
    <row r="390" spans="2:4" ht="17.25" customHeight="1">
      <c r="B390" s="144" t="str">
        <f>IF(C386="East/West", "Modules - East Section", IF(C386="North/South", "Modules - South Section", "Select Force Direction"))</f>
        <v>Select Force Direction</v>
      </c>
      <c r="C390" s="171"/>
      <c r="D390" s="144" t="s">
        <v>297</v>
      </c>
    </row>
    <row r="391" spans="2:4" ht="17.25" customHeight="1">
      <c r="B391" s="144" t="str">
        <f>IF(C386="East/West", "Feet - East Section", IF(C386="North/South", "Feet - South Section", "Select Force Direction"))</f>
        <v>Select Force Direction</v>
      </c>
      <c r="C391" s="171"/>
      <c r="D391" s="144" t="s">
        <v>324</v>
      </c>
    </row>
    <row r="392" spans="2:4" ht="17.25" customHeight="1">
      <c r="B392" s="144" t="s">
        <v>304</v>
      </c>
      <c r="C392" s="172">
        <f>IF(C388&lt;C390,C388*$C$30+C387*$C$27,C390*$C$30+C391*$C$27)</f>
        <v>0</v>
      </c>
      <c r="D392" s="144" t="s">
        <v>290</v>
      </c>
    </row>
    <row r="393" spans="2:4" ht="17.25" customHeight="1">
      <c r="B393" s="144" t="s">
        <v>305</v>
      </c>
      <c r="C393" s="172">
        <f>IF(0.133*C392*$C$9&gt;0.1*C392, 0.133*C392*$C$9, 0.1*C392)</f>
        <v>0</v>
      </c>
      <c r="D393" s="144" t="s">
        <v>290</v>
      </c>
    </row>
    <row r="394" spans="2:4" ht="17.25" customHeight="1">
      <c r="B394" s="144" t="s">
        <v>306</v>
      </c>
      <c r="C394" s="172" t="e">
        <f>C393/C389</f>
        <v>#DIV/0!</v>
      </c>
      <c r="D394" s="144" t="s">
        <v>290</v>
      </c>
    </row>
    <row r="395" spans="2:4" ht="17.25" customHeight="1">
      <c r="B395" s="144" t="s">
        <v>307</v>
      </c>
      <c r="C395" s="154" t="e">
        <f>IF(C386="EAST/WEST", IF($C$20&gt;=C394,"Pass","Fail"), IF($C$22&gt;=C394,"Pass", "Fail"))</f>
        <v>#DIV/0!</v>
      </c>
    </row>
    <row r="396" spans="2:4" ht="17.25" customHeight="1">
      <c r="B396" s="144" t="s">
        <v>308</v>
      </c>
      <c r="C396" s="172" t="e">
        <f>IF(C388&lt;C390,C388/C389,C390/C389)</f>
        <v>#DIV/0!</v>
      </c>
      <c r="D396" s="144" t="s">
        <v>309</v>
      </c>
    </row>
    <row r="398" spans="2:4" ht="17.25" customHeight="1">
      <c r="B398" s="167" t="s">
        <v>299</v>
      </c>
      <c r="C398" s="168"/>
      <c r="D398" s="166"/>
    </row>
    <row r="399" spans="2:4" ht="17.25" customHeight="1">
      <c r="B399" s="167" t="s">
        <v>301</v>
      </c>
      <c r="C399" s="168" t="s">
        <v>302</v>
      </c>
      <c r="D399" s="166"/>
    </row>
    <row r="400" spans="2:4" ht="17.25" customHeight="1">
      <c r="B400" s="144" t="str">
        <f>IF(C399="East/West", "Feet - West Section", IF(C399="North/South", "Feet - North Section", "Select Force Direction"))</f>
        <v>Select Force Direction</v>
      </c>
      <c r="C400" s="171"/>
      <c r="D400" s="144" t="s">
        <v>324</v>
      </c>
    </row>
    <row r="401" spans="2:4" ht="17.25" customHeight="1">
      <c r="B401" s="144" t="str">
        <f>IF(C399="East/West", "Modules - West Section", IF(C399="North/South", "Modules - North Section", "Select Force Direction"))</f>
        <v>Select Force Direction</v>
      </c>
      <c r="C401" s="171"/>
      <c r="D401" s="144" t="s">
        <v>297</v>
      </c>
    </row>
    <row r="402" spans="2:4" ht="17.25" customHeight="1">
      <c r="B402" s="144" t="s">
        <v>303</v>
      </c>
      <c r="C402" s="171"/>
      <c r="D402" s="144" t="s">
        <v>297</v>
      </c>
    </row>
    <row r="403" spans="2:4" ht="17.25" customHeight="1">
      <c r="B403" s="144" t="str">
        <f>IF(C399="East/West", "Modules - East Section", IF(C399="North/South", "Modules - South Section", "Select Force Direction"))</f>
        <v>Select Force Direction</v>
      </c>
      <c r="C403" s="171"/>
      <c r="D403" s="144" t="s">
        <v>297</v>
      </c>
    </row>
    <row r="404" spans="2:4" ht="17.25" customHeight="1">
      <c r="B404" s="144" t="str">
        <f>IF(C399="East/West", "Feet - East Section", IF(C399="North/South", "Feet - South Section", "Select Force Direction"))</f>
        <v>Select Force Direction</v>
      </c>
      <c r="C404" s="171"/>
      <c r="D404" s="144" t="s">
        <v>324</v>
      </c>
    </row>
    <row r="405" spans="2:4" ht="17.25" customHeight="1">
      <c r="B405" s="144" t="s">
        <v>304</v>
      </c>
      <c r="C405" s="172">
        <f>IF(C401&lt;C403,C401*$C$30+C400*$C$27,C403*$C$30+C404*$C$27)</f>
        <v>0</v>
      </c>
      <c r="D405" s="144" t="s">
        <v>290</v>
      </c>
    </row>
    <row r="406" spans="2:4" ht="17.25" customHeight="1">
      <c r="B406" s="144" t="s">
        <v>305</v>
      </c>
      <c r="C406" s="172">
        <f>IF(0.133*C405*$C$9&gt;0.1*C405, 0.133*C405*$C$9, 0.1*C405)</f>
        <v>0</v>
      </c>
      <c r="D406" s="144" t="s">
        <v>290</v>
      </c>
    </row>
    <row r="407" spans="2:4" ht="17.25" customHeight="1">
      <c r="B407" s="144" t="s">
        <v>306</v>
      </c>
      <c r="C407" s="172" t="e">
        <f>C406/C402</f>
        <v>#DIV/0!</v>
      </c>
      <c r="D407" s="144" t="s">
        <v>290</v>
      </c>
    </row>
    <row r="408" spans="2:4" ht="17.25" customHeight="1">
      <c r="B408" s="144" t="s">
        <v>307</v>
      </c>
      <c r="C408" s="154" t="e">
        <f>IF(C399="EAST/WEST", IF($C$20&gt;=C407,"Pass","Fail"), IF($C$22&gt;=C407,"Pass", "Fail"))</f>
        <v>#DIV/0!</v>
      </c>
    </row>
    <row r="409" spans="2:4" ht="17.25" customHeight="1">
      <c r="B409" s="144" t="s">
        <v>308</v>
      </c>
      <c r="C409" s="172" t="e">
        <f>IF(C401&lt;C403,C401/C402,C403/C402)</f>
        <v>#DIV/0!</v>
      </c>
      <c r="D409" s="144" t="s">
        <v>309</v>
      </c>
    </row>
  </sheetData>
  <customSheetViews>
    <customSheetView guid="{F2CCAFB5-9C02-49AC-87E7-8695C5014AAE}" scale="80" showPageBreaks="1" printArea="1">
      <selection activeCell="C19" sqref="C19"/>
      <rowBreaks count="9" manualBreakCount="9">
        <brk id="41" min="1" max="3" man="1"/>
        <brk id="79" max="16383" man="1"/>
        <brk id="118" max="16383" man="1"/>
        <brk id="157" max="16383" man="1"/>
        <brk id="196" max="16383" man="1"/>
        <brk id="235" max="16383" man="1"/>
        <brk id="274" max="16383" man="1"/>
        <brk id="313" max="16383" man="1"/>
        <brk id="352" max="16383" man="1"/>
      </rowBreaks>
      <pageMargins left="0.7" right="0.7" top="0.75" bottom="0.75" header="0.3" footer="0.3"/>
      <pageSetup orientation="portrait" horizontalDpi="4294967293" r:id="rId1"/>
    </customSheetView>
  </customSheetViews>
  <mergeCells count="3">
    <mergeCell ref="B2:D2"/>
    <mergeCell ref="B51:D51"/>
    <mergeCell ref="B33:D33"/>
  </mergeCells>
  <conditionalFormatting sqref="L51">
    <cfRule type="colorScale" priority="282">
      <colorScale>
        <cfvo type="min"/>
        <cfvo type="percentile" val="50"/>
        <cfvo type="max"/>
        <color rgb="FFF8696B"/>
        <color theme="0"/>
        <color rgb="FF63BE7B"/>
      </colorScale>
    </cfRule>
  </conditionalFormatting>
  <conditionalFormatting sqref="L51:CL148">
    <cfRule type="containsText" dxfId="126" priority="280" stopIfTrue="1" operator="containsText" text="PASS">
      <formula>NOT(ISERROR(SEARCH("PASS",L51)))</formula>
    </cfRule>
    <cfRule type="containsText" dxfId="125" priority="281" stopIfTrue="1" operator="containsText" text="FAIL">
      <formula>NOT(ISERROR(SEARCH("FAIL",L51)))</formula>
    </cfRule>
  </conditionalFormatting>
  <conditionalFormatting sqref="M52:O54">
    <cfRule type="containsText" dxfId="124" priority="279" stopIfTrue="1" operator="containsText" text="PANEL">
      <formula>NOT(ISERROR(SEARCH("PANEL",M52)))</formula>
    </cfRule>
  </conditionalFormatting>
  <conditionalFormatting sqref="C293 C98 C410:C65554 C85 C1:C32 C50:C72">
    <cfRule type="containsText" dxfId="123" priority="277" stopIfTrue="1" operator="containsText" text="Fail">
      <formula>NOT(ISERROR(SEARCH("Fail",C1)))</formula>
    </cfRule>
    <cfRule type="containsText" dxfId="122" priority="278" stopIfTrue="1" operator="containsText" text="Pass">
      <formula>NOT(ISERROR(SEARCH("Pass",C1)))</formula>
    </cfRule>
  </conditionalFormatting>
  <conditionalFormatting sqref="C228 C241 C254 C267 C280">
    <cfRule type="containsText" dxfId="121" priority="247" stopIfTrue="1" operator="containsText" text="Fail">
      <formula>NOT(ISERROR(SEARCH("Fail",C228)))</formula>
    </cfRule>
    <cfRule type="containsText" dxfId="120" priority="248" stopIfTrue="1" operator="containsText" text="Pass">
      <formula>NOT(ISERROR(SEARCH("Pass",C228)))</formula>
    </cfRule>
  </conditionalFormatting>
  <conditionalFormatting sqref="C345 C358 C371 C384 C397 C332 C306 C319">
    <cfRule type="containsText" dxfId="119" priority="229" stopIfTrue="1" operator="containsText" text="Fail">
      <formula>NOT(ISERROR(SEARCH("Fail",C306)))</formula>
    </cfRule>
    <cfRule type="containsText" dxfId="118" priority="230" stopIfTrue="1" operator="containsText" text="Pass">
      <formula>NOT(ISERROR(SEARCH("Pass",C306)))</formula>
    </cfRule>
  </conditionalFormatting>
  <conditionalFormatting sqref="C137 C124 C111">
    <cfRule type="containsText" dxfId="117" priority="211" stopIfTrue="1" operator="containsText" text="Fail">
      <formula>NOT(ISERROR(SEARCH("Fail",C111)))</formula>
    </cfRule>
    <cfRule type="containsText" dxfId="116" priority="212" stopIfTrue="1" operator="containsText" text="Pass">
      <formula>NOT(ISERROR(SEARCH("Pass",C111)))</formula>
    </cfRule>
  </conditionalFormatting>
  <conditionalFormatting sqref="C176 C163 C150">
    <cfRule type="containsText" dxfId="115" priority="205" stopIfTrue="1" operator="containsText" text="Fail">
      <formula>NOT(ISERROR(SEARCH("Fail",C150)))</formula>
    </cfRule>
    <cfRule type="containsText" dxfId="114" priority="206" stopIfTrue="1" operator="containsText" text="Pass">
      <formula>NOT(ISERROR(SEARCH("Pass",C150)))</formula>
    </cfRule>
  </conditionalFormatting>
  <conditionalFormatting sqref="C215 C202 C189">
    <cfRule type="containsText" dxfId="113" priority="199" stopIfTrue="1" operator="containsText" text="Fail">
      <formula>NOT(ISERROR(SEARCH("Fail",C189)))</formula>
    </cfRule>
    <cfRule type="containsText" dxfId="112" priority="200" stopIfTrue="1" operator="containsText" text="Pass">
      <formula>NOT(ISERROR(SEARCH("Pass",C189)))</formula>
    </cfRule>
  </conditionalFormatting>
  <conditionalFormatting sqref="C73:C79">
    <cfRule type="containsText" dxfId="111" priority="143" stopIfTrue="1" operator="containsText" text="Fail">
      <formula>NOT(ISERROR(SEARCH("Fail",C73)))</formula>
    </cfRule>
    <cfRule type="containsText" dxfId="110" priority="144" stopIfTrue="1" operator="containsText" text="Pass">
      <formula>NOT(ISERROR(SEARCH("Pass",C73)))</formula>
    </cfRule>
  </conditionalFormatting>
  <conditionalFormatting sqref="C86:C92">
    <cfRule type="containsText" dxfId="109" priority="141" stopIfTrue="1" operator="containsText" text="Fail">
      <formula>NOT(ISERROR(SEARCH("Fail",C86)))</formula>
    </cfRule>
    <cfRule type="containsText" dxfId="108" priority="142" stopIfTrue="1" operator="containsText" text="Pass">
      <formula>NOT(ISERROR(SEARCH("Pass",C86)))</formula>
    </cfRule>
  </conditionalFormatting>
  <conditionalFormatting sqref="C99:C105">
    <cfRule type="containsText" dxfId="107" priority="139" stopIfTrue="1" operator="containsText" text="Fail">
      <formula>NOT(ISERROR(SEARCH("Fail",C99)))</formula>
    </cfRule>
    <cfRule type="containsText" dxfId="106" priority="140" stopIfTrue="1" operator="containsText" text="Pass">
      <formula>NOT(ISERROR(SEARCH("Pass",C99)))</formula>
    </cfRule>
  </conditionalFormatting>
  <conditionalFormatting sqref="C112:C118">
    <cfRule type="containsText" dxfId="105" priority="137" stopIfTrue="1" operator="containsText" text="Fail">
      <formula>NOT(ISERROR(SEARCH("Fail",C112)))</formula>
    </cfRule>
    <cfRule type="containsText" dxfId="104" priority="138" stopIfTrue="1" operator="containsText" text="Pass">
      <formula>NOT(ISERROR(SEARCH("Pass",C112)))</formula>
    </cfRule>
  </conditionalFormatting>
  <conditionalFormatting sqref="C125:C131">
    <cfRule type="containsText" dxfId="103" priority="135" stopIfTrue="1" operator="containsText" text="Fail">
      <formula>NOT(ISERROR(SEARCH("Fail",C125)))</formula>
    </cfRule>
    <cfRule type="containsText" dxfId="102" priority="136" stopIfTrue="1" operator="containsText" text="Pass">
      <formula>NOT(ISERROR(SEARCH("Pass",C125)))</formula>
    </cfRule>
  </conditionalFormatting>
  <conditionalFormatting sqref="C138:C144">
    <cfRule type="containsText" dxfId="101" priority="133" stopIfTrue="1" operator="containsText" text="Fail">
      <formula>NOT(ISERROR(SEARCH("Fail",C138)))</formula>
    </cfRule>
    <cfRule type="containsText" dxfId="100" priority="134" stopIfTrue="1" operator="containsText" text="Pass">
      <formula>NOT(ISERROR(SEARCH("Pass",C138)))</formula>
    </cfRule>
  </conditionalFormatting>
  <conditionalFormatting sqref="C151:C157">
    <cfRule type="containsText" dxfId="99" priority="129" stopIfTrue="1" operator="containsText" text="Fail">
      <formula>NOT(ISERROR(SEARCH("Fail",C151)))</formula>
    </cfRule>
    <cfRule type="containsText" dxfId="98" priority="130" stopIfTrue="1" operator="containsText" text="Pass">
      <formula>NOT(ISERROR(SEARCH("Pass",C151)))</formula>
    </cfRule>
  </conditionalFormatting>
  <conditionalFormatting sqref="C216:C222">
    <cfRule type="containsText" dxfId="97" priority="119" stopIfTrue="1" operator="containsText" text="Fail">
      <formula>NOT(ISERROR(SEARCH("Fail",C216)))</formula>
    </cfRule>
    <cfRule type="containsText" dxfId="96" priority="120" stopIfTrue="1" operator="containsText" text="Pass">
      <formula>NOT(ISERROR(SEARCH("Pass",C216)))</formula>
    </cfRule>
  </conditionalFormatting>
  <conditionalFormatting sqref="C268:C274">
    <cfRule type="containsText" dxfId="95" priority="111" stopIfTrue="1" operator="containsText" text="Fail">
      <formula>NOT(ISERROR(SEARCH("Fail",C268)))</formula>
    </cfRule>
    <cfRule type="containsText" dxfId="94" priority="112" stopIfTrue="1" operator="containsText" text="Pass">
      <formula>NOT(ISERROR(SEARCH("Pass",C268)))</formula>
    </cfRule>
  </conditionalFormatting>
  <conditionalFormatting sqref="C164:C170">
    <cfRule type="containsText" dxfId="93" priority="97" stopIfTrue="1" operator="containsText" text="Fail">
      <formula>NOT(ISERROR(SEARCH("Fail",C164)))</formula>
    </cfRule>
    <cfRule type="containsText" dxfId="92" priority="98" stopIfTrue="1" operator="containsText" text="Pass">
      <formula>NOT(ISERROR(SEARCH("Pass",C164)))</formula>
    </cfRule>
  </conditionalFormatting>
  <conditionalFormatting sqref="C177:C183">
    <cfRule type="containsText" dxfId="91" priority="95" stopIfTrue="1" operator="containsText" text="Fail">
      <formula>NOT(ISERROR(SEARCH("Fail",C177)))</formula>
    </cfRule>
    <cfRule type="containsText" dxfId="90" priority="96" stopIfTrue="1" operator="containsText" text="Pass">
      <formula>NOT(ISERROR(SEARCH("Pass",C177)))</formula>
    </cfRule>
  </conditionalFormatting>
  <conditionalFormatting sqref="C190:C196">
    <cfRule type="containsText" dxfId="89" priority="93" stopIfTrue="1" operator="containsText" text="Fail">
      <formula>NOT(ISERROR(SEARCH("Fail",C190)))</formula>
    </cfRule>
    <cfRule type="containsText" dxfId="88" priority="94" stopIfTrue="1" operator="containsText" text="Pass">
      <formula>NOT(ISERROR(SEARCH("Pass",C190)))</formula>
    </cfRule>
  </conditionalFormatting>
  <conditionalFormatting sqref="C203:C209">
    <cfRule type="containsText" dxfId="87" priority="91" stopIfTrue="1" operator="containsText" text="Fail">
      <formula>NOT(ISERROR(SEARCH("Fail",C203)))</formula>
    </cfRule>
    <cfRule type="containsText" dxfId="86" priority="92" stopIfTrue="1" operator="containsText" text="Pass">
      <formula>NOT(ISERROR(SEARCH("Pass",C203)))</formula>
    </cfRule>
  </conditionalFormatting>
  <conditionalFormatting sqref="C229:C235">
    <cfRule type="containsText" dxfId="85" priority="89" stopIfTrue="1" operator="containsText" text="Fail">
      <formula>NOT(ISERROR(SEARCH("Fail",C229)))</formula>
    </cfRule>
    <cfRule type="containsText" dxfId="84" priority="90" stopIfTrue="1" operator="containsText" text="Pass">
      <formula>NOT(ISERROR(SEARCH("Pass",C229)))</formula>
    </cfRule>
  </conditionalFormatting>
  <conditionalFormatting sqref="C242:C248">
    <cfRule type="containsText" dxfId="83" priority="87" stopIfTrue="1" operator="containsText" text="Fail">
      <formula>NOT(ISERROR(SEARCH("Fail",C242)))</formula>
    </cfRule>
    <cfRule type="containsText" dxfId="82" priority="88" stopIfTrue="1" operator="containsText" text="Pass">
      <formula>NOT(ISERROR(SEARCH("Pass",C242)))</formula>
    </cfRule>
  </conditionalFormatting>
  <conditionalFormatting sqref="C255:C261">
    <cfRule type="containsText" dxfId="81" priority="85" stopIfTrue="1" operator="containsText" text="Fail">
      <formula>NOT(ISERROR(SEARCH("Fail",C255)))</formula>
    </cfRule>
    <cfRule type="containsText" dxfId="80" priority="86" stopIfTrue="1" operator="containsText" text="Pass">
      <formula>NOT(ISERROR(SEARCH("Pass",C255)))</formula>
    </cfRule>
  </conditionalFormatting>
  <conditionalFormatting sqref="C281:C287">
    <cfRule type="containsText" dxfId="79" priority="79" stopIfTrue="1" operator="containsText" text="Fail">
      <formula>NOT(ISERROR(SEARCH("Fail",C281)))</formula>
    </cfRule>
    <cfRule type="containsText" dxfId="78" priority="80" stopIfTrue="1" operator="containsText" text="Pass">
      <formula>NOT(ISERROR(SEARCH("Pass",C281)))</formula>
    </cfRule>
  </conditionalFormatting>
  <conditionalFormatting sqref="C294:C300">
    <cfRule type="containsText" dxfId="77" priority="77" stopIfTrue="1" operator="containsText" text="Fail">
      <formula>NOT(ISERROR(SEARCH("Fail",C294)))</formula>
    </cfRule>
    <cfRule type="containsText" dxfId="76" priority="78" stopIfTrue="1" operator="containsText" text="Pass">
      <formula>NOT(ISERROR(SEARCH("Pass",C294)))</formula>
    </cfRule>
  </conditionalFormatting>
  <conditionalFormatting sqref="C307:C313">
    <cfRule type="containsText" dxfId="75" priority="75" stopIfTrue="1" operator="containsText" text="Fail">
      <formula>NOT(ISERROR(SEARCH("Fail",C307)))</formula>
    </cfRule>
    <cfRule type="containsText" dxfId="74" priority="76" stopIfTrue="1" operator="containsText" text="Pass">
      <formula>NOT(ISERROR(SEARCH("Pass",C307)))</formula>
    </cfRule>
  </conditionalFormatting>
  <conditionalFormatting sqref="C320:C326">
    <cfRule type="containsText" dxfId="73" priority="73" stopIfTrue="1" operator="containsText" text="Fail">
      <formula>NOT(ISERROR(SEARCH("Fail",C320)))</formula>
    </cfRule>
    <cfRule type="containsText" dxfId="72" priority="74" stopIfTrue="1" operator="containsText" text="Pass">
      <formula>NOT(ISERROR(SEARCH("Pass",C320)))</formula>
    </cfRule>
  </conditionalFormatting>
  <conditionalFormatting sqref="C333:C339">
    <cfRule type="containsText" dxfId="71" priority="71" stopIfTrue="1" operator="containsText" text="Fail">
      <formula>NOT(ISERROR(SEARCH("Fail",C333)))</formula>
    </cfRule>
    <cfRule type="containsText" dxfId="70" priority="72" stopIfTrue="1" operator="containsText" text="Pass">
      <formula>NOT(ISERROR(SEARCH("Pass",C333)))</formula>
    </cfRule>
  </conditionalFormatting>
  <conditionalFormatting sqref="C346:C352">
    <cfRule type="containsText" dxfId="69" priority="69" stopIfTrue="1" operator="containsText" text="Fail">
      <formula>NOT(ISERROR(SEARCH("Fail",C346)))</formula>
    </cfRule>
    <cfRule type="containsText" dxfId="68" priority="70" stopIfTrue="1" operator="containsText" text="Pass">
      <formula>NOT(ISERROR(SEARCH("Pass",C346)))</formula>
    </cfRule>
  </conditionalFormatting>
  <conditionalFormatting sqref="C359:C365">
    <cfRule type="containsText" dxfId="67" priority="67" stopIfTrue="1" operator="containsText" text="Fail">
      <formula>NOT(ISERROR(SEARCH("Fail",C359)))</formula>
    </cfRule>
    <cfRule type="containsText" dxfId="66" priority="68" stopIfTrue="1" operator="containsText" text="Pass">
      <formula>NOT(ISERROR(SEARCH("Pass",C359)))</formula>
    </cfRule>
  </conditionalFormatting>
  <conditionalFormatting sqref="C372:C378">
    <cfRule type="containsText" dxfId="65" priority="65" stopIfTrue="1" operator="containsText" text="Fail">
      <formula>NOT(ISERROR(SEARCH("Fail",C372)))</formula>
    </cfRule>
    <cfRule type="containsText" dxfId="64" priority="66" stopIfTrue="1" operator="containsText" text="Pass">
      <formula>NOT(ISERROR(SEARCH("Pass",C372)))</formula>
    </cfRule>
  </conditionalFormatting>
  <conditionalFormatting sqref="C385:C391">
    <cfRule type="containsText" dxfId="63" priority="63" stopIfTrue="1" operator="containsText" text="Fail">
      <formula>NOT(ISERROR(SEARCH("Fail",C385)))</formula>
    </cfRule>
    <cfRule type="containsText" dxfId="62" priority="64" stopIfTrue="1" operator="containsText" text="Pass">
      <formula>NOT(ISERROR(SEARCH("Pass",C385)))</formula>
    </cfRule>
  </conditionalFormatting>
  <conditionalFormatting sqref="C398:C404">
    <cfRule type="containsText" dxfId="61" priority="61" stopIfTrue="1" operator="containsText" text="Fail">
      <formula>NOT(ISERROR(SEARCH("Fail",C398)))</formula>
    </cfRule>
    <cfRule type="containsText" dxfId="60" priority="62" stopIfTrue="1" operator="containsText" text="Pass">
      <formula>NOT(ISERROR(SEARCH("Pass",C398)))</formula>
    </cfRule>
  </conditionalFormatting>
  <conditionalFormatting sqref="C80:C84">
    <cfRule type="containsText" dxfId="59" priority="57" stopIfTrue="1" operator="containsText" text="Fail">
      <formula>NOT(ISERROR(SEARCH("Fail",C80)))</formula>
    </cfRule>
    <cfRule type="containsText" dxfId="58" priority="58" stopIfTrue="1" operator="containsText" text="Pass">
      <formula>NOT(ISERROR(SEARCH("Pass",C80)))</formula>
    </cfRule>
  </conditionalFormatting>
  <conditionalFormatting sqref="C93:C97">
    <cfRule type="containsText" dxfId="57" priority="55" stopIfTrue="1" operator="containsText" text="Fail">
      <formula>NOT(ISERROR(SEARCH("Fail",C93)))</formula>
    </cfRule>
    <cfRule type="containsText" dxfId="56" priority="56" stopIfTrue="1" operator="containsText" text="Pass">
      <formula>NOT(ISERROR(SEARCH("Pass",C93)))</formula>
    </cfRule>
  </conditionalFormatting>
  <conditionalFormatting sqref="C106:C110">
    <cfRule type="containsText" dxfId="55" priority="53" stopIfTrue="1" operator="containsText" text="Fail">
      <formula>NOT(ISERROR(SEARCH("Fail",C106)))</formula>
    </cfRule>
    <cfRule type="containsText" dxfId="54" priority="54" stopIfTrue="1" operator="containsText" text="Pass">
      <formula>NOT(ISERROR(SEARCH("Pass",C106)))</formula>
    </cfRule>
  </conditionalFormatting>
  <conditionalFormatting sqref="C119:C123">
    <cfRule type="containsText" dxfId="53" priority="51" stopIfTrue="1" operator="containsText" text="Fail">
      <formula>NOT(ISERROR(SEARCH("Fail",C119)))</formula>
    </cfRule>
    <cfRule type="containsText" dxfId="52" priority="52" stopIfTrue="1" operator="containsText" text="Pass">
      <formula>NOT(ISERROR(SEARCH("Pass",C119)))</formula>
    </cfRule>
  </conditionalFormatting>
  <conditionalFormatting sqref="C132:C136">
    <cfRule type="containsText" dxfId="51" priority="49" stopIfTrue="1" operator="containsText" text="Fail">
      <formula>NOT(ISERROR(SEARCH("Fail",C132)))</formula>
    </cfRule>
    <cfRule type="containsText" dxfId="50" priority="50" stopIfTrue="1" operator="containsText" text="Pass">
      <formula>NOT(ISERROR(SEARCH("Pass",C132)))</formula>
    </cfRule>
  </conditionalFormatting>
  <conditionalFormatting sqref="C145:C149">
    <cfRule type="containsText" dxfId="49" priority="47" stopIfTrue="1" operator="containsText" text="Fail">
      <formula>NOT(ISERROR(SEARCH("Fail",C145)))</formula>
    </cfRule>
    <cfRule type="containsText" dxfId="48" priority="48" stopIfTrue="1" operator="containsText" text="Pass">
      <formula>NOT(ISERROR(SEARCH("Pass",C145)))</formula>
    </cfRule>
  </conditionalFormatting>
  <conditionalFormatting sqref="C158:C162">
    <cfRule type="containsText" dxfId="47" priority="45" stopIfTrue="1" operator="containsText" text="Fail">
      <formula>NOT(ISERROR(SEARCH("Fail",C158)))</formula>
    </cfRule>
    <cfRule type="containsText" dxfId="46" priority="46" stopIfTrue="1" operator="containsText" text="Pass">
      <formula>NOT(ISERROR(SEARCH("Pass",C158)))</formula>
    </cfRule>
  </conditionalFormatting>
  <conditionalFormatting sqref="C171:C175">
    <cfRule type="containsText" dxfId="45" priority="43" stopIfTrue="1" operator="containsText" text="Fail">
      <formula>NOT(ISERROR(SEARCH("Fail",C171)))</formula>
    </cfRule>
    <cfRule type="containsText" dxfId="44" priority="44" stopIfTrue="1" operator="containsText" text="Pass">
      <formula>NOT(ISERROR(SEARCH("Pass",C171)))</formula>
    </cfRule>
  </conditionalFormatting>
  <conditionalFormatting sqref="C184:C188">
    <cfRule type="containsText" dxfId="43" priority="41" stopIfTrue="1" operator="containsText" text="Fail">
      <formula>NOT(ISERROR(SEARCH("Fail",C184)))</formula>
    </cfRule>
    <cfRule type="containsText" dxfId="42" priority="42" stopIfTrue="1" operator="containsText" text="Pass">
      <formula>NOT(ISERROR(SEARCH("Pass",C184)))</formula>
    </cfRule>
  </conditionalFormatting>
  <conditionalFormatting sqref="C197:C201">
    <cfRule type="containsText" dxfId="41" priority="39" stopIfTrue="1" operator="containsText" text="Fail">
      <formula>NOT(ISERROR(SEARCH("Fail",C197)))</formula>
    </cfRule>
    <cfRule type="containsText" dxfId="40" priority="40" stopIfTrue="1" operator="containsText" text="Pass">
      <formula>NOT(ISERROR(SEARCH("Pass",C197)))</formula>
    </cfRule>
  </conditionalFormatting>
  <conditionalFormatting sqref="C210:C214">
    <cfRule type="containsText" dxfId="39" priority="37" stopIfTrue="1" operator="containsText" text="Fail">
      <formula>NOT(ISERROR(SEARCH("Fail",C210)))</formula>
    </cfRule>
    <cfRule type="containsText" dxfId="38" priority="38" stopIfTrue="1" operator="containsText" text="Pass">
      <formula>NOT(ISERROR(SEARCH("Pass",C210)))</formula>
    </cfRule>
  </conditionalFormatting>
  <conditionalFormatting sqref="C223:C227">
    <cfRule type="containsText" dxfId="37" priority="35" stopIfTrue="1" operator="containsText" text="Fail">
      <formula>NOT(ISERROR(SEARCH("Fail",C223)))</formula>
    </cfRule>
    <cfRule type="containsText" dxfId="36" priority="36" stopIfTrue="1" operator="containsText" text="Pass">
      <formula>NOT(ISERROR(SEARCH("Pass",C223)))</formula>
    </cfRule>
  </conditionalFormatting>
  <conditionalFormatting sqref="C236:C240">
    <cfRule type="containsText" dxfId="35" priority="33" stopIfTrue="1" operator="containsText" text="Fail">
      <formula>NOT(ISERROR(SEARCH("Fail",C236)))</formula>
    </cfRule>
    <cfRule type="containsText" dxfId="34" priority="34" stopIfTrue="1" operator="containsText" text="Pass">
      <formula>NOT(ISERROR(SEARCH("Pass",C236)))</formula>
    </cfRule>
  </conditionalFormatting>
  <conditionalFormatting sqref="C249:C253">
    <cfRule type="containsText" dxfId="33" priority="31" stopIfTrue="1" operator="containsText" text="Fail">
      <formula>NOT(ISERROR(SEARCH("Fail",C249)))</formula>
    </cfRule>
    <cfRule type="containsText" dxfId="32" priority="32" stopIfTrue="1" operator="containsText" text="Pass">
      <formula>NOT(ISERROR(SEARCH("Pass",C249)))</formula>
    </cfRule>
  </conditionalFormatting>
  <conditionalFormatting sqref="C262:C266">
    <cfRule type="containsText" dxfId="31" priority="29" stopIfTrue="1" operator="containsText" text="Fail">
      <formula>NOT(ISERROR(SEARCH("Fail",C262)))</formula>
    </cfRule>
    <cfRule type="containsText" dxfId="30" priority="30" stopIfTrue="1" operator="containsText" text="Pass">
      <formula>NOT(ISERROR(SEARCH("Pass",C262)))</formula>
    </cfRule>
  </conditionalFormatting>
  <conditionalFormatting sqref="C275:C279">
    <cfRule type="containsText" dxfId="29" priority="27" stopIfTrue="1" operator="containsText" text="Fail">
      <formula>NOT(ISERROR(SEARCH("Fail",C275)))</formula>
    </cfRule>
    <cfRule type="containsText" dxfId="28" priority="28" stopIfTrue="1" operator="containsText" text="Pass">
      <formula>NOT(ISERROR(SEARCH("Pass",C275)))</formula>
    </cfRule>
  </conditionalFormatting>
  <conditionalFormatting sqref="C288:C292">
    <cfRule type="containsText" dxfId="27" priority="25" stopIfTrue="1" operator="containsText" text="Fail">
      <formula>NOT(ISERROR(SEARCH("Fail",C288)))</formula>
    </cfRule>
    <cfRule type="containsText" dxfId="26" priority="26" stopIfTrue="1" operator="containsText" text="Pass">
      <formula>NOT(ISERROR(SEARCH("Pass",C288)))</formula>
    </cfRule>
  </conditionalFormatting>
  <conditionalFormatting sqref="C301:C305">
    <cfRule type="containsText" dxfId="25" priority="23" stopIfTrue="1" operator="containsText" text="Fail">
      <formula>NOT(ISERROR(SEARCH("Fail",C301)))</formula>
    </cfRule>
    <cfRule type="containsText" dxfId="24" priority="24" stopIfTrue="1" operator="containsText" text="Pass">
      <formula>NOT(ISERROR(SEARCH("Pass",C301)))</formula>
    </cfRule>
  </conditionalFormatting>
  <conditionalFormatting sqref="C314:C318">
    <cfRule type="containsText" dxfId="23" priority="21" stopIfTrue="1" operator="containsText" text="Fail">
      <formula>NOT(ISERROR(SEARCH("Fail",C314)))</formula>
    </cfRule>
    <cfRule type="containsText" dxfId="22" priority="22" stopIfTrue="1" operator="containsText" text="Pass">
      <formula>NOT(ISERROR(SEARCH("Pass",C314)))</formula>
    </cfRule>
  </conditionalFormatting>
  <conditionalFormatting sqref="C327:C331">
    <cfRule type="containsText" dxfId="21" priority="19" stopIfTrue="1" operator="containsText" text="Fail">
      <formula>NOT(ISERROR(SEARCH("Fail",C327)))</formula>
    </cfRule>
    <cfRule type="containsText" dxfId="20" priority="20" stopIfTrue="1" operator="containsText" text="Pass">
      <formula>NOT(ISERROR(SEARCH("Pass",C327)))</formula>
    </cfRule>
  </conditionalFormatting>
  <conditionalFormatting sqref="C340:C344">
    <cfRule type="containsText" dxfId="19" priority="17" stopIfTrue="1" operator="containsText" text="Fail">
      <formula>NOT(ISERROR(SEARCH("Fail",C340)))</formula>
    </cfRule>
    <cfRule type="containsText" dxfId="18" priority="18" stopIfTrue="1" operator="containsText" text="Pass">
      <formula>NOT(ISERROR(SEARCH("Pass",C340)))</formula>
    </cfRule>
  </conditionalFormatting>
  <conditionalFormatting sqref="C353:C357">
    <cfRule type="containsText" dxfId="17" priority="15" stopIfTrue="1" operator="containsText" text="Fail">
      <formula>NOT(ISERROR(SEARCH("Fail",C353)))</formula>
    </cfRule>
    <cfRule type="containsText" dxfId="16" priority="16" stopIfTrue="1" operator="containsText" text="Pass">
      <formula>NOT(ISERROR(SEARCH("Pass",C353)))</formula>
    </cfRule>
  </conditionalFormatting>
  <conditionalFormatting sqref="C366:C370">
    <cfRule type="containsText" dxfId="15" priority="13" stopIfTrue="1" operator="containsText" text="Fail">
      <formula>NOT(ISERROR(SEARCH("Fail",C366)))</formula>
    </cfRule>
    <cfRule type="containsText" dxfId="14" priority="14" stopIfTrue="1" operator="containsText" text="Pass">
      <formula>NOT(ISERROR(SEARCH("Pass",C366)))</formula>
    </cfRule>
  </conditionalFormatting>
  <conditionalFormatting sqref="C379:C383">
    <cfRule type="containsText" dxfId="13" priority="11" stopIfTrue="1" operator="containsText" text="Fail">
      <formula>NOT(ISERROR(SEARCH("Fail",C379)))</formula>
    </cfRule>
    <cfRule type="containsText" dxfId="12" priority="12" stopIfTrue="1" operator="containsText" text="Pass">
      <formula>NOT(ISERROR(SEARCH("Pass",C379)))</formula>
    </cfRule>
  </conditionalFormatting>
  <conditionalFormatting sqref="C392:C396">
    <cfRule type="containsText" dxfId="11" priority="9" stopIfTrue="1" operator="containsText" text="Fail">
      <formula>NOT(ISERROR(SEARCH("Fail",C392)))</formula>
    </cfRule>
    <cfRule type="containsText" dxfId="10" priority="10" stopIfTrue="1" operator="containsText" text="Pass">
      <formula>NOT(ISERROR(SEARCH("Pass",C392)))</formula>
    </cfRule>
  </conditionalFormatting>
  <conditionalFormatting sqref="C405:C409">
    <cfRule type="containsText" dxfId="9" priority="7" stopIfTrue="1" operator="containsText" text="Fail">
      <formula>NOT(ISERROR(SEARCH("Fail",C405)))</formula>
    </cfRule>
    <cfRule type="containsText" dxfId="8" priority="8" stopIfTrue="1" operator="containsText" text="Pass">
      <formula>NOT(ISERROR(SEARCH("Pass",C405)))</formula>
    </cfRule>
  </conditionalFormatting>
  <conditionalFormatting sqref="C42 C34 D35:D41">
    <cfRule type="containsText" dxfId="7" priority="5" stopIfTrue="1" operator="containsText" text="Fail">
      <formula>NOT(ISERROR(SEARCH("Fail",C34)))</formula>
    </cfRule>
    <cfRule type="containsText" dxfId="6" priority="6" stopIfTrue="1" operator="containsText" text="Pass">
      <formula>NOT(ISERROR(SEARCH("Pass",C34)))</formula>
    </cfRule>
  </conditionalFormatting>
  <conditionalFormatting sqref="C33">
    <cfRule type="containsText" dxfId="5" priority="3" stopIfTrue="1" operator="containsText" text="Fail">
      <formula>NOT(ISERROR(SEARCH("Fail",C33)))</formula>
    </cfRule>
    <cfRule type="containsText" dxfId="4" priority="4" stopIfTrue="1" operator="containsText" text="Pass">
      <formula>NOT(ISERROR(SEARCH("Pass",C33)))</formula>
    </cfRule>
  </conditionalFormatting>
  <conditionalFormatting sqref="D43:D49">
    <cfRule type="containsText" dxfId="3" priority="1" stopIfTrue="1" operator="containsText" text="Fail">
      <formula>NOT(ISERROR(SEARCH("Fail",D43)))</formula>
    </cfRule>
    <cfRule type="containsText" dxfId="2" priority="2" stopIfTrue="1" operator="containsText" text="Pass">
      <formula>NOT(ISERROR(SEARCH("Pass",D43)))</formula>
    </cfRule>
  </conditionalFormatting>
  <dataValidations disablePrompts="1" count="1">
    <dataValidation type="list" showInputMessage="1" showErrorMessage="1" sqref="C61 C113 C386 C165 C334 C360 C373 C74 C87 C100 C126 C139 C178 C191 C217 C204 C230 C243 C269 C256 C295 C282 C308 C321 C152 C347 C399" xr:uid="{00000000-0002-0000-1A00-000000000000}">
      <formula1>SEISMICFORCEDIRECTION</formula1>
    </dataValidation>
  </dataValidations>
  <pageMargins left="0.7" right="0.7" top="0.75" bottom="0.75" header="0.3" footer="0.3"/>
  <pageSetup orientation="portrait" horizontalDpi="4294967293" r:id="rId2"/>
  <rowBreaks count="9" manualBreakCount="9">
    <brk id="59" min="1" max="3" man="1"/>
    <brk id="80" max="16383" man="1"/>
    <brk id="119" max="16383" man="1"/>
    <brk id="158" max="16383" man="1"/>
    <brk id="197" max="16383" man="1"/>
    <brk id="236" max="16383" man="1"/>
    <brk id="275" max="16383" man="1"/>
    <brk id="314" max="16383" man="1"/>
    <brk id="3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B2:K14"/>
  <sheetViews>
    <sheetView workbookViewId="0">
      <selection activeCell="D28" sqref="D28"/>
    </sheetView>
  </sheetViews>
  <sheetFormatPr defaultColWidth="8.7109375" defaultRowHeight="12.75"/>
  <sheetData>
    <row r="2" spans="2:11" ht="15">
      <c r="B2" s="179" t="s">
        <v>310</v>
      </c>
      <c r="C2" s="144"/>
      <c r="D2" s="144"/>
      <c r="E2" s="144"/>
      <c r="F2" s="144"/>
      <c r="G2" s="144"/>
      <c r="H2" s="144"/>
      <c r="I2" s="144"/>
      <c r="J2" s="144"/>
      <c r="K2" s="144"/>
    </row>
    <row r="3" spans="2:11" ht="14.25">
      <c r="B3" s="180" t="s">
        <v>13</v>
      </c>
      <c r="C3" s="144">
        <v>0.25</v>
      </c>
      <c r="D3" s="345">
        <f>'1-Eng Inputs'!$C$32</f>
        <v>1.675</v>
      </c>
      <c r="E3" s="144">
        <v>0.5</v>
      </c>
      <c r="F3" s="345">
        <f>'1-Eng Inputs'!$C$32</f>
        <v>1.675</v>
      </c>
      <c r="G3" s="144">
        <v>0.75</v>
      </c>
      <c r="H3" s="345">
        <f>'1-Eng Inputs'!$C$32</f>
        <v>1.675</v>
      </c>
      <c r="I3" s="144">
        <v>1</v>
      </c>
      <c r="J3" s="345">
        <f>'1-Eng Inputs'!$C$32</f>
        <v>1.675</v>
      </c>
      <c r="K3" s="144">
        <v>1.25</v>
      </c>
    </row>
    <row r="4" spans="2:11" ht="14.25">
      <c r="B4" s="180" t="s">
        <v>8</v>
      </c>
      <c r="C4" s="181">
        <v>1.6</v>
      </c>
      <c r="D4" s="346">
        <f>C4-D5*(D3-C3)/0.25</f>
        <v>0.45999999999999908</v>
      </c>
      <c r="E4" s="181">
        <v>1.4</v>
      </c>
      <c r="F4" s="346">
        <f>E4-F5*(F3-E3)/0.25</f>
        <v>0.46000000000000008</v>
      </c>
      <c r="G4" s="181">
        <v>1.2</v>
      </c>
      <c r="H4" s="346">
        <f>G4-H5*(H3-G3)/0.25</f>
        <v>0.8300000000000004</v>
      </c>
      <c r="I4" s="181">
        <v>1.1000000000000001</v>
      </c>
      <c r="J4" s="346">
        <f>I4-J5*(J3-I3)/0.25</f>
        <v>0.82999999999999985</v>
      </c>
      <c r="K4" s="181">
        <v>1</v>
      </c>
    </row>
    <row r="5" spans="2:11" ht="14.25" hidden="1">
      <c r="B5" s="144"/>
      <c r="C5" s="144"/>
      <c r="D5" s="181">
        <f>C4-E4</f>
        <v>0.20000000000000018</v>
      </c>
      <c r="E5" s="144"/>
      <c r="F5" s="181">
        <f>E4-G4</f>
        <v>0.19999999999999996</v>
      </c>
      <c r="G5" s="144"/>
      <c r="H5" s="181">
        <f>G4-I4</f>
        <v>9.9999999999999867E-2</v>
      </c>
      <c r="I5" s="144"/>
      <c r="J5" s="181">
        <f>I4-K4</f>
        <v>0.10000000000000009</v>
      </c>
      <c r="K5" s="144"/>
    </row>
    <row r="6" spans="2:11" ht="14.25">
      <c r="B6" s="144"/>
      <c r="C6" s="144"/>
      <c r="D6" s="144"/>
      <c r="E6" s="144"/>
      <c r="F6" s="144"/>
      <c r="G6" s="144"/>
      <c r="H6" s="144"/>
      <c r="I6" s="144"/>
      <c r="J6" s="144"/>
      <c r="K6" s="144"/>
    </row>
    <row r="7" spans="2:11" ht="14.25">
      <c r="B7" s="144" t="s">
        <v>13</v>
      </c>
      <c r="C7" s="144">
        <v>0.25</v>
      </c>
      <c r="D7" s="345">
        <f>'1-Eng Inputs'!$C$32</f>
        <v>1.675</v>
      </c>
      <c r="E7" s="144">
        <v>0.5</v>
      </c>
      <c r="F7" s="345">
        <f>'1-Eng Inputs'!$C$32</f>
        <v>1.675</v>
      </c>
      <c r="G7" s="144">
        <v>0.75</v>
      </c>
      <c r="H7" s="345">
        <f>'1-Eng Inputs'!$C$32</f>
        <v>1.675</v>
      </c>
      <c r="I7" s="144">
        <v>1</v>
      </c>
      <c r="J7" s="345">
        <f>'1-Eng Inputs'!$C$32</f>
        <v>1.675</v>
      </c>
      <c r="K7" s="144">
        <v>1.25</v>
      </c>
    </row>
    <row r="8" spans="2:11" ht="14.25">
      <c r="B8" s="144" t="s">
        <v>260</v>
      </c>
      <c r="C8" s="144">
        <v>2.5</v>
      </c>
      <c r="D8" s="347">
        <f>C8-D9*(D7-C7)/0.25</f>
        <v>-2.0600000000000005</v>
      </c>
      <c r="E8" s="144">
        <v>1.7</v>
      </c>
      <c r="F8" s="347">
        <f>E8-F9*(F7-E7)/0.25</f>
        <v>-0.65000000000000013</v>
      </c>
      <c r="G8" s="144">
        <v>1.2</v>
      </c>
      <c r="H8" s="347">
        <f>G8-H9*(H7-G7)/0.25</f>
        <v>9.000000000000008E-2</v>
      </c>
      <c r="I8" s="144">
        <v>0.9</v>
      </c>
      <c r="J8" s="347">
        <f>I8-J9*(J7-I7)/0.25</f>
        <v>0.9</v>
      </c>
      <c r="K8" s="144">
        <v>0.9</v>
      </c>
    </row>
    <row r="9" spans="2:11" ht="14.25" hidden="1">
      <c r="B9" s="144"/>
      <c r="C9" s="144"/>
      <c r="D9" s="144">
        <f>C8-E8</f>
        <v>0.8</v>
      </c>
      <c r="E9" s="144"/>
      <c r="F9" s="144">
        <f>E8-G8</f>
        <v>0.5</v>
      </c>
      <c r="G9" s="144"/>
      <c r="H9" s="144">
        <f>G8-I8</f>
        <v>0.29999999999999993</v>
      </c>
      <c r="I9" s="144"/>
      <c r="J9" s="144">
        <f>I8-K8</f>
        <v>0</v>
      </c>
      <c r="K9" s="144"/>
    </row>
    <row r="10" spans="2:11" ht="14.25">
      <c r="B10" s="159"/>
      <c r="C10" s="144"/>
      <c r="D10" s="144"/>
      <c r="E10" s="144"/>
      <c r="F10" s="144"/>
      <c r="G10" s="144"/>
      <c r="H10" s="144"/>
      <c r="I10" s="144"/>
      <c r="J10" s="144"/>
      <c r="K10" s="144"/>
    </row>
    <row r="11" spans="2:11" ht="15" hidden="1">
      <c r="B11" s="179" t="s">
        <v>311</v>
      </c>
      <c r="C11" s="144"/>
      <c r="D11" s="144"/>
      <c r="E11" s="144"/>
      <c r="F11" s="144"/>
      <c r="G11" s="144"/>
      <c r="H11" s="144"/>
      <c r="I11" s="144"/>
      <c r="J11" s="144"/>
      <c r="K11" s="144"/>
    </row>
    <row r="12" spans="2:11" ht="14.25" hidden="1">
      <c r="B12" s="159" t="s">
        <v>302</v>
      </c>
    </row>
    <row r="13" spans="2:11" ht="14.25" hidden="1">
      <c r="B13" s="159" t="s">
        <v>312</v>
      </c>
    </row>
    <row r="14" spans="2:11" ht="14.25" hidden="1">
      <c r="B14" s="159" t="s">
        <v>313</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dimension ref="A1:E34"/>
  <sheetViews>
    <sheetView zoomScaleNormal="100" workbookViewId="0">
      <selection activeCell="E34" sqref="E34"/>
    </sheetView>
  </sheetViews>
  <sheetFormatPr defaultColWidth="8.7109375" defaultRowHeight="12.75" customHeight="1"/>
  <cols>
    <col min="1" max="1" width="30" customWidth="1"/>
    <col min="2" max="2" width="23.42578125" customWidth="1"/>
    <col min="3" max="3" width="14.7109375" customWidth="1"/>
    <col min="4" max="4" width="9.140625" customWidth="1"/>
    <col min="5" max="5" width="14.42578125" customWidth="1"/>
    <col min="6" max="6" width="9.140625" customWidth="1"/>
    <col min="12" max="12" width="12.5703125" customWidth="1"/>
    <col min="13" max="13" width="9.5703125" customWidth="1"/>
  </cols>
  <sheetData>
    <row r="1" spans="1:4">
      <c r="A1" s="7" t="s">
        <v>88</v>
      </c>
      <c r="B1" s="7" t="str">
        <f>IF(($C$34&gt;$C$32),"YES","NO")</f>
        <v>YES</v>
      </c>
    </row>
    <row r="2" spans="1:4">
      <c r="A2" s="23" t="s">
        <v>125</v>
      </c>
    </row>
    <row r="3" spans="1:4">
      <c r="A3" s="23" t="s">
        <v>0</v>
      </c>
    </row>
    <row r="4" spans="1:4">
      <c r="A4" s="25" t="s">
        <v>56</v>
      </c>
      <c r="B4" s="4"/>
    </row>
    <row r="5" spans="1:4">
      <c r="A5" s="1" t="s">
        <v>114</v>
      </c>
      <c r="B5" s="33" t="s">
        <v>95</v>
      </c>
      <c r="C5" s="11"/>
    </row>
    <row r="6" spans="1:4">
      <c r="A6" s="6" t="s">
        <v>12</v>
      </c>
      <c r="B6" s="20">
        <v>1.2</v>
      </c>
      <c r="C6" s="11"/>
    </row>
    <row r="7" spans="1:4">
      <c r="A7" s="6" t="s">
        <v>14</v>
      </c>
      <c r="B7" s="20">
        <v>1.1000000000000001</v>
      </c>
      <c r="C7" s="11"/>
    </row>
    <row r="8" spans="1:4">
      <c r="A8" s="3" t="s">
        <v>8</v>
      </c>
      <c r="B8" s="34">
        <v>1</v>
      </c>
      <c r="C8" s="11"/>
    </row>
    <row r="9" spans="1:4">
      <c r="A9" s="1" t="s">
        <v>67</v>
      </c>
      <c r="B9" s="33" t="s">
        <v>93</v>
      </c>
      <c r="C9" s="11"/>
    </row>
    <row r="10" spans="1:4">
      <c r="A10" s="6" t="s">
        <v>16</v>
      </c>
      <c r="B10" s="20">
        <v>0.87</v>
      </c>
      <c r="C10" s="11"/>
    </row>
    <row r="11" spans="1:4">
      <c r="A11" s="6" t="s">
        <v>58</v>
      </c>
      <c r="B11" s="20">
        <v>1</v>
      </c>
      <c r="C11" s="11"/>
    </row>
    <row r="12" spans="1:4">
      <c r="A12" s="6" t="s">
        <v>29</v>
      </c>
      <c r="B12" s="20">
        <v>1.1499999999999999</v>
      </c>
      <c r="C12" s="11"/>
    </row>
    <row r="13" spans="1:4">
      <c r="A13" s="3" t="s">
        <v>60</v>
      </c>
      <c r="B13" s="34">
        <v>1.1499999999999999</v>
      </c>
      <c r="C13" s="11"/>
    </row>
    <row r="14" spans="1:4">
      <c r="A14" s="10" t="s">
        <v>3</v>
      </c>
      <c r="B14" s="10" t="s">
        <v>15</v>
      </c>
      <c r="C14" s="23">
        <f>VLOOKUP('1-Eng Inputs'!C30,A6:B8,2)</f>
        <v>1.1000000000000001</v>
      </c>
    </row>
    <row r="15" spans="1:4">
      <c r="A15" s="23" t="s">
        <v>16</v>
      </c>
      <c r="B15" s="23" t="s">
        <v>90</v>
      </c>
      <c r="C15" s="23">
        <f>VLOOKUP('1-Eng Inputs'!C29,A10:B13,2)</f>
        <v>1</v>
      </c>
    </row>
    <row r="16" spans="1:4">
      <c r="A16" s="23" t="s">
        <v>2</v>
      </c>
      <c r="B16" s="23" t="s">
        <v>26</v>
      </c>
      <c r="C16" s="23">
        <v>1.2</v>
      </c>
      <c r="D16" s="23" t="s">
        <v>19</v>
      </c>
    </row>
    <row r="17" spans="1:5">
      <c r="A17" s="23" t="s">
        <v>91</v>
      </c>
      <c r="B17" s="23" t="s">
        <v>25</v>
      </c>
      <c r="C17" s="23">
        <f>IF(('1-Eng Inputs'!C31&lt;20),20,'1-Eng Inputs'!C31)</f>
        <v>20</v>
      </c>
      <c r="D17" s="23" t="s">
        <v>78</v>
      </c>
    </row>
    <row r="18" spans="1:5" ht="12.75" customHeight="1">
      <c r="A18" s="46" t="s">
        <v>92</v>
      </c>
      <c r="B18" s="23" t="s">
        <v>72</v>
      </c>
      <c r="C18">
        <f>(((0.7*C14)*C16)*C15)*C17</f>
        <v>18.479999999999997</v>
      </c>
      <c r="D18" s="207" t="s">
        <v>87</v>
      </c>
    </row>
    <row r="19" spans="1:5" ht="12.75" customHeight="1">
      <c r="A19" s="46" t="s">
        <v>398</v>
      </c>
      <c r="B19" s="23" t="s">
        <v>400</v>
      </c>
      <c r="C19">
        <v>1</v>
      </c>
      <c r="D19" s="207" t="s">
        <v>401</v>
      </c>
    </row>
    <row r="20" spans="1:5" ht="12.75" customHeight="1">
      <c r="A20" s="23" t="s">
        <v>396</v>
      </c>
      <c r="B20" s="23" t="s">
        <v>397</v>
      </c>
      <c r="C20" s="23">
        <f>C18*C19</f>
        <v>18.479999999999997</v>
      </c>
      <c r="D20" s="23" t="s">
        <v>87</v>
      </c>
    </row>
    <row r="21" spans="1:5" ht="12.75" customHeight="1">
      <c r="A21" s="23"/>
      <c r="B21" s="23" t="s">
        <v>407</v>
      </c>
      <c r="C21" s="107">
        <f>IF('1-Eng Inputs'!C37="Landscape",'Land Calcs 10deg (lift)'!M3,'Port Calcs (lift)'!M3)</f>
        <v>23.848329833405451</v>
      </c>
      <c r="D21" s="23" t="s">
        <v>87</v>
      </c>
    </row>
    <row r="22" spans="1:5" ht="12.75" customHeight="1">
      <c r="A22" s="23"/>
      <c r="B22" s="23"/>
      <c r="C22" s="23"/>
      <c r="D22" s="23"/>
    </row>
    <row r="23" spans="1:5">
      <c r="A23" s="23" t="s">
        <v>83</v>
      </c>
    </row>
    <row r="24" spans="1:5">
      <c r="A24" s="23" t="s">
        <v>56</v>
      </c>
    </row>
    <row r="25" spans="1:5">
      <c r="A25" s="23" t="s">
        <v>20</v>
      </c>
      <c r="B25" s="23" t="s">
        <v>27</v>
      </c>
      <c r="C25" s="23">
        <f>'1-Eng Inputs'!C18/12</f>
        <v>6.5750000000000002</v>
      </c>
    </row>
    <row r="26" spans="1:5">
      <c r="A26" s="23" t="s">
        <v>22</v>
      </c>
      <c r="B26" s="23" t="s">
        <v>52</v>
      </c>
      <c r="C26" s="23">
        <f>'1-Eng Inputs'!C19/12</f>
        <v>3.2833333333333332</v>
      </c>
    </row>
    <row r="27" spans="1:5">
      <c r="A27" s="23" t="s">
        <v>36</v>
      </c>
      <c r="B27" s="23" t="s">
        <v>84</v>
      </c>
      <c r="C27" s="107">
        <f>((C20*C25)*COS(RADIANS(10)))*C26</f>
        <v>392.88383358312933</v>
      </c>
      <c r="D27" s="23" t="s">
        <v>39</v>
      </c>
    </row>
    <row r="28" spans="1:5" ht="12.75" customHeight="1">
      <c r="A28" s="23" t="s">
        <v>17</v>
      </c>
      <c r="B28" s="23" t="s">
        <v>37</v>
      </c>
      <c r="C28" s="107">
        <f>((C21*C25)*COS(RADIANS(10)))*C26</f>
        <v>507.01424510298966</v>
      </c>
      <c r="D28" s="23" t="s">
        <v>39</v>
      </c>
    </row>
    <row r="29" spans="1:5" ht="12.75" customHeight="1">
      <c r="C29" s="68"/>
    </row>
    <row r="30" spans="1:5">
      <c r="A30" s="23" t="s">
        <v>127</v>
      </c>
      <c r="C30" s="107">
        <f>((1.2*factors!$B$12)+(1.6*C27))+(0.8*C28)</f>
        <v>1109.8495298153987</v>
      </c>
      <c r="D30" s="23" t="s">
        <v>39</v>
      </c>
    </row>
    <row r="31" spans="1:5">
      <c r="A31" s="23" t="s">
        <v>71</v>
      </c>
      <c r="C31" s="107">
        <f>((1.2*factors!$B$12)+(1.6*C28))+(0.5*C27)</f>
        <v>1083.2887089563483</v>
      </c>
      <c r="D31" s="23" t="s">
        <v>39</v>
      </c>
    </row>
    <row r="32" spans="1:5">
      <c r="A32" s="12"/>
      <c r="B32" s="6" t="s">
        <v>65</v>
      </c>
      <c r="C32" s="107">
        <f>MAX(C30:C31)/2</f>
        <v>554.92476490769934</v>
      </c>
      <c r="D32" s="23" t="s">
        <v>39</v>
      </c>
      <c r="E32" s="23" t="s">
        <v>128</v>
      </c>
    </row>
    <row r="34" spans="2:5">
      <c r="B34" s="23" t="s">
        <v>55</v>
      </c>
      <c r="C34" s="36">
        <v>1500</v>
      </c>
      <c r="D34" s="23" t="s">
        <v>39</v>
      </c>
      <c r="E34" s="23" t="s">
        <v>128</v>
      </c>
    </row>
  </sheetData>
  <customSheetViews>
    <customSheetView guid="{F2CCAFB5-9C02-49AC-87E7-8695C5014AAE}" state="hidden" topLeftCell="A14">
      <selection activeCell="C21" sqref="C21"/>
      <pageMargins left="0.75" right="0.75" top="1" bottom="1" header="0.5" footer="0.5"/>
      <pageSetup paperSize="9" orientation="portrait" horizontalDpi="300" verticalDpi="300" r:id="rId1"/>
      <headerFooter alignWithMargins="0"/>
    </customSheetView>
  </customSheetViews>
  <conditionalFormatting sqref="B1">
    <cfRule type="containsText" dxfId="1" priority="1" operator="containsText" text="YES">
      <formula>NOT(ISERROR(SEARCH("YES",B1)))</formula>
    </cfRule>
    <cfRule type="containsText" dxfId="0" priority="2" operator="containsText" text="NO">
      <formula>NOT(ISERROR(SEARCH("NO",B1)))</formula>
    </cfRule>
  </conditionalFormatting>
  <pageMargins left="0.75" right="0.75" top="1" bottom="1" header="0.5" footer="0.5"/>
  <pageSetup paperSize="9" orientation="portrait" horizontalDpi="300" verticalDpi="300" r:id="rId2"/>
  <headerFooter alignWithMargins="0"/>
  <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5"/>
  <dimension ref="A1:W28"/>
  <sheetViews>
    <sheetView workbookViewId="0">
      <selection activeCell="F13" sqref="F13"/>
    </sheetView>
  </sheetViews>
  <sheetFormatPr defaultRowHeight="12.75"/>
  <sheetData>
    <row r="1" spans="1:23">
      <c r="A1" s="207"/>
    </row>
    <row r="2" spans="1:23">
      <c r="B2" s="648"/>
      <c r="C2" s="659" t="s">
        <v>19721</v>
      </c>
      <c r="D2" s="648"/>
      <c r="E2" s="648"/>
      <c r="F2" s="649"/>
      <c r="G2" s="649"/>
      <c r="H2" s="649"/>
      <c r="I2" s="649"/>
      <c r="J2" s="649"/>
      <c r="K2" s="649"/>
      <c r="L2" s="626"/>
      <c r="M2" s="648"/>
      <c r="N2" s="648"/>
      <c r="O2" s="649"/>
      <c r="P2" s="649"/>
    </row>
    <row r="3" spans="1:23" ht="13.5" thickBot="1">
      <c r="B3" s="61"/>
      <c r="C3" s="2513" t="s">
        <v>19740</v>
      </c>
      <c r="D3" s="2513"/>
      <c r="E3" s="2513"/>
      <c r="F3" s="39"/>
      <c r="G3" s="2517" t="s">
        <v>19741</v>
      </c>
      <c r="H3" s="2513"/>
      <c r="I3" s="2513"/>
      <c r="J3" s="2513"/>
      <c r="K3" s="2513"/>
      <c r="L3" s="2518"/>
      <c r="S3" s="2514" t="s">
        <v>19742</v>
      </c>
      <c r="T3" s="2515"/>
      <c r="U3" s="2515"/>
      <c r="V3" s="2515"/>
      <c r="W3" s="2516"/>
    </row>
    <row r="4" spans="1:23">
      <c r="B4" s="42"/>
      <c r="C4" s="841"/>
      <c r="D4" s="841"/>
      <c r="E4" s="841"/>
      <c r="F4" s="733" t="s">
        <v>19737</v>
      </c>
      <c r="G4" s="42"/>
      <c r="H4" s="841"/>
      <c r="I4" s="671" t="s">
        <v>19737</v>
      </c>
      <c r="J4" s="661" t="s">
        <v>19739</v>
      </c>
      <c r="K4" s="660" t="s">
        <v>19738</v>
      </c>
      <c r="L4" s="732">
        <v>1</v>
      </c>
      <c r="S4" s="784"/>
      <c r="T4" s="679"/>
      <c r="U4" s="679" t="s">
        <v>19731</v>
      </c>
      <c r="V4" s="679" t="s">
        <v>19743</v>
      </c>
      <c r="W4" s="680" t="s">
        <v>19732</v>
      </c>
    </row>
    <row r="5" spans="1:23">
      <c r="B5" s="42"/>
      <c r="C5" s="659" t="s">
        <v>19724</v>
      </c>
      <c r="D5" s="659" t="s">
        <v>19722</v>
      </c>
      <c r="E5" s="659" t="s">
        <v>19723</v>
      </c>
      <c r="F5" s="734" t="s">
        <v>19723</v>
      </c>
      <c r="G5" s="62" t="s">
        <v>19722</v>
      </c>
      <c r="H5" s="659" t="s">
        <v>19736</v>
      </c>
      <c r="I5" s="224" t="s">
        <v>19736</v>
      </c>
      <c r="J5" s="659" t="s">
        <v>19736</v>
      </c>
      <c r="K5" s="659" t="s">
        <v>19736</v>
      </c>
      <c r="L5" s="741" t="s">
        <v>19736</v>
      </c>
      <c r="S5" s="784" t="s">
        <v>19729</v>
      </c>
      <c r="T5" s="679"/>
      <c r="U5" s="681">
        <v>0.30299999999999999</v>
      </c>
      <c r="V5" s="681">
        <f>(U5-U6)/U5</f>
        <v>0.41254125412541254</v>
      </c>
      <c r="W5" s="682">
        <f>U5*(1-V5)</f>
        <v>0.17799999999999999</v>
      </c>
    </row>
    <row r="6" spans="1:23">
      <c r="B6" s="42"/>
      <c r="C6" s="670">
        <v>24</v>
      </c>
      <c r="D6" s="673">
        <v>1702</v>
      </c>
      <c r="E6" s="673">
        <f>D6/2</f>
        <v>851</v>
      </c>
      <c r="F6" s="735"/>
      <c r="G6" s="738">
        <f t="shared" ref="G6:G13" si="0">D6*1.68</f>
        <v>2859.3599999999997</v>
      </c>
      <c r="H6" s="673">
        <f>G6/2</f>
        <v>1429.6799999999998</v>
      </c>
      <c r="I6" s="674"/>
      <c r="J6" s="675"/>
      <c r="K6" s="673"/>
      <c r="L6" s="43"/>
      <c r="S6" s="785" t="s">
        <v>19730</v>
      </c>
      <c r="T6" s="683"/>
      <c r="U6" s="684">
        <v>0.17799999999999999</v>
      </c>
      <c r="V6" s="684">
        <f>(U5-U6)/U6</f>
        <v>0.702247191011236</v>
      </c>
      <c r="W6" s="685">
        <f>U6*(1+V6)</f>
        <v>0.30299999999999999</v>
      </c>
    </row>
    <row r="7" spans="1:23">
      <c r="B7" s="42"/>
      <c r="C7" s="670">
        <v>30</v>
      </c>
      <c r="D7" s="673">
        <v>1361</v>
      </c>
      <c r="E7" s="673">
        <f t="shared" ref="E7:E13" si="1">D7/2</f>
        <v>680.5</v>
      </c>
      <c r="F7" s="735"/>
      <c r="G7" s="738">
        <f t="shared" si="0"/>
        <v>2286.48</v>
      </c>
      <c r="H7" s="673">
        <f t="shared" ref="H7:H13" si="2">G7/2</f>
        <v>1143.24</v>
      </c>
      <c r="I7" s="674"/>
      <c r="J7" s="675"/>
      <c r="K7" s="673"/>
      <c r="L7" s="43"/>
    </row>
    <row r="8" spans="1:23">
      <c r="B8" s="657" t="s">
        <v>19725</v>
      </c>
      <c r="C8" s="676">
        <v>36</v>
      </c>
      <c r="D8" s="674">
        <v>1135</v>
      </c>
      <c r="E8" s="674">
        <f t="shared" si="1"/>
        <v>567.5</v>
      </c>
      <c r="F8" s="736">
        <f>E8*1.2</f>
        <v>681</v>
      </c>
      <c r="G8" s="739">
        <f t="shared" si="0"/>
        <v>1906.8</v>
      </c>
      <c r="H8" s="700">
        <f t="shared" si="2"/>
        <v>953.4</v>
      </c>
      <c r="I8" s="702">
        <f>$H$8*(1.2)</f>
        <v>1144.08</v>
      </c>
      <c r="J8" s="700">
        <f>(H8+K8)/2</f>
        <v>1287.0899999999999</v>
      </c>
      <c r="K8" s="702">
        <f>$H$8*(1.7)</f>
        <v>1620.78</v>
      </c>
      <c r="L8" s="701">
        <f>$H$8*(2)</f>
        <v>1906.8</v>
      </c>
    </row>
    <row r="9" spans="1:23">
      <c r="B9" s="657"/>
      <c r="C9" s="842">
        <v>54</v>
      </c>
      <c r="D9" s="843">
        <v>756</v>
      </c>
      <c r="E9" s="843">
        <f t="shared" si="1"/>
        <v>378</v>
      </c>
      <c r="F9" s="844">
        <f>E9*1.2</f>
        <v>453.59999999999997</v>
      </c>
      <c r="G9" s="739">
        <f t="shared" si="0"/>
        <v>1270.08</v>
      </c>
      <c r="H9" s="700">
        <f t="shared" si="2"/>
        <v>635.04</v>
      </c>
      <c r="I9" s="702">
        <f>$H$9*(1.2)</f>
        <v>762.04799999999989</v>
      </c>
      <c r="J9" s="700">
        <f>(H9+K9)/2</f>
        <v>857.30399999999997</v>
      </c>
      <c r="K9" s="702">
        <f>$H$9*(1.7)</f>
        <v>1079.568</v>
      </c>
      <c r="L9" s="701">
        <f>$H$9*(2)</f>
        <v>1270.08</v>
      </c>
    </row>
    <row r="10" spans="1:23">
      <c r="B10" s="42"/>
      <c r="C10" s="670">
        <v>60</v>
      </c>
      <c r="D10" s="673">
        <v>681</v>
      </c>
      <c r="E10" s="673">
        <f t="shared" si="1"/>
        <v>340.5</v>
      </c>
      <c r="F10" s="737"/>
      <c r="G10" s="738">
        <f t="shared" si="0"/>
        <v>1144.08</v>
      </c>
      <c r="H10" s="673">
        <f t="shared" si="2"/>
        <v>572.04</v>
      </c>
      <c r="I10" s="702"/>
      <c r="J10" s="700"/>
      <c r="K10" s="702"/>
      <c r="L10" s="701"/>
    </row>
    <row r="11" spans="1:23">
      <c r="B11" s="657" t="s">
        <v>19726</v>
      </c>
      <c r="C11" s="676">
        <v>66</v>
      </c>
      <c r="D11" s="674">
        <v>619</v>
      </c>
      <c r="E11" s="674">
        <f t="shared" si="1"/>
        <v>309.5</v>
      </c>
      <c r="F11" s="736">
        <f>E11*1.2</f>
        <v>371.4</v>
      </c>
      <c r="G11" s="739">
        <f t="shared" si="0"/>
        <v>1039.92</v>
      </c>
      <c r="H11" s="700">
        <f t="shared" si="2"/>
        <v>519.96</v>
      </c>
      <c r="I11" s="702">
        <f>$H$11*(1.2)</f>
        <v>623.952</v>
      </c>
      <c r="J11" s="700">
        <f>(H11+K11)/2</f>
        <v>701.94600000000003</v>
      </c>
      <c r="K11" s="702">
        <f>$H$11*(1.7)</f>
        <v>883.93200000000002</v>
      </c>
      <c r="L11" s="701">
        <f>$H$11*(2)</f>
        <v>1039.92</v>
      </c>
      <c r="M11" s="648"/>
    </row>
    <row r="12" spans="1:23">
      <c r="B12" s="42"/>
      <c r="C12" s="670">
        <v>72</v>
      </c>
      <c r="D12" s="673">
        <v>567</v>
      </c>
      <c r="E12" s="673">
        <f t="shared" si="1"/>
        <v>283.5</v>
      </c>
      <c r="F12" s="735"/>
      <c r="G12" s="738">
        <f t="shared" si="0"/>
        <v>952.56</v>
      </c>
      <c r="H12" s="673">
        <f t="shared" si="2"/>
        <v>476.28</v>
      </c>
      <c r="I12" s="674"/>
      <c r="J12" s="674"/>
      <c r="K12" s="674"/>
      <c r="L12" s="43"/>
      <c r="M12" s="648"/>
    </row>
    <row r="13" spans="1:23">
      <c r="B13" s="845" t="s">
        <v>19727</v>
      </c>
      <c r="C13" s="846">
        <v>78</v>
      </c>
      <c r="D13" s="847">
        <v>524</v>
      </c>
      <c r="E13" s="847">
        <f t="shared" si="1"/>
        <v>262</v>
      </c>
      <c r="F13" s="848">
        <f>E13*1.2</f>
        <v>314.39999999999998</v>
      </c>
      <c r="G13" s="849">
        <f t="shared" si="0"/>
        <v>880.31999999999994</v>
      </c>
      <c r="H13" s="850">
        <f t="shared" si="2"/>
        <v>440.15999999999997</v>
      </c>
      <c r="I13" s="851">
        <f>$H$13*(1.2)</f>
        <v>528.19199999999989</v>
      </c>
      <c r="J13" s="852">
        <f>(H13+K13)/2</f>
        <v>594.21599999999989</v>
      </c>
      <c r="K13" s="851">
        <f>$H$13*(1.7)</f>
        <v>748.27199999999993</v>
      </c>
      <c r="L13" s="853">
        <f>$H$13*(2)</f>
        <v>880.31999999999994</v>
      </c>
      <c r="M13" s="649"/>
    </row>
    <row r="14" spans="1:23">
      <c r="J14" s="649"/>
      <c r="K14" s="649"/>
      <c r="L14" s="649"/>
      <c r="M14" s="649"/>
      <c r="N14" s="648"/>
      <c r="O14" s="649"/>
      <c r="P14" s="649"/>
    </row>
    <row r="15" spans="1:23" ht="13.5" customHeight="1">
      <c r="J15" s="649"/>
      <c r="K15" s="649"/>
      <c r="L15" s="649"/>
      <c r="M15" s="649"/>
      <c r="N15" s="649"/>
      <c r="O15" s="649"/>
      <c r="P15" s="649"/>
    </row>
    <row r="16" spans="1:23">
      <c r="A16" s="1518"/>
      <c r="B16" s="1518"/>
      <c r="C16" s="1518"/>
      <c r="D16" s="1518"/>
      <c r="E16" s="1518"/>
      <c r="F16" s="1518"/>
      <c r="G16" s="1518"/>
      <c r="H16" s="1518"/>
      <c r="I16" s="1518"/>
      <c r="J16" s="1518"/>
      <c r="K16" s="649"/>
      <c r="L16" s="649"/>
      <c r="M16" s="649"/>
      <c r="N16" s="649"/>
      <c r="O16" s="649"/>
      <c r="P16" s="649"/>
    </row>
    <row r="17" spans="1:16">
      <c r="A17" s="1518"/>
      <c r="B17" s="224"/>
      <c r="C17" s="224"/>
      <c r="D17" s="224"/>
      <c r="E17" s="224"/>
      <c r="F17" s="1518"/>
      <c r="G17" s="1518"/>
      <c r="H17" s="1729"/>
      <c r="I17" s="1729"/>
      <c r="J17" s="1518"/>
      <c r="K17" s="649"/>
      <c r="L17" s="649"/>
      <c r="M17" s="649"/>
      <c r="N17" s="649"/>
      <c r="O17" s="649"/>
      <c r="P17" s="649"/>
    </row>
    <row r="18" spans="1:16">
      <c r="A18" s="1518"/>
      <c r="B18" s="1518"/>
      <c r="C18" s="1714"/>
      <c r="D18" s="1714"/>
      <c r="E18" s="1714"/>
      <c r="F18" s="1518"/>
      <c r="G18" s="1518"/>
      <c r="H18" s="1729"/>
      <c r="I18" s="1729"/>
      <c r="J18" s="1518"/>
      <c r="K18" s="649"/>
      <c r="L18" s="649"/>
      <c r="M18" s="649"/>
      <c r="N18" s="649"/>
      <c r="O18" s="649"/>
      <c r="P18" s="649"/>
    </row>
    <row r="19" spans="1:16">
      <c r="A19" s="1518"/>
      <c r="B19" s="1518"/>
      <c r="C19" s="215"/>
      <c r="D19" s="215"/>
      <c r="E19" s="215"/>
      <c r="F19" s="1518"/>
      <c r="G19" s="1518"/>
      <c r="H19" s="215"/>
      <c r="I19" s="1730"/>
      <c r="J19" s="1518"/>
      <c r="K19" s="649"/>
      <c r="L19" s="649"/>
      <c r="M19" s="649"/>
      <c r="N19" s="649"/>
      <c r="O19" s="649"/>
      <c r="P19" s="649"/>
    </row>
    <row r="20" spans="1:16">
      <c r="A20" s="1518"/>
      <c r="B20" s="1518"/>
      <c r="C20" s="670"/>
      <c r="D20" s="677"/>
      <c r="E20" s="677"/>
      <c r="F20" s="626"/>
      <c r="G20" s="1518"/>
      <c r="H20" s="1713"/>
      <c r="I20" s="1518"/>
      <c r="J20" s="1518"/>
      <c r="K20" s="649"/>
      <c r="L20" s="649"/>
      <c r="M20" s="649"/>
      <c r="N20" s="649"/>
      <c r="O20" s="649"/>
      <c r="P20" s="649"/>
    </row>
    <row r="21" spans="1:16">
      <c r="A21" s="1518"/>
      <c r="B21" s="1518"/>
      <c r="C21" s="670"/>
      <c r="D21" s="678"/>
      <c r="E21" s="678"/>
      <c r="F21" s="1518"/>
      <c r="G21" s="1518"/>
      <c r="H21" s="1713"/>
      <c r="I21" s="1518"/>
      <c r="J21" s="1518"/>
      <c r="K21" s="649"/>
      <c r="L21" s="649"/>
      <c r="M21" s="649"/>
      <c r="N21" s="649"/>
      <c r="O21" s="649"/>
      <c r="P21" s="649"/>
    </row>
    <row r="22" spans="1:16">
      <c r="A22" s="1518"/>
      <c r="B22" s="658"/>
      <c r="C22" s="676"/>
      <c r="D22" s="1713"/>
      <c r="E22" s="1731"/>
      <c r="F22" s="626"/>
      <c r="G22" s="1518"/>
      <c r="H22" s="1713"/>
      <c r="I22" s="1518"/>
      <c r="J22" s="1518"/>
      <c r="K22" s="649"/>
      <c r="L22" s="649"/>
      <c r="M22" s="649"/>
      <c r="N22" s="649"/>
      <c r="O22" s="649"/>
      <c r="P22" s="649"/>
    </row>
    <row r="23" spans="1:16">
      <c r="A23" s="1518"/>
      <c r="B23" s="658"/>
      <c r="C23" s="676"/>
      <c r="D23" s="1713"/>
      <c r="E23" s="1731"/>
      <c r="F23" s="626"/>
      <c r="G23" s="1518"/>
      <c r="H23" s="1713"/>
      <c r="I23" s="48"/>
      <c r="J23" s="1518"/>
      <c r="K23" s="649"/>
      <c r="L23" s="649"/>
      <c r="M23" s="649"/>
      <c r="N23" s="649"/>
      <c r="O23" s="649"/>
      <c r="P23" s="649"/>
    </row>
    <row r="24" spans="1:16">
      <c r="A24" s="1518"/>
      <c r="B24" s="1518"/>
      <c r="C24" s="670"/>
      <c r="D24" s="670"/>
      <c r="E24" s="677"/>
      <c r="F24" s="626"/>
      <c r="G24" s="1518"/>
      <c r="H24" s="1518"/>
      <c r="I24" s="1518"/>
      <c r="J24" s="1518"/>
    </row>
    <row r="25" spans="1:16">
      <c r="A25" s="1518"/>
      <c r="B25" s="658"/>
      <c r="C25" s="676"/>
      <c r="D25" s="1713"/>
      <c r="E25" s="1731"/>
      <c r="F25" s="626"/>
      <c r="G25" s="1518"/>
      <c r="H25" s="1518"/>
      <c r="I25" s="1518"/>
      <c r="J25" s="1518"/>
    </row>
    <row r="26" spans="1:16">
      <c r="A26" s="1518"/>
      <c r="B26" s="1518"/>
      <c r="C26" s="670"/>
      <c r="D26" s="670"/>
      <c r="E26" s="677"/>
      <c r="F26" s="626"/>
      <c r="G26" s="1518"/>
      <c r="H26" s="1518"/>
      <c r="I26" s="1518"/>
      <c r="J26" s="1518"/>
    </row>
    <row r="27" spans="1:16">
      <c r="A27" s="1518"/>
      <c r="B27" s="1518"/>
      <c r="C27" s="1518"/>
      <c r="D27" s="1518"/>
      <c r="E27" s="1518"/>
      <c r="F27" s="1518"/>
      <c r="G27" s="1518"/>
      <c r="H27" s="1518"/>
      <c r="I27" s="1518"/>
      <c r="J27" s="1518"/>
    </row>
    <row r="28" spans="1:16">
      <c r="A28" s="1518"/>
      <c r="B28" s="1518"/>
      <c r="C28" s="1518"/>
      <c r="D28" s="1518"/>
      <c r="E28" s="1518"/>
      <c r="F28" s="1518"/>
      <c r="G28" s="1518"/>
      <c r="H28" s="1518"/>
      <c r="I28" s="1518"/>
      <c r="J28" s="1518"/>
    </row>
  </sheetData>
  <mergeCells count="3">
    <mergeCell ref="C3:E3"/>
    <mergeCell ref="S3:W3"/>
    <mergeCell ref="G3:L3"/>
  </mergeCells>
  <pageMargins left="0.7" right="0.7" top="0.75" bottom="0.75" header="0.3" footer="0.3"/>
  <pageSetup orientation="portrait" horizontalDpi="0" verticalDpi="0"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AC58"/>
  <sheetViews>
    <sheetView workbookViewId="0">
      <selection activeCell="U28" sqref="U28"/>
    </sheetView>
  </sheetViews>
  <sheetFormatPr defaultRowHeight="12.75"/>
  <cols>
    <col min="1" max="1" width="53.28515625" style="1706" bestFit="1" customWidth="1"/>
    <col min="2" max="4" width="9.140625" style="333"/>
    <col min="5" max="5" width="3.7109375" style="1706" customWidth="1"/>
    <col min="6" max="14" width="9.140625" style="1706"/>
    <col min="15" max="17" width="8.7109375" style="1706" customWidth="1"/>
    <col min="18" max="21" width="9.42578125" style="1706" customWidth="1"/>
    <col min="22" max="25" width="9.140625" style="1706"/>
    <col min="26" max="26" width="4.7109375" style="1706" customWidth="1"/>
    <col min="27" max="27" width="9.85546875" style="1706" bestFit="1" customWidth="1"/>
    <col min="28" max="28" width="5.5703125" style="1706" bestFit="1" customWidth="1"/>
    <col min="29" max="29" width="5.85546875" style="1706" bestFit="1" customWidth="1"/>
    <col min="30" max="16384" width="9.140625" style="1706"/>
  </cols>
  <sheetData>
    <row r="1" spans="1:29">
      <c r="A1" s="2521" t="s">
        <v>19828</v>
      </c>
      <c r="B1" s="2521"/>
      <c r="C1" s="2521"/>
      <c r="D1" s="2521"/>
      <c r="E1" s="2521"/>
      <c r="F1" s="2521"/>
      <c r="N1" s="1518"/>
      <c r="O1" s="1518"/>
      <c r="P1" s="659"/>
      <c r="Q1" s="1518"/>
      <c r="R1" s="1518"/>
      <c r="S1" s="1518"/>
      <c r="Z1" s="1518"/>
      <c r="AA1" s="1518"/>
      <c r="AB1" s="1518"/>
      <c r="AC1" s="1518"/>
    </row>
    <row r="2" spans="1:29">
      <c r="A2" s="2521"/>
      <c r="B2" s="2521"/>
      <c r="C2" s="2521"/>
      <c r="D2" s="2521"/>
      <c r="E2" s="2521"/>
      <c r="F2" s="2521"/>
      <c r="N2" s="1518"/>
      <c r="O2" s="1518"/>
      <c r="P2" s="659"/>
      <c r="Q2" s="1518"/>
      <c r="R2" s="1518"/>
      <c r="S2" s="1518"/>
      <c r="Z2" s="1518"/>
      <c r="AA2" s="1518"/>
      <c r="AB2" s="1518"/>
      <c r="AC2" s="1518"/>
    </row>
    <row r="3" spans="1:29">
      <c r="A3" s="749" t="s">
        <v>19827</v>
      </c>
      <c r="B3" s="1054" t="s">
        <v>20070</v>
      </c>
      <c r="C3" s="1054" t="s">
        <v>20071</v>
      </c>
      <c r="D3" s="1054" t="s">
        <v>19715</v>
      </c>
      <c r="N3" s="1518"/>
      <c r="O3" s="1518"/>
      <c r="P3" s="1714"/>
      <c r="Q3" s="1714"/>
      <c r="R3" s="1714"/>
      <c r="S3" s="1518"/>
      <c r="Z3" s="670"/>
      <c r="AA3" s="670"/>
      <c r="AB3" s="670"/>
      <c r="AC3" s="670"/>
    </row>
    <row r="4" spans="1:29" ht="15">
      <c r="A4" s="207" t="s">
        <v>19718</v>
      </c>
      <c r="B4" s="1053" t="str">
        <f>'Land Matrix 10deg (lift)'!$BV$4</f>
        <v>n/a</v>
      </c>
      <c r="C4" s="1053" t="str">
        <f>'Land Matrix 5deg (lift)'!$BN$4</f>
        <v>n/a</v>
      </c>
      <c r="D4" s="1053" t="str">
        <f>'Port Matrix (lift)'!$CW$4</f>
        <v>n/a</v>
      </c>
      <c r="N4" s="1518"/>
      <c r="O4" s="1518"/>
      <c r="P4" s="1518"/>
      <c r="Q4" s="1518"/>
      <c r="R4" s="1518"/>
      <c r="S4" s="671"/>
      <c r="Z4" s="679"/>
      <c r="AA4" s="679"/>
      <c r="AB4" s="679"/>
      <c r="AC4" s="666"/>
    </row>
    <row r="5" spans="1:29" ht="15">
      <c r="A5" s="1706" t="s">
        <v>19714</v>
      </c>
      <c r="B5" s="1044">
        <f>'Land Matrix 10deg (lift)'!$BV$3</f>
        <v>16</v>
      </c>
      <c r="C5" s="1044">
        <f>'Land Matrix 5deg (lift)'!$BN$3</f>
        <v>8</v>
      </c>
      <c r="D5" s="1044">
        <f>'Port Matrix (lift)'!$CW$3</f>
        <v>16</v>
      </c>
      <c r="N5" s="1518"/>
      <c r="O5" s="1518"/>
      <c r="P5" s="659"/>
      <c r="Q5" s="659"/>
      <c r="R5" s="659"/>
      <c r="Z5" s="679"/>
      <c r="AA5" s="681"/>
      <c r="AB5" s="681"/>
      <c r="AC5" s="681"/>
    </row>
    <row r="6" spans="1:29">
      <c r="N6" s="1518"/>
      <c r="O6" s="1518"/>
      <c r="P6" s="670"/>
      <c r="Q6" s="673"/>
      <c r="R6" s="673"/>
      <c r="Z6" s="679"/>
      <c r="AA6" s="681"/>
      <c r="AB6" s="681"/>
      <c r="AC6" s="681"/>
    </row>
    <row r="7" spans="1:29">
      <c r="A7" s="207" t="s">
        <v>19716</v>
      </c>
      <c r="B7" s="1926">
        <f>'1-Eng Inputs'!$C$41</f>
        <v>1</v>
      </c>
      <c r="C7" s="1926">
        <f>'1-Eng Inputs'!$C$41</f>
        <v>1</v>
      </c>
      <c r="D7" s="1926">
        <f>'1-Eng Inputs'!$C$41</f>
        <v>1</v>
      </c>
      <c r="G7" s="207" t="s">
        <v>19717</v>
      </c>
      <c r="N7" s="1518"/>
      <c r="O7" s="1518"/>
      <c r="P7" s="670"/>
      <c r="Q7" s="673"/>
      <c r="R7" s="673"/>
      <c r="Z7" s="1518"/>
      <c r="AA7" s="1518"/>
      <c r="AB7" s="1518"/>
      <c r="AC7" s="1518"/>
    </row>
    <row r="8" spans="1:29">
      <c r="A8" s="207" t="s">
        <v>19728</v>
      </c>
      <c r="B8" s="1926">
        <f>MIN('Friction Data'!$F$34:$G$34)</f>
        <v>0.57999999999999996</v>
      </c>
      <c r="C8" s="1926">
        <f>MIN('Friction Data'!$F$34:$G$34)</f>
        <v>0.57999999999999996</v>
      </c>
      <c r="D8" s="1926">
        <f>MIN('Friction Data'!$F$34:$G$34)</f>
        <v>0.57999999999999996</v>
      </c>
      <c r="G8" s="207" t="s">
        <v>20066</v>
      </c>
      <c r="N8" s="1518"/>
      <c r="O8" s="658"/>
      <c r="P8" s="676"/>
      <c r="Q8" s="674"/>
      <c r="R8" s="674"/>
      <c r="Z8" s="1518"/>
      <c r="AA8" s="1518"/>
      <c r="AB8" s="1518"/>
      <c r="AC8" s="1518"/>
    </row>
    <row r="9" spans="1:29">
      <c r="A9" s="207" t="s">
        <v>20064</v>
      </c>
      <c r="B9" s="1926">
        <f>'Uplift Attachment Calcs'!$D$9</f>
        <v>314.39999999999998</v>
      </c>
      <c r="C9" s="1926">
        <f>'Uplift Attachment Calcs'!$D$9</f>
        <v>314.39999999999998</v>
      </c>
      <c r="D9" s="1926">
        <f>'Uplift Attachment Calcs'!$D$9</f>
        <v>314.39999999999998</v>
      </c>
      <c r="G9" s="207" t="s">
        <v>20065</v>
      </c>
      <c r="N9" s="1518"/>
      <c r="O9" s="658"/>
      <c r="P9" s="676"/>
      <c r="Q9" s="674"/>
      <c r="R9" s="674"/>
      <c r="Z9" s="1518"/>
      <c r="AA9" s="1518"/>
      <c r="AB9" s="1518"/>
      <c r="AC9" s="1518"/>
    </row>
    <row r="10" spans="1:29">
      <c r="B10" s="1841"/>
      <c r="C10" s="1841"/>
      <c r="D10" s="1841"/>
      <c r="N10" s="1518"/>
      <c r="O10" s="1518"/>
      <c r="P10" s="670"/>
      <c r="Q10" s="673"/>
      <c r="R10" s="673"/>
      <c r="Z10" s="1518"/>
      <c r="AA10" s="1518"/>
      <c r="AB10" s="1518"/>
      <c r="AC10" s="1518"/>
    </row>
    <row r="11" spans="1:29">
      <c r="A11" s="207"/>
      <c r="B11" s="1043"/>
      <c r="C11" s="1043"/>
      <c r="D11" s="1043"/>
      <c r="G11" s="207"/>
      <c r="O11" s="658"/>
      <c r="P11" s="676"/>
      <c r="Q11" s="674"/>
      <c r="R11" s="674"/>
      <c r="Z11" s="1518"/>
      <c r="AA11" s="1518"/>
      <c r="AB11" s="1518"/>
      <c r="AC11" s="1518"/>
    </row>
    <row r="12" spans="1:29">
      <c r="A12" s="749" t="s">
        <v>19826</v>
      </c>
      <c r="B12" s="1841"/>
      <c r="C12" s="1841"/>
      <c r="D12" s="1841"/>
      <c r="O12" s="1518"/>
      <c r="P12" s="670"/>
      <c r="Q12" s="673"/>
      <c r="R12" s="673"/>
      <c r="Z12" s="1518"/>
      <c r="AA12" s="1518"/>
      <c r="AB12" s="1518"/>
      <c r="AC12" s="1518"/>
    </row>
    <row r="13" spans="1:29">
      <c r="A13" s="207" t="s">
        <v>20075</v>
      </c>
      <c r="B13" s="1841" t="e">
        <f>B4*SIN(RADIANS(B7))</f>
        <v>#VALUE!</v>
      </c>
      <c r="C13" s="1841" t="e">
        <f>C4*SIN(RADIANS(C7))</f>
        <v>#VALUE!</v>
      </c>
      <c r="D13" s="1841" t="e">
        <f>D4*SIN(RADIANS(D7))</f>
        <v>#VALUE!</v>
      </c>
      <c r="G13" s="1706" t="s">
        <v>20068</v>
      </c>
      <c r="N13" s="1518"/>
      <c r="O13" s="1518"/>
      <c r="P13" s="1518"/>
      <c r="Q13" s="1518"/>
      <c r="R13" s="1518"/>
      <c r="Z13" s="1518"/>
      <c r="AA13" s="1518"/>
      <c r="AB13" s="1518"/>
      <c r="AC13" s="1518"/>
    </row>
    <row r="14" spans="1:29">
      <c r="A14" s="207" t="s">
        <v>20076</v>
      </c>
      <c r="B14" s="1841" t="e">
        <f>B4*COS(RADIANS(B7))*B8</f>
        <v>#VALUE!</v>
      </c>
      <c r="C14" s="1841" t="e">
        <f>C4*COS(RADIANS(C7))*C8</f>
        <v>#VALUE!</v>
      </c>
      <c r="D14" s="1841" t="e">
        <f>D4*COS(RADIANS(D7))*D8</f>
        <v>#VALUE!</v>
      </c>
      <c r="G14" s="207" t="s">
        <v>20067</v>
      </c>
      <c r="N14" s="1518"/>
      <c r="O14" s="1518"/>
      <c r="P14" s="659"/>
      <c r="Q14" s="1518"/>
      <c r="R14" s="1518"/>
      <c r="Z14" s="1518"/>
      <c r="AA14" s="1518"/>
      <c r="AB14" s="1518"/>
      <c r="AC14" s="1518"/>
    </row>
    <row r="15" spans="1:29">
      <c r="A15" s="207" t="s">
        <v>19758</v>
      </c>
      <c r="B15" s="1841">
        <f>(((3*factors!$B$2+factors!$B$1)*2+'1-Eng Inputs'!$C$20)/(8*(3*factors!$B$2+factors!$B$1)+2*'1-Eng Inputs'!$C$20))</f>
        <v>0.27471564270863058</v>
      </c>
      <c r="C15" s="1841">
        <f>(((3*factors!$B$2+factors!$B$1)*2+'1-Eng Inputs'!$C$20)/(8*(3*factors!$B$2+factors!$B$1)+2*'1-Eng Inputs'!$C$20))</f>
        <v>0.27471564270863058</v>
      </c>
      <c r="D15" s="1841">
        <f>(((3*factors!$B$2+factors!$B$1)*2+'1-Eng Inputs'!$C$20)/(8*(3*factors!$B$2+factors!$B$1)+2*'1-Eng Inputs'!$C$20))</f>
        <v>0.27471564270863058</v>
      </c>
      <c r="N15" s="1518"/>
      <c r="O15" s="1518"/>
      <c r="P15" s="215"/>
      <c r="Q15" s="215"/>
      <c r="R15" s="215"/>
      <c r="W15" s="750"/>
      <c r="X15" s="333"/>
      <c r="Z15" s="1518"/>
      <c r="AA15" s="1518"/>
      <c r="AB15" s="1518"/>
      <c r="AC15" s="1518"/>
    </row>
    <row r="16" spans="1:29">
      <c r="A16" s="207" t="s">
        <v>20077</v>
      </c>
      <c r="B16" s="1043">
        <f ca="1">'Land Calcs 10deg (sliding)'!$D$19</f>
        <v>1644.8693869937158</v>
      </c>
      <c r="C16" s="1043">
        <f ca="1">'Land Calcs 5deg (sliding)'!$D$19</f>
        <v>1038.6614035439143</v>
      </c>
      <c r="D16" s="1043">
        <f ca="1">'Port Calcs (sliding)'!$D$19</f>
        <v>1500.6388550973327</v>
      </c>
      <c r="G16" s="207"/>
      <c r="N16" s="1518"/>
      <c r="O16" s="1518"/>
      <c r="P16" s="670"/>
      <c r="Z16" s="1518"/>
      <c r="AA16" s="1518"/>
      <c r="AB16" s="1518"/>
      <c r="AC16" s="1518"/>
    </row>
    <row r="17" spans="1:29">
      <c r="A17" s="207" t="s">
        <v>20078</v>
      </c>
      <c r="B17" s="1043">
        <f ca="1">'Land Calcs 10deg (sliding)'!$D$20</f>
        <v>625.29127887227412</v>
      </c>
      <c r="C17" s="1043">
        <f ca="1">'Land Calcs 5deg (sliding)'!$D$20</f>
        <v>213.93599116313845</v>
      </c>
      <c r="D17" s="1043">
        <f ca="1">'Port Calcs (sliding)'!$D$20</f>
        <v>408.38128142256119</v>
      </c>
      <c r="G17" s="98"/>
      <c r="N17" s="1518"/>
      <c r="O17" s="1518"/>
      <c r="P17" s="670"/>
      <c r="Z17" s="1518"/>
      <c r="AA17" s="1518"/>
      <c r="AB17" s="1518"/>
      <c r="AC17" s="1518"/>
    </row>
    <row r="18" spans="1:29">
      <c r="A18" s="98"/>
      <c r="B18" s="1043"/>
      <c r="C18" s="1043"/>
      <c r="D18" s="1043"/>
      <c r="G18" s="98"/>
      <c r="N18" s="1518"/>
      <c r="O18" s="658"/>
      <c r="P18" s="676"/>
      <c r="Z18" s="1518"/>
      <c r="AA18" s="1518"/>
      <c r="AB18" s="1518"/>
      <c r="AC18" s="1518"/>
    </row>
    <row r="19" spans="1:29">
      <c r="A19" s="104" t="s">
        <v>20074</v>
      </c>
      <c r="B19" s="1841"/>
      <c r="C19" s="1841"/>
      <c r="D19" s="1841"/>
      <c r="N19" s="1518"/>
      <c r="O19" s="658"/>
      <c r="P19" s="676"/>
      <c r="Z19" s="1518"/>
      <c r="AA19" s="1518"/>
      <c r="AB19" s="1518"/>
      <c r="AC19" s="1518"/>
    </row>
    <row r="20" spans="1:29">
      <c r="A20" s="1706" t="s">
        <v>19821</v>
      </c>
      <c r="B20" s="1841" t="e">
        <f>B13</f>
        <v>#VALUE!</v>
      </c>
      <c r="C20" s="1841" t="e">
        <f>C13</f>
        <v>#VALUE!</v>
      </c>
      <c r="D20" s="1841" t="e">
        <f>D13</f>
        <v>#VALUE!</v>
      </c>
      <c r="N20" s="1518"/>
      <c r="O20" s="1518"/>
      <c r="P20" s="670"/>
      <c r="Z20" s="1518"/>
      <c r="AA20" s="1518"/>
      <c r="AB20" s="1518"/>
      <c r="AC20" s="1518"/>
    </row>
    <row r="21" spans="1:29">
      <c r="A21" s="1706" t="s">
        <v>19822</v>
      </c>
      <c r="B21" s="1841" t="e">
        <f t="shared" ref="B21" si="0">B14</f>
        <v>#VALUE!</v>
      </c>
      <c r="C21" s="1841" t="e">
        <f>C14</f>
        <v>#VALUE!</v>
      </c>
      <c r="D21" s="1841" t="e">
        <f>D14</f>
        <v>#VALUE!</v>
      </c>
      <c r="N21" s="1518"/>
      <c r="O21" s="658"/>
      <c r="P21" s="676"/>
      <c r="X21" s="333"/>
      <c r="Z21" s="1518"/>
      <c r="AA21" s="1518"/>
      <c r="AB21" s="1518"/>
      <c r="AC21" s="1518"/>
    </row>
    <row r="22" spans="1:29">
      <c r="A22" s="207" t="s">
        <v>19733</v>
      </c>
      <c r="B22" s="1841" t="e">
        <f>ROUNDUP(SUM(B20:B21)/$B$9,0)</f>
        <v>#VALUE!</v>
      </c>
      <c r="C22" s="1841" t="e">
        <f>ROUNDUP(SUM(C20:C21)/$B$9,0)</f>
        <v>#VALUE!</v>
      </c>
      <c r="D22" s="1841" t="e">
        <f>ROUNDUP(SUM(D20:D21)/$B$9,0)</f>
        <v>#VALUE!</v>
      </c>
      <c r="G22" s="207" t="s">
        <v>19747</v>
      </c>
      <c r="N22" s="1518"/>
      <c r="O22" s="1518"/>
      <c r="P22" s="670"/>
      <c r="W22" s="750"/>
      <c r="X22" s="333"/>
      <c r="Z22" s="1518"/>
      <c r="AA22" s="1518"/>
      <c r="AB22" s="1518"/>
      <c r="AC22" s="1518"/>
    </row>
    <row r="23" spans="1:29">
      <c r="A23" s="207" t="s">
        <v>19734</v>
      </c>
      <c r="B23" s="1841" t="e">
        <f>MAX(2,ROUNDUP(B20/B$9,0))</f>
        <v>#VALUE!</v>
      </c>
      <c r="C23" s="1841" t="e">
        <f>MAX(2,ROUNDUP(C20/C$9,0))</f>
        <v>#VALUE!</v>
      </c>
      <c r="D23" s="1841" t="e">
        <f>MAX(2,ROUNDUP(D20/D$9,0))</f>
        <v>#VALUE!</v>
      </c>
      <c r="E23" s="207" t="s">
        <v>19735</v>
      </c>
      <c r="G23" s="207" t="s">
        <v>19748</v>
      </c>
      <c r="X23" s="333"/>
    </row>
    <row r="24" spans="1:29">
      <c r="A24" s="207" t="s">
        <v>19763</v>
      </c>
      <c r="B24" s="1841" t="e">
        <f>MAX(2,ROUNDUP((B20/B$9)+(B21/(B$9))*B$15,0))</f>
        <v>#VALUE!</v>
      </c>
      <c r="C24" s="1841" t="e">
        <f>MAX(2,ROUNDUP((C20/C$9)+(C21/(C$9))*C$15,0))</f>
        <v>#VALUE!</v>
      </c>
      <c r="D24" s="1841" t="e">
        <f>MAX(2,ROUNDUP((D20/D$9)+(D21/(D$9))*D$15,0))</f>
        <v>#VALUE!</v>
      </c>
      <c r="E24" s="207" t="s">
        <v>19735</v>
      </c>
      <c r="G24" s="207" t="s">
        <v>19749</v>
      </c>
      <c r="X24" s="333"/>
    </row>
    <row r="25" spans="1:29">
      <c r="B25" s="1841"/>
      <c r="C25" s="1841"/>
      <c r="D25" s="1841"/>
      <c r="W25" s="207"/>
      <c r="X25" s="333"/>
    </row>
    <row r="26" spans="1:29" ht="12" customHeight="1">
      <c r="A26" s="104" t="s">
        <v>20073</v>
      </c>
      <c r="B26" s="1841"/>
      <c r="C26" s="1841"/>
      <c r="D26" s="1841"/>
      <c r="W26" s="207"/>
      <c r="X26" s="333"/>
    </row>
    <row r="27" spans="1:29" ht="12" customHeight="1">
      <c r="A27" s="1706" t="s">
        <v>19821</v>
      </c>
      <c r="B27" s="1841" t="e">
        <f ca="1">IF('1-Eng Inputs'!C35=2010,0.6,1)*B17+B13</f>
        <v>#VALUE!</v>
      </c>
      <c r="C27" s="1841" t="e">
        <f ca="1">IF('1-Eng Inputs'!D35=2010,0.6,1)*C17+C13</f>
        <v>#VALUE!</v>
      </c>
      <c r="D27" s="1841" t="e">
        <f ca="1">IF('1-Eng Inputs'!E35=2010,0.6,1)*D17+D13</f>
        <v>#VALUE!</v>
      </c>
      <c r="W27" s="207"/>
      <c r="X27" s="333"/>
    </row>
    <row r="28" spans="1:29" ht="12" customHeight="1">
      <c r="A28" s="1706" t="s">
        <v>19822</v>
      </c>
      <c r="B28" s="1841" t="e">
        <f ca="1">((B4-IF('1-Eng Inputs'!C35=2010,0.6,1)*B16)*COS(RADIANS(B7))*B8)</f>
        <v>#VALUE!</v>
      </c>
      <c r="C28" s="1841" t="e">
        <f ca="1">((C4-IF('1-Eng Inputs'!D35=2010,0.6,1)*C16)*COS(RADIANS(C7))*C8)</f>
        <v>#VALUE!</v>
      </c>
      <c r="D28" s="1841" t="e">
        <f ca="1">((D4-IF('1-Eng Inputs'!E35=2010,0.6,1)*D16)*COS(RADIANS(D7))*D8)</f>
        <v>#VALUE!</v>
      </c>
    </row>
    <row r="29" spans="1:29" ht="12" customHeight="1">
      <c r="A29" s="207" t="s">
        <v>19733</v>
      </c>
      <c r="B29" s="1841" t="e">
        <f ca="1">ROUNDUP(SUM(B27:B28)/$B$9,0)</f>
        <v>#VALUE!</v>
      </c>
      <c r="C29" s="1841" t="e">
        <f ca="1">ROUNDUP(SUM(C27:C28)/$B$9,0)</f>
        <v>#VALUE!</v>
      </c>
      <c r="D29" s="1841" t="e">
        <f ca="1">ROUNDUP(SUM(D27:D28)/$B$9,0)</f>
        <v>#VALUE!</v>
      </c>
      <c r="G29" s="207" t="s">
        <v>19747</v>
      </c>
    </row>
    <row r="30" spans="1:29" ht="12" customHeight="1">
      <c r="A30" s="207" t="s">
        <v>19734</v>
      </c>
      <c r="B30" s="1841" t="e">
        <f ca="1">MAX(2,ROUNDUP(B27/B$9,0))</f>
        <v>#VALUE!</v>
      </c>
      <c r="C30" s="1841" t="e">
        <f ca="1">MAX(2,ROUNDUP(C27/C$9,0))</f>
        <v>#VALUE!</v>
      </c>
      <c r="D30" s="1841" t="e">
        <f ca="1">MAX(2,ROUNDUP(D27/D$9,0))</f>
        <v>#VALUE!</v>
      </c>
      <c r="E30" s="207" t="s">
        <v>19735</v>
      </c>
      <c r="G30" s="207" t="s">
        <v>19748</v>
      </c>
    </row>
    <row r="31" spans="1:29" ht="12" customHeight="1">
      <c r="A31" s="207" t="s">
        <v>19763</v>
      </c>
      <c r="B31" s="1841" t="e">
        <f ca="1">MAX(2,ROUNDUP((B27/B$9)+(B28/(B$9))*B$15,0))</f>
        <v>#VALUE!</v>
      </c>
      <c r="C31" s="1841" t="e">
        <f ca="1">MAX(2,ROUNDUP((C27/C$9)+(C28/(C$9))*C$15,0))</f>
        <v>#VALUE!</v>
      </c>
      <c r="D31" s="1841" t="e">
        <f ca="1">MAX(2,ROUNDUP((D27/D$9)+(D28/(D$9))*D$15,0))</f>
        <v>#VALUE!</v>
      </c>
      <c r="E31" s="207" t="s">
        <v>19735</v>
      </c>
      <c r="G31" s="207" t="s">
        <v>19749</v>
      </c>
    </row>
    <row r="32" spans="1:29" ht="12" customHeight="1">
      <c r="B32" s="1841"/>
      <c r="C32" s="1841"/>
      <c r="D32" s="1841"/>
    </row>
    <row r="33" spans="1:21" ht="12" customHeight="1">
      <c r="A33" s="104" t="s">
        <v>20079</v>
      </c>
      <c r="B33" s="1841"/>
      <c r="C33" s="1841"/>
      <c r="D33" s="1841"/>
    </row>
    <row r="34" spans="1:21" ht="12" customHeight="1">
      <c r="A34" s="1706" t="s">
        <v>19821</v>
      </c>
      <c r="B34" s="1841" t="e">
        <f ca="1">B17+0.6*B13</f>
        <v>#VALUE!</v>
      </c>
      <c r="C34" s="1841" t="e">
        <f ca="1">C17+0.6*C13</f>
        <v>#VALUE!</v>
      </c>
      <c r="D34" s="1841" t="e">
        <f ca="1">D17+0.6*D13</f>
        <v>#VALUE!</v>
      </c>
    </row>
    <row r="35" spans="1:21" ht="12" customHeight="1">
      <c r="A35" s="1706" t="s">
        <v>19822</v>
      </c>
      <c r="B35" s="1841" t="e">
        <f ca="1">((0.6*B4-IF('1-Eng Inputs'!C35=2010,0.6,1)*B16)*COS(RADIANS(B7))*B8)</f>
        <v>#VALUE!</v>
      </c>
      <c r="C35" s="1841" t="e">
        <f ca="1">((0.6*C4-IF('1-Eng Inputs'!D35=2010,0.6,1)*C16)*COS(RADIANS(C7))*C8)</f>
        <v>#VALUE!</v>
      </c>
      <c r="D35" s="1841" t="e">
        <f ca="1">((0.6*D4-IF('1-Eng Inputs'!E35=2010,0.6,1)*D16)*COS(RADIANS(D7))*D8)</f>
        <v>#VALUE!</v>
      </c>
    </row>
    <row r="36" spans="1:21" ht="12" customHeight="1">
      <c r="A36" s="207" t="s">
        <v>19733</v>
      </c>
      <c r="B36" s="1841" t="e">
        <f ca="1">ROUNDUP(SUM(B34:B35)/$B$9,0)</f>
        <v>#VALUE!</v>
      </c>
      <c r="C36" s="1841" t="e">
        <f ca="1">ROUNDUP(SUM(C34:C35)/$B$9,0)</f>
        <v>#VALUE!</v>
      </c>
      <c r="D36" s="1841" t="e">
        <f ca="1">ROUNDUP(SUM(D34:D35)/$B$9,0)</f>
        <v>#VALUE!</v>
      </c>
      <c r="G36" s="207" t="s">
        <v>19747</v>
      </c>
    </row>
    <row r="37" spans="1:21" ht="12" customHeight="1">
      <c r="A37" s="207" t="s">
        <v>19734</v>
      </c>
      <c r="B37" s="1841" t="e">
        <f ca="1">MAX(2,ROUNDUP(B34/B$9,0))</f>
        <v>#VALUE!</v>
      </c>
      <c r="C37" s="1841" t="e">
        <f ca="1">MAX(2,ROUNDUP(C34/C$9,0))</f>
        <v>#VALUE!</v>
      </c>
      <c r="D37" s="1841" t="e">
        <f ca="1">MAX(2,ROUNDUP(D34/D$9,0))</f>
        <v>#VALUE!</v>
      </c>
      <c r="E37" s="207" t="s">
        <v>19735</v>
      </c>
      <c r="G37" s="207" t="s">
        <v>19748</v>
      </c>
    </row>
    <row r="38" spans="1:21" ht="12" customHeight="1">
      <c r="A38" s="207" t="s">
        <v>19763</v>
      </c>
      <c r="B38" s="1841" t="e">
        <f ca="1">MAX(2,ROUNDUP((B34/B$9)+(B35/(B$9))*B$15,0))</f>
        <v>#VALUE!</v>
      </c>
      <c r="C38" s="1841" t="e">
        <f ca="1">MAX(2,ROUNDUP((C34/C$9)+(C35/(C$9))*C$15,0))</f>
        <v>#VALUE!</v>
      </c>
      <c r="D38" s="1841" t="e">
        <f ca="1">MAX(2,ROUNDUP((D34/D$9)+(D35/(D$9))*D$15,0))</f>
        <v>#VALUE!</v>
      </c>
      <c r="E38" s="207" t="s">
        <v>19735</v>
      </c>
      <c r="G38" s="207" t="s">
        <v>19749</v>
      </c>
    </row>
    <row r="39" spans="1:21" ht="12" customHeight="1" thickBot="1">
      <c r="B39" s="1841"/>
      <c r="C39" s="1841"/>
      <c r="D39" s="1841"/>
    </row>
    <row r="40" spans="1:21">
      <c r="A40" s="1927" t="s">
        <v>19829</v>
      </c>
      <c r="B40" s="1928"/>
      <c r="C40" s="1928"/>
      <c r="D40" s="1928"/>
      <c r="N40" s="689"/>
      <c r="O40" s="690" t="s">
        <v>19761</v>
      </c>
      <c r="P40" s="691"/>
      <c r="Q40" s="691"/>
      <c r="R40" s="691"/>
      <c r="S40" s="691"/>
      <c r="T40" s="691"/>
      <c r="U40" s="692"/>
    </row>
    <row r="41" spans="1:21" ht="15.75">
      <c r="A41" s="1929" t="s">
        <v>19733</v>
      </c>
      <c r="B41" s="1928" t="e">
        <f t="shared" ref="B41:D43" si="1">MAX(B22,B29,B36)</f>
        <v>#VALUE!</v>
      </c>
      <c r="C41" s="1928" t="e">
        <f t="shared" si="1"/>
        <v>#VALUE!</v>
      </c>
      <c r="D41" s="1928" t="e">
        <f t="shared" si="1"/>
        <v>#VALUE!</v>
      </c>
      <c r="G41" s="207" t="s">
        <v>19747</v>
      </c>
      <c r="N41" s="693"/>
      <c r="O41" s="626" t="s">
        <v>19753</v>
      </c>
      <c r="P41" s="1518"/>
      <c r="Q41" s="1518"/>
      <c r="R41" s="1518"/>
      <c r="S41" s="1518"/>
      <c r="T41" s="1518"/>
      <c r="U41" s="694"/>
    </row>
    <row r="42" spans="1:21" ht="15.75">
      <c r="A42" s="1929" t="s">
        <v>19734</v>
      </c>
      <c r="B42" s="1928" t="e">
        <f t="shared" si="1"/>
        <v>#VALUE!</v>
      </c>
      <c r="C42" s="1928" t="e">
        <f t="shared" si="1"/>
        <v>#VALUE!</v>
      </c>
      <c r="D42" s="1928" t="e">
        <f t="shared" si="1"/>
        <v>#VALUE!</v>
      </c>
      <c r="E42" s="207" t="s">
        <v>19735</v>
      </c>
      <c r="G42" s="207" t="s">
        <v>19748</v>
      </c>
      <c r="N42" s="695"/>
      <c r="O42" s="626" t="s">
        <v>19759</v>
      </c>
      <c r="P42" s="1518"/>
      <c r="Q42" s="1518"/>
      <c r="R42" s="1518"/>
      <c r="S42" s="1518"/>
      <c r="T42" s="1518"/>
      <c r="U42" s="694"/>
    </row>
    <row r="43" spans="1:21" ht="15.75">
      <c r="A43" s="1929" t="s">
        <v>19763</v>
      </c>
      <c r="B43" s="1928" t="e">
        <f t="shared" si="1"/>
        <v>#VALUE!</v>
      </c>
      <c r="C43" s="1928" t="e">
        <f t="shared" si="1"/>
        <v>#VALUE!</v>
      </c>
      <c r="D43" s="1928" t="e">
        <f t="shared" si="1"/>
        <v>#VALUE!</v>
      </c>
      <c r="E43" s="207" t="s">
        <v>19735</v>
      </c>
      <c r="G43" s="207" t="s">
        <v>19749</v>
      </c>
      <c r="N43" s="695"/>
      <c r="O43" s="626" t="s">
        <v>19754</v>
      </c>
      <c r="P43" s="1518"/>
      <c r="Q43" s="1518"/>
      <c r="R43" s="1518"/>
      <c r="S43" s="1518"/>
      <c r="T43" s="1518"/>
      <c r="U43" s="694"/>
    </row>
    <row r="44" spans="1:21" ht="15.75">
      <c r="A44" s="207"/>
      <c r="E44" s="207"/>
      <c r="G44" s="207"/>
      <c r="N44" s="696"/>
      <c r="O44" s="626" t="s">
        <v>19755</v>
      </c>
      <c r="P44" s="1518"/>
      <c r="Q44" s="1518"/>
      <c r="R44" s="1518"/>
      <c r="S44" s="1518"/>
      <c r="T44" s="1518"/>
      <c r="U44" s="694"/>
    </row>
    <row r="45" spans="1:21" ht="15.75">
      <c r="N45" s="695"/>
      <c r="O45" s="626" t="s">
        <v>19756</v>
      </c>
      <c r="P45" s="1518"/>
      <c r="Q45" s="1518"/>
      <c r="R45" s="1518"/>
      <c r="S45" s="1518"/>
      <c r="T45" s="1518"/>
      <c r="U45" s="694"/>
    </row>
    <row r="46" spans="1:21" ht="15.75">
      <c r="N46" s="696"/>
      <c r="O46" s="688" t="s">
        <v>19757</v>
      </c>
      <c r="P46" s="1518"/>
      <c r="Q46" s="1518"/>
      <c r="R46" s="1518"/>
      <c r="S46" s="1518"/>
      <c r="T46" s="1518"/>
      <c r="U46" s="694"/>
    </row>
    <row r="47" spans="1:21" ht="15.75">
      <c r="N47" s="693" t="s">
        <v>19762</v>
      </c>
      <c r="O47" s="665" t="s">
        <v>19760</v>
      </c>
      <c r="P47" s="1518"/>
      <c r="Q47" s="1518"/>
      <c r="R47" s="1518"/>
      <c r="S47" s="1518"/>
      <c r="T47" s="1518"/>
      <c r="U47" s="694"/>
    </row>
    <row r="48" spans="1:21">
      <c r="N48" s="433"/>
      <c r="O48" s="1518"/>
      <c r="P48" s="1518"/>
      <c r="Q48" s="1518"/>
      <c r="R48" s="1518"/>
      <c r="S48" s="1518"/>
      <c r="T48" s="1518"/>
      <c r="U48" s="694"/>
    </row>
    <row r="49" spans="14:21" ht="13.5" thickBot="1">
      <c r="N49" s="433"/>
      <c r="O49" s="1518"/>
      <c r="P49" s="1518"/>
      <c r="Q49" s="1518"/>
      <c r="R49" s="1518"/>
      <c r="S49" s="1518"/>
      <c r="T49" s="1518"/>
      <c r="U49" s="694"/>
    </row>
    <row r="50" spans="14:21" ht="27.75" customHeight="1" thickBot="1">
      <c r="N50" s="433"/>
      <c r="O50" s="686" t="s">
        <v>19750</v>
      </c>
      <c r="P50" s="1518"/>
      <c r="Q50" s="686" t="s">
        <v>19750</v>
      </c>
      <c r="R50" s="1518"/>
      <c r="S50" s="1518"/>
      <c r="T50" s="1518"/>
      <c r="U50" s="694"/>
    </row>
    <row r="51" spans="14:21" ht="27.75" customHeight="1" thickBot="1">
      <c r="N51" s="433"/>
      <c r="O51" s="1518"/>
      <c r="P51" s="687" t="s">
        <v>19751</v>
      </c>
      <c r="Q51" s="1518"/>
      <c r="R51" s="2519" t="s">
        <v>19823</v>
      </c>
      <c r="S51" s="2519"/>
      <c r="T51" s="2519"/>
      <c r="U51" s="2520"/>
    </row>
    <row r="52" spans="14:21" ht="27.75" customHeight="1" thickBot="1">
      <c r="N52" s="433"/>
      <c r="O52" s="686" t="s">
        <v>19750</v>
      </c>
      <c r="P52" s="1518"/>
      <c r="Q52" s="686" t="s">
        <v>19750</v>
      </c>
      <c r="R52" s="747"/>
      <c r="S52" s="747" t="s">
        <v>19752</v>
      </c>
      <c r="T52" s="747"/>
      <c r="U52" s="748"/>
    </row>
    <row r="53" spans="14:21" ht="27.75" customHeight="1" thickBot="1">
      <c r="N53" s="433"/>
      <c r="O53" s="1518"/>
      <c r="P53" s="687" t="s">
        <v>19751</v>
      </c>
      <c r="Q53" s="1518"/>
      <c r="R53" s="2519" t="s">
        <v>19824</v>
      </c>
      <c r="S53" s="2519"/>
      <c r="T53" s="2519"/>
      <c r="U53" s="2520"/>
    </row>
    <row r="54" spans="14:21" ht="27.75" customHeight="1" thickBot="1">
      <c r="N54" s="433"/>
      <c r="O54" s="686" t="s">
        <v>19750</v>
      </c>
      <c r="P54" s="1518"/>
      <c r="Q54" s="686" t="s">
        <v>19750</v>
      </c>
      <c r="R54" s="747"/>
      <c r="S54" s="747"/>
      <c r="T54" s="747"/>
      <c r="U54" s="748"/>
    </row>
    <row r="55" spans="14:21" ht="27.75" customHeight="1" thickBot="1">
      <c r="N55" s="433"/>
      <c r="O55" s="1518"/>
      <c r="P55" s="687" t="s">
        <v>19751</v>
      </c>
      <c r="Q55" s="1518"/>
      <c r="R55" s="2519" t="s">
        <v>19825</v>
      </c>
      <c r="S55" s="2519"/>
      <c r="T55" s="2519"/>
      <c r="U55" s="2520"/>
    </row>
    <row r="56" spans="14:21" ht="27.75" customHeight="1" thickBot="1">
      <c r="N56" s="433"/>
      <c r="O56" s="686" t="s">
        <v>19750</v>
      </c>
      <c r="P56" s="1518"/>
      <c r="Q56" s="686" t="s">
        <v>19750</v>
      </c>
      <c r="R56" s="1518"/>
      <c r="S56" s="1518"/>
      <c r="T56" s="1518"/>
      <c r="U56" s="694"/>
    </row>
    <row r="57" spans="14:21">
      <c r="N57" s="433"/>
      <c r="O57" s="1518"/>
      <c r="P57" s="1518"/>
      <c r="Q57" s="1518"/>
      <c r="R57" s="1518"/>
      <c r="S57" s="1518"/>
      <c r="T57" s="1518"/>
      <c r="U57" s="694"/>
    </row>
    <row r="58" spans="14:21" ht="13.5" thickBot="1">
      <c r="N58" s="697"/>
      <c r="O58" s="698"/>
      <c r="P58" s="698"/>
      <c r="Q58" s="698"/>
      <c r="R58" s="698"/>
      <c r="S58" s="698"/>
      <c r="T58" s="698"/>
      <c r="U58" s="699"/>
    </row>
  </sheetData>
  <mergeCells count="4">
    <mergeCell ref="R55:U55"/>
    <mergeCell ref="R51:U51"/>
    <mergeCell ref="R53:U53"/>
    <mergeCell ref="A1:F2"/>
  </mergeCells>
  <pageMargins left="0.7" right="0.7" top="0.75" bottom="0.75" header="0.3" footer="0.3"/>
  <pageSetup orientation="portrait" horizontalDpi="4294967292"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6"/>
  <dimension ref="A1:X23"/>
  <sheetViews>
    <sheetView workbookViewId="0">
      <selection activeCell="D5" sqref="D5"/>
    </sheetView>
  </sheetViews>
  <sheetFormatPr defaultRowHeight="12.75"/>
  <cols>
    <col min="3" max="3" width="12.140625" customWidth="1"/>
    <col min="18" max="18" width="14" hidden="1" customWidth="1"/>
    <col min="19" max="37" width="0" hidden="1" customWidth="1"/>
  </cols>
  <sheetData>
    <row r="1" spans="1:24">
      <c r="A1" s="207" t="s">
        <v>19785</v>
      </c>
      <c r="R1" s="2522" t="s">
        <v>19816</v>
      </c>
      <c r="S1" s="2522"/>
      <c r="T1" s="2522"/>
    </row>
    <row r="2" spans="1:24">
      <c r="A2" s="104" t="s">
        <v>19790</v>
      </c>
      <c r="B2" s="104"/>
      <c r="C2" s="104"/>
      <c r="D2" s="104" t="s">
        <v>19789</v>
      </c>
      <c r="E2" s="104"/>
      <c r="F2" s="104" t="s">
        <v>19788</v>
      </c>
      <c r="S2" s="207" t="s">
        <v>19793</v>
      </c>
      <c r="T2" s="207" t="s">
        <v>226</v>
      </c>
    </row>
    <row r="3" spans="1:24">
      <c r="A3" s="626" t="s">
        <v>19874</v>
      </c>
      <c r="B3" s="626"/>
      <c r="C3" s="626"/>
      <c r="D3" s="1930">
        <f>D4*1.68</f>
        <v>528.19199999999989</v>
      </c>
      <c r="E3" s="626" t="s">
        <v>39</v>
      </c>
      <c r="F3" s="712" t="s">
        <v>19878</v>
      </c>
      <c r="R3" s="207" t="s">
        <v>19794</v>
      </c>
      <c r="S3">
        <v>1974</v>
      </c>
      <c r="T3">
        <v>1120</v>
      </c>
    </row>
    <row r="4" spans="1:24" s="779" customFormat="1">
      <c r="A4" s="659" t="s">
        <v>19873</v>
      </c>
      <c r="B4" s="659"/>
      <c r="C4" s="659"/>
      <c r="D4" s="800">
        <f>IF('1-Eng Inputs'!C37="Landscape", IF('1-Eng Inputs'!C21="60",'Strut Values'!F11,IF('1-Eng Inputs'!C21="72",'Strut Values'!F13,"ERROR")),'Strut Values'!F8)</f>
        <v>314.39999999999998</v>
      </c>
      <c r="E4" s="104" t="s">
        <v>39</v>
      </c>
      <c r="F4" s="778" t="s">
        <v>19876</v>
      </c>
      <c r="R4" s="207" t="s">
        <v>19795</v>
      </c>
      <c r="S4">
        <v>2025</v>
      </c>
      <c r="T4">
        <v>1250</v>
      </c>
    </row>
    <row r="5" spans="1:24">
      <c r="A5" s="626" t="s">
        <v>19791</v>
      </c>
      <c r="B5" s="626"/>
      <c r="C5" s="626"/>
      <c r="D5" s="1930">
        <v>1844</v>
      </c>
      <c r="E5" s="626" t="s">
        <v>39</v>
      </c>
      <c r="F5" s="626" t="s">
        <v>19879</v>
      </c>
      <c r="R5" s="207" t="s">
        <v>19796</v>
      </c>
      <c r="S5">
        <v>1998</v>
      </c>
      <c r="T5">
        <v>1175</v>
      </c>
    </row>
    <row r="6" spans="1:24" s="779" customFormat="1">
      <c r="A6" s="781" t="s">
        <v>19872</v>
      </c>
      <c r="B6" s="659"/>
      <c r="C6" s="659"/>
      <c r="D6" s="800">
        <f>D5/2</f>
        <v>922</v>
      </c>
      <c r="E6" s="104" t="s">
        <v>39</v>
      </c>
      <c r="F6" s="786" t="s">
        <v>19877</v>
      </c>
      <c r="R6" s="207" t="s">
        <v>19797</v>
      </c>
      <c r="S6">
        <v>1898</v>
      </c>
      <c r="T6">
        <v>1312</v>
      </c>
      <c r="V6" s="779" t="s">
        <v>19881</v>
      </c>
      <c r="X6" s="779" t="s">
        <v>19786</v>
      </c>
    </row>
    <row r="7" spans="1:24">
      <c r="A7" s="626" t="s">
        <v>19792</v>
      </c>
      <c r="B7" s="626"/>
      <c r="C7" s="626"/>
      <c r="D7" s="1930">
        <v>1116</v>
      </c>
      <c r="E7" s="626" t="s">
        <v>39</v>
      </c>
      <c r="F7" s="626" t="s">
        <v>19879</v>
      </c>
      <c r="R7" s="207" t="s">
        <v>19798</v>
      </c>
      <c r="S7">
        <v>1773</v>
      </c>
      <c r="T7">
        <v>1195</v>
      </c>
      <c r="V7" t="s">
        <v>19882</v>
      </c>
      <c r="X7" t="s">
        <v>19787</v>
      </c>
    </row>
    <row r="8" spans="1:24" s="779" customFormat="1">
      <c r="A8" s="782" t="s">
        <v>19871</v>
      </c>
      <c r="B8" s="783"/>
      <c r="C8" s="783"/>
      <c r="D8" s="1931">
        <f>D7/2</f>
        <v>558</v>
      </c>
      <c r="E8" s="783" t="s">
        <v>39</v>
      </c>
      <c r="F8" s="786" t="s">
        <v>19877</v>
      </c>
      <c r="R8" s="207" t="s">
        <v>19799</v>
      </c>
      <c r="S8">
        <v>1857</v>
      </c>
      <c r="T8">
        <v>1225</v>
      </c>
      <c r="V8" s="779" t="s">
        <v>19883</v>
      </c>
      <c r="X8" s="779" t="s">
        <v>19884</v>
      </c>
    </row>
    <row r="9" spans="1:24">
      <c r="A9" s="104" t="s">
        <v>19875</v>
      </c>
      <c r="B9" s="104"/>
      <c r="C9" s="104"/>
      <c r="D9" s="715">
        <f>MIN(D3:D8)</f>
        <v>314.39999999999998</v>
      </c>
      <c r="E9" s="104" t="s">
        <v>39</v>
      </c>
      <c r="R9" s="207" t="s">
        <v>19800</v>
      </c>
      <c r="S9">
        <v>2110</v>
      </c>
      <c r="T9">
        <v>1228</v>
      </c>
    </row>
    <row r="10" spans="1:24">
      <c r="R10" s="207" t="s">
        <v>19801</v>
      </c>
      <c r="S10">
        <v>1930</v>
      </c>
      <c r="T10">
        <v>1347</v>
      </c>
    </row>
    <row r="11" spans="1:24">
      <c r="A11" s="207" t="s">
        <v>19890</v>
      </c>
      <c r="D11">
        <f>D9/0.6</f>
        <v>524</v>
      </c>
      <c r="E11" s="207" t="s">
        <v>39</v>
      </c>
      <c r="F11" s="207" t="str">
        <f>"Attachment Design Load / Dead Load Factor ("&amp;factors!$B$6&amp;")"</f>
        <v>Attachment Design Load / Dead Load Factor (0.6)</v>
      </c>
      <c r="R11" s="207" t="s">
        <v>19802</v>
      </c>
      <c r="S11">
        <v>2173</v>
      </c>
      <c r="T11">
        <v>1075</v>
      </c>
    </row>
    <row r="12" spans="1:24">
      <c r="A12" s="207" t="s">
        <v>19880</v>
      </c>
      <c r="D12" s="104">
        <f>D11/'1-Eng Inputs'!C38</f>
        <v>16.375</v>
      </c>
      <c r="E12" s="207" t="s">
        <v>295</v>
      </c>
      <c r="F12" s="207" t="str">
        <f>"Ballast to offset / Ballast Block Weight ("&amp;'1-Eng Inputs'!$C$38&amp;")"</f>
        <v>Ballast to offset / Ballast Block Weight (32)</v>
      </c>
      <c r="R12" s="207" t="s">
        <v>19803</v>
      </c>
      <c r="S12">
        <v>2012</v>
      </c>
      <c r="T12">
        <v>1187</v>
      </c>
    </row>
    <row r="13" spans="1:24">
      <c r="A13" s="207" t="s">
        <v>19892</v>
      </c>
      <c r="D13">
        <f>ROUNDDOWN(D12/IF('1-Eng Inputs'!C37="Landscape",MAX('Land Matrix 10deg (lift)'!F11:P12,'Land Matrix 10deg (lift)'!F14:P15,'Land Matrix 10deg (lift)'!F17:P18,'Land Matrix 10deg (lift)'!F20:P21,'Land Matrix 10deg (lift)'!F23:P24,'Land Matrix 10deg (lift)'!F26:P27,'Land Matrix 10deg (lift)'!F29:P30,'Land Matrix 10deg (lift)'!F32:P33,'Land Matrix 10deg (lift)'!F36:P36),MAX('Port Matrix (lift)'!F11:V12,'Port Matrix (lift)'!F14:V15,'Port Matrix (lift)'!F17:V18,'Port Matrix (lift)'!F20:V21,'Port Matrix (lift)'!F23:V24,'Port Matrix (lift)'!F26:V27,'Port Matrix (lift)'!F29:V30,'Port Matrix (lift)'!F32:V33,'Port Matrix (lift)'!F36:V36)),0)</f>
        <v>3</v>
      </c>
      <c r="E13" s="207" t="s">
        <v>19891</v>
      </c>
      <c r="R13" s="207" t="s">
        <v>19804</v>
      </c>
      <c r="S13">
        <v>1989</v>
      </c>
      <c r="T13">
        <v>1157</v>
      </c>
    </row>
    <row r="14" spans="1:24">
      <c r="R14" s="207" t="s">
        <v>19805</v>
      </c>
      <c r="S14">
        <v>1888</v>
      </c>
      <c r="T14">
        <v>1185</v>
      </c>
    </row>
    <row r="15" spans="1:24">
      <c r="R15" s="207" t="s">
        <v>19806</v>
      </c>
      <c r="S15">
        <v>1747</v>
      </c>
      <c r="T15">
        <v>1057</v>
      </c>
    </row>
    <row r="16" spans="1:24">
      <c r="R16" s="207" t="s">
        <v>19807</v>
      </c>
      <c r="S16">
        <v>1996</v>
      </c>
      <c r="T16">
        <v>1375</v>
      </c>
    </row>
    <row r="17" spans="18:20">
      <c r="R17" s="207" t="s">
        <v>19808</v>
      </c>
      <c r="S17">
        <v>2155</v>
      </c>
      <c r="T17">
        <v>1210</v>
      </c>
    </row>
    <row r="18" spans="18:20">
      <c r="R18" s="207" t="s">
        <v>19786</v>
      </c>
      <c r="S18" s="99">
        <f>AVERAGE(S3:S17)</f>
        <v>1968.3333333333333</v>
      </c>
      <c r="T18" s="99">
        <f>AVERAGE(T3:T17)</f>
        <v>1206.5333333333333</v>
      </c>
    </row>
    <row r="19" spans="18:20">
      <c r="R19" s="207" t="s">
        <v>19787</v>
      </c>
      <c r="S19" s="99">
        <f>STDEV(S3:S17)</f>
        <v>124.33633342480309</v>
      </c>
      <c r="T19" s="99">
        <f>STDEV(T3:T17)</f>
        <v>90.045120964568696</v>
      </c>
    </row>
    <row r="20" spans="18:20">
      <c r="R20" s="104" t="s">
        <v>19817</v>
      </c>
      <c r="S20" s="715">
        <f>S18-S19</f>
        <v>1843.9969999085301</v>
      </c>
      <c r="T20" s="715">
        <f>T18-T19</f>
        <v>1116.4882123687646</v>
      </c>
    </row>
    <row r="21" spans="18:20">
      <c r="R21" s="207" t="s">
        <v>19885</v>
      </c>
      <c r="S21">
        <f>S19/S18</f>
        <v>6.3168331968570579E-2</v>
      </c>
      <c r="T21">
        <f>T19/T18</f>
        <v>7.4631274973396527E-2</v>
      </c>
    </row>
    <row r="22" spans="18:20">
      <c r="R22" s="787" t="s">
        <v>19886</v>
      </c>
      <c r="S22">
        <f>1*EXP(-0.7*3*S21)</f>
        <v>0.875768495834366</v>
      </c>
      <c r="T22" s="780">
        <f>1*EXP(-0.7*3*T21)</f>
        <v>0.85493855558201548</v>
      </c>
    </row>
    <row r="23" spans="18:20">
      <c r="R23" s="207" t="s">
        <v>19887</v>
      </c>
      <c r="S23">
        <f>S22*S18</f>
        <v>1723.8043226339771</v>
      </c>
      <c r="T23" s="780">
        <f>T22*T18</f>
        <v>1031.5118652615545</v>
      </c>
    </row>
  </sheetData>
  <mergeCells count="1">
    <mergeCell ref="R1:T1"/>
  </mergeCells>
  <pageMargins left="0.7" right="0.7" top="0.75" bottom="0.75" header="0.3" footer="0.3"/>
  <pageSetup orientation="portrait" horizontalDpi="4294967292" verticalDpi="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1:H41874"/>
  <sheetViews>
    <sheetView zoomScaleNormal="100" workbookViewId="0">
      <selection activeCell="L30" sqref="L30"/>
    </sheetView>
  </sheetViews>
  <sheetFormatPr defaultColWidth="9.140625" defaultRowHeight="12.75"/>
  <cols>
    <col min="1" max="1" width="6" style="250" bestFit="1" customWidth="1"/>
    <col min="2" max="2" width="27.140625" style="74" bestFit="1" customWidth="1"/>
    <col min="3" max="3" width="7.7109375" style="74" bestFit="1" customWidth="1"/>
    <col min="4" max="4" width="9.140625" style="74"/>
    <col min="5" max="5" width="11.140625" style="74" bestFit="1" customWidth="1"/>
    <col min="6" max="16384" width="9.140625" style="74"/>
  </cols>
  <sheetData>
    <row r="1" spans="1:8">
      <c r="E1" s="74" t="s">
        <v>465</v>
      </c>
      <c r="F1" s="74" t="s">
        <v>466</v>
      </c>
    </row>
    <row r="2" spans="1:8">
      <c r="A2" s="250" t="s">
        <v>19230</v>
      </c>
      <c r="B2" s="74" t="s">
        <v>19231</v>
      </c>
      <c r="C2" s="74" t="s">
        <v>19232</v>
      </c>
      <c r="E2" s="249">
        <f>'1-Eng Inputs'!$C$10</f>
        <v>89523</v>
      </c>
      <c r="F2" s="74" t="str">
        <f>IFERROR(IF(VLOOKUP(E2,A3:C41874,3)="CA","YES","NO"),"NO")</f>
        <v>NO</v>
      </c>
    </row>
    <row r="3" spans="1:8">
      <c r="B3" s="74" t="s">
        <v>470</v>
      </c>
      <c r="C3" s="74" t="s">
        <v>443</v>
      </c>
    </row>
    <row r="4" spans="1:8">
      <c r="A4" s="250">
        <v>601</v>
      </c>
      <c r="B4" s="74" t="s">
        <v>471</v>
      </c>
      <c r="C4" s="74" t="s">
        <v>472</v>
      </c>
    </row>
    <row r="5" spans="1:8">
      <c r="A5" s="250">
        <v>602</v>
      </c>
      <c r="B5" s="74" t="s">
        <v>473</v>
      </c>
      <c r="C5" s="74" t="s">
        <v>472</v>
      </c>
    </row>
    <row r="6" spans="1:8">
      <c r="A6" s="250">
        <v>603</v>
      </c>
      <c r="B6" s="74" t="s">
        <v>474</v>
      </c>
      <c r="C6" s="74" t="s">
        <v>472</v>
      </c>
    </row>
    <row r="7" spans="1:8">
      <c r="A7" s="250">
        <v>604</v>
      </c>
      <c r="B7" s="74" t="s">
        <v>474</v>
      </c>
      <c r="C7" s="74" t="s">
        <v>472</v>
      </c>
    </row>
    <row r="8" spans="1:8">
      <c r="A8" s="250">
        <v>605</v>
      </c>
      <c r="B8" s="74" t="s">
        <v>474</v>
      </c>
      <c r="C8" s="74" t="s">
        <v>472</v>
      </c>
      <c r="H8" s="250"/>
    </row>
    <row r="9" spans="1:8">
      <c r="A9" s="250">
        <v>606</v>
      </c>
      <c r="B9" s="74" t="s">
        <v>475</v>
      </c>
      <c r="C9" s="74" t="s">
        <v>472</v>
      </c>
    </row>
    <row r="10" spans="1:8">
      <c r="A10" s="250">
        <v>610</v>
      </c>
      <c r="B10" s="74" t="s">
        <v>476</v>
      </c>
      <c r="C10" s="74" t="s">
        <v>472</v>
      </c>
    </row>
    <row r="11" spans="1:8">
      <c r="A11" s="250">
        <v>611</v>
      </c>
      <c r="B11" s="74" t="s">
        <v>477</v>
      </c>
      <c r="C11" s="74" t="s">
        <v>472</v>
      </c>
    </row>
    <row r="12" spans="1:8">
      <c r="A12" s="250">
        <v>612</v>
      </c>
      <c r="B12" s="74" t="s">
        <v>478</v>
      </c>
      <c r="C12" s="74" t="s">
        <v>472</v>
      </c>
    </row>
    <row r="13" spans="1:8">
      <c r="A13" s="250">
        <v>613</v>
      </c>
      <c r="B13" s="74" t="s">
        <v>478</v>
      </c>
      <c r="C13" s="74" t="s">
        <v>472</v>
      </c>
    </row>
    <row r="14" spans="1:8">
      <c r="A14" s="250">
        <v>614</v>
      </c>
      <c r="B14" s="74" t="s">
        <v>478</v>
      </c>
      <c r="C14" s="74" t="s">
        <v>472</v>
      </c>
    </row>
    <row r="15" spans="1:8">
      <c r="A15" s="250">
        <v>616</v>
      </c>
      <c r="B15" s="74" t="s">
        <v>479</v>
      </c>
      <c r="C15" s="74" t="s">
        <v>472</v>
      </c>
    </row>
    <row r="16" spans="1:8">
      <c r="A16" s="250">
        <v>617</v>
      </c>
      <c r="B16" s="74" t="s">
        <v>480</v>
      </c>
      <c r="C16" s="74" t="s">
        <v>472</v>
      </c>
    </row>
    <row r="17" spans="1:3">
      <c r="A17" s="250">
        <v>622</v>
      </c>
      <c r="B17" s="74" t="s">
        <v>481</v>
      </c>
      <c r="C17" s="74" t="s">
        <v>472</v>
      </c>
    </row>
    <row r="18" spans="1:3">
      <c r="A18" s="250">
        <v>623</v>
      </c>
      <c r="B18" s="74" t="s">
        <v>482</v>
      </c>
      <c r="C18" s="74" t="s">
        <v>472</v>
      </c>
    </row>
    <row r="19" spans="1:3">
      <c r="A19" s="250">
        <v>624</v>
      </c>
      <c r="B19" s="74" t="s">
        <v>483</v>
      </c>
      <c r="C19" s="74" t="s">
        <v>472</v>
      </c>
    </row>
    <row r="20" spans="1:3">
      <c r="A20" s="250">
        <v>627</v>
      </c>
      <c r="B20" s="74" t="s">
        <v>484</v>
      </c>
      <c r="C20" s="74" t="s">
        <v>472</v>
      </c>
    </row>
    <row r="21" spans="1:3">
      <c r="A21" s="250">
        <v>631</v>
      </c>
      <c r="B21" s="74" t="s">
        <v>485</v>
      </c>
      <c r="C21" s="74" t="s">
        <v>472</v>
      </c>
    </row>
    <row r="22" spans="1:3">
      <c r="A22" s="250">
        <v>636</v>
      </c>
      <c r="B22" s="74" t="s">
        <v>486</v>
      </c>
      <c r="C22" s="74" t="s">
        <v>472</v>
      </c>
    </row>
    <row r="23" spans="1:3">
      <c r="A23" s="250">
        <v>637</v>
      </c>
      <c r="B23" s="74" t="s">
        <v>487</v>
      </c>
      <c r="C23" s="74" t="s">
        <v>472</v>
      </c>
    </row>
    <row r="24" spans="1:3">
      <c r="A24" s="250">
        <v>638</v>
      </c>
      <c r="B24" s="74" t="s">
        <v>488</v>
      </c>
      <c r="C24" s="74" t="s">
        <v>472</v>
      </c>
    </row>
    <row r="25" spans="1:3">
      <c r="A25" s="250">
        <v>641</v>
      </c>
      <c r="B25" s="74" t="s">
        <v>489</v>
      </c>
      <c r="C25" s="74" t="s">
        <v>472</v>
      </c>
    </row>
    <row r="26" spans="1:3">
      <c r="A26" s="250">
        <v>646</v>
      </c>
      <c r="B26" s="74" t="s">
        <v>490</v>
      </c>
      <c r="C26" s="74" t="s">
        <v>472</v>
      </c>
    </row>
    <row r="27" spans="1:3">
      <c r="A27" s="250">
        <v>647</v>
      </c>
      <c r="B27" s="74" t="s">
        <v>491</v>
      </c>
      <c r="C27" s="74" t="s">
        <v>472</v>
      </c>
    </row>
    <row r="28" spans="1:3">
      <c r="A28" s="250">
        <v>650</v>
      </c>
      <c r="B28" s="74" t="s">
        <v>492</v>
      </c>
      <c r="C28" s="74" t="s">
        <v>472</v>
      </c>
    </row>
    <row r="29" spans="1:3">
      <c r="A29" s="250">
        <v>652</v>
      </c>
      <c r="B29" s="74" t="s">
        <v>493</v>
      </c>
      <c r="C29" s="74" t="s">
        <v>472</v>
      </c>
    </row>
    <row r="30" spans="1:3">
      <c r="A30" s="250">
        <v>653</v>
      </c>
      <c r="B30" s="74" t="s">
        <v>494</v>
      </c>
      <c r="C30" s="74" t="s">
        <v>472</v>
      </c>
    </row>
    <row r="31" spans="1:3">
      <c r="A31" s="250">
        <v>656</v>
      </c>
      <c r="B31" s="74" t="s">
        <v>495</v>
      </c>
      <c r="C31" s="74" t="s">
        <v>472</v>
      </c>
    </row>
    <row r="32" spans="1:3">
      <c r="A32" s="250">
        <v>659</v>
      </c>
      <c r="B32" s="74" t="s">
        <v>496</v>
      </c>
      <c r="C32" s="74" t="s">
        <v>472</v>
      </c>
    </row>
    <row r="33" spans="1:3">
      <c r="A33" s="250">
        <v>660</v>
      </c>
      <c r="B33" s="74" t="s">
        <v>497</v>
      </c>
      <c r="C33" s="74" t="s">
        <v>472</v>
      </c>
    </row>
    <row r="34" spans="1:3">
      <c r="A34" s="250">
        <v>662</v>
      </c>
      <c r="B34" s="74" t="s">
        <v>498</v>
      </c>
      <c r="C34" s="74" t="s">
        <v>472</v>
      </c>
    </row>
    <row r="35" spans="1:3">
      <c r="A35" s="250">
        <v>664</v>
      </c>
      <c r="B35" s="74" t="s">
        <v>499</v>
      </c>
      <c r="C35" s="74" t="s">
        <v>472</v>
      </c>
    </row>
    <row r="36" spans="1:3">
      <c r="A36" s="250">
        <v>667</v>
      </c>
      <c r="B36" s="74" t="s">
        <v>500</v>
      </c>
      <c r="C36" s="74" t="s">
        <v>472</v>
      </c>
    </row>
    <row r="37" spans="1:3">
      <c r="A37" s="250">
        <v>669</v>
      </c>
      <c r="B37" s="74" t="s">
        <v>501</v>
      </c>
      <c r="C37" s="74" t="s">
        <v>472</v>
      </c>
    </row>
    <row r="38" spans="1:3">
      <c r="A38" s="250">
        <v>670</v>
      </c>
      <c r="B38" s="74" t="s">
        <v>502</v>
      </c>
      <c r="C38" s="74" t="s">
        <v>472</v>
      </c>
    </row>
    <row r="39" spans="1:3">
      <c r="A39" s="250">
        <v>674</v>
      </c>
      <c r="B39" s="74" t="s">
        <v>503</v>
      </c>
      <c r="C39" s="74" t="s">
        <v>472</v>
      </c>
    </row>
    <row r="40" spans="1:3">
      <c r="A40" s="250">
        <v>676</v>
      </c>
      <c r="B40" s="74" t="s">
        <v>504</v>
      </c>
      <c r="C40" s="74" t="s">
        <v>472</v>
      </c>
    </row>
    <row r="41" spans="1:3">
      <c r="A41" s="250">
        <v>677</v>
      </c>
      <c r="B41" s="74" t="s">
        <v>505</v>
      </c>
      <c r="C41" s="74" t="s">
        <v>472</v>
      </c>
    </row>
    <row r="42" spans="1:3">
      <c r="A42" s="250">
        <v>678</v>
      </c>
      <c r="B42" s="74" t="s">
        <v>506</v>
      </c>
      <c r="C42" s="74" t="s">
        <v>472</v>
      </c>
    </row>
    <row r="43" spans="1:3">
      <c r="A43" s="250">
        <v>680</v>
      </c>
      <c r="B43" s="74" t="s">
        <v>507</v>
      </c>
      <c r="C43" s="74" t="s">
        <v>472</v>
      </c>
    </row>
    <row r="44" spans="1:3">
      <c r="A44" s="250">
        <v>681</v>
      </c>
      <c r="B44" s="74" t="s">
        <v>507</v>
      </c>
      <c r="C44" s="74" t="s">
        <v>472</v>
      </c>
    </row>
    <row r="45" spans="1:3">
      <c r="A45" s="250">
        <v>682</v>
      </c>
      <c r="B45" s="74" t="s">
        <v>507</v>
      </c>
      <c r="C45" s="74" t="s">
        <v>472</v>
      </c>
    </row>
    <row r="46" spans="1:3">
      <c r="A46" s="250">
        <v>683</v>
      </c>
      <c r="B46" s="74" t="s">
        <v>508</v>
      </c>
      <c r="C46" s="74" t="s">
        <v>472</v>
      </c>
    </row>
    <row r="47" spans="1:3">
      <c r="A47" s="250">
        <v>685</v>
      </c>
      <c r="B47" s="74" t="s">
        <v>509</v>
      </c>
      <c r="C47" s="74" t="s">
        <v>472</v>
      </c>
    </row>
    <row r="48" spans="1:3">
      <c r="A48" s="250">
        <v>687</v>
      </c>
      <c r="B48" s="74" t="s">
        <v>510</v>
      </c>
      <c r="C48" s="74" t="s">
        <v>472</v>
      </c>
    </row>
    <row r="49" spans="1:3">
      <c r="A49" s="250">
        <v>688</v>
      </c>
      <c r="B49" s="74" t="s">
        <v>511</v>
      </c>
      <c r="C49" s="74" t="s">
        <v>472</v>
      </c>
    </row>
    <row r="50" spans="1:3">
      <c r="A50" s="250">
        <v>690</v>
      </c>
      <c r="B50" s="74" t="s">
        <v>512</v>
      </c>
      <c r="C50" s="74" t="s">
        <v>472</v>
      </c>
    </row>
    <row r="51" spans="1:3">
      <c r="A51" s="250">
        <v>692</v>
      </c>
      <c r="B51" s="74" t="s">
        <v>513</v>
      </c>
      <c r="C51" s="74" t="s">
        <v>472</v>
      </c>
    </row>
    <row r="52" spans="1:3">
      <c r="A52" s="250">
        <v>693</v>
      </c>
      <c r="B52" s="74" t="s">
        <v>514</v>
      </c>
      <c r="C52" s="74" t="s">
        <v>472</v>
      </c>
    </row>
    <row r="53" spans="1:3">
      <c r="A53" s="250">
        <v>694</v>
      </c>
      <c r="B53" s="74" t="s">
        <v>514</v>
      </c>
      <c r="C53" s="74" t="s">
        <v>472</v>
      </c>
    </row>
    <row r="54" spans="1:3">
      <c r="A54" s="250">
        <v>698</v>
      </c>
      <c r="B54" s="74" t="s">
        <v>515</v>
      </c>
      <c r="C54" s="74" t="s">
        <v>472</v>
      </c>
    </row>
    <row r="55" spans="1:3">
      <c r="A55" s="250">
        <v>703</v>
      </c>
      <c r="B55" s="74" t="s">
        <v>516</v>
      </c>
      <c r="C55" s="74" t="s">
        <v>472</v>
      </c>
    </row>
    <row r="56" spans="1:3">
      <c r="A56" s="250">
        <v>704</v>
      </c>
      <c r="B56" s="74" t="s">
        <v>517</v>
      </c>
      <c r="C56" s="74" t="s">
        <v>472</v>
      </c>
    </row>
    <row r="57" spans="1:3">
      <c r="A57" s="250">
        <v>705</v>
      </c>
      <c r="B57" s="74" t="s">
        <v>518</v>
      </c>
      <c r="C57" s="74" t="s">
        <v>472</v>
      </c>
    </row>
    <row r="58" spans="1:3">
      <c r="A58" s="250">
        <v>707</v>
      </c>
      <c r="B58" s="74" t="s">
        <v>519</v>
      </c>
      <c r="C58" s="74" t="s">
        <v>472</v>
      </c>
    </row>
    <row r="59" spans="1:3">
      <c r="A59" s="250">
        <v>714</v>
      </c>
      <c r="B59" s="74" t="s">
        <v>520</v>
      </c>
      <c r="C59" s="74" t="s">
        <v>472</v>
      </c>
    </row>
    <row r="60" spans="1:3">
      <c r="A60" s="250">
        <v>715</v>
      </c>
      <c r="B60" s="74" t="s">
        <v>521</v>
      </c>
      <c r="C60" s="74" t="s">
        <v>472</v>
      </c>
    </row>
    <row r="61" spans="1:3">
      <c r="A61" s="250">
        <v>716</v>
      </c>
      <c r="B61" s="74" t="s">
        <v>522</v>
      </c>
      <c r="C61" s="74" t="s">
        <v>472</v>
      </c>
    </row>
    <row r="62" spans="1:3">
      <c r="A62" s="250">
        <v>717</v>
      </c>
      <c r="B62" s="74" t="s">
        <v>522</v>
      </c>
      <c r="C62" s="74" t="s">
        <v>472</v>
      </c>
    </row>
    <row r="63" spans="1:3">
      <c r="A63" s="250">
        <v>718</v>
      </c>
      <c r="B63" s="74" t="s">
        <v>523</v>
      </c>
      <c r="C63" s="74" t="s">
        <v>472</v>
      </c>
    </row>
    <row r="64" spans="1:3">
      <c r="A64" s="250">
        <v>719</v>
      </c>
      <c r="B64" s="74" t="s">
        <v>524</v>
      </c>
      <c r="C64" s="74" t="s">
        <v>472</v>
      </c>
    </row>
    <row r="65" spans="1:3">
      <c r="A65" s="250">
        <v>720</v>
      </c>
      <c r="B65" s="74" t="s">
        <v>525</v>
      </c>
      <c r="C65" s="74" t="s">
        <v>472</v>
      </c>
    </row>
    <row r="66" spans="1:3">
      <c r="A66" s="250">
        <v>721</v>
      </c>
      <c r="B66" s="74" t="s">
        <v>526</v>
      </c>
      <c r="C66" s="74" t="s">
        <v>472</v>
      </c>
    </row>
    <row r="67" spans="1:3">
      <c r="A67" s="250">
        <v>723</v>
      </c>
      <c r="B67" s="74" t="s">
        <v>527</v>
      </c>
      <c r="C67" s="74" t="s">
        <v>472</v>
      </c>
    </row>
    <row r="68" spans="1:3">
      <c r="A68" s="250">
        <v>725</v>
      </c>
      <c r="B68" s="74" t="s">
        <v>528</v>
      </c>
      <c r="C68" s="74" t="s">
        <v>472</v>
      </c>
    </row>
    <row r="69" spans="1:3">
      <c r="A69" s="250">
        <v>726</v>
      </c>
      <c r="B69" s="74" t="s">
        <v>528</v>
      </c>
      <c r="C69" s="74" t="s">
        <v>472</v>
      </c>
    </row>
    <row r="70" spans="1:3">
      <c r="A70" s="250">
        <v>727</v>
      </c>
      <c r="B70" s="74" t="s">
        <v>528</v>
      </c>
      <c r="C70" s="74" t="s">
        <v>472</v>
      </c>
    </row>
    <row r="71" spans="1:3">
      <c r="A71" s="250">
        <v>728</v>
      </c>
      <c r="B71" s="74" t="s">
        <v>522</v>
      </c>
      <c r="C71" s="74" t="s">
        <v>472</v>
      </c>
    </row>
    <row r="72" spans="1:3">
      <c r="A72" s="250">
        <v>729</v>
      </c>
      <c r="B72" s="74" t="s">
        <v>529</v>
      </c>
      <c r="C72" s="74" t="s">
        <v>472</v>
      </c>
    </row>
    <row r="73" spans="1:3">
      <c r="A73" s="250">
        <v>730</v>
      </c>
      <c r="B73" s="74" t="s">
        <v>522</v>
      </c>
      <c r="C73" s="74" t="s">
        <v>472</v>
      </c>
    </row>
    <row r="74" spans="1:3">
      <c r="A74" s="250">
        <v>731</v>
      </c>
      <c r="B74" s="74" t="s">
        <v>522</v>
      </c>
      <c r="C74" s="74" t="s">
        <v>472</v>
      </c>
    </row>
    <row r="75" spans="1:3">
      <c r="A75" s="250">
        <v>732</v>
      </c>
      <c r="B75" s="74" t="s">
        <v>522</v>
      </c>
      <c r="C75" s="74" t="s">
        <v>472</v>
      </c>
    </row>
    <row r="76" spans="1:3">
      <c r="A76" s="250">
        <v>733</v>
      </c>
      <c r="B76" s="74" t="s">
        <v>522</v>
      </c>
      <c r="C76" s="74" t="s">
        <v>472</v>
      </c>
    </row>
    <row r="77" spans="1:3">
      <c r="A77" s="250">
        <v>734</v>
      </c>
      <c r="B77" s="74" t="s">
        <v>522</v>
      </c>
      <c r="C77" s="74" t="s">
        <v>472</v>
      </c>
    </row>
    <row r="78" spans="1:3">
      <c r="A78" s="250">
        <v>735</v>
      </c>
      <c r="B78" s="74" t="s">
        <v>530</v>
      </c>
      <c r="C78" s="74" t="s">
        <v>472</v>
      </c>
    </row>
    <row r="79" spans="1:3">
      <c r="A79" s="250">
        <v>736</v>
      </c>
      <c r="B79" s="74" t="s">
        <v>531</v>
      </c>
      <c r="C79" s="74" t="s">
        <v>472</v>
      </c>
    </row>
    <row r="80" spans="1:3">
      <c r="A80" s="250">
        <v>737</v>
      </c>
      <c r="B80" s="74" t="s">
        <v>531</v>
      </c>
      <c r="C80" s="74" t="s">
        <v>472</v>
      </c>
    </row>
    <row r="81" spans="1:3">
      <c r="A81" s="250">
        <v>738</v>
      </c>
      <c r="B81" s="74" t="s">
        <v>532</v>
      </c>
      <c r="C81" s="74" t="s">
        <v>472</v>
      </c>
    </row>
    <row r="82" spans="1:3">
      <c r="A82" s="250">
        <v>739</v>
      </c>
      <c r="B82" s="74" t="s">
        <v>533</v>
      </c>
      <c r="C82" s="74" t="s">
        <v>472</v>
      </c>
    </row>
    <row r="83" spans="1:3">
      <c r="A83" s="250">
        <v>740</v>
      </c>
      <c r="B83" s="74" t="s">
        <v>534</v>
      </c>
      <c r="C83" s="74" t="s">
        <v>472</v>
      </c>
    </row>
    <row r="84" spans="1:3">
      <c r="A84" s="250">
        <v>741</v>
      </c>
      <c r="B84" s="74" t="s">
        <v>535</v>
      </c>
      <c r="C84" s="74" t="s">
        <v>472</v>
      </c>
    </row>
    <row r="85" spans="1:3">
      <c r="A85" s="250">
        <v>742</v>
      </c>
      <c r="B85" s="74" t="s">
        <v>536</v>
      </c>
      <c r="C85" s="74" t="s">
        <v>472</v>
      </c>
    </row>
    <row r="86" spans="1:3">
      <c r="A86" s="250">
        <v>744</v>
      </c>
      <c r="B86" s="74" t="s">
        <v>537</v>
      </c>
      <c r="C86" s="74" t="s">
        <v>472</v>
      </c>
    </row>
    <row r="87" spans="1:3">
      <c r="A87" s="250">
        <v>745</v>
      </c>
      <c r="B87" s="74" t="s">
        <v>538</v>
      </c>
      <c r="C87" s="74" t="s">
        <v>472</v>
      </c>
    </row>
    <row r="88" spans="1:3">
      <c r="A88" s="250">
        <v>751</v>
      </c>
      <c r="B88" s="74" t="s">
        <v>539</v>
      </c>
      <c r="C88" s="74" t="s">
        <v>472</v>
      </c>
    </row>
    <row r="89" spans="1:3">
      <c r="A89" s="250">
        <v>754</v>
      </c>
      <c r="B89" s="74" t="s">
        <v>540</v>
      </c>
      <c r="C89" s="74" t="s">
        <v>472</v>
      </c>
    </row>
    <row r="90" spans="1:3">
      <c r="A90" s="250">
        <v>757</v>
      </c>
      <c r="B90" s="74" t="s">
        <v>541</v>
      </c>
      <c r="C90" s="74" t="s">
        <v>472</v>
      </c>
    </row>
    <row r="91" spans="1:3">
      <c r="A91" s="250">
        <v>765</v>
      </c>
      <c r="B91" s="74" t="s">
        <v>542</v>
      </c>
      <c r="C91" s="74" t="s">
        <v>472</v>
      </c>
    </row>
    <row r="92" spans="1:3">
      <c r="A92" s="250">
        <v>766</v>
      </c>
      <c r="B92" s="74" t="s">
        <v>543</v>
      </c>
      <c r="C92" s="74" t="s">
        <v>472</v>
      </c>
    </row>
    <row r="93" spans="1:3">
      <c r="A93" s="250">
        <v>767</v>
      </c>
      <c r="B93" s="74" t="s">
        <v>544</v>
      </c>
      <c r="C93" s="74" t="s">
        <v>472</v>
      </c>
    </row>
    <row r="94" spans="1:3">
      <c r="A94" s="250">
        <v>769</v>
      </c>
      <c r="B94" s="74" t="s">
        <v>545</v>
      </c>
      <c r="C94" s="74" t="s">
        <v>472</v>
      </c>
    </row>
    <row r="95" spans="1:3">
      <c r="A95" s="250">
        <v>771</v>
      </c>
      <c r="B95" s="74" t="s">
        <v>546</v>
      </c>
      <c r="C95" s="74" t="s">
        <v>472</v>
      </c>
    </row>
    <row r="96" spans="1:3">
      <c r="A96" s="250">
        <v>772</v>
      </c>
      <c r="B96" s="74" t="s">
        <v>547</v>
      </c>
      <c r="C96" s="74" t="s">
        <v>472</v>
      </c>
    </row>
    <row r="97" spans="1:3">
      <c r="A97" s="250">
        <v>773</v>
      </c>
      <c r="B97" s="74" t="s">
        <v>548</v>
      </c>
      <c r="C97" s="74" t="s">
        <v>472</v>
      </c>
    </row>
    <row r="98" spans="1:3">
      <c r="A98" s="250">
        <v>775</v>
      </c>
      <c r="B98" s="74" t="s">
        <v>549</v>
      </c>
      <c r="C98" s="74" t="s">
        <v>472</v>
      </c>
    </row>
    <row r="99" spans="1:3">
      <c r="A99" s="250">
        <v>777</v>
      </c>
      <c r="B99" s="74" t="s">
        <v>550</v>
      </c>
      <c r="C99" s="74" t="s">
        <v>472</v>
      </c>
    </row>
    <row r="100" spans="1:3">
      <c r="A100" s="250">
        <v>778</v>
      </c>
      <c r="B100" s="74" t="s">
        <v>551</v>
      </c>
      <c r="C100" s="74" t="s">
        <v>472</v>
      </c>
    </row>
    <row r="101" spans="1:3">
      <c r="A101" s="250">
        <v>780</v>
      </c>
      <c r="B101" s="74" t="s">
        <v>552</v>
      </c>
      <c r="C101" s="74" t="s">
        <v>472</v>
      </c>
    </row>
    <row r="102" spans="1:3">
      <c r="A102" s="250">
        <v>782</v>
      </c>
      <c r="B102" s="74" t="s">
        <v>553</v>
      </c>
      <c r="C102" s="74" t="s">
        <v>472</v>
      </c>
    </row>
    <row r="103" spans="1:3">
      <c r="A103" s="250">
        <v>783</v>
      </c>
      <c r="B103" s="74" t="s">
        <v>554</v>
      </c>
      <c r="C103" s="74" t="s">
        <v>472</v>
      </c>
    </row>
    <row r="104" spans="1:3">
      <c r="A104" s="250">
        <v>784</v>
      </c>
      <c r="B104" s="74" t="s">
        <v>555</v>
      </c>
      <c r="C104" s="74" t="s">
        <v>472</v>
      </c>
    </row>
    <row r="105" spans="1:3">
      <c r="A105" s="250">
        <v>785</v>
      </c>
      <c r="B105" s="74" t="s">
        <v>555</v>
      </c>
      <c r="C105" s="74" t="s">
        <v>472</v>
      </c>
    </row>
    <row r="106" spans="1:3">
      <c r="A106" s="250">
        <v>786</v>
      </c>
      <c r="B106" s="74" t="s">
        <v>556</v>
      </c>
      <c r="C106" s="74" t="s">
        <v>472</v>
      </c>
    </row>
    <row r="107" spans="1:3">
      <c r="A107" s="250">
        <v>791</v>
      </c>
      <c r="B107" s="74" t="s">
        <v>557</v>
      </c>
      <c r="C107" s="74" t="s">
        <v>472</v>
      </c>
    </row>
    <row r="108" spans="1:3">
      <c r="A108" s="250">
        <v>792</v>
      </c>
      <c r="B108" s="74" t="s">
        <v>557</v>
      </c>
      <c r="C108" s="74" t="s">
        <v>472</v>
      </c>
    </row>
    <row r="109" spans="1:3">
      <c r="A109" s="250">
        <v>794</v>
      </c>
      <c r="B109" s="74" t="s">
        <v>558</v>
      </c>
      <c r="C109" s="74" t="s">
        <v>472</v>
      </c>
    </row>
    <row r="110" spans="1:3">
      <c r="A110" s="250">
        <v>795</v>
      </c>
      <c r="B110" s="74" t="s">
        <v>559</v>
      </c>
      <c r="C110" s="74" t="s">
        <v>472</v>
      </c>
    </row>
    <row r="111" spans="1:3">
      <c r="A111" s="250">
        <v>801</v>
      </c>
      <c r="B111" s="74" t="s">
        <v>560</v>
      </c>
      <c r="C111" s="74" t="s">
        <v>346</v>
      </c>
    </row>
    <row r="112" spans="1:3">
      <c r="A112" s="250">
        <v>802</v>
      </c>
      <c r="B112" s="74" t="s">
        <v>560</v>
      </c>
      <c r="C112" s="74" t="s">
        <v>346</v>
      </c>
    </row>
    <row r="113" spans="1:3">
      <c r="A113" s="250">
        <v>803</v>
      </c>
      <c r="B113" s="74" t="s">
        <v>560</v>
      </c>
      <c r="C113" s="74" t="s">
        <v>346</v>
      </c>
    </row>
    <row r="114" spans="1:3">
      <c r="A114" s="250">
        <v>804</v>
      </c>
      <c r="B114" s="74" t="s">
        <v>560</v>
      </c>
      <c r="C114" s="74" t="s">
        <v>346</v>
      </c>
    </row>
    <row r="115" spans="1:3">
      <c r="A115" s="250">
        <v>805</v>
      </c>
      <c r="B115" s="74" t="s">
        <v>560</v>
      </c>
      <c r="C115" s="74" t="s">
        <v>346</v>
      </c>
    </row>
    <row r="116" spans="1:3">
      <c r="A116" s="250">
        <v>820</v>
      </c>
      <c r="B116" s="74" t="s">
        <v>561</v>
      </c>
      <c r="C116" s="74" t="s">
        <v>346</v>
      </c>
    </row>
    <row r="117" spans="1:3">
      <c r="A117" s="250">
        <v>821</v>
      </c>
      <c r="B117" s="74" t="s">
        <v>561</v>
      </c>
      <c r="C117" s="74" t="s">
        <v>346</v>
      </c>
    </row>
    <row r="118" spans="1:3">
      <c r="A118" s="250">
        <v>822</v>
      </c>
      <c r="B118" s="74" t="s">
        <v>561</v>
      </c>
      <c r="C118" s="74" t="s">
        <v>346</v>
      </c>
    </row>
    <row r="119" spans="1:3">
      <c r="A119" s="250">
        <v>823</v>
      </c>
      <c r="B119" s="74" t="s">
        <v>561</v>
      </c>
      <c r="C119" s="74" t="s">
        <v>346</v>
      </c>
    </row>
    <row r="120" spans="1:3">
      <c r="A120" s="250">
        <v>824</v>
      </c>
      <c r="B120" s="74" t="s">
        <v>561</v>
      </c>
      <c r="C120" s="74" t="s">
        <v>346</v>
      </c>
    </row>
    <row r="121" spans="1:3">
      <c r="A121" s="250">
        <v>830</v>
      </c>
      <c r="B121" s="74" t="s">
        <v>562</v>
      </c>
      <c r="C121" s="74" t="s">
        <v>346</v>
      </c>
    </row>
    <row r="122" spans="1:3">
      <c r="A122" s="250">
        <v>831</v>
      </c>
      <c r="B122" s="74" t="s">
        <v>562</v>
      </c>
      <c r="C122" s="74" t="s">
        <v>346</v>
      </c>
    </row>
    <row r="123" spans="1:3">
      <c r="A123" s="250">
        <v>840</v>
      </c>
      <c r="B123" s="74" t="s">
        <v>563</v>
      </c>
      <c r="C123" s="74" t="s">
        <v>346</v>
      </c>
    </row>
    <row r="124" spans="1:3">
      <c r="A124" s="250">
        <v>841</v>
      </c>
      <c r="B124" s="74" t="s">
        <v>563</v>
      </c>
      <c r="C124" s="74" t="s">
        <v>346</v>
      </c>
    </row>
    <row r="125" spans="1:3">
      <c r="A125" s="250">
        <v>850</v>
      </c>
      <c r="B125" s="74" t="s">
        <v>564</v>
      </c>
      <c r="C125" s="74" t="s">
        <v>346</v>
      </c>
    </row>
    <row r="126" spans="1:3">
      <c r="A126" s="250">
        <v>851</v>
      </c>
      <c r="B126" s="74" t="s">
        <v>564</v>
      </c>
      <c r="C126" s="74" t="s">
        <v>346</v>
      </c>
    </row>
    <row r="127" spans="1:3">
      <c r="A127" s="250">
        <v>901</v>
      </c>
      <c r="B127" s="74" t="s">
        <v>565</v>
      </c>
      <c r="C127" s="74" t="s">
        <v>472</v>
      </c>
    </row>
    <row r="128" spans="1:3">
      <c r="A128" s="250">
        <v>902</v>
      </c>
      <c r="B128" s="74" t="s">
        <v>565</v>
      </c>
      <c r="C128" s="74" t="s">
        <v>472</v>
      </c>
    </row>
    <row r="129" spans="1:3">
      <c r="A129" s="250">
        <v>906</v>
      </c>
      <c r="B129" s="74" t="s">
        <v>565</v>
      </c>
      <c r="C129" s="74" t="s">
        <v>472</v>
      </c>
    </row>
    <row r="130" spans="1:3">
      <c r="A130" s="250">
        <v>907</v>
      </c>
      <c r="B130" s="74" t="s">
        <v>565</v>
      </c>
      <c r="C130" s="74" t="s">
        <v>472</v>
      </c>
    </row>
    <row r="131" spans="1:3">
      <c r="A131" s="250">
        <v>908</v>
      </c>
      <c r="B131" s="74" t="s">
        <v>565</v>
      </c>
      <c r="C131" s="74" t="s">
        <v>472</v>
      </c>
    </row>
    <row r="132" spans="1:3">
      <c r="A132" s="250">
        <v>909</v>
      </c>
      <c r="B132" s="74" t="s">
        <v>565</v>
      </c>
      <c r="C132" s="74" t="s">
        <v>472</v>
      </c>
    </row>
    <row r="133" spans="1:3">
      <c r="A133" s="250">
        <v>910</v>
      </c>
      <c r="B133" s="74" t="s">
        <v>565</v>
      </c>
      <c r="C133" s="74" t="s">
        <v>472</v>
      </c>
    </row>
    <row r="134" spans="1:3">
      <c r="A134" s="250">
        <v>911</v>
      </c>
      <c r="B134" s="74" t="s">
        <v>565</v>
      </c>
      <c r="C134" s="74" t="s">
        <v>472</v>
      </c>
    </row>
    <row r="135" spans="1:3">
      <c r="A135" s="250">
        <v>912</v>
      </c>
      <c r="B135" s="74" t="s">
        <v>565</v>
      </c>
      <c r="C135" s="74" t="s">
        <v>472</v>
      </c>
    </row>
    <row r="136" spans="1:3">
      <c r="A136" s="250">
        <v>913</v>
      </c>
      <c r="B136" s="74" t="s">
        <v>565</v>
      </c>
      <c r="C136" s="74" t="s">
        <v>472</v>
      </c>
    </row>
    <row r="137" spans="1:3">
      <c r="A137" s="250">
        <v>914</v>
      </c>
      <c r="B137" s="74" t="s">
        <v>565</v>
      </c>
      <c r="C137" s="74" t="s">
        <v>472</v>
      </c>
    </row>
    <row r="138" spans="1:3">
      <c r="A138" s="250">
        <v>915</v>
      </c>
      <c r="B138" s="74" t="s">
        <v>565</v>
      </c>
      <c r="C138" s="74" t="s">
        <v>472</v>
      </c>
    </row>
    <row r="139" spans="1:3">
      <c r="A139" s="250">
        <v>916</v>
      </c>
      <c r="B139" s="74" t="s">
        <v>565</v>
      </c>
      <c r="C139" s="74" t="s">
        <v>472</v>
      </c>
    </row>
    <row r="140" spans="1:3">
      <c r="A140" s="250">
        <v>917</v>
      </c>
      <c r="B140" s="74" t="s">
        <v>565</v>
      </c>
      <c r="C140" s="74" t="s">
        <v>472</v>
      </c>
    </row>
    <row r="141" spans="1:3">
      <c r="A141" s="250">
        <v>918</v>
      </c>
      <c r="B141" s="74" t="s">
        <v>565</v>
      </c>
      <c r="C141" s="74" t="s">
        <v>472</v>
      </c>
    </row>
    <row r="142" spans="1:3">
      <c r="A142" s="250">
        <v>919</v>
      </c>
      <c r="B142" s="74" t="s">
        <v>565</v>
      </c>
      <c r="C142" s="74" t="s">
        <v>472</v>
      </c>
    </row>
    <row r="143" spans="1:3">
      <c r="A143" s="250">
        <v>920</v>
      </c>
      <c r="B143" s="74" t="s">
        <v>565</v>
      </c>
      <c r="C143" s="74" t="s">
        <v>472</v>
      </c>
    </row>
    <row r="144" spans="1:3">
      <c r="A144" s="250">
        <v>921</v>
      </c>
      <c r="B144" s="74" t="s">
        <v>565</v>
      </c>
      <c r="C144" s="74" t="s">
        <v>472</v>
      </c>
    </row>
    <row r="145" spans="1:3">
      <c r="A145" s="250">
        <v>922</v>
      </c>
      <c r="B145" s="74" t="s">
        <v>565</v>
      </c>
      <c r="C145" s="74" t="s">
        <v>472</v>
      </c>
    </row>
    <row r="146" spans="1:3">
      <c r="A146" s="250">
        <v>923</v>
      </c>
      <c r="B146" s="74" t="s">
        <v>565</v>
      </c>
      <c r="C146" s="74" t="s">
        <v>472</v>
      </c>
    </row>
    <row r="147" spans="1:3">
      <c r="A147" s="250">
        <v>924</v>
      </c>
      <c r="B147" s="74" t="s">
        <v>565</v>
      </c>
      <c r="C147" s="74" t="s">
        <v>472</v>
      </c>
    </row>
    <row r="148" spans="1:3">
      <c r="A148" s="250">
        <v>925</v>
      </c>
      <c r="B148" s="74" t="s">
        <v>565</v>
      </c>
      <c r="C148" s="74" t="s">
        <v>472</v>
      </c>
    </row>
    <row r="149" spans="1:3">
      <c r="A149" s="250">
        <v>926</v>
      </c>
      <c r="B149" s="74" t="s">
        <v>565</v>
      </c>
      <c r="C149" s="74" t="s">
        <v>472</v>
      </c>
    </row>
    <row r="150" spans="1:3">
      <c r="A150" s="250">
        <v>927</v>
      </c>
      <c r="B150" s="74" t="s">
        <v>565</v>
      </c>
      <c r="C150" s="74" t="s">
        <v>472</v>
      </c>
    </row>
    <row r="151" spans="1:3">
      <c r="A151" s="250">
        <v>928</v>
      </c>
      <c r="B151" s="74" t="s">
        <v>565</v>
      </c>
      <c r="C151" s="74" t="s">
        <v>472</v>
      </c>
    </row>
    <row r="152" spans="1:3">
      <c r="A152" s="250">
        <v>929</v>
      </c>
      <c r="B152" s="74" t="s">
        <v>565</v>
      </c>
      <c r="C152" s="74" t="s">
        <v>472</v>
      </c>
    </row>
    <row r="153" spans="1:3">
      <c r="A153" s="250">
        <v>930</v>
      </c>
      <c r="B153" s="74" t="s">
        <v>565</v>
      </c>
      <c r="C153" s="74" t="s">
        <v>472</v>
      </c>
    </row>
    <row r="154" spans="1:3">
      <c r="A154" s="250">
        <v>931</v>
      </c>
      <c r="B154" s="74" t="s">
        <v>565</v>
      </c>
      <c r="C154" s="74" t="s">
        <v>472</v>
      </c>
    </row>
    <row r="155" spans="1:3">
      <c r="A155" s="250">
        <v>933</v>
      </c>
      <c r="B155" s="74" t="s">
        <v>565</v>
      </c>
      <c r="C155" s="74" t="s">
        <v>472</v>
      </c>
    </row>
    <row r="156" spans="1:3">
      <c r="A156" s="250">
        <v>934</v>
      </c>
      <c r="B156" s="74" t="s">
        <v>566</v>
      </c>
      <c r="C156" s="74" t="s">
        <v>472</v>
      </c>
    </row>
    <row r="157" spans="1:3">
      <c r="A157" s="250">
        <v>935</v>
      </c>
      <c r="B157" s="74" t="s">
        <v>565</v>
      </c>
      <c r="C157" s="74" t="s">
        <v>472</v>
      </c>
    </row>
    <row r="158" spans="1:3">
      <c r="A158" s="250">
        <v>936</v>
      </c>
      <c r="B158" s="74" t="s">
        <v>565</v>
      </c>
      <c r="C158" s="74" t="s">
        <v>472</v>
      </c>
    </row>
    <row r="159" spans="1:3">
      <c r="A159" s="250">
        <v>937</v>
      </c>
      <c r="B159" s="74" t="s">
        <v>565</v>
      </c>
      <c r="C159" s="74" t="s">
        <v>472</v>
      </c>
    </row>
    <row r="160" spans="1:3">
      <c r="A160" s="250">
        <v>939</v>
      </c>
      <c r="B160" s="74" t="s">
        <v>565</v>
      </c>
      <c r="C160" s="74" t="s">
        <v>472</v>
      </c>
    </row>
    <row r="161" spans="1:3">
      <c r="A161" s="250">
        <v>940</v>
      </c>
      <c r="B161" s="74" t="s">
        <v>565</v>
      </c>
      <c r="C161" s="74" t="s">
        <v>472</v>
      </c>
    </row>
    <row r="162" spans="1:3">
      <c r="A162" s="250">
        <v>949</v>
      </c>
      <c r="B162" s="74" t="s">
        <v>567</v>
      </c>
      <c r="C162" s="74" t="s">
        <v>472</v>
      </c>
    </row>
    <row r="163" spans="1:3">
      <c r="A163" s="250">
        <v>950</v>
      </c>
      <c r="B163" s="74" t="s">
        <v>567</v>
      </c>
      <c r="C163" s="74" t="s">
        <v>472</v>
      </c>
    </row>
    <row r="164" spans="1:3">
      <c r="A164" s="250">
        <v>951</v>
      </c>
      <c r="B164" s="74" t="s">
        <v>567</v>
      </c>
      <c r="C164" s="74" t="s">
        <v>472</v>
      </c>
    </row>
    <row r="165" spans="1:3">
      <c r="A165" s="250">
        <v>952</v>
      </c>
      <c r="B165" s="74" t="s">
        <v>568</v>
      </c>
      <c r="C165" s="74" t="s">
        <v>472</v>
      </c>
    </row>
    <row r="166" spans="1:3">
      <c r="A166" s="250">
        <v>953</v>
      </c>
      <c r="B166" s="74" t="s">
        <v>569</v>
      </c>
      <c r="C166" s="74" t="s">
        <v>472</v>
      </c>
    </row>
    <row r="167" spans="1:3">
      <c r="A167" s="250">
        <v>954</v>
      </c>
      <c r="B167" s="74" t="s">
        <v>569</v>
      </c>
      <c r="C167" s="74" t="s">
        <v>472</v>
      </c>
    </row>
    <row r="168" spans="1:3">
      <c r="A168" s="250">
        <v>955</v>
      </c>
      <c r="B168" s="74" t="s">
        <v>565</v>
      </c>
      <c r="C168" s="74" t="s">
        <v>472</v>
      </c>
    </row>
    <row r="169" spans="1:3">
      <c r="A169" s="250">
        <v>956</v>
      </c>
      <c r="B169" s="74" t="s">
        <v>570</v>
      </c>
      <c r="C169" s="74" t="s">
        <v>472</v>
      </c>
    </row>
    <row r="170" spans="1:3">
      <c r="A170" s="250">
        <v>957</v>
      </c>
      <c r="B170" s="74" t="s">
        <v>570</v>
      </c>
      <c r="C170" s="74" t="s">
        <v>472</v>
      </c>
    </row>
    <row r="171" spans="1:3">
      <c r="A171" s="250">
        <v>958</v>
      </c>
      <c r="B171" s="74" t="s">
        <v>570</v>
      </c>
      <c r="C171" s="74" t="s">
        <v>472</v>
      </c>
    </row>
    <row r="172" spans="1:3">
      <c r="A172" s="250">
        <v>959</v>
      </c>
      <c r="B172" s="74" t="s">
        <v>570</v>
      </c>
      <c r="C172" s="74" t="s">
        <v>472</v>
      </c>
    </row>
    <row r="173" spans="1:3">
      <c r="A173" s="250">
        <v>960</v>
      </c>
      <c r="B173" s="74" t="s">
        <v>570</v>
      </c>
      <c r="C173" s="74" t="s">
        <v>472</v>
      </c>
    </row>
    <row r="174" spans="1:3">
      <c r="A174" s="250">
        <v>961</v>
      </c>
      <c r="B174" s="74" t="s">
        <v>570</v>
      </c>
      <c r="C174" s="74" t="s">
        <v>472</v>
      </c>
    </row>
    <row r="175" spans="1:3">
      <c r="A175" s="250">
        <v>962</v>
      </c>
      <c r="B175" s="74" t="s">
        <v>571</v>
      </c>
      <c r="C175" s="74" t="s">
        <v>472</v>
      </c>
    </row>
    <row r="176" spans="1:3">
      <c r="A176" s="250">
        <v>963</v>
      </c>
      <c r="B176" s="74" t="s">
        <v>571</v>
      </c>
      <c r="C176" s="74" t="s">
        <v>472</v>
      </c>
    </row>
    <row r="177" spans="1:3">
      <c r="A177" s="250">
        <v>965</v>
      </c>
      <c r="B177" s="74" t="s">
        <v>572</v>
      </c>
      <c r="C177" s="74" t="s">
        <v>472</v>
      </c>
    </row>
    <row r="178" spans="1:3">
      <c r="A178" s="250">
        <v>966</v>
      </c>
      <c r="B178" s="74" t="s">
        <v>572</v>
      </c>
      <c r="C178" s="74" t="s">
        <v>472</v>
      </c>
    </row>
    <row r="179" spans="1:3">
      <c r="A179" s="250">
        <v>968</v>
      </c>
      <c r="B179" s="74" t="s">
        <v>572</v>
      </c>
      <c r="C179" s="74" t="s">
        <v>472</v>
      </c>
    </row>
    <row r="180" spans="1:3">
      <c r="A180" s="250">
        <v>969</v>
      </c>
      <c r="B180" s="74" t="s">
        <v>572</v>
      </c>
      <c r="C180" s="74" t="s">
        <v>472</v>
      </c>
    </row>
    <row r="181" spans="1:3">
      <c r="A181" s="250">
        <v>970</v>
      </c>
      <c r="B181" s="74" t="s">
        <v>572</v>
      </c>
      <c r="C181" s="74" t="s">
        <v>472</v>
      </c>
    </row>
    <row r="182" spans="1:3">
      <c r="A182" s="250">
        <v>971</v>
      </c>
      <c r="B182" s="74" t="s">
        <v>572</v>
      </c>
      <c r="C182" s="74" t="s">
        <v>472</v>
      </c>
    </row>
    <row r="183" spans="1:3">
      <c r="A183" s="250">
        <v>975</v>
      </c>
      <c r="B183" s="74" t="s">
        <v>565</v>
      </c>
      <c r="C183" s="74" t="s">
        <v>472</v>
      </c>
    </row>
    <row r="184" spans="1:3">
      <c r="A184" s="250">
        <v>976</v>
      </c>
      <c r="B184" s="74" t="s">
        <v>573</v>
      </c>
      <c r="C184" s="74" t="s">
        <v>472</v>
      </c>
    </row>
    <row r="185" spans="1:3">
      <c r="A185" s="250">
        <v>977</v>
      </c>
      <c r="B185" s="74" t="s">
        <v>573</v>
      </c>
      <c r="C185" s="74" t="s">
        <v>472</v>
      </c>
    </row>
    <row r="186" spans="1:3">
      <c r="A186" s="250">
        <v>978</v>
      </c>
      <c r="B186" s="74" t="s">
        <v>574</v>
      </c>
      <c r="C186" s="74" t="s">
        <v>472</v>
      </c>
    </row>
    <row r="187" spans="1:3">
      <c r="A187" s="250">
        <v>979</v>
      </c>
      <c r="B187" s="74" t="s">
        <v>575</v>
      </c>
      <c r="C187" s="74" t="s">
        <v>472</v>
      </c>
    </row>
    <row r="188" spans="1:3">
      <c r="A188" s="250">
        <v>981</v>
      </c>
      <c r="B188" s="74" t="s">
        <v>575</v>
      </c>
      <c r="C188" s="74" t="s">
        <v>472</v>
      </c>
    </row>
    <row r="189" spans="1:3">
      <c r="A189" s="250">
        <v>982</v>
      </c>
      <c r="B189" s="74" t="s">
        <v>575</v>
      </c>
      <c r="C189" s="74" t="s">
        <v>472</v>
      </c>
    </row>
    <row r="190" spans="1:3">
      <c r="A190" s="250">
        <v>983</v>
      </c>
      <c r="B190" s="74" t="s">
        <v>575</v>
      </c>
      <c r="C190" s="74" t="s">
        <v>472</v>
      </c>
    </row>
    <row r="191" spans="1:3">
      <c r="A191" s="250">
        <v>984</v>
      </c>
      <c r="B191" s="74" t="s">
        <v>575</v>
      </c>
      <c r="C191" s="74" t="s">
        <v>472</v>
      </c>
    </row>
    <row r="192" spans="1:3">
      <c r="A192" s="250">
        <v>985</v>
      </c>
      <c r="B192" s="74" t="s">
        <v>575</v>
      </c>
      <c r="C192" s="74" t="s">
        <v>472</v>
      </c>
    </row>
    <row r="193" spans="1:3">
      <c r="A193" s="250">
        <v>986</v>
      </c>
      <c r="B193" s="74" t="s">
        <v>575</v>
      </c>
      <c r="C193" s="74" t="s">
        <v>472</v>
      </c>
    </row>
    <row r="194" spans="1:3">
      <c r="A194" s="250">
        <v>987</v>
      </c>
      <c r="B194" s="74" t="s">
        <v>575</v>
      </c>
      <c r="C194" s="74" t="s">
        <v>472</v>
      </c>
    </row>
    <row r="195" spans="1:3">
      <c r="A195" s="250">
        <v>988</v>
      </c>
      <c r="B195" s="74" t="s">
        <v>575</v>
      </c>
      <c r="C195" s="74" t="s">
        <v>472</v>
      </c>
    </row>
    <row r="196" spans="1:3">
      <c r="A196" s="250">
        <v>1001</v>
      </c>
      <c r="B196" s="74" t="s">
        <v>576</v>
      </c>
      <c r="C196" s="74" t="s">
        <v>432</v>
      </c>
    </row>
    <row r="197" spans="1:3">
      <c r="A197" s="250">
        <v>1002</v>
      </c>
      <c r="B197" s="74" t="s">
        <v>577</v>
      </c>
      <c r="C197" s="74" t="s">
        <v>432</v>
      </c>
    </row>
    <row r="198" spans="1:3">
      <c r="A198" s="250">
        <v>1003</v>
      </c>
      <c r="B198" s="74" t="s">
        <v>577</v>
      </c>
      <c r="C198" s="74" t="s">
        <v>432</v>
      </c>
    </row>
    <row r="199" spans="1:3">
      <c r="A199" s="250">
        <v>1004</v>
      </c>
      <c r="B199" s="74" t="s">
        <v>577</v>
      </c>
      <c r="C199" s="74" t="s">
        <v>432</v>
      </c>
    </row>
    <row r="200" spans="1:3">
      <c r="A200" s="250">
        <v>1005</v>
      </c>
      <c r="B200" s="74" t="s">
        <v>578</v>
      </c>
      <c r="C200" s="74" t="s">
        <v>432</v>
      </c>
    </row>
    <row r="201" spans="1:3">
      <c r="A201" s="250">
        <v>1007</v>
      </c>
      <c r="B201" s="74" t="s">
        <v>579</v>
      </c>
      <c r="C201" s="74" t="s">
        <v>432</v>
      </c>
    </row>
    <row r="202" spans="1:3">
      <c r="A202" s="250">
        <v>1008</v>
      </c>
      <c r="B202" s="74" t="s">
        <v>580</v>
      </c>
      <c r="C202" s="74" t="s">
        <v>432</v>
      </c>
    </row>
    <row r="203" spans="1:3">
      <c r="A203" s="250">
        <v>1009</v>
      </c>
      <c r="B203" s="74" t="s">
        <v>581</v>
      </c>
      <c r="C203" s="74" t="s">
        <v>432</v>
      </c>
    </row>
    <row r="204" spans="1:3">
      <c r="A204" s="250">
        <v>1010</v>
      </c>
      <c r="B204" s="74" t="s">
        <v>582</v>
      </c>
      <c r="C204" s="74" t="s">
        <v>432</v>
      </c>
    </row>
    <row r="205" spans="1:3">
      <c r="A205" s="250">
        <v>1011</v>
      </c>
      <c r="B205" s="74" t="s">
        <v>583</v>
      </c>
      <c r="C205" s="74" t="s">
        <v>432</v>
      </c>
    </row>
    <row r="206" spans="1:3">
      <c r="A206" s="250">
        <v>1012</v>
      </c>
      <c r="B206" s="74" t="s">
        <v>584</v>
      </c>
      <c r="C206" s="74" t="s">
        <v>432</v>
      </c>
    </row>
    <row r="207" spans="1:3">
      <c r="A207" s="250">
        <v>1013</v>
      </c>
      <c r="B207" s="74" t="s">
        <v>585</v>
      </c>
      <c r="C207" s="74" t="s">
        <v>432</v>
      </c>
    </row>
    <row r="208" spans="1:3">
      <c r="A208" s="250">
        <v>1014</v>
      </c>
      <c r="B208" s="74" t="s">
        <v>585</v>
      </c>
      <c r="C208" s="74" t="s">
        <v>432</v>
      </c>
    </row>
    <row r="209" spans="1:3">
      <c r="A209" s="250">
        <v>1020</v>
      </c>
      <c r="B209" s="74" t="s">
        <v>585</v>
      </c>
      <c r="C209" s="74" t="s">
        <v>432</v>
      </c>
    </row>
    <row r="210" spans="1:3">
      <c r="A210" s="250">
        <v>1021</v>
      </c>
      <c r="B210" s="74" t="s">
        <v>585</v>
      </c>
      <c r="C210" s="74" t="s">
        <v>432</v>
      </c>
    </row>
    <row r="211" spans="1:3">
      <c r="A211" s="250">
        <v>1022</v>
      </c>
      <c r="B211" s="74" t="s">
        <v>585</v>
      </c>
      <c r="C211" s="74" t="s">
        <v>432</v>
      </c>
    </row>
    <row r="212" spans="1:3">
      <c r="A212" s="250">
        <v>1026</v>
      </c>
      <c r="B212" s="74" t="s">
        <v>586</v>
      </c>
      <c r="C212" s="74" t="s">
        <v>432</v>
      </c>
    </row>
    <row r="213" spans="1:3">
      <c r="A213" s="250">
        <v>1027</v>
      </c>
      <c r="B213" s="74" t="s">
        <v>587</v>
      </c>
      <c r="C213" s="74" t="s">
        <v>432</v>
      </c>
    </row>
    <row r="214" spans="1:3">
      <c r="A214" s="250">
        <v>1028</v>
      </c>
      <c r="B214" s="74" t="s">
        <v>588</v>
      </c>
      <c r="C214" s="74" t="s">
        <v>432</v>
      </c>
    </row>
    <row r="215" spans="1:3">
      <c r="A215" s="250">
        <v>1029</v>
      </c>
      <c r="B215" s="74" t="s">
        <v>589</v>
      </c>
      <c r="C215" s="74" t="s">
        <v>432</v>
      </c>
    </row>
    <row r="216" spans="1:3">
      <c r="A216" s="250">
        <v>1030</v>
      </c>
      <c r="B216" s="74" t="s">
        <v>590</v>
      </c>
      <c r="C216" s="74" t="s">
        <v>432</v>
      </c>
    </row>
    <row r="217" spans="1:3">
      <c r="A217" s="250">
        <v>1031</v>
      </c>
      <c r="B217" s="74" t="s">
        <v>591</v>
      </c>
      <c r="C217" s="74" t="s">
        <v>432</v>
      </c>
    </row>
    <row r="218" spans="1:3">
      <c r="A218" s="250">
        <v>1032</v>
      </c>
      <c r="B218" s="74" t="s">
        <v>592</v>
      </c>
      <c r="C218" s="74" t="s">
        <v>432</v>
      </c>
    </row>
    <row r="219" spans="1:3">
      <c r="A219" s="250">
        <v>1033</v>
      </c>
      <c r="B219" s="74" t="s">
        <v>593</v>
      </c>
      <c r="C219" s="74" t="s">
        <v>432</v>
      </c>
    </row>
    <row r="220" spans="1:3">
      <c r="A220" s="250">
        <v>1034</v>
      </c>
      <c r="B220" s="74" t="s">
        <v>594</v>
      </c>
      <c r="C220" s="74" t="s">
        <v>432</v>
      </c>
    </row>
    <row r="221" spans="1:3">
      <c r="A221" s="250">
        <v>1035</v>
      </c>
      <c r="B221" s="74" t="s">
        <v>595</v>
      </c>
      <c r="C221" s="74" t="s">
        <v>432</v>
      </c>
    </row>
    <row r="222" spans="1:3">
      <c r="A222" s="250">
        <v>1036</v>
      </c>
      <c r="B222" s="74" t="s">
        <v>596</v>
      </c>
      <c r="C222" s="74" t="s">
        <v>432</v>
      </c>
    </row>
    <row r="223" spans="1:3">
      <c r="A223" s="250">
        <v>1037</v>
      </c>
      <c r="B223" s="74" t="s">
        <v>597</v>
      </c>
      <c r="C223" s="74" t="s">
        <v>432</v>
      </c>
    </row>
    <row r="224" spans="1:3">
      <c r="A224" s="250">
        <v>1038</v>
      </c>
      <c r="B224" s="74" t="s">
        <v>598</v>
      </c>
      <c r="C224" s="74" t="s">
        <v>432</v>
      </c>
    </row>
    <row r="225" spans="1:3">
      <c r="A225" s="250">
        <v>1039</v>
      </c>
      <c r="B225" s="74" t="s">
        <v>599</v>
      </c>
      <c r="C225" s="74" t="s">
        <v>432</v>
      </c>
    </row>
    <row r="226" spans="1:3">
      <c r="A226" s="250">
        <v>1040</v>
      </c>
      <c r="B226" s="74" t="s">
        <v>600</v>
      </c>
      <c r="C226" s="74" t="s">
        <v>432</v>
      </c>
    </row>
    <row r="227" spans="1:3">
      <c r="A227" s="250">
        <v>1041</v>
      </c>
      <c r="B227" s="74" t="s">
        <v>600</v>
      </c>
      <c r="C227" s="74" t="s">
        <v>432</v>
      </c>
    </row>
    <row r="228" spans="1:3">
      <c r="A228" s="250">
        <v>1050</v>
      </c>
      <c r="B228" s="74" t="s">
        <v>601</v>
      </c>
      <c r="C228" s="74" t="s">
        <v>432</v>
      </c>
    </row>
    <row r="229" spans="1:3">
      <c r="A229" s="250">
        <v>1053</v>
      </c>
      <c r="B229" s="74" t="s">
        <v>602</v>
      </c>
      <c r="C229" s="74" t="s">
        <v>432</v>
      </c>
    </row>
    <row r="230" spans="1:3">
      <c r="A230" s="250">
        <v>1054</v>
      </c>
      <c r="B230" s="74" t="s">
        <v>603</v>
      </c>
      <c r="C230" s="74" t="s">
        <v>432</v>
      </c>
    </row>
    <row r="231" spans="1:3">
      <c r="A231" s="250">
        <v>1056</v>
      </c>
      <c r="B231" s="74" t="s">
        <v>604</v>
      </c>
      <c r="C231" s="74" t="s">
        <v>432</v>
      </c>
    </row>
    <row r="232" spans="1:3">
      <c r="A232" s="250">
        <v>1057</v>
      </c>
      <c r="B232" s="74" t="s">
        <v>605</v>
      </c>
      <c r="C232" s="74" t="s">
        <v>432</v>
      </c>
    </row>
    <row r="233" spans="1:3">
      <c r="A233" s="250">
        <v>1059</v>
      </c>
      <c r="B233" s="74" t="s">
        <v>606</v>
      </c>
      <c r="C233" s="74" t="s">
        <v>432</v>
      </c>
    </row>
    <row r="234" spans="1:3">
      <c r="A234" s="250">
        <v>1060</v>
      </c>
      <c r="B234" s="74" t="s">
        <v>607</v>
      </c>
      <c r="C234" s="74" t="s">
        <v>432</v>
      </c>
    </row>
    <row r="235" spans="1:3">
      <c r="A235" s="250">
        <v>1061</v>
      </c>
      <c r="B235" s="74" t="s">
        <v>607</v>
      </c>
      <c r="C235" s="74" t="s">
        <v>432</v>
      </c>
    </row>
    <row r="236" spans="1:3">
      <c r="A236" s="250">
        <v>1062</v>
      </c>
      <c r="B236" s="74" t="s">
        <v>608</v>
      </c>
      <c r="C236" s="74" t="s">
        <v>432</v>
      </c>
    </row>
    <row r="237" spans="1:3">
      <c r="A237" s="250">
        <v>1063</v>
      </c>
      <c r="B237" s="74" t="s">
        <v>607</v>
      </c>
      <c r="C237" s="74" t="s">
        <v>432</v>
      </c>
    </row>
    <row r="238" spans="1:3">
      <c r="A238" s="250">
        <v>1066</v>
      </c>
      <c r="B238" s="74" t="s">
        <v>609</v>
      </c>
      <c r="C238" s="74" t="s">
        <v>432</v>
      </c>
    </row>
    <row r="239" spans="1:3">
      <c r="A239" s="250">
        <v>1068</v>
      </c>
      <c r="B239" s="74" t="s">
        <v>610</v>
      </c>
      <c r="C239" s="74" t="s">
        <v>432</v>
      </c>
    </row>
    <row r="240" spans="1:3">
      <c r="A240" s="250">
        <v>1069</v>
      </c>
      <c r="B240" s="74" t="s">
        <v>526</v>
      </c>
      <c r="C240" s="74" t="s">
        <v>432</v>
      </c>
    </row>
    <row r="241" spans="1:3">
      <c r="A241" s="250">
        <v>1070</v>
      </c>
      <c r="B241" s="74" t="s">
        <v>611</v>
      </c>
      <c r="C241" s="74" t="s">
        <v>432</v>
      </c>
    </row>
    <row r="242" spans="1:3">
      <c r="A242" s="250">
        <v>1071</v>
      </c>
      <c r="B242" s="74" t="s">
        <v>612</v>
      </c>
      <c r="C242" s="74" t="s">
        <v>432</v>
      </c>
    </row>
    <row r="243" spans="1:3">
      <c r="A243" s="250">
        <v>1072</v>
      </c>
      <c r="B243" s="74" t="s">
        <v>613</v>
      </c>
      <c r="C243" s="74" t="s">
        <v>432</v>
      </c>
    </row>
    <row r="244" spans="1:3">
      <c r="A244" s="250">
        <v>1073</v>
      </c>
      <c r="B244" s="74" t="s">
        <v>614</v>
      </c>
      <c r="C244" s="74" t="s">
        <v>432</v>
      </c>
    </row>
    <row r="245" spans="1:3">
      <c r="A245" s="250">
        <v>1074</v>
      </c>
      <c r="B245" s="74" t="s">
        <v>615</v>
      </c>
      <c r="C245" s="74" t="s">
        <v>432</v>
      </c>
    </row>
    <row r="246" spans="1:3">
      <c r="A246" s="250">
        <v>1075</v>
      </c>
      <c r="B246" s="74" t="s">
        <v>616</v>
      </c>
      <c r="C246" s="74" t="s">
        <v>432</v>
      </c>
    </row>
    <row r="247" spans="1:3">
      <c r="A247" s="250">
        <v>1077</v>
      </c>
      <c r="B247" s="74" t="s">
        <v>617</v>
      </c>
      <c r="C247" s="74" t="s">
        <v>432</v>
      </c>
    </row>
    <row r="248" spans="1:3">
      <c r="A248" s="250">
        <v>1079</v>
      </c>
      <c r="B248" s="74" t="s">
        <v>618</v>
      </c>
      <c r="C248" s="74" t="s">
        <v>432</v>
      </c>
    </row>
    <row r="249" spans="1:3">
      <c r="A249" s="250">
        <v>1080</v>
      </c>
      <c r="B249" s="74" t="s">
        <v>619</v>
      </c>
      <c r="C249" s="74" t="s">
        <v>432</v>
      </c>
    </row>
    <row r="250" spans="1:3">
      <c r="A250" s="250">
        <v>1081</v>
      </c>
      <c r="B250" s="74" t="s">
        <v>620</v>
      </c>
      <c r="C250" s="74" t="s">
        <v>432</v>
      </c>
    </row>
    <row r="251" spans="1:3">
      <c r="A251" s="250">
        <v>1082</v>
      </c>
      <c r="B251" s="74" t="s">
        <v>621</v>
      </c>
      <c r="C251" s="74" t="s">
        <v>432</v>
      </c>
    </row>
    <row r="252" spans="1:3">
      <c r="A252" s="250">
        <v>1083</v>
      </c>
      <c r="B252" s="74" t="s">
        <v>622</v>
      </c>
      <c r="C252" s="74" t="s">
        <v>432</v>
      </c>
    </row>
    <row r="253" spans="1:3">
      <c r="A253" s="250">
        <v>1084</v>
      </c>
      <c r="B253" s="74" t="s">
        <v>623</v>
      </c>
      <c r="C253" s="74" t="s">
        <v>432</v>
      </c>
    </row>
    <row r="254" spans="1:3">
      <c r="A254" s="250">
        <v>1085</v>
      </c>
      <c r="B254" s="74" t="s">
        <v>624</v>
      </c>
      <c r="C254" s="74" t="s">
        <v>432</v>
      </c>
    </row>
    <row r="255" spans="1:3">
      <c r="A255" s="250">
        <v>1086</v>
      </c>
      <c r="B255" s="74" t="s">
        <v>624</v>
      </c>
      <c r="C255" s="74" t="s">
        <v>432</v>
      </c>
    </row>
    <row r="256" spans="1:3">
      <c r="A256" s="250">
        <v>1088</v>
      </c>
      <c r="B256" s="74" t="s">
        <v>625</v>
      </c>
      <c r="C256" s="74" t="s">
        <v>432</v>
      </c>
    </row>
    <row r="257" spans="1:3">
      <c r="A257" s="250">
        <v>1089</v>
      </c>
      <c r="B257" s="74" t="s">
        <v>626</v>
      </c>
      <c r="C257" s="74" t="s">
        <v>432</v>
      </c>
    </row>
    <row r="258" spans="1:3">
      <c r="A258" s="250">
        <v>1090</v>
      </c>
      <c r="B258" s="74" t="s">
        <v>626</v>
      </c>
      <c r="C258" s="74" t="s">
        <v>432</v>
      </c>
    </row>
    <row r="259" spans="1:3">
      <c r="A259" s="250">
        <v>1092</v>
      </c>
      <c r="B259" s="74" t="s">
        <v>627</v>
      </c>
      <c r="C259" s="74" t="s">
        <v>432</v>
      </c>
    </row>
    <row r="260" spans="1:3">
      <c r="A260" s="250">
        <v>1093</v>
      </c>
      <c r="B260" s="74" t="s">
        <v>628</v>
      </c>
      <c r="C260" s="74" t="s">
        <v>432</v>
      </c>
    </row>
    <row r="261" spans="1:3">
      <c r="A261" s="250">
        <v>1094</v>
      </c>
      <c r="B261" s="74" t="s">
        <v>629</v>
      </c>
      <c r="C261" s="74" t="s">
        <v>432</v>
      </c>
    </row>
    <row r="262" spans="1:3">
      <c r="A262" s="250">
        <v>1095</v>
      </c>
      <c r="B262" s="74" t="s">
        <v>630</v>
      </c>
      <c r="C262" s="74" t="s">
        <v>432</v>
      </c>
    </row>
    <row r="263" spans="1:3">
      <c r="A263" s="250">
        <v>1096</v>
      </c>
      <c r="B263" s="74" t="s">
        <v>631</v>
      </c>
      <c r="C263" s="74" t="s">
        <v>432</v>
      </c>
    </row>
    <row r="264" spans="1:3">
      <c r="A264" s="250">
        <v>1097</v>
      </c>
      <c r="B264" s="74" t="s">
        <v>632</v>
      </c>
      <c r="C264" s="74" t="s">
        <v>432</v>
      </c>
    </row>
    <row r="265" spans="1:3">
      <c r="A265" s="250">
        <v>1098</v>
      </c>
      <c r="B265" s="74" t="s">
        <v>633</v>
      </c>
      <c r="C265" s="74" t="s">
        <v>432</v>
      </c>
    </row>
    <row r="266" spans="1:3">
      <c r="A266" s="250">
        <v>1101</v>
      </c>
      <c r="B266" s="74" t="s">
        <v>634</v>
      </c>
      <c r="C266" s="74" t="s">
        <v>432</v>
      </c>
    </row>
    <row r="267" spans="1:3">
      <c r="A267" s="250">
        <v>1102</v>
      </c>
      <c r="B267" s="74" t="s">
        <v>634</v>
      </c>
      <c r="C267" s="74" t="s">
        <v>432</v>
      </c>
    </row>
    <row r="268" spans="1:3">
      <c r="A268" s="250">
        <v>1103</v>
      </c>
      <c r="B268" s="74" t="s">
        <v>634</v>
      </c>
      <c r="C268" s="74" t="s">
        <v>432</v>
      </c>
    </row>
    <row r="269" spans="1:3">
      <c r="A269" s="250">
        <v>1104</v>
      </c>
      <c r="B269" s="74" t="s">
        <v>634</v>
      </c>
      <c r="C269" s="74" t="s">
        <v>432</v>
      </c>
    </row>
    <row r="270" spans="1:3">
      <c r="A270" s="250">
        <v>1105</v>
      </c>
      <c r="B270" s="74" t="s">
        <v>634</v>
      </c>
      <c r="C270" s="74" t="s">
        <v>432</v>
      </c>
    </row>
    <row r="271" spans="1:3">
      <c r="A271" s="250">
        <v>1106</v>
      </c>
      <c r="B271" s="74" t="s">
        <v>635</v>
      </c>
      <c r="C271" s="74" t="s">
        <v>432</v>
      </c>
    </row>
    <row r="272" spans="1:3">
      <c r="A272" s="250">
        <v>1107</v>
      </c>
      <c r="B272" s="74" t="s">
        <v>634</v>
      </c>
      <c r="C272" s="74" t="s">
        <v>432</v>
      </c>
    </row>
    <row r="273" spans="1:3">
      <c r="A273" s="250">
        <v>1108</v>
      </c>
      <c r="B273" s="74" t="s">
        <v>634</v>
      </c>
      <c r="C273" s="74" t="s">
        <v>432</v>
      </c>
    </row>
    <row r="274" spans="1:3">
      <c r="A274" s="250">
        <v>1109</v>
      </c>
      <c r="B274" s="74" t="s">
        <v>634</v>
      </c>
      <c r="C274" s="74" t="s">
        <v>432</v>
      </c>
    </row>
    <row r="275" spans="1:3">
      <c r="A275" s="250">
        <v>1111</v>
      </c>
      <c r="B275" s="74" t="s">
        <v>634</v>
      </c>
      <c r="C275" s="74" t="s">
        <v>432</v>
      </c>
    </row>
    <row r="276" spans="1:3">
      <c r="A276" s="250">
        <v>1115</v>
      </c>
      <c r="B276" s="74" t="s">
        <v>634</v>
      </c>
      <c r="C276" s="74" t="s">
        <v>432</v>
      </c>
    </row>
    <row r="277" spans="1:3">
      <c r="A277" s="250">
        <v>1116</v>
      </c>
      <c r="B277" s="74" t="s">
        <v>635</v>
      </c>
      <c r="C277" s="74" t="s">
        <v>432</v>
      </c>
    </row>
    <row r="278" spans="1:3">
      <c r="A278" s="250">
        <v>1118</v>
      </c>
      <c r="B278" s="74" t="s">
        <v>634</v>
      </c>
      <c r="C278" s="74" t="s">
        <v>432</v>
      </c>
    </row>
    <row r="279" spans="1:3">
      <c r="A279" s="250">
        <v>1119</v>
      </c>
      <c r="B279" s="74" t="s">
        <v>634</v>
      </c>
      <c r="C279" s="74" t="s">
        <v>432</v>
      </c>
    </row>
    <row r="280" spans="1:3">
      <c r="A280" s="250">
        <v>1128</v>
      </c>
      <c r="B280" s="74" t="s">
        <v>634</v>
      </c>
      <c r="C280" s="74" t="s">
        <v>432</v>
      </c>
    </row>
    <row r="281" spans="1:3">
      <c r="A281" s="250">
        <v>1129</v>
      </c>
      <c r="B281" s="74" t="s">
        <v>634</v>
      </c>
      <c r="C281" s="74" t="s">
        <v>432</v>
      </c>
    </row>
    <row r="282" spans="1:3">
      <c r="A282" s="250">
        <v>1133</v>
      </c>
      <c r="B282" s="74" t="s">
        <v>634</v>
      </c>
      <c r="C282" s="74" t="s">
        <v>432</v>
      </c>
    </row>
    <row r="283" spans="1:3">
      <c r="A283" s="250">
        <v>1138</v>
      </c>
      <c r="B283" s="74" t="s">
        <v>634</v>
      </c>
      <c r="C283" s="74" t="s">
        <v>432</v>
      </c>
    </row>
    <row r="284" spans="1:3">
      <c r="A284" s="250">
        <v>1139</v>
      </c>
      <c r="B284" s="74" t="s">
        <v>634</v>
      </c>
      <c r="C284" s="74" t="s">
        <v>432</v>
      </c>
    </row>
    <row r="285" spans="1:3">
      <c r="A285" s="250">
        <v>1144</v>
      </c>
      <c r="B285" s="74" t="s">
        <v>634</v>
      </c>
      <c r="C285" s="74" t="s">
        <v>432</v>
      </c>
    </row>
    <row r="286" spans="1:3">
      <c r="A286" s="250">
        <v>1151</v>
      </c>
      <c r="B286" s="74" t="s">
        <v>636</v>
      </c>
      <c r="C286" s="74" t="s">
        <v>432</v>
      </c>
    </row>
    <row r="287" spans="1:3">
      <c r="A287" s="250">
        <v>1152</v>
      </c>
      <c r="B287" s="74" t="s">
        <v>634</v>
      </c>
      <c r="C287" s="74" t="s">
        <v>432</v>
      </c>
    </row>
    <row r="288" spans="1:3">
      <c r="A288" s="250">
        <v>1195</v>
      </c>
      <c r="B288" s="74" t="s">
        <v>634</v>
      </c>
      <c r="C288" s="74" t="s">
        <v>432</v>
      </c>
    </row>
    <row r="289" spans="1:3">
      <c r="A289" s="250">
        <v>1199</v>
      </c>
      <c r="B289" s="74" t="s">
        <v>634</v>
      </c>
      <c r="C289" s="74" t="s">
        <v>432</v>
      </c>
    </row>
    <row r="290" spans="1:3">
      <c r="A290" s="250">
        <v>1201</v>
      </c>
      <c r="B290" s="74" t="s">
        <v>637</v>
      </c>
      <c r="C290" s="74" t="s">
        <v>432</v>
      </c>
    </row>
    <row r="291" spans="1:3">
      <c r="A291" s="250">
        <v>1202</v>
      </c>
      <c r="B291" s="74" t="s">
        <v>637</v>
      </c>
      <c r="C291" s="74" t="s">
        <v>432</v>
      </c>
    </row>
    <row r="292" spans="1:3">
      <c r="A292" s="250">
        <v>1203</v>
      </c>
      <c r="B292" s="74" t="s">
        <v>637</v>
      </c>
      <c r="C292" s="74" t="s">
        <v>432</v>
      </c>
    </row>
    <row r="293" spans="1:3">
      <c r="A293" s="250">
        <v>1220</v>
      </c>
      <c r="B293" s="74" t="s">
        <v>638</v>
      </c>
      <c r="C293" s="74" t="s">
        <v>432</v>
      </c>
    </row>
    <row r="294" spans="1:3">
      <c r="A294" s="250">
        <v>1222</v>
      </c>
      <c r="B294" s="74" t="s">
        <v>639</v>
      </c>
      <c r="C294" s="74" t="s">
        <v>432</v>
      </c>
    </row>
    <row r="295" spans="1:3">
      <c r="A295" s="250">
        <v>1223</v>
      </c>
      <c r="B295" s="74" t="s">
        <v>640</v>
      </c>
      <c r="C295" s="74" t="s">
        <v>432</v>
      </c>
    </row>
    <row r="296" spans="1:3">
      <c r="A296" s="250">
        <v>1224</v>
      </c>
      <c r="B296" s="74" t="s">
        <v>641</v>
      </c>
      <c r="C296" s="74" t="s">
        <v>432</v>
      </c>
    </row>
    <row r="297" spans="1:3">
      <c r="A297" s="250">
        <v>1225</v>
      </c>
      <c r="B297" s="74" t="s">
        <v>642</v>
      </c>
      <c r="C297" s="74" t="s">
        <v>432</v>
      </c>
    </row>
    <row r="298" spans="1:3">
      <c r="A298" s="250">
        <v>1226</v>
      </c>
      <c r="B298" s="74" t="s">
        <v>643</v>
      </c>
      <c r="C298" s="74" t="s">
        <v>432</v>
      </c>
    </row>
    <row r="299" spans="1:3">
      <c r="A299" s="250">
        <v>1227</v>
      </c>
      <c r="B299" s="74" t="s">
        <v>643</v>
      </c>
      <c r="C299" s="74" t="s">
        <v>432</v>
      </c>
    </row>
    <row r="300" spans="1:3">
      <c r="A300" s="250">
        <v>1229</v>
      </c>
      <c r="B300" s="74" t="s">
        <v>644</v>
      </c>
      <c r="C300" s="74" t="s">
        <v>432</v>
      </c>
    </row>
    <row r="301" spans="1:3">
      <c r="A301" s="250">
        <v>1230</v>
      </c>
      <c r="B301" s="74" t="s">
        <v>645</v>
      </c>
      <c r="C301" s="74" t="s">
        <v>432</v>
      </c>
    </row>
    <row r="302" spans="1:3">
      <c r="A302" s="250">
        <v>1235</v>
      </c>
      <c r="B302" s="74" t="s">
        <v>646</v>
      </c>
      <c r="C302" s="74" t="s">
        <v>432</v>
      </c>
    </row>
    <row r="303" spans="1:3">
      <c r="A303" s="250">
        <v>1236</v>
      </c>
      <c r="B303" s="74" t="s">
        <v>647</v>
      </c>
      <c r="C303" s="74" t="s">
        <v>432</v>
      </c>
    </row>
    <row r="304" spans="1:3">
      <c r="A304" s="250">
        <v>1237</v>
      </c>
      <c r="B304" s="74" t="s">
        <v>648</v>
      </c>
      <c r="C304" s="74" t="s">
        <v>432</v>
      </c>
    </row>
    <row r="305" spans="1:3">
      <c r="A305" s="250">
        <v>1238</v>
      </c>
      <c r="B305" s="74" t="s">
        <v>649</v>
      </c>
      <c r="C305" s="74" t="s">
        <v>432</v>
      </c>
    </row>
    <row r="306" spans="1:3">
      <c r="A306" s="250">
        <v>1240</v>
      </c>
      <c r="B306" s="74" t="s">
        <v>650</v>
      </c>
      <c r="C306" s="74" t="s">
        <v>432</v>
      </c>
    </row>
    <row r="307" spans="1:3">
      <c r="A307" s="250">
        <v>1242</v>
      </c>
      <c r="B307" s="74" t="s">
        <v>651</v>
      </c>
      <c r="C307" s="74" t="s">
        <v>432</v>
      </c>
    </row>
    <row r="308" spans="1:3">
      <c r="A308" s="250">
        <v>1243</v>
      </c>
      <c r="B308" s="74" t="s">
        <v>652</v>
      </c>
      <c r="C308" s="74" t="s">
        <v>432</v>
      </c>
    </row>
    <row r="309" spans="1:3">
      <c r="A309" s="250">
        <v>1244</v>
      </c>
      <c r="B309" s="74" t="s">
        <v>653</v>
      </c>
      <c r="C309" s="74" t="s">
        <v>432</v>
      </c>
    </row>
    <row r="310" spans="1:3">
      <c r="A310" s="250">
        <v>1245</v>
      </c>
      <c r="B310" s="74" t="s">
        <v>654</v>
      </c>
      <c r="C310" s="74" t="s">
        <v>432</v>
      </c>
    </row>
    <row r="311" spans="1:3">
      <c r="A311" s="250">
        <v>1247</v>
      </c>
      <c r="B311" s="74" t="s">
        <v>655</v>
      </c>
      <c r="C311" s="74" t="s">
        <v>432</v>
      </c>
    </row>
    <row r="312" spans="1:3">
      <c r="A312" s="250">
        <v>1252</v>
      </c>
      <c r="B312" s="74" t="s">
        <v>656</v>
      </c>
      <c r="C312" s="74" t="s">
        <v>432</v>
      </c>
    </row>
    <row r="313" spans="1:3">
      <c r="A313" s="250">
        <v>1253</v>
      </c>
      <c r="B313" s="74" t="s">
        <v>657</v>
      </c>
      <c r="C313" s="74" t="s">
        <v>432</v>
      </c>
    </row>
    <row r="314" spans="1:3">
      <c r="A314" s="250">
        <v>1254</v>
      </c>
      <c r="B314" s="74" t="s">
        <v>658</v>
      </c>
      <c r="C314" s="74" t="s">
        <v>432</v>
      </c>
    </row>
    <row r="315" spans="1:3">
      <c r="A315" s="250">
        <v>1255</v>
      </c>
      <c r="B315" s="74" t="s">
        <v>659</v>
      </c>
      <c r="C315" s="74" t="s">
        <v>432</v>
      </c>
    </row>
    <row r="316" spans="1:3">
      <c r="A316" s="250">
        <v>1256</v>
      </c>
      <c r="B316" s="74" t="s">
        <v>660</v>
      </c>
      <c r="C316" s="74" t="s">
        <v>432</v>
      </c>
    </row>
    <row r="317" spans="1:3">
      <c r="A317" s="250">
        <v>1257</v>
      </c>
      <c r="B317" s="74" t="s">
        <v>661</v>
      </c>
      <c r="C317" s="74" t="s">
        <v>432</v>
      </c>
    </row>
    <row r="318" spans="1:3">
      <c r="A318" s="250">
        <v>1258</v>
      </c>
      <c r="B318" s="74" t="s">
        <v>662</v>
      </c>
      <c r="C318" s="74" t="s">
        <v>432</v>
      </c>
    </row>
    <row r="319" spans="1:3">
      <c r="A319" s="250">
        <v>1259</v>
      </c>
      <c r="B319" s="74" t="s">
        <v>663</v>
      </c>
      <c r="C319" s="74" t="s">
        <v>432</v>
      </c>
    </row>
    <row r="320" spans="1:3">
      <c r="A320" s="250">
        <v>1260</v>
      </c>
      <c r="B320" s="74" t="s">
        <v>664</v>
      </c>
      <c r="C320" s="74" t="s">
        <v>432</v>
      </c>
    </row>
    <row r="321" spans="1:3">
      <c r="A321" s="250">
        <v>1262</v>
      </c>
      <c r="B321" s="74" t="s">
        <v>665</v>
      </c>
      <c r="C321" s="74" t="s">
        <v>432</v>
      </c>
    </row>
    <row r="322" spans="1:3">
      <c r="A322" s="250">
        <v>1263</v>
      </c>
      <c r="B322" s="74" t="s">
        <v>665</v>
      </c>
      <c r="C322" s="74" t="s">
        <v>432</v>
      </c>
    </row>
    <row r="323" spans="1:3">
      <c r="A323" s="250">
        <v>1264</v>
      </c>
      <c r="B323" s="74" t="s">
        <v>666</v>
      </c>
      <c r="C323" s="74" t="s">
        <v>432</v>
      </c>
    </row>
    <row r="324" spans="1:3">
      <c r="A324" s="250">
        <v>1266</v>
      </c>
      <c r="B324" s="74" t="s">
        <v>667</v>
      </c>
      <c r="C324" s="74" t="s">
        <v>432</v>
      </c>
    </row>
    <row r="325" spans="1:3">
      <c r="A325" s="250">
        <v>1267</v>
      </c>
      <c r="B325" s="74" t="s">
        <v>668</v>
      </c>
      <c r="C325" s="74" t="s">
        <v>432</v>
      </c>
    </row>
    <row r="326" spans="1:3">
      <c r="A326" s="250">
        <v>1270</v>
      </c>
      <c r="B326" s="74" t="s">
        <v>669</v>
      </c>
      <c r="C326" s="74" t="s">
        <v>432</v>
      </c>
    </row>
    <row r="327" spans="1:3">
      <c r="A327" s="250">
        <v>1301</v>
      </c>
      <c r="B327" s="74" t="s">
        <v>670</v>
      </c>
      <c r="C327" s="74" t="s">
        <v>432</v>
      </c>
    </row>
    <row r="328" spans="1:3">
      <c r="A328" s="250">
        <v>1302</v>
      </c>
      <c r="B328" s="74" t="s">
        <v>670</v>
      </c>
      <c r="C328" s="74" t="s">
        <v>432</v>
      </c>
    </row>
    <row r="329" spans="1:3">
      <c r="A329" s="250">
        <v>1330</v>
      </c>
      <c r="B329" s="74" t="s">
        <v>671</v>
      </c>
      <c r="C329" s="74" t="s">
        <v>432</v>
      </c>
    </row>
    <row r="330" spans="1:3">
      <c r="A330" s="250">
        <v>1331</v>
      </c>
      <c r="B330" s="74" t="s">
        <v>672</v>
      </c>
      <c r="C330" s="74" t="s">
        <v>432</v>
      </c>
    </row>
    <row r="331" spans="1:3">
      <c r="A331" s="250">
        <v>1337</v>
      </c>
      <c r="B331" s="74" t="s">
        <v>673</v>
      </c>
      <c r="C331" s="74" t="s">
        <v>432</v>
      </c>
    </row>
    <row r="332" spans="1:3">
      <c r="A332" s="250">
        <v>1338</v>
      </c>
      <c r="B332" s="74" t="s">
        <v>674</v>
      </c>
      <c r="C332" s="74" t="s">
        <v>432</v>
      </c>
    </row>
    <row r="333" spans="1:3">
      <c r="A333" s="250">
        <v>1339</v>
      </c>
      <c r="B333" s="74" t="s">
        <v>675</v>
      </c>
      <c r="C333" s="74" t="s">
        <v>432</v>
      </c>
    </row>
    <row r="334" spans="1:3">
      <c r="A334" s="250">
        <v>1340</v>
      </c>
      <c r="B334" s="74" t="s">
        <v>676</v>
      </c>
      <c r="C334" s="74" t="s">
        <v>432</v>
      </c>
    </row>
    <row r="335" spans="1:3">
      <c r="A335" s="250">
        <v>1341</v>
      </c>
      <c r="B335" s="74" t="s">
        <v>677</v>
      </c>
      <c r="C335" s="74" t="s">
        <v>432</v>
      </c>
    </row>
    <row r="336" spans="1:3">
      <c r="A336" s="250">
        <v>1342</v>
      </c>
      <c r="B336" s="74" t="s">
        <v>678</v>
      </c>
      <c r="C336" s="74" t="s">
        <v>432</v>
      </c>
    </row>
    <row r="337" spans="1:3">
      <c r="A337" s="250">
        <v>1343</v>
      </c>
      <c r="B337" s="74" t="s">
        <v>679</v>
      </c>
      <c r="C337" s="74" t="s">
        <v>432</v>
      </c>
    </row>
    <row r="338" spans="1:3">
      <c r="A338" s="250">
        <v>1344</v>
      </c>
      <c r="B338" s="74" t="s">
        <v>680</v>
      </c>
      <c r="C338" s="74" t="s">
        <v>432</v>
      </c>
    </row>
    <row r="339" spans="1:3">
      <c r="A339" s="250">
        <v>1346</v>
      </c>
      <c r="B339" s="74" t="s">
        <v>681</v>
      </c>
      <c r="C339" s="74" t="s">
        <v>432</v>
      </c>
    </row>
    <row r="340" spans="1:3">
      <c r="A340" s="250">
        <v>1347</v>
      </c>
      <c r="B340" s="74" t="s">
        <v>682</v>
      </c>
      <c r="C340" s="74" t="s">
        <v>432</v>
      </c>
    </row>
    <row r="341" spans="1:3">
      <c r="A341" s="250">
        <v>1349</v>
      </c>
      <c r="B341" s="74" t="s">
        <v>683</v>
      </c>
      <c r="C341" s="74" t="s">
        <v>432</v>
      </c>
    </row>
    <row r="342" spans="1:3">
      <c r="A342" s="250">
        <v>1350</v>
      </c>
      <c r="B342" s="74" t="s">
        <v>684</v>
      </c>
      <c r="C342" s="74" t="s">
        <v>432</v>
      </c>
    </row>
    <row r="343" spans="1:3">
      <c r="A343" s="250">
        <v>1351</v>
      </c>
      <c r="B343" s="74" t="s">
        <v>685</v>
      </c>
      <c r="C343" s="74" t="s">
        <v>432</v>
      </c>
    </row>
    <row r="344" spans="1:3">
      <c r="A344" s="250">
        <v>1354</v>
      </c>
      <c r="B344" s="74" t="s">
        <v>686</v>
      </c>
      <c r="C344" s="74" t="s">
        <v>432</v>
      </c>
    </row>
    <row r="345" spans="1:3">
      <c r="A345" s="250">
        <v>1355</v>
      </c>
      <c r="B345" s="74" t="s">
        <v>687</v>
      </c>
      <c r="C345" s="74" t="s">
        <v>432</v>
      </c>
    </row>
    <row r="346" spans="1:3">
      <c r="A346" s="250">
        <v>1360</v>
      </c>
      <c r="B346" s="74" t="s">
        <v>688</v>
      </c>
      <c r="C346" s="74" t="s">
        <v>432</v>
      </c>
    </row>
    <row r="347" spans="1:3">
      <c r="A347" s="250">
        <v>1364</v>
      </c>
      <c r="B347" s="74" t="s">
        <v>689</v>
      </c>
      <c r="C347" s="74" t="s">
        <v>432</v>
      </c>
    </row>
    <row r="348" spans="1:3">
      <c r="A348" s="250">
        <v>1366</v>
      </c>
      <c r="B348" s="74" t="s">
        <v>690</v>
      </c>
      <c r="C348" s="74" t="s">
        <v>432</v>
      </c>
    </row>
    <row r="349" spans="1:3">
      <c r="A349" s="250">
        <v>1367</v>
      </c>
      <c r="B349" s="74" t="s">
        <v>691</v>
      </c>
      <c r="C349" s="74" t="s">
        <v>432</v>
      </c>
    </row>
    <row r="350" spans="1:3">
      <c r="A350" s="250">
        <v>1368</v>
      </c>
      <c r="B350" s="74" t="s">
        <v>692</v>
      </c>
      <c r="C350" s="74" t="s">
        <v>432</v>
      </c>
    </row>
    <row r="351" spans="1:3">
      <c r="A351" s="250">
        <v>1370</v>
      </c>
      <c r="B351" s="74" t="s">
        <v>693</v>
      </c>
      <c r="C351" s="74" t="s">
        <v>432</v>
      </c>
    </row>
    <row r="352" spans="1:3">
      <c r="A352" s="250">
        <v>1373</v>
      </c>
      <c r="B352" s="74" t="s">
        <v>694</v>
      </c>
      <c r="C352" s="74" t="s">
        <v>432</v>
      </c>
    </row>
    <row r="353" spans="1:3">
      <c r="A353" s="250">
        <v>1375</v>
      </c>
      <c r="B353" s="74" t="s">
        <v>695</v>
      </c>
      <c r="C353" s="74" t="s">
        <v>432</v>
      </c>
    </row>
    <row r="354" spans="1:3">
      <c r="A354" s="250">
        <v>1376</v>
      </c>
      <c r="B354" s="74" t="s">
        <v>696</v>
      </c>
      <c r="C354" s="74" t="s">
        <v>432</v>
      </c>
    </row>
    <row r="355" spans="1:3">
      <c r="A355" s="250">
        <v>1378</v>
      </c>
      <c r="B355" s="74" t="s">
        <v>697</v>
      </c>
      <c r="C355" s="74" t="s">
        <v>432</v>
      </c>
    </row>
    <row r="356" spans="1:3">
      <c r="A356" s="250">
        <v>1379</v>
      </c>
      <c r="B356" s="74" t="s">
        <v>698</v>
      </c>
      <c r="C356" s="74" t="s">
        <v>432</v>
      </c>
    </row>
    <row r="357" spans="1:3">
      <c r="A357" s="250">
        <v>1380</v>
      </c>
      <c r="B357" s="74" t="s">
        <v>699</v>
      </c>
      <c r="C357" s="74" t="s">
        <v>432</v>
      </c>
    </row>
    <row r="358" spans="1:3">
      <c r="A358" s="250">
        <v>1420</v>
      </c>
      <c r="B358" s="74" t="s">
        <v>700</v>
      </c>
      <c r="C358" s="74" t="s">
        <v>432</v>
      </c>
    </row>
    <row r="359" spans="1:3">
      <c r="A359" s="250">
        <v>1430</v>
      </c>
      <c r="B359" s="74" t="s">
        <v>701</v>
      </c>
      <c r="C359" s="74" t="s">
        <v>432</v>
      </c>
    </row>
    <row r="360" spans="1:3">
      <c r="A360" s="250">
        <v>1431</v>
      </c>
      <c r="B360" s="74" t="s">
        <v>702</v>
      </c>
      <c r="C360" s="74" t="s">
        <v>432</v>
      </c>
    </row>
    <row r="361" spans="1:3">
      <c r="A361" s="250">
        <v>1432</v>
      </c>
      <c r="B361" s="74" t="s">
        <v>703</v>
      </c>
      <c r="C361" s="74" t="s">
        <v>432</v>
      </c>
    </row>
    <row r="362" spans="1:3">
      <c r="A362" s="250">
        <v>1434</v>
      </c>
      <c r="B362" s="74" t="s">
        <v>704</v>
      </c>
      <c r="C362" s="74" t="s">
        <v>432</v>
      </c>
    </row>
    <row r="363" spans="1:3">
      <c r="A363" s="250">
        <v>1436</v>
      </c>
      <c r="B363" s="74" t="s">
        <v>705</v>
      </c>
      <c r="C363" s="74" t="s">
        <v>432</v>
      </c>
    </row>
    <row r="364" spans="1:3">
      <c r="A364" s="250">
        <v>1438</v>
      </c>
      <c r="B364" s="74" t="s">
        <v>706</v>
      </c>
      <c r="C364" s="74" t="s">
        <v>432</v>
      </c>
    </row>
    <row r="365" spans="1:3">
      <c r="A365" s="250">
        <v>1440</v>
      </c>
      <c r="B365" s="74" t="s">
        <v>707</v>
      </c>
      <c r="C365" s="74" t="s">
        <v>432</v>
      </c>
    </row>
    <row r="366" spans="1:3">
      <c r="A366" s="250">
        <v>1441</v>
      </c>
      <c r="B366" s="74" t="s">
        <v>708</v>
      </c>
      <c r="C366" s="74" t="s">
        <v>432</v>
      </c>
    </row>
    <row r="367" spans="1:3">
      <c r="A367" s="250">
        <v>1450</v>
      </c>
      <c r="B367" s="74" t="s">
        <v>709</v>
      </c>
      <c r="C367" s="74" t="s">
        <v>432</v>
      </c>
    </row>
    <row r="368" spans="1:3">
      <c r="A368" s="250">
        <v>1451</v>
      </c>
      <c r="B368" s="74" t="s">
        <v>710</v>
      </c>
      <c r="C368" s="74" t="s">
        <v>432</v>
      </c>
    </row>
    <row r="369" spans="1:3">
      <c r="A369" s="250">
        <v>1452</v>
      </c>
      <c r="B369" s="74" t="s">
        <v>711</v>
      </c>
      <c r="C369" s="74" t="s">
        <v>432</v>
      </c>
    </row>
    <row r="370" spans="1:3">
      <c r="A370" s="250">
        <v>1453</v>
      </c>
      <c r="B370" s="74" t="s">
        <v>712</v>
      </c>
      <c r="C370" s="74" t="s">
        <v>432</v>
      </c>
    </row>
    <row r="371" spans="1:3">
      <c r="A371" s="250">
        <v>1460</v>
      </c>
      <c r="B371" s="74" t="s">
        <v>713</v>
      </c>
      <c r="C371" s="74" t="s">
        <v>432</v>
      </c>
    </row>
    <row r="372" spans="1:3">
      <c r="A372" s="250">
        <v>1462</v>
      </c>
      <c r="B372" s="74" t="s">
        <v>714</v>
      </c>
      <c r="C372" s="74" t="s">
        <v>432</v>
      </c>
    </row>
    <row r="373" spans="1:3">
      <c r="A373" s="250">
        <v>1463</v>
      </c>
      <c r="B373" s="74" t="s">
        <v>715</v>
      </c>
      <c r="C373" s="74" t="s">
        <v>432</v>
      </c>
    </row>
    <row r="374" spans="1:3">
      <c r="A374" s="250">
        <v>1464</v>
      </c>
      <c r="B374" s="74" t="s">
        <v>716</v>
      </c>
      <c r="C374" s="74" t="s">
        <v>432</v>
      </c>
    </row>
    <row r="375" spans="1:3">
      <c r="A375" s="250">
        <v>1467</v>
      </c>
      <c r="B375" s="74" t="s">
        <v>717</v>
      </c>
      <c r="C375" s="74" t="s">
        <v>432</v>
      </c>
    </row>
    <row r="376" spans="1:3">
      <c r="A376" s="250">
        <v>1468</v>
      </c>
      <c r="B376" s="74" t="s">
        <v>718</v>
      </c>
      <c r="C376" s="74" t="s">
        <v>432</v>
      </c>
    </row>
    <row r="377" spans="1:3">
      <c r="A377" s="250">
        <v>1469</v>
      </c>
      <c r="B377" s="74" t="s">
        <v>719</v>
      </c>
      <c r="C377" s="74" t="s">
        <v>432</v>
      </c>
    </row>
    <row r="378" spans="1:3">
      <c r="A378" s="250">
        <v>1470</v>
      </c>
      <c r="B378" s="74" t="s">
        <v>709</v>
      </c>
      <c r="C378" s="74" t="s">
        <v>432</v>
      </c>
    </row>
    <row r="379" spans="1:3">
      <c r="A379" s="250">
        <v>1471</v>
      </c>
      <c r="B379" s="74" t="s">
        <v>709</v>
      </c>
      <c r="C379" s="74" t="s">
        <v>432</v>
      </c>
    </row>
    <row r="380" spans="1:3">
      <c r="A380" s="250">
        <v>1472</v>
      </c>
      <c r="B380" s="74" t="s">
        <v>720</v>
      </c>
      <c r="C380" s="74" t="s">
        <v>432</v>
      </c>
    </row>
    <row r="381" spans="1:3">
      <c r="A381" s="250">
        <v>1473</v>
      </c>
      <c r="B381" s="74" t="s">
        <v>708</v>
      </c>
      <c r="C381" s="74" t="s">
        <v>432</v>
      </c>
    </row>
    <row r="382" spans="1:3">
      <c r="A382" s="250">
        <v>1474</v>
      </c>
      <c r="B382" s="74" t="s">
        <v>721</v>
      </c>
      <c r="C382" s="74" t="s">
        <v>432</v>
      </c>
    </row>
    <row r="383" spans="1:3">
      <c r="A383" s="250">
        <v>1475</v>
      </c>
      <c r="B383" s="74" t="s">
        <v>722</v>
      </c>
      <c r="C383" s="74" t="s">
        <v>432</v>
      </c>
    </row>
    <row r="384" spans="1:3">
      <c r="A384" s="250">
        <v>1477</v>
      </c>
      <c r="B384" s="74" t="s">
        <v>723</v>
      </c>
      <c r="C384" s="74" t="s">
        <v>432</v>
      </c>
    </row>
    <row r="385" spans="1:3">
      <c r="A385" s="250">
        <v>1501</v>
      </c>
      <c r="B385" s="74" t="s">
        <v>724</v>
      </c>
      <c r="C385" s="74" t="s">
        <v>432</v>
      </c>
    </row>
    <row r="386" spans="1:3">
      <c r="A386" s="250">
        <v>1503</v>
      </c>
      <c r="B386" s="74" t="s">
        <v>725</v>
      </c>
      <c r="C386" s="74" t="s">
        <v>432</v>
      </c>
    </row>
    <row r="387" spans="1:3">
      <c r="A387" s="250">
        <v>1504</v>
      </c>
      <c r="B387" s="74" t="s">
        <v>726</v>
      </c>
      <c r="C387" s="74" t="s">
        <v>432</v>
      </c>
    </row>
    <row r="388" spans="1:3">
      <c r="A388" s="250">
        <v>1505</v>
      </c>
      <c r="B388" s="74" t="s">
        <v>727</v>
      </c>
      <c r="C388" s="74" t="s">
        <v>432</v>
      </c>
    </row>
    <row r="389" spans="1:3">
      <c r="A389" s="250">
        <v>1506</v>
      </c>
      <c r="B389" s="74" t="s">
        <v>728</v>
      </c>
      <c r="C389" s="74" t="s">
        <v>432</v>
      </c>
    </row>
    <row r="390" spans="1:3">
      <c r="A390" s="250">
        <v>1507</v>
      </c>
      <c r="B390" s="74" t="s">
        <v>729</v>
      </c>
      <c r="C390" s="74" t="s">
        <v>432</v>
      </c>
    </row>
    <row r="391" spans="1:3">
      <c r="A391" s="250">
        <v>1508</v>
      </c>
      <c r="B391" s="74" t="s">
        <v>730</v>
      </c>
      <c r="C391" s="74" t="s">
        <v>432</v>
      </c>
    </row>
    <row r="392" spans="1:3">
      <c r="A392" s="250">
        <v>1509</v>
      </c>
      <c r="B392" s="74" t="s">
        <v>731</v>
      </c>
      <c r="C392" s="74" t="s">
        <v>432</v>
      </c>
    </row>
    <row r="393" spans="1:3">
      <c r="A393" s="250">
        <v>1510</v>
      </c>
      <c r="B393" s="74" t="s">
        <v>732</v>
      </c>
      <c r="C393" s="74" t="s">
        <v>432</v>
      </c>
    </row>
    <row r="394" spans="1:3">
      <c r="A394" s="250">
        <v>1515</v>
      </c>
      <c r="B394" s="74" t="s">
        <v>733</v>
      </c>
      <c r="C394" s="74" t="s">
        <v>432</v>
      </c>
    </row>
    <row r="395" spans="1:3">
      <c r="A395" s="250">
        <v>1516</v>
      </c>
      <c r="B395" s="74" t="s">
        <v>734</v>
      </c>
      <c r="C395" s="74" t="s">
        <v>432</v>
      </c>
    </row>
    <row r="396" spans="1:3">
      <c r="A396" s="250">
        <v>1517</v>
      </c>
      <c r="B396" s="74" t="s">
        <v>735</v>
      </c>
      <c r="C396" s="74" t="s">
        <v>432</v>
      </c>
    </row>
    <row r="397" spans="1:3">
      <c r="A397" s="250">
        <v>1518</v>
      </c>
      <c r="B397" s="74" t="s">
        <v>736</v>
      </c>
      <c r="C397" s="74" t="s">
        <v>432</v>
      </c>
    </row>
    <row r="398" spans="1:3">
      <c r="A398" s="250">
        <v>1519</v>
      </c>
      <c r="B398" s="74" t="s">
        <v>737</v>
      </c>
      <c r="C398" s="74" t="s">
        <v>432</v>
      </c>
    </row>
    <row r="399" spans="1:3">
      <c r="A399" s="250">
        <v>1520</v>
      </c>
      <c r="B399" s="74" t="s">
        <v>738</v>
      </c>
      <c r="C399" s="74" t="s">
        <v>432</v>
      </c>
    </row>
    <row r="400" spans="1:3">
      <c r="A400" s="250">
        <v>1521</v>
      </c>
      <c r="B400" s="74" t="s">
        <v>739</v>
      </c>
      <c r="C400" s="74" t="s">
        <v>432</v>
      </c>
    </row>
    <row r="401" spans="1:3">
      <c r="A401" s="250">
        <v>1522</v>
      </c>
      <c r="B401" s="74" t="s">
        <v>740</v>
      </c>
      <c r="C401" s="74" t="s">
        <v>432</v>
      </c>
    </row>
    <row r="402" spans="1:3">
      <c r="A402" s="250">
        <v>1523</v>
      </c>
      <c r="B402" s="74" t="s">
        <v>741</v>
      </c>
      <c r="C402" s="74" t="s">
        <v>432</v>
      </c>
    </row>
    <row r="403" spans="1:3">
      <c r="A403" s="250">
        <v>1524</v>
      </c>
      <c r="B403" s="74" t="s">
        <v>742</v>
      </c>
      <c r="C403" s="74" t="s">
        <v>432</v>
      </c>
    </row>
    <row r="404" spans="1:3">
      <c r="A404" s="250">
        <v>1525</v>
      </c>
      <c r="B404" s="74" t="s">
        <v>743</v>
      </c>
      <c r="C404" s="74" t="s">
        <v>432</v>
      </c>
    </row>
    <row r="405" spans="1:3">
      <c r="A405" s="250">
        <v>1526</v>
      </c>
      <c r="B405" s="74" t="s">
        <v>744</v>
      </c>
      <c r="C405" s="74" t="s">
        <v>432</v>
      </c>
    </row>
    <row r="406" spans="1:3">
      <c r="A406" s="250">
        <v>1527</v>
      </c>
      <c r="B406" s="74" t="s">
        <v>745</v>
      </c>
      <c r="C406" s="74" t="s">
        <v>432</v>
      </c>
    </row>
    <row r="407" spans="1:3">
      <c r="A407" s="250">
        <v>1529</v>
      </c>
      <c r="B407" s="74" t="s">
        <v>746</v>
      </c>
      <c r="C407" s="74" t="s">
        <v>432</v>
      </c>
    </row>
    <row r="408" spans="1:3">
      <c r="A408" s="250">
        <v>1531</v>
      </c>
      <c r="B408" s="74" t="s">
        <v>747</v>
      </c>
      <c r="C408" s="74" t="s">
        <v>432</v>
      </c>
    </row>
    <row r="409" spans="1:3">
      <c r="A409" s="250">
        <v>1532</v>
      </c>
      <c r="B409" s="74" t="s">
        <v>748</v>
      </c>
      <c r="C409" s="74" t="s">
        <v>432</v>
      </c>
    </row>
    <row r="410" spans="1:3">
      <c r="A410" s="250">
        <v>1534</v>
      </c>
      <c r="B410" s="74" t="s">
        <v>749</v>
      </c>
      <c r="C410" s="74" t="s">
        <v>432</v>
      </c>
    </row>
    <row r="411" spans="1:3">
      <c r="A411" s="250">
        <v>1535</v>
      </c>
      <c r="B411" s="74" t="s">
        <v>750</v>
      </c>
      <c r="C411" s="74" t="s">
        <v>432</v>
      </c>
    </row>
    <row r="412" spans="1:3">
      <c r="A412" s="250">
        <v>1536</v>
      </c>
      <c r="B412" s="74" t="s">
        <v>751</v>
      </c>
      <c r="C412" s="74" t="s">
        <v>432</v>
      </c>
    </row>
    <row r="413" spans="1:3">
      <c r="A413" s="250">
        <v>1537</v>
      </c>
      <c r="B413" s="74" t="s">
        <v>752</v>
      </c>
      <c r="C413" s="74" t="s">
        <v>432</v>
      </c>
    </row>
    <row r="414" spans="1:3">
      <c r="A414" s="250">
        <v>1538</v>
      </c>
      <c r="B414" s="74" t="s">
        <v>753</v>
      </c>
      <c r="C414" s="74" t="s">
        <v>432</v>
      </c>
    </row>
    <row r="415" spans="1:3">
      <c r="A415" s="250">
        <v>1540</v>
      </c>
      <c r="B415" s="74" t="s">
        <v>754</v>
      </c>
      <c r="C415" s="74" t="s">
        <v>432</v>
      </c>
    </row>
    <row r="416" spans="1:3">
      <c r="A416" s="250">
        <v>1541</v>
      </c>
      <c r="B416" s="74" t="s">
        <v>755</v>
      </c>
      <c r="C416" s="74" t="s">
        <v>432</v>
      </c>
    </row>
    <row r="417" spans="1:3">
      <c r="A417" s="250">
        <v>1542</v>
      </c>
      <c r="B417" s="74" t="s">
        <v>756</v>
      </c>
      <c r="C417" s="74" t="s">
        <v>432</v>
      </c>
    </row>
    <row r="418" spans="1:3">
      <c r="A418" s="250">
        <v>1543</v>
      </c>
      <c r="B418" s="74" t="s">
        <v>757</v>
      </c>
      <c r="C418" s="74" t="s">
        <v>432</v>
      </c>
    </row>
    <row r="419" spans="1:3">
      <c r="A419" s="250">
        <v>1545</v>
      </c>
      <c r="B419" s="74" t="s">
        <v>758</v>
      </c>
      <c r="C419" s="74" t="s">
        <v>432</v>
      </c>
    </row>
    <row r="420" spans="1:3">
      <c r="A420" s="250">
        <v>1546</v>
      </c>
      <c r="B420" s="74" t="s">
        <v>758</v>
      </c>
      <c r="C420" s="74" t="s">
        <v>432</v>
      </c>
    </row>
    <row r="421" spans="1:3">
      <c r="A421" s="250">
        <v>1550</v>
      </c>
      <c r="B421" s="74" t="s">
        <v>759</v>
      </c>
      <c r="C421" s="74" t="s">
        <v>432</v>
      </c>
    </row>
    <row r="422" spans="1:3">
      <c r="A422" s="250">
        <v>1560</v>
      </c>
      <c r="B422" s="74" t="s">
        <v>760</v>
      </c>
      <c r="C422" s="74" t="s">
        <v>432</v>
      </c>
    </row>
    <row r="423" spans="1:3">
      <c r="A423" s="250">
        <v>1561</v>
      </c>
      <c r="B423" s="74" t="s">
        <v>761</v>
      </c>
      <c r="C423" s="74" t="s">
        <v>432</v>
      </c>
    </row>
    <row r="424" spans="1:3">
      <c r="A424" s="250">
        <v>1562</v>
      </c>
      <c r="B424" s="74" t="s">
        <v>762</v>
      </c>
      <c r="C424" s="74" t="s">
        <v>432</v>
      </c>
    </row>
    <row r="425" spans="1:3">
      <c r="A425" s="250">
        <v>1564</v>
      </c>
      <c r="B425" s="74" t="s">
        <v>763</v>
      </c>
      <c r="C425" s="74" t="s">
        <v>432</v>
      </c>
    </row>
    <row r="426" spans="1:3">
      <c r="A426" s="250">
        <v>1566</v>
      </c>
      <c r="B426" s="74" t="s">
        <v>764</v>
      </c>
      <c r="C426" s="74" t="s">
        <v>432</v>
      </c>
    </row>
    <row r="427" spans="1:3">
      <c r="A427" s="250">
        <v>1568</v>
      </c>
      <c r="B427" s="74" t="s">
        <v>765</v>
      </c>
      <c r="C427" s="74" t="s">
        <v>432</v>
      </c>
    </row>
    <row r="428" spans="1:3">
      <c r="A428" s="250">
        <v>1569</v>
      </c>
      <c r="B428" s="74" t="s">
        <v>766</v>
      </c>
      <c r="C428" s="74" t="s">
        <v>432</v>
      </c>
    </row>
    <row r="429" spans="1:3">
      <c r="A429" s="250">
        <v>1570</v>
      </c>
      <c r="B429" s="74" t="s">
        <v>767</v>
      </c>
      <c r="C429" s="74" t="s">
        <v>432</v>
      </c>
    </row>
    <row r="430" spans="1:3">
      <c r="A430" s="250">
        <v>1571</v>
      </c>
      <c r="B430" s="74" t="s">
        <v>768</v>
      </c>
      <c r="C430" s="74" t="s">
        <v>432</v>
      </c>
    </row>
    <row r="431" spans="1:3">
      <c r="A431" s="250">
        <v>1580</v>
      </c>
      <c r="B431" s="74" t="s">
        <v>769</v>
      </c>
      <c r="C431" s="74" t="s">
        <v>432</v>
      </c>
    </row>
    <row r="432" spans="1:3">
      <c r="A432" s="250">
        <v>1581</v>
      </c>
      <c r="B432" s="74" t="s">
        <v>769</v>
      </c>
      <c r="C432" s="74" t="s">
        <v>432</v>
      </c>
    </row>
    <row r="433" spans="1:3">
      <c r="A433" s="250">
        <v>1582</v>
      </c>
      <c r="B433" s="74" t="s">
        <v>769</v>
      </c>
      <c r="C433" s="74" t="s">
        <v>432</v>
      </c>
    </row>
    <row r="434" spans="1:3">
      <c r="A434" s="250">
        <v>1583</v>
      </c>
      <c r="B434" s="74" t="s">
        <v>770</v>
      </c>
      <c r="C434" s="74" t="s">
        <v>432</v>
      </c>
    </row>
    <row r="435" spans="1:3">
      <c r="A435" s="250">
        <v>1585</v>
      </c>
      <c r="B435" s="74" t="s">
        <v>771</v>
      </c>
      <c r="C435" s="74" t="s">
        <v>432</v>
      </c>
    </row>
    <row r="436" spans="1:3">
      <c r="A436" s="250">
        <v>1586</v>
      </c>
      <c r="B436" s="74" t="s">
        <v>772</v>
      </c>
      <c r="C436" s="74" t="s">
        <v>432</v>
      </c>
    </row>
    <row r="437" spans="1:3">
      <c r="A437" s="250">
        <v>1588</v>
      </c>
      <c r="B437" s="74" t="s">
        <v>773</v>
      </c>
      <c r="C437" s="74" t="s">
        <v>432</v>
      </c>
    </row>
    <row r="438" spans="1:3">
      <c r="A438" s="250">
        <v>1590</v>
      </c>
      <c r="B438" s="74" t="s">
        <v>774</v>
      </c>
      <c r="C438" s="74" t="s">
        <v>432</v>
      </c>
    </row>
    <row r="439" spans="1:3">
      <c r="A439" s="250">
        <v>1601</v>
      </c>
      <c r="B439" s="74" t="s">
        <v>775</v>
      </c>
      <c r="C439" s="74" t="s">
        <v>432</v>
      </c>
    </row>
    <row r="440" spans="1:3">
      <c r="A440" s="250">
        <v>1602</v>
      </c>
      <c r="B440" s="74" t="s">
        <v>775</v>
      </c>
      <c r="C440" s="74" t="s">
        <v>432</v>
      </c>
    </row>
    <row r="441" spans="1:3">
      <c r="A441" s="250">
        <v>1603</v>
      </c>
      <c r="B441" s="74" t="s">
        <v>775</v>
      </c>
      <c r="C441" s="74" t="s">
        <v>432</v>
      </c>
    </row>
    <row r="442" spans="1:3">
      <c r="A442" s="250">
        <v>1604</v>
      </c>
      <c r="B442" s="74" t="s">
        <v>775</v>
      </c>
      <c r="C442" s="74" t="s">
        <v>432</v>
      </c>
    </row>
    <row r="443" spans="1:3">
      <c r="A443" s="250">
        <v>1605</v>
      </c>
      <c r="B443" s="74" t="s">
        <v>775</v>
      </c>
      <c r="C443" s="74" t="s">
        <v>432</v>
      </c>
    </row>
    <row r="444" spans="1:3">
      <c r="A444" s="250">
        <v>1606</v>
      </c>
      <c r="B444" s="74" t="s">
        <v>775</v>
      </c>
      <c r="C444" s="74" t="s">
        <v>432</v>
      </c>
    </row>
    <row r="445" spans="1:3">
      <c r="A445" s="250">
        <v>1607</v>
      </c>
      <c r="B445" s="74" t="s">
        <v>775</v>
      </c>
      <c r="C445" s="74" t="s">
        <v>432</v>
      </c>
    </row>
    <row r="446" spans="1:3">
      <c r="A446" s="250">
        <v>1608</v>
      </c>
      <c r="B446" s="74" t="s">
        <v>775</v>
      </c>
      <c r="C446" s="74" t="s">
        <v>432</v>
      </c>
    </row>
    <row r="447" spans="1:3">
      <c r="A447" s="250">
        <v>1609</v>
      </c>
      <c r="B447" s="74" t="s">
        <v>775</v>
      </c>
      <c r="C447" s="74" t="s">
        <v>432</v>
      </c>
    </row>
    <row r="448" spans="1:3">
      <c r="A448" s="250">
        <v>1610</v>
      </c>
      <c r="B448" s="74" t="s">
        <v>775</v>
      </c>
      <c r="C448" s="74" t="s">
        <v>432</v>
      </c>
    </row>
    <row r="449" spans="1:3">
      <c r="A449" s="250">
        <v>1611</v>
      </c>
      <c r="B449" s="74" t="s">
        <v>776</v>
      </c>
      <c r="C449" s="74" t="s">
        <v>432</v>
      </c>
    </row>
    <row r="450" spans="1:3">
      <c r="A450" s="250">
        <v>1612</v>
      </c>
      <c r="B450" s="74" t="s">
        <v>777</v>
      </c>
      <c r="C450" s="74" t="s">
        <v>432</v>
      </c>
    </row>
    <row r="451" spans="1:3">
      <c r="A451" s="250">
        <v>1613</v>
      </c>
      <c r="B451" s="74" t="s">
        <v>775</v>
      </c>
      <c r="C451" s="74" t="s">
        <v>432</v>
      </c>
    </row>
    <row r="452" spans="1:3">
      <c r="A452" s="250">
        <v>1614</v>
      </c>
      <c r="B452" s="74" t="s">
        <v>775</v>
      </c>
      <c r="C452" s="74" t="s">
        <v>432</v>
      </c>
    </row>
    <row r="453" spans="1:3">
      <c r="A453" s="250">
        <v>1615</v>
      </c>
      <c r="B453" s="74" t="s">
        <v>775</v>
      </c>
      <c r="C453" s="74" t="s">
        <v>432</v>
      </c>
    </row>
    <row r="454" spans="1:3">
      <c r="A454" s="250">
        <v>1653</v>
      </c>
      <c r="B454" s="74" t="s">
        <v>775</v>
      </c>
      <c r="C454" s="74" t="s">
        <v>432</v>
      </c>
    </row>
    <row r="455" spans="1:3">
      <c r="A455" s="250">
        <v>1654</v>
      </c>
      <c r="B455" s="74" t="s">
        <v>775</v>
      </c>
      <c r="C455" s="74" t="s">
        <v>432</v>
      </c>
    </row>
    <row r="456" spans="1:3">
      <c r="A456" s="250">
        <v>1655</v>
      </c>
      <c r="B456" s="74" t="s">
        <v>775</v>
      </c>
      <c r="C456" s="74" t="s">
        <v>432</v>
      </c>
    </row>
    <row r="457" spans="1:3">
      <c r="A457" s="250">
        <v>1701</v>
      </c>
      <c r="B457" s="74" t="s">
        <v>778</v>
      </c>
      <c r="C457" s="74" t="s">
        <v>432</v>
      </c>
    </row>
    <row r="458" spans="1:3">
      <c r="A458" s="250">
        <v>1702</v>
      </c>
      <c r="B458" s="74" t="s">
        <v>778</v>
      </c>
      <c r="C458" s="74" t="s">
        <v>432</v>
      </c>
    </row>
    <row r="459" spans="1:3">
      <c r="A459" s="250">
        <v>1703</v>
      </c>
      <c r="B459" s="74" t="s">
        <v>778</v>
      </c>
      <c r="C459" s="74" t="s">
        <v>432</v>
      </c>
    </row>
    <row r="460" spans="1:3">
      <c r="A460" s="250">
        <v>1704</v>
      </c>
      <c r="B460" s="74" t="s">
        <v>778</v>
      </c>
      <c r="C460" s="74" t="s">
        <v>432</v>
      </c>
    </row>
    <row r="461" spans="1:3">
      <c r="A461" s="250">
        <v>1705</v>
      </c>
      <c r="B461" s="74" t="s">
        <v>778</v>
      </c>
      <c r="C461" s="74" t="s">
        <v>432</v>
      </c>
    </row>
    <row r="462" spans="1:3">
      <c r="A462" s="250">
        <v>1718</v>
      </c>
      <c r="B462" s="74" t="s">
        <v>779</v>
      </c>
      <c r="C462" s="74" t="s">
        <v>432</v>
      </c>
    </row>
    <row r="463" spans="1:3">
      <c r="A463" s="250">
        <v>1719</v>
      </c>
      <c r="B463" s="74" t="s">
        <v>780</v>
      </c>
      <c r="C463" s="74" t="s">
        <v>432</v>
      </c>
    </row>
    <row r="464" spans="1:3">
      <c r="A464" s="250">
        <v>1720</v>
      </c>
      <c r="B464" s="74" t="s">
        <v>781</v>
      </c>
      <c r="C464" s="74" t="s">
        <v>432</v>
      </c>
    </row>
    <row r="465" spans="1:3">
      <c r="A465" s="250">
        <v>1721</v>
      </c>
      <c r="B465" s="74" t="s">
        <v>782</v>
      </c>
      <c r="C465" s="74" t="s">
        <v>432</v>
      </c>
    </row>
    <row r="466" spans="1:3">
      <c r="A466" s="250">
        <v>1730</v>
      </c>
      <c r="B466" s="74" t="s">
        <v>783</v>
      </c>
      <c r="C466" s="74" t="s">
        <v>432</v>
      </c>
    </row>
    <row r="467" spans="1:3">
      <c r="A467" s="250">
        <v>1731</v>
      </c>
      <c r="B467" s="74" t="s">
        <v>784</v>
      </c>
      <c r="C467" s="74" t="s">
        <v>432</v>
      </c>
    </row>
    <row r="468" spans="1:3">
      <c r="A468" s="250">
        <v>1740</v>
      </c>
      <c r="B468" s="74" t="s">
        <v>785</v>
      </c>
      <c r="C468" s="74" t="s">
        <v>432</v>
      </c>
    </row>
    <row r="469" spans="1:3">
      <c r="A469" s="250">
        <v>1741</v>
      </c>
      <c r="B469" s="74" t="s">
        <v>786</v>
      </c>
      <c r="C469" s="74" t="s">
        <v>432</v>
      </c>
    </row>
    <row r="470" spans="1:3">
      <c r="A470" s="250">
        <v>1742</v>
      </c>
      <c r="B470" s="74" t="s">
        <v>787</v>
      </c>
      <c r="C470" s="74" t="s">
        <v>432</v>
      </c>
    </row>
    <row r="471" spans="1:3">
      <c r="A471" s="250">
        <v>1745</v>
      </c>
      <c r="B471" s="74" t="s">
        <v>788</v>
      </c>
      <c r="C471" s="74" t="s">
        <v>432</v>
      </c>
    </row>
    <row r="472" spans="1:3">
      <c r="A472" s="250">
        <v>1746</v>
      </c>
      <c r="B472" s="74" t="s">
        <v>789</v>
      </c>
      <c r="C472" s="74" t="s">
        <v>432</v>
      </c>
    </row>
    <row r="473" spans="1:3">
      <c r="A473" s="250">
        <v>1747</v>
      </c>
      <c r="B473" s="74" t="s">
        <v>790</v>
      </c>
      <c r="C473" s="74" t="s">
        <v>432</v>
      </c>
    </row>
    <row r="474" spans="1:3">
      <c r="A474" s="250">
        <v>1748</v>
      </c>
      <c r="B474" s="74" t="s">
        <v>791</v>
      </c>
      <c r="C474" s="74" t="s">
        <v>432</v>
      </c>
    </row>
    <row r="475" spans="1:3">
      <c r="A475" s="250">
        <v>1749</v>
      </c>
      <c r="B475" s="74" t="s">
        <v>792</v>
      </c>
      <c r="C475" s="74" t="s">
        <v>432</v>
      </c>
    </row>
    <row r="476" spans="1:3">
      <c r="A476" s="250">
        <v>1752</v>
      </c>
      <c r="B476" s="74" t="s">
        <v>793</v>
      </c>
      <c r="C476" s="74" t="s">
        <v>432</v>
      </c>
    </row>
    <row r="477" spans="1:3">
      <c r="A477" s="250">
        <v>1754</v>
      </c>
      <c r="B477" s="74" t="s">
        <v>794</v>
      </c>
      <c r="C477" s="74" t="s">
        <v>432</v>
      </c>
    </row>
    <row r="478" spans="1:3">
      <c r="A478" s="250">
        <v>1756</v>
      </c>
      <c r="B478" s="74" t="s">
        <v>795</v>
      </c>
      <c r="C478" s="74" t="s">
        <v>432</v>
      </c>
    </row>
    <row r="479" spans="1:3">
      <c r="A479" s="250">
        <v>1757</v>
      </c>
      <c r="B479" s="74" t="s">
        <v>796</v>
      </c>
      <c r="C479" s="74" t="s">
        <v>432</v>
      </c>
    </row>
    <row r="480" spans="1:3">
      <c r="A480" s="250">
        <v>1760</v>
      </c>
      <c r="B480" s="74" t="s">
        <v>797</v>
      </c>
      <c r="C480" s="74" t="s">
        <v>432</v>
      </c>
    </row>
    <row r="481" spans="1:3">
      <c r="A481" s="250">
        <v>1770</v>
      </c>
      <c r="B481" s="74" t="s">
        <v>798</v>
      </c>
      <c r="C481" s="74" t="s">
        <v>432</v>
      </c>
    </row>
    <row r="482" spans="1:3">
      <c r="A482" s="250">
        <v>1772</v>
      </c>
      <c r="B482" s="74" t="s">
        <v>799</v>
      </c>
      <c r="C482" s="74" t="s">
        <v>432</v>
      </c>
    </row>
    <row r="483" spans="1:3">
      <c r="A483" s="250">
        <v>1773</v>
      </c>
      <c r="B483" s="74" t="s">
        <v>800</v>
      </c>
      <c r="C483" s="74" t="s">
        <v>432</v>
      </c>
    </row>
    <row r="484" spans="1:3">
      <c r="A484" s="250">
        <v>1775</v>
      </c>
      <c r="B484" s="74" t="s">
        <v>801</v>
      </c>
      <c r="C484" s="74" t="s">
        <v>432</v>
      </c>
    </row>
    <row r="485" spans="1:3">
      <c r="A485" s="250">
        <v>1776</v>
      </c>
      <c r="B485" s="74" t="s">
        <v>802</v>
      </c>
      <c r="C485" s="74" t="s">
        <v>432</v>
      </c>
    </row>
    <row r="486" spans="1:3">
      <c r="A486" s="250">
        <v>1778</v>
      </c>
      <c r="B486" s="74" t="s">
        <v>803</v>
      </c>
      <c r="C486" s="74" t="s">
        <v>432</v>
      </c>
    </row>
    <row r="487" spans="1:3">
      <c r="A487" s="250">
        <v>1784</v>
      </c>
      <c r="B487" s="74" t="s">
        <v>804</v>
      </c>
      <c r="C487" s="74" t="s">
        <v>432</v>
      </c>
    </row>
    <row r="488" spans="1:3">
      <c r="A488" s="250">
        <v>1801</v>
      </c>
      <c r="B488" s="74" t="s">
        <v>805</v>
      </c>
      <c r="C488" s="74" t="s">
        <v>432</v>
      </c>
    </row>
    <row r="489" spans="1:3">
      <c r="A489" s="250">
        <v>1803</v>
      </c>
      <c r="B489" s="74" t="s">
        <v>806</v>
      </c>
      <c r="C489" s="74" t="s">
        <v>432</v>
      </c>
    </row>
    <row r="490" spans="1:3">
      <c r="A490" s="250">
        <v>1805</v>
      </c>
      <c r="B490" s="74" t="s">
        <v>806</v>
      </c>
      <c r="C490" s="74" t="s">
        <v>432</v>
      </c>
    </row>
    <row r="491" spans="1:3">
      <c r="A491" s="250">
        <v>1806</v>
      </c>
      <c r="B491" s="74" t="s">
        <v>805</v>
      </c>
      <c r="C491" s="74" t="s">
        <v>432</v>
      </c>
    </row>
    <row r="492" spans="1:3">
      <c r="A492" s="250">
        <v>1807</v>
      </c>
      <c r="B492" s="74" t="s">
        <v>805</v>
      </c>
      <c r="C492" s="74" t="s">
        <v>432</v>
      </c>
    </row>
    <row r="493" spans="1:3">
      <c r="A493" s="250">
        <v>1808</v>
      </c>
      <c r="B493" s="74" t="s">
        <v>805</v>
      </c>
      <c r="C493" s="74" t="s">
        <v>432</v>
      </c>
    </row>
    <row r="494" spans="1:3">
      <c r="A494" s="250">
        <v>1810</v>
      </c>
      <c r="B494" s="74" t="s">
        <v>807</v>
      </c>
      <c r="C494" s="74" t="s">
        <v>432</v>
      </c>
    </row>
    <row r="495" spans="1:3">
      <c r="A495" s="250">
        <v>1812</v>
      </c>
      <c r="B495" s="74" t="s">
        <v>807</v>
      </c>
      <c r="C495" s="74" t="s">
        <v>432</v>
      </c>
    </row>
    <row r="496" spans="1:3">
      <c r="A496" s="250">
        <v>1813</v>
      </c>
      <c r="B496" s="74" t="s">
        <v>805</v>
      </c>
      <c r="C496" s="74" t="s">
        <v>432</v>
      </c>
    </row>
    <row r="497" spans="1:3">
      <c r="A497" s="250">
        <v>1815</v>
      </c>
      <c r="B497" s="74" t="s">
        <v>805</v>
      </c>
      <c r="C497" s="74" t="s">
        <v>432</v>
      </c>
    </row>
    <row r="498" spans="1:3">
      <c r="A498" s="250">
        <v>1821</v>
      </c>
      <c r="B498" s="74" t="s">
        <v>808</v>
      </c>
      <c r="C498" s="74" t="s">
        <v>432</v>
      </c>
    </row>
    <row r="499" spans="1:3">
      <c r="A499" s="250">
        <v>1822</v>
      </c>
      <c r="B499" s="74" t="s">
        <v>808</v>
      </c>
      <c r="C499" s="74" t="s">
        <v>432</v>
      </c>
    </row>
    <row r="500" spans="1:3">
      <c r="A500" s="250">
        <v>1824</v>
      </c>
      <c r="B500" s="74" t="s">
        <v>809</v>
      </c>
      <c r="C500" s="74" t="s">
        <v>432</v>
      </c>
    </row>
    <row r="501" spans="1:3">
      <c r="A501" s="250">
        <v>1826</v>
      </c>
      <c r="B501" s="74" t="s">
        <v>810</v>
      </c>
      <c r="C501" s="74" t="s">
        <v>432</v>
      </c>
    </row>
    <row r="502" spans="1:3">
      <c r="A502" s="250">
        <v>1827</v>
      </c>
      <c r="B502" s="74" t="s">
        <v>811</v>
      </c>
      <c r="C502" s="74" t="s">
        <v>432</v>
      </c>
    </row>
    <row r="503" spans="1:3">
      <c r="A503" s="250">
        <v>1830</v>
      </c>
      <c r="B503" s="74" t="s">
        <v>812</v>
      </c>
      <c r="C503" s="74" t="s">
        <v>432</v>
      </c>
    </row>
    <row r="504" spans="1:3">
      <c r="A504" s="250">
        <v>1831</v>
      </c>
      <c r="B504" s="74" t="s">
        <v>812</v>
      </c>
      <c r="C504" s="74" t="s">
        <v>432</v>
      </c>
    </row>
    <row r="505" spans="1:3">
      <c r="A505" s="250">
        <v>1832</v>
      </c>
      <c r="B505" s="74" t="s">
        <v>812</v>
      </c>
      <c r="C505" s="74" t="s">
        <v>432</v>
      </c>
    </row>
    <row r="506" spans="1:3">
      <c r="A506" s="250">
        <v>1833</v>
      </c>
      <c r="B506" s="74" t="s">
        <v>813</v>
      </c>
      <c r="C506" s="74" t="s">
        <v>432</v>
      </c>
    </row>
    <row r="507" spans="1:3">
      <c r="A507" s="250">
        <v>1834</v>
      </c>
      <c r="B507" s="74" t="s">
        <v>814</v>
      </c>
      <c r="C507" s="74" t="s">
        <v>432</v>
      </c>
    </row>
    <row r="508" spans="1:3">
      <c r="A508" s="250">
        <v>1835</v>
      </c>
      <c r="B508" s="74" t="s">
        <v>812</v>
      </c>
      <c r="C508" s="74" t="s">
        <v>432</v>
      </c>
    </row>
    <row r="509" spans="1:3">
      <c r="A509" s="250">
        <v>1840</v>
      </c>
      <c r="B509" s="74" t="s">
        <v>815</v>
      </c>
      <c r="C509" s="74" t="s">
        <v>432</v>
      </c>
    </row>
    <row r="510" spans="1:3">
      <c r="A510" s="250">
        <v>1841</v>
      </c>
      <c r="B510" s="74" t="s">
        <v>815</v>
      </c>
      <c r="C510" s="74" t="s">
        <v>432</v>
      </c>
    </row>
    <row r="511" spans="1:3">
      <c r="A511" s="250">
        <v>1842</v>
      </c>
      <c r="B511" s="74" t="s">
        <v>815</v>
      </c>
      <c r="C511" s="74" t="s">
        <v>432</v>
      </c>
    </row>
    <row r="512" spans="1:3">
      <c r="A512" s="250">
        <v>1843</v>
      </c>
      <c r="B512" s="74" t="s">
        <v>815</v>
      </c>
      <c r="C512" s="74" t="s">
        <v>432</v>
      </c>
    </row>
    <row r="513" spans="1:3">
      <c r="A513" s="250">
        <v>1844</v>
      </c>
      <c r="B513" s="74" t="s">
        <v>816</v>
      </c>
      <c r="C513" s="74" t="s">
        <v>432</v>
      </c>
    </row>
    <row r="514" spans="1:3">
      <c r="A514" s="250">
        <v>1845</v>
      </c>
      <c r="B514" s="74" t="s">
        <v>817</v>
      </c>
      <c r="C514" s="74" t="s">
        <v>432</v>
      </c>
    </row>
    <row r="515" spans="1:3">
      <c r="A515" s="250">
        <v>1850</v>
      </c>
      <c r="B515" s="74" t="s">
        <v>818</v>
      </c>
      <c r="C515" s="74" t="s">
        <v>432</v>
      </c>
    </row>
    <row r="516" spans="1:3">
      <c r="A516" s="250">
        <v>1851</v>
      </c>
      <c r="B516" s="74" t="s">
        <v>818</v>
      </c>
      <c r="C516" s="74" t="s">
        <v>432</v>
      </c>
    </row>
    <row r="517" spans="1:3">
      <c r="A517" s="250">
        <v>1852</v>
      </c>
      <c r="B517" s="74" t="s">
        <v>818</v>
      </c>
      <c r="C517" s="74" t="s">
        <v>432</v>
      </c>
    </row>
    <row r="518" spans="1:3">
      <c r="A518" s="250">
        <v>1853</v>
      </c>
      <c r="B518" s="74" t="s">
        <v>818</v>
      </c>
      <c r="C518" s="74" t="s">
        <v>432</v>
      </c>
    </row>
    <row r="519" spans="1:3">
      <c r="A519" s="250">
        <v>1854</v>
      </c>
      <c r="B519" s="74" t="s">
        <v>818</v>
      </c>
      <c r="C519" s="74" t="s">
        <v>432</v>
      </c>
    </row>
    <row r="520" spans="1:3">
      <c r="A520" s="250">
        <v>1860</v>
      </c>
      <c r="B520" s="74" t="s">
        <v>819</v>
      </c>
      <c r="C520" s="74" t="s">
        <v>432</v>
      </c>
    </row>
    <row r="521" spans="1:3">
      <c r="A521" s="250">
        <v>1862</v>
      </c>
      <c r="B521" s="74" t="s">
        <v>820</v>
      </c>
      <c r="C521" s="74" t="s">
        <v>432</v>
      </c>
    </row>
    <row r="522" spans="1:3">
      <c r="A522" s="250">
        <v>1863</v>
      </c>
      <c r="B522" s="74" t="s">
        <v>821</v>
      </c>
      <c r="C522" s="74" t="s">
        <v>432</v>
      </c>
    </row>
    <row r="523" spans="1:3">
      <c r="A523" s="250">
        <v>1864</v>
      </c>
      <c r="B523" s="74" t="s">
        <v>822</v>
      </c>
      <c r="C523" s="74" t="s">
        <v>432</v>
      </c>
    </row>
    <row r="524" spans="1:3">
      <c r="A524" s="250">
        <v>1865</v>
      </c>
      <c r="B524" s="74" t="s">
        <v>823</v>
      </c>
      <c r="C524" s="74" t="s">
        <v>432</v>
      </c>
    </row>
    <row r="525" spans="1:3">
      <c r="A525" s="250">
        <v>1866</v>
      </c>
      <c r="B525" s="74" t="s">
        <v>824</v>
      </c>
      <c r="C525" s="74" t="s">
        <v>432</v>
      </c>
    </row>
    <row r="526" spans="1:3">
      <c r="A526" s="250">
        <v>1867</v>
      </c>
      <c r="B526" s="74" t="s">
        <v>825</v>
      </c>
      <c r="C526" s="74" t="s">
        <v>432</v>
      </c>
    </row>
    <row r="527" spans="1:3">
      <c r="A527" s="250">
        <v>1876</v>
      </c>
      <c r="B527" s="74" t="s">
        <v>826</v>
      </c>
      <c r="C527" s="74" t="s">
        <v>432</v>
      </c>
    </row>
    <row r="528" spans="1:3">
      <c r="A528" s="250">
        <v>1879</v>
      </c>
      <c r="B528" s="74" t="s">
        <v>827</v>
      </c>
      <c r="C528" s="74" t="s">
        <v>432</v>
      </c>
    </row>
    <row r="529" spans="1:3">
      <c r="A529" s="250">
        <v>1880</v>
      </c>
      <c r="B529" s="74" t="s">
        <v>828</v>
      </c>
      <c r="C529" s="74" t="s">
        <v>432</v>
      </c>
    </row>
    <row r="530" spans="1:3">
      <c r="A530" s="250">
        <v>1885</v>
      </c>
      <c r="B530" s="74" t="s">
        <v>829</v>
      </c>
      <c r="C530" s="74" t="s">
        <v>432</v>
      </c>
    </row>
    <row r="531" spans="1:3">
      <c r="A531" s="250">
        <v>1886</v>
      </c>
      <c r="B531" s="74" t="s">
        <v>830</v>
      </c>
      <c r="C531" s="74" t="s">
        <v>432</v>
      </c>
    </row>
    <row r="532" spans="1:3">
      <c r="A532" s="250">
        <v>1887</v>
      </c>
      <c r="B532" s="74" t="s">
        <v>831</v>
      </c>
      <c r="C532" s="74" t="s">
        <v>432</v>
      </c>
    </row>
    <row r="533" spans="1:3">
      <c r="A533" s="250">
        <v>1888</v>
      </c>
      <c r="B533" s="74" t="s">
        <v>805</v>
      </c>
      <c r="C533" s="74" t="s">
        <v>432</v>
      </c>
    </row>
    <row r="534" spans="1:3">
      <c r="A534" s="250">
        <v>1889</v>
      </c>
      <c r="B534" s="74" t="s">
        <v>822</v>
      </c>
      <c r="C534" s="74" t="s">
        <v>432</v>
      </c>
    </row>
    <row r="535" spans="1:3">
      <c r="A535" s="250">
        <v>1890</v>
      </c>
      <c r="B535" s="74" t="s">
        <v>832</v>
      </c>
      <c r="C535" s="74" t="s">
        <v>432</v>
      </c>
    </row>
    <row r="536" spans="1:3">
      <c r="A536" s="250">
        <v>1899</v>
      </c>
      <c r="B536" s="74" t="s">
        <v>807</v>
      </c>
      <c r="C536" s="74" t="s">
        <v>432</v>
      </c>
    </row>
    <row r="537" spans="1:3">
      <c r="A537" s="250">
        <v>1901</v>
      </c>
      <c r="B537" s="74" t="s">
        <v>833</v>
      </c>
      <c r="C537" s="74" t="s">
        <v>432</v>
      </c>
    </row>
    <row r="538" spans="1:3">
      <c r="A538" s="250">
        <v>1902</v>
      </c>
      <c r="B538" s="74" t="s">
        <v>833</v>
      </c>
      <c r="C538" s="74" t="s">
        <v>432</v>
      </c>
    </row>
    <row r="539" spans="1:3">
      <c r="A539" s="250">
        <v>1903</v>
      </c>
      <c r="B539" s="74" t="s">
        <v>833</v>
      </c>
      <c r="C539" s="74" t="s">
        <v>432</v>
      </c>
    </row>
    <row r="540" spans="1:3">
      <c r="A540" s="250">
        <v>1904</v>
      </c>
      <c r="B540" s="74" t="s">
        <v>833</v>
      </c>
      <c r="C540" s="74" t="s">
        <v>432</v>
      </c>
    </row>
    <row r="541" spans="1:3">
      <c r="A541" s="250">
        <v>1905</v>
      </c>
      <c r="B541" s="74" t="s">
        <v>833</v>
      </c>
      <c r="C541" s="74" t="s">
        <v>432</v>
      </c>
    </row>
    <row r="542" spans="1:3">
      <c r="A542" s="250">
        <v>1906</v>
      </c>
      <c r="B542" s="74" t="s">
        <v>834</v>
      </c>
      <c r="C542" s="74" t="s">
        <v>432</v>
      </c>
    </row>
    <row r="543" spans="1:3">
      <c r="A543" s="250">
        <v>1907</v>
      </c>
      <c r="B543" s="74" t="s">
        <v>835</v>
      </c>
      <c r="C543" s="74" t="s">
        <v>432</v>
      </c>
    </row>
    <row r="544" spans="1:3">
      <c r="A544" s="250">
        <v>1908</v>
      </c>
      <c r="B544" s="74" t="s">
        <v>836</v>
      </c>
      <c r="C544" s="74" t="s">
        <v>432</v>
      </c>
    </row>
    <row r="545" spans="1:3">
      <c r="A545" s="250">
        <v>1910</v>
      </c>
      <c r="B545" s="74" t="s">
        <v>833</v>
      </c>
      <c r="C545" s="74" t="s">
        <v>432</v>
      </c>
    </row>
    <row r="546" spans="1:3">
      <c r="A546" s="250">
        <v>1913</v>
      </c>
      <c r="B546" s="74" t="s">
        <v>837</v>
      </c>
      <c r="C546" s="74" t="s">
        <v>432</v>
      </c>
    </row>
    <row r="547" spans="1:3">
      <c r="A547" s="250">
        <v>1915</v>
      </c>
      <c r="B547" s="74" t="s">
        <v>838</v>
      </c>
      <c r="C547" s="74" t="s">
        <v>432</v>
      </c>
    </row>
    <row r="548" spans="1:3">
      <c r="A548" s="250">
        <v>1921</v>
      </c>
      <c r="B548" s="74" t="s">
        <v>839</v>
      </c>
      <c r="C548" s="74" t="s">
        <v>432</v>
      </c>
    </row>
    <row r="549" spans="1:3">
      <c r="A549" s="250">
        <v>1922</v>
      </c>
      <c r="B549" s="74" t="s">
        <v>840</v>
      </c>
      <c r="C549" s="74" t="s">
        <v>432</v>
      </c>
    </row>
    <row r="550" spans="1:3">
      <c r="A550" s="250">
        <v>1923</v>
      </c>
      <c r="B550" s="74" t="s">
        <v>841</v>
      </c>
      <c r="C550" s="74" t="s">
        <v>432</v>
      </c>
    </row>
    <row r="551" spans="1:3">
      <c r="A551" s="250">
        <v>1929</v>
      </c>
      <c r="B551" s="74" t="s">
        <v>842</v>
      </c>
      <c r="C551" s="74" t="s">
        <v>432</v>
      </c>
    </row>
    <row r="552" spans="1:3">
      <c r="A552" s="250">
        <v>1930</v>
      </c>
      <c r="B552" s="74" t="s">
        <v>843</v>
      </c>
      <c r="C552" s="74" t="s">
        <v>432</v>
      </c>
    </row>
    <row r="553" spans="1:3">
      <c r="A553" s="250">
        <v>1931</v>
      </c>
      <c r="B553" s="74" t="s">
        <v>843</v>
      </c>
      <c r="C553" s="74" t="s">
        <v>432</v>
      </c>
    </row>
    <row r="554" spans="1:3">
      <c r="A554" s="250">
        <v>1936</v>
      </c>
      <c r="B554" s="74" t="s">
        <v>844</v>
      </c>
      <c r="C554" s="74" t="s">
        <v>432</v>
      </c>
    </row>
    <row r="555" spans="1:3">
      <c r="A555" s="250">
        <v>1937</v>
      </c>
      <c r="B555" s="74" t="s">
        <v>845</v>
      </c>
      <c r="C555" s="74" t="s">
        <v>432</v>
      </c>
    </row>
    <row r="556" spans="1:3">
      <c r="A556" s="250">
        <v>1938</v>
      </c>
      <c r="B556" s="74" t="s">
        <v>846</v>
      </c>
      <c r="C556" s="74" t="s">
        <v>432</v>
      </c>
    </row>
    <row r="557" spans="1:3">
      <c r="A557" s="250">
        <v>1940</v>
      </c>
      <c r="B557" s="74" t="s">
        <v>847</v>
      </c>
      <c r="C557" s="74" t="s">
        <v>432</v>
      </c>
    </row>
    <row r="558" spans="1:3">
      <c r="A558" s="250">
        <v>1944</v>
      </c>
      <c r="B558" s="74" t="s">
        <v>848</v>
      </c>
      <c r="C558" s="74" t="s">
        <v>432</v>
      </c>
    </row>
    <row r="559" spans="1:3">
      <c r="A559" s="250">
        <v>1945</v>
      </c>
      <c r="B559" s="74" t="s">
        <v>849</v>
      </c>
      <c r="C559" s="74" t="s">
        <v>432</v>
      </c>
    </row>
    <row r="560" spans="1:3">
      <c r="A560" s="250">
        <v>1949</v>
      </c>
      <c r="B560" s="74" t="s">
        <v>850</v>
      </c>
      <c r="C560" s="74" t="s">
        <v>432</v>
      </c>
    </row>
    <row r="561" spans="1:3">
      <c r="A561" s="250">
        <v>1950</v>
      </c>
      <c r="B561" s="74" t="s">
        <v>851</v>
      </c>
      <c r="C561" s="74" t="s">
        <v>432</v>
      </c>
    </row>
    <row r="562" spans="1:3">
      <c r="A562" s="250">
        <v>1951</v>
      </c>
      <c r="B562" s="74" t="s">
        <v>852</v>
      </c>
      <c r="C562" s="74" t="s">
        <v>432</v>
      </c>
    </row>
    <row r="563" spans="1:3">
      <c r="A563" s="250">
        <v>1952</v>
      </c>
      <c r="B563" s="74" t="s">
        <v>853</v>
      </c>
      <c r="C563" s="74" t="s">
        <v>432</v>
      </c>
    </row>
    <row r="564" spans="1:3">
      <c r="A564" s="250">
        <v>1960</v>
      </c>
      <c r="B564" s="74" t="s">
        <v>854</v>
      </c>
      <c r="C564" s="74" t="s">
        <v>432</v>
      </c>
    </row>
    <row r="565" spans="1:3">
      <c r="A565" s="250">
        <v>1961</v>
      </c>
      <c r="B565" s="74" t="s">
        <v>854</v>
      </c>
      <c r="C565" s="74" t="s">
        <v>432</v>
      </c>
    </row>
    <row r="566" spans="1:3">
      <c r="A566" s="250">
        <v>1965</v>
      </c>
      <c r="B566" s="74" t="s">
        <v>855</v>
      </c>
      <c r="C566" s="74" t="s">
        <v>432</v>
      </c>
    </row>
    <row r="567" spans="1:3">
      <c r="A567" s="250">
        <v>1966</v>
      </c>
      <c r="B567" s="74" t="s">
        <v>856</v>
      </c>
      <c r="C567" s="74" t="s">
        <v>432</v>
      </c>
    </row>
    <row r="568" spans="1:3">
      <c r="A568" s="250">
        <v>1969</v>
      </c>
      <c r="B568" s="74" t="s">
        <v>857</v>
      </c>
      <c r="C568" s="74" t="s">
        <v>432</v>
      </c>
    </row>
    <row r="569" spans="1:3">
      <c r="A569" s="250">
        <v>1970</v>
      </c>
      <c r="B569" s="74" t="s">
        <v>858</v>
      </c>
      <c r="C569" s="74" t="s">
        <v>432</v>
      </c>
    </row>
    <row r="570" spans="1:3">
      <c r="A570" s="250">
        <v>1971</v>
      </c>
      <c r="B570" s="74" t="s">
        <v>858</v>
      </c>
      <c r="C570" s="74" t="s">
        <v>432</v>
      </c>
    </row>
    <row r="571" spans="1:3">
      <c r="A571" s="250">
        <v>1982</v>
      </c>
      <c r="B571" s="74" t="s">
        <v>859</v>
      </c>
      <c r="C571" s="74" t="s">
        <v>432</v>
      </c>
    </row>
    <row r="572" spans="1:3">
      <c r="A572" s="250">
        <v>1983</v>
      </c>
      <c r="B572" s="74" t="s">
        <v>860</v>
      </c>
      <c r="C572" s="74" t="s">
        <v>432</v>
      </c>
    </row>
    <row r="573" spans="1:3">
      <c r="A573" s="250">
        <v>1984</v>
      </c>
      <c r="B573" s="74" t="s">
        <v>861</v>
      </c>
      <c r="C573" s="74" t="s">
        <v>432</v>
      </c>
    </row>
    <row r="574" spans="1:3">
      <c r="A574" s="250">
        <v>1985</v>
      </c>
      <c r="B574" s="74" t="s">
        <v>862</v>
      </c>
      <c r="C574" s="74" t="s">
        <v>432</v>
      </c>
    </row>
    <row r="575" spans="1:3">
      <c r="A575" s="250">
        <v>2018</v>
      </c>
      <c r="B575" s="74" t="s">
        <v>863</v>
      </c>
      <c r="C575" s="74" t="s">
        <v>432</v>
      </c>
    </row>
    <row r="576" spans="1:3">
      <c r="A576" s="250">
        <v>2019</v>
      </c>
      <c r="B576" s="74" t="s">
        <v>864</v>
      </c>
      <c r="C576" s="74" t="s">
        <v>432</v>
      </c>
    </row>
    <row r="577" spans="1:3">
      <c r="A577" s="250">
        <v>2020</v>
      </c>
      <c r="B577" s="74" t="s">
        <v>865</v>
      </c>
      <c r="C577" s="74" t="s">
        <v>432</v>
      </c>
    </row>
    <row r="578" spans="1:3">
      <c r="A578" s="250">
        <v>2021</v>
      </c>
      <c r="B578" s="74" t="s">
        <v>866</v>
      </c>
      <c r="C578" s="74" t="s">
        <v>432</v>
      </c>
    </row>
    <row r="579" spans="1:3">
      <c r="A579" s="250">
        <v>2025</v>
      </c>
      <c r="B579" s="74" t="s">
        <v>867</v>
      </c>
      <c r="C579" s="74" t="s">
        <v>432</v>
      </c>
    </row>
    <row r="580" spans="1:3">
      <c r="A580" s="250">
        <v>2026</v>
      </c>
      <c r="B580" s="74" t="s">
        <v>868</v>
      </c>
      <c r="C580" s="74" t="s">
        <v>432</v>
      </c>
    </row>
    <row r="581" spans="1:3">
      <c r="A581" s="250">
        <v>2027</v>
      </c>
      <c r="B581" s="74" t="s">
        <v>868</v>
      </c>
      <c r="C581" s="74" t="s">
        <v>432</v>
      </c>
    </row>
    <row r="582" spans="1:3">
      <c r="A582" s="250">
        <v>2030</v>
      </c>
      <c r="B582" s="74" t="s">
        <v>869</v>
      </c>
      <c r="C582" s="74" t="s">
        <v>432</v>
      </c>
    </row>
    <row r="583" spans="1:3">
      <c r="A583" s="250">
        <v>2031</v>
      </c>
      <c r="B583" s="74" t="s">
        <v>870</v>
      </c>
      <c r="C583" s="74" t="s">
        <v>432</v>
      </c>
    </row>
    <row r="584" spans="1:3">
      <c r="A584" s="250">
        <v>2032</v>
      </c>
      <c r="B584" s="74" t="s">
        <v>871</v>
      </c>
      <c r="C584" s="74" t="s">
        <v>432</v>
      </c>
    </row>
    <row r="585" spans="1:3">
      <c r="A585" s="250">
        <v>2035</v>
      </c>
      <c r="B585" s="74" t="s">
        <v>872</v>
      </c>
      <c r="C585" s="74" t="s">
        <v>432</v>
      </c>
    </row>
    <row r="586" spans="1:3">
      <c r="A586" s="250">
        <v>2038</v>
      </c>
      <c r="B586" s="74" t="s">
        <v>873</v>
      </c>
      <c r="C586" s="74" t="s">
        <v>432</v>
      </c>
    </row>
    <row r="587" spans="1:3">
      <c r="A587" s="250">
        <v>2040</v>
      </c>
      <c r="B587" s="74" t="s">
        <v>874</v>
      </c>
      <c r="C587" s="74" t="s">
        <v>432</v>
      </c>
    </row>
    <row r="588" spans="1:3">
      <c r="A588" s="250">
        <v>2041</v>
      </c>
      <c r="B588" s="74" t="s">
        <v>875</v>
      </c>
      <c r="C588" s="74" t="s">
        <v>432</v>
      </c>
    </row>
    <row r="589" spans="1:3">
      <c r="A589" s="250">
        <v>2043</v>
      </c>
      <c r="B589" s="74" t="s">
        <v>876</v>
      </c>
      <c r="C589" s="74" t="s">
        <v>432</v>
      </c>
    </row>
    <row r="590" spans="1:3">
      <c r="A590" s="250">
        <v>2044</v>
      </c>
      <c r="B590" s="74" t="s">
        <v>876</v>
      </c>
      <c r="C590" s="74" t="s">
        <v>432</v>
      </c>
    </row>
    <row r="591" spans="1:3">
      <c r="A591" s="250">
        <v>2045</v>
      </c>
      <c r="B591" s="74" t="s">
        <v>877</v>
      </c>
      <c r="C591" s="74" t="s">
        <v>432</v>
      </c>
    </row>
    <row r="592" spans="1:3">
      <c r="A592" s="250">
        <v>2047</v>
      </c>
      <c r="B592" s="74" t="s">
        <v>878</v>
      </c>
      <c r="C592" s="74" t="s">
        <v>432</v>
      </c>
    </row>
    <row r="593" spans="1:3">
      <c r="A593" s="250">
        <v>2048</v>
      </c>
      <c r="B593" s="74" t="s">
        <v>879</v>
      </c>
      <c r="C593" s="74" t="s">
        <v>432</v>
      </c>
    </row>
    <row r="594" spans="1:3">
      <c r="A594" s="250">
        <v>2050</v>
      </c>
      <c r="B594" s="74" t="s">
        <v>880</v>
      </c>
      <c r="C594" s="74" t="s">
        <v>432</v>
      </c>
    </row>
    <row r="595" spans="1:3">
      <c r="A595" s="250">
        <v>2051</v>
      </c>
      <c r="B595" s="74" t="s">
        <v>881</v>
      </c>
      <c r="C595" s="74" t="s">
        <v>432</v>
      </c>
    </row>
    <row r="596" spans="1:3">
      <c r="A596" s="250">
        <v>2052</v>
      </c>
      <c r="B596" s="74" t="s">
        <v>882</v>
      </c>
      <c r="C596" s="74" t="s">
        <v>432</v>
      </c>
    </row>
    <row r="597" spans="1:3">
      <c r="A597" s="250">
        <v>2053</v>
      </c>
      <c r="B597" s="74" t="s">
        <v>883</v>
      </c>
      <c r="C597" s="74" t="s">
        <v>432</v>
      </c>
    </row>
    <row r="598" spans="1:3">
      <c r="A598" s="250">
        <v>2054</v>
      </c>
      <c r="B598" s="74" t="s">
        <v>884</v>
      </c>
      <c r="C598" s="74" t="s">
        <v>432</v>
      </c>
    </row>
    <row r="599" spans="1:3">
      <c r="A599" s="250">
        <v>2055</v>
      </c>
      <c r="B599" s="74" t="s">
        <v>885</v>
      </c>
      <c r="C599" s="74" t="s">
        <v>432</v>
      </c>
    </row>
    <row r="600" spans="1:3">
      <c r="A600" s="250">
        <v>2056</v>
      </c>
      <c r="B600" s="74" t="s">
        <v>886</v>
      </c>
      <c r="C600" s="74" t="s">
        <v>432</v>
      </c>
    </row>
    <row r="601" spans="1:3">
      <c r="A601" s="250">
        <v>2059</v>
      </c>
      <c r="B601" s="74" t="s">
        <v>887</v>
      </c>
      <c r="C601" s="74" t="s">
        <v>432</v>
      </c>
    </row>
    <row r="602" spans="1:3">
      <c r="A602" s="250">
        <v>2060</v>
      </c>
      <c r="B602" s="74" t="s">
        <v>888</v>
      </c>
      <c r="C602" s="74" t="s">
        <v>432</v>
      </c>
    </row>
    <row r="603" spans="1:3">
      <c r="A603" s="250">
        <v>2061</v>
      </c>
      <c r="B603" s="74" t="s">
        <v>889</v>
      </c>
      <c r="C603" s="74" t="s">
        <v>432</v>
      </c>
    </row>
    <row r="604" spans="1:3">
      <c r="A604" s="250">
        <v>2062</v>
      </c>
      <c r="B604" s="74" t="s">
        <v>890</v>
      </c>
      <c r="C604" s="74" t="s">
        <v>432</v>
      </c>
    </row>
    <row r="605" spans="1:3">
      <c r="A605" s="250">
        <v>2065</v>
      </c>
      <c r="B605" s="74" t="s">
        <v>891</v>
      </c>
      <c r="C605" s="74" t="s">
        <v>432</v>
      </c>
    </row>
    <row r="606" spans="1:3">
      <c r="A606" s="250">
        <v>2066</v>
      </c>
      <c r="B606" s="74" t="s">
        <v>892</v>
      </c>
      <c r="C606" s="74" t="s">
        <v>432</v>
      </c>
    </row>
    <row r="607" spans="1:3">
      <c r="A607" s="250">
        <v>2067</v>
      </c>
      <c r="B607" s="74" t="s">
        <v>893</v>
      </c>
      <c r="C607" s="74" t="s">
        <v>432</v>
      </c>
    </row>
    <row r="608" spans="1:3">
      <c r="A608" s="250">
        <v>2070</v>
      </c>
      <c r="B608" s="74" t="s">
        <v>894</v>
      </c>
      <c r="C608" s="74" t="s">
        <v>432</v>
      </c>
    </row>
    <row r="609" spans="1:3">
      <c r="A609" s="250">
        <v>2071</v>
      </c>
      <c r="B609" s="74" t="s">
        <v>895</v>
      </c>
      <c r="C609" s="74" t="s">
        <v>432</v>
      </c>
    </row>
    <row r="610" spans="1:3">
      <c r="A610" s="250">
        <v>2072</v>
      </c>
      <c r="B610" s="74" t="s">
        <v>896</v>
      </c>
      <c r="C610" s="74" t="s">
        <v>432</v>
      </c>
    </row>
    <row r="611" spans="1:3">
      <c r="A611" s="250">
        <v>2081</v>
      </c>
      <c r="B611" s="74" t="s">
        <v>897</v>
      </c>
      <c r="C611" s="74" t="s">
        <v>432</v>
      </c>
    </row>
    <row r="612" spans="1:3">
      <c r="A612" s="250">
        <v>2090</v>
      </c>
      <c r="B612" s="74" t="s">
        <v>898</v>
      </c>
      <c r="C612" s="74" t="s">
        <v>432</v>
      </c>
    </row>
    <row r="613" spans="1:3">
      <c r="A613" s="250">
        <v>2093</v>
      </c>
      <c r="B613" s="74" t="s">
        <v>899</v>
      </c>
      <c r="C613" s="74" t="s">
        <v>432</v>
      </c>
    </row>
    <row r="614" spans="1:3">
      <c r="A614" s="250">
        <v>2108</v>
      </c>
      <c r="B614" s="74" t="s">
        <v>900</v>
      </c>
      <c r="C614" s="74" t="s">
        <v>432</v>
      </c>
    </row>
    <row r="615" spans="1:3">
      <c r="A615" s="250">
        <v>2109</v>
      </c>
      <c r="B615" s="74" t="s">
        <v>900</v>
      </c>
      <c r="C615" s="74" t="s">
        <v>432</v>
      </c>
    </row>
    <row r="616" spans="1:3">
      <c r="A616" s="250">
        <v>2110</v>
      </c>
      <c r="B616" s="74" t="s">
        <v>900</v>
      </c>
      <c r="C616" s="74" t="s">
        <v>432</v>
      </c>
    </row>
    <row r="617" spans="1:3">
      <c r="A617" s="250">
        <v>2111</v>
      </c>
      <c r="B617" s="74" t="s">
        <v>900</v>
      </c>
      <c r="C617" s="74" t="s">
        <v>432</v>
      </c>
    </row>
    <row r="618" spans="1:3">
      <c r="A618" s="250">
        <v>2112</v>
      </c>
      <c r="B618" s="74" t="s">
        <v>900</v>
      </c>
      <c r="C618" s="74" t="s">
        <v>432</v>
      </c>
    </row>
    <row r="619" spans="1:3">
      <c r="A619" s="250">
        <v>2113</v>
      </c>
      <c r="B619" s="74" t="s">
        <v>900</v>
      </c>
      <c r="C619" s="74" t="s">
        <v>432</v>
      </c>
    </row>
    <row r="620" spans="1:3">
      <c r="A620" s="250">
        <v>2114</v>
      </c>
      <c r="B620" s="74" t="s">
        <v>900</v>
      </c>
      <c r="C620" s="74" t="s">
        <v>432</v>
      </c>
    </row>
    <row r="621" spans="1:3">
      <c r="A621" s="250">
        <v>2115</v>
      </c>
      <c r="B621" s="74" t="s">
        <v>900</v>
      </c>
      <c r="C621" s="74" t="s">
        <v>432</v>
      </c>
    </row>
    <row r="622" spans="1:3">
      <c r="A622" s="250">
        <v>2116</v>
      </c>
      <c r="B622" s="74" t="s">
        <v>900</v>
      </c>
      <c r="C622" s="74" t="s">
        <v>432</v>
      </c>
    </row>
    <row r="623" spans="1:3">
      <c r="A623" s="250">
        <v>2117</v>
      </c>
      <c r="B623" s="74" t="s">
        <v>900</v>
      </c>
      <c r="C623" s="74" t="s">
        <v>432</v>
      </c>
    </row>
    <row r="624" spans="1:3">
      <c r="A624" s="250">
        <v>2118</v>
      </c>
      <c r="B624" s="74" t="s">
        <v>900</v>
      </c>
      <c r="C624" s="74" t="s">
        <v>432</v>
      </c>
    </row>
    <row r="625" spans="1:3">
      <c r="A625" s="250">
        <v>2119</v>
      </c>
      <c r="B625" s="74" t="s">
        <v>901</v>
      </c>
      <c r="C625" s="74" t="s">
        <v>432</v>
      </c>
    </row>
    <row r="626" spans="1:3">
      <c r="A626" s="250">
        <v>2120</v>
      </c>
      <c r="B626" s="74" t="s">
        <v>902</v>
      </c>
      <c r="C626" s="74" t="s">
        <v>432</v>
      </c>
    </row>
    <row r="627" spans="1:3">
      <c r="A627" s="250">
        <v>2121</v>
      </c>
      <c r="B627" s="74" t="s">
        <v>903</v>
      </c>
      <c r="C627" s="74" t="s">
        <v>432</v>
      </c>
    </row>
    <row r="628" spans="1:3">
      <c r="A628" s="250">
        <v>2122</v>
      </c>
      <c r="B628" s="74" t="s">
        <v>903</v>
      </c>
      <c r="C628" s="74" t="s">
        <v>432</v>
      </c>
    </row>
    <row r="629" spans="1:3">
      <c r="A629" s="250">
        <v>2123</v>
      </c>
      <c r="B629" s="74" t="s">
        <v>900</v>
      </c>
      <c r="C629" s="74" t="s">
        <v>432</v>
      </c>
    </row>
    <row r="630" spans="1:3">
      <c r="A630" s="250">
        <v>2124</v>
      </c>
      <c r="B630" s="74" t="s">
        <v>904</v>
      </c>
      <c r="C630" s="74" t="s">
        <v>432</v>
      </c>
    </row>
    <row r="631" spans="1:3">
      <c r="A631" s="250">
        <v>2125</v>
      </c>
      <c r="B631" s="74" t="s">
        <v>903</v>
      </c>
      <c r="C631" s="74" t="s">
        <v>432</v>
      </c>
    </row>
    <row r="632" spans="1:3">
      <c r="A632" s="250">
        <v>2126</v>
      </c>
      <c r="B632" s="74" t="s">
        <v>905</v>
      </c>
      <c r="C632" s="74" t="s">
        <v>432</v>
      </c>
    </row>
    <row r="633" spans="1:3">
      <c r="A633" s="250">
        <v>2127</v>
      </c>
      <c r="B633" s="74" t="s">
        <v>900</v>
      </c>
      <c r="C633" s="74" t="s">
        <v>432</v>
      </c>
    </row>
    <row r="634" spans="1:3">
      <c r="A634" s="250">
        <v>2128</v>
      </c>
      <c r="B634" s="74" t="s">
        <v>900</v>
      </c>
      <c r="C634" s="74" t="s">
        <v>432</v>
      </c>
    </row>
    <row r="635" spans="1:3">
      <c r="A635" s="250">
        <v>2129</v>
      </c>
      <c r="B635" s="74" t="s">
        <v>906</v>
      </c>
      <c r="C635" s="74" t="s">
        <v>432</v>
      </c>
    </row>
    <row r="636" spans="1:3">
      <c r="A636" s="250">
        <v>2130</v>
      </c>
      <c r="B636" s="74" t="s">
        <v>907</v>
      </c>
      <c r="C636" s="74" t="s">
        <v>432</v>
      </c>
    </row>
    <row r="637" spans="1:3">
      <c r="A637" s="250">
        <v>2131</v>
      </c>
      <c r="B637" s="74" t="s">
        <v>908</v>
      </c>
      <c r="C637" s="74" t="s">
        <v>432</v>
      </c>
    </row>
    <row r="638" spans="1:3">
      <c r="A638" s="250">
        <v>2132</v>
      </c>
      <c r="B638" s="74" t="s">
        <v>909</v>
      </c>
      <c r="C638" s="74" t="s">
        <v>432</v>
      </c>
    </row>
    <row r="639" spans="1:3">
      <c r="A639" s="250">
        <v>2133</v>
      </c>
      <c r="B639" s="74" t="s">
        <v>900</v>
      </c>
      <c r="C639" s="74" t="s">
        <v>432</v>
      </c>
    </row>
    <row r="640" spans="1:3">
      <c r="A640" s="250">
        <v>2134</v>
      </c>
      <c r="B640" s="74" t="s">
        <v>910</v>
      </c>
      <c r="C640" s="74" t="s">
        <v>432</v>
      </c>
    </row>
    <row r="641" spans="1:3">
      <c r="A641" s="250">
        <v>2135</v>
      </c>
      <c r="B641" s="74" t="s">
        <v>911</v>
      </c>
      <c r="C641" s="74" t="s">
        <v>432</v>
      </c>
    </row>
    <row r="642" spans="1:3">
      <c r="A642" s="250">
        <v>2136</v>
      </c>
      <c r="B642" s="74" t="s">
        <v>912</v>
      </c>
      <c r="C642" s="74" t="s">
        <v>432</v>
      </c>
    </row>
    <row r="643" spans="1:3">
      <c r="A643" s="250">
        <v>2137</v>
      </c>
      <c r="B643" s="74" t="s">
        <v>913</v>
      </c>
      <c r="C643" s="74" t="s">
        <v>432</v>
      </c>
    </row>
    <row r="644" spans="1:3">
      <c r="A644" s="250">
        <v>2138</v>
      </c>
      <c r="B644" s="74" t="s">
        <v>914</v>
      </c>
      <c r="C644" s="74" t="s">
        <v>432</v>
      </c>
    </row>
    <row r="645" spans="1:3">
      <c r="A645" s="250">
        <v>2139</v>
      </c>
      <c r="B645" s="74" t="s">
        <v>914</v>
      </c>
      <c r="C645" s="74" t="s">
        <v>432</v>
      </c>
    </row>
    <row r="646" spans="1:3">
      <c r="A646" s="250">
        <v>2140</v>
      </c>
      <c r="B646" s="74" t="s">
        <v>914</v>
      </c>
      <c r="C646" s="74" t="s">
        <v>432</v>
      </c>
    </row>
    <row r="647" spans="1:3">
      <c r="A647" s="250">
        <v>2141</v>
      </c>
      <c r="B647" s="74" t="s">
        <v>914</v>
      </c>
      <c r="C647" s="74" t="s">
        <v>432</v>
      </c>
    </row>
    <row r="648" spans="1:3">
      <c r="A648" s="250">
        <v>2142</v>
      </c>
      <c r="B648" s="74" t="s">
        <v>914</v>
      </c>
      <c r="C648" s="74" t="s">
        <v>432</v>
      </c>
    </row>
    <row r="649" spans="1:3">
      <c r="A649" s="250">
        <v>2143</v>
      </c>
      <c r="B649" s="74" t="s">
        <v>915</v>
      </c>
      <c r="C649" s="74" t="s">
        <v>432</v>
      </c>
    </row>
    <row r="650" spans="1:3">
      <c r="A650" s="250">
        <v>2144</v>
      </c>
      <c r="B650" s="74" t="s">
        <v>915</v>
      </c>
      <c r="C650" s="74" t="s">
        <v>432</v>
      </c>
    </row>
    <row r="651" spans="1:3">
      <c r="A651" s="250">
        <v>2145</v>
      </c>
      <c r="B651" s="74" t="s">
        <v>915</v>
      </c>
      <c r="C651" s="74" t="s">
        <v>432</v>
      </c>
    </row>
    <row r="652" spans="1:3">
      <c r="A652" s="250">
        <v>2148</v>
      </c>
      <c r="B652" s="74" t="s">
        <v>916</v>
      </c>
      <c r="C652" s="74" t="s">
        <v>432</v>
      </c>
    </row>
    <row r="653" spans="1:3">
      <c r="A653" s="250">
        <v>2149</v>
      </c>
      <c r="B653" s="74" t="s">
        <v>917</v>
      </c>
      <c r="C653" s="74" t="s">
        <v>432</v>
      </c>
    </row>
    <row r="654" spans="1:3">
      <c r="A654" s="250">
        <v>2150</v>
      </c>
      <c r="B654" s="74" t="s">
        <v>918</v>
      </c>
      <c r="C654" s="74" t="s">
        <v>432</v>
      </c>
    </row>
    <row r="655" spans="1:3">
      <c r="A655" s="250">
        <v>2151</v>
      </c>
      <c r="B655" s="74" t="s">
        <v>919</v>
      </c>
      <c r="C655" s="74" t="s">
        <v>432</v>
      </c>
    </row>
    <row r="656" spans="1:3">
      <c r="A656" s="250">
        <v>2152</v>
      </c>
      <c r="B656" s="74" t="s">
        <v>920</v>
      </c>
      <c r="C656" s="74" t="s">
        <v>432</v>
      </c>
    </row>
    <row r="657" spans="1:3">
      <c r="A657" s="250">
        <v>2153</v>
      </c>
      <c r="B657" s="74" t="s">
        <v>921</v>
      </c>
      <c r="C657" s="74" t="s">
        <v>432</v>
      </c>
    </row>
    <row r="658" spans="1:3">
      <c r="A658" s="250">
        <v>2155</v>
      </c>
      <c r="B658" s="74" t="s">
        <v>921</v>
      </c>
      <c r="C658" s="74" t="s">
        <v>432</v>
      </c>
    </row>
    <row r="659" spans="1:3">
      <c r="A659" s="250">
        <v>2156</v>
      </c>
      <c r="B659" s="74" t="s">
        <v>922</v>
      </c>
      <c r="C659" s="74" t="s">
        <v>432</v>
      </c>
    </row>
    <row r="660" spans="1:3">
      <c r="A660" s="250">
        <v>2163</v>
      </c>
      <c r="B660" s="74" t="s">
        <v>900</v>
      </c>
      <c r="C660" s="74" t="s">
        <v>432</v>
      </c>
    </row>
    <row r="661" spans="1:3">
      <c r="A661" s="250">
        <v>2169</v>
      </c>
      <c r="B661" s="74" t="s">
        <v>923</v>
      </c>
      <c r="C661" s="74" t="s">
        <v>432</v>
      </c>
    </row>
    <row r="662" spans="1:3">
      <c r="A662" s="250">
        <v>2170</v>
      </c>
      <c r="B662" s="74" t="s">
        <v>923</v>
      </c>
      <c r="C662" s="74" t="s">
        <v>432</v>
      </c>
    </row>
    <row r="663" spans="1:3">
      <c r="A663" s="250">
        <v>2171</v>
      </c>
      <c r="B663" s="74" t="s">
        <v>923</v>
      </c>
      <c r="C663" s="74" t="s">
        <v>432</v>
      </c>
    </row>
    <row r="664" spans="1:3">
      <c r="A664" s="250">
        <v>2176</v>
      </c>
      <c r="B664" s="74" t="s">
        <v>924</v>
      </c>
      <c r="C664" s="74" t="s">
        <v>432</v>
      </c>
    </row>
    <row r="665" spans="1:3">
      <c r="A665" s="250">
        <v>2180</v>
      </c>
      <c r="B665" s="74" t="s">
        <v>925</v>
      </c>
      <c r="C665" s="74" t="s">
        <v>432</v>
      </c>
    </row>
    <row r="666" spans="1:3">
      <c r="A666" s="250">
        <v>2184</v>
      </c>
      <c r="B666" s="74" t="s">
        <v>926</v>
      </c>
      <c r="C666" s="74" t="s">
        <v>432</v>
      </c>
    </row>
    <row r="667" spans="1:3">
      <c r="A667" s="250">
        <v>2185</v>
      </c>
      <c r="B667" s="74" t="s">
        <v>926</v>
      </c>
      <c r="C667" s="74" t="s">
        <v>432</v>
      </c>
    </row>
    <row r="668" spans="1:3">
      <c r="A668" s="250">
        <v>2186</v>
      </c>
      <c r="B668" s="74" t="s">
        <v>927</v>
      </c>
      <c r="C668" s="74" t="s">
        <v>432</v>
      </c>
    </row>
    <row r="669" spans="1:3">
      <c r="A669" s="250">
        <v>2187</v>
      </c>
      <c r="B669" s="74" t="s">
        <v>928</v>
      </c>
      <c r="C669" s="74" t="s">
        <v>432</v>
      </c>
    </row>
    <row r="670" spans="1:3">
      <c r="A670" s="250">
        <v>2188</v>
      </c>
      <c r="B670" s="74" t="s">
        <v>929</v>
      </c>
      <c r="C670" s="74" t="s">
        <v>432</v>
      </c>
    </row>
    <row r="671" spans="1:3">
      <c r="A671" s="250">
        <v>2189</v>
      </c>
      <c r="B671" s="74" t="s">
        <v>930</v>
      </c>
      <c r="C671" s="74" t="s">
        <v>432</v>
      </c>
    </row>
    <row r="672" spans="1:3">
      <c r="A672" s="250">
        <v>2190</v>
      </c>
      <c r="B672" s="74" t="s">
        <v>931</v>
      </c>
      <c r="C672" s="74" t="s">
        <v>432</v>
      </c>
    </row>
    <row r="673" spans="1:3">
      <c r="A673" s="250">
        <v>2191</v>
      </c>
      <c r="B673" s="74" t="s">
        <v>932</v>
      </c>
      <c r="C673" s="74" t="s">
        <v>432</v>
      </c>
    </row>
    <row r="674" spans="1:3">
      <c r="A674" s="250">
        <v>2196</v>
      </c>
      <c r="B674" s="74" t="s">
        <v>900</v>
      </c>
      <c r="C674" s="74" t="s">
        <v>432</v>
      </c>
    </row>
    <row r="675" spans="1:3">
      <c r="A675" s="250">
        <v>2199</v>
      </c>
      <c r="B675" s="74" t="s">
        <v>900</v>
      </c>
      <c r="C675" s="74" t="s">
        <v>432</v>
      </c>
    </row>
    <row r="676" spans="1:3">
      <c r="A676" s="250">
        <v>2201</v>
      </c>
      <c r="B676" s="74" t="s">
        <v>900</v>
      </c>
      <c r="C676" s="74" t="s">
        <v>432</v>
      </c>
    </row>
    <row r="677" spans="1:3">
      <c r="A677" s="250">
        <v>2203</v>
      </c>
      <c r="B677" s="74" t="s">
        <v>900</v>
      </c>
      <c r="C677" s="74" t="s">
        <v>432</v>
      </c>
    </row>
    <row r="678" spans="1:3">
      <c r="A678" s="250">
        <v>2204</v>
      </c>
      <c r="B678" s="74" t="s">
        <v>900</v>
      </c>
      <c r="C678" s="74" t="s">
        <v>432</v>
      </c>
    </row>
    <row r="679" spans="1:3">
      <c r="A679" s="250">
        <v>2205</v>
      </c>
      <c r="B679" s="74" t="s">
        <v>900</v>
      </c>
      <c r="C679" s="74" t="s">
        <v>432</v>
      </c>
    </row>
    <row r="680" spans="1:3">
      <c r="A680" s="250">
        <v>2206</v>
      </c>
      <c r="B680" s="74" t="s">
        <v>900</v>
      </c>
      <c r="C680" s="74" t="s">
        <v>432</v>
      </c>
    </row>
    <row r="681" spans="1:3">
      <c r="A681" s="250">
        <v>2207</v>
      </c>
      <c r="B681" s="74" t="s">
        <v>900</v>
      </c>
      <c r="C681" s="74" t="s">
        <v>432</v>
      </c>
    </row>
    <row r="682" spans="1:3">
      <c r="A682" s="250">
        <v>2210</v>
      </c>
      <c r="B682" s="74" t="s">
        <v>900</v>
      </c>
      <c r="C682" s="74" t="s">
        <v>432</v>
      </c>
    </row>
    <row r="683" spans="1:3">
      <c r="A683" s="250">
        <v>2211</v>
      </c>
      <c r="B683" s="74" t="s">
        <v>900</v>
      </c>
      <c r="C683" s="74" t="s">
        <v>432</v>
      </c>
    </row>
    <row r="684" spans="1:3">
      <c r="A684" s="250">
        <v>2212</v>
      </c>
      <c r="B684" s="74" t="s">
        <v>900</v>
      </c>
      <c r="C684" s="74" t="s">
        <v>432</v>
      </c>
    </row>
    <row r="685" spans="1:3">
      <c r="A685" s="250">
        <v>2215</v>
      </c>
      <c r="B685" s="74" t="s">
        <v>900</v>
      </c>
      <c r="C685" s="74" t="s">
        <v>432</v>
      </c>
    </row>
    <row r="686" spans="1:3">
      <c r="A686" s="250">
        <v>2216</v>
      </c>
      <c r="B686" s="74" t="s">
        <v>900</v>
      </c>
      <c r="C686" s="74" t="s">
        <v>432</v>
      </c>
    </row>
    <row r="687" spans="1:3">
      <c r="A687" s="250">
        <v>2217</v>
      </c>
      <c r="B687" s="74" t="s">
        <v>900</v>
      </c>
      <c r="C687" s="74" t="s">
        <v>432</v>
      </c>
    </row>
    <row r="688" spans="1:3">
      <c r="A688" s="250">
        <v>2222</v>
      </c>
      <c r="B688" s="74" t="s">
        <v>900</v>
      </c>
      <c r="C688" s="74" t="s">
        <v>432</v>
      </c>
    </row>
    <row r="689" spans="1:3">
      <c r="A689" s="250">
        <v>2228</v>
      </c>
      <c r="B689" s="74" t="s">
        <v>933</v>
      </c>
      <c r="C689" s="74" t="s">
        <v>432</v>
      </c>
    </row>
    <row r="690" spans="1:3">
      <c r="A690" s="250">
        <v>2238</v>
      </c>
      <c r="B690" s="74" t="s">
        <v>914</v>
      </c>
      <c r="C690" s="74" t="s">
        <v>432</v>
      </c>
    </row>
    <row r="691" spans="1:3">
      <c r="A691" s="250">
        <v>2239</v>
      </c>
      <c r="B691" s="74" t="s">
        <v>914</v>
      </c>
      <c r="C691" s="74" t="s">
        <v>432</v>
      </c>
    </row>
    <row r="692" spans="1:3">
      <c r="A692" s="250">
        <v>2241</v>
      </c>
      <c r="B692" s="74" t="s">
        <v>900</v>
      </c>
      <c r="C692" s="74" t="s">
        <v>432</v>
      </c>
    </row>
    <row r="693" spans="1:3">
      <c r="A693" s="250">
        <v>2266</v>
      </c>
      <c r="B693" s="74" t="s">
        <v>900</v>
      </c>
      <c r="C693" s="74" t="s">
        <v>432</v>
      </c>
    </row>
    <row r="694" spans="1:3">
      <c r="A694" s="250">
        <v>2269</v>
      </c>
      <c r="B694" s="74" t="s">
        <v>923</v>
      </c>
      <c r="C694" s="74" t="s">
        <v>432</v>
      </c>
    </row>
    <row r="695" spans="1:3">
      <c r="A695" s="250">
        <v>2283</v>
      </c>
      <c r="B695" s="74" t="s">
        <v>900</v>
      </c>
      <c r="C695" s="74" t="s">
        <v>432</v>
      </c>
    </row>
    <row r="696" spans="1:3">
      <c r="A696" s="250">
        <v>2284</v>
      </c>
      <c r="B696" s="74" t="s">
        <v>900</v>
      </c>
      <c r="C696" s="74" t="s">
        <v>432</v>
      </c>
    </row>
    <row r="697" spans="1:3">
      <c r="A697" s="250">
        <v>2293</v>
      </c>
      <c r="B697" s="74" t="s">
        <v>900</v>
      </c>
      <c r="C697" s="74" t="s">
        <v>432</v>
      </c>
    </row>
    <row r="698" spans="1:3">
      <c r="A698" s="250">
        <v>2295</v>
      </c>
      <c r="B698" s="74" t="s">
        <v>900</v>
      </c>
      <c r="C698" s="74" t="s">
        <v>432</v>
      </c>
    </row>
    <row r="699" spans="1:3">
      <c r="A699" s="250">
        <v>2297</v>
      </c>
      <c r="B699" s="74" t="s">
        <v>900</v>
      </c>
      <c r="C699" s="74" t="s">
        <v>432</v>
      </c>
    </row>
    <row r="700" spans="1:3">
      <c r="A700" s="250">
        <v>2298</v>
      </c>
      <c r="B700" s="74" t="s">
        <v>900</v>
      </c>
      <c r="C700" s="74" t="s">
        <v>432</v>
      </c>
    </row>
    <row r="701" spans="1:3">
      <c r="A701" s="250">
        <v>2301</v>
      </c>
      <c r="B701" s="74" t="s">
        <v>934</v>
      </c>
      <c r="C701" s="74" t="s">
        <v>432</v>
      </c>
    </row>
    <row r="702" spans="1:3">
      <c r="A702" s="250">
        <v>2302</v>
      </c>
      <c r="B702" s="74" t="s">
        <v>934</v>
      </c>
      <c r="C702" s="74" t="s">
        <v>432</v>
      </c>
    </row>
    <row r="703" spans="1:3">
      <c r="A703" s="250">
        <v>2303</v>
      </c>
      <c r="B703" s="74" t="s">
        <v>934</v>
      </c>
      <c r="C703" s="74" t="s">
        <v>432</v>
      </c>
    </row>
    <row r="704" spans="1:3">
      <c r="A704" s="250">
        <v>2304</v>
      </c>
      <c r="B704" s="74" t="s">
        <v>934</v>
      </c>
      <c r="C704" s="74" t="s">
        <v>432</v>
      </c>
    </row>
    <row r="705" spans="1:3">
      <c r="A705" s="250">
        <v>2305</v>
      </c>
      <c r="B705" s="74" t="s">
        <v>934</v>
      </c>
      <c r="C705" s="74" t="s">
        <v>432</v>
      </c>
    </row>
    <row r="706" spans="1:3">
      <c r="A706" s="250">
        <v>2322</v>
      </c>
      <c r="B706" s="74" t="s">
        <v>935</v>
      </c>
      <c r="C706" s="74" t="s">
        <v>432</v>
      </c>
    </row>
    <row r="707" spans="1:3">
      <c r="A707" s="250">
        <v>2324</v>
      </c>
      <c r="B707" s="74" t="s">
        <v>936</v>
      </c>
      <c r="C707" s="74" t="s">
        <v>432</v>
      </c>
    </row>
    <row r="708" spans="1:3">
      <c r="A708" s="250">
        <v>2325</v>
      </c>
      <c r="B708" s="74" t="s">
        <v>936</v>
      </c>
      <c r="C708" s="74" t="s">
        <v>432</v>
      </c>
    </row>
    <row r="709" spans="1:3">
      <c r="A709" s="250">
        <v>2327</v>
      </c>
      <c r="B709" s="74" t="s">
        <v>937</v>
      </c>
      <c r="C709" s="74" t="s">
        <v>432</v>
      </c>
    </row>
    <row r="710" spans="1:3">
      <c r="A710" s="250">
        <v>2330</v>
      </c>
      <c r="B710" s="74" t="s">
        <v>938</v>
      </c>
      <c r="C710" s="74" t="s">
        <v>432</v>
      </c>
    </row>
    <row r="711" spans="1:3">
      <c r="A711" s="250">
        <v>2331</v>
      </c>
      <c r="B711" s="74" t="s">
        <v>939</v>
      </c>
      <c r="C711" s="74" t="s">
        <v>432</v>
      </c>
    </row>
    <row r="712" spans="1:3">
      <c r="A712" s="250">
        <v>2332</v>
      </c>
      <c r="B712" s="74" t="s">
        <v>939</v>
      </c>
      <c r="C712" s="74" t="s">
        <v>432</v>
      </c>
    </row>
    <row r="713" spans="1:3">
      <c r="A713" s="250">
        <v>2333</v>
      </c>
      <c r="B713" s="74" t="s">
        <v>940</v>
      </c>
      <c r="C713" s="74" t="s">
        <v>432</v>
      </c>
    </row>
    <row r="714" spans="1:3">
      <c r="A714" s="250">
        <v>2334</v>
      </c>
      <c r="B714" s="74" t="s">
        <v>941</v>
      </c>
      <c r="C714" s="74" t="s">
        <v>432</v>
      </c>
    </row>
    <row r="715" spans="1:3">
      <c r="A715" s="250">
        <v>2337</v>
      </c>
      <c r="B715" s="74" t="s">
        <v>942</v>
      </c>
      <c r="C715" s="74" t="s">
        <v>432</v>
      </c>
    </row>
    <row r="716" spans="1:3">
      <c r="A716" s="250">
        <v>2338</v>
      </c>
      <c r="B716" s="74" t="s">
        <v>943</v>
      </c>
      <c r="C716" s="74" t="s">
        <v>432</v>
      </c>
    </row>
    <row r="717" spans="1:3">
      <c r="A717" s="250">
        <v>2339</v>
      </c>
      <c r="B717" s="74" t="s">
        <v>944</v>
      </c>
      <c r="C717" s="74" t="s">
        <v>432</v>
      </c>
    </row>
    <row r="718" spans="1:3">
      <c r="A718" s="250">
        <v>2340</v>
      </c>
      <c r="B718" s="74" t="s">
        <v>944</v>
      </c>
      <c r="C718" s="74" t="s">
        <v>432</v>
      </c>
    </row>
    <row r="719" spans="1:3">
      <c r="A719" s="250">
        <v>2341</v>
      </c>
      <c r="B719" s="74" t="s">
        <v>945</v>
      </c>
      <c r="C719" s="74" t="s">
        <v>432</v>
      </c>
    </row>
    <row r="720" spans="1:3">
      <c r="A720" s="250">
        <v>2343</v>
      </c>
      <c r="B720" s="74" t="s">
        <v>946</v>
      </c>
      <c r="C720" s="74" t="s">
        <v>432</v>
      </c>
    </row>
    <row r="721" spans="1:3">
      <c r="A721" s="250">
        <v>2344</v>
      </c>
      <c r="B721" s="74" t="s">
        <v>947</v>
      </c>
      <c r="C721" s="74" t="s">
        <v>432</v>
      </c>
    </row>
    <row r="722" spans="1:3">
      <c r="A722" s="250">
        <v>2345</v>
      </c>
      <c r="B722" s="74" t="s">
        <v>948</v>
      </c>
      <c r="C722" s="74" t="s">
        <v>432</v>
      </c>
    </row>
    <row r="723" spans="1:3">
      <c r="A723" s="250">
        <v>2346</v>
      </c>
      <c r="B723" s="74" t="s">
        <v>947</v>
      </c>
      <c r="C723" s="74" t="s">
        <v>432</v>
      </c>
    </row>
    <row r="724" spans="1:3">
      <c r="A724" s="250">
        <v>2347</v>
      </c>
      <c r="B724" s="74" t="s">
        <v>949</v>
      </c>
      <c r="C724" s="74" t="s">
        <v>432</v>
      </c>
    </row>
    <row r="725" spans="1:3">
      <c r="A725" s="250">
        <v>2348</v>
      </c>
      <c r="B725" s="74" t="s">
        <v>949</v>
      </c>
      <c r="C725" s="74" t="s">
        <v>432</v>
      </c>
    </row>
    <row r="726" spans="1:3">
      <c r="A726" s="250">
        <v>2349</v>
      </c>
      <c r="B726" s="74" t="s">
        <v>947</v>
      </c>
      <c r="C726" s="74" t="s">
        <v>432</v>
      </c>
    </row>
    <row r="727" spans="1:3">
      <c r="A727" s="250">
        <v>2350</v>
      </c>
      <c r="B727" s="74" t="s">
        <v>950</v>
      </c>
      <c r="C727" s="74" t="s">
        <v>432</v>
      </c>
    </row>
    <row r="728" spans="1:3">
      <c r="A728" s="250">
        <v>2351</v>
      </c>
      <c r="B728" s="74" t="s">
        <v>951</v>
      </c>
      <c r="C728" s="74" t="s">
        <v>432</v>
      </c>
    </row>
    <row r="729" spans="1:3">
      <c r="A729" s="250">
        <v>2355</v>
      </c>
      <c r="B729" s="74" t="s">
        <v>952</v>
      </c>
      <c r="C729" s="74" t="s">
        <v>432</v>
      </c>
    </row>
    <row r="730" spans="1:3">
      <c r="A730" s="250">
        <v>2356</v>
      </c>
      <c r="B730" s="74" t="s">
        <v>953</v>
      </c>
      <c r="C730" s="74" t="s">
        <v>432</v>
      </c>
    </row>
    <row r="731" spans="1:3">
      <c r="A731" s="250">
        <v>2357</v>
      </c>
      <c r="B731" s="74" t="s">
        <v>953</v>
      </c>
      <c r="C731" s="74" t="s">
        <v>432</v>
      </c>
    </row>
    <row r="732" spans="1:3">
      <c r="A732" s="250">
        <v>2358</v>
      </c>
      <c r="B732" s="74" t="s">
        <v>954</v>
      </c>
      <c r="C732" s="74" t="s">
        <v>432</v>
      </c>
    </row>
    <row r="733" spans="1:3">
      <c r="A733" s="250">
        <v>2359</v>
      </c>
      <c r="B733" s="74" t="s">
        <v>955</v>
      </c>
      <c r="C733" s="74" t="s">
        <v>432</v>
      </c>
    </row>
    <row r="734" spans="1:3">
      <c r="A734" s="250">
        <v>2360</v>
      </c>
      <c r="B734" s="74" t="s">
        <v>956</v>
      </c>
      <c r="C734" s="74" t="s">
        <v>432</v>
      </c>
    </row>
    <row r="735" spans="1:3">
      <c r="A735" s="250">
        <v>2361</v>
      </c>
      <c r="B735" s="74" t="s">
        <v>956</v>
      </c>
      <c r="C735" s="74" t="s">
        <v>432</v>
      </c>
    </row>
    <row r="736" spans="1:3">
      <c r="A736" s="250">
        <v>2362</v>
      </c>
      <c r="B736" s="74" t="s">
        <v>956</v>
      </c>
      <c r="C736" s="74" t="s">
        <v>432</v>
      </c>
    </row>
    <row r="737" spans="1:3">
      <c r="A737" s="250">
        <v>2364</v>
      </c>
      <c r="B737" s="74" t="s">
        <v>957</v>
      </c>
      <c r="C737" s="74" t="s">
        <v>432</v>
      </c>
    </row>
    <row r="738" spans="1:3">
      <c r="A738" s="250">
        <v>2366</v>
      </c>
      <c r="B738" s="74" t="s">
        <v>958</v>
      </c>
      <c r="C738" s="74" t="s">
        <v>432</v>
      </c>
    </row>
    <row r="739" spans="1:3">
      <c r="A739" s="250">
        <v>2367</v>
      </c>
      <c r="B739" s="74" t="s">
        <v>959</v>
      </c>
      <c r="C739" s="74" t="s">
        <v>432</v>
      </c>
    </row>
    <row r="740" spans="1:3">
      <c r="A740" s="250">
        <v>2368</v>
      </c>
      <c r="B740" s="74" t="s">
        <v>960</v>
      </c>
      <c r="C740" s="74" t="s">
        <v>432</v>
      </c>
    </row>
    <row r="741" spans="1:3">
      <c r="A741" s="250">
        <v>2370</v>
      </c>
      <c r="B741" s="74" t="s">
        <v>961</v>
      </c>
      <c r="C741" s="74" t="s">
        <v>432</v>
      </c>
    </row>
    <row r="742" spans="1:3">
      <c r="A742" s="250">
        <v>2375</v>
      </c>
      <c r="B742" s="74" t="s">
        <v>962</v>
      </c>
      <c r="C742" s="74" t="s">
        <v>432</v>
      </c>
    </row>
    <row r="743" spans="1:3">
      <c r="A743" s="250">
        <v>2379</v>
      </c>
      <c r="B743" s="74" t="s">
        <v>963</v>
      </c>
      <c r="C743" s="74" t="s">
        <v>432</v>
      </c>
    </row>
    <row r="744" spans="1:3">
      <c r="A744" s="250">
        <v>2381</v>
      </c>
      <c r="B744" s="74" t="s">
        <v>964</v>
      </c>
      <c r="C744" s="74" t="s">
        <v>432</v>
      </c>
    </row>
    <row r="745" spans="1:3">
      <c r="A745" s="250">
        <v>2382</v>
      </c>
      <c r="B745" s="74" t="s">
        <v>965</v>
      </c>
      <c r="C745" s="74" t="s">
        <v>432</v>
      </c>
    </row>
    <row r="746" spans="1:3">
      <c r="A746" s="250">
        <v>2420</v>
      </c>
      <c r="B746" s="74" t="s">
        <v>966</v>
      </c>
      <c r="C746" s="74" t="s">
        <v>432</v>
      </c>
    </row>
    <row r="747" spans="1:3">
      <c r="A747" s="250">
        <v>2421</v>
      </c>
      <c r="B747" s="74" t="s">
        <v>966</v>
      </c>
      <c r="C747" s="74" t="s">
        <v>432</v>
      </c>
    </row>
    <row r="748" spans="1:3">
      <c r="A748" s="250">
        <v>2445</v>
      </c>
      <c r="B748" s="74" t="s">
        <v>967</v>
      </c>
      <c r="C748" s="74" t="s">
        <v>432</v>
      </c>
    </row>
    <row r="749" spans="1:3">
      <c r="A749" s="250">
        <v>2446</v>
      </c>
      <c r="B749" s="74" t="s">
        <v>967</v>
      </c>
      <c r="C749" s="74" t="s">
        <v>432</v>
      </c>
    </row>
    <row r="750" spans="1:3">
      <c r="A750" s="250">
        <v>2447</v>
      </c>
      <c r="B750" s="74" t="s">
        <v>968</v>
      </c>
      <c r="C750" s="74" t="s">
        <v>432</v>
      </c>
    </row>
    <row r="751" spans="1:3">
      <c r="A751" s="250">
        <v>2451</v>
      </c>
      <c r="B751" s="74" t="s">
        <v>969</v>
      </c>
      <c r="C751" s="74" t="s">
        <v>432</v>
      </c>
    </row>
    <row r="752" spans="1:3">
      <c r="A752" s="250">
        <v>2452</v>
      </c>
      <c r="B752" s="74" t="s">
        <v>969</v>
      </c>
      <c r="C752" s="74" t="s">
        <v>432</v>
      </c>
    </row>
    <row r="753" spans="1:3">
      <c r="A753" s="250">
        <v>2453</v>
      </c>
      <c r="B753" s="74" t="s">
        <v>969</v>
      </c>
      <c r="C753" s="74" t="s">
        <v>432</v>
      </c>
    </row>
    <row r="754" spans="1:3">
      <c r="A754" s="250">
        <v>2454</v>
      </c>
      <c r="B754" s="74" t="s">
        <v>969</v>
      </c>
      <c r="C754" s="74" t="s">
        <v>432</v>
      </c>
    </row>
    <row r="755" spans="1:3">
      <c r="A755" s="250">
        <v>2455</v>
      </c>
      <c r="B755" s="74" t="s">
        <v>970</v>
      </c>
      <c r="C755" s="74" t="s">
        <v>432</v>
      </c>
    </row>
    <row r="756" spans="1:3">
      <c r="A756" s="250">
        <v>2456</v>
      </c>
      <c r="B756" s="74" t="s">
        <v>971</v>
      </c>
      <c r="C756" s="74" t="s">
        <v>432</v>
      </c>
    </row>
    <row r="757" spans="1:3">
      <c r="A757" s="250">
        <v>2457</v>
      </c>
      <c r="B757" s="74" t="s">
        <v>972</v>
      </c>
      <c r="C757" s="74" t="s">
        <v>432</v>
      </c>
    </row>
    <row r="758" spans="1:3">
      <c r="A758" s="250">
        <v>2458</v>
      </c>
      <c r="B758" s="74" t="s">
        <v>973</v>
      </c>
      <c r="C758" s="74" t="s">
        <v>432</v>
      </c>
    </row>
    <row r="759" spans="1:3">
      <c r="A759" s="250">
        <v>2459</v>
      </c>
      <c r="B759" s="74" t="s">
        <v>974</v>
      </c>
      <c r="C759" s="74" t="s">
        <v>432</v>
      </c>
    </row>
    <row r="760" spans="1:3">
      <c r="A760" s="250">
        <v>2460</v>
      </c>
      <c r="B760" s="74" t="s">
        <v>975</v>
      </c>
      <c r="C760" s="74" t="s">
        <v>432</v>
      </c>
    </row>
    <row r="761" spans="1:3">
      <c r="A761" s="250">
        <v>2461</v>
      </c>
      <c r="B761" s="74" t="s">
        <v>976</v>
      </c>
      <c r="C761" s="74" t="s">
        <v>432</v>
      </c>
    </row>
    <row r="762" spans="1:3">
      <c r="A762" s="250">
        <v>2462</v>
      </c>
      <c r="B762" s="74" t="s">
        <v>977</v>
      </c>
      <c r="C762" s="74" t="s">
        <v>432</v>
      </c>
    </row>
    <row r="763" spans="1:3">
      <c r="A763" s="250">
        <v>2464</v>
      </c>
      <c r="B763" s="74" t="s">
        <v>978</v>
      </c>
      <c r="C763" s="74" t="s">
        <v>432</v>
      </c>
    </row>
    <row r="764" spans="1:3">
      <c r="A764" s="250">
        <v>2465</v>
      </c>
      <c r="B764" s="74" t="s">
        <v>979</v>
      </c>
      <c r="C764" s="74" t="s">
        <v>432</v>
      </c>
    </row>
    <row r="765" spans="1:3">
      <c r="A765" s="250">
        <v>2466</v>
      </c>
      <c r="B765" s="74" t="s">
        <v>980</v>
      </c>
      <c r="C765" s="74" t="s">
        <v>432</v>
      </c>
    </row>
    <row r="766" spans="1:3">
      <c r="A766" s="250">
        <v>2467</v>
      </c>
      <c r="B766" s="74" t="s">
        <v>981</v>
      </c>
      <c r="C766" s="74" t="s">
        <v>432</v>
      </c>
    </row>
    <row r="767" spans="1:3">
      <c r="A767" s="250">
        <v>2468</v>
      </c>
      <c r="B767" s="74" t="s">
        <v>982</v>
      </c>
      <c r="C767" s="74" t="s">
        <v>432</v>
      </c>
    </row>
    <row r="768" spans="1:3">
      <c r="A768" s="250">
        <v>2471</v>
      </c>
      <c r="B768" s="74" t="s">
        <v>983</v>
      </c>
      <c r="C768" s="74" t="s">
        <v>432</v>
      </c>
    </row>
    <row r="769" spans="1:3">
      <c r="A769" s="250">
        <v>2472</v>
      </c>
      <c r="B769" s="74" t="s">
        <v>983</v>
      </c>
      <c r="C769" s="74" t="s">
        <v>432</v>
      </c>
    </row>
    <row r="770" spans="1:3">
      <c r="A770" s="250">
        <v>2474</v>
      </c>
      <c r="B770" s="74" t="s">
        <v>984</v>
      </c>
      <c r="C770" s="74" t="s">
        <v>432</v>
      </c>
    </row>
    <row r="771" spans="1:3">
      <c r="A771" s="250">
        <v>2475</v>
      </c>
      <c r="B771" s="74" t="s">
        <v>985</v>
      </c>
      <c r="C771" s="74" t="s">
        <v>432</v>
      </c>
    </row>
    <row r="772" spans="1:3">
      <c r="A772" s="250">
        <v>2476</v>
      </c>
      <c r="B772" s="74" t="s">
        <v>984</v>
      </c>
      <c r="C772" s="74" t="s">
        <v>432</v>
      </c>
    </row>
    <row r="773" spans="1:3">
      <c r="A773" s="250">
        <v>2477</v>
      </c>
      <c r="B773" s="74" t="s">
        <v>983</v>
      </c>
      <c r="C773" s="74" t="s">
        <v>432</v>
      </c>
    </row>
    <row r="774" spans="1:3">
      <c r="A774" s="250">
        <v>2478</v>
      </c>
      <c r="B774" s="74" t="s">
        <v>986</v>
      </c>
      <c r="C774" s="74" t="s">
        <v>432</v>
      </c>
    </row>
    <row r="775" spans="1:3">
      <c r="A775" s="250">
        <v>2479</v>
      </c>
      <c r="B775" s="74" t="s">
        <v>987</v>
      </c>
      <c r="C775" s="74" t="s">
        <v>432</v>
      </c>
    </row>
    <row r="776" spans="1:3">
      <c r="A776" s="250">
        <v>2481</v>
      </c>
      <c r="B776" s="74" t="s">
        <v>988</v>
      </c>
      <c r="C776" s="74" t="s">
        <v>432</v>
      </c>
    </row>
    <row r="777" spans="1:3">
      <c r="A777" s="250">
        <v>2482</v>
      </c>
      <c r="B777" s="74" t="s">
        <v>989</v>
      </c>
      <c r="C777" s="74" t="s">
        <v>432</v>
      </c>
    </row>
    <row r="778" spans="1:3">
      <c r="A778" s="250">
        <v>2492</v>
      </c>
      <c r="B778" s="74" t="s">
        <v>990</v>
      </c>
      <c r="C778" s="74" t="s">
        <v>432</v>
      </c>
    </row>
    <row r="779" spans="1:3">
      <c r="A779" s="250">
        <v>2493</v>
      </c>
      <c r="B779" s="74" t="s">
        <v>991</v>
      </c>
      <c r="C779" s="74" t="s">
        <v>432</v>
      </c>
    </row>
    <row r="780" spans="1:3">
      <c r="A780" s="250">
        <v>2494</v>
      </c>
      <c r="B780" s="74" t="s">
        <v>992</v>
      </c>
      <c r="C780" s="74" t="s">
        <v>432</v>
      </c>
    </row>
    <row r="781" spans="1:3">
      <c r="A781" s="250">
        <v>2495</v>
      </c>
      <c r="B781" s="74" t="s">
        <v>993</v>
      </c>
      <c r="C781" s="74" t="s">
        <v>432</v>
      </c>
    </row>
    <row r="782" spans="1:3">
      <c r="A782" s="250">
        <v>2532</v>
      </c>
      <c r="B782" s="74" t="s">
        <v>994</v>
      </c>
      <c r="C782" s="74" t="s">
        <v>432</v>
      </c>
    </row>
    <row r="783" spans="1:3">
      <c r="A783" s="250">
        <v>2534</v>
      </c>
      <c r="B783" s="74" t="s">
        <v>995</v>
      </c>
      <c r="C783" s="74" t="s">
        <v>432</v>
      </c>
    </row>
    <row r="784" spans="1:3">
      <c r="A784" s="250">
        <v>2535</v>
      </c>
      <c r="B784" s="74" t="s">
        <v>996</v>
      </c>
      <c r="C784" s="74" t="s">
        <v>432</v>
      </c>
    </row>
    <row r="785" spans="1:3">
      <c r="A785" s="250">
        <v>2536</v>
      </c>
      <c r="B785" s="74" t="s">
        <v>997</v>
      </c>
      <c r="C785" s="74" t="s">
        <v>432</v>
      </c>
    </row>
    <row r="786" spans="1:3">
      <c r="A786" s="250">
        <v>2537</v>
      </c>
      <c r="B786" s="74" t="s">
        <v>998</v>
      </c>
      <c r="C786" s="74" t="s">
        <v>432</v>
      </c>
    </row>
    <row r="787" spans="1:3">
      <c r="A787" s="250">
        <v>2538</v>
      </c>
      <c r="B787" s="74" t="s">
        <v>999</v>
      </c>
      <c r="C787" s="74" t="s">
        <v>432</v>
      </c>
    </row>
    <row r="788" spans="1:3">
      <c r="A788" s="250">
        <v>2539</v>
      </c>
      <c r="B788" s="74" t="s">
        <v>1000</v>
      </c>
      <c r="C788" s="74" t="s">
        <v>432</v>
      </c>
    </row>
    <row r="789" spans="1:3">
      <c r="A789" s="250">
        <v>2540</v>
      </c>
      <c r="B789" s="74" t="s">
        <v>1001</v>
      </c>
      <c r="C789" s="74" t="s">
        <v>432</v>
      </c>
    </row>
    <row r="790" spans="1:3">
      <c r="A790" s="250">
        <v>2541</v>
      </c>
      <c r="B790" s="74" t="s">
        <v>1001</v>
      </c>
      <c r="C790" s="74" t="s">
        <v>432</v>
      </c>
    </row>
    <row r="791" spans="1:3">
      <c r="A791" s="250">
        <v>2542</v>
      </c>
      <c r="B791" s="74" t="s">
        <v>994</v>
      </c>
      <c r="C791" s="74" t="s">
        <v>432</v>
      </c>
    </row>
    <row r="792" spans="1:3">
      <c r="A792" s="250">
        <v>2543</v>
      </c>
      <c r="B792" s="74" t="s">
        <v>1002</v>
      </c>
      <c r="C792" s="74" t="s">
        <v>432</v>
      </c>
    </row>
    <row r="793" spans="1:3">
      <c r="A793" s="250">
        <v>2552</v>
      </c>
      <c r="B793" s="74" t="s">
        <v>1003</v>
      </c>
      <c r="C793" s="74" t="s">
        <v>432</v>
      </c>
    </row>
    <row r="794" spans="1:3">
      <c r="A794" s="250">
        <v>2553</v>
      </c>
      <c r="B794" s="74" t="s">
        <v>1004</v>
      </c>
      <c r="C794" s="74" t="s">
        <v>432</v>
      </c>
    </row>
    <row r="795" spans="1:3">
      <c r="A795" s="250">
        <v>2554</v>
      </c>
      <c r="B795" s="74" t="s">
        <v>1005</v>
      </c>
      <c r="C795" s="74" t="s">
        <v>432</v>
      </c>
    </row>
    <row r="796" spans="1:3">
      <c r="A796" s="250">
        <v>2556</v>
      </c>
      <c r="B796" s="74" t="s">
        <v>1006</v>
      </c>
      <c r="C796" s="74" t="s">
        <v>432</v>
      </c>
    </row>
    <row r="797" spans="1:3">
      <c r="A797" s="250">
        <v>2557</v>
      </c>
      <c r="B797" s="74" t="s">
        <v>1007</v>
      </c>
      <c r="C797" s="74" t="s">
        <v>432</v>
      </c>
    </row>
    <row r="798" spans="1:3">
      <c r="A798" s="250">
        <v>2558</v>
      </c>
      <c r="B798" s="74" t="s">
        <v>1008</v>
      </c>
      <c r="C798" s="74" t="s">
        <v>432</v>
      </c>
    </row>
    <row r="799" spans="1:3">
      <c r="A799" s="250">
        <v>2559</v>
      </c>
      <c r="B799" s="74" t="s">
        <v>1009</v>
      </c>
      <c r="C799" s="74" t="s">
        <v>432</v>
      </c>
    </row>
    <row r="800" spans="1:3">
      <c r="A800" s="250">
        <v>2561</v>
      </c>
      <c r="B800" s="74" t="s">
        <v>1010</v>
      </c>
      <c r="C800" s="74" t="s">
        <v>432</v>
      </c>
    </row>
    <row r="801" spans="1:3">
      <c r="A801" s="250">
        <v>2562</v>
      </c>
      <c r="B801" s="74" t="s">
        <v>1011</v>
      </c>
      <c r="C801" s="74" t="s">
        <v>432</v>
      </c>
    </row>
    <row r="802" spans="1:3">
      <c r="A802" s="250">
        <v>2563</v>
      </c>
      <c r="B802" s="74" t="s">
        <v>1012</v>
      </c>
      <c r="C802" s="74" t="s">
        <v>432</v>
      </c>
    </row>
    <row r="803" spans="1:3">
      <c r="A803" s="250">
        <v>2564</v>
      </c>
      <c r="B803" s="74" t="s">
        <v>1013</v>
      </c>
      <c r="C803" s="74" t="s">
        <v>432</v>
      </c>
    </row>
    <row r="804" spans="1:3">
      <c r="A804" s="250">
        <v>2565</v>
      </c>
      <c r="B804" s="74" t="s">
        <v>1014</v>
      </c>
      <c r="C804" s="74" t="s">
        <v>432</v>
      </c>
    </row>
    <row r="805" spans="1:3">
      <c r="A805" s="250">
        <v>2568</v>
      </c>
      <c r="B805" s="74" t="s">
        <v>1015</v>
      </c>
      <c r="C805" s="74" t="s">
        <v>432</v>
      </c>
    </row>
    <row r="806" spans="1:3">
      <c r="A806" s="250">
        <v>2571</v>
      </c>
      <c r="B806" s="74" t="s">
        <v>1016</v>
      </c>
      <c r="C806" s="74" t="s">
        <v>432</v>
      </c>
    </row>
    <row r="807" spans="1:3">
      <c r="A807" s="250">
        <v>2573</v>
      </c>
      <c r="B807" s="74" t="s">
        <v>1017</v>
      </c>
      <c r="C807" s="74" t="s">
        <v>432</v>
      </c>
    </row>
    <row r="808" spans="1:3">
      <c r="A808" s="250">
        <v>2574</v>
      </c>
      <c r="B808" s="74" t="s">
        <v>1018</v>
      </c>
      <c r="C808" s="74" t="s">
        <v>432</v>
      </c>
    </row>
    <row r="809" spans="1:3">
      <c r="A809" s="250">
        <v>2575</v>
      </c>
      <c r="B809" s="74" t="s">
        <v>1019</v>
      </c>
      <c r="C809" s="74" t="s">
        <v>432</v>
      </c>
    </row>
    <row r="810" spans="1:3">
      <c r="A810" s="250">
        <v>2576</v>
      </c>
      <c r="B810" s="74" t="s">
        <v>1020</v>
      </c>
      <c r="C810" s="74" t="s">
        <v>432</v>
      </c>
    </row>
    <row r="811" spans="1:3">
      <c r="A811" s="250">
        <v>2584</v>
      </c>
      <c r="B811" s="74" t="s">
        <v>1005</v>
      </c>
      <c r="C811" s="74" t="s">
        <v>432</v>
      </c>
    </row>
    <row r="812" spans="1:3">
      <c r="A812" s="250">
        <v>2601</v>
      </c>
      <c r="B812" s="74" t="s">
        <v>1021</v>
      </c>
      <c r="C812" s="74" t="s">
        <v>432</v>
      </c>
    </row>
    <row r="813" spans="1:3">
      <c r="A813" s="250">
        <v>2630</v>
      </c>
      <c r="B813" s="74" t="s">
        <v>1022</v>
      </c>
      <c r="C813" s="74" t="s">
        <v>432</v>
      </c>
    </row>
    <row r="814" spans="1:3">
      <c r="A814" s="250">
        <v>2631</v>
      </c>
      <c r="B814" s="74" t="s">
        <v>1023</v>
      </c>
      <c r="C814" s="74" t="s">
        <v>432</v>
      </c>
    </row>
    <row r="815" spans="1:3">
      <c r="A815" s="250">
        <v>2632</v>
      </c>
      <c r="B815" s="74" t="s">
        <v>1024</v>
      </c>
      <c r="C815" s="74" t="s">
        <v>432</v>
      </c>
    </row>
    <row r="816" spans="1:3">
      <c r="A816" s="250">
        <v>2633</v>
      </c>
      <c r="B816" s="74" t="s">
        <v>1025</v>
      </c>
      <c r="C816" s="74" t="s">
        <v>432</v>
      </c>
    </row>
    <row r="817" spans="1:3">
      <c r="A817" s="250">
        <v>2634</v>
      </c>
      <c r="B817" s="74" t="s">
        <v>1024</v>
      </c>
      <c r="C817" s="74" t="s">
        <v>432</v>
      </c>
    </row>
    <row r="818" spans="1:3">
      <c r="A818" s="250">
        <v>2635</v>
      </c>
      <c r="B818" s="74" t="s">
        <v>1026</v>
      </c>
      <c r="C818" s="74" t="s">
        <v>432</v>
      </c>
    </row>
    <row r="819" spans="1:3">
      <c r="A819" s="250">
        <v>2636</v>
      </c>
      <c r="B819" s="74" t="s">
        <v>1024</v>
      </c>
      <c r="C819" s="74" t="s">
        <v>432</v>
      </c>
    </row>
    <row r="820" spans="1:3">
      <c r="A820" s="250">
        <v>2637</v>
      </c>
      <c r="B820" s="74" t="s">
        <v>1027</v>
      </c>
      <c r="C820" s="74" t="s">
        <v>432</v>
      </c>
    </row>
    <row r="821" spans="1:3">
      <c r="A821" s="250">
        <v>2638</v>
      </c>
      <c r="B821" s="74" t="s">
        <v>1028</v>
      </c>
      <c r="C821" s="74" t="s">
        <v>432</v>
      </c>
    </row>
    <row r="822" spans="1:3">
      <c r="A822" s="250">
        <v>2639</v>
      </c>
      <c r="B822" s="74" t="s">
        <v>1029</v>
      </c>
      <c r="C822" s="74" t="s">
        <v>432</v>
      </c>
    </row>
    <row r="823" spans="1:3">
      <c r="A823" s="250">
        <v>2641</v>
      </c>
      <c r="B823" s="74" t="s">
        <v>1030</v>
      </c>
      <c r="C823" s="74" t="s">
        <v>432</v>
      </c>
    </row>
    <row r="824" spans="1:3">
      <c r="A824" s="250">
        <v>2642</v>
      </c>
      <c r="B824" s="74" t="s">
        <v>1031</v>
      </c>
      <c r="C824" s="74" t="s">
        <v>432</v>
      </c>
    </row>
    <row r="825" spans="1:3">
      <c r="A825" s="250">
        <v>2643</v>
      </c>
      <c r="B825" s="74" t="s">
        <v>1032</v>
      </c>
      <c r="C825" s="74" t="s">
        <v>432</v>
      </c>
    </row>
    <row r="826" spans="1:3">
      <c r="A826" s="250">
        <v>2644</v>
      </c>
      <c r="B826" s="74" t="s">
        <v>1033</v>
      </c>
      <c r="C826" s="74" t="s">
        <v>432</v>
      </c>
    </row>
    <row r="827" spans="1:3">
      <c r="A827" s="250">
        <v>2645</v>
      </c>
      <c r="B827" s="74" t="s">
        <v>1034</v>
      </c>
      <c r="C827" s="74" t="s">
        <v>432</v>
      </c>
    </row>
    <row r="828" spans="1:3">
      <c r="A828" s="250">
        <v>2646</v>
      </c>
      <c r="B828" s="74" t="s">
        <v>1035</v>
      </c>
      <c r="C828" s="74" t="s">
        <v>432</v>
      </c>
    </row>
    <row r="829" spans="1:3">
      <c r="A829" s="250">
        <v>2647</v>
      </c>
      <c r="B829" s="74" t="s">
        <v>1036</v>
      </c>
      <c r="C829" s="74" t="s">
        <v>432</v>
      </c>
    </row>
    <row r="830" spans="1:3">
      <c r="A830" s="250">
        <v>2648</v>
      </c>
      <c r="B830" s="74" t="s">
        <v>1037</v>
      </c>
      <c r="C830" s="74" t="s">
        <v>432</v>
      </c>
    </row>
    <row r="831" spans="1:3">
      <c r="A831" s="250">
        <v>2649</v>
      </c>
      <c r="B831" s="74" t="s">
        <v>1038</v>
      </c>
      <c r="C831" s="74" t="s">
        <v>432</v>
      </c>
    </row>
    <row r="832" spans="1:3">
      <c r="A832" s="250">
        <v>2650</v>
      </c>
      <c r="B832" s="74" t="s">
        <v>1039</v>
      </c>
      <c r="C832" s="74" t="s">
        <v>432</v>
      </c>
    </row>
    <row r="833" spans="1:3">
      <c r="A833" s="250">
        <v>2651</v>
      </c>
      <c r="B833" s="74" t="s">
        <v>1040</v>
      </c>
      <c r="C833" s="74" t="s">
        <v>432</v>
      </c>
    </row>
    <row r="834" spans="1:3">
      <c r="A834" s="250">
        <v>2652</v>
      </c>
      <c r="B834" s="74" t="s">
        <v>1041</v>
      </c>
      <c r="C834" s="74" t="s">
        <v>432</v>
      </c>
    </row>
    <row r="835" spans="1:3">
      <c r="A835" s="250">
        <v>2653</v>
      </c>
      <c r="B835" s="74" t="s">
        <v>1042</v>
      </c>
      <c r="C835" s="74" t="s">
        <v>432</v>
      </c>
    </row>
    <row r="836" spans="1:3">
      <c r="A836" s="250">
        <v>2655</v>
      </c>
      <c r="B836" s="74" t="s">
        <v>1043</v>
      </c>
      <c r="C836" s="74" t="s">
        <v>432</v>
      </c>
    </row>
    <row r="837" spans="1:3">
      <c r="A837" s="250">
        <v>2657</v>
      </c>
      <c r="B837" s="74" t="s">
        <v>1044</v>
      </c>
      <c r="C837" s="74" t="s">
        <v>432</v>
      </c>
    </row>
    <row r="838" spans="1:3">
      <c r="A838" s="250">
        <v>2659</v>
      </c>
      <c r="B838" s="74" t="s">
        <v>1045</v>
      </c>
      <c r="C838" s="74" t="s">
        <v>432</v>
      </c>
    </row>
    <row r="839" spans="1:3">
      <c r="A839" s="250">
        <v>2660</v>
      </c>
      <c r="B839" s="74" t="s">
        <v>1046</v>
      </c>
      <c r="C839" s="74" t="s">
        <v>432</v>
      </c>
    </row>
    <row r="840" spans="1:3">
      <c r="A840" s="250">
        <v>2661</v>
      </c>
      <c r="B840" s="74" t="s">
        <v>1047</v>
      </c>
      <c r="C840" s="74" t="s">
        <v>432</v>
      </c>
    </row>
    <row r="841" spans="1:3">
      <c r="A841" s="250">
        <v>2662</v>
      </c>
      <c r="B841" s="74" t="s">
        <v>1048</v>
      </c>
      <c r="C841" s="74" t="s">
        <v>432</v>
      </c>
    </row>
    <row r="842" spans="1:3">
      <c r="A842" s="250">
        <v>2663</v>
      </c>
      <c r="B842" s="74" t="s">
        <v>1049</v>
      </c>
      <c r="C842" s="74" t="s">
        <v>432</v>
      </c>
    </row>
    <row r="843" spans="1:3">
      <c r="A843" s="250">
        <v>2664</v>
      </c>
      <c r="B843" s="74" t="s">
        <v>1050</v>
      </c>
      <c r="C843" s="74" t="s">
        <v>432</v>
      </c>
    </row>
    <row r="844" spans="1:3">
      <c r="A844" s="250">
        <v>2666</v>
      </c>
      <c r="B844" s="74" t="s">
        <v>1051</v>
      </c>
      <c r="C844" s="74" t="s">
        <v>432</v>
      </c>
    </row>
    <row r="845" spans="1:3">
      <c r="A845" s="250">
        <v>2667</v>
      </c>
      <c r="B845" s="74" t="s">
        <v>1052</v>
      </c>
      <c r="C845" s="74" t="s">
        <v>432</v>
      </c>
    </row>
    <row r="846" spans="1:3">
      <c r="A846" s="250">
        <v>2668</v>
      </c>
      <c r="B846" s="74" t="s">
        <v>1053</v>
      </c>
      <c r="C846" s="74" t="s">
        <v>432</v>
      </c>
    </row>
    <row r="847" spans="1:3">
      <c r="A847" s="250">
        <v>2669</v>
      </c>
      <c r="B847" s="74" t="s">
        <v>1054</v>
      </c>
      <c r="C847" s="74" t="s">
        <v>432</v>
      </c>
    </row>
    <row r="848" spans="1:3">
      <c r="A848" s="250">
        <v>2670</v>
      </c>
      <c r="B848" s="74" t="s">
        <v>1055</v>
      </c>
      <c r="C848" s="74" t="s">
        <v>432</v>
      </c>
    </row>
    <row r="849" spans="1:3">
      <c r="A849" s="250">
        <v>2671</v>
      </c>
      <c r="B849" s="74" t="s">
        <v>1056</v>
      </c>
      <c r="C849" s="74" t="s">
        <v>432</v>
      </c>
    </row>
    <row r="850" spans="1:3">
      <c r="A850" s="250">
        <v>2672</v>
      </c>
      <c r="B850" s="74" t="s">
        <v>1057</v>
      </c>
      <c r="C850" s="74" t="s">
        <v>432</v>
      </c>
    </row>
    <row r="851" spans="1:3">
      <c r="A851" s="250">
        <v>2673</v>
      </c>
      <c r="B851" s="74" t="s">
        <v>1058</v>
      </c>
      <c r="C851" s="74" t="s">
        <v>432</v>
      </c>
    </row>
    <row r="852" spans="1:3">
      <c r="A852" s="250">
        <v>2675</v>
      </c>
      <c r="B852" s="74" t="s">
        <v>1059</v>
      </c>
      <c r="C852" s="74" t="s">
        <v>432</v>
      </c>
    </row>
    <row r="853" spans="1:3">
      <c r="A853" s="250">
        <v>2702</v>
      </c>
      <c r="B853" s="74" t="s">
        <v>1060</v>
      </c>
      <c r="C853" s="74" t="s">
        <v>432</v>
      </c>
    </row>
    <row r="854" spans="1:3">
      <c r="A854" s="250">
        <v>2703</v>
      </c>
      <c r="B854" s="74" t="s">
        <v>1061</v>
      </c>
      <c r="C854" s="74" t="s">
        <v>432</v>
      </c>
    </row>
    <row r="855" spans="1:3">
      <c r="A855" s="250">
        <v>2712</v>
      </c>
      <c r="B855" s="74" t="s">
        <v>1062</v>
      </c>
      <c r="C855" s="74" t="s">
        <v>432</v>
      </c>
    </row>
    <row r="856" spans="1:3">
      <c r="A856" s="250">
        <v>2713</v>
      </c>
      <c r="B856" s="74" t="s">
        <v>1063</v>
      </c>
      <c r="C856" s="74" t="s">
        <v>432</v>
      </c>
    </row>
    <row r="857" spans="1:3">
      <c r="A857" s="250">
        <v>2714</v>
      </c>
      <c r="B857" s="74" t="s">
        <v>1064</v>
      </c>
      <c r="C857" s="74" t="s">
        <v>432</v>
      </c>
    </row>
    <row r="858" spans="1:3">
      <c r="A858" s="250">
        <v>2715</v>
      </c>
      <c r="B858" s="74" t="s">
        <v>1065</v>
      </c>
      <c r="C858" s="74" t="s">
        <v>432</v>
      </c>
    </row>
    <row r="859" spans="1:3">
      <c r="A859" s="250">
        <v>2717</v>
      </c>
      <c r="B859" s="74" t="s">
        <v>1066</v>
      </c>
      <c r="C859" s="74" t="s">
        <v>432</v>
      </c>
    </row>
    <row r="860" spans="1:3">
      <c r="A860" s="250">
        <v>2718</v>
      </c>
      <c r="B860" s="74" t="s">
        <v>1067</v>
      </c>
      <c r="C860" s="74" t="s">
        <v>432</v>
      </c>
    </row>
    <row r="861" spans="1:3">
      <c r="A861" s="250">
        <v>2719</v>
      </c>
      <c r="B861" s="74" t="s">
        <v>1068</v>
      </c>
      <c r="C861" s="74" t="s">
        <v>432</v>
      </c>
    </row>
    <row r="862" spans="1:3">
      <c r="A862" s="250">
        <v>2720</v>
      </c>
      <c r="B862" s="74" t="s">
        <v>1069</v>
      </c>
      <c r="C862" s="74" t="s">
        <v>432</v>
      </c>
    </row>
    <row r="863" spans="1:3">
      <c r="A863" s="250">
        <v>2721</v>
      </c>
      <c r="B863" s="74" t="s">
        <v>1069</v>
      </c>
      <c r="C863" s="74" t="s">
        <v>432</v>
      </c>
    </row>
    <row r="864" spans="1:3">
      <c r="A864" s="250">
        <v>2722</v>
      </c>
      <c r="B864" s="74" t="s">
        <v>1069</v>
      </c>
      <c r="C864" s="74" t="s">
        <v>432</v>
      </c>
    </row>
    <row r="865" spans="1:3">
      <c r="A865" s="250">
        <v>2723</v>
      </c>
      <c r="B865" s="74" t="s">
        <v>1069</v>
      </c>
      <c r="C865" s="74" t="s">
        <v>432</v>
      </c>
    </row>
    <row r="866" spans="1:3">
      <c r="A866" s="250">
        <v>2724</v>
      </c>
      <c r="B866" s="74" t="s">
        <v>1069</v>
      </c>
      <c r="C866" s="74" t="s">
        <v>432</v>
      </c>
    </row>
    <row r="867" spans="1:3">
      <c r="A867" s="250">
        <v>2725</v>
      </c>
      <c r="B867" s="74" t="s">
        <v>1070</v>
      </c>
      <c r="C867" s="74" t="s">
        <v>432</v>
      </c>
    </row>
    <row r="868" spans="1:3">
      <c r="A868" s="250">
        <v>2726</v>
      </c>
      <c r="B868" s="74" t="s">
        <v>1070</v>
      </c>
      <c r="C868" s="74" t="s">
        <v>432</v>
      </c>
    </row>
    <row r="869" spans="1:3">
      <c r="A869" s="250">
        <v>2738</v>
      </c>
      <c r="B869" s="74" t="s">
        <v>1071</v>
      </c>
      <c r="C869" s="74" t="s">
        <v>432</v>
      </c>
    </row>
    <row r="870" spans="1:3">
      <c r="A870" s="250">
        <v>2739</v>
      </c>
      <c r="B870" s="74" t="s">
        <v>1072</v>
      </c>
      <c r="C870" s="74" t="s">
        <v>432</v>
      </c>
    </row>
    <row r="871" spans="1:3">
      <c r="A871" s="250">
        <v>2740</v>
      </c>
      <c r="B871" s="74" t="s">
        <v>1073</v>
      </c>
      <c r="C871" s="74" t="s">
        <v>432</v>
      </c>
    </row>
    <row r="872" spans="1:3">
      <c r="A872" s="250">
        <v>2741</v>
      </c>
      <c r="B872" s="74" t="s">
        <v>1073</v>
      </c>
      <c r="C872" s="74" t="s">
        <v>432</v>
      </c>
    </row>
    <row r="873" spans="1:3">
      <c r="A873" s="250">
        <v>2742</v>
      </c>
      <c r="B873" s="74" t="s">
        <v>1073</v>
      </c>
      <c r="C873" s="74" t="s">
        <v>432</v>
      </c>
    </row>
    <row r="874" spans="1:3">
      <c r="A874" s="250">
        <v>2743</v>
      </c>
      <c r="B874" s="74" t="s">
        <v>1074</v>
      </c>
      <c r="C874" s="74" t="s">
        <v>432</v>
      </c>
    </row>
    <row r="875" spans="1:3">
      <c r="A875" s="250">
        <v>2744</v>
      </c>
      <c r="B875" s="74" t="s">
        <v>1073</v>
      </c>
      <c r="C875" s="74" t="s">
        <v>432</v>
      </c>
    </row>
    <row r="876" spans="1:3">
      <c r="A876" s="250">
        <v>2745</v>
      </c>
      <c r="B876" s="74" t="s">
        <v>1073</v>
      </c>
      <c r="C876" s="74" t="s">
        <v>432</v>
      </c>
    </row>
    <row r="877" spans="1:3">
      <c r="A877" s="250">
        <v>2746</v>
      </c>
      <c r="B877" s="74" t="s">
        <v>1073</v>
      </c>
      <c r="C877" s="74" t="s">
        <v>432</v>
      </c>
    </row>
    <row r="878" spans="1:3">
      <c r="A878" s="250">
        <v>2747</v>
      </c>
      <c r="B878" s="74" t="s">
        <v>1075</v>
      </c>
      <c r="C878" s="74" t="s">
        <v>432</v>
      </c>
    </row>
    <row r="879" spans="1:3">
      <c r="A879" s="250">
        <v>2748</v>
      </c>
      <c r="B879" s="74" t="s">
        <v>1076</v>
      </c>
      <c r="C879" s="74" t="s">
        <v>432</v>
      </c>
    </row>
    <row r="880" spans="1:3">
      <c r="A880" s="250">
        <v>2760</v>
      </c>
      <c r="B880" s="74" t="s">
        <v>1077</v>
      </c>
      <c r="C880" s="74" t="s">
        <v>432</v>
      </c>
    </row>
    <row r="881" spans="1:3">
      <c r="A881" s="250">
        <v>2761</v>
      </c>
      <c r="B881" s="74" t="s">
        <v>1077</v>
      </c>
      <c r="C881" s="74" t="s">
        <v>432</v>
      </c>
    </row>
    <row r="882" spans="1:3">
      <c r="A882" s="250">
        <v>2762</v>
      </c>
      <c r="B882" s="74" t="s">
        <v>1078</v>
      </c>
      <c r="C882" s="74" t="s">
        <v>432</v>
      </c>
    </row>
    <row r="883" spans="1:3">
      <c r="A883" s="250">
        <v>2763</v>
      </c>
      <c r="B883" s="74" t="s">
        <v>1079</v>
      </c>
      <c r="C883" s="74" t="s">
        <v>432</v>
      </c>
    </row>
    <row r="884" spans="1:3">
      <c r="A884" s="250">
        <v>2764</v>
      </c>
      <c r="B884" s="74" t="s">
        <v>1080</v>
      </c>
      <c r="C884" s="74" t="s">
        <v>432</v>
      </c>
    </row>
    <row r="885" spans="1:3">
      <c r="A885" s="250">
        <v>2766</v>
      </c>
      <c r="B885" s="74" t="s">
        <v>1081</v>
      </c>
      <c r="C885" s="74" t="s">
        <v>432</v>
      </c>
    </row>
    <row r="886" spans="1:3">
      <c r="A886" s="250">
        <v>2767</v>
      </c>
      <c r="B886" s="74" t="s">
        <v>1082</v>
      </c>
      <c r="C886" s="74" t="s">
        <v>432</v>
      </c>
    </row>
    <row r="887" spans="1:3">
      <c r="A887" s="250">
        <v>2768</v>
      </c>
      <c r="B887" s="74" t="s">
        <v>1083</v>
      </c>
      <c r="C887" s="74" t="s">
        <v>432</v>
      </c>
    </row>
    <row r="888" spans="1:3">
      <c r="A888" s="250">
        <v>2769</v>
      </c>
      <c r="B888" s="74" t="s">
        <v>1084</v>
      </c>
      <c r="C888" s="74" t="s">
        <v>432</v>
      </c>
    </row>
    <row r="889" spans="1:3">
      <c r="A889" s="250">
        <v>2770</v>
      </c>
      <c r="B889" s="74" t="s">
        <v>1085</v>
      </c>
      <c r="C889" s="74" t="s">
        <v>432</v>
      </c>
    </row>
    <row r="890" spans="1:3">
      <c r="A890" s="250">
        <v>2771</v>
      </c>
      <c r="B890" s="74" t="s">
        <v>1086</v>
      </c>
      <c r="C890" s="74" t="s">
        <v>432</v>
      </c>
    </row>
    <row r="891" spans="1:3">
      <c r="A891" s="250">
        <v>2777</v>
      </c>
      <c r="B891" s="74" t="s">
        <v>1087</v>
      </c>
      <c r="C891" s="74" t="s">
        <v>432</v>
      </c>
    </row>
    <row r="892" spans="1:3">
      <c r="A892" s="250">
        <v>2779</v>
      </c>
      <c r="B892" s="74" t="s">
        <v>1088</v>
      </c>
      <c r="C892" s="74" t="s">
        <v>432</v>
      </c>
    </row>
    <row r="893" spans="1:3">
      <c r="A893" s="250">
        <v>2780</v>
      </c>
      <c r="B893" s="74" t="s">
        <v>1089</v>
      </c>
      <c r="C893" s="74" t="s">
        <v>432</v>
      </c>
    </row>
    <row r="894" spans="1:3">
      <c r="A894" s="250">
        <v>2783</v>
      </c>
      <c r="B894" s="74" t="s">
        <v>1089</v>
      </c>
      <c r="C894" s="74" t="s">
        <v>432</v>
      </c>
    </row>
    <row r="895" spans="1:3">
      <c r="A895" s="250">
        <v>2790</v>
      </c>
      <c r="B895" s="74" t="s">
        <v>1090</v>
      </c>
      <c r="C895" s="74" t="s">
        <v>432</v>
      </c>
    </row>
    <row r="896" spans="1:3">
      <c r="A896" s="250">
        <v>2791</v>
      </c>
      <c r="B896" s="74" t="s">
        <v>1091</v>
      </c>
      <c r="C896" s="74" t="s">
        <v>432</v>
      </c>
    </row>
    <row r="897" spans="1:3">
      <c r="A897" s="250">
        <v>2801</v>
      </c>
      <c r="B897" s="74" t="s">
        <v>1092</v>
      </c>
      <c r="C897" s="74" t="s">
        <v>449</v>
      </c>
    </row>
    <row r="898" spans="1:3">
      <c r="A898" s="250">
        <v>2802</v>
      </c>
      <c r="B898" s="74" t="s">
        <v>1093</v>
      </c>
      <c r="C898" s="74" t="s">
        <v>449</v>
      </c>
    </row>
    <row r="899" spans="1:3">
      <c r="A899" s="250">
        <v>2804</v>
      </c>
      <c r="B899" s="74" t="s">
        <v>1094</v>
      </c>
      <c r="C899" s="74" t="s">
        <v>449</v>
      </c>
    </row>
    <row r="900" spans="1:3">
      <c r="A900" s="250">
        <v>2806</v>
      </c>
      <c r="B900" s="74" t="s">
        <v>1095</v>
      </c>
      <c r="C900" s="74" t="s">
        <v>449</v>
      </c>
    </row>
    <row r="901" spans="1:3">
      <c r="A901" s="250">
        <v>2807</v>
      </c>
      <c r="B901" s="74" t="s">
        <v>1096</v>
      </c>
      <c r="C901" s="74" t="s">
        <v>449</v>
      </c>
    </row>
    <row r="902" spans="1:3">
      <c r="A902" s="250">
        <v>2808</v>
      </c>
      <c r="B902" s="74" t="s">
        <v>1097</v>
      </c>
      <c r="C902" s="74" t="s">
        <v>449</v>
      </c>
    </row>
    <row r="903" spans="1:3">
      <c r="A903" s="250">
        <v>2809</v>
      </c>
      <c r="B903" s="74" t="s">
        <v>1098</v>
      </c>
      <c r="C903" s="74" t="s">
        <v>449</v>
      </c>
    </row>
    <row r="904" spans="1:3">
      <c r="A904" s="250">
        <v>2812</v>
      </c>
      <c r="B904" s="74" t="s">
        <v>575</v>
      </c>
      <c r="C904" s="74" t="s">
        <v>449</v>
      </c>
    </row>
    <row r="905" spans="1:3">
      <c r="A905" s="250">
        <v>2813</v>
      </c>
      <c r="B905" s="74" t="s">
        <v>906</v>
      </c>
      <c r="C905" s="74" t="s">
        <v>449</v>
      </c>
    </row>
    <row r="906" spans="1:3">
      <c r="A906" s="250">
        <v>2814</v>
      </c>
      <c r="B906" s="74" t="s">
        <v>1099</v>
      </c>
      <c r="C906" s="74" t="s">
        <v>449</v>
      </c>
    </row>
    <row r="907" spans="1:3">
      <c r="A907" s="250">
        <v>2815</v>
      </c>
      <c r="B907" s="74" t="s">
        <v>1100</v>
      </c>
      <c r="C907" s="74" t="s">
        <v>449</v>
      </c>
    </row>
    <row r="908" spans="1:3">
      <c r="A908" s="250">
        <v>2816</v>
      </c>
      <c r="B908" s="74" t="s">
        <v>1101</v>
      </c>
      <c r="C908" s="74" t="s">
        <v>449</v>
      </c>
    </row>
    <row r="909" spans="1:3">
      <c r="A909" s="250">
        <v>2817</v>
      </c>
      <c r="B909" s="74" t="s">
        <v>1102</v>
      </c>
      <c r="C909" s="74" t="s">
        <v>449</v>
      </c>
    </row>
    <row r="910" spans="1:3">
      <c r="A910" s="250">
        <v>2818</v>
      </c>
      <c r="B910" s="74" t="s">
        <v>1103</v>
      </c>
      <c r="C910" s="74" t="s">
        <v>449</v>
      </c>
    </row>
    <row r="911" spans="1:3">
      <c r="A911" s="250">
        <v>2822</v>
      </c>
      <c r="B911" s="74" t="s">
        <v>1104</v>
      </c>
      <c r="C911" s="74" t="s">
        <v>449</v>
      </c>
    </row>
    <row r="912" spans="1:3">
      <c r="A912" s="250">
        <v>2823</v>
      </c>
      <c r="B912" s="74" t="s">
        <v>1105</v>
      </c>
      <c r="C912" s="74" t="s">
        <v>449</v>
      </c>
    </row>
    <row r="913" spans="1:3">
      <c r="A913" s="250">
        <v>2824</v>
      </c>
      <c r="B913" s="74" t="s">
        <v>1033</v>
      </c>
      <c r="C913" s="74" t="s">
        <v>449</v>
      </c>
    </row>
    <row r="914" spans="1:3">
      <c r="A914" s="250">
        <v>2825</v>
      </c>
      <c r="B914" s="74" t="s">
        <v>1106</v>
      </c>
      <c r="C914" s="74" t="s">
        <v>449</v>
      </c>
    </row>
    <row r="915" spans="1:3">
      <c r="A915" s="250">
        <v>2826</v>
      </c>
      <c r="B915" s="74" t="s">
        <v>644</v>
      </c>
      <c r="C915" s="74" t="s">
        <v>449</v>
      </c>
    </row>
    <row r="916" spans="1:3">
      <c r="A916" s="250">
        <v>2827</v>
      </c>
      <c r="B916" s="74" t="s">
        <v>1107</v>
      </c>
      <c r="C916" s="74" t="s">
        <v>449</v>
      </c>
    </row>
    <row r="917" spans="1:3">
      <c r="A917" s="250">
        <v>2828</v>
      </c>
      <c r="B917" s="74" t="s">
        <v>1108</v>
      </c>
      <c r="C917" s="74" t="s">
        <v>449</v>
      </c>
    </row>
    <row r="918" spans="1:3">
      <c r="A918" s="250">
        <v>2829</v>
      </c>
      <c r="B918" s="74" t="s">
        <v>1109</v>
      </c>
      <c r="C918" s="74" t="s">
        <v>449</v>
      </c>
    </row>
    <row r="919" spans="1:3">
      <c r="A919" s="250">
        <v>2830</v>
      </c>
      <c r="B919" s="74" t="s">
        <v>1110</v>
      </c>
      <c r="C919" s="74" t="s">
        <v>449</v>
      </c>
    </row>
    <row r="920" spans="1:3">
      <c r="A920" s="250">
        <v>2831</v>
      </c>
      <c r="B920" s="74" t="s">
        <v>1111</v>
      </c>
      <c r="C920" s="74" t="s">
        <v>449</v>
      </c>
    </row>
    <row r="921" spans="1:3">
      <c r="A921" s="250">
        <v>2832</v>
      </c>
      <c r="B921" s="74" t="s">
        <v>1112</v>
      </c>
      <c r="C921" s="74" t="s">
        <v>449</v>
      </c>
    </row>
    <row r="922" spans="1:3">
      <c r="A922" s="250">
        <v>2833</v>
      </c>
      <c r="B922" s="74" t="s">
        <v>791</v>
      </c>
      <c r="C922" s="74" t="s">
        <v>449</v>
      </c>
    </row>
    <row r="923" spans="1:3">
      <c r="A923" s="250">
        <v>2835</v>
      </c>
      <c r="B923" s="74" t="s">
        <v>1113</v>
      </c>
      <c r="C923" s="74" t="s">
        <v>449</v>
      </c>
    </row>
    <row r="924" spans="1:3">
      <c r="A924" s="250">
        <v>2836</v>
      </c>
      <c r="B924" s="74" t="s">
        <v>1114</v>
      </c>
      <c r="C924" s="74" t="s">
        <v>449</v>
      </c>
    </row>
    <row r="925" spans="1:3">
      <c r="A925" s="250">
        <v>2837</v>
      </c>
      <c r="B925" s="74" t="s">
        <v>1115</v>
      </c>
      <c r="C925" s="74" t="s">
        <v>449</v>
      </c>
    </row>
    <row r="926" spans="1:3">
      <c r="A926" s="250">
        <v>2838</v>
      </c>
      <c r="B926" s="74" t="s">
        <v>1116</v>
      </c>
      <c r="C926" s="74" t="s">
        <v>449</v>
      </c>
    </row>
    <row r="927" spans="1:3">
      <c r="A927" s="250">
        <v>2839</v>
      </c>
      <c r="B927" s="74" t="s">
        <v>1117</v>
      </c>
      <c r="C927" s="74" t="s">
        <v>449</v>
      </c>
    </row>
    <row r="928" spans="1:3">
      <c r="A928" s="250">
        <v>2840</v>
      </c>
      <c r="B928" s="74" t="s">
        <v>1118</v>
      </c>
      <c r="C928" s="74" t="s">
        <v>449</v>
      </c>
    </row>
    <row r="929" spans="1:3">
      <c r="A929" s="250">
        <v>2841</v>
      </c>
      <c r="B929" s="74" t="s">
        <v>1118</v>
      </c>
      <c r="C929" s="74" t="s">
        <v>449</v>
      </c>
    </row>
    <row r="930" spans="1:3">
      <c r="A930" s="250">
        <v>2842</v>
      </c>
      <c r="B930" s="74" t="s">
        <v>1119</v>
      </c>
      <c r="C930" s="74" t="s">
        <v>449</v>
      </c>
    </row>
    <row r="931" spans="1:3">
      <c r="A931" s="250">
        <v>2852</v>
      </c>
      <c r="B931" s="74" t="s">
        <v>1120</v>
      </c>
      <c r="C931" s="74" t="s">
        <v>449</v>
      </c>
    </row>
    <row r="932" spans="1:3">
      <c r="A932" s="250">
        <v>2854</v>
      </c>
      <c r="B932" s="74" t="s">
        <v>1120</v>
      </c>
      <c r="C932" s="74" t="s">
        <v>449</v>
      </c>
    </row>
    <row r="933" spans="1:3">
      <c r="A933" s="250">
        <v>2857</v>
      </c>
      <c r="B933" s="74" t="s">
        <v>888</v>
      </c>
      <c r="C933" s="74" t="s">
        <v>449</v>
      </c>
    </row>
    <row r="934" spans="1:3">
      <c r="A934" s="250">
        <v>2858</v>
      </c>
      <c r="B934" s="74" t="s">
        <v>1121</v>
      </c>
      <c r="C934" s="74" t="s">
        <v>449</v>
      </c>
    </row>
    <row r="935" spans="1:3">
      <c r="A935" s="250">
        <v>2859</v>
      </c>
      <c r="B935" s="74" t="s">
        <v>1122</v>
      </c>
      <c r="C935" s="74" t="s">
        <v>449</v>
      </c>
    </row>
    <row r="936" spans="1:3">
      <c r="A936" s="250">
        <v>2860</v>
      </c>
      <c r="B936" s="74" t="s">
        <v>1123</v>
      </c>
      <c r="C936" s="74" t="s">
        <v>449</v>
      </c>
    </row>
    <row r="937" spans="1:3">
      <c r="A937" s="250">
        <v>2861</v>
      </c>
      <c r="B937" s="74" t="s">
        <v>1123</v>
      </c>
      <c r="C937" s="74" t="s">
        <v>449</v>
      </c>
    </row>
    <row r="938" spans="1:3">
      <c r="A938" s="250">
        <v>2862</v>
      </c>
      <c r="B938" s="74" t="s">
        <v>1123</v>
      </c>
      <c r="C938" s="74" t="s">
        <v>449</v>
      </c>
    </row>
    <row r="939" spans="1:3">
      <c r="A939" s="250">
        <v>2863</v>
      </c>
      <c r="B939" s="74" t="s">
        <v>1124</v>
      </c>
      <c r="C939" s="74" t="s">
        <v>449</v>
      </c>
    </row>
    <row r="940" spans="1:3">
      <c r="A940" s="250">
        <v>2864</v>
      </c>
      <c r="B940" s="74" t="s">
        <v>1125</v>
      </c>
      <c r="C940" s="74" t="s">
        <v>449</v>
      </c>
    </row>
    <row r="941" spans="1:3">
      <c r="A941" s="250">
        <v>2865</v>
      </c>
      <c r="B941" s="74" t="s">
        <v>800</v>
      </c>
      <c r="C941" s="74" t="s">
        <v>449</v>
      </c>
    </row>
    <row r="942" spans="1:3">
      <c r="A942" s="250">
        <v>2871</v>
      </c>
      <c r="B942" s="74" t="s">
        <v>1126</v>
      </c>
      <c r="C942" s="74" t="s">
        <v>449</v>
      </c>
    </row>
    <row r="943" spans="1:3">
      <c r="A943" s="250">
        <v>2872</v>
      </c>
      <c r="B943" s="74" t="s">
        <v>1127</v>
      </c>
      <c r="C943" s="74" t="s">
        <v>449</v>
      </c>
    </row>
    <row r="944" spans="1:3">
      <c r="A944" s="250">
        <v>2873</v>
      </c>
      <c r="B944" s="74" t="s">
        <v>1128</v>
      </c>
      <c r="C944" s="74" t="s">
        <v>449</v>
      </c>
    </row>
    <row r="945" spans="1:3">
      <c r="A945" s="250">
        <v>2874</v>
      </c>
      <c r="B945" s="74" t="s">
        <v>1129</v>
      </c>
      <c r="C945" s="74" t="s">
        <v>449</v>
      </c>
    </row>
    <row r="946" spans="1:3">
      <c r="A946" s="250">
        <v>2875</v>
      </c>
      <c r="B946" s="74" t="s">
        <v>1130</v>
      </c>
      <c r="C946" s="74" t="s">
        <v>449</v>
      </c>
    </row>
    <row r="947" spans="1:3">
      <c r="A947" s="250">
        <v>2876</v>
      </c>
      <c r="B947" s="74" t="s">
        <v>1131</v>
      </c>
      <c r="C947" s="74" t="s">
        <v>449</v>
      </c>
    </row>
    <row r="948" spans="1:3">
      <c r="A948" s="250">
        <v>2877</v>
      </c>
      <c r="B948" s="74" t="s">
        <v>1132</v>
      </c>
      <c r="C948" s="74" t="s">
        <v>449</v>
      </c>
    </row>
    <row r="949" spans="1:3">
      <c r="A949" s="250">
        <v>2878</v>
      </c>
      <c r="B949" s="74" t="s">
        <v>1133</v>
      </c>
      <c r="C949" s="74" t="s">
        <v>449</v>
      </c>
    </row>
    <row r="950" spans="1:3">
      <c r="A950" s="250">
        <v>2879</v>
      </c>
      <c r="B950" s="74" t="s">
        <v>828</v>
      </c>
      <c r="C950" s="74" t="s">
        <v>449</v>
      </c>
    </row>
    <row r="951" spans="1:3">
      <c r="A951" s="250">
        <v>2880</v>
      </c>
      <c r="B951" s="74" t="s">
        <v>828</v>
      </c>
      <c r="C951" s="74" t="s">
        <v>449</v>
      </c>
    </row>
    <row r="952" spans="1:3">
      <c r="A952" s="250">
        <v>2881</v>
      </c>
      <c r="B952" s="74" t="s">
        <v>957</v>
      </c>
      <c r="C952" s="74" t="s">
        <v>449</v>
      </c>
    </row>
    <row r="953" spans="1:3">
      <c r="A953" s="250">
        <v>2882</v>
      </c>
      <c r="B953" s="74" t="s">
        <v>1134</v>
      </c>
      <c r="C953" s="74" t="s">
        <v>449</v>
      </c>
    </row>
    <row r="954" spans="1:3">
      <c r="A954" s="250">
        <v>2883</v>
      </c>
      <c r="B954" s="74" t="s">
        <v>1135</v>
      </c>
      <c r="C954" s="74" t="s">
        <v>449</v>
      </c>
    </row>
    <row r="955" spans="1:3">
      <c r="A955" s="250">
        <v>2885</v>
      </c>
      <c r="B955" s="74" t="s">
        <v>622</v>
      </c>
      <c r="C955" s="74" t="s">
        <v>449</v>
      </c>
    </row>
    <row r="956" spans="1:3">
      <c r="A956" s="250">
        <v>2886</v>
      </c>
      <c r="B956" s="74" t="s">
        <v>697</v>
      </c>
      <c r="C956" s="74" t="s">
        <v>449</v>
      </c>
    </row>
    <row r="957" spans="1:3">
      <c r="A957" s="250">
        <v>2887</v>
      </c>
      <c r="B957" s="74" t="s">
        <v>697</v>
      </c>
      <c r="C957" s="74" t="s">
        <v>449</v>
      </c>
    </row>
    <row r="958" spans="1:3">
      <c r="A958" s="250">
        <v>2888</v>
      </c>
      <c r="B958" s="74" t="s">
        <v>697</v>
      </c>
      <c r="C958" s="74" t="s">
        <v>449</v>
      </c>
    </row>
    <row r="959" spans="1:3">
      <c r="A959" s="250">
        <v>2889</v>
      </c>
      <c r="B959" s="74" t="s">
        <v>697</v>
      </c>
      <c r="C959" s="74" t="s">
        <v>449</v>
      </c>
    </row>
    <row r="960" spans="1:3">
      <c r="A960" s="250">
        <v>2891</v>
      </c>
      <c r="B960" s="74" t="s">
        <v>1136</v>
      </c>
      <c r="C960" s="74" t="s">
        <v>449</v>
      </c>
    </row>
    <row r="961" spans="1:3">
      <c r="A961" s="250">
        <v>2892</v>
      </c>
      <c r="B961" s="74" t="s">
        <v>1137</v>
      </c>
      <c r="C961" s="74" t="s">
        <v>449</v>
      </c>
    </row>
    <row r="962" spans="1:3">
      <c r="A962" s="250">
        <v>2893</v>
      </c>
      <c r="B962" s="74" t="s">
        <v>1138</v>
      </c>
      <c r="C962" s="74" t="s">
        <v>449</v>
      </c>
    </row>
    <row r="963" spans="1:3">
      <c r="A963" s="250">
        <v>2894</v>
      </c>
      <c r="B963" s="74" t="s">
        <v>1139</v>
      </c>
      <c r="C963" s="74" t="s">
        <v>449</v>
      </c>
    </row>
    <row r="964" spans="1:3">
      <c r="A964" s="250">
        <v>2895</v>
      </c>
      <c r="B964" s="74" t="s">
        <v>1140</v>
      </c>
      <c r="C964" s="74" t="s">
        <v>449</v>
      </c>
    </row>
    <row r="965" spans="1:3">
      <c r="A965" s="250">
        <v>2896</v>
      </c>
      <c r="B965" s="74" t="s">
        <v>1141</v>
      </c>
      <c r="C965" s="74" t="s">
        <v>449</v>
      </c>
    </row>
    <row r="966" spans="1:3">
      <c r="A966" s="250">
        <v>2898</v>
      </c>
      <c r="B966" s="74" t="s">
        <v>1142</v>
      </c>
      <c r="C966" s="74" t="s">
        <v>449</v>
      </c>
    </row>
    <row r="967" spans="1:3">
      <c r="A967" s="250">
        <v>2901</v>
      </c>
      <c r="B967" s="74" t="s">
        <v>1143</v>
      </c>
      <c r="C967" s="74" t="s">
        <v>449</v>
      </c>
    </row>
    <row r="968" spans="1:3">
      <c r="A968" s="250">
        <v>2902</v>
      </c>
      <c r="B968" s="74" t="s">
        <v>1143</v>
      </c>
      <c r="C968" s="74" t="s">
        <v>449</v>
      </c>
    </row>
    <row r="969" spans="1:3">
      <c r="A969" s="250">
        <v>2903</v>
      </c>
      <c r="B969" s="74" t="s">
        <v>1143</v>
      </c>
      <c r="C969" s="74" t="s">
        <v>449</v>
      </c>
    </row>
    <row r="970" spans="1:3">
      <c r="A970" s="250">
        <v>2904</v>
      </c>
      <c r="B970" s="74" t="s">
        <v>1143</v>
      </c>
      <c r="C970" s="74" t="s">
        <v>449</v>
      </c>
    </row>
    <row r="971" spans="1:3">
      <c r="A971" s="250">
        <v>2905</v>
      </c>
      <c r="B971" s="74" t="s">
        <v>1143</v>
      </c>
      <c r="C971" s="74" t="s">
        <v>449</v>
      </c>
    </row>
    <row r="972" spans="1:3">
      <c r="A972" s="250">
        <v>2906</v>
      </c>
      <c r="B972" s="74" t="s">
        <v>1143</v>
      </c>
      <c r="C972" s="74" t="s">
        <v>449</v>
      </c>
    </row>
    <row r="973" spans="1:3">
      <c r="A973" s="250">
        <v>2907</v>
      </c>
      <c r="B973" s="74" t="s">
        <v>1143</v>
      </c>
      <c r="C973" s="74" t="s">
        <v>449</v>
      </c>
    </row>
    <row r="974" spans="1:3">
      <c r="A974" s="250">
        <v>2908</v>
      </c>
      <c r="B974" s="74" t="s">
        <v>1143</v>
      </c>
      <c r="C974" s="74" t="s">
        <v>449</v>
      </c>
    </row>
    <row r="975" spans="1:3">
      <c r="A975" s="250">
        <v>2909</v>
      </c>
      <c r="B975" s="74" t="s">
        <v>1143</v>
      </c>
      <c r="C975" s="74" t="s">
        <v>449</v>
      </c>
    </row>
    <row r="976" spans="1:3">
      <c r="A976" s="250">
        <v>2910</v>
      </c>
      <c r="B976" s="74" t="s">
        <v>1144</v>
      </c>
      <c r="C976" s="74" t="s">
        <v>449</v>
      </c>
    </row>
    <row r="977" spans="1:3">
      <c r="A977" s="250">
        <v>2911</v>
      </c>
      <c r="B977" s="74" t="s">
        <v>1145</v>
      </c>
      <c r="C977" s="74" t="s">
        <v>449</v>
      </c>
    </row>
    <row r="978" spans="1:3">
      <c r="A978" s="250">
        <v>2912</v>
      </c>
      <c r="B978" s="74" t="s">
        <v>1143</v>
      </c>
      <c r="C978" s="74" t="s">
        <v>449</v>
      </c>
    </row>
    <row r="979" spans="1:3">
      <c r="A979" s="250">
        <v>2914</v>
      </c>
      <c r="B979" s="74" t="s">
        <v>1146</v>
      </c>
      <c r="C979" s="74" t="s">
        <v>449</v>
      </c>
    </row>
    <row r="980" spans="1:3">
      <c r="A980" s="250">
        <v>2915</v>
      </c>
      <c r="B980" s="74" t="s">
        <v>1147</v>
      </c>
      <c r="C980" s="74" t="s">
        <v>449</v>
      </c>
    </row>
    <row r="981" spans="1:3">
      <c r="A981" s="250">
        <v>2916</v>
      </c>
      <c r="B981" s="74" t="s">
        <v>1148</v>
      </c>
      <c r="C981" s="74" t="s">
        <v>449</v>
      </c>
    </row>
    <row r="982" spans="1:3">
      <c r="A982" s="250">
        <v>2917</v>
      </c>
      <c r="B982" s="74" t="s">
        <v>1149</v>
      </c>
      <c r="C982" s="74" t="s">
        <v>449</v>
      </c>
    </row>
    <row r="983" spans="1:3">
      <c r="A983" s="250">
        <v>2918</v>
      </c>
      <c r="B983" s="74" t="s">
        <v>1143</v>
      </c>
      <c r="C983" s="74" t="s">
        <v>449</v>
      </c>
    </row>
    <row r="984" spans="1:3">
      <c r="A984" s="250">
        <v>2919</v>
      </c>
      <c r="B984" s="74" t="s">
        <v>1150</v>
      </c>
      <c r="C984" s="74" t="s">
        <v>449</v>
      </c>
    </row>
    <row r="985" spans="1:3">
      <c r="A985" s="250">
        <v>2920</v>
      </c>
      <c r="B985" s="74" t="s">
        <v>1144</v>
      </c>
      <c r="C985" s="74" t="s">
        <v>449</v>
      </c>
    </row>
    <row r="986" spans="1:3">
      <c r="A986" s="250">
        <v>2921</v>
      </c>
      <c r="B986" s="74" t="s">
        <v>1144</v>
      </c>
      <c r="C986" s="74" t="s">
        <v>449</v>
      </c>
    </row>
    <row r="987" spans="1:3">
      <c r="A987" s="250">
        <v>2940</v>
      </c>
      <c r="B987" s="74" t="s">
        <v>1143</v>
      </c>
      <c r="C987" s="74" t="s">
        <v>449</v>
      </c>
    </row>
    <row r="988" spans="1:3">
      <c r="A988" s="250">
        <v>3031</v>
      </c>
      <c r="B988" s="74" t="s">
        <v>577</v>
      </c>
      <c r="C988" s="74" t="s">
        <v>440</v>
      </c>
    </row>
    <row r="989" spans="1:3">
      <c r="A989" s="250">
        <v>3032</v>
      </c>
      <c r="B989" s="74" t="s">
        <v>724</v>
      </c>
      <c r="C989" s="74" t="s">
        <v>440</v>
      </c>
    </row>
    <row r="990" spans="1:3">
      <c r="A990" s="250">
        <v>3033</v>
      </c>
      <c r="B990" s="74" t="s">
        <v>967</v>
      </c>
      <c r="C990" s="74" t="s">
        <v>440</v>
      </c>
    </row>
    <row r="991" spans="1:3">
      <c r="A991" s="250">
        <v>3034</v>
      </c>
      <c r="B991" s="74" t="s">
        <v>1151</v>
      </c>
      <c r="C991" s="74" t="s">
        <v>440</v>
      </c>
    </row>
    <row r="992" spans="1:3">
      <c r="A992" s="250">
        <v>3036</v>
      </c>
      <c r="B992" s="74" t="s">
        <v>583</v>
      </c>
      <c r="C992" s="74" t="s">
        <v>440</v>
      </c>
    </row>
    <row r="993" spans="1:3">
      <c r="A993" s="250">
        <v>3037</v>
      </c>
      <c r="B993" s="74" t="s">
        <v>678</v>
      </c>
      <c r="C993" s="74" t="s">
        <v>440</v>
      </c>
    </row>
    <row r="994" spans="1:3">
      <c r="A994" s="250">
        <v>3038</v>
      </c>
      <c r="B994" s="74" t="s">
        <v>1152</v>
      </c>
      <c r="C994" s="74" t="s">
        <v>440</v>
      </c>
    </row>
    <row r="995" spans="1:3">
      <c r="A995" s="250">
        <v>3040</v>
      </c>
      <c r="B995" s="74" t="s">
        <v>1153</v>
      </c>
      <c r="C995" s="74" t="s">
        <v>440</v>
      </c>
    </row>
    <row r="996" spans="1:3">
      <c r="A996" s="250">
        <v>3041</v>
      </c>
      <c r="B996" s="74" t="s">
        <v>1154</v>
      </c>
      <c r="C996" s="74" t="s">
        <v>440</v>
      </c>
    </row>
    <row r="997" spans="1:3">
      <c r="A997" s="250">
        <v>3042</v>
      </c>
      <c r="B997" s="74" t="s">
        <v>1155</v>
      </c>
      <c r="C997" s="74" t="s">
        <v>440</v>
      </c>
    </row>
    <row r="998" spans="1:3">
      <c r="A998" s="250">
        <v>3043</v>
      </c>
      <c r="B998" s="74" t="s">
        <v>1156</v>
      </c>
      <c r="C998" s="74" t="s">
        <v>440</v>
      </c>
    </row>
    <row r="999" spans="1:3">
      <c r="A999" s="250">
        <v>3044</v>
      </c>
      <c r="B999" s="74" t="s">
        <v>1157</v>
      </c>
      <c r="C999" s="74" t="s">
        <v>440</v>
      </c>
    </row>
    <row r="1000" spans="1:3">
      <c r="A1000" s="250">
        <v>3045</v>
      </c>
      <c r="B1000" s="74" t="s">
        <v>1158</v>
      </c>
      <c r="C1000" s="74" t="s">
        <v>440</v>
      </c>
    </row>
    <row r="1001" spans="1:3">
      <c r="A1001" s="250">
        <v>3046</v>
      </c>
      <c r="B1001" s="74" t="s">
        <v>1159</v>
      </c>
      <c r="C1001" s="74" t="s">
        <v>440</v>
      </c>
    </row>
    <row r="1002" spans="1:3">
      <c r="A1002" s="250">
        <v>3047</v>
      </c>
      <c r="B1002" s="74" t="s">
        <v>670</v>
      </c>
      <c r="C1002" s="74" t="s">
        <v>440</v>
      </c>
    </row>
    <row r="1003" spans="1:3">
      <c r="A1003" s="250">
        <v>3048</v>
      </c>
      <c r="B1003" s="74" t="s">
        <v>1108</v>
      </c>
      <c r="C1003" s="74" t="s">
        <v>440</v>
      </c>
    </row>
    <row r="1004" spans="1:3">
      <c r="A1004" s="250">
        <v>3049</v>
      </c>
      <c r="B1004" s="74" t="s">
        <v>1160</v>
      </c>
      <c r="C1004" s="74" t="s">
        <v>440</v>
      </c>
    </row>
    <row r="1005" spans="1:3">
      <c r="A1005" s="250">
        <v>3051</v>
      </c>
      <c r="B1005" s="74" t="s">
        <v>792</v>
      </c>
      <c r="C1005" s="74" t="s">
        <v>440</v>
      </c>
    </row>
    <row r="1006" spans="1:3">
      <c r="A1006" s="250">
        <v>3052</v>
      </c>
      <c r="B1006" s="74" t="s">
        <v>1161</v>
      </c>
      <c r="C1006" s="74" t="s">
        <v>440</v>
      </c>
    </row>
    <row r="1007" spans="1:3">
      <c r="A1007" s="250">
        <v>3053</v>
      </c>
      <c r="B1007" s="74" t="s">
        <v>1162</v>
      </c>
      <c r="C1007" s="74" t="s">
        <v>440</v>
      </c>
    </row>
    <row r="1008" spans="1:3">
      <c r="A1008" s="250">
        <v>3054</v>
      </c>
      <c r="B1008" s="74" t="s">
        <v>1163</v>
      </c>
      <c r="C1008" s="74" t="s">
        <v>440</v>
      </c>
    </row>
    <row r="1009" spans="1:3">
      <c r="A1009" s="250">
        <v>3055</v>
      </c>
      <c r="B1009" s="74" t="s">
        <v>796</v>
      </c>
      <c r="C1009" s="74" t="s">
        <v>440</v>
      </c>
    </row>
    <row r="1010" spans="1:3">
      <c r="A1010" s="250">
        <v>3057</v>
      </c>
      <c r="B1010" s="74" t="s">
        <v>1164</v>
      </c>
      <c r="C1010" s="74" t="s">
        <v>440</v>
      </c>
    </row>
    <row r="1011" spans="1:3">
      <c r="A1011" s="250">
        <v>3060</v>
      </c>
      <c r="B1011" s="74" t="s">
        <v>1165</v>
      </c>
      <c r="C1011" s="74" t="s">
        <v>440</v>
      </c>
    </row>
    <row r="1012" spans="1:3">
      <c r="A1012" s="250">
        <v>3061</v>
      </c>
      <c r="B1012" s="74" t="s">
        <v>1165</v>
      </c>
      <c r="C1012" s="74" t="s">
        <v>440</v>
      </c>
    </row>
    <row r="1013" spans="1:3">
      <c r="A1013" s="250">
        <v>3062</v>
      </c>
      <c r="B1013" s="74" t="s">
        <v>1165</v>
      </c>
      <c r="C1013" s="74" t="s">
        <v>440</v>
      </c>
    </row>
    <row r="1014" spans="1:3">
      <c r="A1014" s="250">
        <v>3063</v>
      </c>
      <c r="B1014" s="74" t="s">
        <v>1165</v>
      </c>
      <c r="C1014" s="74" t="s">
        <v>440</v>
      </c>
    </row>
    <row r="1015" spans="1:3">
      <c r="A1015" s="250">
        <v>3064</v>
      </c>
      <c r="B1015" s="74" t="s">
        <v>1165</v>
      </c>
      <c r="C1015" s="74" t="s">
        <v>440</v>
      </c>
    </row>
    <row r="1016" spans="1:3">
      <c r="A1016" s="250">
        <v>3070</v>
      </c>
      <c r="B1016" s="74" t="s">
        <v>1166</v>
      </c>
      <c r="C1016" s="74" t="s">
        <v>440</v>
      </c>
    </row>
    <row r="1017" spans="1:3">
      <c r="A1017" s="250">
        <v>3071</v>
      </c>
      <c r="B1017" s="74" t="s">
        <v>1167</v>
      </c>
      <c r="C1017" s="74" t="s">
        <v>440</v>
      </c>
    </row>
    <row r="1018" spans="1:3">
      <c r="A1018" s="250">
        <v>3073</v>
      </c>
      <c r="B1018" s="74" t="s">
        <v>1168</v>
      </c>
      <c r="C1018" s="74" t="s">
        <v>440</v>
      </c>
    </row>
    <row r="1019" spans="1:3">
      <c r="A1019" s="250">
        <v>3076</v>
      </c>
      <c r="B1019" s="74" t="s">
        <v>1169</v>
      </c>
      <c r="C1019" s="74" t="s">
        <v>440</v>
      </c>
    </row>
    <row r="1020" spans="1:3">
      <c r="A1020" s="250">
        <v>3077</v>
      </c>
      <c r="B1020" s="74" t="s">
        <v>1170</v>
      </c>
      <c r="C1020" s="74" t="s">
        <v>440</v>
      </c>
    </row>
    <row r="1021" spans="1:3">
      <c r="A1021" s="250">
        <v>3079</v>
      </c>
      <c r="B1021" s="74" t="s">
        <v>858</v>
      </c>
      <c r="C1021" s="74" t="s">
        <v>440</v>
      </c>
    </row>
    <row r="1022" spans="1:3">
      <c r="A1022" s="250">
        <v>3082</v>
      </c>
      <c r="B1022" s="74" t="s">
        <v>1171</v>
      </c>
      <c r="C1022" s="74" t="s">
        <v>440</v>
      </c>
    </row>
    <row r="1023" spans="1:3">
      <c r="A1023" s="250">
        <v>3084</v>
      </c>
      <c r="B1023" s="74" t="s">
        <v>1172</v>
      </c>
      <c r="C1023" s="74" t="s">
        <v>440</v>
      </c>
    </row>
    <row r="1024" spans="1:3">
      <c r="A1024" s="250">
        <v>3086</v>
      </c>
      <c r="B1024" s="74" t="s">
        <v>1173</v>
      </c>
      <c r="C1024" s="74" t="s">
        <v>440</v>
      </c>
    </row>
    <row r="1025" spans="1:3">
      <c r="A1025" s="250">
        <v>3087</v>
      </c>
      <c r="B1025" s="74" t="s">
        <v>1174</v>
      </c>
      <c r="C1025" s="74" t="s">
        <v>440</v>
      </c>
    </row>
    <row r="1026" spans="1:3">
      <c r="A1026" s="250">
        <v>3101</v>
      </c>
      <c r="B1026" s="74" t="s">
        <v>848</v>
      </c>
      <c r="C1026" s="74" t="s">
        <v>440</v>
      </c>
    </row>
    <row r="1027" spans="1:3">
      <c r="A1027" s="250">
        <v>3102</v>
      </c>
      <c r="B1027" s="74" t="s">
        <v>848</v>
      </c>
      <c r="C1027" s="74" t="s">
        <v>440</v>
      </c>
    </row>
    <row r="1028" spans="1:3">
      <c r="A1028" s="250">
        <v>3103</v>
      </c>
      <c r="B1028" s="74" t="s">
        <v>848</v>
      </c>
      <c r="C1028" s="74" t="s">
        <v>440</v>
      </c>
    </row>
    <row r="1029" spans="1:3">
      <c r="A1029" s="250">
        <v>3104</v>
      </c>
      <c r="B1029" s="74" t="s">
        <v>848</v>
      </c>
      <c r="C1029" s="74" t="s">
        <v>440</v>
      </c>
    </row>
    <row r="1030" spans="1:3">
      <c r="A1030" s="250">
        <v>3105</v>
      </c>
      <c r="B1030" s="74" t="s">
        <v>848</v>
      </c>
      <c r="C1030" s="74" t="s">
        <v>440</v>
      </c>
    </row>
    <row r="1031" spans="1:3">
      <c r="A1031" s="250">
        <v>3106</v>
      </c>
      <c r="B1031" s="74" t="s">
        <v>1175</v>
      </c>
      <c r="C1031" s="74" t="s">
        <v>440</v>
      </c>
    </row>
    <row r="1032" spans="1:3">
      <c r="A1032" s="250">
        <v>3107</v>
      </c>
      <c r="B1032" s="74" t="s">
        <v>848</v>
      </c>
      <c r="C1032" s="74" t="s">
        <v>440</v>
      </c>
    </row>
    <row r="1033" spans="1:3">
      <c r="A1033" s="250">
        <v>3108</v>
      </c>
      <c r="B1033" s="74" t="s">
        <v>848</v>
      </c>
      <c r="C1033" s="74" t="s">
        <v>440</v>
      </c>
    </row>
    <row r="1034" spans="1:3">
      <c r="A1034" s="250">
        <v>3109</v>
      </c>
      <c r="B1034" s="74" t="s">
        <v>848</v>
      </c>
      <c r="C1034" s="74" t="s">
        <v>440</v>
      </c>
    </row>
    <row r="1035" spans="1:3">
      <c r="A1035" s="250">
        <v>3110</v>
      </c>
      <c r="B1035" s="74" t="s">
        <v>783</v>
      </c>
      <c r="C1035" s="74" t="s">
        <v>440</v>
      </c>
    </row>
    <row r="1036" spans="1:3">
      <c r="A1036" s="250">
        <v>3111</v>
      </c>
      <c r="B1036" s="74" t="s">
        <v>848</v>
      </c>
      <c r="C1036" s="74" t="s">
        <v>440</v>
      </c>
    </row>
    <row r="1037" spans="1:3">
      <c r="A1037" s="250">
        <v>3215</v>
      </c>
      <c r="B1037" s="74" t="s">
        <v>1176</v>
      </c>
      <c r="C1037" s="74" t="s">
        <v>440</v>
      </c>
    </row>
    <row r="1038" spans="1:3">
      <c r="A1038" s="250">
        <v>3216</v>
      </c>
      <c r="B1038" s="74" t="s">
        <v>807</v>
      </c>
      <c r="C1038" s="74" t="s">
        <v>440</v>
      </c>
    </row>
    <row r="1039" spans="1:3">
      <c r="A1039" s="250">
        <v>3217</v>
      </c>
      <c r="B1039" s="74" t="s">
        <v>782</v>
      </c>
      <c r="C1039" s="74" t="s">
        <v>440</v>
      </c>
    </row>
    <row r="1040" spans="1:3">
      <c r="A1040" s="250">
        <v>3218</v>
      </c>
      <c r="B1040" s="74" t="s">
        <v>1177</v>
      </c>
      <c r="C1040" s="74" t="s">
        <v>440</v>
      </c>
    </row>
    <row r="1041" spans="1:3">
      <c r="A1041" s="250">
        <v>3220</v>
      </c>
      <c r="B1041" s="74" t="s">
        <v>986</v>
      </c>
      <c r="C1041" s="74" t="s">
        <v>440</v>
      </c>
    </row>
    <row r="1042" spans="1:3">
      <c r="A1042" s="250">
        <v>3221</v>
      </c>
      <c r="B1042" s="74" t="s">
        <v>1097</v>
      </c>
      <c r="C1042" s="74" t="s">
        <v>440</v>
      </c>
    </row>
    <row r="1043" spans="1:3">
      <c r="A1043" s="250">
        <v>3222</v>
      </c>
      <c r="B1043" s="74" t="s">
        <v>1098</v>
      </c>
      <c r="C1043" s="74" t="s">
        <v>440</v>
      </c>
    </row>
    <row r="1044" spans="1:3">
      <c r="A1044" s="250">
        <v>3223</v>
      </c>
      <c r="B1044" s="74" t="s">
        <v>1178</v>
      </c>
      <c r="C1044" s="74" t="s">
        <v>440</v>
      </c>
    </row>
    <row r="1045" spans="1:3">
      <c r="A1045" s="250">
        <v>3224</v>
      </c>
      <c r="B1045" s="74" t="s">
        <v>1179</v>
      </c>
      <c r="C1045" s="74" t="s">
        <v>440</v>
      </c>
    </row>
    <row r="1046" spans="1:3">
      <c r="A1046" s="250">
        <v>3225</v>
      </c>
      <c r="B1046" s="74" t="s">
        <v>1180</v>
      </c>
      <c r="C1046" s="74" t="s">
        <v>440</v>
      </c>
    </row>
    <row r="1047" spans="1:3">
      <c r="A1047" s="250">
        <v>3226</v>
      </c>
      <c r="B1047" s="74" t="s">
        <v>1181</v>
      </c>
      <c r="C1047" s="74" t="s">
        <v>440</v>
      </c>
    </row>
    <row r="1048" spans="1:3">
      <c r="A1048" s="250">
        <v>3227</v>
      </c>
      <c r="B1048" s="74" t="s">
        <v>1182</v>
      </c>
      <c r="C1048" s="74" t="s">
        <v>440</v>
      </c>
    </row>
    <row r="1049" spans="1:3">
      <c r="A1049" s="250">
        <v>3229</v>
      </c>
      <c r="B1049" s="74" t="s">
        <v>1183</v>
      </c>
      <c r="C1049" s="74" t="s">
        <v>440</v>
      </c>
    </row>
    <row r="1050" spans="1:3">
      <c r="A1050" s="250">
        <v>3230</v>
      </c>
      <c r="B1050" s="74" t="s">
        <v>1184</v>
      </c>
      <c r="C1050" s="74" t="s">
        <v>440</v>
      </c>
    </row>
    <row r="1051" spans="1:3">
      <c r="A1051" s="250">
        <v>3231</v>
      </c>
      <c r="B1051" s="74" t="s">
        <v>1185</v>
      </c>
      <c r="C1051" s="74" t="s">
        <v>440</v>
      </c>
    </row>
    <row r="1052" spans="1:3">
      <c r="A1052" s="250">
        <v>3233</v>
      </c>
      <c r="B1052" s="74" t="s">
        <v>1186</v>
      </c>
      <c r="C1052" s="74" t="s">
        <v>440</v>
      </c>
    </row>
    <row r="1053" spans="1:3">
      <c r="A1053" s="250">
        <v>3234</v>
      </c>
      <c r="B1053" s="74" t="s">
        <v>1187</v>
      </c>
      <c r="C1053" s="74" t="s">
        <v>440</v>
      </c>
    </row>
    <row r="1054" spans="1:3">
      <c r="A1054" s="250">
        <v>3235</v>
      </c>
      <c r="B1054" s="74" t="s">
        <v>873</v>
      </c>
      <c r="C1054" s="74" t="s">
        <v>440</v>
      </c>
    </row>
    <row r="1055" spans="1:3">
      <c r="A1055" s="250">
        <v>3237</v>
      </c>
      <c r="B1055" s="74" t="s">
        <v>1188</v>
      </c>
      <c r="C1055" s="74" t="s">
        <v>440</v>
      </c>
    </row>
    <row r="1056" spans="1:3">
      <c r="A1056" s="250">
        <v>3238</v>
      </c>
      <c r="B1056" s="74" t="s">
        <v>1189</v>
      </c>
      <c r="C1056" s="74" t="s">
        <v>440</v>
      </c>
    </row>
    <row r="1057" spans="1:3">
      <c r="A1057" s="250">
        <v>3240</v>
      </c>
      <c r="B1057" s="74" t="s">
        <v>737</v>
      </c>
      <c r="C1057" s="74" t="s">
        <v>440</v>
      </c>
    </row>
    <row r="1058" spans="1:3">
      <c r="A1058" s="250">
        <v>3241</v>
      </c>
      <c r="B1058" s="74" t="s">
        <v>1190</v>
      </c>
      <c r="C1058" s="74" t="s">
        <v>440</v>
      </c>
    </row>
    <row r="1059" spans="1:3">
      <c r="A1059" s="250">
        <v>3242</v>
      </c>
      <c r="B1059" s="74" t="s">
        <v>1191</v>
      </c>
      <c r="C1059" s="74" t="s">
        <v>440</v>
      </c>
    </row>
    <row r="1060" spans="1:3">
      <c r="A1060" s="250">
        <v>3243</v>
      </c>
      <c r="B1060" s="74" t="s">
        <v>1192</v>
      </c>
      <c r="C1060" s="74" t="s">
        <v>440</v>
      </c>
    </row>
    <row r="1061" spans="1:3">
      <c r="A1061" s="250">
        <v>3244</v>
      </c>
      <c r="B1061" s="74" t="s">
        <v>1193</v>
      </c>
      <c r="C1061" s="74" t="s">
        <v>440</v>
      </c>
    </row>
    <row r="1062" spans="1:3">
      <c r="A1062" s="250">
        <v>3245</v>
      </c>
      <c r="B1062" s="74" t="s">
        <v>1194</v>
      </c>
      <c r="C1062" s="74" t="s">
        <v>440</v>
      </c>
    </row>
    <row r="1063" spans="1:3">
      <c r="A1063" s="250">
        <v>3246</v>
      </c>
      <c r="B1063" s="74" t="s">
        <v>1195</v>
      </c>
      <c r="C1063" s="74" t="s">
        <v>440</v>
      </c>
    </row>
    <row r="1064" spans="1:3">
      <c r="A1064" s="250">
        <v>3247</v>
      </c>
      <c r="B1064" s="74" t="s">
        <v>1195</v>
      </c>
      <c r="C1064" s="74" t="s">
        <v>440</v>
      </c>
    </row>
    <row r="1065" spans="1:3">
      <c r="A1065" s="250">
        <v>3249</v>
      </c>
      <c r="B1065" s="74" t="s">
        <v>1196</v>
      </c>
      <c r="C1065" s="74" t="s">
        <v>440</v>
      </c>
    </row>
    <row r="1066" spans="1:3">
      <c r="A1066" s="250">
        <v>3251</v>
      </c>
      <c r="B1066" s="74" t="s">
        <v>800</v>
      </c>
      <c r="C1066" s="74" t="s">
        <v>440</v>
      </c>
    </row>
    <row r="1067" spans="1:3">
      <c r="A1067" s="250">
        <v>3252</v>
      </c>
      <c r="B1067" s="74" t="s">
        <v>1197</v>
      </c>
      <c r="C1067" s="74" t="s">
        <v>440</v>
      </c>
    </row>
    <row r="1068" spans="1:3">
      <c r="A1068" s="250">
        <v>3253</v>
      </c>
      <c r="B1068" s="74" t="s">
        <v>1198</v>
      </c>
      <c r="C1068" s="74" t="s">
        <v>440</v>
      </c>
    </row>
    <row r="1069" spans="1:3">
      <c r="A1069" s="250">
        <v>3254</v>
      </c>
      <c r="B1069" s="74" t="s">
        <v>1199</v>
      </c>
      <c r="C1069" s="74" t="s">
        <v>440</v>
      </c>
    </row>
    <row r="1070" spans="1:3">
      <c r="A1070" s="250">
        <v>3255</v>
      </c>
      <c r="B1070" s="74" t="s">
        <v>852</v>
      </c>
      <c r="C1070" s="74" t="s">
        <v>440</v>
      </c>
    </row>
    <row r="1071" spans="1:3">
      <c r="A1071" s="250">
        <v>3256</v>
      </c>
      <c r="B1071" s="74" t="s">
        <v>1200</v>
      </c>
      <c r="C1071" s="74" t="s">
        <v>440</v>
      </c>
    </row>
    <row r="1072" spans="1:3">
      <c r="A1072" s="250">
        <v>3257</v>
      </c>
      <c r="B1072" s="74" t="s">
        <v>1201</v>
      </c>
      <c r="C1072" s="74" t="s">
        <v>440</v>
      </c>
    </row>
    <row r="1073" spans="1:3">
      <c r="A1073" s="250">
        <v>3258</v>
      </c>
      <c r="B1073" s="74" t="s">
        <v>1202</v>
      </c>
      <c r="C1073" s="74" t="s">
        <v>440</v>
      </c>
    </row>
    <row r="1074" spans="1:3">
      <c r="A1074" s="250">
        <v>3259</v>
      </c>
      <c r="B1074" s="74" t="s">
        <v>1203</v>
      </c>
      <c r="C1074" s="74" t="s">
        <v>440</v>
      </c>
    </row>
    <row r="1075" spans="1:3">
      <c r="A1075" s="250">
        <v>3260</v>
      </c>
      <c r="B1075" s="74" t="s">
        <v>1204</v>
      </c>
      <c r="C1075" s="74" t="s">
        <v>440</v>
      </c>
    </row>
    <row r="1076" spans="1:3">
      <c r="A1076" s="250">
        <v>3261</v>
      </c>
      <c r="B1076" s="74" t="s">
        <v>1205</v>
      </c>
      <c r="C1076" s="74" t="s">
        <v>440</v>
      </c>
    </row>
    <row r="1077" spans="1:3">
      <c r="A1077" s="250">
        <v>3262</v>
      </c>
      <c r="B1077" s="74" t="s">
        <v>1206</v>
      </c>
      <c r="C1077" s="74" t="s">
        <v>440</v>
      </c>
    </row>
    <row r="1078" spans="1:3">
      <c r="A1078" s="250">
        <v>3263</v>
      </c>
      <c r="B1078" s="74" t="s">
        <v>637</v>
      </c>
      <c r="C1078" s="74" t="s">
        <v>440</v>
      </c>
    </row>
    <row r="1079" spans="1:3">
      <c r="A1079" s="250">
        <v>3264</v>
      </c>
      <c r="B1079" s="74" t="s">
        <v>956</v>
      </c>
      <c r="C1079" s="74" t="s">
        <v>440</v>
      </c>
    </row>
    <row r="1080" spans="1:3">
      <c r="A1080" s="250">
        <v>3266</v>
      </c>
      <c r="B1080" s="74" t="s">
        <v>1207</v>
      </c>
      <c r="C1080" s="74" t="s">
        <v>440</v>
      </c>
    </row>
    <row r="1081" spans="1:3">
      <c r="A1081" s="250">
        <v>3268</v>
      </c>
      <c r="B1081" s="74" t="s">
        <v>853</v>
      </c>
      <c r="C1081" s="74" t="s">
        <v>440</v>
      </c>
    </row>
    <row r="1082" spans="1:3">
      <c r="A1082" s="250">
        <v>3269</v>
      </c>
      <c r="B1082" s="74" t="s">
        <v>1208</v>
      </c>
      <c r="C1082" s="74" t="s">
        <v>440</v>
      </c>
    </row>
    <row r="1083" spans="1:3">
      <c r="A1083" s="250">
        <v>3272</v>
      </c>
      <c r="B1083" s="74" t="s">
        <v>1209</v>
      </c>
      <c r="C1083" s="74" t="s">
        <v>440</v>
      </c>
    </row>
    <row r="1084" spans="1:3">
      <c r="A1084" s="250">
        <v>3273</v>
      </c>
      <c r="B1084" s="74" t="s">
        <v>1210</v>
      </c>
      <c r="C1084" s="74" t="s">
        <v>440</v>
      </c>
    </row>
    <row r="1085" spans="1:3">
      <c r="A1085" s="250">
        <v>3274</v>
      </c>
      <c r="B1085" s="74" t="s">
        <v>1211</v>
      </c>
      <c r="C1085" s="74" t="s">
        <v>440</v>
      </c>
    </row>
    <row r="1086" spans="1:3">
      <c r="A1086" s="250">
        <v>3275</v>
      </c>
      <c r="B1086" s="74" t="s">
        <v>1212</v>
      </c>
      <c r="C1086" s="74" t="s">
        <v>440</v>
      </c>
    </row>
    <row r="1087" spans="1:3">
      <c r="A1087" s="250">
        <v>3276</v>
      </c>
      <c r="B1087" s="74" t="s">
        <v>1213</v>
      </c>
      <c r="C1087" s="74" t="s">
        <v>440</v>
      </c>
    </row>
    <row r="1088" spans="1:3">
      <c r="A1088" s="250">
        <v>3278</v>
      </c>
      <c r="B1088" s="74" t="s">
        <v>1214</v>
      </c>
      <c r="C1088" s="74" t="s">
        <v>440</v>
      </c>
    </row>
    <row r="1089" spans="1:3">
      <c r="A1089" s="250">
        <v>3279</v>
      </c>
      <c r="B1089" s="74" t="s">
        <v>622</v>
      </c>
      <c r="C1089" s="74" t="s">
        <v>440</v>
      </c>
    </row>
    <row r="1090" spans="1:3">
      <c r="A1090" s="250">
        <v>3280</v>
      </c>
      <c r="B1090" s="74" t="s">
        <v>1215</v>
      </c>
      <c r="C1090" s="74" t="s">
        <v>440</v>
      </c>
    </row>
    <row r="1091" spans="1:3">
      <c r="A1091" s="250">
        <v>3281</v>
      </c>
      <c r="B1091" s="74" t="s">
        <v>1216</v>
      </c>
      <c r="C1091" s="74" t="s">
        <v>440</v>
      </c>
    </row>
    <row r="1092" spans="1:3">
      <c r="A1092" s="250">
        <v>3282</v>
      </c>
      <c r="B1092" s="74" t="s">
        <v>1217</v>
      </c>
      <c r="C1092" s="74" t="s">
        <v>440</v>
      </c>
    </row>
    <row r="1093" spans="1:3">
      <c r="A1093" s="250">
        <v>3284</v>
      </c>
      <c r="B1093" s="74" t="s">
        <v>634</v>
      </c>
      <c r="C1093" s="74" t="s">
        <v>440</v>
      </c>
    </row>
    <row r="1094" spans="1:3">
      <c r="A1094" s="250">
        <v>3285</v>
      </c>
      <c r="B1094" s="74" t="s">
        <v>1218</v>
      </c>
      <c r="C1094" s="74" t="s">
        <v>440</v>
      </c>
    </row>
    <row r="1095" spans="1:3">
      <c r="A1095" s="250">
        <v>3287</v>
      </c>
      <c r="B1095" s="74" t="s">
        <v>1219</v>
      </c>
      <c r="C1095" s="74" t="s">
        <v>440</v>
      </c>
    </row>
    <row r="1096" spans="1:3">
      <c r="A1096" s="250">
        <v>3289</v>
      </c>
      <c r="B1096" s="74" t="s">
        <v>1220</v>
      </c>
      <c r="C1096" s="74" t="s">
        <v>440</v>
      </c>
    </row>
    <row r="1097" spans="1:3">
      <c r="A1097" s="250">
        <v>3290</v>
      </c>
      <c r="B1097" s="74" t="s">
        <v>1221</v>
      </c>
      <c r="C1097" s="74" t="s">
        <v>440</v>
      </c>
    </row>
    <row r="1098" spans="1:3">
      <c r="A1098" s="250">
        <v>3291</v>
      </c>
      <c r="B1098" s="74" t="s">
        <v>1222</v>
      </c>
      <c r="C1098" s="74" t="s">
        <v>440</v>
      </c>
    </row>
    <row r="1099" spans="1:3">
      <c r="A1099" s="250">
        <v>3293</v>
      </c>
      <c r="B1099" s="74" t="s">
        <v>1223</v>
      </c>
      <c r="C1099" s="74" t="s">
        <v>440</v>
      </c>
    </row>
    <row r="1100" spans="1:3">
      <c r="A1100" s="250">
        <v>3298</v>
      </c>
      <c r="B1100" s="74" t="s">
        <v>1213</v>
      </c>
      <c r="C1100" s="74" t="s">
        <v>440</v>
      </c>
    </row>
    <row r="1101" spans="1:3">
      <c r="A1101" s="250">
        <v>3299</v>
      </c>
      <c r="B1101" s="74" t="s">
        <v>1213</v>
      </c>
      <c r="C1101" s="74" t="s">
        <v>440</v>
      </c>
    </row>
    <row r="1102" spans="1:3">
      <c r="A1102" s="250">
        <v>3301</v>
      </c>
      <c r="B1102" s="74" t="s">
        <v>787</v>
      </c>
      <c r="C1102" s="74" t="s">
        <v>440</v>
      </c>
    </row>
    <row r="1103" spans="1:3">
      <c r="A1103" s="250">
        <v>3302</v>
      </c>
      <c r="B1103" s="74" t="s">
        <v>787</v>
      </c>
      <c r="C1103" s="74" t="s">
        <v>440</v>
      </c>
    </row>
    <row r="1104" spans="1:3">
      <c r="A1104" s="250">
        <v>3303</v>
      </c>
      <c r="B1104" s="74" t="s">
        <v>787</v>
      </c>
      <c r="C1104" s="74" t="s">
        <v>440</v>
      </c>
    </row>
    <row r="1105" spans="1:3">
      <c r="A1105" s="250">
        <v>3304</v>
      </c>
      <c r="B1105" s="74" t="s">
        <v>1224</v>
      </c>
      <c r="C1105" s="74" t="s">
        <v>440</v>
      </c>
    </row>
    <row r="1106" spans="1:3">
      <c r="A1106" s="250">
        <v>3305</v>
      </c>
      <c r="B1106" s="74" t="s">
        <v>787</v>
      </c>
      <c r="C1106" s="74" t="s">
        <v>440</v>
      </c>
    </row>
    <row r="1107" spans="1:3">
      <c r="A1107" s="250">
        <v>3307</v>
      </c>
      <c r="B1107" s="74" t="s">
        <v>1225</v>
      </c>
      <c r="C1107" s="74" t="s">
        <v>440</v>
      </c>
    </row>
    <row r="1108" spans="1:3">
      <c r="A1108" s="250">
        <v>3431</v>
      </c>
      <c r="B1108" s="74" t="s">
        <v>1226</v>
      </c>
      <c r="C1108" s="74" t="s">
        <v>440</v>
      </c>
    </row>
    <row r="1109" spans="1:3">
      <c r="A1109" s="250">
        <v>3435</v>
      </c>
      <c r="B1109" s="74" t="s">
        <v>1226</v>
      </c>
      <c r="C1109" s="74" t="s">
        <v>440</v>
      </c>
    </row>
    <row r="1110" spans="1:3">
      <c r="A1110" s="250">
        <v>3440</v>
      </c>
      <c r="B1110" s="74" t="s">
        <v>1227</v>
      </c>
      <c r="C1110" s="74" t="s">
        <v>440</v>
      </c>
    </row>
    <row r="1111" spans="1:3">
      <c r="A1111" s="250">
        <v>3441</v>
      </c>
      <c r="B1111" s="74" t="s">
        <v>1228</v>
      </c>
      <c r="C1111" s="74" t="s">
        <v>440</v>
      </c>
    </row>
    <row r="1112" spans="1:3">
      <c r="A1112" s="250">
        <v>3442</v>
      </c>
      <c r="B1112" s="74" t="s">
        <v>1229</v>
      </c>
      <c r="C1112" s="74" t="s">
        <v>440</v>
      </c>
    </row>
    <row r="1113" spans="1:3">
      <c r="A1113" s="250">
        <v>3443</v>
      </c>
      <c r="B1113" s="74" t="s">
        <v>584</v>
      </c>
      <c r="C1113" s="74" t="s">
        <v>440</v>
      </c>
    </row>
    <row r="1114" spans="1:3">
      <c r="A1114" s="250">
        <v>3444</v>
      </c>
      <c r="B1114" s="74" t="s">
        <v>1230</v>
      </c>
      <c r="C1114" s="74" t="s">
        <v>440</v>
      </c>
    </row>
    <row r="1115" spans="1:3">
      <c r="A1115" s="250">
        <v>3445</v>
      </c>
      <c r="B1115" s="74" t="s">
        <v>1231</v>
      </c>
      <c r="C1115" s="74" t="s">
        <v>440</v>
      </c>
    </row>
    <row r="1116" spans="1:3">
      <c r="A1116" s="250">
        <v>3446</v>
      </c>
      <c r="B1116" s="74" t="s">
        <v>1232</v>
      </c>
      <c r="C1116" s="74" t="s">
        <v>440</v>
      </c>
    </row>
    <row r="1117" spans="1:3">
      <c r="A1117" s="250">
        <v>3447</v>
      </c>
      <c r="B1117" s="74" t="s">
        <v>1233</v>
      </c>
      <c r="C1117" s="74" t="s">
        <v>440</v>
      </c>
    </row>
    <row r="1118" spans="1:3">
      <c r="A1118" s="250">
        <v>3448</v>
      </c>
      <c r="B1118" s="74" t="s">
        <v>1234</v>
      </c>
      <c r="C1118" s="74" t="s">
        <v>440</v>
      </c>
    </row>
    <row r="1119" spans="1:3">
      <c r="A1119" s="250">
        <v>3449</v>
      </c>
      <c r="B1119" s="74" t="s">
        <v>1235</v>
      </c>
      <c r="C1119" s="74" t="s">
        <v>440</v>
      </c>
    </row>
    <row r="1120" spans="1:3">
      <c r="A1120" s="250">
        <v>3450</v>
      </c>
      <c r="B1120" s="74" t="s">
        <v>1110</v>
      </c>
      <c r="C1120" s="74" t="s">
        <v>440</v>
      </c>
    </row>
    <row r="1121" spans="1:3">
      <c r="A1121" s="250">
        <v>3451</v>
      </c>
      <c r="B1121" s="74" t="s">
        <v>646</v>
      </c>
      <c r="C1121" s="74" t="s">
        <v>440</v>
      </c>
    </row>
    <row r="1122" spans="1:3">
      <c r="A1122" s="250">
        <v>3452</v>
      </c>
      <c r="B1122" s="74" t="s">
        <v>1236</v>
      </c>
      <c r="C1122" s="74" t="s">
        <v>440</v>
      </c>
    </row>
    <row r="1123" spans="1:3">
      <c r="A1123" s="250">
        <v>3455</v>
      </c>
      <c r="B1123" s="74" t="s">
        <v>793</v>
      </c>
      <c r="C1123" s="74" t="s">
        <v>440</v>
      </c>
    </row>
    <row r="1124" spans="1:3">
      <c r="A1124" s="250">
        <v>3456</v>
      </c>
      <c r="B1124" s="74" t="s">
        <v>1237</v>
      </c>
      <c r="C1124" s="74" t="s">
        <v>440</v>
      </c>
    </row>
    <row r="1125" spans="1:3">
      <c r="A1125" s="250">
        <v>3457</v>
      </c>
      <c r="B1125" s="74" t="s">
        <v>1238</v>
      </c>
      <c r="C1125" s="74" t="s">
        <v>440</v>
      </c>
    </row>
    <row r="1126" spans="1:3">
      <c r="A1126" s="250">
        <v>3458</v>
      </c>
      <c r="B1126" s="74" t="s">
        <v>1239</v>
      </c>
      <c r="C1126" s="74" t="s">
        <v>440</v>
      </c>
    </row>
    <row r="1127" spans="1:3">
      <c r="A1127" s="250">
        <v>3461</v>
      </c>
      <c r="B1127" s="74" t="s">
        <v>1240</v>
      </c>
      <c r="C1127" s="74" t="s">
        <v>440</v>
      </c>
    </row>
    <row r="1128" spans="1:3">
      <c r="A1128" s="250">
        <v>3462</v>
      </c>
      <c r="B1128" s="74" t="s">
        <v>1241</v>
      </c>
      <c r="C1128" s="74" t="s">
        <v>440</v>
      </c>
    </row>
    <row r="1129" spans="1:3">
      <c r="A1129" s="250">
        <v>3464</v>
      </c>
      <c r="B1129" s="74" t="s">
        <v>1242</v>
      </c>
      <c r="C1129" s="74" t="s">
        <v>440</v>
      </c>
    </row>
    <row r="1130" spans="1:3">
      <c r="A1130" s="250">
        <v>3465</v>
      </c>
      <c r="B1130" s="74" t="s">
        <v>1243</v>
      </c>
      <c r="C1130" s="74" t="s">
        <v>440</v>
      </c>
    </row>
    <row r="1131" spans="1:3">
      <c r="A1131" s="250">
        <v>3466</v>
      </c>
      <c r="B1131" s="74" t="s">
        <v>623</v>
      </c>
      <c r="C1131" s="74" t="s">
        <v>440</v>
      </c>
    </row>
    <row r="1132" spans="1:3">
      <c r="A1132" s="250">
        <v>3467</v>
      </c>
      <c r="B1132" s="74" t="s">
        <v>1244</v>
      </c>
      <c r="C1132" s="74" t="s">
        <v>440</v>
      </c>
    </row>
    <row r="1133" spans="1:3">
      <c r="A1133" s="250">
        <v>3468</v>
      </c>
      <c r="B1133" s="74" t="s">
        <v>1245</v>
      </c>
      <c r="C1133" s="74" t="s">
        <v>440</v>
      </c>
    </row>
    <row r="1134" spans="1:3">
      <c r="A1134" s="250">
        <v>3469</v>
      </c>
      <c r="B1134" s="74" t="s">
        <v>1246</v>
      </c>
      <c r="C1134" s="74" t="s">
        <v>440</v>
      </c>
    </row>
    <row r="1135" spans="1:3">
      <c r="A1135" s="250">
        <v>3470</v>
      </c>
      <c r="B1135" s="74" t="s">
        <v>832</v>
      </c>
      <c r="C1135" s="74" t="s">
        <v>440</v>
      </c>
    </row>
    <row r="1136" spans="1:3">
      <c r="A1136" s="250">
        <v>3561</v>
      </c>
      <c r="B1136" s="74" t="s">
        <v>713</v>
      </c>
      <c r="C1136" s="74" t="s">
        <v>440</v>
      </c>
    </row>
    <row r="1137" spans="1:3">
      <c r="A1137" s="250">
        <v>3570</v>
      </c>
      <c r="B1137" s="74" t="s">
        <v>725</v>
      </c>
      <c r="C1137" s="74" t="s">
        <v>440</v>
      </c>
    </row>
    <row r="1138" spans="1:3">
      <c r="A1138" s="250">
        <v>3574</v>
      </c>
      <c r="B1138" s="74" t="s">
        <v>1247</v>
      </c>
      <c r="C1138" s="74" t="s">
        <v>440</v>
      </c>
    </row>
    <row r="1139" spans="1:3">
      <c r="A1139" s="250">
        <v>3575</v>
      </c>
      <c r="B1139" s="74" t="s">
        <v>1248</v>
      </c>
      <c r="C1139" s="74" t="s">
        <v>440</v>
      </c>
    </row>
    <row r="1140" spans="1:3">
      <c r="A1140" s="250">
        <v>3576</v>
      </c>
      <c r="B1140" s="74" t="s">
        <v>1249</v>
      </c>
      <c r="C1140" s="74" t="s">
        <v>440</v>
      </c>
    </row>
    <row r="1141" spans="1:3">
      <c r="A1141" s="250">
        <v>3579</v>
      </c>
      <c r="B1141" s="74" t="s">
        <v>1250</v>
      </c>
      <c r="C1141" s="74" t="s">
        <v>440</v>
      </c>
    </row>
    <row r="1142" spans="1:3">
      <c r="A1142" s="250">
        <v>3580</v>
      </c>
      <c r="B1142" s="74" t="s">
        <v>1251</v>
      </c>
      <c r="C1142" s="74" t="s">
        <v>440</v>
      </c>
    </row>
    <row r="1143" spans="1:3">
      <c r="A1143" s="250">
        <v>3581</v>
      </c>
      <c r="B1143" s="74" t="s">
        <v>1252</v>
      </c>
      <c r="C1143" s="74" t="s">
        <v>440</v>
      </c>
    </row>
    <row r="1144" spans="1:3">
      <c r="A1144" s="250">
        <v>3582</v>
      </c>
      <c r="B1144" s="74" t="s">
        <v>1253</v>
      </c>
      <c r="C1144" s="74" t="s">
        <v>440</v>
      </c>
    </row>
    <row r="1145" spans="1:3">
      <c r="A1145" s="250">
        <v>3583</v>
      </c>
      <c r="B1145" s="74" t="s">
        <v>740</v>
      </c>
      <c r="C1145" s="74" t="s">
        <v>440</v>
      </c>
    </row>
    <row r="1146" spans="1:3">
      <c r="A1146" s="250">
        <v>3584</v>
      </c>
      <c r="B1146" s="74" t="s">
        <v>741</v>
      </c>
      <c r="C1146" s="74" t="s">
        <v>440</v>
      </c>
    </row>
    <row r="1147" spans="1:3">
      <c r="A1147" s="250">
        <v>3585</v>
      </c>
      <c r="B1147" s="74" t="s">
        <v>1254</v>
      </c>
      <c r="C1147" s="74" t="s">
        <v>440</v>
      </c>
    </row>
    <row r="1148" spans="1:3">
      <c r="A1148" s="250">
        <v>3586</v>
      </c>
      <c r="B1148" s="74" t="s">
        <v>1255</v>
      </c>
      <c r="C1148" s="74" t="s">
        <v>440</v>
      </c>
    </row>
    <row r="1149" spans="1:3">
      <c r="A1149" s="250">
        <v>3588</v>
      </c>
      <c r="B1149" s="74" t="s">
        <v>1256</v>
      </c>
      <c r="C1149" s="74" t="s">
        <v>440</v>
      </c>
    </row>
    <row r="1150" spans="1:3">
      <c r="A1150" s="250">
        <v>3589</v>
      </c>
      <c r="B1150" s="74" t="s">
        <v>1257</v>
      </c>
      <c r="C1150" s="74" t="s">
        <v>440</v>
      </c>
    </row>
    <row r="1151" spans="1:3">
      <c r="A1151" s="250">
        <v>3590</v>
      </c>
      <c r="B1151" s="74" t="s">
        <v>1258</v>
      </c>
      <c r="C1151" s="74" t="s">
        <v>440</v>
      </c>
    </row>
    <row r="1152" spans="1:3">
      <c r="A1152" s="250">
        <v>3592</v>
      </c>
      <c r="B1152" s="74" t="s">
        <v>1259</v>
      </c>
      <c r="C1152" s="74" t="s">
        <v>440</v>
      </c>
    </row>
    <row r="1153" spans="1:3">
      <c r="A1153" s="250">
        <v>3593</v>
      </c>
      <c r="B1153" s="74" t="s">
        <v>960</v>
      </c>
      <c r="C1153" s="74" t="s">
        <v>440</v>
      </c>
    </row>
    <row r="1154" spans="1:3">
      <c r="A1154" s="250">
        <v>3595</v>
      </c>
      <c r="B1154" s="74" t="s">
        <v>1260</v>
      </c>
      <c r="C1154" s="74" t="s">
        <v>440</v>
      </c>
    </row>
    <row r="1155" spans="1:3">
      <c r="A1155" s="250">
        <v>3597</v>
      </c>
      <c r="B1155" s="74" t="s">
        <v>1261</v>
      </c>
      <c r="C1155" s="74" t="s">
        <v>440</v>
      </c>
    </row>
    <row r="1156" spans="1:3">
      <c r="A1156" s="250">
        <v>3598</v>
      </c>
      <c r="B1156" s="74" t="s">
        <v>1262</v>
      </c>
      <c r="C1156" s="74" t="s">
        <v>440</v>
      </c>
    </row>
    <row r="1157" spans="1:3">
      <c r="A1157" s="250">
        <v>3601</v>
      </c>
      <c r="B1157" s="74" t="s">
        <v>1263</v>
      </c>
      <c r="C1157" s="74" t="s">
        <v>440</v>
      </c>
    </row>
    <row r="1158" spans="1:3">
      <c r="A1158" s="250">
        <v>3602</v>
      </c>
      <c r="B1158" s="74" t="s">
        <v>1264</v>
      </c>
      <c r="C1158" s="74" t="s">
        <v>440</v>
      </c>
    </row>
    <row r="1159" spans="1:3">
      <c r="A1159" s="250">
        <v>3603</v>
      </c>
      <c r="B1159" s="74" t="s">
        <v>906</v>
      </c>
      <c r="C1159" s="74" t="s">
        <v>440</v>
      </c>
    </row>
    <row r="1160" spans="1:3">
      <c r="A1160" s="250">
        <v>3604</v>
      </c>
      <c r="B1160" s="74" t="s">
        <v>1265</v>
      </c>
      <c r="C1160" s="74" t="s">
        <v>440</v>
      </c>
    </row>
    <row r="1161" spans="1:3">
      <c r="A1161" s="250">
        <v>3605</v>
      </c>
      <c r="B1161" s="74" t="s">
        <v>1266</v>
      </c>
      <c r="C1161" s="74" t="s">
        <v>440</v>
      </c>
    </row>
    <row r="1162" spans="1:3">
      <c r="A1162" s="250">
        <v>3607</v>
      </c>
      <c r="B1162" s="74" t="s">
        <v>1267</v>
      </c>
      <c r="C1162" s="74" t="s">
        <v>440</v>
      </c>
    </row>
    <row r="1163" spans="1:3">
      <c r="A1163" s="250">
        <v>3608</v>
      </c>
      <c r="B1163" s="74" t="s">
        <v>897</v>
      </c>
      <c r="C1163" s="74" t="s">
        <v>440</v>
      </c>
    </row>
    <row r="1164" spans="1:3">
      <c r="A1164" s="250">
        <v>3609</v>
      </c>
      <c r="B1164" s="74" t="s">
        <v>1268</v>
      </c>
      <c r="C1164" s="74" t="s">
        <v>440</v>
      </c>
    </row>
    <row r="1165" spans="1:3">
      <c r="A1165" s="250">
        <v>3740</v>
      </c>
      <c r="B1165" s="74" t="s">
        <v>1269</v>
      </c>
      <c r="C1165" s="74" t="s">
        <v>440</v>
      </c>
    </row>
    <row r="1166" spans="1:3">
      <c r="A1166" s="250">
        <v>3741</v>
      </c>
      <c r="B1166" s="74" t="s">
        <v>1270</v>
      </c>
      <c r="C1166" s="74" t="s">
        <v>440</v>
      </c>
    </row>
    <row r="1167" spans="1:3">
      <c r="A1167" s="250">
        <v>3743</v>
      </c>
      <c r="B1167" s="74" t="s">
        <v>1271</v>
      </c>
      <c r="C1167" s="74" t="s">
        <v>440</v>
      </c>
    </row>
    <row r="1168" spans="1:3">
      <c r="A1168" s="250">
        <v>3745</v>
      </c>
      <c r="B1168" s="74" t="s">
        <v>1272</v>
      </c>
      <c r="C1168" s="74" t="s">
        <v>440</v>
      </c>
    </row>
    <row r="1169" spans="1:3">
      <c r="A1169" s="250">
        <v>3746</v>
      </c>
      <c r="B1169" s="74" t="s">
        <v>1273</v>
      </c>
      <c r="C1169" s="74" t="s">
        <v>440</v>
      </c>
    </row>
    <row r="1170" spans="1:3">
      <c r="A1170" s="250">
        <v>3748</v>
      </c>
      <c r="B1170" s="74" t="s">
        <v>1274</v>
      </c>
      <c r="C1170" s="74" t="s">
        <v>440</v>
      </c>
    </row>
    <row r="1171" spans="1:3">
      <c r="A1171" s="250">
        <v>3749</v>
      </c>
      <c r="B1171" s="74" t="s">
        <v>1275</v>
      </c>
      <c r="C1171" s="74" t="s">
        <v>440</v>
      </c>
    </row>
    <row r="1172" spans="1:3">
      <c r="A1172" s="250">
        <v>3750</v>
      </c>
      <c r="B1172" s="74" t="s">
        <v>1276</v>
      </c>
      <c r="C1172" s="74" t="s">
        <v>440</v>
      </c>
    </row>
    <row r="1173" spans="1:3">
      <c r="A1173" s="250">
        <v>3751</v>
      </c>
      <c r="B1173" s="74" t="s">
        <v>1277</v>
      </c>
      <c r="C1173" s="74" t="s">
        <v>440</v>
      </c>
    </row>
    <row r="1174" spans="1:3">
      <c r="A1174" s="250">
        <v>3752</v>
      </c>
      <c r="B1174" s="74" t="s">
        <v>592</v>
      </c>
      <c r="C1174" s="74" t="s">
        <v>440</v>
      </c>
    </row>
    <row r="1175" spans="1:3">
      <c r="A1175" s="250">
        <v>3753</v>
      </c>
      <c r="B1175" s="74" t="s">
        <v>1278</v>
      </c>
      <c r="C1175" s="74" t="s">
        <v>440</v>
      </c>
    </row>
    <row r="1176" spans="1:3">
      <c r="A1176" s="250">
        <v>3754</v>
      </c>
      <c r="B1176" s="74" t="s">
        <v>1279</v>
      </c>
      <c r="C1176" s="74" t="s">
        <v>440</v>
      </c>
    </row>
    <row r="1177" spans="1:3">
      <c r="A1177" s="250">
        <v>3755</v>
      </c>
      <c r="B1177" s="74" t="s">
        <v>944</v>
      </c>
      <c r="C1177" s="74" t="s">
        <v>440</v>
      </c>
    </row>
    <row r="1178" spans="1:3">
      <c r="A1178" s="250">
        <v>3756</v>
      </c>
      <c r="B1178" s="74" t="s">
        <v>1280</v>
      </c>
      <c r="C1178" s="74" t="s">
        <v>440</v>
      </c>
    </row>
    <row r="1179" spans="1:3">
      <c r="A1179" s="250">
        <v>3765</v>
      </c>
      <c r="B1179" s="74" t="s">
        <v>812</v>
      </c>
      <c r="C1179" s="74" t="s">
        <v>440</v>
      </c>
    </row>
    <row r="1180" spans="1:3">
      <c r="A1180" s="250">
        <v>3766</v>
      </c>
      <c r="B1180" s="74" t="s">
        <v>1280</v>
      </c>
      <c r="C1180" s="74" t="s">
        <v>440</v>
      </c>
    </row>
    <row r="1181" spans="1:3">
      <c r="A1181" s="250">
        <v>3768</v>
      </c>
      <c r="B1181" s="74" t="s">
        <v>1281</v>
      </c>
      <c r="C1181" s="74" t="s">
        <v>440</v>
      </c>
    </row>
    <row r="1182" spans="1:3">
      <c r="A1182" s="250">
        <v>3769</v>
      </c>
      <c r="B1182" s="74" t="s">
        <v>1282</v>
      </c>
      <c r="C1182" s="74" t="s">
        <v>440</v>
      </c>
    </row>
    <row r="1183" spans="1:3">
      <c r="A1183" s="250">
        <v>3770</v>
      </c>
      <c r="B1183" s="74" t="s">
        <v>1283</v>
      </c>
      <c r="C1183" s="74" t="s">
        <v>440</v>
      </c>
    </row>
    <row r="1184" spans="1:3">
      <c r="A1184" s="250">
        <v>3771</v>
      </c>
      <c r="B1184" s="74" t="s">
        <v>1284</v>
      </c>
      <c r="C1184" s="74" t="s">
        <v>440</v>
      </c>
    </row>
    <row r="1185" spans="1:3">
      <c r="A1185" s="250">
        <v>3773</v>
      </c>
      <c r="B1185" s="74" t="s">
        <v>1118</v>
      </c>
      <c r="C1185" s="74" t="s">
        <v>440</v>
      </c>
    </row>
    <row r="1186" spans="1:3">
      <c r="A1186" s="250">
        <v>3774</v>
      </c>
      <c r="B1186" s="74" t="s">
        <v>1285</v>
      </c>
      <c r="C1186" s="74" t="s">
        <v>440</v>
      </c>
    </row>
    <row r="1187" spans="1:3">
      <c r="A1187" s="250">
        <v>3777</v>
      </c>
      <c r="B1187" s="74" t="s">
        <v>1286</v>
      </c>
      <c r="C1187" s="74" t="s">
        <v>440</v>
      </c>
    </row>
    <row r="1188" spans="1:3">
      <c r="A1188" s="250">
        <v>3779</v>
      </c>
      <c r="B1188" s="74" t="s">
        <v>1287</v>
      </c>
      <c r="C1188" s="74" t="s">
        <v>440</v>
      </c>
    </row>
    <row r="1189" spans="1:3">
      <c r="A1189" s="250">
        <v>3780</v>
      </c>
      <c r="B1189" s="74" t="s">
        <v>1288</v>
      </c>
      <c r="C1189" s="74" t="s">
        <v>440</v>
      </c>
    </row>
    <row r="1190" spans="1:3">
      <c r="A1190" s="250">
        <v>3781</v>
      </c>
      <c r="B1190" s="74" t="s">
        <v>611</v>
      </c>
      <c r="C1190" s="74" t="s">
        <v>440</v>
      </c>
    </row>
    <row r="1191" spans="1:3">
      <c r="A1191" s="250">
        <v>3782</v>
      </c>
      <c r="B1191" s="74" t="s">
        <v>1289</v>
      </c>
      <c r="C1191" s="74" t="s">
        <v>440</v>
      </c>
    </row>
    <row r="1192" spans="1:3">
      <c r="A1192" s="250">
        <v>3784</v>
      </c>
      <c r="B1192" s="74" t="s">
        <v>1290</v>
      </c>
      <c r="C1192" s="74" t="s">
        <v>440</v>
      </c>
    </row>
    <row r="1193" spans="1:3">
      <c r="A1193" s="250">
        <v>3785</v>
      </c>
      <c r="B1193" s="74" t="s">
        <v>1291</v>
      </c>
      <c r="C1193" s="74" t="s">
        <v>440</v>
      </c>
    </row>
    <row r="1194" spans="1:3">
      <c r="A1194" s="250">
        <v>3801</v>
      </c>
      <c r="B1194" s="74" t="s">
        <v>1126</v>
      </c>
      <c r="C1194" s="74" t="s">
        <v>440</v>
      </c>
    </row>
    <row r="1195" spans="1:3">
      <c r="A1195" s="250">
        <v>3802</v>
      </c>
      <c r="B1195" s="74" t="s">
        <v>1126</v>
      </c>
      <c r="C1195" s="74" t="s">
        <v>440</v>
      </c>
    </row>
    <row r="1196" spans="1:3">
      <c r="A1196" s="250">
        <v>3803</v>
      </c>
      <c r="B1196" s="74" t="s">
        <v>1126</v>
      </c>
      <c r="C1196" s="74" t="s">
        <v>440</v>
      </c>
    </row>
    <row r="1197" spans="1:3">
      <c r="A1197" s="250">
        <v>3804</v>
      </c>
      <c r="B1197" s="74" t="s">
        <v>1126</v>
      </c>
      <c r="C1197" s="74" t="s">
        <v>440</v>
      </c>
    </row>
    <row r="1198" spans="1:3">
      <c r="A1198" s="250">
        <v>3805</v>
      </c>
      <c r="B1198" s="74" t="s">
        <v>1292</v>
      </c>
      <c r="C1198" s="74" t="s">
        <v>440</v>
      </c>
    </row>
    <row r="1199" spans="1:3">
      <c r="A1199" s="250">
        <v>3809</v>
      </c>
      <c r="B1199" s="74" t="s">
        <v>1293</v>
      </c>
      <c r="C1199" s="74" t="s">
        <v>440</v>
      </c>
    </row>
    <row r="1200" spans="1:3">
      <c r="A1200" s="250">
        <v>3810</v>
      </c>
      <c r="B1200" s="74" t="s">
        <v>1294</v>
      </c>
      <c r="C1200" s="74" t="s">
        <v>440</v>
      </c>
    </row>
    <row r="1201" spans="1:3">
      <c r="A1201" s="250">
        <v>3811</v>
      </c>
      <c r="B1201" s="74" t="s">
        <v>1295</v>
      </c>
      <c r="C1201" s="74" t="s">
        <v>440</v>
      </c>
    </row>
    <row r="1202" spans="1:3">
      <c r="A1202" s="250">
        <v>3812</v>
      </c>
      <c r="B1202" s="74" t="s">
        <v>1296</v>
      </c>
      <c r="C1202" s="74" t="s">
        <v>440</v>
      </c>
    </row>
    <row r="1203" spans="1:3">
      <c r="A1203" s="250">
        <v>3813</v>
      </c>
      <c r="B1203" s="74" t="s">
        <v>1297</v>
      </c>
      <c r="C1203" s="74" t="s">
        <v>440</v>
      </c>
    </row>
    <row r="1204" spans="1:3">
      <c r="A1204" s="250">
        <v>3814</v>
      </c>
      <c r="B1204" s="74" t="s">
        <v>1298</v>
      </c>
      <c r="C1204" s="74" t="s">
        <v>440</v>
      </c>
    </row>
    <row r="1205" spans="1:3">
      <c r="A1205" s="250">
        <v>3815</v>
      </c>
      <c r="B1205" s="74" t="s">
        <v>1299</v>
      </c>
      <c r="C1205" s="74" t="s">
        <v>440</v>
      </c>
    </row>
    <row r="1206" spans="1:3">
      <c r="A1206" s="250">
        <v>3816</v>
      </c>
      <c r="B1206" s="74" t="s">
        <v>1300</v>
      </c>
      <c r="C1206" s="74" t="s">
        <v>440</v>
      </c>
    </row>
    <row r="1207" spans="1:3">
      <c r="A1207" s="250">
        <v>3817</v>
      </c>
      <c r="B1207" s="74" t="s">
        <v>1301</v>
      </c>
      <c r="C1207" s="74" t="s">
        <v>440</v>
      </c>
    </row>
    <row r="1208" spans="1:3">
      <c r="A1208" s="250">
        <v>3818</v>
      </c>
      <c r="B1208" s="74" t="s">
        <v>677</v>
      </c>
      <c r="C1208" s="74" t="s">
        <v>440</v>
      </c>
    </row>
    <row r="1209" spans="1:3">
      <c r="A1209" s="250">
        <v>3819</v>
      </c>
      <c r="B1209" s="74" t="s">
        <v>1302</v>
      </c>
      <c r="C1209" s="74" t="s">
        <v>440</v>
      </c>
    </row>
    <row r="1210" spans="1:3">
      <c r="A1210" s="250">
        <v>3820</v>
      </c>
      <c r="B1210" s="74" t="s">
        <v>869</v>
      </c>
      <c r="C1210" s="74" t="s">
        <v>440</v>
      </c>
    </row>
    <row r="1211" spans="1:3">
      <c r="A1211" s="250">
        <v>3821</v>
      </c>
      <c r="B1211" s="74" t="s">
        <v>869</v>
      </c>
      <c r="C1211" s="74" t="s">
        <v>440</v>
      </c>
    </row>
    <row r="1212" spans="1:3">
      <c r="A1212" s="250">
        <v>3822</v>
      </c>
      <c r="B1212" s="74" t="s">
        <v>869</v>
      </c>
      <c r="C1212" s="74" t="s">
        <v>440</v>
      </c>
    </row>
    <row r="1213" spans="1:3">
      <c r="A1213" s="250">
        <v>3823</v>
      </c>
      <c r="B1213" s="74" t="s">
        <v>1303</v>
      </c>
      <c r="C1213" s="74" t="s">
        <v>440</v>
      </c>
    </row>
    <row r="1214" spans="1:3">
      <c r="A1214" s="250">
        <v>3824</v>
      </c>
      <c r="B1214" s="74" t="s">
        <v>1304</v>
      </c>
      <c r="C1214" s="74" t="s">
        <v>440</v>
      </c>
    </row>
    <row r="1215" spans="1:3">
      <c r="A1215" s="250">
        <v>3825</v>
      </c>
      <c r="B1215" s="74" t="s">
        <v>1095</v>
      </c>
      <c r="C1215" s="74" t="s">
        <v>440</v>
      </c>
    </row>
    <row r="1216" spans="1:3">
      <c r="A1216" s="250">
        <v>3826</v>
      </c>
      <c r="B1216" s="74" t="s">
        <v>1305</v>
      </c>
      <c r="C1216" s="74" t="s">
        <v>440</v>
      </c>
    </row>
    <row r="1217" spans="1:3">
      <c r="A1217" s="250">
        <v>3827</v>
      </c>
      <c r="B1217" s="74" t="s">
        <v>1306</v>
      </c>
      <c r="C1217" s="74" t="s">
        <v>440</v>
      </c>
    </row>
    <row r="1218" spans="1:3">
      <c r="A1218" s="250">
        <v>3830</v>
      </c>
      <c r="B1218" s="74" t="s">
        <v>1307</v>
      </c>
      <c r="C1218" s="74" t="s">
        <v>440</v>
      </c>
    </row>
    <row r="1219" spans="1:3">
      <c r="A1219" s="250">
        <v>3832</v>
      </c>
      <c r="B1219" s="74" t="s">
        <v>1308</v>
      </c>
      <c r="C1219" s="74" t="s">
        <v>440</v>
      </c>
    </row>
    <row r="1220" spans="1:3">
      <c r="A1220" s="250">
        <v>3833</v>
      </c>
      <c r="B1220" s="74" t="s">
        <v>1104</v>
      </c>
      <c r="C1220" s="74" t="s">
        <v>440</v>
      </c>
    </row>
    <row r="1221" spans="1:3">
      <c r="A1221" s="250">
        <v>3835</v>
      </c>
      <c r="B1221" s="74" t="s">
        <v>1309</v>
      </c>
      <c r="C1221" s="74" t="s">
        <v>440</v>
      </c>
    </row>
    <row r="1222" spans="1:3">
      <c r="A1222" s="250">
        <v>3836</v>
      </c>
      <c r="B1222" s="74" t="s">
        <v>1310</v>
      </c>
      <c r="C1222" s="74" t="s">
        <v>440</v>
      </c>
    </row>
    <row r="1223" spans="1:3">
      <c r="A1223" s="250">
        <v>3837</v>
      </c>
      <c r="B1223" s="74" t="s">
        <v>1311</v>
      </c>
      <c r="C1223" s="74" t="s">
        <v>440</v>
      </c>
    </row>
    <row r="1224" spans="1:3">
      <c r="A1224" s="250">
        <v>3838</v>
      </c>
      <c r="B1224" s="74" t="s">
        <v>1312</v>
      </c>
      <c r="C1224" s="74" t="s">
        <v>440</v>
      </c>
    </row>
    <row r="1225" spans="1:3">
      <c r="A1225" s="250">
        <v>3839</v>
      </c>
      <c r="B1225" s="74" t="s">
        <v>1085</v>
      </c>
      <c r="C1225" s="74" t="s">
        <v>440</v>
      </c>
    </row>
    <row r="1226" spans="1:3">
      <c r="A1226" s="250">
        <v>3840</v>
      </c>
      <c r="B1226" s="74" t="s">
        <v>1313</v>
      </c>
      <c r="C1226" s="74" t="s">
        <v>440</v>
      </c>
    </row>
    <row r="1227" spans="1:3">
      <c r="A1227" s="250">
        <v>3841</v>
      </c>
      <c r="B1227" s="74" t="s">
        <v>1314</v>
      </c>
      <c r="C1227" s="74" t="s">
        <v>440</v>
      </c>
    </row>
    <row r="1228" spans="1:3">
      <c r="A1228" s="250">
        <v>3842</v>
      </c>
      <c r="B1228" s="74" t="s">
        <v>1315</v>
      </c>
      <c r="C1228" s="74" t="s">
        <v>440</v>
      </c>
    </row>
    <row r="1229" spans="1:3">
      <c r="A1229" s="250">
        <v>3843</v>
      </c>
      <c r="B1229" s="74" t="s">
        <v>1315</v>
      </c>
      <c r="C1229" s="74" t="s">
        <v>440</v>
      </c>
    </row>
    <row r="1230" spans="1:3">
      <c r="A1230" s="250">
        <v>3844</v>
      </c>
      <c r="B1230" s="74" t="s">
        <v>1316</v>
      </c>
      <c r="C1230" s="74" t="s">
        <v>440</v>
      </c>
    </row>
    <row r="1231" spans="1:3">
      <c r="A1231" s="250">
        <v>3845</v>
      </c>
      <c r="B1231" s="74" t="s">
        <v>1317</v>
      </c>
      <c r="C1231" s="74" t="s">
        <v>440</v>
      </c>
    </row>
    <row r="1232" spans="1:3">
      <c r="A1232" s="250">
        <v>3846</v>
      </c>
      <c r="B1232" s="74" t="s">
        <v>1318</v>
      </c>
      <c r="C1232" s="74" t="s">
        <v>440</v>
      </c>
    </row>
    <row r="1233" spans="1:3">
      <c r="A1233" s="250">
        <v>3847</v>
      </c>
      <c r="B1233" s="74" t="s">
        <v>1319</v>
      </c>
      <c r="C1233" s="74" t="s">
        <v>440</v>
      </c>
    </row>
    <row r="1234" spans="1:3">
      <c r="A1234" s="250">
        <v>3848</v>
      </c>
      <c r="B1234" s="74" t="s">
        <v>957</v>
      </c>
      <c r="C1234" s="74" t="s">
        <v>440</v>
      </c>
    </row>
    <row r="1235" spans="1:3">
      <c r="A1235" s="250">
        <v>3849</v>
      </c>
      <c r="B1235" s="74" t="s">
        <v>1320</v>
      </c>
      <c r="C1235" s="74" t="s">
        <v>440</v>
      </c>
    </row>
    <row r="1236" spans="1:3">
      <c r="A1236" s="250">
        <v>3850</v>
      </c>
      <c r="B1236" s="74" t="s">
        <v>1321</v>
      </c>
      <c r="C1236" s="74" t="s">
        <v>440</v>
      </c>
    </row>
    <row r="1237" spans="1:3">
      <c r="A1237" s="250">
        <v>3851</v>
      </c>
      <c r="B1237" s="74" t="s">
        <v>927</v>
      </c>
      <c r="C1237" s="74" t="s">
        <v>440</v>
      </c>
    </row>
    <row r="1238" spans="1:3">
      <c r="A1238" s="250">
        <v>3852</v>
      </c>
      <c r="B1238" s="74" t="s">
        <v>1322</v>
      </c>
      <c r="C1238" s="74" t="s">
        <v>440</v>
      </c>
    </row>
    <row r="1239" spans="1:3">
      <c r="A1239" s="250">
        <v>3853</v>
      </c>
      <c r="B1239" s="74" t="s">
        <v>1323</v>
      </c>
      <c r="C1239" s="74" t="s">
        <v>440</v>
      </c>
    </row>
    <row r="1240" spans="1:3">
      <c r="A1240" s="250">
        <v>3854</v>
      </c>
      <c r="B1240" s="74" t="s">
        <v>1324</v>
      </c>
      <c r="C1240" s="74" t="s">
        <v>440</v>
      </c>
    </row>
    <row r="1241" spans="1:3">
      <c r="A1241" s="250">
        <v>3855</v>
      </c>
      <c r="B1241" s="74" t="s">
        <v>1325</v>
      </c>
      <c r="C1241" s="74" t="s">
        <v>440</v>
      </c>
    </row>
    <row r="1242" spans="1:3">
      <c r="A1242" s="250">
        <v>3856</v>
      </c>
      <c r="B1242" s="74" t="s">
        <v>1326</v>
      </c>
      <c r="C1242" s="74" t="s">
        <v>440</v>
      </c>
    </row>
    <row r="1243" spans="1:3">
      <c r="A1243" s="250">
        <v>3857</v>
      </c>
      <c r="B1243" s="74" t="s">
        <v>1327</v>
      </c>
      <c r="C1243" s="74" t="s">
        <v>440</v>
      </c>
    </row>
    <row r="1244" spans="1:3">
      <c r="A1244" s="250">
        <v>3858</v>
      </c>
      <c r="B1244" s="74" t="s">
        <v>973</v>
      </c>
      <c r="C1244" s="74" t="s">
        <v>440</v>
      </c>
    </row>
    <row r="1245" spans="1:3">
      <c r="A1245" s="250">
        <v>3859</v>
      </c>
      <c r="B1245" s="74" t="s">
        <v>1328</v>
      </c>
      <c r="C1245" s="74" t="s">
        <v>440</v>
      </c>
    </row>
    <row r="1246" spans="1:3">
      <c r="A1246" s="250">
        <v>3860</v>
      </c>
      <c r="B1246" s="74" t="s">
        <v>1329</v>
      </c>
      <c r="C1246" s="74" t="s">
        <v>440</v>
      </c>
    </row>
    <row r="1247" spans="1:3">
      <c r="A1247" s="250">
        <v>3861</v>
      </c>
      <c r="B1247" s="74" t="s">
        <v>649</v>
      </c>
      <c r="C1247" s="74" t="s">
        <v>440</v>
      </c>
    </row>
    <row r="1248" spans="1:3">
      <c r="A1248" s="250">
        <v>3862</v>
      </c>
      <c r="B1248" s="74" t="s">
        <v>1330</v>
      </c>
      <c r="C1248" s="74" t="s">
        <v>440</v>
      </c>
    </row>
    <row r="1249" spans="1:3">
      <c r="A1249" s="250">
        <v>3864</v>
      </c>
      <c r="B1249" s="74" t="s">
        <v>1331</v>
      </c>
      <c r="C1249" s="74" t="s">
        <v>440</v>
      </c>
    </row>
    <row r="1250" spans="1:3">
      <c r="A1250" s="250">
        <v>3865</v>
      </c>
      <c r="B1250" s="74" t="s">
        <v>1332</v>
      </c>
      <c r="C1250" s="74" t="s">
        <v>440</v>
      </c>
    </row>
    <row r="1251" spans="1:3">
      <c r="A1251" s="250">
        <v>3866</v>
      </c>
      <c r="B1251" s="74" t="s">
        <v>1085</v>
      </c>
      <c r="C1251" s="74" t="s">
        <v>440</v>
      </c>
    </row>
    <row r="1252" spans="1:3">
      <c r="A1252" s="250">
        <v>3867</v>
      </c>
      <c r="B1252" s="74" t="s">
        <v>1085</v>
      </c>
      <c r="C1252" s="74" t="s">
        <v>440</v>
      </c>
    </row>
    <row r="1253" spans="1:3">
      <c r="A1253" s="250">
        <v>3868</v>
      </c>
      <c r="B1253" s="74" t="s">
        <v>1085</v>
      </c>
      <c r="C1253" s="74" t="s">
        <v>440</v>
      </c>
    </row>
    <row r="1254" spans="1:3">
      <c r="A1254" s="250">
        <v>3869</v>
      </c>
      <c r="B1254" s="74" t="s">
        <v>1333</v>
      </c>
      <c r="C1254" s="74" t="s">
        <v>440</v>
      </c>
    </row>
    <row r="1255" spans="1:3">
      <c r="A1255" s="250">
        <v>3870</v>
      </c>
      <c r="B1255" s="74" t="s">
        <v>1334</v>
      </c>
      <c r="C1255" s="74" t="s">
        <v>440</v>
      </c>
    </row>
    <row r="1256" spans="1:3">
      <c r="A1256" s="250">
        <v>3871</v>
      </c>
      <c r="B1256" s="74" t="s">
        <v>1335</v>
      </c>
      <c r="C1256" s="74" t="s">
        <v>440</v>
      </c>
    </row>
    <row r="1257" spans="1:3">
      <c r="A1257" s="250">
        <v>3872</v>
      </c>
      <c r="B1257" s="74" t="s">
        <v>1336</v>
      </c>
      <c r="C1257" s="74" t="s">
        <v>440</v>
      </c>
    </row>
    <row r="1258" spans="1:3">
      <c r="A1258" s="250">
        <v>3873</v>
      </c>
      <c r="B1258" s="74" t="s">
        <v>1337</v>
      </c>
      <c r="C1258" s="74" t="s">
        <v>440</v>
      </c>
    </row>
    <row r="1259" spans="1:3">
      <c r="A1259" s="250">
        <v>3874</v>
      </c>
      <c r="B1259" s="74" t="s">
        <v>1338</v>
      </c>
      <c r="C1259" s="74" t="s">
        <v>440</v>
      </c>
    </row>
    <row r="1260" spans="1:3">
      <c r="A1260" s="250">
        <v>3875</v>
      </c>
      <c r="B1260" s="74" t="s">
        <v>1339</v>
      </c>
      <c r="C1260" s="74" t="s">
        <v>440</v>
      </c>
    </row>
    <row r="1261" spans="1:3">
      <c r="A1261" s="250">
        <v>3878</v>
      </c>
      <c r="B1261" s="74" t="s">
        <v>1340</v>
      </c>
      <c r="C1261" s="74" t="s">
        <v>440</v>
      </c>
    </row>
    <row r="1262" spans="1:3">
      <c r="A1262" s="250">
        <v>3882</v>
      </c>
      <c r="B1262" s="74" t="s">
        <v>1341</v>
      </c>
      <c r="C1262" s="74" t="s">
        <v>440</v>
      </c>
    </row>
    <row r="1263" spans="1:3">
      <c r="A1263" s="250">
        <v>3883</v>
      </c>
      <c r="B1263" s="74" t="s">
        <v>1342</v>
      </c>
      <c r="C1263" s="74" t="s">
        <v>440</v>
      </c>
    </row>
    <row r="1264" spans="1:3">
      <c r="A1264" s="250">
        <v>3884</v>
      </c>
      <c r="B1264" s="74" t="s">
        <v>1343</v>
      </c>
      <c r="C1264" s="74" t="s">
        <v>440</v>
      </c>
    </row>
    <row r="1265" spans="1:3">
      <c r="A1265" s="250">
        <v>3885</v>
      </c>
      <c r="B1265" s="74" t="s">
        <v>1344</v>
      </c>
      <c r="C1265" s="74" t="s">
        <v>440</v>
      </c>
    </row>
    <row r="1266" spans="1:3">
      <c r="A1266" s="250">
        <v>3886</v>
      </c>
      <c r="B1266" s="74" t="s">
        <v>1345</v>
      </c>
      <c r="C1266" s="74" t="s">
        <v>440</v>
      </c>
    </row>
    <row r="1267" spans="1:3">
      <c r="A1267" s="250">
        <v>3887</v>
      </c>
      <c r="B1267" s="74" t="s">
        <v>1346</v>
      </c>
      <c r="C1267" s="74" t="s">
        <v>440</v>
      </c>
    </row>
    <row r="1268" spans="1:3">
      <c r="A1268" s="250">
        <v>3890</v>
      </c>
      <c r="B1268" s="74" t="s">
        <v>1347</v>
      </c>
      <c r="C1268" s="74" t="s">
        <v>440</v>
      </c>
    </row>
    <row r="1269" spans="1:3">
      <c r="A1269" s="250">
        <v>3894</v>
      </c>
      <c r="B1269" s="74" t="s">
        <v>1348</v>
      </c>
      <c r="C1269" s="74" t="s">
        <v>440</v>
      </c>
    </row>
    <row r="1270" spans="1:3">
      <c r="A1270" s="250">
        <v>3896</v>
      </c>
      <c r="B1270" s="74" t="s">
        <v>1349</v>
      </c>
      <c r="C1270" s="74" t="s">
        <v>440</v>
      </c>
    </row>
    <row r="1271" spans="1:3">
      <c r="A1271" s="250">
        <v>3897</v>
      </c>
      <c r="B1271" s="74" t="s">
        <v>1350</v>
      </c>
      <c r="C1271" s="74" t="s">
        <v>440</v>
      </c>
    </row>
    <row r="1272" spans="1:3">
      <c r="A1272" s="250">
        <v>3901</v>
      </c>
      <c r="B1272" s="74" t="s">
        <v>1351</v>
      </c>
      <c r="C1272" s="74" t="s">
        <v>430</v>
      </c>
    </row>
    <row r="1273" spans="1:3">
      <c r="A1273" s="250">
        <v>3902</v>
      </c>
      <c r="B1273" s="74" t="s">
        <v>1352</v>
      </c>
      <c r="C1273" s="74" t="s">
        <v>430</v>
      </c>
    </row>
    <row r="1274" spans="1:3">
      <c r="A1274" s="250">
        <v>3903</v>
      </c>
      <c r="B1274" s="74" t="s">
        <v>1353</v>
      </c>
      <c r="C1274" s="74" t="s">
        <v>430</v>
      </c>
    </row>
    <row r="1275" spans="1:3">
      <c r="A1275" s="250">
        <v>3904</v>
      </c>
      <c r="B1275" s="74" t="s">
        <v>1354</v>
      </c>
      <c r="C1275" s="74" t="s">
        <v>430</v>
      </c>
    </row>
    <row r="1276" spans="1:3">
      <c r="A1276" s="250">
        <v>3905</v>
      </c>
      <c r="B1276" s="74" t="s">
        <v>1355</v>
      </c>
      <c r="C1276" s="74" t="s">
        <v>430</v>
      </c>
    </row>
    <row r="1277" spans="1:3">
      <c r="A1277" s="250">
        <v>3906</v>
      </c>
      <c r="B1277" s="74" t="s">
        <v>1356</v>
      </c>
      <c r="C1277" s="74" t="s">
        <v>430</v>
      </c>
    </row>
    <row r="1278" spans="1:3">
      <c r="A1278" s="250">
        <v>3907</v>
      </c>
      <c r="B1278" s="74" t="s">
        <v>1357</v>
      </c>
      <c r="C1278" s="74" t="s">
        <v>430</v>
      </c>
    </row>
    <row r="1279" spans="1:3">
      <c r="A1279" s="250">
        <v>3908</v>
      </c>
      <c r="B1279" s="74" t="s">
        <v>1358</v>
      </c>
      <c r="C1279" s="74" t="s">
        <v>430</v>
      </c>
    </row>
    <row r="1280" spans="1:3">
      <c r="A1280" s="250">
        <v>3909</v>
      </c>
      <c r="B1280" s="74" t="s">
        <v>1359</v>
      </c>
      <c r="C1280" s="74" t="s">
        <v>430</v>
      </c>
    </row>
    <row r="1281" spans="1:3">
      <c r="A1281" s="250">
        <v>3910</v>
      </c>
      <c r="B1281" s="74" t="s">
        <v>1360</v>
      </c>
      <c r="C1281" s="74" t="s">
        <v>430</v>
      </c>
    </row>
    <row r="1282" spans="1:3">
      <c r="A1282" s="250">
        <v>3911</v>
      </c>
      <c r="B1282" s="74" t="s">
        <v>1361</v>
      </c>
      <c r="C1282" s="74" t="s">
        <v>430</v>
      </c>
    </row>
    <row r="1283" spans="1:3">
      <c r="A1283" s="250">
        <v>4001</v>
      </c>
      <c r="B1283" s="74" t="s">
        <v>781</v>
      </c>
      <c r="C1283" s="74" t="s">
        <v>430</v>
      </c>
    </row>
    <row r="1284" spans="1:3">
      <c r="A1284" s="250">
        <v>4002</v>
      </c>
      <c r="B1284" s="74" t="s">
        <v>1362</v>
      </c>
      <c r="C1284" s="74" t="s">
        <v>430</v>
      </c>
    </row>
    <row r="1285" spans="1:3">
      <c r="A1285" s="250">
        <v>4003</v>
      </c>
      <c r="B1285" s="74" t="s">
        <v>1363</v>
      </c>
      <c r="C1285" s="74" t="s">
        <v>430</v>
      </c>
    </row>
    <row r="1286" spans="1:3">
      <c r="A1286" s="250">
        <v>4004</v>
      </c>
      <c r="B1286" s="74" t="s">
        <v>1364</v>
      </c>
      <c r="C1286" s="74" t="s">
        <v>430</v>
      </c>
    </row>
    <row r="1287" spans="1:3">
      <c r="A1287" s="250">
        <v>4005</v>
      </c>
      <c r="B1287" s="74" t="s">
        <v>1365</v>
      </c>
      <c r="C1287" s="74" t="s">
        <v>430</v>
      </c>
    </row>
    <row r="1288" spans="1:3">
      <c r="A1288" s="250">
        <v>4006</v>
      </c>
      <c r="B1288" s="74" t="s">
        <v>1366</v>
      </c>
      <c r="C1288" s="74" t="s">
        <v>430</v>
      </c>
    </row>
    <row r="1289" spans="1:3">
      <c r="A1289" s="250">
        <v>4007</v>
      </c>
      <c r="B1289" s="74" t="s">
        <v>1365</v>
      </c>
      <c r="C1289" s="74" t="s">
        <v>430</v>
      </c>
    </row>
    <row r="1290" spans="1:3">
      <c r="A1290" s="250">
        <v>4008</v>
      </c>
      <c r="B1290" s="74" t="s">
        <v>1367</v>
      </c>
      <c r="C1290" s="74" t="s">
        <v>430</v>
      </c>
    </row>
    <row r="1291" spans="1:3">
      <c r="A1291" s="250">
        <v>4009</v>
      </c>
      <c r="B1291" s="74" t="s">
        <v>1368</v>
      </c>
      <c r="C1291" s="74" t="s">
        <v>430</v>
      </c>
    </row>
    <row r="1292" spans="1:3">
      <c r="A1292" s="250">
        <v>4010</v>
      </c>
      <c r="B1292" s="74" t="s">
        <v>1369</v>
      </c>
      <c r="C1292" s="74" t="s">
        <v>430</v>
      </c>
    </row>
    <row r="1293" spans="1:3">
      <c r="A1293" s="250">
        <v>4011</v>
      </c>
      <c r="B1293" s="74" t="s">
        <v>1370</v>
      </c>
      <c r="C1293" s="74" t="s">
        <v>430</v>
      </c>
    </row>
    <row r="1294" spans="1:3">
      <c r="A1294" s="250">
        <v>4013</v>
      </c>
      <c r="B1294" s="74" t="s">
        <v>1371</v>
      </c>
      <c r="C1294" s="74" t="s">
        <v>430</v>
      </c>
    </row>
    <row r="1295" spans="1:3">
      <c r="A1295" s="250">
        <v>4014</v>
      </c>
      <c r="B1295" s="74" t="s">
        <v>1372</v>
      </c>
      <c r="C1295" s="74" t="s">
        <v>430</v>
      </c>
    </row>
    <row r="1296" spans="1:3">
      <c r="A1296" s="250">
        <v>4015</v>
      </c>
      <c r="B1296" s="74" t="s">
        <v>1373</v>
      </c>
      <c r="C1296" s="74" t="s">
        <v>430</v>
      </c>
    </row>
    <row r="1297" spans="1:3">
      <c r="A1297" s="250">
        <v>4016</v>
      </c>
      <c r="B1297" s="74" t="s">
        <v>1374</v>
      </c>
      <c r="C1297" s="74" t="s">
        <v>430</v>
      </c>
    </row>
    <row r="1298" spans="1:3">
      <c r="A1298" s="250">
        <v>4017</v>
      </c>
      <c r="B1298" s="74" t="s">
        <v>1375</v>
      </c>
      <c r="C1298" s="74" t="s">
        <v>430</v>
      </c>
    </row>
    <row r="1299" spans="1:3">
      <c r="A1299" s="250">
        <v>4019</v>
      </c>
      <c r="B1299" s="74" t="s">
        <v>1376</v>
      </c>
      <c r="C1299" s="74" t="s">
        <v>430</v>
      </c>
    </row>
    <row r="1300" spans="1:3">
      <c r="A1300" s="250">
        <v>4020</v>
      </c>
      <c r="B1300" s="74" t="s">
        <v>1272</v>
      </c>
      <c r="C1300" s="74" t="s">
        <v>430</v>
      </c>
    </row>
    <row r="1301" spans="1:3">
      <c r="A1301" s="250">
        <v>4021</v>
      </c>
      <c r="B1301" s="74" t="s">
        <v>1377</v>
      </c>
      <c r="C1301" s="74" t="s">
        <v>430</v>
      </c>
    </row>
    <row r="1302" spans="1:3">
      <c r="A1302" s="250">
        <v>4022</v>
      </c>
      <c r="B1302" s="74" t="s">
        <v>1378</v>
      </c>
      <c r="C1302" s="74" t="s">
        <v>430</v>
      </c>
    </row>
    <row r="1303" spans="1:3">
      <c r="A1303" s="250">
        <v>4024</v>
      </c>
      <c r="B1303" s="74" t="s">
        <v>1379</v>
      </c>
      <c r="C1303" s="74" t="s">
        <v>430</v>
      </c>
    </row>
    <row r="1304" spans="1:3">
      <c r="A1304" s="250">
        <v>4027</v>
      </c>
      <c r="B1304" s="74" t="s">
        <v>1280</v>
      </c>
      <c r="C1304" s="74" t="s">
        <v>430</v>
      </c>
    </row>
    <row r="1305" spans="1:3">
      <c r="A1305" s="250">
        <v>4028</v>
      </c>
      <c r="B1305" s="74" t="s">
        <v>1380</v>
      </c>
      <c r="C1305" s="74" t="s">
        <v>430</v>
      </c>
    </row>
    <row r="1306" spans="1:3">
      <c r="A1306" s="250">
        <v>4029</v>
      </c>
      <c r="B1306" s="74" t="s">
        <v>1381</v>
      </c>
      <c r="C1306" s="74" t="s">
        <v>430</v>
      </c>
    </row>
    <row r="1307" spans="1:3">
      <c r="A1307" s="250">
        <v>4030</v>
      </c>
      <c r="B1307" s="74" t="s">
        <v>1382</v>
      </c>
      <c r="C1307" s="74" t="s">
        <v>430</v>
      </c>
    </row>
    <row r="1308" spans="1:3">
      <c r="A1308" s="250">
        <v>4032</v>
      </c>
      <c r="B1308" s="74" t="s">
        <v>1383</v>
      </c>
      <c r="C1308" s="74" t="s">
        <v>430</v>
      </c>
    </row>
    <row r="1309" spans="1:3">
      <c r="A1309" s="250">
        <v>4033</v>
      </c>
      <c r="B1309" s="74" t="s">
        <v>1383</v>
      </c>
      <c r="C1309" s="74" t="s">
        <v>430</v>
      </c>
    </row>
    <row r="1310" spans="1:3">
      <c r="A1310" s="250">
        <v>4034</v>
      </c>
      <c r="B1310" s="74" t="s">
        <v>1383</v>
      </c>
      <c r="C1310" s="74" t="s">
        <v>430</v>
      </c>
    </row>
    <row r="1311" spans="1:3">
      <c r="A1311" s="250">
        <v>4037</v>
      </c>
      <c r="B1311" s="74" t="s">
        <v>1384</v>
      </c>
      <c r="C1311" s="74" t="s">
        <v>430</v>
      </c>
    </row>
    <row r="1312" spans="1:3">
      <c r="A1312" s="250">
        <v>4038</v>
      </c>
      <c r="B1312" s="74" t="s">
        <v>1252</v>
      </c>
      <c r="C1312" s="74" t="s">
        <v>430</v>
      </c>
    </row>
    <row r="1313" spans="1:3">
      <c r="A1313" s="250">
        <v>4039</v>
      </c>
      <c r="B1313" s="74" t="s">
        <v>1385</v>
      </c>
      <c r="C1313" s="74" t="s">
        <v>430</v>
      </c>
    </row>
    <row r="1314" spans="1:3">
      <c r="A1314" s="250">
        <v>4040</v>
      </c>
      <c r="B1314" s="74" t="s">
        <v>1386</v>
      </c>
      <c r="C1314" s="74" t="s">
        <v>430</v>
      </c>
    </row>
    <row r="1315" spans="1:3">
      <c r="A1315" s="250">
        <v>4041</v>
      </c>
      <c r="B1315" s="74" t="s">
        <v>1387</v>
      </c>
      <c r="C1315" s="74" t="s">
        <v>430</v>
      </c>
    </row>
    <row r="1316" spans="1:3">
      <c r="A1316" s="250">
        <v>4042</v>
      </c>
      <c r="B1316" s="74" t="s">
        <v>1388</v>
      </c>
      <c r="C1316" s="74" t="s">
        <v>430</v>
      </c>
    </row>
    <row r="1317" spans="1:3">
      <c r="A1317" s="250">
        <v>4043</v>
      </c>
      <c r="B1317" s="74" t="s">
        <v>1389</v>
      </c>
      <c r="C1317" s="74" t="s">
        <v>430</v>
      </c>
    </row>
    <row r="1318" spans="1:3">
      <c r="A1318" s="250">
        <v>4046</v>
      </c>
      <c r="B1318" s="74" t="s">
        <v>1390</v>
      </c>
      <c r="C1318" s="74" t="s">
        <v>430</v>
      </c>
    </row>
    <row r="1319" spans="1:3">
      <c r="A1319" s="250">
        <v>4047</v>
      </c>
      <c r="B1319" s="74" t="s">
        <v>1391</v>
      </c>
      <c r="C1319" s="74" t="s">
        <v>430</v>
      </c>
    </row>
    <row r="1320" spans="1:3">
      <c r="A1320" s="250">
        <v>4048</v>
      </c>
      <c r="B1320" s="74" t="s">
        <v>1392</v>
      </c>
      <c r="C1320" s="74" t="s">
        <v>430</v>
      </c>
    </row>
    <row r="1321" spans="1:3">
      <c r="A1321" s="250">
        <v>4049</v>
      </c>
      <c r="B1321" s="74" t="s">
        <v>1393</v>
      </c>
      <c r="C1321" s="74" t="s">
        <v>430</v>
      </c>
    </row>
    <row r="1322" spans="1:3">
      <c r="A1322" s="250">
        <v>4050</v>
      </c>
      <c r="B1322" s="74" t="s">
        <v>1394</v>
      </c>
      <c r="C1322" s="74" t="s">
        <v>430</v>
      </c>
    </row>
    <row r="1323" spans="1:3">
      <c r="A1323" s="250">
        <v>4051</v>
      </c>
      <c r="B1323" s="74" t="s">
        <v>1395</v>
      </c>
      <c r="C1323" s="74" t="s">
        <v>430</v>
      </c>
    </row>
    <row r="1324" spans="1:3">
      <c r="A1324" s="250">
        <v>4054</v>
      </c>
      <c r="B1324" s="74" t="s">
        <v>1396</v>
      </c>
      <c r="C1324" s="74" t="s">
        <v>430</v>
      </c>
    </row>
    <row r="1325" spans="1:3">
      <c r="A1325" s="250">
        <v>4055</v>
      </c>
      <c r="B1325" s="74" t="s">
        <v>1397</v>
      </c>
      <c r="C1325" s="74" t="s">
        <v>430</v>
      </c>
    </row>
    <row r="1326" spans="1:3">
      <c r="A1326" s="250">
        <v>4056</v>
      </c>
      <c r="B1326" s="74" t="s">
        <v>1398</v>
      </c>
      <c r="C1326" s="74" t="s">
        <v>430</v>
      </c>
    </row>
    <row r="1327" spans="1:3">
      <c r="A1327" s="250">
        <v>4057</v>
      </c>
      <c r="B1327" s="74" t="s">
        <v>1399</v>
      </c>
      <c r="C1327" s="74" t="s">
        <v>430</v>
      </c>
    </row>
    <row r="1328" spans="1:3">
      <c r="A1328" s="250">
        <v>4061</v>
      </c>
      <c r="B1328" s="74" t="s">
        <v>1400</v>
      </c>
      <c r="C1328" s="74" t="s">
        <v>430</v>
      </c>
    </row>
    <row r="1329" spans="1:3">
      <c r="A1329" s="250">
        <v>4062</v>
      </c>
      <c r="B1329" s="74" t="s">
        <v>1174</v>
      </c>
      <c r="C1329" s="74" t="s">
        <v>430</v>
      </c>
    </row>
    <row r="1330" spans="1:3">
      <c r="A1330" s="250">
        <v>4063</v>
      </c>
      <c r="B1330" s="74" t="s">
        <v>1401</v>
      </c>
      <c r="C1330" s="74" t="s">
        <v>430</v>
      </c>
    </row>
    <row r="1331" spans="1:3">
      <c r="A1331" s="250">
        <v>4064</v>
      </c>
      <c r="B1331" s="74" t="s">
        <v>1402</v>
      </c>
      <c r="C1331" s="74" t="s">
        <v>430</v>
      </c>
    </row>
    <row r="1332" spans="1:3">
      <c r="A1332" s="250">
        <v>4066</v>
      </c>
      <c r="B1332" s="74" t="s">
        <v>1403</v>
      </c>
      <c r="C1332" s="74" t="s">
        <v>430</v>
      </c>
    </row>
    <row r="1333" spans="1:3">
      <c r="A1333" s="250">
        <v>4068</v>
      </c>
      <c r="B1333" s="74" t="s">
        <v>1404</v>
      </c>
      <c r="C1333" s="74" t="s">
        <v>430</v>
      </c>
    </row>
    <row r="1334" spans="1:3">
      <c r="A1334" s="250">
        <v>4069</v>
      </c>
      <c r="B1334" s="74" t="s">
        <v>1405</v>
      </c>
      <c r="C1334" s="74" t="s">
        <v>430</v>
      </c>
    </row>
    <row r="1335" spans="1:3">
      <c r="A1335" s="250">
        <v>4070</v>
      </c>
      <c r="B1335" s="74" t="s">
        <v>1406</v>
      </c>
      <c r="C1335" s="74" t="s">
        <v>430</v>
      </c>
    </row>
    <row r="1336" spans="1:3">
      <c r="A1336" s="250">
        <v>4071</v>
      </c>
      <c r="B1336" s="74" t="s">
        <v>1170</v>
      </c>
      <c r="C1336" s="74" t="s">
        <v>430</v>
      </c>
    </row>
    <row r="1337" spans="1:3">
      <c r="A1337" s="250">
        <v>4072</v>
      </c>
      <c r="B1337" s="74" t="s">
        <v>1407</v>
      </c>
      <c r="C1337" s="74" t="s">
        <v>430</v>
      </c>
    </row>
    <row r="1338" spans="1:3">
      <c r="A1338" s="250">
        <v>4073</v>
      </c>
      <c r="B1338" s="74" t="s">
        <v>1408</v>
      </c>
      <c r="C1338" s="74" t="s">
        <v>430</v>
      </c>
    </row>
    <row r="1339" spans="1:3">
      <c r="A1339" s="250">
        <v>4074</v>
      </c>
      <c r="B1339" s="74" t="s">
        <v>1406</v>
      </c>
      <c r="C1339" s="74" t="s">
        <v>430</v>
      </c>
    </row>
    <row r="1340" spans="1:3">
      <c r="A1340" s="250">
        <v>4075</v>
      </c>
      <c r="B1340" s="74" t="s">
        <v>1409</v>
      </c>
      <c r="C1340" s="74" t="s">
        <v>430</v>
      </c>
    </row>
    <row r="1341" spans="1:3">
      <c r="A1341" s="250">
        <v>4076</v>
      </c>
      <c r="B1341" s="74" t="s">
        <v>1410</v>
      </c>
      <c r="C1341" s="74" t="s">
        <v>430</v>
      </c>
    </row>
    <row r="1342" spans="1:3">
      <c r="A1342" s="250">
        <v>4077</v>
      </c>
      <c r="B1342" s="74" t="s">
        <v>1411</v>
      </c>
      <c r="C1342" s="74" t="s">
        <v>430</v>
      </c>
    </row>
    <row r="1343" spans="1:3">
      <c r="A1343" s="250">
        <v>4078</v>
      </c>
      <c r="B1343" s="74" t="s">
        <v>1412</v>
      </c>
      <c r="C1343" s="74" t="s">
        <v>430</v>
      </c>
    </row>
    <row r="1344" spans="1:3">
      <c r="A1344" s="250">
        <v>4079</v>
      </c>
      <c r="B1344" s="74" t="s">
        <v>1413</v>
      </c>
      <c r="C1344" s="74" t="s">
        <v>430</v>
      </c>
    </row>
    <row r="1345" spans="1:3">
      <c r="A1345" s="250">
        <v>4082</v>
      </c>
      <c r="B1345" s="74" t="s">
        <v>1414</v>
      </c>
      <c r="C1345" s="74" t="s">
        <v>430</v>
      </c>
    </row>
    <row r="1346" spans="1:3">
      <c r="A1346" s="250">
        <v>4083</v>
      </c>
      <c r="B1346" s="74" t="s">
        <v>1415</v>
      </c>
      <c r="C1346" s="74" t="s">
        <v>430</v>
      </c>
    </row>
    <row r="1347" spans="1:3">
      <c r="A1347" s="250">
        <v>4084</v>
      </c>
      <c r="B1347" s="74" t="s">
        <v>1416</v>
      </c>
      <c r="C1347" s="74" t="s">
        <v>430</v>
      </c>
    </row>
    <row r="1348" spans="1:3">
      <c r="A1348" s="250">
        <v>4085</v>
      </c>
      <c r="B1348" s="74" t="s">
        <v>1417</v>
      </c>
      <c r="C1348" s="74" t="s">
        <v>430</v>
      </c>
    </row>
    <row r="1349" spans="1:3">
      <c r="A1349" s="250">
        <v>4086</v>
      </c>
      <c r="B1349" s="74" t="s">
        <v>1418</v>
      </c>
      <c r="C1349" s="74" t="s">
        <v>430</v>
      </c>
    </row>
    <row r="1350" spans="1:3">
      <c r="A1350" s="250">
        <v>4087</v>
      </c>
      <c r="B1350" s="74" t="s">
        <v>1419</v>
      </c>
      <c r="C1350" s="74" t="s">
        <v>430</v>
      </c>
    </row>
    <row r="1351" spans="1:3">
      <c r="A1351" s="250">
        <v>4088</v>
      </c>
      <c r="B1351" s="74" t="s">
        <v>1420</v>
      </c>
      <c r="C1351" s="74" t="s">
        <v>430</v>
      </c>
    </row>
    <row r="1352" spans="1:3">
      <c r="A1352" s="250">
        <v>4090</v>
      </c>
      <c r="B1352" s="74" t="s">
        <v>1421</v>
      </c>
      <c r="C1352" s="74" t="s">
        <v>430</v>
      </c>
    </row>
    <row r="1353" spans="1:3">
      <c r="A1353" s="250">
        <v>4091</v>
      </c>
      <c r="B1353" s="74" t="s">
        <v>1422</v>
      </c>
      <c r="C1353" s="74" t="s">
        <v>430</v>
      </c>
    </row>
    <row r="1354" spans="1:3">
      <c r="A1354" s="250">
        <v>4092</v>
      </c>
      <c r="B1354" s="74" t="s">
        <v>1423</v>
      </c>
      <c r="C1354" s="74" t="s">
        <v>430</v>
      </c>
    </row>
    <row r="1355" spans="1:3">
      <c r="A1355" s="250">
        <v>4093</v>
      </c>
      <c r="B1355" s="74" t="s">
        <v>1424</v>
      </c>
      <c r="C1355" s="74" t="s">
        <v>430</v>
      </c>
    </row>
    <row r="1356" spans="1:3">
      <c r="A1356" s="250">
        <v>4094</v>
      </c>
      <c r="B1356" s="74" t="s">
        <v>1425</v>
      </c>
      <c r="C1356" s="74" t="s">
        <v>430</v>
      </c>
    </row>
    <row r="1357" spans="1:3">
      <c r="A1357" s="250">
        <v>4095</v>
      </c>
      <c r="B1357" s="74" t="s">
        <v>1426</v>
      </c>
      <c r="C1357" s="74" t="s">
        <v>430</v>
      </c>
    </row>
    <row r="1358" spans="1:3">
      <c r="A1358" s="250">
        <v>4096</v>
      </c>
      <c r="B1358" s="74" t="s">
        <v>1427</v>
      </c>
      <c r="C1358" s="74" t="s">
        <v>430</v>
      </c>
    </row>
    <row r="1359" spans="1:3">
      <c r="A1359" s="250">
        <v>4097</v>
      </c>
      <c r="B1359" s="74" t="s">
        <v>1428</v>
      </c>
      <c r="C1359" s="74" t="s">
        <v>430</v>
      </c>
    </row>
    <row r="1360" spans="1:3">
      <c r="A1360" s="250">
        <v>4098</v>
      </c>
      <c r="B1360" s="74" t="s">
        <v>1423</v>
      </c>
      <c r="C1360" s="74" t="s">
        <v>430</v>
      </c>
    </row>
    <row r="1361" spans="1:3">
      <c r="A1361" s="250">
        <v>4101</v>
      </c>
      <c r="B1361" s="74" t="s">
        <v>1429</v>
      </c>
      <c r="C1361" s="74" t="s">
        <v>430</v>
      </c>
    </row>
    <row r="1362" spans="1:3">
      <c r="A1362" s="250">
        <v>4102</v>
      </c>
      <c r="B1362" s="74" t="s">
        <v>1429</v>
      </c>
      <c r="C1362" s="74" t="s">
        <v>430</v>
      </c>
    </row>
    <row r="1363" spans="1:3">
      <c r="A1363" s="250">
        <v>4103</v>
      </c>
      <c r="B1363" s="74" t="s">
        <v>1429</v>
      </c>
      <c r="C1363" s="74" t="s">
        <v>430</v>
      </c>
    </row>
    <row r="1364" spans="1:3">
      <c r="A1364" s="250">
        <v>4104</v>
      </c>
      <c r="B1364" s="74" t="s">
        <v>1429</v>
      </c>
      <c r="C1364" s="74" t="s">
        <v>430</v>
      </c>
    </row>
    <row r="1365" spans="1:3">
      <c r="A1365" s="250">
        <v>4105</v>
      </c>
      <c r="B1365" s="74" t="s">
        <v>1001</v>
      </c>
      <c r="C1365" s="74" t="s">
        <v>430</v>
      </c>
    </row>
    <row r="1366" spans="1:3">
      <c r="A1366" s="250">
        <v>4106</v>
      </c>
      <c r="B1366" s="74" t="s">
        <v>1430</v>
      </c>
      <c r="C1366" s="74" t="s">
        <v>430</v>
      </c>
    </row>
    <row r="1367" spans="1:3">
      <c r="A1367" s="250">
        <v>4107</v>
      </c>
      <c r="B1367" s="74" t="s">
        <v>1431</v>
      </c>
      <c r="C1367" s="74" t="s">
        <v>430</v>
      </c>
    </row>
    <row r="1368" spans="1:3">
      <c r="A1368" s="250">
        <v>4108</v>
      </c>
      <c r="B1368" s="74" t="s">
        <v>1432</v>
      </c>
      <c r="C1368" s="74" t="s">
        <v>430</v>
      </c>
    </row>
    <row r="1369" spans="1:3">
      <c r="A1369" s="250">
        <v>4109</v>
      </c>
      <c r="B1369" s="74" t="s">
        <v>1429</v>
      </c>
      <c r="C1369" s="74" t="s">
        <v>430</v>
      </c>
    </row>
    <row r="1370" spans="1:3">
      <c r="A1370" s="250">
        <v>4110</v>
      </c>
      <c r="B1370" s="74" t="s">
        <v>1433</v>
      </c>
      <c r="C1370" s="74" t="s">
        <v>430</v>
      </c>
    </row>
    <row r="1371" spans="1:3">
      <c r="A1371" s="250">
        <v>4112</v>
      </c>
      <c r="B1371" s="74" t="s">
        <v>1429</v>
      </c>
      <c r="C1371" s="74" t="s">
        <v>430</v>
      </c>
    </row>
    <row r="1372" spans="1:3">
      <c r="A1372" s="250">
        <v>4116</v>
      </c>
      <c r="B1372" s="74" t="s">
        <v>1430</v>
      </c>
      <c r="C1372" s="74" t="s">
        <v>430</v>
      </c>
    </row>
    <row r="1373" spans="1:3">
      <c r="A1373" s="250">
        <v>4122</v>
      </c>
      <c r="B1373" s="74" t="s">
        <v>1429</v>
      </c>
      <c r="C1373" s="74" t="s">
        <v>430</v>
      </c>
    </row>
    <row r="1374" spans="1:3">
      <c r="A1374" s="250">
        <v>4123</v>
      </c>
      <c r="B1374" s="74" t="s">
        <v>1429</v>
      </c>
      <c r="C1374" s="74" t="s">
        <v>430</v>
      </c>
    </row>
    <row r="1375" spans="1:3">
      <c r="A1375" s="250">
        <v>4124</v>
      </c>
      <c r="B1375" s="74" t="s">
        <v>1429</v>
      </c>
      <c r="C1375" s="74" t="s">
        <v>430</v>
      </c>
    </row>
    <row r="1376" spans="1:3">
      <c r="A1376" s="250">
        <v>4210</v>
      </c>
      <c r="B1376" s="74" t="s">
        <v>724</v>
      </c>
      <c r="C1376" s="74" t="s">
        <v>430</v>
      </c>
    </row>
    <row r="1377" spans="1:3">
      <c r="A1377" s="250">
        <v>4211</v>
      </c>
      <c r="B1377" s="74" t="s">
        <v>724</v>
      </c>
      <c r="C1377" s="74" t="s">
        <v>430</v>
      </c>
    </row>
    <row r="1378" spans="1:3">
      <c r="A1378" s="250">
        <v>4212</v>
      </c>
      <c r="B1378" s="74" t="s">
        <v>724</v>
      </c>
      <c r="C1378" s="74" t="s">
        <v>430</v>
      </c>
    </row>
    <row r="1379" spans="1:3">
      <c r="A1379" s="250">
        <v>4216</v>
      </c>
      <c r="B1379" s="74" t="s">
        <v>807</v>
      </c>
      <c r="C1379" s="74" t="s">
        <v>430</v>
      </c>
    </row>
    <row r="1380" spans="1:3">
      <c r="A1380" s="250">
        <v>4217</v>
      </c>
      <c r="B1380" s="74" t="s">
        <v>1434</v>
      </c>
      <c r="C1380" s="74" t="s">
        <v>430</v>
      </c>
    </row>
    <row r="1381" spans="1:3">
      <c r="A1381" s="250">
        <v>4219</v>
      </c>
      <c r="B1381" s="74" t="s">
        <v>1435</v>
      </c>
      <c r="C1381" s="74" t="s">
        <v>430</v>
      </c>
    </row>
    <row r="1382" spans="1:3">
      <c r="A1382" s="250">
        <v>4220</v>
      </c>
      <c r="B1382" s="74" t="s">
        <v>1436</v>
      </c>
      <c r="C1382" s="74" t="s">
        <v>430</v>
      </c>
    </row>
    <row r="1383" spans="1:3">
      <c r="A1383" s="250">
        <v>4221</v>
      </c>
      <c r="B1383" s="74" t="s">
        <v>866</v>
      </c>
      <c r="C1383" s="74" t="s">
        <v>430</v>
      </c>
    </row>
    <row r="1384" spans="1:3">
      <c r="A1384" s="250">
        <v>4222</v>
      </c>
      <c r="B1384" s="74" t="s">
        <v>1304</v>
      </c>
      <c r="C1384" s="74" t="s">
        <v>430</v>
      </c>
    </row>
    <row r="1385" spans="1:3">
      <c r="A1385" s="250">
        <v>4223</v>
      </c>
      <c r="B1385" s="74" t="s">
        <v>1302</v>
      </c>
      <c r="C1385" s="74" t="s">
        <v>430</v>
      </c>
    </row>
    <row r="1386" spans="1:3">
      <c r="A1386" s="250">
        <v>4224</v>
      </c>
      <c r="B1386" s="74" t="s">
        <v>1437</v>
      </c>
      <c r="C1386" s="74" t="s">
        <v>430</v>
      </c>
    </row>
    <row r="1387" spans="1:3">
      <c r="A1387" s="250">
        <v>4225</v>
      </c>
      <c r="B1387" s="74" t="s">
        <v>1438</v>
      </c>
      <c r="C1387" s="74" t="s">
        <v>430</v>
      </c>
    </row>
    <row r="1388" spans="1:3">
      <c r="A1388" s="250">
        <v>4226</v>
      </c>
      <c r="B1388" s="74" t="s">
        <v>1185</v>
      </c>
      <c r="C1388" s="74" t="s">
        <v>430</v>
      </c>
    </row>
    <row r="1389" spans="1:3">
      <c r="A1389" s="250">
        <v>4227</v>
      </c>
      <c r="B1389" s="74" t="s">
        <v>1439</v>
      </c>
      <c r="C1389" s="74" t="s">
        <v>430</v>
      </c>
    </row>
    <row r="1390" spans="1:3">
      <c r="A1390" s="250">
        <v>4228</v>
      </c>
      <c r="B1390" s="74" t="s">
        <v>1440</v>
      </c>
      <c r="C1390" s="74" t="s">
        <v>430</v>
      </c>
    </row>
    <row r="1391" spans="1:3">
      <c r="A1391" s="250">
        <v>4230</v>
      </c>
      <c r="B1391" s="74" t="s">
        <v>1441</v>
      </c>
      <c r="C1391" s="74" t="s">
        <v>430</v>
      </c>
    </row>
    <row r="1392" spans="1:3">
      <c r="A1392" s="250">
        <v>4231</v>
      </c>
      <c r="B1392" s="74" t="s">
        <v>925</v>
      </c>
      <c r="C1392" s="74" t="s">
        <v>430</v>
      </c>
    </row>
    <row r="1393" spans="1:3">
      <c r="A1393" s="250">
        <v>4234</v>
      </c>
      <c r="B1393" s="74" t="s">
        <v>1442</v>
      </c>
      <c r="C1393" s="74" t="s">
        <v>430</v>
      </c>
    </row>
    <row r="1394" spans="1:3">
      <c r="A1394" s="250">
        <v>4236</v>
      </c>
      <c r="B1394" s="74" t="s">
        <v>1107</v>
      </c>
      <c r="C1394" s="74" t="s">
        <v>430</v>
      </c>
    </row>
    <row r="1395" spans="1:3">
      <c r="A1395" s="250">
        <v>4237</v>
      </c>
      <c r="B1395" s="74" t="s">
        <v>944</v>
      </c>
      <c r="C1395" s="74" t="s">
        <v>430</v>
      </c>
    </row>
    <row r="1396" spans="1:3">
      <c r="A1396" s="250">
        <v>4238</v>
      </c>
      <c r="B1396" s="74" t="s">
        <v>1190</v>
      </c>
      <c r="C1396" s="74" t="s">
        <v>430</v>
      </c>
    </row>
    <row r="1397" spans="1:3">
      <c r="A1397" s="250">
        <v>4239</v>
      </c>
      <c r="B1397" s="74" t="s">
        <v>1443</v>
      </c>
      <c r="C1397" s="74" t="s">
        <v>430</v>
      </c>
    </row>
    <row r="1398" spans="1:3">
      <c r="A1398" s="250">
        <v>4240</v>
      </c>
      <c r="B1398" s="74" t="s">
        <v>1444</v>
      </c>
      <c r="C1398" s="74" t="s">
        <v>430</v>
      </c>
    </row>
    <row r="1399" spans="1:3">
      <c r="A1399" s="250">
        <v>4241</v>
      </c>
      <c r="B1399" s="74" t="s">
        <v>1444</v>
      </c>
      <c r="C1399" s="74" t="s">
        <v>430</v>
      </c>
    </row>
    <row r="1400" spans="1:3">
      <c r="A1400" s="250">
        <v>4243</v>
      </c>
      <c r="B1400" s="74" t="s">
        <v>1444</v>
      </c>
      <c r="C1400" s="74" t="s">
        <v>430</v>
      </c>
    </row>
    <row r="1401" spans="1:3">
      <c r="A1401" s="250">
        <v>4250</v>
      </c>
      <c r="B1401" s="74" t="s">
        <v>1254</v>
      </c>
      <c r="C1401" s="74" t="s">
        <v>430</v>
      </c>
    </row>
    <row r="1402" spans="1:3">
      <c r="A1402" s="250">
        <v>4252</v>
      </c>
      <c r="B1402" s="74" t="s">
        <v>1445</v>
      </c>
      <c r="C1402" s="74" t="s">
        <v>430</v>
      </c>
    </row>
    <row r="1403" spans="1:3">
      <c r="A1403" s="250">
        <v>4253</v>
      </c>
      <c r="B1403" s="74" t="s">
        <v>1446</v>
      </c>
      <c r="C1403" s="74" t="s">
        <v>430</v>
      </c>
    </row>
    <row r="1404" spans="1:3">
      <c r="A1404" s="250">
        <v>4254</v>
      </c>
      <c r="B1404" s="74" t="s">
        <v>1447</v>
      </c>
      <c r="C1404" s="74" t="s">
        <v>430</v>
      </c>
    </row>
    <row r="1405" spans="1:3">
      <c r="A1405" s="250">
        <v>4255</v>
      </c>
      <c r="B1405" s="74" t="s">
        <v>1448</v>
      </c>
      <c r="C1405" s="74" t="s">
        <v>430</v>
      </c>
    </row>
    <row r="1406" spans="1:3">
      <c r="A1406" s="250">
        <v>4256</v>
      </c>
      <c r="B1406" s="74" t="s">
        <v>1449</v>
      </c>
      <c r="C1406" s="74" t="s">
        <v>430</v>
      </c>
    </row>
    <row r="1407" spans="1:3">
      <c r="A1407" s="250">
        <v>4257</v>
      </c>
      <c r="B1407" s="74" t="s">
        <v>1450</v>
      </c>
      <c r="C1407" s="74" t="s">
        <v>430</v>
      </c>
    </row>
    <row r="1408" spans="1:3">
      <c r="A1408" s="250">
        <v>4258</v>
      </c>
      <c r="B1408" s="74" t="s">
        <v>885</v>
      </c>
      <c r="C1408" s="74" t="s">
        <v>430</v>
      </c>
    </row>
    <row r="1409" spans="1:3">
      <c r="A1409" s="250">
        <v>4259</v>
      </c>
      <c r="B1409" s="74" t="s">
        <v>1451</v>
      </c>
      <c r="C1409" s="74" t="s">
        <v>430</v>
      </c>
    </row>
    <row r="1410" spans="1:3">
      <c r="A1410" s="250">
        <v>4260</v>
      </c>
      <c r="B1410" s="74" t="s">
        <v>1452</v>
      </c>
      <c r="C1410" s="74" t="s">
        <v>430</v>
      </c>
    </row>
    <row r="1411" spans="1:3">
      <c r="A1411" s="250">
        <v>4261</v>
      </c>
      <c r="B1411" s="74" t="s">
        <v>1453</v>
      </c>
      <c r="C1411" s="74" t="s">
        <v>430</v>
      </c>
    </row>
    <row r="1412" spans="1:3">
      <c r="A1412" s="250">
        <v>4262</v>
      </c>
      <c r="B1412" s="74" t="s">
        <v>1454</v>
      </c>
      <c r="C1412" s="74" t="s">
        <v>430</v>
      </c>
    </row>
    <row r="1413" spans="1:3">
      <c r="A1413" s="250">
        <v>4263</v>
      </c>
      <c r="B1413" s="74" t="s">
        <v>602</v>
      </c>
      <c r="C1413" s="74" t="s">
        <v>430</v>
      </c>
    </row>
    <row r="1414" spans="1:3">
      <c r="A1414" s="250">
        <v>4265</v>
      </c>
      <c r="B1414" s="74" t="s">
        <v>1455</v>
      </c>
      <c r="C1414" s="74" t="s">
        <v>430</v>
      </c>
    </row>
    <row r="1415" spans="1:3">
      <c r="A1415" s="250">
        <v>4266</v>
      </c>
      <c r="B1415" s="74" t="s">
        <v>1456</v>
      </c>
      <c r="C1415" s="74" t="s">
        <v>430</v>
      </c>
    </row>
    <row r="1416" spans="1:3">
      <c r="A1416" s="250">
        <v>4267</v>
      </c>
      <c r="B1416" s="74" t="s">
        <v>1457</v>
      </c>
      <c r="C1416" s="74" t="s">
        <v>430</v>
      </c>
    </row>
    <row r="1417" spans="1:3">
      <c r="A1417" s="250">
        <v>4268</v>
      </c>
      <c r="B1417" s="74" t="s">
        <v>1458</v>
      </c>
      <c r="C1417" s="74" t="s">
        <v>430</v>
      </c>
    </row>
    <row r="1418" spans="1:3">
      <c r="A1418" s="250">
        <v>4270</v>
      </c>
      <c r="B1418" s="74" t="s">
        <v>754</v>
      </c>
      <c r="C1418" s="74" t="s">
        <v>430</v>
      </c>
    </row>
    <row r="1419" spans="1:3">
      <c r="A1419" s="250">
        <v>4271</v>
      </c>
      <c r="B1419" s="74" t="s">
        <v>1459</v>
      </c>
      <c r="C1419" s="74" t="s">
        <v>430</v>
      </c>
    </row>
    <row r="1420" spans="1:3">
      <c r="A1420" s="250">
        <v>4274</v>
      </c>
      <c r="B1420" s="74" t="s">
        <v>1460</v>
      </c>
      <c r="C1420" s="74" t="s">
        <v>430</v>
      </c>
    </row>
    <row r="1421" spans="1:3">
      <c r="A1421" s="250">
        <v>4275</v>
      </c>
      <c r="B1421" s="74" t="s">
        <v>901</v>
      </c>
      <c r="C1421" s="74" t="s">
        <v>430</v>
      </c>
    </row>
    <row r="1422" spans="1:3">
      <c r="A1422" s="250">
        <v>4276</v>
      </c>
      <c r="B1422" s="74" t="s">
        <v>1148</v>
      </c>
      <c r="C1422" s="74" t="s">
        <v>430</v>
      </c>
    </row>
    <row r="1423" spans="1:3">
      <c r="A1423" s="250">
        <v>4280</v>
      </c>
      <c r="B1423" s="74" t="s">
        <v>1461</v>
      </c>
      <c r="C1423" s="74" t="s">
        <v>430</v>
      </c>
    </row>
    <row r="1424" spans="1:3">
      <c r="A1424" s="250">
        <v>4281</v>
      </c>
      <c r="B1424" s="74" t="s">
        <v>1462</v>
      </c>
      <c r="C1424" s="74" t="s">
        <v>430</v>
      </c>
    </row>
    <row r="1425" spans="1:3">
      <c r="A1425" s="250">
        <v>4282</v>
      </c>
      <c r="B1425" s="74" t="s">
        <v>1463</v>
      </c>
      <c r="C1425" s="74" t="s">
        <v>430</v>
      </c>
    </row>
    <row r="1426" spans="1:3">
      <c r="A1426" s="250">
        <v>4284</v>
      </c>
      <c r="B1426" s="74" t="s">
        <v>1464</v>
      </c>
      <c r="C1426" s="74" t="s">
        <v>430</v>
      </c>
    </row>
    <row r="1427" spans="1:3">
      <c r="A1427" s="250">
        <v>4285</v>
      </c>
      <c r="B1427" s="74" t="s">
        <v>1465</v>
      </c>
      <c r="C1427" s="74" t="s">
        <v>430</v>
      </c>
    </row>
    <row r="1428" spans="1:3">
      <c r="A1428" s="250">
        <v>4286</v>
      </c>
      <c r="B1428" s="74" t="s">
        <v>1466</v>
      </c>
      <c r="C1428" s="74" t="s">
        <v>430</v>
      </c>
    </row>
    <row r="1429" spans="1:3">
      <c r="A1429" s="250">
        <v>4287</v>
      </c>
      <c r="B1429" s="74" t="s">
        <v>1467</v>
      </c>
      <c r="C1429" s="74" t="s">
        <v>430</v>
      </c>
    </row>
    <row r="1430" spans="1:3">
      <c r="A1430" s="250">
        <v>4288</v>
      </c>
      <c r="B1430" s="74" t="s">
        <v>1468</v>
      </c>
      <c r="C1430" s="74" t="s">
        <v>430</v>
      </c>
    </row>
    <row r="1431" spans="1:3">
      <c r="A1431" s="250">
        <v>4289</v>
      </c>
      <c r="B1431" s="74" t="s">
        <v>1469</v>
      </c>
      <c r="C1431" s="74" t="s">
        <v>430</v>
      </c>
    </row>
    <row r="1432" spans="1:3">
      <c r="A1432" s="250">
        <v>4290</v>
      </c>
      <c r="B1432" s="74" t="s">
        <v>1470</v>
      </c>
      <c r="C1432" s="74" t="s">
        <v>430</v>
      </c>
    </row>
    <row r="1433" spans="1:3">
      <c r="A1433" s="250">
        <v>4291</v>
      </c>
      <c r="B1433" s="74" t="s">
        <v>1471</v>
      </c>
      <c r="C1433" s="74" t="s">
        <v>430</v>
      </c>
    </row>
    <row r="1434" spans="1:3">
      <c r="A1434" s="250">
        <v>4292</v>
      </c>
      <c r="B1434" s="74" t="s">
        <v>1472</v>
      </c>
      <c r="C1434" s="74" t="s">
        <v>430</v>
      </c>
    </row>
    <row r="1435" spans="1:3">
      <c r="A1435" s="250">
        <v>4294</v>
      </c>
      <c r="B1435" s="74" t="s">
        <v>1173</v>
      </c>
      <c r="C1435" s="74" t="s">
        <v>430</v>
      </c>
    </row>
    <row r="1436" spans="1:3">
      <c r="A1436" s="250">
        <v>4330</v>
      </c>
      <c r="B1436" s="74" t="s">
        <v>1473</v>
      </c>
      <c r="C1436" s="74" t="s">
        <v>430</v>
      </c>
    </row>
    <row r="1437" spans="1:3">
      <c r="A1437" s="250">
        <v>4332</v>
      </c>
      <c r="B1437" s="74" t="s">
        <v>1473</v>
      </c>
      <c r="C1437" s="74" t="s">
        <v>430</v>
      </c>
    </row>
    <row r="1438" spans="1:3">
      <c r="A1438" s="250">
        <v>4333</v>
      </c>
      <c r="B1438" s="74" t="s">
        <v>1473</v>
      </c>
      <c r="C1438" s="74" t="s">
        <v>430</v>
      </c>
    </row>
    <row r="1439" spans="1:3">
      <c r="A1439" s="250">
        <v>4336</v>
      </c>
      <c r="B1439" s="74" t="s">
        <v>1473</v>
      </c>
      <c r="C1439" s="74" t="s">
        <v>430</v>
      </c>
    </row>
    <row r="1440" spans="1:3">
      <c r="A1440" s="250">
        <v>4338</v>
      </c>
      <c r="B1440" s="74" t="s">
        <v>1473</v>
      </c>
      <c r="C1440" s="74" t="s">
        <v>430</v>
      </c>
    </row>
    <row r="1441" spans="1:3">
      <c r="A1441" s="250">
        <v>4341</v>
      </c>
      <c r="B1441" s="74" t="s">
        <v>1474</v>
      </c>
      <c r="C1441" s="74" t="s">
        <v>430</v>
      </c>
    </row>
    <row r="1442" spans="1:3">
      <c r="A1442" s="250">
        <v>4342</v>
      </c>
      <c r="B1442" s="74" t="s">
        <v>1475</v>
      </c>
      <c r="C1442" s="74" t="s">
        <v>430</v>
      </c>
    </row>
    <row r="1443" spans="1:3">
      <c r="A1443" s="250">
        <v>4343</v>
      </c>
      <c r="B1443" s="74" t="s">
        <v>1476</v>
      </c>
      <c r="C1443" s="74" t="s">
        <v>430</v>
      </c>
    </row>
    <row r="1444" spans="1:3">
      <c r="A1444" s="250">
        <v>4344</v>
      </c>
      <c r="B1444" s="74" t="s">
        <v>1477</v>
      </c>
      <c r="C1444" s="74" t="s">
        <v>430</v>
      </c>
    </row>
    <row r="1445" spans="1:3">
      <c r="A1445" s="250">
        <v>4345</v>
      </c>
      <c r="B1445" s="74" t="s">
        <v>1478</v>
      </c>
      <c r="C1445" s="74" t="s">
        <v>430</v>
      </c>
    </row>
    <row r="1446" spans="1:3">
      <c r="A1446" s="250">
        <v>4346</v>
      </c>
      <c r="B1446" s="74" t="s">
        <v>960</v>
      </c>
      <c r="C1446" s="74" t="s">
        <v>430</v>
      </c>
    </row>
    <row r="1447" spans="1:3">
      <c r="A1447" s="250">
        <v>4347</v>
      </c>
      <c r="B1447" s="74" t="s">
        <v>1479</v>
      </c>
      <c r="C1447" s="74" t="s">
        <v>430</v>
      </c>
    </row>
    <row r="1448" spans="1:3">
      <c r="A1448" s="250">
        <v>4348</v>
      </c>
      <c r="B1448" s="74" t="s">
        <v>740</v>
      </c>
      <c r="C1448" s="74" t="s">
        <v>430</v>
      </c>
    </row>
    <row r="1449" spans="1:3">
      <c r="A1449" s="250">
        <v>4349</v>
      </c>
      <c r="B1449" s="74" t="s">
        <v>1480</v>
      </c>
      <c r="C1449" s="74" t="s">
        <v>430</v>
      </c>
    </row>
    <row r="1450" spans="1:3">
      <c r="A1450" s="250">
        <v>4350</v>
      </c>
      <c r="B1450" s="74" t="s">
        <v>1161</v>
      </c>
      <c r="C1450" s="74" t="s">
        <v>430</v>
      </c>
    </row>
    <row r="1451" spans="1:3">
      <c r="A1451" s="250">
        <v>4351</v>
      </c>
      <c r="B1451" s="74" t="s">
        <v>848</v>
      </c>
      <c r="C1451" s="74" t="s">
        <v>430</v>
      </c>
    </row>
    <row r="1452" spans="1:3">
      <c r="A1452" s="250">
        <v>4352</v>
      </c>
      <c r="B1452" s="74" t="s">
        <v>1481</v>
      </c>
      <c r="C1452" s="74" t="s">
        <v>430</v>
      </c>
    </row>
    <row r="1453" spans="1:3">
      <c r="A1453" s="250">
        <v>4353</v>
      </c>
      <c r="B1453" s="74" t="s">
        <v>1262</v>
      </c>
      <c r="C1453" s="74" t="s">
        <v>430</v>
      </c>
    </row>
    <row r="1454" spans="1:3">
      <c r="A1454" s="250">
        <v>4354</v>
      </c>
      <c r="B1454" s="74" t="s">
        <v>1482</v>
      </c>
      <c r="C1454" s="74" t="s">
        <v>430</v>
      </c>
    </row>
    <row r="1455" spans="1:3">
      <c r="A1455" s="250">
        <v>4355</v>
      </c>
      <c r="B1455" s="74" t="s">
        <v>1483</v>
      </c>
      <c r="C1455" s="74" t="s">
        <v>430</v>
      </c>
    </row>
    <row r="1456" spans="1:3">
      <c r="A1456" s="250">
        <v>4357</v>
      </c>
      <c r="B1456" s="74" t="s">
        <v>658</v>
      </c>
      <c r="C1456" s="74" t="s">
        <v>430</v>
      </c>
    </row>
    <row r="1457" spans="1:3">
      <c r="A1457" s="250">
        <v>4358</v>
      </c>
      <c r="B1457" s="74" t="s">
        <v>1484</v>
      </c>
      <c r="C1457" s="74" t="s">
        <v>430</v>
      </c>
    </row>
    <row r="1458" spans="1:3">
      <c r="A1458" s="250">
        <v>4359</v>
      </c>
      <c r="B1458" s="74" t="s">
        <v>1485</v>
      </c>
      <c r="C1458" s="74" t="s">
        <v>430</v>
      </c>
    </row>
    <row r="1459" spans="1:3">
      <c r="A1459" s="250">
        <v>4360</v>
      </c>
      <c r="B1459" s="74" t="s">
        <v>1486</v>
      </c>
      <c r="C1459" s="74" t="s">
        <v>430</v>
      </c>
    </row>
    <row r="1460" spans="1:3">
      <c r="A1460" s="250">
        <v>4363</v>
      </c>
      <c r="B1460" s="74" t="s">
        <v>669</v>
      </c>
      <c r="C1460" s="74" t="s">
        <v>430</v>
      </c>
    </row>
    <row r="1461" spans="1:3">
      <c r="A1461" s="250">
        <v>4364</v>
      </c>
      <c r="B1461" s="74" t="s">
        <v>920</v>
      </c>
      <c r="C1461" s="74" t="s">
        <v>430</v>
      </c>
    </row>
    <row r="1462" spans="1:3">
      <c r="A1462" s="250">
        <v>4401</v>
      </c>
      <c r="B1462" s="74" t="s">
        <v>1487</v>
      </c>
      <c r="C1462" s="74" t="s">
        <v>430</v>
      </c>
    </row>
    <row r="1463" spans="1:3">
      <c r="A1463" s="250">
        <v>4402</v>
      </c>
      <c r="B1463" s="74" t="s">
        <v>1487</v>
      </c>
      <c r="C1463" s="74" t="s">
        <v>430</v>
      </c>
    </row>
    <row r="1464" spans="1:3">
      <c r="A1464" s="250">
        <v>4406</v>
      </c>
      <c r="B1464" s="74" t="s">
        <v>1488</v>
      </c>
      <c r="C1464" s="74" t="s">
        <v>430</v>
      </c>
    </row>
    <row r="1465" spans="1:3">
      <c r="A1465" s="250">
        <v>4408</v>
      </c>
      <c r="B1465" s="74" t="s">
        <v>1489</v>
      </c>
      <c r="C1465" s="74" t="s">
        <v>430</v>
      </c>
    </row>
    <row r="1466" spans="1:3">
      <c r="A1466" s="250">
        <v>4410</v>
      </c>
      <c r="B1466" s="74" t="s">
        <v>1097</v>
      </c>
      <c r="C1466" s="74" t="s">
        <v>430</v>
      </c>
    </row>
    <row r="1467" spans="1:3">
      <c r="A1467" s="250">
        <v>4411</v>
      </c>
      <c r="B1467" s="74" t="s">
        <v>1490</v>
      </c>
      <c r="C1467" s="74" t="s">
        <v>430</v>
      </c>
    </row>
    <row r="1468" spans="1:3">
      <c r="A1468" s="250">
        <v>4412</v>
      </c>
      <c r="B1468" s="74" t="s">
        <v>1491</v>
      </c>
      <c r="C1468" s="74" t="s">
        <v>430</v>
      </c>
    </row>
    <row r="1469" spans="1:3">
      <c r="A1469" s="250">
        <v>4413</v>
      </c>
      <c r="B1469" s="74" t="s">
        <v>1492</v>
      </c>
      <c r="C1469" s="74" t="s">
        <v>430</v>
      </c>
    </row>
    <row r="1470" spans="1:3">
      <c r="A1470" s="250">
        <v>4414</v>
      </c>
      <c r="B1470" s="74" t="s">
        <v>1493</v>
      </c>
      <c r="C1470" s="74" t="s">
        <v>430</v>
      </c>
    </row>
    <row r="1471" spans="1:3">
      <c r="A1471" s="250">
        <v>4415</v>
      </c>
      <c r="B1471" s="74" t="s">
        <v>1494</v>
      </c>
      <c r="C1471" s="74" t="s">
        <v>430</v>
      </c>
    </row>
    <row r="1472" spans="1:3">
      <c r="A1472" s="250">
        <v>4416</v>
      </c>
      <c r="B1472" s="74" t="s">
        <v>1495</v>
      </c>
      <c r="C1472" s="74" t="s">
        <v>430</v>
      </c>
    </row>
    <row r="1473" spans="1:3">
      <c r="A1473" s="250">
        <v>4417</v>
      </c>
      <c r="B1473" s="74" t="s">
        <v>806</v>
      </c>
      <c r="C1473" s="74" t="s">
        <v>430</v>
      </c>
    </row>
    <row r="1474" spans="1:3">
      <c r="A1474" s="250">
        <v>4418</v>
      </c>
      <c r="B1474" s="74" t="s">
        <v>874</v>
      </c>
      <c r="C1474" s="74" t="s">
        <v>430</v>
      </c>
    </row>
    <row r="1475" spans="1:3">
      <c r="A1475" s="250">
        <v>4419</v>
      </c>
      <c r="B1475" s="74" t="s">
        <v>1496</v>
      </c>
      <c r="C1475" s="74" t="s">
        <v>430</v>
      </c>
    </row>
    <row r="1476" spans="1:3">
      <c r="A1476" s="250">
        <v>4420</v>
      </c>
      <c r="B1476" s="74" t="s">
        <v>1497</v>
      </c>
      <c r="C1476" s="74" t="s">
        <v>430</v>
      </c>
    </row>
    <row r="1477" spans="1:3">
      <c r="A1477" s="250">
        <v>4421</v>
      </c>
      <c r="B1477" s="74" t="s">
        <v>1497</v>
      </c>
      <c r="C1477" s="74" t="s">
        <v>430</v>
      </c>
    </row>
    <row r="1478" spans="1:3">
      <c r="A1478" s="250">
        <v>4422</v>
      </c>
      <c r="B1478" s="74" t="s">
        <v>1498</v>
      </c>
      <c r="C1478" s="74" t="s">
        <v>430</v>
      </c>
    </row>
    <row r="1479" spans="1:3">
      <c r="A1479" s="250">
        <v>4424</v>
      </c>
      <c r="B1479" s="74" t="s">
        <v>1499</v>
      </c>
      <c r="C1479" s="74" t="s">
        <v>430</v>
      </c>
    </row>
    <row r="1480" spans="1:3">
      <c r="A1480" s="250">
        <v>4426</v>
      </c>
      <c r="B1480" s="74" t="s">
        <v>1500</v>
      </c>
      <c r="C1480" s="74" t="s">
        <v>430</v>
      </c>
    </row>
    <row r="1481" spans="1:3">
      <c r="A1481" s="250">
        <v>4427</v>
      </c>
      <c r="B1481" s="74" t="s">
        <v>1501</v>
      </c>
      <c r="C1481" s="74" t="s">
        <v>430</v>
      </c>
    </row>
    <row r="1482" spans="1:3">
      <c r="A1482" s="250">
        <v>4428</v>
      </c>
      <c r="B1482" s="74" t="s">
        <v>1502</v>
      </c>
      <c r="C1482" s="74" t="s">
        <v>430</v>
      </c>
    </row>
    <row r="1483" spans="1:3">
      <c r="A1483" s="250">
        <v>4429</v>
      </c>
      <c r="B1483" s="74" t="s">
        <v>738</v>
      </c>
      <c r="C1483" s="74" t="s">
        <v>430</v>
      </c>
    </row>
    <row r="1484" spans="1:3">
      <c r="A1484" s="250">
        <v>4430</v>
      </c>
      <c r="B1484" s="74" t="s">
        <v>1503</v>
      </c>
      <c r="C1484" s="74" t="s">
        <v>430</v>
      </c>
    </row>
    <row r="1485" spans="1:3">
      <c r="A1485" s="250">
        <v>4431</v>
      </c>
      <c r="B1485" s="74" t="s">
        <v>1504</v>
      </c>
      <c r="C1485" s="74" t="s">
        <v>430</v>
      </c>
    </row>
    <row r="1486" spans="1:3">
      <c r="A1486" s="250">
        <v>4434</v>
      </c>
      <c r="B1486" s="74" t="s">
        <v>1276</v>
      </c>
      <c r="C1486" s="74" t="s">
        <v>430</v>
      </c>
    </row>
    <row r="1487" spans="1:3">
      <c r="A1487" s="250">
        <v>4435</v>
      </c>
      <c r="B1487" s="74" t="s">
        <v>1104</v>
      </c>
      <c r="C1487" s="74" t="s">
        <v>430</v>
      </c>
    </row>
    <row r="1488" spans="1:3">
      <c r="A1488" s="250">
        <v>4438</v>
      </c>
      <c r="B1488" s="74" t="s">
        <v>1505</v>
      </c>
      <c r="C1488" s="74" t="s">
        <v>430</v>
      </c>
    </row>
    <row r="1489" spans="1:3">
      <c r="A1489" s="250">
        <v>4441</v>
      </c>
      <c r="B1489" s="74" t="s">
        <v>1108</v>
      </c>
      <c r="C1489" s="74" t="s">
        <v>430</v>
      </c>
    </row>
    <row r="1490" spans="1:3">
      <c r="A1490" s="250">
        <v>4442</v>
      </c>
      <c r="B1490" s="74" t="s">
        <v>1506</v>
      </c>
      <c r="C1490" s="74" t="s">
        <v>430</v>
      </c>
    </row>
    <row r="1491" spans="1:3">
      <c r="A1491" s="250">
        <v>4443</v>
      </c>
      <c r="B1491" s="74" t="s">
        <v>1507</v>
      </c>
      <c r="C1491" s="74" t="s">
        <v>430</v>
      </c>
    </row>
    <row r="1492" spans="1:3">
      <c r="A1492" s="250">
        <v>4444</v>
      </c>
      <c r="B1492" s="74" t="s">
        <v>596</v>
      </c>
      <c r="C1492" s="74" t="s">
        <v>430</v>
      </c>
    </row>
    <row r="1493" spans="1:3">
      <c r="A1493" s="250">
        <v>4448</v>
      </c>
      <c r="B1493" s="74" t="s">
        <v>1508</v>
      </c>
      <c r="C1493" s="74" t="s">
        <v>430</v>
      </c>
    </row>
    <row r="1494" spans="1:3">
      <c r="A1494" s="250">
        <v>4449</v>
      </c>
      <c r="B1494" s="74" t="s">
        <v>792</v>
      </c>
      <c r="C1494" s="74" t="s">
        <v>430</v>
      </c>
    </row>
    <row r="1495" spans="1:3">
      <c r="A1495" s="250">
        <v>4450</v>
      </c>
      <c r="B1495" s="74" t="s">
        <v>1509</v>
      </c>
      <c r="C1495" s="74" t="s">
        <v>430</v>
      </c>
    </row>
    <row r="1496" spans="1:3">
      <c r="A1496" s="250">
        <v>4451</v>
      </c>
      <c r="B1496" s="74" t="s">
        <v>1510</v>
      </c>
      <c r="C1496" s="74" t="s">
        <v>430</v>
      </c>
    </row>
    <row r="1497" spans="1:3">
      <c r="A1497" s="250">
        <v>4453</v>
      </c>
      <c r="B1497" s="74" t="s">
        <v>1511</v>
      </c>
      <c r="C1497" s="74" t="s">
        <v>430</v>
      </c>
    </row>
    <row r="1498" spans="1:3">
      <c r="A1498" s="250">
        <v>4454</v>
      </c>
      <c r="B1498" s="74" t="s">
        <v>1512</v>
      </c>
      <c r="C1498" s="74" t="s">
        <v>430</v>
      </c>
    </row>
    <row r="1499" spans="1:3">
      <c r="A1499" s="250">
        <v>4455</v>
      </c>
      <c r="B1499" s="74" t="s">
        <v>649</v>
      </c>
      <c r="C1499" s="74" t="s">
        <v>430</v>
      </c>
    </row>
    <row r="1500" spans="1:3">
      <c r="A1500" s="250">
        <v>4456</v>
      </c>
      <c r="B1500" s="74" t="s">
        <v>1513</v>
      </c>
      <c r="C1500" s="74" t="s">
        <v>430</v>
      </c>
    </row>
    <row r="1501" spans="1:3">
      <c r="A1501" s="250">
        <v>4457</v>
      </c>
      <c r="B1501" s="74" t="s">
        <v>800</v>
      </c>
      <c r="C1501" s="74" t="s">
        <v>430</v>
      </c>
    </row>
    <row r="1502" spans="1:3">
      <c r="A1502" s="250">
        <v>4459</v>
      </c>
      <c r="B1502" s="74" t="s">
        <v>1514</v>
      </c>
      <c r="C1502" s="74" t="s">
        <v>430</v>
      </c>
    </row>
    <row r="1503" spans="1:3">
      <c r="A1503" s="250">
        <v>4460</v>
      </c>
      <c r="B1503" s="74" t="s">
        <v>883</v>
      </c>
      <c r="C1503" s="74" t="s">
        <v>430</v>
      </c>
    </row>
    <row r="1504" spans="1:3">
      <c r="A1504" s="250">
        <v>4461</v>
      </c>
      <c r="B1504" s="74" t="s">
        <v>796</v>
      </c>
      <c r="C1504" s="74" t="s">
        <v>430</v>
      </c>
    </row>
    <row r="1505" spans="1:3">
      <c r="A1505" s="250">
        <v>4462</v>
      </c>
      <c r="B1505" s="74" t="s">
        <v>1515</v>
      </c>
      <c r="C1505" s="74" t="s">
        <v>430</v>
      </c>
    </row>
    <row r="1506" spans="1:3">
      <c r="A1506" s="250">
        <v>4463</v>
      </c>
      <c r="B1506" s="74" t="s">
        <v>1516</v>
      </c>
      <c r="C1506" s="74" t="s">
        <v>430</v>
      </c>
    </row>
    <row r="1507" spans="1:3">
      <c r="A1507" s="250">
        <v>4464</v>
      </c>
      <c r="B1507" s="74" t="s">
        <v>605</v>
      </c>
      <c r="C1507" s="74" t="s">
        <v>430</v>
      </c>
    </row>
    <row r="1508" spans="1:3">
      <c r="A1508" s="250">
        <v>4467</v>
      </c>
      <c r="B1508" s="74" t="s">
        <v>1517</v>
      </c>
      <c r="C1508" s="74" t="s">
        <v>430</v>
      </c>
    </row>
    <row r="1509" spans="1:3">
      <c r="A1509" s="250">
        <v>4468</v>
      </c>
      <c r="B1509" s="74" t="s">
        <v>1518</v>
      </c>
      <c r="C1509" s="74" t="s">
        <v>430</v>
      </c>
    </row>
    <row r="1510" spans="1:3">
      <c r="A1510" s="250">
        <v>4469</v>
      </c>
      <c r="B1510" s="74" t="s">
        <v>1519</v>
      </c>
      <c r="C1510" s="74" t="s">
        <v>430</v>
      </c>
    </row>
    <row r="1511" spans="1:3">
      <c r="A1511" s="250">
        <v>4471</v>
      </c>
      <c r="B1511" s="74" t="s">
        <v>1520</v>
      </c>
      <c r="C1511" s="74" t="s">
        <v>430</v>
      </c>
    </row>
    <row r="1512" spans="1:3">
      <c r="A1512" s="250">
        <v>4472</v>
      </c>
      <c r="B1512" s="74" t="s">
        <v>1521</v>
      </c>
      <c r="C1512" s="74" t="s">
        <v>430</v>
      </c>
    </row>
    <row r="1513" spans="1:3">
      <c r="A1513" s="250">
        <v>4473</v>
      </c>
      <c r="B1513" s="74" t="s">
        <v>1519</v>
      </c>
      <c r="C1513" s="74" t="s">
        <v>430</v>
      </c>
    </row>
    <row r="1514" spans="1:3">
      <c r="A1514" s="250">
        <v>4474</v>
      </c>
      <c r="B1514" s="74" t="s">
        <v>1522</v>
      </c>
      <c r="C1514" s="74" t="s">
        <v>430</v>
      </c>
    </row>
    <row r="1515" spans="1:3">
      <c r="A1515" s="250">
        <v>4475</v>
      </c>
      <c r="B1515" s="74" t="s">
        <v>1523</v>
      </c>
      <c r="C1515" s="74" t="s">
        <v>430</v>
      </c>
    </row>
    <row r="1516" spans="1:3">
      <c r="A1516" s="250">
        <v>4476</v>
      </c>
      <c r="B1516" s="74" t="s">
        <v>1524</v>
      </c>
      <c r="C1516" s="74" t="s">
        <v>430</v>
      </c>
    </row>
    <row r="1517" spans="1:3">
      <c r="A1517" s="250">
        <v>4478</v>
      </c>
      <c r="B1517" s="74" t="s">
        <v>1525</v>
      </c>
      <c r="C1517" s="74" t="s">
        <v>430</v>
      </c>
    </row>
    <row r="1518" spans="1:3">
      <c r="A1518" s="250">
        <v>4479</v>
      </c>
      <c r="B1518" s="74" t="s">
        <v>1526</v>
      </c>
      <c r="C1518" s="74" t="s">
        <v>430</v>
      </c>
    </row>
    <row r="1519" spans="1:3">
      <c r="A1519" s="250">
        <v>4481</v>
      </c>
      <c r="B1519" s="74" t="s">
        <v>1527</v>
      </c>
      <c r="C1519" s="74" t="s">
        <v>430</v>
      </c>
    </row>
    <row r="1520" spans="1:3">
      <c r="A1520" s="250">
        <v>4485</v>
      </c>
      <c r="B1520" s="74" t="s">
        <v>1528</v>
      </c>
      <c r="C1520" s="74" t="s">
        <v>430</v>
      </c>
    </row>
    <row r="1521" spans="1:3">
      <c r="A1521" s="250">
        <v>4487</v>
      </c>
      <c r="B1521" s="74" t="s">
        <v>634</v>
      </c>
      <c r="C1521" s="74" t="s">
        <v>430</v>
      </c>
    </row>
    <row r="1522" spans="1:3">
      <c r="A1522" s="250">
        <v>4488</v>
      </c>
      <c r="B1522" s="74" t="s">
        <v>1529</v>
      </c>
      <c r="C1522" s="74" t="s">
        <v>430</v>
      </c>
    </row>
    <row r="1523" spans="1:3">
      <c r="A1523" s="250">
        <v>4489</v>
      </c>
      <c r="B1523" s="74" t="s">
        <v>1530</v>
      </c>
      <c r="C1523" s="74" t="s">
        <v>430</v>
      </c>
    </row>
    <row r="1524" spans="1:3">
      <c r="A1524" s="250">
        <v>4490</v>
      </c>
      <c r="B1524" s="74" t="s">
        <v>860</v>
      </c>
      <c r="C1524" s="74" t="s">
        <v>430</v>
      </c>
    </row>
    <row r="1525" spans="1:3">
      <c r="A1525" s="250">
        <v>4491</v>
      </c>
      <c r="B1525" s="74" t="s">
        <v>1531</v>
      </c>
      <c r="C1525" s="74" t="s">
        <v>430</v>
      </c>
    </row>
    <row r="1526" spans="1:3">
      <c r="A1526" s="250">
        <v>4492</v>
      </c>
      <c r="B1526" s="74" t="s">
        <v>1532</v>
      </c>
      <c r="C1526" s="74" t="s">
        <v>430</v>
      </c>
    </row>
    <row r="1527" spans="1:3">
      <c r="A1527" s="250">
        <v>4493</v>
      </c>
      <c r="B1527" s="74" t="s">
        <v>1533</v>
      </c>
      <c r="C1527" s="74" t="s">
        <v>430</v>
      </c>
    </row>
    <row r="1528" spans="1:3">
      <c r="A1528" s="250">
        <v>4495</v>
      </c>
      <c r="B1528" s="74" t="s">
        <v>1534</v>
      </c>
      <c r="C1528" s="74" t="s">
        <v>430</v>
      </c>
    </row>
    <row r="1529" spans="1:3">
      <c r="A1529" s="250">
        <v>4496</v>
      </c>
      <c r="B1529" s="74" t="s">
        <v>1535</v>
      </c>
      <c r="C1529" s="74" t="s">
        <v>430</v>
      </c>
    </row>
    <row r="1530" spans="1:3">
      <c r="A1530" s="250">
        <v>4497</v>
      </c>
      <c r="B1530" s="74" t="s">
        <v>1536</v>
      </c>
      <c r="C1530" s="74" t="s">
        <v>430</v>
      </c>
    </row>
    <row r="1531" spans="1:3">
      <c r="A1531" s="250">
        <v>4530</v>
      </c>
      <c r="B1531" s="74" t="s">
        <v>1269</v>
      </c>
      <c r="C1531" s="74" t="s">
        <v>430</v>
      </c>
    </row>
    <row r="1532" spans="1:3">
      <c r="A1532" s="250">
        <v>4535</v>
      </c>
      <c r="B1532" s="74" t="s">
        <v>1537</v>
      </c>
      <c r="C1532" s="74" t="s">
        <v>430</v>
      </c>
    </row>
    <row r="1533" spans="1:3">
      <c r="A1533" s="250">
        <v>4537</v>
      </c>
      <c r="B1533" s="74" t="s">
        <v>1538</v>
      </c>
      <c r="C1533" s="74" t="s">
        <v>430</v>
      </c>
    </row>
    <row r="1534" spans="1:3">
      <c r="A1534" s="250">
        <v>4538</v>
      </c>
      <c r="B1534" s="74" t="s">
        <v>1539</v>
      </c>
      <c r="C1534" s="74" t="s">
        <v>430</v>
      </c>
    </row>
    <row r="1535" spans="1:3">
      <c r="A1535" s="250">
        <v>4539</v>
      </c>
      <c r="B1535" s="74" t="s">
        <v>1098</v>
      </c>
      <c r="C1535" s="74" t="s">
        <v>430</v>
      </c>
    </row>
    <row r="1536" spans="1:3">
      <c r="A1536" s="250">
        <v>4541</v>
      </c>
      <c r="B1536" s="74" t="s">
        <v>1540</v>
      </c>
      <c r="C1536" s="74" t="s">
        <v>430</v>
      </c>
    </row>
    <row r="1537" spans="1:3">
      <c r="A1537" s="250">
        <v>4543</v>
      </c>
      <c r="B1537" s="74" t="s">
        <v>1541</v>
      </c>
      <c r="C1537" s="74" t="s">
        <v>430</v>
      </c>
    </row>
    <row r="1538" spans="1:3">
      <c r="A1538" s="250">
        <v>4544</v>
      </c>
      <c r="B1538" s="74" t="s">
        <v>1542</v>
      </c>
      <c r="C1538" s="74" t="s">
        <v>430</v>
      </c>
    </row>
    <row r="1539" spans="1:3">
      <c r="A1539" s="250">
        <v>4547</v>
      </c>
      <c r="B1539" s="74" t="s">
        <v>1543</v>
      </c>
      <c r="C1539" s="74" t="s">
        <v>430</v>
      </c>
    </row>
    <row r="1540" spans="1:3">
      <c r="A1540" s="250">
        <v>4548</v>
      </c>
      <c r="B1540" s="74" t="s">
        <v>813</v>
      </c>
      <c r="C1540" s="74" t="s">
        <v>430</v>
      </c>
    </row>
    <row r="1541" spans="1:3">
      <c r="A1541" s="250">
        <v>4549</v>
      </c>
      <c r="B1541" s="74" t="s">
        <v>1544</v>
      </c>
      <c r="C1541" s="74" t="s">
        <v>430</v>
      </c>
    </row>
    <row r="1542" spans="1:3">
      <c r="A1542" s="250">
        <v>4551</v>
      </c>
      <c r="B1542" s="74" t="s">
        <v>1545</v>
      </c>
      <c r="C1542" s="74" t="s">
        <v>430</v>
      </c>
    </row>
    <row r="1543" spans="1:3">
      <c r="A1543" s="250">
        <v>4553</v>
      </c>
      <c r="B1543" s="74" t="s">
        <v>1546</v>
      </c>
      <c r="C1543" s="74" t="s">
        <v>430</v>
      </c>
    </row>
    <row r="1544" spans="1:3">
      <c r="A1544" s="250">
        <v>4554</v>
      </c>
      <c r="B1544" s="74" t="s">
        <v>1547</v>
      </c>
      <c r="C1544" s="74" t="s">
        <v>430</v>
      </c>
    </row>
    <row r="1545" spans="1:3">
      <c r="A1545" s="250">
        <v>4555</v>
      </c>
      <c r="B1545" s="74" t="s">
        <v>1548</v>
      </c>
      <c r="C1545" s="74" t="s">
        <v>430</v>
      </c>
    </row>
    <row r="1546" spans="1:3">
      <c r="A1546" s="250">
        <v>4556</v>
      </c>
      <c r="B1546" s="74" t="s">
        <v>1549</v>
      </c>
      <c r="C1546" s="74" t="s">
        <v>430</v>
      </c>
    </row>
    <row r="1547" spans="1:3">
      <c r="A1547" s="250">
        <v>4558</v>
      </c>
      <c r="B1547" s="74" t="s">
        <v>1550</v>
      </c>
      <c r="C1547" s="74" t="s">
        <v>430</v>
      </c>
    </row>
    <row r="1548" spans="1:3">
      <c r="A1548" s="250">
        <v>4562</v>
      </c>
      <c r="B1548" s="74" t="s">
        <v>1551</v>
      </c>
      <c r="C1548" s="74" t="s">
        <v>430</v>
      </c>
    </row>
    <row r="1549" spans="1:3">
      <c r="A1549" s="250">
        <v>4563</v>
      </c>
      <c r="B1549" s="74" t="s">
        <v>1552</v>
      </c>
      <c r="C1549" s="74" t="s">
        <v>430</v>
      </c>
    </row>
    <row r="1550" spans="1:3">
      <c r="A1550" s="250">
        <v>4564</v>
      </c>
      <c r="B1550" s="74" t="s">
        <v>1553</v>
      </c>
      <c r="C1550" s="74" t="s">
        <v>430</v>
      </c>
    </row>
    <row r="1551" spans="1:3">
      <c r="A1551" s="250">
        <v>4565</v>
      </c>
      <c r="B1551" s="74" t="s">
        <v>1554</v>
      </c>
      <c r="C1551" s="74" t="s">
        <v>430</v>
      </c>
    </row>
    <row r="1552" spans="1:3">
      <c r="A1552" s="250">
        <v>4568</v>
      </c>
      <c r="B1552" s="74" t="s">
        <v>1555</v>
      </c>
      <c r="C1552" s="74" t="s">
        <v>430</v>
      </c>
    </row>
    <row r="1553" spans="1:3">
      <c r="A1553" s="250">
        <v>4570</v>
      </c>
      <c r="B1553" s="74" t="s">
        <v>1556</v>
      </c>
      <c r="C1553" s="74" t="s">
        <v>430</v>
      </c>
    </row>
    <row r="1554" spans="1:3">
      <c r="A1554" s="250">
        <v>4571</v>
      </c>
      <c r="B1554" s="74" t="s">
        <v>1557</v>
      </c>
      <c r="C1554" s="74" t="s">
        <v>430</v>
      </c>
    </row>
    <row r="1555" spans="1:3">
      <c r="A1555" s="250">
        <v>4572</v>
      </c>
      <c r="B1555" s="74" t="s">
        <v>1558</v>
      </c>
      <c r="C1555" s="74" t="s">
        <v>430</v>
      </c>
    </row>
    <row r="1556" spans="1:3">
      <c r="A1556" s="250">
        <v>4573</v>
      </c>
      <c r="B1556" s="74" t="s">
        <v>897</v>
      </c>
      <c r="C1556" s="74" t="s">
        <v>430</v>
      </c>
    </row>
    <row r="1557" spans="1:3">
      <c r="A1557" s="250">
        <v>4574</v>
      </c>
      <c r="B1557" s="74" t="s">
        <v>1215</v>
      </c>
      <c r="C1557" s="74" t="s">
        <v>430</v>
      </c>
    </row>
    <row r="1558" spans="1:3">
      <c r="A1558" s="250">
        <v>4575</v>
      </c>
      <c r="B1558" s="74" t="s">
        <v>1559</v>
      </c>
      <c r="C1558" s="74" t="s">
        <v>430</v>
      </c>
    </row>
    <row r="1559" spans="1:3">
      <c r="A1559" s="250">
        <v>4576</v>
      </c>
      <c r="B1559" s="74" t="s">
        <v>1560</v>
      </c>
      <c r="C1559" s="74" t="s">
        <v>430</v>
      </c>
    </row>
    <row r="1560" spans="1:3">
      <c r="A1560" s="250">
        <v>4578</v>
      </c>
      <c r="B1560" s="74" t="s">
        <v>1561</v>
      </c>
      <c r="C1560" s="74" t="s">
        <v>430</v>
      </c>
    </row>
    <row r="1561" spans="1:3">
      <c r="A1561" s="250">
        <v>4579</v>
      </c>
      <c r="B1561" s="74" t="s">
        <v>1562</v>
      </c>
      <c r="C1561" s="74" t="s">
        <v>430</v>
      </c>
    </row>
    <row r="1562" spans="1:3">
      <c r="A1562" s="250">
        <v>4605</v>
      </c>
      <c r="B1562" s="74" t="s">
        <v>1563</v>
      </c>
      <c r="C1562" s="74" t="s">
        <v>430</v>
      </c>
    </row>
    <row r="1563" spans="1:3">
      <c r="A1563" s="250">
        <v>4606</v>
      </c>
      <c r="B1563" s="74" t="s">
        <v>1564</v>
      </c>
      <c r="C1563" s="74" t="s">
        <v>430</v>
      </c>
    </row>
    <row r="1564" spans="1:3">
      <c r="A1564" s="250">
        <v>4607</v>
      </c>
      <c r="B1564" s="74" t="s">
        <v>1565</v>
      </c>
      <c r="C1564" s="74" t="s">
        <v>430</v>
      </c>
    </row>
    <row r="1565" spans="1:3">
      <c r="A1565" s="250">
        <v>4609</v>
      </c>
      <c r="B1565" s="74" t="s">
        <v>1566</v>
      </c>
      <c r="C1565" s="74" t="s">
        <v>430</v>
      </c>
    </row>
    <row r="1566" spans="1:3">
      <c r="A1566" s="250">
        <v>4611</v>
      </c>
      <c r="B1566" s="74" t="s">
        <v>1567</v>
      </c>
      <c r="C1566" s="74" t="s">
        <v>430</v>
      </c>
    </row>
    <row r="1567" spans="1:3">
      <c r="A1567" s="250">
        <v>4612</v>
      </c>
      <c r="B1567" s="74" t="s">
        <v>1568</v>
      </c>
      <c r="C1567" s="74" t="s">
        <v>430</v>
      </c>
    </row>
    <row r="1568" spans="1:3">
      <c r="A1568" s="250">
        <v>4613</v>
      </c>
      <c r="B1568" s="74" t="s">
        <v>1569</v>
      </c>
      <c r="C1568" s="74" t="s">
        <v>430</v>
      </c>
    </row>
    <row r="1569" spans="1:3">
      <c r="A1569" s="250">
        <v>4614</v>
      </c>
      <c r="B1569" s="74" t="s">
        <v>1570</v>
      </c>
      <c r="C1569" s="74" t="s">
        <v>430</v>
      </c>
    </row>
    <row r="1570" spans="1:3">
      <c r="A1570" s="250">
        <v>4616</v>
      </c>
      <c r="B1570" s="74" t="s">
        <v>1571</v>
      </c>
      <c r="C1570" s="74" t="s">
        <v>430</v>
      </c>
    </row>
    <row r="1571" spans="1:3">
      <c r="A1571" s="250">
        <v>4617</v>
      </c>
      <c r="B1571" s="74" t="s">
        <v>1572</v>
      </c>
      <c r="C1571" s="74" t="s">
        <v>430</v>
      </c>
    </row>
    <row r="1572" spans="1:3">
      <c r="A1572" s="250">
        <v>4619</v>
      </c>
      <c r="B1572" s="74" t="s">
        <v>1573</v>
      </c>
      <c r="C1572" s="74" t="s">
        <v>430</v>
      </c>
    </row>
    <row r="1573" spans="1:3">
      <c r="A1573" s="250">
        <v>4622</v>
      </c>
      <c r="B1573" s="74" t="s">
        <v>1574</v>
      </c>
      <c r="C1573" s="74" t="s">
        <v>430</v>
      </c>
    </row>
    <row r="1574" spans="1:3">
      <c r="A1574" s="250">
        <v>4623</v>
      </c>
      <c r="B1574" s="74" t="s">
        <v>1575</v>
      </c>
      <c r="C1574" s="74" t="s">
        <v>430</v>
      </c>
    </row>
    <row r="1575" spans="1:3">
      <c r="A1575" s="250">
        <v>4624</v>
      </c>
      <c r="B1575" s="74" t="s">
        <v>1576</v>
      </c>
      <c r="C1575" s="74" t="s">
        <v>430</v>
      </c>
    </row>
    <row r="1576" spans="1:3">
      <c r="A1576" s="250">
        <v>4625</v>
      </c>
      <c r="B1576" s="74" t="s">
        <v>1577</v>
      </c>
      <c r="C1576" s="74" t="s">
        <v>430</v>
      </c>
    </row>
    <row r="1577" spans="1:3">
      <c r="A1577" s="250">
        <v>4626</v>
      </c>
      <c r="B1577" s="74" t="s">
        <v>1578</v>
      </c>
      <c r="C1577" s="74" t="s">
        <v>430</v>
      </c>
    </row>
    <row r="1578" spans="1:3">
      <c r="A1578" s="250">
        <v>4627</v>
      </c>
      <c r="B1578" s="74" t="s">
        <v>1579</v>
      </c>
      <c r="C1578" s="74" t="s">
        <v>430</v>
      </c>
    </row>
    <row r="1579" spans="1:3">
      <c r="A1579" s="250">
        <v>4628</v>
      </c>
      <c r="B1579" s="74" t="s">
        <v>1580</v>
      </c>
      <c r="C1579" s="74" t="s">
        <v>430</v>
      </c>
    </row>
    <row r="1580" spans="1:3">
      <c r="A1580" s="250">
        <v>4629</v>
      </c>
      <c r="B1580" s="74" t="s">
        <v>1581</v>
      </c>
      <c r="C1580" s="74" t="s">
        <v>430</v>
      </c>
    </row>
    <row r="1581" spans="1:3">
      <c r="A1581" s="250">
        <v>4630</v>
      </c>
      <c r="B1581" s="74" t="s">
        <v>1582</v>
      </c>
      <c r="C1581" s="74" t="s">
        <v>430</v>
      </c>
    </row>
    <row r="1582" spans="1:3">
      <c r="A1582" s="250">
        <v>4631</v>
      </c>
      <c r="B1582" s="74" t="s">
        <v>1583</v>
      </c>
      <c r="C1582" s="74" t="s">
        <v>430</v>
      </c>
    </row>
    <row r="1583" spans="1:3">
      <c r="A1583" s="250">
        <v>4634</v>
      </c>
      <c r="B1583" s="74" t="s">
        <v>873</v>
      </c>
      <c r="C1583" s="74" t="s">
        <v>430</v>
      </c>
    </row>
    <row r="1584" spans="1:3">
      <c r="A1584" s="250">
        <v>4635</v>
      </c>
      <c r="B1584" s="74" t="s">
        <v>1584</v>
      </c>
      <c r="C1584" s="74" t="s">
        <v>430</v>
      </c>
    </row>
    <row r="1585" spans="1:3">
      <c r="A1585" s="250">
        <v>4637</v>
      </c>
      <c r="B1585" s="74" t="s">
        <v>1585</v>
      </c>
      <c r="C1585" s="74" t="s">
        <v>430</v>
      </c>
    </row>
    <row r="1586" spans="1:3">
      <c r="A1586" s="250">
        <v>4640</v>
      </c>
      <c r="B1586" s="74" t="s">
        <v>1235</v>
      </c>
      <c r="C1586" s="74" t="s">
        <v>430</v>
      </c>
    </row>
    <row r="1587" spans="1:3">
      <c r="A1587" s="250">
        <v>4642</v>
      </c>
      <c r="B1587" s="74" t="s">
        <v>1586</v>
      </c>
      <c r="C1587" s="74" t="s">
        <v>430</v>
      </c>
    </row>
    <row r="1588" spans="1:3">
      <c r="A1588" s="250">
        <v>4643</v>
      </c>
      <c r="B1588" s="74" t="s">
        <v>1587</v>
      </c>
      <c r="C1588" s="74" t="s">
        <v>430</v>
      </c>
    </row>
    <row r="1589" spans="1:3">
      <c r="A1589" s="250">
        <v>4644</v>
      </c>
      <c r="B1589" s="74" t="s">
        <v>1588</v>
      </c>
      <c r="C1589" s="74" t="s">
        <v>430</v>
      </c>
    </row>
    <row r="1590" spans="1:3">
      <c r="A1590" s="250">
        <v>4645</v>
      </c>
      <c r="B1590" s="74" t="s">
        <v>1589</v>
      </c>
      <c r="C1590" s="74" t="s">
        <v>430</v>
      </c>
    </row>
    <row r="1591" spans="1:3">
      <c r="A1591" s="250">
        <v>4646</v>
      </c>
      <c r="B1591" s="74" t="s">
        <v>1590</v>
      </c>
      <c r="C1591" s="74" t="s">
        <v>430</v>
      </c>
    </row>
    <row r="1592" spans="1:3">
      <c r="A1592" s="250">
        <v>4648</v>
      </c>
      <c r="B1592" s="74" t="s">
        <v>1591</v>
      </c>
      <c r="C1592" s="74" t="s">
        <v>430</v>
      </c>
    </row>
    <row r="1593" spans="1:3">
      <c r="A1593" s="250">
        <v>4649</v>
      </c>
      <c r="B1593" s="74" t="s">
        <v>1592</v>
      </c>
      <c r="C1593" s="74" t="s">
        <v>430</v>
      </c>
    </row>
    <row r="1594" spans="1:3">
      <c r="A1594" s="250">
        <v>4650</v>
      </c>
      <c r="B1594" s="74" t="s">
        <v>1593</v>
      </c>
      <c r="C1594" s="74" t="s">
        <v>430</v>
      </c>
    </row>
    <row r="1595" spans="1:3">
      <c r="A1595" s="250">
        <v>4652</v>
      </c>
      <c r="B1595" s="74" t="s">
        <v>1594</v>
      </c>
      <c r="C1595" s="74" t="s">
        <v>430</v>
      </c>
    </row>
    <row r="1596" spans="1:3">
      <c r="A1596" s="250">
        <v>4653</v>
      </c>
      <c r="B1596" s="74" t="s">
        <v>1595</v>
      </c>
      <c r="C1596" s="74" t="s">
        <v>430</v>
      </c>
    </row>
    <row r="1597" spans="1:3">
      <c r="A1597" s="250">
        <v>4654</v>
      </c>
      <c r="B1597" s="74" t="s">
        <v>1596</v>
      </c>
      <c r="C1597" s="74" t="s">
        <v>430</v>
      </c>
    </row>
    <row r="1598" spans="1:3">
      <c r="A1598" s="250">
        <v>4655</v>
      </c>
      <c r="B1598" s="74" t="s">
        <v>1597</v>
      </c>
      <c r="C1598" s="74" t="s">
        <v>430</v>
      </c>
    </row>
    <row r="1599" spans="1:3">
      <c r="A1599" s="250">
        <v>4657</v>
      </c>
      <c r="B1599" s="74" t="s">
        <v>1598</v>
      </c>
      <c r="C1599" s="74" t="s">
        <v>430</v>
      </c>
    </row>
    <row r="1600" spans="1:3">
      <c r="A1600" s="250">
        <v>4658</v>
      </c>
      <c r="B1600" s="74" t="s">
        <v>1599</v>
      </c>
      <c r="C1600" s="74" t="s">
        <v>430</v>
      </c>
    </row>
    <row r="1601" spans="1:3">
      <c r="A1601" s="250">
        <v>4660</v>
      </c>
      <c r="B1601" s="74" t="s">
        <v>1600</v>
      </c>
      <c r="C1601" s="74" t="s">
        <v>430</v>
      </c>
    </row>
    <row r="1602" spans="1:3">
      <c r="A1602" s="250">
        <v>4662</v>
      </c>
      <c r="B1602" s="74" t="s">
        <v>1601</v>
      </c>
      <c r="C1602" s="74" t="s">
        <v>430</v>
      </c>
    </row>
    <row r="1603" spans="1:3">
      <c r="A1603" s="250">
        <v>4664</v>
      </c>
      <c r="B1603" s="74" t="s">
        <v>1231</v>
      </c>
      <c r="C1603" s="74" t="s">
        <v>430</v>
      </c>
    </row>
    <row r="1604" spans="1:3">
      <c r="A1604" s="250">
        <v>4666</v>
      </c>
      <c r="B1604" s="74" t="s">
        <v>955</v>
      </c>
      <c r="C1604" s="74" t="s">
        <v>430</v>
      </c>
    </row>
    <row r="1605" spans="1:3">
      <c r="A1605" s="250">
        <v>4667</v>
      </c>
      <c r="B1605" s="74" t="s">
        <v>1602</v>
      </c>
      <c r="C1605" s="74" t="s">
        <v>430</v>
      </c>
    </row>
    <row r="1606" spans="1:3">
      <c r="A1606" s="250">
        <v>4668</v>
      </c>
      <c r="B1606" s="74" t="s">
        <v>755</v>
      </c>
      <c r="C1606" s="74" t="s">
        <v>430</v>
      </c>
    </row>
    <row r="1607" spans="1:3">
      <c r="A1607" s="250">
        <v>4669</v>
      </c>
      <c r="B1607" s="74" t="s">
        <v>1603</v>
      </c>
      <c r="C1607" s="74" t="s">
        <v>430</v>
      </c>
    </row>
    <row r="1608" spans="1:3">
      <c r="A1608" s="250">
        <v>4671</v>
      </c>
      <c r="B1608" s="74" t="s">
        <v>1604</v>
      </c>
      <c r="C1608" s="74" t="s">
        <v>430</v>
      </c>
    </row>
    <row r="1609" spans="1:3">
      <c r="A1609" s="250">
        <v>4672</v>
      </c>
      <c r="B1609" s="74" t="s">
        <v>1605</v>
      </c>
      <c r="C1609" s="74" t="s">
        <v>430</v>
      </c>
    </row>
    <row r="1610" spans="1:3">
      <c r="A1610" s="250">
        <v>4673</v>
      </c>
      <c r="B1610" s="74" t="s">
        <v>1606</v>
      </c>
      <c r="C1610" s="74" t="s">
        <v>430</v>
      </c>
    </row>
    <row r="1611" spans="1:3">
      <c r="A1611" s="250">
        <v>4674</v>
      </c>
      <c r="B1611" s="74" t="s">
        <v>1607</v>
      </c>
      <c r="C1611" s="74" t="s">
        <v>430</v>
      </c>
    </row>
    <row r="1612" spans="1:3">
      <c r="A1612" s="250">
        <v>4675</v>
      </c>
      <c r="B1612" s="74" t="s">
        <v>1608</v>
      </c>
      <c r="C1612" s="74" t="s">
        <v>430</v>
      </c>
    </row>
    <row r="1613" spans="1:3">
      <c r="A1613" s="250">
        <v>4676</v>
      </c>
      <c r="B1613" s="74" t="s">
        <v>1609</v>
      </c>
      <c r="C1613" s="74" t="s">
        <v>430</v>
      </c>
    </row>
    <row r="1614" spans="1:3">
      <c r="A1614" s="250">
        <v>4677</v>
      </c>
      <c r="B1614" s="74" t="s">
        <v>1610</v>
      </c>
      <c r="C1614" s="74" t="s">
        <v>430</v>
      </c>
    </row>
    <row r="1615" spans="1:3">
      <c r="A1615" s="250">
        <v>4679</v>
      </c>
      <c r="B1615" s="74" t="s">
        <v>1611</v>
      </c>
      <c r="C1615" s="74" t="s">
        <v>430</v>
      </c>
    </row>
    <row r="1616" spans="1:3">
      <c r="A1616" s="250">
        <v>4680</v>
      </c>
      <c r="B1616" s="74" t="s">
        <v>1612</v>
      </c>
      <c r="C1616" s="74" t="s">
        <v>430</v>
      </c>
    </row>
    <row r="1617" spans="1:3">
      <c r="A1617" s="250">
        <v>4681</v>
      </c>
      <c r="B1617" s="74" t="s">
        <v>1613</v>
      </c>
      <c r="C1617" s="74" t="s">
        <v>430</v>
      </c>
    </row>
    <row r="1618" spans="1:3">
      <c r="A1618" s="250">
        <v>4683</v>
      </c>
      <c r="B1618" s="74" t="s">
        <v>1614</v>
      </c>
      <c r="C1618" s="74" t="s">
        <v>430</v>
      </c>
    </row>
    <row r="1619" spans="1:3">
      <c r="A1619" s="250">
        <v>4684</v>
      </c>
      <c r="B1619" s="74" t="s">
        <v>1615</v>
      </c>
      <c r="C1619" s="74" t="s">
        <v>430</v>
      </c>
    </row>
    <row r="1620" spans="1:3">
      <c r="A1620" s="250">
        <v>4685</v>
      </c>
      <c r="B1620" s="74" t="s">
        <v>1616</v>
      </c>
      <c r="C1620" s="74" t="s">
        <v>430</v>
      </c>
    </row>
    <row r="1621" spans="1:3">
      <c r="A1621" s="250">
        <v>4686</v>
      </c>
      <c r="B1621" s="74" t="s">
        <v>1617</v>
      </c>
      <c r="C1621" s="74" t="s">
        <v>430</v>
      </c>
    </row>
    <row r="1622" spans="1:3">
      <c r="A1622" s="250">
        <v>4691</v>
      </c>
      <c r="B1622" s="74" t="s">
        <v>1618</v>
      </c>
      <c r="C1622" s="74" t="s">
        <v>430</v>
      </c>
    </row>
    <row r="1623" spans="1:3">
      <c r="A1623" s="250">
        <v>4693</v>
      </c>
      <c r="B1623" s="74" t="s">
        <v>1619</v>
      </c>
      <c r="C1623" s="74" t="s">
        <v>430</v>
      </c>
    </row>
    <row r="1624" spans="1:3">
      <c r="A1624" s="250">
        <v>4694</v>
      </c>
      <c r="B1624" s="74" t="s">
        <v>1620</v>
      </c>
      <c r="C1624" s="74" t="s">
        <v>430</v>
      </c>
    </row>
    <row r="1625" spans="1:3">
      <c r="A1625" s="250">
        <v>4730</v>
      </c>
      <c r="B1625" s="74" t="s">
        <v>1621</v>
      </c>
      <c r="C1625" s="74" t="s">
        <v>430</v>
      </c>
    </row>
    <row r="1626" spans="1:3">
      <c r="A1626" s="250">
        <v>4732</v>
      </c>
      <c r="B1626" s="74" t="s">
        <v>782</v>
      </c>
      <c r="C1626" s="74" t="s">
        <v>430</v>
      </c>
    </row>
    <row r="1627" spans="1:3">
      <c r="A1627" s="250">
        <v>4733</v>
      </c>
      <c r="B1627" s="74" t="s">
        <v>1622</v>
      </c>
      <c r="C1627" s="74" t="s">
        <v>430</v>
      </c>
    </row>
    <row r="1628" spans="1:3">
      <c r="A1628" s="250">
        <v>4734</v>
      </c>
      <c r="B1628" s="74" t="s">
        <v>1623</v>
      </c>
      <c r="C1628" s="74" t="s">
        <v>430</v>
      </c>
    </row>
    <row r="1629" spans="1:3">
      <c r="A1629" s="250">
        <v>4735</v>
      </c>
      <c r="B1629" s="74" t="s">
        <v>936</v>
      </c>
      <c r="C1629" s="74" t="s">
        <v>430</v>
      </c>
    </row>
    <row r="1630" spans="1:3">
      <c r="A1630" s="250">
        <v>4736</v>
      </c>
      <c r="B1630" s="74" t="s">
        <v>1624</v>
      </c>
      <c r="C1630" s="74" t="s">
        <v>430</v>
      </c>
    </row>
    <row r="1631" spans="1:3">
      <c r="A1631" s="250">
        <v>4737</v>
      </c>
      <c r="B1631" s="74" t="s">
        <v>1625</v>
      </c>
      <c r="C1631" s="74" t="s">
        <v>430</v>
      </c>
    </row>
    <row r="1632" spans="1:3">
      <c r="A1632" s="250">
        <v>4738</v>
      </c>
      <c r="B1632" s="74" t="s">
        <v>1626</v>
      </c>
      <c r="C1632" s="74" t="s">
        <v>430</v>
      </c>
    </row>
    <row r="1633" spans="1:3">
      <c r="A1633" s="250">
        <v>4739</v>
      </c>
      <c r="B1633" s="74" t="s">
        <v>1627</v>
      </c>
      <c r="C1633" s="74" t="s">
        <v>430</v>
      </c>
    </row>
    <row r="1634" spans="1:3">
      <c r="A1634" s="250">
        <v>4740</v>
      </c>
      <c r="B1634" s="74" t="s">
        <v>941</v>
      </c>
      <c r="C1634" s="74" t="s">
        <v>430</v>
      </c>
    </row>
    <row r="1635" spans="1:3">
      <c r="A1635" s="250">
        <v>4741</v>
      </c>
      <c r="B1635" s="74" t="s">
        <v>1628</v>
      </c>
      <c r="C1635" s="74" t="s">
        <v>430</v>
      </c>
    </row>
    <row r="1636" spans="1:3">
      <c r="A1636" s="250">
        <v>4742</v>
      </c>
      <c r="B1636" s="74" t="s">
        <v>1629</v>
      </c>
      <c r="C1636" s="74" t="s">
        <v>430</v>
      </c>
    </row>
    <row r="1637" spans="1:3">
      <c r="A1637" s="250">
        <v>4743</v>
      </c>
      <c r="B1637" s="74" t="s">
        <v>1630</v>
      </c>
      <c r="C1637" s="74" t="s">
        <v>430</v>
      </c>
    </row>
    <row r="1638" spans="1:3">
      <c r="A1638" s="250">
        <v>4744</v>
      </c>
      <c r="B1638" s="74" t="s">
        <v>1631</v>
      </c>
      <c r="C1638" s="74" t="s">
        <v>430</v>
      </c>
    </row>
    <row r="1639" spans="1:3">
      <c r="A1639" s="250">
        <v>4745</v>
      </c>
      <c r="B1639" s="74" t="s">
        <v>1632</v>
      </c>
      <c r="C1639" s="74" t="s">
        <v>430</v>
      </c>
    </row>
    <row r="1640" spans="1:3">
      <c r="A1640" s="250">
        <v>4746</v>
      </c>
      <c r="B1640" s="74" t="s">
        <v>1633</v>
      </c>
      <c r="C1640" s="74" t="s">
        <v>430</v>
      </c>
    </row>
    <row r="1641" spans="1:3">
      <c r="A1641" s="250">
        <v>4747</v>
      </c>
      <c r="B1641" s="74" t="s">
        <v>1634</v>
      </c>
      <c r="C1641" s="74" t="s">
        <v>430</v>
      </c>
    </row>
    <row r="1642" spans="1:3">
      <c r="A1642" s="250">
        <v>4750</v>
      </c>
      <c r="B1642" s="74" t="s">
        <v>1635</v>
      </c>
      <c r="C1642" s="74" t="s">
        <v>430</v>
      </c>
    </row>
    <row r="1643" spans="1:3">
      <c r="A1643" s="250">
        <v>4751</v>
      </c>
      <c r="B1643" s="74" t="s">
        <v>1635</v>
      </c>
      <c r="C1643" s="74" t="s">
        <v>430</v>
      </c>
    </row>
    <row r="1644" spans="1:3">
      <c r="A1644" s="250">
        <v>4756</v>
      </c>
      <c r="B1644" s="74" t="s">
        <v>1636</v>
      </c>
      <c r="C1644" s="74" t="s">
        <v>430</v>
      </c>
    </row>
    <row r="1645" spans="1:3">
      <c r="A1645" s="250">
        <v>4757</v>
      </c>
      <c r="B1645" s="74" t="s">
        <v>1637</v>
      </c>
      <c r="C1645" s="74" t="s">
        <v>430</v>
      </c>
    </row>
    <row r="1646" spans="1:3">
      <c r="A1646" s="250">
        <v>4758</v>
      </c>
      <c r="B1646" s="74" t="s">
        <v>1638</v>
      </c>
      <c r="C1646" s="74" t="s">
        <v>430</v>
      </c>
    </row>
    <row r="1647" spans="1:3">
      <c r="A1647" s="250">
        <v>4760</v>
      </c>
      <c r="B1647" s="74" t="s">
        <v>1639</v>
      </c>
      <c r="C1647" s="74" t="s">
        <v>430</v>
      </c>
    </row>
    <row r="1648" spans="1:3">
      <c r="A1648" s="250">
        <v>4761</v>
      </c>
      <c r="B1648" s="74" t="s">
        <v>1640</v>
      </c>
      <c r="C1648" s="74" t="s">
        <v>430</v>
      </c>
    </row>
    <row r="1649" spans="1:3">
      <c r="A1649" s="250">
        <v>4762</v>
      </c>
      <c r="B1649" s="74" t="s">
        <v>1641</v>
      </c>
      <c r="C1649" s="74" t="s">
        <v>430</v>
      </c>
    </row>
    <row r="1650" spans="1:3">
      <c r="A1650" s="250">
        <v>4763</v>
      </c>
      <c r="B1650" s="74" t="s">
        <v>1642</v>
      </c>
      <c r="C1650" s="74" t="s">
        <v>430</v>
      </c>
    </row>
    <row r="1651" spans="1:3">
      <c r="A1651" s="250">
        <v>4764</v>
      </c>
      <c r="B1651" s="74" t="s">
        <v>1643</v>
      </c>
      <c r="C1651" s="74" t="s">
        <v>430</v>
      </c>
    </row>
    <row r="1652" spans="1:3">
      <c r="A1652" s="250">
        <v>4765</v>
      </c>
      <c r="B1652" s="74" t="s">
        <v>1644</v>
      </c>
      <c r="C1652" s="74" t="s">
        <v>430</v>
      </c>
    </row>
    <row r="1653" spans="1:3">
      <c r="A1653" s="250">
        <v>4766</v>
      </c>
      <c r="B1653" s="74" t="s">
        <v>1645</v>
      </c>
      <c r="C1653" s="74" t="s">
        <v>430</v>
      </c>
    </row>
    <row r="1654" spans="1:3">
      <c r="A1654" s="250">
        <v>4768</v>
      </c>
      <c r="B1654" s="74" t="s">
        <v>1646</v>
      </c>
      <c r="C1654" s="74" t="s">
        <v>430</v>
      </c>
    </row>
    <row r="1655" spans="1:3">
      <c r="A1655" s="250">
        <v>4769</v>
      </c>
      <c r="B1655" s="74" t="s">
        <v>1647</v>
      </c>
      <c r="C1655" s="74" t="s">
        <v>430</v>
      </c>
    </row>
    <row r="1656" spans="1:3">
      <c r="A1656" s="250">
        <v>4772</v>
      </c>
      <c r="B1656" s="74" t="s">
        <v>1648</v>
      </c>
      <c r="C1656" s="74" t="s">
        <v>430</v>
      </c>
    </row>
    <row r="1657" spans="1:3">
      <c r="A1657" s="250">
        <v>4773</v>
      </c>
      <c r="B1657" s="74" t="s">
        <v>1649</v>
      </c>
      <c r="C1657" s="74" t="s">
        <v>430</v>
      </c>
    </row>
    <row r="1658" spans="1:3">
      <c r="A1658" s="250">
        <v>4774</v>
      </c>
      <c r="B1658" s="74" t="s">
        <v>1650</v>
      </c>
      <c r="C1658" s="74" t="s">
        <v>430</v>
      </c>
    </row>
    <row r="1659" spans="1:3">
      <c r="A1659" s="250">
        <v>4775</v>
      </c>
      <c r="B1659" s="74" t="s">
        <v>1651</v>
      </c>
      <c r="C1659" s="74" t="s">
        <v>430</v>
      </c>
    </row>
    <row r="1660" spans="1:3">
      <c r="A1660" s="250">
        <v>4776</v>
      </c>
      <c r="B1660" s="74" t="s">
        <v>1652</v>
      </c>
      <c r="C1660" s="74" t="s">
        <v>430</v>
      </c>
    </row>
    <row r="1661" spans="1:3">
      <c r="A1661" s="250">
        <v>4777</v>
      </c>
      <c r="B1661" s="74" t="s">
        <v>1653</v>
      </c>
      <c r="C1661" s="74" t="s">
        <v>430</v>
      </c>
    </row>
    <row r="1662" spans="1:3">
      <c r="A1662" s="250">
        <v>4779</v>
      </c>
      <c r="B1662" s="74" t="s">
        <v>1654</v>
      </c>
      <c r="C1662" s="74" t="s">
        <v>430</v>
      </c>
    </row>
    <row r="1663" spans="1:3">
      <c r="A1663" s="250">
        <v>4780</v>
      </c>
      <c r="B1663" s="74" t="s">
        <v>1655</v>
      </c>
      <c r="C1663" s="74" t="s">
        <v>430</v>
      </c>
    </row>
    <row r="1664" spans="1:3">
      <c r="A1664" s="250">
        <v>4781</v>
      </c>
      <c r="B1664" s="74" t="s">
        <v>1656</v>
      </c>
      <c r="C1664" s="74" t="s">
        <v>430</v>
      </c>
    </row>
    <row r="1665" spans="1:3">
      <c r="A1665" s="250">
        <v>4783</v>
      </c>
      <c r="B1665" s="74" t="s">
        <v>1657</v>
      </c>
      <c r="C1665" s="74" t="s">
        <v>430</v>
      </c>
    </row>
    <row r="1666" spans="1:3">
      <c r="A1666" s="250">
        <v>4785</v>
      </c>
      <c r="B1666" s="74" t="s">
        <v>1658</v>
      </c>
      <c r="C1666" s="74" t="s">
        <v>430</v>
      </c>
    </row>
    <row r="1667" spans="1:3">
      <c r="A1667" s="250">
        <v>4786</v>
      </c>
      <c r="B1667" s="74" t="s">
        <v>1659</v>
      </c>
      <c r="C1667" s="74" t="s">
        <v>430</v>
      </c>
    </row>
    <row r="1668" spans="1:3">
      <c r="A1668" s="250">
        <v>4787</v>
      </c>
      <c r="B1668" s="74" t="s">
        <v>624</v>
      </c>
      <c r="C1668" s="74" t="s">
        <v>430</v>
      </c>
    </row>
    <row r="1669" spans="1:3">
      <c r="A1669" s="250">
        <v>4841</v>
      </c>
      <c r="B1669" s="74" t="s">
        <v>961</v>
      </c>
      <c r="C1669" s="74" t="s">
        <v>430</v>
      </c>
    </row>
    <row r="1670" spans="1:3">
      <c r="A1670" s="250">
        <v>4843</v>
      </c>
      <c r="B1670" s="74" t="s">
        <v>1660</v>
      </c>
      <c r="C1670" s="74" t="s">
        <v>430</v>
      </c>
    </row>
    <row r="1671" spans="1:3">
      <c r="A1671" s="250">
        <v>4846</v>
      </c>
      <c r="B1671" s="74" t="s">
        <v>1661</v>
      </c>
      <c r="C1671" s="74" t="s">
        <v>430</v>
      </c>
    </row>
    <row r="1672" spans="1:3">
      <c r="A1672" s="250">
        <v>4847</v>
      </c>
      <c r="B1672" s="74" t="s">
        <v>1111</v>
      </c>
      <c r="C1672" s="74" t="s">
        <v>430</v>
      </c>
    </row>
    <row r="1673" spans="1:3">
      <c r="A1673" s="250">
        <v>4848</v>
      </c>
      <c r="B1673" s="74" t="s">
        <v>1662</v>
      </c>
      <c r="C1673" s="74" t="s">
        <v>430</v>
      </c>
    </row>
    <row r="1674" spans="1:3">
      <c r="A1674" s="250">
        <v>4849</v>
      </c>
      <c r="B1674" s="74" t="s">
        <v>1663</v>
      </c>
      <c r="C1674" s="74" t="s">
        <v>430</v>
      </c>
    </row>
    <row r="1675" spans="1:3">
      <c r="A1675" s="250">
        <v>4850</v>
      </c>
      <c r="B1675" s="74" t="s">
        <v>1664</v>
      </c>
      <c r="C1675" s="74" t="s">
        <v>430</v>
      </c>
    </row>
    <row r="1676" spans="1:3">
      <c r="A1676" s="250">
        <v>4851</v>
      </c>
      <c r="B1676" s="74" t="s">
        <v>1665</v>
      </c>
      <c r="C1676" s="74" t="s">
        <v>430</v>
      </c>
    </row>
    <row r="1677" spans="1:3">
      <c r="A1677" s="250">
        <v>4852</v>
      </c>
      <c r="B1677" s="74" t="s">
        <v>1666</v>
      </c>
      <c r="C1677" s="74" t="s">
        <v>430</v>
      </c>
    </row>
    <row r="1678" spans="1:3">
      <c r="A1678" s="250">
        <v>4853</v>
      </c>
      <c r="B1678" s="74" t="s">
        <v>1667</v>
      </c>
      <c r="C1678" s="74" t="s">
        <v>430</v>
      </c>
    </row>
    <row r="1679" spans="1:3">
      <c r="A1679" s="250">
        <v>4854</v>
      </c>
      <c r="B1679" s="74" t="s">
        <v>1668</v>
      </c>
      <c r="C1679" s="74" t="s">
        <v>430</v>
      </c>
    </row>
    <row r="1680" spans="1:3">
      <c r="A1680" s="250">
        <v>4855</v>
      </c>
      <c r="B1680" s="74" t="s">
        <v>1669</v>
      </c>
      <c r="C1680" s="74" t="s">
        <v>430</v>
      </c>
    </row>
    <row r="1681" spans="1:3">
      <c r="A1681" s="250">
        <v>4856</v>
      </c>
      <c r="B1681" s="74" t="s">
        <v>856</v>
      </c>
      <c r="C1681" s="74" t="s">
        <v>430</v>
      </c>
    </row>
    <row r="1682" spans="1:3">
      <c r="A1682" s="250">
        <v>4858</v>
      </c>
      <c r="B1682" s="74" t="s">
        <v>1670</v>
      </c>
      <c r="C1682" s="74" t="s">
        <v>430</v>
      </c>
    </row>
    <row r="1683" spans="1:3">
      <c r="A1683" s="250">
        <v>4859</v>
      </c>
      <c r="B1683" s="74" t="s">
        <v>1671</v>
      </c>
      <c r="C1683" s="74" t="s">
        <v>430</v>
      </c>
    </row>
    <row r="1684" spans="1:3">
      <c r="A1684" s="250">
        <v>4860</v>
      </c>
      <c r="B1684" s="74" t="s">
        <v>1672</v>
      </c>
      <c r="C1684" s="74" t="s">
        <v>430</v>
      </c>
    </row>
    <row r="1685" spans="1:3">
      <c r="A1685" s="250">
        <v>4861</v>
      </c>
      <c r="B1685" s="74" t="s">
        <v>1673</v>
      </c>
      <c r="C1685" s="74" t="s">
        <v>430</v>
      </c>
    </row>
    <row r="1686" spans="1:3">
      <c r="A1686" s="250">
        <v>4862</v>
      </c>
      <c r="B1686" s="74" t="s">
        <v>1346</v>
      </c>
      <c r="C1686" s="74" t="s">
        <v>430</v>
      </c>
    </row>
    <row r="1687" spans="1:3">
      <c r="A1687" s="250">
        <v>4863</v>
      </c>
      <c r="B1687" s="74" t="s">
        <v>1674</v>
      </c>
      <c r="C1687" s="74" t="s">
        <v>430</v>
      </c>
    </row>
    <row r="1688" spans="1:3">
      <c r="A1688" s="250">
        <v>4864</v>
      </c>
      <c r="B1688" s="74" t="s">
        <v>622</v>
      </c>
      <c r="C1688" s="74" t="s">
        <v>430</v>
      </c>
    </row>
    <row r="1689" spans="1:3">
      <c r="A1689" s="250">
        <v>4865</v>
      </c>
      <c r="B1689" s="74" t="s">
        <v>1675</v>
      </c>
      <c r="C1689" s="74" t="s">
        <v>430</v>
      </c>
    </row>
    <row r="1690" spans="1:3">
      <c r="A1690" s="250">
        <v>4901</v>
      </c>
      <c r="B1690" s="74" t="s">
        <v>1676</v>
      </c>
      <c r="C1690" s="74" t="s">
        <v>430</v>
      </c>
    </row>
    <row r="1691" spans="1:3">
      <c r="A1691" s="250">
        <v>4903</v>
      </c>
      <c r="B1691" s="74" t="s">
        <v>1676</v>
      </c>
      <c r="C1691" s="74" t="s">
        <v>430</v>
      </c>
    </row>
    <row r="1692" spans="1:3">
      <c r="A1692" s="250">
        <v>4910</v>
      </c>
      <c r="B1692" s="74" t="s">
        <v>1093</v>
      </c>
      <c r="C1692" s="74" t="s">
        <v>430</v>
      </c>
    </row>
    <row r="1693" spans="1:3">
      <c r="A1693" s="250">
        <v>4911</v>
      </c>
      <c r="B1693" s="74" t="s">
        <v>1677</v>
      </c>
      <c r="C1693" s="74" t="s">
        <v>430</v>
      </c>
    </row>
    <row r="1694" spans="1:3">
      <c r="A1694" s="250">
        <v>4912</v>
      </c>
      <c r="B1694" s="74" t="s">
        <v>1678</v>
      </c>
      <c r="C1694" s="74" t="s">
        <v>430</v>
      </c>
    </row>
    <row r="1695" spans="1:3">
      <c r="A1695" s="250">
        <v>4915</v>
      </c>
      <c r="B1695" s="74" t="s">
        <v>1679</v>
      </c>
      <c r="C1695" s="74" t="s">
        <v>430</v>
      </c>
    </row>
    <row r="1696" spans="1:3">
      <c r="A1696" s="250">
        <v>4917</v>
      </c>
      <c r="B1696" s="74" t="s">
        <v>1680</v>
      </c>
      <c r="C1696" s="74" t="s">
        <v>430</v>
      </c>
    </row>
    <row r="1697" spans="1:3">
      <c r="A1697" s="250">
        <v>4918</v>
      </c>
      <c r="B1697" s="74" t="s">
        <v>1681</v>
      </c>
      <c r="C1697" s="74" t="s">
        <v>430</v>
      </c>
    </row>
    <row r="1698" spans="1:3">
      <c r="A1698" s="250">
        <v>4920</v>
      </c>
      <c r="B1698" s="74" t="s">
        <v>1682</v>
      </c>
      <c r="C1698" s="74" t="s">
        <v>430</v>
      </c>
    </row>
    <row r="1699" spans="1:3">
      <c r="A1699" s="250">
        <v>4921</v>
      </c>
      <c r="B1699" s="74" t="s">
        <v>1683</v>
      </c>
      <c r="C1699" s="74" t="s">
        <v>430</v>
      </c>
    </row>
    <row r="1700" spans="1:3">
      <c r="A1700" s="250">
        <v>4922</v>
      </c>
      <c r="B1700" s="74" t="s">
        <v>1684</v>
      </c>
      <c r="C1700" s="74" t="s">
        <v>430</v>
      </c>
    </row>
    <row r="1701" spans="1:3">
      <c r="A1701" s="250">
        <v>4923</v>
      </c>
      <c r="B1701" s="74" t="s">
        <v>914</v>
      </c>
      <c r="C1701" s="74" t="s">
        <v>430</v>
      </c>
    </row>
    <row r="1702" spans="1:3">
      <c r="A1702" s="250">
        <v>4924</v>
      </c>
      <c r="B1702" s="74" t="s">
        <v>1270</v>
      </c>
      <c r="C1702" s="74" t="s">
        <v>430</v>
      </c>
    </row>
    <row r="1703" spans="1:3">
      <c r="A1703" s="250">
        <v>4925</v>
      </c>
      <c r="B1703" s="74" t="s">
        <v>1685</v>
      </c>
      <c r="C1703" s="74" t="s">
        <v>430</v>
      </c>
    </row>
    <row r="1704" spans="1:3">
      <c r="A1704" s="250">
        <v>4926</v>
      </c>
      <c r="B1704" s="74" t="s">
        <v>1686</v>
      </c>
      <c r="C1704" s="74" t="s">
        <v>430</v>
      </c>
    </row>
    <row r="1705" spans="1:3">
      <c r="A1705" s="250">
        <v>4927</v>
      </c>
      <c r="B1705" s="74" t="s">
        <v>732</v>
      </c>
      <c r="C1705" s="74" t="s">
        <v>430</v>
      </c>
    </row>
    <row r="1706" spans="1:3">
      <c r="A1706" s="250">
        <v>4928</v>
      </c>
      <c r="B1706" s="74" t="s">
        <v>1687</v>
      </c>
      <c r="C1706" s="74" t="s">
        <v>430</v>
      </c>
    </row>
    <row r="1707" spans="1:3">
      <c r="A1707" s="250">
        <v>4929</v>
      </c>
      <c r="B1707" s="74" t="s">
        <v>1688</v>
      </c>
      <c r="C1707" s="74" t="s">
        <v>430</v>
      </c>
    </row>
    <row r="1708" spans="1:3">
      <c r="A1708" s="250">
        <v>4930</v>
      </c>
      <c r="B1708" s="74" t="s">
        <v>1689</v>
      </c>
      <c r="C1708" s="74" t="s">
        <v>430</v>
      </c>
    </row>
    <row r="1709" spans="1:3">
      <c r="A1709" s="250">
        <v>4932</v>
      </c>
      <c r="B1709" s="74" t="s">
        <v>1690</v>
      </c>
      <c r="C1709" s="74" t="s">
        <v>430</v>
      </c>
    </row>
    <row r="1710" spans="1:3">
      <c r="A1710" s="250">
        <v>4933</v>
      </c>
      <c r="B1710" s="74" t="s">
        <v>1691</v>
      </c>
      <c r="C1710" s="74" t="s">
        <v>430</v>
      </c>
    </row>
    <row r="1711" spans="1:3">
      <c r="A1711" s="250">
        <v>4935</v>
      </c>
      <c r="B1711" s="74" t="s">
        <v>1692</v>
      </c>
      <c r="C1711" s="74" t="s">
        <v>430</v>
      </c>
    </row>
    <row r="1712" spans="1:3">
      <c r="A1712" s="250">
        <v>4936</v>
      </c>
      <c r="B1712" s="74" t="s">
        <v>1693</v>
      </c>
      <c r="C1712" s="74" t="s">
        <v>430</v>
      </c>
    </row>
    <row r="1713" spans="1:3">
      <c r="A1713" s="250">
        <v>4937</v>
      </c>
      <c r="B1713" s="74" t="s">
        <v>1694</v>
      </c>
      <c r="C1713" s="74" t="s">
        <v>430</v>
      </c>
    </row>
    <row r="1714" spans="1:3">
      <c r="A1714" s="250">
        <v>4938</v>
      </c>
      <c r="B1714" s="74" t="s">
        <v>1309</v>
      </c>
      <c r="C1714" s="74" t="s">
        <v>430</v>
      </c>
    </row>
    <row r="1715" spans="1:3">
      <c r="A1715" s="250">
        <v>4939</v>
      </c>
      <c r="B1715" s="74" t="s">
        <v>1695</v>
      </c>
      <c r="C1715" s="74" t="s">
        <v>430</v>
      </c>
    </row>
    <row r="1716" spans="1:3">
      <c r="A1716" s="250">
        <v>4940</v>
      </c>
      <c r="B1716" s="74" t="s">
        <v>1696</v>
      </c>
      <c r="C1716" s="74" t="s">
        <v>430</v>
      </c>
    </row>
    <row r="1717" spans="1:3">
      <c r="A1717" s="250">
        <v>4941</v>
      </c>
      <c r="B1717" s="74" t="s">
        <v>1310</v>
      </c>
      <c r="C1717" s="74" t="s">
        <v>430</v>
      </c>
    </row>
    <row r="1718" spans="1:3">
      <c r="A1718" s="250">
        <v>4942</v>
      </c>
      <c r="B1718" s="74" t="s">
        <v>1109</v>
      </c>
      <c r="C1718" s="74" t="s">
        <v>430</v>
      </c>
    </row>
    <row r="1719" spans="1:3">
      <c r="A1719" s="250">
        <v>4943</v>
      </c>
      <c r="B1719" s="74" t="s">
        <v>1697</v>
      </c>
      <c r="C1719" s="74" t="s">
        <v>430</v>
      </c>
    </row>
    <row r="1720" spans="1:3">
      <c r="A1720" s="250">
        <v>4944</v>
      </c>
      <c r="B1720" s="74" t="s">
        <v>1698</v>
      </c>
      <c r="C1720" s="74" t="s">
        <v>430</v>
      </c>
    </row>
    <row r="1721" spans="1:3">
      <c r="A1721" s="250">
        <v>4945</v>
      </c>
      <c r="B1721" s="74" t="s">
        <v>1699</v>
      </c>
      <c r="C1721" s="74" t="s">
        <v>430</v>
      </c>
    </row>
    <row r="1722" spans="1:3">
      <c r="A1722" s="250">
        <v>4947</v>
      </c>
      <c r="B1722" s="74" t="s">
        <v>1700</v>
      </c>
      <c r="C1722" s="74" t="s">
        <v>430</v>
      </c>
    </row>
    <row r="1723" spans="1:3">
      <c r="A1723" s="250">
        <v>4949</v>
      </c>
      <c r="B1723" s="74" t="s">
        <v>1701</v>
      </c>
      <c r="C1723" s="74" t="s">
        <v>430</v>
      </c>
    </row>
    <row r="1724" spans="1:3">
      <c r="A1724" s="250">
        <v>4950</v>
      </c>
      <c r="B1724" s="74" t="s">
        <v>1320</v>
      </c>
      <c r="C1724" s="74" t="s">
        <v>430</v>
      </c>
    </row>
    <row r="1725" spans="1:3">
      <c r="A1725" s="250">
        <v>4951</v>
      </c>
      <c r="B1725" s="74" t="s">
        <v>1284</v>
      </c>
      <c r="C1725" s="74" t="s">
        <v>430</v>
      </c>
    </row>
    <row r="1726" spans="1:3">
      <c r="A1726" s="250">
        <v>4952</v>
      </c>
      <c r="B1726" s="74" t="s">
        <v>1702</v>
      </c>
      <c r="C1726" s="74" t="s">
        <v>430</v>
      </c>
    </row>
    <row r="1727" spans="1:3">
      <c r="A1727" s="250">
        <v>4953</v>
      </c>
      <c r="B1727" s="74" t="s">
        <v>1118</v>
      </c>
      <c r="C1727" s="74" t="s">
        <v>430</v>
      </c>
    </row>
    <row r="1728" spans="1:3">
      <c r="A1728" s="250">
        <v>4954</v>
      </c>
      <c r="B1728" s="74" t="s">
        <v>1703</v>
      </c>
      <c r="C1728" s="74" t="s">
        <v>430</v>
      </c>
    </row>
    <row r="1729" spans="1:3">
      <c r="A1729" s="250">
        <v>4955</v>
      </c>
      <c r="B1729" s="74" t="s">
        <v>1704</v>
      </c>
      <c r="C1729" s="74" t="s">
        <v>430</v>
      </c>
    </row>
    <row r="1730" spans="1:3">
      <c r="A1730" s="250">
        <v>4956</v>
      </c>
      <c r="B1730" s="74" t="s">
        <v>1705</v>
      </c>
      <c r="C1730" s="74" t="s">
        <v>430</v>
      </c>
    </row>
    <row r="1731" spans="1:3">
      <c r="A1731" s="250">
        <v>4957</v>
      </c>
      <c r="B1731" s="74" t="s">
        <v>1706</v>
      </c>
      <c r="C1731" s="74" t="s">
        <v>430</v>
      </c>
    </row>
    <row r="1732" spans="1:3">
      <c r="A1732" s="250">
        <v>4958</v>
      </c>
      <c r="B1732" s="74" t="s">
        <v>1707</v>
      </c>
      <c r="C1732" s="74" t="s">
        <v>430</v>
      </c>
    </row>
    <row r="1733" spans="1:3">
      <c r="A1733" s="250">
        <v>4961</v>
      </c>
      <c r="B1733" s="74" t="s">
        <v>1703</v>
      </c>
      <c r="C1733" s="74" t="s">
        <v>430</v>
      </c>
    </row>
    <row r="1734" spans="1:3">
      <c r="A1734" s="250">
        <v>4962</v>
      </c>
      <c r="B1734" s="74" t="s">
        <v>1708</v>
      </c>
      <c r="C1734" s="74" t="s">
        <v>430</v>
      </c>
    </row>
    <row r="1735" spans="1:3">
      <c r="A1735" s="250">
        <v>4963</v>
      </c>
      <c r="B1735" s="74" t="s">
        <v>1121</v>
      </c>
      <c r="C1735" s="74" t="s">
        <v>430</v>
      </c>
    </row>
    <row r="1736" spans="1:3">
      <c r="A1736" s="250">
        <v>4964</v>
      </c>
      <c r="B1736" s="74" t="s">
        <v>1709</v>
      </c>
      <c r="C1736" s="74" t="s">
        <v>430</v>
      </c>
    </row>
    <row r="1737" spans="1:3">
      <c r="A1737" s="250">
        <v>4965</v>
      </c>
      <c r="B1737" s="74" t="s">
        <v>1710</v>
      </c>
      <c r="C1737" s="74" t="s">
        <v>430</v>
      </c>
    </row>
    <row r="1738" spans="1:3">
      <c r="A1738" s="250">
        <v>4966</v>
      </c>
      <c r="B1738" s="74" t="s">
        <v>1711</v>
      </c>
      <c r="C1738" s="74" t="s">
        <v>430</v>
      </c>
    </row>
    <row r="1739" spans="1:3">
      <c r="A1739" s="250">
        <v>4967</v>
      </c>
      <c r="B1739" s="74" t="s">
        <v>637</v>
      </c>
      <c r="C1739" s="74" t="s">
        <v>430</v>
      </c>
    </row>
    <row r="1740" spans="1:3">
      <c r="A1740" s="250">
        <v>4969</v>
      </c>
      <c r="B1740" s="74" t="s">
        <v>956</v>
      </c>
      <c r="C1740" s="74" t="s">
        <v>430</v>
      </c>
    </row>
    <row r="1741" spans="1:3">
      <c r="A1741" s="250">
        <v>4970</v>
      </c>
      <c r="B1741" s="74" t="s">
        <v>1712</v>
      </c>
      <c r="C1741" s="74" t="s">
        <v>430</v>
      </c>
    </row>
    <row r="1742" spans="1:3">
      <c r="A1742" s="250">
        <v>4971</v>
      </c>
      <c r="B1742" s="74" t="s">
        <v>1713</v>
      </c>
      <c r="C1742" s="74" t="s">
        <v>430</v>
      </c>
    </row>
    <row r="1743" spans="1:3">
      <c r="A1743" s="250">
        <v>4972</v>
      </c>
      <c r="B1743" s="74" t="s">
        <v>1714</v>
      </c>
      <c r="C1743" s="74" t="s">
        <v>430</v>
      </c>
    </row>
    <row r="1744" spans="1:3">
      <c r="A1744" s="250">
        <v>4973</v>
      </c>
      <c r="B1744" s="74" t="s">
        <v>1715</v>
      </c>
      <c r="C1744" s="74" t="s">
        <v>430</v>
      </c>
    </row>
    <row r="1745" spans="1:3">
      <c r="A1745" s="250">
        <v>4974</v>
      </c>
      <c r="B1745" s="74" t="s">
        <v>1716</v>
      </c>
      <c r="C1745" s="74" t="s">
        <v>430</v>
      </c>
    </row>
    <row r="1746" spans="1:3">
      <c r="A1746" s="250">
        <v>4975</v>
      </c>
      <c r="B1746" s="74" t="s">
        <v>1717</v>
      </c>
      <c r="C1746" s="74" t="s">
        <v>430</v>
      </c>
    </row>
    <row r="1747" spans="1:3">
      <c r="A1747" s="250">
        <v>4976</v>
      </c>
      <c r="B1747" s="74" t="s">
        <v>1718</v>
      </c>
      <c r="C1747" s="74" t="s">
        <v>430</v>
      </c>
    </row>
    <row r="1748" spans="1:3">
      <c r="A1748" s="250">
        <v>4978</v>
      </c>
      <c r="B1748" s="74" t="s">
        <v>1149</v>
      </c>
      <c r="C1748" s="74" t="s">
        <v>430</v>
      </c>
    </row>
    <row r="1749" spans="1:3">
      <c r="A1749" s="250">
        <v>4979</v>
      </c>
      <c r="B1749" s="74" t="s">
        <v>1719</v>
      </c>
      <c r="C1749" s="74" t="s">
        <v>430</v>
      </c>
    </row>
    <row r="1750" spans="1:3">
      <c r="A1750" s="250">
        <v>4981</v>
      </c>
      <c r="B1750" s="74" t="s">
        <v>1720</v>
      </c>
      <c r="C1750" s="74" t="s">
        <v>430</v>
      </c>
    </row>
    <row r="1751" spans="1:3">
      <c r="A1751" s="250">
        <v>4982</v>
      </c>
      <c r="B1751" s="74" t="s">
        <v>1721</v>
      </c>
      <c r="C1751" s="74" t="s">
        <v>430</v>
      </c>
    </row>
    <row r="1752" spans="1:3">
      <c r="A1752" s="250">
        <v>4983</v>
      </c>
      <c r="B1752" s="74" t="s">
        <v>1722</v>
      </c>
      <c r="C1752" s="74" t="s">
        <v>430</v>
      </c>
    </row>
    <row r="1753" spans="1:3">
      <c r="A1753" s="250">
        <v>4984</v>
      </c>
      <c r="B1753" s="74" t="s">
        <v>1172</v>
      </c>
      <c r="C1753" s="74" t="s">
        <v>430</v>
      </c>
    </row>
    <row r="1754" spans="1:3">
      <c r="A1754" s="250">
        <v>4985</v>
      </c>
      <c r="B1754" s="74" t="s">
        <v>1723</v>
      </c>
      <c r="C1754" s="74" t="s">
        <v>430</v>
      </c>
    </row>
    <row r="1755" spans="1:3">
      <c r="A1755" s="250">
        <v>4986</v>
      </c>
      <c r="B1755" s="74" t="s">
        <v>618</v>
      </c>
      <c r="C1755" s="74" t="s">
        <v>430</v>
      </c>
    </row>
    <row r="1756" spans="1:3">
      <c r="A1756" s="250">
        <v>4987</v>
      </c>
      <c r="B1756" s="74" t="s">
        <v>1243</v>
      </c>
      <c r="C1756" s="74" t="s">
        <v>430</v>
      </c>
    </row>
    <row r="1757" spans="1:3">
      <c r="A1757" s="250">
        <v>4988</v>
      </c>
      <c r="B1757" s="74" t="s">
        <v>1724</v>
      </c>
      <c r="C1757" s="74" t="s">
        <v>430</v>
      </c>
    </row>
    <row r="1758" spans="1:3">
      <c r="A1758" s="250">
        <v>4989</v>
      </c>
      <c r="B1758" s="74" t="s">
        <v>1725</v>
      </c>
      <c r="C1758" s="74" t="s">
        <v>430</v>
      </c>
    </row>
    <row r="1759" spans="1:3">
      <c r="A1759" s="250">
        <v>4992</v>
      </c>
      <c r="B1759" s="74" t="s">
        <v>1726</v>
      </c>
      <c r="C1759" s="74" t="s">
        <v>430</v>
      </c>
    </row>
    <row r="1760" spans="1:3">
      <c r="A1760" s="250">
        <v>5001</v>
      </c>
      <c r="B1760" s="74" t="s">
        <v>1727</v>
      </c>
      <c r="C1760" s="74" t="s">
        <v>455</v>
      </c>
    </row>
    <row r="1761" spans="1:3">
      <c r="A1761" s="250">
        <v>5009</v>
      </c>
      <c r="B1761" s="74" t="s">
        <v>1727</v>
      </c>
      <c r="C1761" s="74" t="s">
        <v>455</v>
      </c>
    </row>
    <row r="1762" spans="1:3">
      <c r="A1762" s="250">
        <v>5030</v>
      </c>
      <c r="B1762" s="74" t="s">
        <v>1728</v>
      </c>
      <c r="C1762" s="74" t="s">
        <v>455</v>
      </c>
    </row>
    <row r="1763" spans="1:3">
      <c r="A1763" s="250">
        <v>5031</v>
      </c>
      <c r="B1763" s="74" t="s">
        <v>1729</v>
      </c>
      <c r="C1763" s="74" t="s">
        <v>455</v>
      </c>
    </row>
    <row r="1764" spans="1:3">
      <c r="A1764" s="250">
        <v>5032</v>
      </c>
      <c r="B1764" s="74" t="s">
        <v>1434</v>
      </c>
      <c r="C1764" s="74" t="s">
        <v>455</v>
      </c>
    </row>
    <row r="1765" spans="1:3">
      <c r="A1765" s="250">
        <v>5033</v>
      </c>
      <c r="B1765" s="74" t="s">
        <v>1097</v>
      </c>
      <c r="C1765" s="74" t="s">
        <v>455</v>
      </c>
    </row>
    <row r="1766" spans="1:3">
      <c r="A1766" s="250">
        <v>5034</v>
      </c>
      <c r="B1766" s="74" t="s">
        <v>936</v>
      </c>
      <c r="C1766" s="74" t="s">
        <v>455</v>
      </c>
    </row>
    <row r="1767" spans="1:3">
      <c r="A1767" s="250">
        <v>5035</v>
      </c>
      <c r="B1767" s="74" t="s">
        <v>1730</v>
      </c>
      <c r="C1767" s="74" t="s">
        <v>455</v>
      </c>
    </row>
    <row r="1768" spans="1:3">
      <c r="A1768" s="250">
        <v>5036</v>
      </c>
      <c r="B1768" s="74" t="s">
        <v>728</v>
      </c>
      <c r="C1768" s="74" t="s">
        <v>455</v>
      </c>
    </row>
    <row r="1769" spans="1:3">
      <c r="A1769" s="250">
        <v>5037</v>
      </c>
      <c r="B1769" s="74" t="s">
        <v>1731</v>
      </c>
      <c r="C1769" s="74" t="s">
        <v>455</v>
      </c>
    </row>
    <row r="1770" spans="1:3">
      <c r="A1770" s="250">
        <v>5038</v>
      </c>
      <c r="B1770" s="74" t="s">
        <v>918</v>
      </c>
      <c r="C1770" s="74" t="s">
        <v>455</v>
      </c>
    </row>
    <row r="1771" spans="1:3">
      <c r="A1771" s="250">
        <v>5039</v>
      </c>
      <c r="B1771" s="74" t="s">
        <v>1501</v>
      </c>
      <c r="C1771" s="74" t="s">
        <v>455</v>
      </c>
    </row>
    <row r="1772" spans="1:3">
      <c r="A1772" s="250">
        <v>5040</v>
      </c>
      <c r="B1772" s="74" t="s">
        <v>1732</v>
      </c>
      <c r="C1772" s="74" t="s">
        <v>455</v>
      </c>
    </row>
    <row r="1773" spans="1:3">
      <c r="A1773" s="250">
        <v>5041</v>
      </c>
      <c r="B1773" s="74" t="s">
        <v>1733</v>
      </c>
      <c r="C1773" s="74" t="s">
        <v>455</v>
      </c>
    </row>
    <row r="1774" spans="1:3">
      <c r="A1774" s="250">
        <v>5042</v>
      </c>
      <c r="B1774" s="74" t="s">
        <v>1734</v>
      </c>
      <c r="C1774" s="74" t="s">
        <v>455</v>
      </c>
    </row>
    <row r="1775" spans="1:3">
      <c r="A1775" s="250">
        <v>5043</v>
      </c>
      <c r="B1775" s="74" t="s">
        <v>1735</v>
      </c>
      <c r="C1775" s="74" t="s">
        <v>455</v>
      </c>
    </row>
    <row r="1776" spans="1:3">
      <c r="A1776" s="250">
        <v>5045</v>
      </c>
      <c r="B1776" s="74" t="s">
        <v>1736</v>
      </c>
      <c r="C1776" s="74" t="s">
        <v>455</v>
      </c>
    </row>
    <row r="1777" spans="1:3">
      <c r="A1777" s="250">
        <v>5046</v>
      </c>
      <c r="B1777" s="74" t="s">
        <v>709</v>
      </c>
      <c r="C1777" s="74" t="s">
        <v>455</v>
      </c>
    </row>
    <row r="1778" spans="1:3">
      <c r="A1778" s="250">
        <v>5047</v>
      </c>
      <c r="B1778" s="74" t="s">
        <v>1737</v>
      </c>
      <c r="C1778" s="74" t="s">
        <v>455</v>
      </c>
    </row>
    <row r="1779" spans="1:3">
      <c r="A1779" s="250">
        <v>5048</v>
      </c>
      <c r="B1779" s="74" t="s">
        <v>1697</v>
      </c>
      <c r="C1779" s="74" t="s">
        <v>455</v>
      </c>
    </row>
    <row r="1780" spans="1:3">
      <c r="A1780" s="250">
        <v>5049</v>
      </c>
      <c r="B1780" s="74" t="s">
        <v>1738</v>
      </c>
      <c r="C1780" s="74" t="s">
        <v>455</v>
      </c>
    </row>
    <row r="1781" spans="1:3">
      <c r="A1781" s="250">
        <v>5050</v>
      </c>
      <c r="B1781" s="74" t="s">
        <v>1739</v>
      </c>
      <c r="C1781" s="74" t="s">
        <v>455</v>
      </c>
    </row>
    <row r="1782" spans="1:3">
      <c r="A1782" s="250">
        <v>5051</v>
      </c>
      <c r="B1782" s="74" t="s">
        <v>852</v>
      </c>
      <c r="C1782" s="74" t="s">
        <v>455</v>
      </c>
    </row>
    <row r="1783" spans="1:3">
      <c r="A1783" s="250">
        <v>5052</v>
      </c>
      <c r="B1783" s="74" t="s">
        <v>1740</v>
      </c>
      <c r="C1783" s="74" t="s">
        <v>455</v>
      </c>
    </row>
    <row r="1784" spans="1:3">
      <c r="A1784" s="250">
        <v>5053</v>
      </c>
      <c r="B1784" s="74" t="s">
        <v>1741</v>
      </c>
      <c r="C1784" s="74" t="s">
        <v>455</v>
      </c>
    </row>
    <row r="1785" spans="1:3">
      <c r="A1785" s="250">
        <v>5054</v>
      </c>
      <c r="B1785" s="74" t="s">
        <v>1742</v>
      </c>
      <c r="C1785" s="74" t="s">
        <v>455</v>
      </c>
    </row>
    <row r="1786" spans="1:3">
      <c r="A1786" s="250">
        <v>5055</v>
      </c>
      <c r="B1786" s="74" t="s">
        <v>1743</v>
      </c>
      <c r="C1786" s="74" t="s">
        <v>455</v>
      </c>
    </row>
    <row r="1787" spans="1:3">
      <c r="A1787" s="250">
        <v>5056</v>
      </c>
      <c r="B1787" s="74" t="s">
        <v>956</v>
      </c>
      <c r="C1787" s="74" t="s">
        <v>455</v>
      </c>
    </row>
    <row r="1788" spans="1:3">
      <c r="A1788" s="250">
        <v>5058</v>
      </c>
      <c r="B1788" s="74" t="s">
        <v>1744</v>
      </c>
      <c r="C1788" s="74" t="s">
        <v>455</v>
      </c>
    </row>
    <row r="1789" spans="1:3">
      <c r="A1789" s="250">
        <v>5059</v>
      </c>
      <c r="B1789" s="74" t="s">
        <v>1745</v>
      </c>
      <c r="C1789" s="74" t="s">
        <v>455</v>
      </c>
    </row>
    <row r="1790" spans="1:3">
      <c r="A1790" s="250">
        <v>5060</v>
      </c>
      <c r="B1790" s="74" t="s">
        <v>960</v>
      </c>
      <c r="C1790" s="74" t="s">
        <v>455</v>
      </c>
    </row>
    <row r="1791" spans="1:3">
      <c r="A1791" s="250">
        <v>5061</v>
      </c>
      <c r="B1791" s="74" t="s">
        <v>1746</v>
      </c>
      <c r="C1791" s="74" t="s">
        <v>455</v>
      </c>
    </row>
    <row r="1792" spans="1:3">
      <c r="A1792" s="250">
        <v>5062</v>
      </c>
      <c r="B1792" s="74" t="s">
        <v>825</v>
      </c>
      <c r="C1792" s="74" t="s">
        <v>455</v>
      </c>
    </row>
    <row r="1793" spans="1:3">
      <c r="A1793" s="250">
        <v>5065</v>
      </c>
      <c r="B1793" s="74" t="s">
        <v>893</v>
      </c>
      <c r="C1793" s="74" t="s">
        <v>455</v>
      </c>
    </row>
    <row r="1794" spans="1:3">
      <c r="A1794" s="250">
        <v>5067</v>
      </c>
      <c r="B1794" s="74" t="s">
        <v>1747</v>
      </c>
      <c r="C1794" s="74" t="s">
        <v>455</v>
      </c>
    </row>
    <row r="1795" spans="1:3">
      <c r="A1795" s="250">
        <v>5068</v>
      </c>
      <c r="B1795" s="74" t="s">
        <v>1748</v>
      </c>
      <c r="C1795" s="74" t="s">
        <v>455</v>
      </c>
    </row>
    <row r="1796" spans="1:3">
      <c r="A1796" s="250">
        <v>5069</v>
      </c>
      <c r="B1796" s="74" t="s">
        <v>1749</v>
      </c>
      <c r="C1796" s="74" t="s">
        <v>455</v>
      </c>
    </row>
    <row r="1797" spans="1:3">
      <c r="A1797" s="250">
        <v>5070</v>
      </c>
      <c r="B1797" s="74" t="s">
        <v>1750</v>
      </c>
      <c r="C1797" s="74" t="s">
        <v>455</v>
      </c>
    </row>
    <row r="1798" spans="1:3">
      <c r="A1798" s="250">
        <v>5071</v>
      </c>
      <c r="B1798" s="74" t="s">
        <v>1751</v>
      </c>
      <c r="C1798" s="74" t="s">
        <v>455</v>
      </c>
    </row>
    <row r="1799" spans="1:3">
      <c r="A1799" s="250">
        <v>5072</v>
      </c>
      <c r="B1799" s="74" t="s">
        <v>1343</v>
      </c>
      <c r="C1799" s="74" t="s">
        <v>455</v>
      </c>
    </row>
    <row r="1800" spans="1:3">
      <c r="A1800" s="250">
        <v>5073</v>
      </c>
      <c r="B1800" s="74" t="s">
        <v>1752</v>
      </c>
      <c r="C1800" s="74" t="s">
        <v>455</v>
      </c>
    </row>
    <row r="1801" spans="1:3">
      <c r="A1801" s="250">
        <v>5074</v>
      </c>
      <c r="B1801" s="74" t="s">
        <v>1753</v>
      </c>
      <c r="C1801" s="74" t="s">
        <v>455</v>
      </c>
    </row>
    <row r="1802" spans="1:3">
      <c r="A1802" s="250">
        <v>5075</v>
      </c>
      <c r="B1802" s="74" t="s">
        <v>1754</v>
      </c>
      <c r="C1802" s="74" t="s">
        <v>455</v>
      </c>
    </row>
    <row r="1803" spans="1:3">
      <c r="A1803" s="250">
        <v>5076</v>
      </c>
      <c r="B1803" s="74" t="s">
        <v>1418</v>
      </c>
      <c r="C1803" s="74" t="s">
        <v>455</v>
      </c>
    </row>
    <row r="1804" spans="1:3">
      <c r="A1804" s="250">
        <v>5077</v>
      </c>
      <c r="B1804" s="74" t="s">
        <v>1755</v>
      </c>
      <c r="C1804" s="74" t="s">
        <v>455</v>
      </c>
    </row>
    <row r="1805" spans="1:3">
      <c r="A1805" s="250">
        <v>5079</v>
      </c>
      <c r="B1805" s="74" t="s">
        <v>1756</v>
      </c>
      <c r="C1805" s="74" t="s">
        <v>455</v>
      </c>
    </row>
    <row r="1806" spans="1:3">
      <c r="A1806" s="250">
        <v>5081</v>
      </c>
      <c r="B1806" s="74" t="s">
        <v>1757</v>
      </c>
      <c r="C1806" s="74" t="s">
        <v>455</v>
      </c>
    </row>
    <row r="1807" spans="1:3">
      <c r="A1807" s="250">
        <v>5083</v>
      </c>
      <c r="B1807" s="74" t="s">
        <v>1758</v>
      </c>
      <c r="C1807" s="74" t="s">
        <v>455</v>
      </c>
    </row>
    <row r="1808" spans="1:3">
      <c r="A1808" s="250">
        <v>5084</v>
      </c>
      <c r="B1808" s="74" t="s">
        <v>1759</v>
      </c>
      <c r="C1808" s="74" t="s">
        <v>455</v>
      </c>
    </row>
    <row r="1809" spans="1:3">
      <c r="A1809" s="250">
        <v>5085</v>
      </c>
      <c r="B1809" s="74" t="s">
        <v>862</v>
      </c>
      <c r="C1809" s="74" t="s">
        <v>455</v>
      </c>
    </row>
    <row r="1810" spans="1:3">
      <c r="A1810" s="250">
        <v>5086</v>
      </c>
      <c r="B1810" s="74" t="s">
        <v>1760</v>
      </c>
      <c r="C1810" s="74" t="s">
        <v>455</v>
      </c>
    </row>
    <row r="1811" spans="1:3">
      <c r="A1811" s="250">
        <v>5088</v>
      </c>
      <c r="B1811" s="74" t="s">
        <v>1761</v>
      </c>
      <c r="C1811" s="74" t="s">
        <v>455</v>
      </c>
    </row>
    <row r="1812" spans="1:3">
      <c r="A1812" s="250">
        <v>5089</v>
      </c>
      <c r="B1812" s="74" t="s">
        <v>669</v>
      </c>
      <c r="C1812" s="74" t="s">
        <v>455</v>
      </c>
    </row>
    <row r="1813" spans="1:3">
      <c r="A1813" s="250">
        <v>5091</v>
      </c>
      <c r="B1813" s="74" t="s">
        <v>1223</v>
      </c>
      <c r="C1813" s="74" t="s">
        <v>455</v>
      </c>
    </row>
    <row r="1814" spans="1:3">
      <c r="A1814" s="250">
        <v>5101</v>
      </c>
      <c r="B1814" s="74" t="s">
        <v>1762</v>
      </c>
      <c r="C1814" s="74" t="s">
        <v>455</v>
      </c>
    </row>
    <row r="1815" spans="1:3">
      <c r="A1815" s="250">
        <v>5141</v>
      </c>
      <c r="B1815" s="74" t="s">
        <v>1763</v>
      </c>
      <c r="C1815" s="74" t="s">
        <v>455</v>
      </c>
    </row>
    <row r="1816" spans="1:3">
      <c r="A1816" s="250">
        <v>5142</v>
      </c>
      <c r="B1816" s="74" t="s">
        <v>1764</v>
      </c>
      <c r="C1816" s="74" t="s">
        <v>455</v>
      </c>
    </row>
    <row r="1817" spans="1:3">
      <c r="A1817" s="250">
        <v>5143</v>
      </c>
      <c r="B1817" s="74" t="s">
        <v>583</v>
      </c>
      <c r="C1817" s="74" t="s">
        <v>455</v>
      </c>
    </row>
    <row r="1818" spans="1:3">
      <c r="A1818" s="250">
        <v>5144</v>
      </c>
      <c r="B1818" s="74" t="s">
        <v>1765</v>
      </c>
      <c r="C1818" s="74" t="s">
        <v>455</v>
      </c>
    </row>
    <row r="1819" spans="1:3">
      <c r="A1819" s="250">
        <v>5146</v>
      </c>
      <c r="B1819" s="74" t="s">
        <v>737</v>
      </c>
      <c r="C1819" s="74" t="s">
        <v>455</v>
      </c>
    </row>
    <row r="1820" spans="1:3">
      <c r="A1820" s="250">
        <v>5148</v>
      </c>
      <c r="B1820" s="74" t="s">
        <v>1162</v>
      </c>
      <c r="C1820" s="74" t="s">
        <v>455</v>
      </c>
    </row>
    <row r="1821" spans="1:3">
      <c r="A1821" s="250">
        <v>5149</v>
      </c>
      <c r="B1821" s="74" t="s">
        <v>604</v>
      </c>
      <c r="C1821" s="74" t="s">
        <v>455</v>
      </c>
    </row>
    <row r="1822" spans="1:3">
      <c r="A1822" s="250">
        <v>5150</v>
      </c>
      <c r="B1822" s="74" t="s">
        <v>1766</v>
      </c>
      <c r="C1822" s="74" t="s">
        <v>455</v>
      </c>
    </row>
    <row r="1823" spans="1:3">
      <c r="A1823" s="250">
        <v>5151</v>
      </c>
      <c r="B1823" s="74" t="s">
        <v>1767</v>
      </c>
      <c r="C1823" s="74" t="s">
        <v>455</v>
      </c>
    </row>
    <row r="1824" spans="1:3">
      <c r="A1824" s="250">
        <v>5152</v>
      </c>
      <c r="B1824" s="74" t="s">
        <v>1470</v>
      </c>
      <c r="C1824" s="74" t="s">
        <v>455</v>
      </c>
    </row>
    <row r="1825" spans="1:3">
      <c r="A1825" s="250">
        <v>5153</v>
      </c>
      <c r="B1825" s="74" t="s">
        <v>1768</v>
      </c>
      <c r="C1825" s="74" t="s">
        <v>455</v>
      </c>
    </row>
    <row r="1826" spans="1:3">
      <c r="A1826" s="250">
        <v>5154</v>
      </c>
      <c r="B1826" s="74" t="s">
        <v>1769</v>
      </c>
      <c r="C1826" s="74" t="s">
        <v>455</v>
      </c>
    </row>
    <row r="1827" spans="1:3">
      <c r="A1827" s="250">
        <v>5155</v>
      </c>
      <c r="B1827" s="74" t="s">
        <v>1770</v>
      </c>
      <c r="C1827" s="74" t="s">
        <v>455</v>
      </c>
    </row>
    <row r="1828" spans="1:3">
      <c r="A1828" s="250">
        <v>5156</v>
      </c>
      <c r="B1828" s="74" t="s">
        <v>634</v>
      </c>
      <c r="C1828" s="74" t="s">
        <v>455</v>
      </c>
    </row>
    <row r="1829" spans="1:3">
      <c r="A1829" s="250">
        <v>5158</v>
      </c>
      <c r="B1829" s="74" t="s">
        <v>708</v>
      </c>
      <c r="C1829" s="74" t="s">
        <v>455</v>
      </c>
    </row>
    <row r="1830" spans="1:3">
      <c r="A1830" s="250">
        <v>5159</v>
      </c>
      <c r="B1830" s="74" t="s">
        <v>1771</v>
      </c>
      <c r="C1830" s="74" t="s">
        <v>455</v>
      </c>
    </row>
    <row r="1831" spans="1:3">
      <c r="A1831" s="250">
        <v>5161</v>
      </c>
      <c r="B1831" s="74" t="s">
        <v>991</v>
      </c>
      <c r="C1831" s="74" t="s">
        <v>455</v>
      </c>
    </row>
    <row r="1832" spans="1:3">
      <c r="A1832" s="250">
        <v>5201</v>
      </c>
      <c r="B1832" s="74" t="s">
        <v>1229</v>
      </c>
      <c r="C1832" s="74" t="s">
        <v>455</v>
      </c>
    </row>
    <row r="1833" spans="1:3">
      <c r="A1833" s="250">
        <v>5250</v>
      </c>
      <c r="B1833" s="74" t="s">
        <v>984</v>
      </c>
      <c r="C1833" s="74" t="s">
        <v>455</v>
      </c>
    </row>
    <row r="1834" spans="1:3">
      <c r="A1834" s="250">
        <v>5251</v>
      </c>
      <c r="B1834" s="74" t="s">
        <v>1772</v>
      </c>
      <c r="C1834" s="74" t="s">
        <v>455</v>
      </c>
    </row>
    <row r="1835" spans="1:3">
      <c r="A1835" s="250">
        <v>5252</v>
      </c>
      <c r="B1835" s="74" t="s">
        <v>1773</v>
      </c>
      <c r="C1835" s="74" t="s">
        <v>455</v>
      </c>
    </row>
    <row r="1836" spans="1:3">
      <c r="A1836" s="250">
        <v>5253</v>
      </c>
      <c r="B1836" s="74" t="s">
        <v>1774</v>
      </c>
      <c r="C1836" s="74" t="s">
        <v>455</v>
      </c>
    </row>
    <row r="1837" spans="1:3">
      <c r="A1837" s="250">
        <v>5254</v>
      </c>
      <c r="B1837" s="74" t="s">
        <v>848</v>
      </c>
      <c r="C1837" s="74" t="s">
        <v>455</v>
      </c>
    </row>
    <row r="1838" spans="1:3">
      <c r="A1838" s="250">
        <v>5255</v>
      </c>
      <c r="B1838" s="74" t="s">
        <v>1775</v>
      </c>
      <c r="C1838" s="74" t="s">
        <v>455</v>
      </c>
    </row>
    <row r="1839" spans="1:3">
      <c r="A1839" s="250">
        <v>5257</v>
      </c>
      <c r="B1839" s="74" t="s">
        <v>1776</v>
      </c>
      <c r="C1839" s="74" t="s">
        <v>455</v>
      </c>
    </row>
    <row r="1840" spans="1:3">
      <c r="A1840" s="250">
        <v>5260</v>
      </c>
      <c r="B1840" s="74" t="s">
        <v>1777</v>
      </c>
      <c r="C1840" s="74" t="s">
        <v>455</v>
      </c>
    </row>
    <row r="1841" spans="1:3">
      <c r="A1841" s="250">
        <v>5261</v>
      </c>
      <c r="B1841" s="74" t="s">
        <v>1405</v>
      </c>
      <c r="C1841" s="74" t="s">
        <v>455</v>
      </c>
    </row>
    <row r="1842" spans="1:3">
      <c r="A1842" s="250">
        <v>5262</v>
      </c>
      <c r="B1842" s="74" t="s">
        <v>1778</v>
      </c>
      <c r="C1842" s="74" t="s">
        <v>455</v>
      </c>
    </row>
    <row r="1843" spans="1:3">
      <c r="A1843" s="250">
        <v>5301</v>
      </c>
      <c r="B1843" s="74" t="s">
        <v>1779</v>
      </c>
      <c r="C1843" s="74" t="s">
        <v>455</v>
      </c>
    </row>
    <row r="1844" spans="1:3">
      <c r="A1844" s="250">
        <v>5302</v>
      </c>
      <c r="B1844" s="74" t="s">
        <v>1779</v>
      </c>
      <c r="C1844" s="74" t="s">
        <v>455</v>
      </c>
    </row>
    <row r="1845" spans="1:3">
      <c r="A1845" s="250">
        <v>5303</v>
      </c>
      <c r="B1845" s="74" t="s">
        <v>1779</v>
      </c>
      <c r="C1845" s="74" t="s">
        <v>455</v>
      </c>
    </row>
    <row r="1846" spans="1:3">
      <c r="A1846" s="250">
        <v>5304</v>
      </c>
      <c r="B1846" s="74" t="s">
        <v>1779</v>
      </c>
      <c r="C1846" s="74" t="s">
        <v>455</v>
      </c>
    </row>
    <row r="1847" spans="1:3">
      <c r="A1847" s="250">
        <v>5340</v>
      </c>
      <c r="B1847" s="74" t="s">
        <v>1780</v>
      </c>
      <c r="C1847" s="74" t="s">
        <v>455</v>
      </c>
    </row>
    <row r="1848" spans="1:3">
      <c r="A1848" s="250">
        <v>5341</v>
      </c>
      <c r="B1848" s="74" t="s">
        <v>1781</v>
      </c>
      <c r="C1848" s="74" t="s">
        <v>455</v>
      </c>
    </row>
    <row r="1849" spans="1:3">
      <c r="A1849" s="250">
        <v>5342</v>
      </c>
      <c r="B1849" s="74" t="s">
        <v>1782</v>
      </c>
      <c r="C1849" s="74" t="s">
        <v>455</v>
      </c>
    </row>
    <row r="1850" spans="1:3">
      <c r="A1850" s="250">
        <v>5343</v>
      </c>
      <c r="B1850" s="74" t="s">
        <v>1783</v>
      </c>
      <c r="C1850" s="74" t="s">
        <v>455</v>
      </c>
    </row>
    <row r="1851" spans="1:3">
      <c r="A1851" s="250">
        <v>5344</v>
      </c>
      <c r="B1851" s="74" t="s">
        <v>1784</v>
      </c>
      <c r="C1851" s="74" t="s">
        <v>455</v>
      </c>
    </row>
    <row r="1852" spans="1:3">
      <c r="A1852" s="250">
        <v>5345</v>
      </c>
      <c r="B1852" s="74" t="s">
        <v>1785</v>
      </c>
      <c r="C1852" s="74" t="s">
        <v>455</v>
      </c>
    </row>
    <row r="1853" spans="1:3">
      <c r="A1853" s="250">
        <v>5346</v>
      </c>
      <c r="B1853" s="74" t="s">
        <v>1786</v>
      </c>
      <c r="C1853" s="74" t="s">
        <v>455</v>
      </c>
    </row>
    <row r="1854" spans="1:3">
      <c r="A1854" s="250">
        <v>5350</v>
      </c>
      <c r="B1854" s="74" t="s">
        <v>1787</v>
      </c>
      <c r="C1854" s="74" t="s">
        <v>455</v>
      </c>
    </row>
    <row r="1855" spans="1:3">
      <c r="A1855" s="250">
        <v>5351</v>
      </c>
      <c r="B1855" s="74" t="s">
        <v>1788</v>
      </c>
      <c r="C1855" s="74" t="s">
        <v>455</v>
      </c>
    </row>
    <row r="1856" spans="1:3">
      <c r="A1856" s="250">
        <v>5352</v>
      </c>
      <c r="B1856" s="74" t="s">
        <v>1789</v>
      </c>
      <c r="C1856" s="74" t="s">
        <v>455</v>
      </c>
    </row>
    <row r="1857" spans="1:3">
      <c r="A1857" s="250">
        <v>5353</v>
      </c>
      <c r="B1857" s="74" t="s">
        <v>1790</v>
      </c>
      <c r="C1857" s="74" t="s">
        <v>455</v>
      </c>
    </row>
    <row r="1858" spans="1:3">
      <c r="A1858" s="250">
        <v>5354</v>
      </c>
      <c r="B1858" s="74" t="s">
        <v>1791</v>
      </c>
      <c r="C1858" s="74" t="s">
        <v>455</v>
      </c>
    </row>
    <row r="1859" spans="1:3">
      <c r="A1859" s="250">
        <v>5355</v>
      </c>
      <c r="B1859" s="74" t="s">
        <v>1792</v>
      </c>
      <c r="C1859" s="74" t="s">
        <v>455</v>
      </c>
    </row>
    <row r="1860" spans="1:3">
      <c r="A1860" s="250">
        <v>5356</v>
      </c>
      <c r="B1860" s="74" t="s">
        <v>1793</v>
      </c>
      <c r="C1860" s="74" t="s">
        <v>455</v>
      </c>
    </row>
    <row r="1861" spans="1:3">
      <c r="A1861" s="250">
        <v>5357</v>
      </c>
      <c r="B1861" s="74" t="s">
        <v>1794</v>
      </c>
      <c r="C1861" s="74" t="s">
        <v>455</v>
      </c>
    </row>
    <row r="1862" spans="1:3">
      <c r="A1862" s="250">
        <v>5358</v>
      </c>
      <c r="B1862" s="74" t="s">
        <v>1795</v>
      </c>
      <c r="C1862" s="74" t="s">
        <v>455</v>
      </c>
    </row>
    <row r="1863" spans="1:3">
      <c r="A1863" s="250">
        <v>5359</v>
      </c>
      <c r="B1863" s="74" t="s">
        <v>1796</v>
      </c>
      <c r="C1863" s="74" t="s">
        <v>455</v>
      </c>
    </row>
    <row r="1864" spans="1:3">
      <c r="A1864" s="250">
        <v>5360</v>
      </c>
      <c r="B1864" s="74" t="s">
        <v>1797</v>
      </c>
      <c r="C1864" s="74" t="s">
        <v>455</v>
      </c>
    </row>
    <row r="1865" spans="1:3">
      <c r="A1865" s="250">
        <v>5361</v>
      </c>
      <c r="B1865" s="74" t="s">
        <v>1798</v>
      </c>
      <c r="C1865" s="74" t="s">
        <v>455</v>
      </c>
    </row>
    <row r="1866" spans="1:3">
      <c r="A1866" s="250">
        <v>5362</v>
      </c>
      <c r="B1866" s="74" t="s">
        <v>1799</v>
      </c>
      <c r="C1866" s="74" t="s">
        <v>455</v>
      </c>
    </row>
    <row r="1867" spans="1:3">
      <c r="A1867" s="250">
        <v>5363</v>
      </c>
      <c r="B1867" s="74" t="s">
        <v>831</v>
      </c>
      <c r="C1867" s="74" t="s">
        <v>455</v>
      </c>
    </row>
    <row r="1868" spans="1:3">
      <c r="A1868" s="250">
        <v>5401</v>
      </c>
      <c r="B1868" s="74" t="s">
        <v>806</v>
      </c>
      <c r="C1868" s="74" t="s">
        <v>455</v>
      </c>
    </row>
    <row r="1869" spans="1:3">
      <c r="A1869" s="250">
        <v>5402</v>
      </c>
      <c r="B1869" s="74" t="s">
        <v>806</v>
      </c>
      <c r="C1869" s="74" t="s">
        <v>455</v>
      </c>
    </row>
    <row r="1870" spans="1:3">
      <c r="A1870" s="250">
        <v>5403</v>
      </c>
      <c r="B1870" s="74" t="s">
        <v>1800</v>
      </c>
      <c r="C1870" s="74" t="s">
        <v>455</v>
      </c>
    </row>
    <row r="1871" spans="1:3">
      <c r="A1871" s="250">
        <v>5404</v>
      </c>
      <c r="B1871" s="74" t="s">
        <v>1801</v>
      </c>
      <c r="C1871" s="74" t="s">
        <v>455</v>
      </c>
    </row>
    <row r="1872" spans="1:3">
      <c r="A1872" s="250">
        <v>5405</v>
      </c>
      <c r="B1872" s="74" t="s">
        <v>806</v>
      </c>
      <c r="C1872" s="74" t="s">
        <v>455</v>
      </c>
    </row>
    <row r="1873" spans="1:3">
      <c r="A1873" s="250">
        <v>5406</v>
      </c>
      <c r="B1873" s="74" t="s">
        <v>806</v>
      </c>
      <c r="C1873" s="74" t="s">
        <v>455</v>
      </c>
    </row>
    <row r="1874" spans="1:3">
      <c r="A1874" s="250">
        <v>5407</v>
      </c>
      <c r="B1874" s="74" t="s">
        <v>1800</v>
      </c>
      <c r="C1874" s="74" t="s">
        <v>455</v>
      </c>
    </row>
    <row r="1875" spans="1:3">
      <c r="A1875" s="250">
        <v>5408</v>
      </c>
      <c r="B1875" s="74" t="s">
        <v>806</v>
      </c>
      <c r="C1875" s="74" t="s">
        <v>455</v>
      </c>
    </row>
    <row r="1876" spans="1:3">
      <c r="A1876" s="250">
        <v>5439</v>
      </c>
      <c r="B1876" s="74" t="s">
        <v>1802</v>
      </c>
      <c r="C1876" s="74" t="s">
        <v>455</v>
      </c>
    </row>
    <row r="1877" spans="1:3">
      <c r="A1877" s="250">
        <v>5440</v>
      </c>
      <c r="B1877" s="74" t="s">
        <v>1803</v>
      </c>
      <c r="C1877" s="74" t="s">
        <v>455</v>
      </c>
    </row>
    <row r="1878" spans="1:3">
      <c r="A1878" s="250">
        <v>5441</v>
      </c>
      <c r="B1878" s="74" t="s">
        <v>1804</v>
      </c>
      <c r="C1878" s="74" t="s">
        <v>455</v>
      </c>
    </row>
    <row r="1879" spans="1:3">
      <c r="A1879" s="250">
        <v>5442</v>
      </c>
      <c r="B1879" s="74" t="s">
        <v>1805</v>
      </c>
      <c r="C1879" s="74" t="s">
        <v>455</v>
      </c>
    </row>
    <row r="1880" spans="1:3">
      <c r="A1880" s="250">
        <v>5443</v>
      </c>
      <c r="B1880" s="74" t="s">
        <v>1098</v>
      </c>
      <c r="C1880" s="74" t="s">
        <v>455</v>
      </c>
    </row>
    <row r="1881" spans="1:3">
      <c r="A1881" s="250">
        <v>5444</v>
      </c>
      <c r="B1881" s="74" t="s">
        <v>914</v>
      </c>
      <c r="C1881" s="74" t="s">
        <v>455</v>
      </c>
    </row>
    <row r="1882" spans="1:3">
      <c r="A1882" s="250">
        <v>5445</v>
      </c>
      <c r="B1882" s="74" t="s">
        <v>1806</v>
      </c>
      <c r="C1882" s="74" t="s">
        <v>455</v>
      </c>
    </row>
    <row r="1883" spans="1:3">
      <c r="A1883" s="250">
        <v>5446</v>
      </c>
      <c r="B1883" s="74" t="s">
        <v>1802</v>
      </c>
      <c r="C1883" s="74" t="s">
        <v>455</v>
      </c>
    </row>
    <row r="1884" spans="1:3">
      <c r="A1884" s="250">
        <v>5447</v>
      </c>
      <c r="B1884" s="74" t="s">
        <v>1807</v>
      </c>
      <c r="C1884" s="74" t="s">
        <v>455</v>
      </c>
    </row>
    <row r="1885" spans="1:3">
      <c r="A1885" s="250">
        <v>5448</v>
      </c>
      <c r="B1885" s="74" t="s">
        <v>1808</v>
      </c>
      <c r="C1885" s="74" t="s">
        <v>455</v>
      </c>
    </row>
    <row r="1886" spans="1:3">
      <c r="A1886" s="250">
        <v>5449</v>
      </c>
      <c r="B1886" s="74" t="s">
        <v>1802</v>
      </c>
      <c r="C1886" s="74" t="s">
        <v>455</v>
      </c>
    </row>
    <row r="1887" spans="1:3">
      <c r="A1887" s="250">
        <v>5450</v>
      </c>
      <c r="B1887" s="74" t="s">
        <v>1809</v>
      </c>
      <c r="C1887" s="74" t="s">
        <v>455</v>
      </c>
    </row>
    <row r="1888" spans="1:3">
      <c r="A1888" s="250">
        <v>5451</v>
      </c>
      <c r="B1888" s="74" t="s">
        <v>842</v>
      </c>
      <c r="C1888" s="74" t="s">
        <v>455</v>
      </c>
    </row>
    <row r="1889" spans="1:3">
      <c r="A1889" s="250">
        <v>5452</v>
      </c>
      <c r="B1889" s="74" t="s">
        <v>1810</v>
      </c>
      <c r="C1889" s="74" t="s">
        <v>455</v>
      </c>
    </row>
    <row r="1890" spans="1:3">
      <c r="A1890" s="250">
        <v>5453</v>
      </c>
      <c r="B1890" s="74" t="s">
        <v>1810</v>
      </c>
      <c r="C1890" s="74" t="s">
        <v>455</v>
      </c>
    </row>
    <row r="1891" spans="1:3">
      <c r="A1891" s="250">
        <v>5454</v>
      </c>
      <c r="B1891" s="74" t="s">
        <v>1811</v>
      </c>
      <c r="C1891" s="74" t="s">
        <v>455</v>
      </c>
    </row>
    <row r="1892" spans="1:3">
      <c r="A1892" s="250">
        <v>5455</v>
      </c>
      <c r="B1892" s="74" t="s">
        <v>1694</v>
      </c>
      <c r="C1892" s="74" t="s">
        <v>455</v>
      </c>
    </row>
    <row r="1893" spans="1:3">
      <c r="A1893" s="250">
        <v>5456</v>
      </c>
      <c r="B1893" s="74" t="s">
        <v>1812</v>
      </c>
      <c r="C1893" s="74" t="s">
        <v>455</v>
      </c>
    </row>
    <row r="1894" spans="1:3">
      <c r="A1894" s="250">
        <v>5457</v>
      </c>
      <c r="B1894" s="74" t="s">
        <v>873</v>
      </c>
      <c r="C1894" s="74" t="s">
        <v>455</v>
      </c>
    </row>
    <row r="1895" spans="1:3">
      <c r="A1895" s="250">
        <v>5458</v>
      </c>
      <c r="B1895" s="74" t="s">
        <v>1633</v>
      </c>
      <c r="C1895" s="74" t="s">
        <v>455</v>
      </c>
    </row>
    <row r="1896" spans="1:3">
      <c r="A1896" s="250">
        <v>5459</v>
      </c>
      <c r="B1896" s="74" t="s">
        <v>1813</v>
      </c>
      <c r="C1896" s="74" t="s">
        <v>455</v>
      </c>
    </row>
    <row r="1897" spans="1:3">
      <c r="A1897" s="250">
        <v>5460</v>
      </c>
      <c r="B1897" s="74" t="s">
        <v>1814</v>
      </c>
      <c r="C1897" s="74" t="s">
        <v>455</v>
      </c>
    </row>
    <row r="1898" spans="1:3">
      <c r="A1898" s="250">
        <v>5461</v>
      </c>
      <c r="B1898" s="74" t="s">
        <v>1815</v>
      </c>
      <c r="C1898" s="74" t="s">
        <v>455</v>
      </c>
    </row>
    <row r="1899" spans="1:3">
      <c r="A1899" s="250">
        <v>5462</v>
      </c>
      <c r="B1899" s="74" t="s">
        <v>601</v>
      </c>
      <c r="C1899" s="74" t="s">
        <v>455</v>
      </c>
    </row>
    <row r="1900" spans="1:3">
      <c r="A1900" s="250">
        <v>5463</v>
      </c>
      <c r="B1900" s="74" t="s">
        <v>1816</v>
      </c>
      <c r="C1900" s="74" t="s">
        <v>455</v>
      </c>
    </row>
    <row r="1901" spans="1:3">
      <c r="A1901" s="250">
        <v>5464</v>
      </c>
      <c r="B1901" s="74" t="s">
        <v>1817</v>
      </c>
      <c r="C1901" s="74" t="s">
        <v>455</v>
      </c>
    </row>
    <row r="1902" spans="1:3">
      <c r="A1902" s="250">
        <v>5465</v>
      </c>
      <c r="B1902" s="74" t="s">
        <v>1818</v>
      </c>
      <c r="C1902" s="74" t="s">
        <v>455</v>
      </c>
    </row>
    <row r="1903" spans="1:3">
      <c r="A1903" s="250">
        <v>5466</v>
      </c>
      <c r="B1903" s="74" t="s">
        <v>1819</v>
      </c>
      <c r="C1903" s="74" t="s">
        <v>455</v>
      </c>
    </row>
    <row r="1904" spans="1:3">
      <c r="A1904" s="250">
        <v>5468</v>
      </c>
      <c r="B1904" s="74" t="s">
        <v>927</v>
      </c>
      <c r="C1904" s="74" t="s">
        <v>455</v>
      </c>
    </row>
    <row r="1905" spans="1:3">
      <c r="A1905" s="250">
        <v>5469</v>
      </c>
      <c r="B1905" s="74" t="s">
        <v>1820</v>
      </c>
      <c r="C1905" s="74" t="s">
        <v>455</v>
      </c>
    </row>
    <row r="1906" spans="1:3">
      <c r="A1906" s="250">
        <v>5470</v>
      </c>
      <c r="B1906" s="74" t="s">
        <v>1821</v>
      </c>
      <c r="C1906" s="74" t="s">
        <v>455</v>
      </c>
    </row>
    <row r="1907" spans="1:3">
      <c r="A1907" s="250">
        <v>5471</v>
      </c>
      <c r="B1907" s="74" t="s">
        <v>1822</v>
      </c>
      <c r="C1907" s="74" t="s">
        <v>455</v>
      </c>
    </row>
    <row r="1908" spans="1:3">
      <c r="A1908" s="250">
        <v>5472</v>
      </c>
      <c r="B1908" s="74" t="s">
        <v>1823</v>
      </c>
      <c r="C1908" s="74" t="s">
        <v>455</v>
      </c>
    </row>
    <row r="1909" spans="1:3">
      <c r="A1909" s="250">
        <v>5473</v>
      </c>
      <c r="B1909" s="74" t="s">
        <v>1824</v>
      </c>
      <c r="C1909" s="74" t="s">
        <v>455</v>
      </c>
    </row>
    <row r="1910" spans="1:3">
      <c r="A1910" s="250">
        <v>5474</v>
      </c>
      <c r="B1910" s="74" t="s">
        <v>1825</v>
      </c>
      <c r="C1910" s="74" t="s">
        <v>455</v>
      </c>
    </row>
    <row r="1911" spans="1:3">
      <c r="A1911" s="250">
        <v>5476</v>
      </c>
      <c r="B1911" s="74" t="s">
        <v>1826</v>
      </c>
      <c r="C1911" s="74" t="s">
        <v>455</v>
      </c>
    </row>
    <row r="1912" spans="1:3">
      <c r="A1912" s="250">
        <v>5477</v>
      </c>
      <c r="B1912" s="74" t="s">
        <v>658</v>
      </c>
      <c r="C1912" s="74" t="s">
        <v>455</v>
      </c>
    </row>
    <row r="1913" spans="1:3">
      <c r="A1913" s="250">
        <v>5478</v>
      </c>
      <c r="B1913" s="74" t="s">
        <v>1713</v>
      </c>
      <c r="C1913" s="74" t="s">
        <v>455</v>
      </c>
    </row>
    <row r="1914" spans="1:3">
      <c r="A1914" s="250">
        <v>5479</v>
      </c>
      <c r="B1914" s="74" t="s">
        <v>1713</v>
      </c>
      <c r="C1914" s="74" t="s">
        <v>455</v>
      </c>
    </row>
    <row r="1915" spans="1:3">
      <c r="A1915" s="250">
        <v>5481</v>
      </c>
      <c r="B1915" s="74" t="s">
        <v>1827</v>
      </c>
      <c r="C1915" s="74" t="s">
        <v>455</v>
      </c>
    </row>
    <row r="1916" spans="1:3">
      <c r="A1916" s="250">
        <v>5482</v>
      </c>
      <c r="B1916" s="74" t="s">
        <v>1828</v>
      </c>
      <c r="C1916" s="74" t="s">
        <v>455</v>
      </c>
    </row>
    <row r="1917" spans="1:3">
      <c r="A1917" s="250">
        <v>5483</v>
      </c>
      <c r="B1917" s="74" t="s">
        <v>1829</v>
      </c>
      <c r="C1917" s="74" t="s">
        <v>455</v>
      </c>
    </row>
    <row r="1918" spans="1:3">
      <c r="A1918" s="250">
        <v>5485</v>
      </c>
      <c r="B1918" s="74" t="s">
        <v>1830</v>
      </c>
      <c r="C1918" s="74" t="s">
        <v>455</v>
      </c>
    </row>
    <row r="1919" spans="1:3">
      <c r="A1919" s="250">
        <v>5486</v>
      </c>
      <c r="B1919" s="74" t="s">
        <v>1831</v>
      </c>
      <c r="C1919" s="74" t="s">
        <v>455</v>
      </c>
    </row>
    <row r="1920" spans="1:3">
      <c r="A1920" s="250">
        <v>5487</v>
      </c>
      <c r="B1920" s="74" t="s">
        <v>1832</v>
      </c>
      <c r="C1920" s="74" t="s">
        <v>455</v>
      </c>
    </row>
    <row r="1921" spans="1:3">
      <c r="A1921" s="250">
        <v>5488</v>
      </c>
      <c r="B1921" s="74" t="s">
        <v>1833</v>
      </c>
      <c r="C1921" s="74" t="s">
        <v>455</v>
      </c>
    </row>
    <row r="1922" spans="1:3">
      <c r="A1922" s="250">
        <v>5489</v>
      </c>
      <c r="B1922" s="74" t="s">
        <v>1834</v>
      </c>
      <c r="C1922" s="74" t="s">
        <v>455</v>
      </c>
    </row>
    <row r="1923" spans="1:3">
      <c r="A1923" s="250">
        <v>5490</v>
      </c>
      <c r="B1923" s="74" t="s">
        <v>1835</v>
      </c>
      <c r="C1923" s="74" t="s">
        <v>455</v>
      </c>
    </row>
    <row r="1924" spans="1:3">
      <c r="A1924" s="250">
        <v>5491</v>
      </c>
      <c r="B1924" s="74" t="s">
        <v>1836</v>
      </c>
      <c r="C1924" s="74" t="s">
        <v>455</v>
      </c>
    </row>
    <row r="1925" spans="1:3">
      <c r="A1925" s="250">
        <v>5492</v>
      </c>
      <c r="B1925" s="74" t="s">
        <v>1676</v>
      </c>
      <c r="C1925" s="74" t="s">
        <v>455</v>
      </c>
    </row>
    <row r="1926" spans="1:3">
      <c r="A1926" s="250">
        <v>5494</v>
      </c>
      <c r="B1926" s="74" t="s">
        <v>830</v>
      </c>
      <c r="C1926" s="74" t="s">
        <v>455</v>
      </c>
    </row>
    <row r="1927" spans="1:3">
      <c r="A1927" s="250">
        <v>5495</v>
      </c>
      <c r="B1927" s="74" t="s">
        <v>1837</v>
      </c>
      <c r="C1927" s="74" t="s">
        <v>455</v>
      </c>
    </row>
    <row r="1928" spans="1:3">
      <c r="A1928" s="250">
        <v>5501</v>
      </c>
      <c r="B1928" s="74" t="s">
        <v>807</v>
      </c>
      <c r="C1928" s="74" t="s">
        <v>432</v>
      </c>
    </row>
    <row r="1929" spans="1:3">
      <c r="A1929" s="250">
        <v>5544</v>
      </c>
      <c r="B1929" s="74" t="s">
        <v>807</v>
      </c>
      <c r="C1929" s="74" t="s">
        <v>432</v>
      </c>
    </row>
    <row r="1930" spans="1:3">
      <c r="A1930" s="250">
        <v>5601</v>
      </c>
      <c r="B1930" s="74" t="s">
        <v>1838</v>
      </c>
      <c r="C1930" s="74" t="s">
        <v>455</v>
      </c>
    </row>
    <row r="1931" spans="1:3">
      <c r="A1931" s="250">
        <v>5602</v>
      </c>
      <c r="B1931" s="74" t="s">
        <v>1838</v>
      </c>
      <c r="C1931" s="74" t="s">
        <v>455</v>
      </c>
    </row>
    <row r="1932" spans="1:3">
      <c r="A1932" s="250">
        <v>5603</v>
      </c>
      <c r="B1932" s="74" t="s">
        <v>1838</v>
      </c>
      <c r="C1932" s="74" t="s">
        <v>455</v>
      </c>
    </row>
    <row r="1933" spans="1:3">
      <c r="A1933" s="250">
        <v>5604</v>
      </c>
      <c r="B1933" s="74" t="s">
        <v>1838</v>
      </c>
      <c r="C1933" s="74" t="s">
        <v>455</v>
      </c>
    </row>
    <row r="1934" spans="1:3">
      <c r="A1934" s="250">
        <v>5609</v>
      </c>
      <c r="B1934" s="74" t="s">
        <v>1838</v>
      </c>
      <c r="C1934" s="74" t="s">
        <v>455</v>
      </c>
    </row>
    <row r="1935" spans="1:3">
      <c r="A1935" s="250">
        <v>5620</v>
      </c>
      <c r="B1935" s="74" t="s">
        <v>1838</v>
      </c>
      <c r="C1935" s="74" t="s">
        <v>455</v>
      </c>
    </row>
    <row r="1936" spans="1:3">
      <c r="A1936" s="250">
        <v>5633</v>
      </c>
      <c r="B1936" s="74" t="s">
        <v>1838</v>
      </c>
      <c r="C1936" s="74" t="s">
        <v>455</v>
      </c>
    </row>
    <row r="1937" spans="1:3">
      <c r="A1937" s="250">
        <v>5640</v>
      </c>
      <c r="B1937" s="74" t="s">
        <v>1839</v>
      </c>
      <c r="C1937" s="74" t="s">
        <v>455</v>
      </c>
    </row>
    <row r="1938" spans="1:3">
      <c r="A1938" s="250">
        <v>5641</v>
      </c>
      <c r="B1938" s="74" t="s">
        <v>578</v>
      </c>
      <c r="C1938" s="74" t="s">
        <v>455</v>
      </c>
    </row>
    <row r="1939" spans="1:3">
      <c r="A1939" s="250">
        <v>5647</v>
      </c>
      <c r="B1939" s="74" t="s">
        <v>1840</v>
      </c>
      <c r="C1939" s="74" t="s">
        <v>455</v>
      </c>
    </row>
    <row r="1940" spans="1:3">
      <c r="A1940" s="250">
        <v>5648</v>
      </c>
      <c r="B1940" s="74" t="s">
        <v>1573</v>
      </c>
      <c r="C1940" s="74" t="s">
        <v>455</v>
      </c>
    </row>
    <row r="1941" spans="1:3">
      <c r="A1941" s="250">
        <v>5649</v>
      </c>
      <c r="B1941" s="74" t="s">
        <v>1841</v>
      </c>
      <c r="C1941" s="74" t="s">
        <v>455</v>
      </c>
    </row>
    <row r="1942" spans="1:3">
      <c r="A1942" s="250">
        <v>5650</v>
      </c>
      <c r="B1942" s="74" t="s">
        <v>1842</v>
      </c>
      <c r="C1942" s="74" t="s">
        <v>455</v>
      </c>
    </row>
    <row r="1943" spans="1:3">
      <c r="A1943" s="250">
        <v>5651</v>
      </c>
      <c r="B1943" s="74" t="s">
        <v>1843</v>
      </c>
      <c r="C1943" s="74" t="s">
        <v>455</v>
      </c>
    </row>
    <row r="1944" spans="1:3">
      <c r="A1944" s="250">
        <v>5652</v>
      </c>
      <c r="B1944" s="74" t="s">
        <v>1844</v>
      </c>
      <c r="C1944" s="74" t="s">
        <v>455</v>
      </c>
    </row>
    <row r="1945" spans="1:3">
      <c r="A1945" s="250">
        <v>5653</v>
      </c>
      <c r="B1945" s="74" t="s">
        <v>1845</v>
      </c>
      <c r="C1945" s="74" t="s">
        <v>455</v>
      </c>
    </row>
    <row r="1946" spans="1:3">
      <c r="A1946" s="250">
        <v>5654</v>
      </c>
      <c r="B1946" s="74" t="s">
        <v>1846</v>
      </c>
      <c r="C1946" s="74" t="s">
        <v>455</v>
      </c>
    </row>
    <row r="1947" spans="1:3">
      <c r="A1947" s="250">
        <v>5655</v>
      </c>
      <c r="B1947" s="74" t="s">
        <v>912</v>
      </c>
      <c r="C1947" s="74" t="s">
        <v>455</v>
      </c>
    </row>
    <row r="1948" spans="1:3">
      <c r="A1948" s="250">
        <v>5656</v>
      </c>
      <c r="B1948" s="74" t="s">
        <v>1847</v>
      </c>
      <c r="C1948" s="74" t="s">
        <v>455</v>
      </c>
    </row>
    <row r="1949" spans="1:3">
      <c r="A1949" s="250">
        <v>5657</v>
      </c>
      <c r="B1949" s="74" t="s">
        <v>1848</v>
      </c>
      <c r="C1949" s="74" t="s">
        <v>455</v>
      </c>
    </row>
    <row r="1950" spans="1:3">
      <c r="A1950" s="250">
        <v>5658</v>
      </c>
      <c r="B1950" s="74" t="s">
        <v>880</v>
      </c>
      <c r="C1950" s="74" t="s">
        <v>455</v>
      </c>
    </row>
    <row r="1951" spans="1:3">
      <c r="A1951" s="250">
        <v>5660</v>
      </c>
      <c r="B1951" s="74" t="s">
        <v>1849</v>
      </c>
      <c r="C1951" s="74" t="s">
        <v>455</v>
      </c>
    </row>
    <row r="1952" spans="1:3">
      <c r="A1952" s="250">
        <v>5661</v>
      </c>
      <c r="B1952" s="74" t="s">
        <v>1850</v>
      </c>
      <c r="C1952" s="74" t="s">
        <v>455</v>
      </c>
    </row>
    <row r="1953" spans="1:3">
      <c r="A1953" s="250">
        <v>5662</v>
      </c>
      <c r="B1953" s="74" t="s">
        <v>1851</v>
      </c>
      <c r="C1953" s="74" t="s">
        <v>455</v>
      </c>
    </row>
    <row r="1954" spans="1:3">
      <c r="A1954" s="250">
        <v>5663</v>
      </c>
      <c r="B1954" s="74" t="s">
        <v>688</v>
      </c>
      <c r="C1954" s="74" t="s">
        <v>455</v>
      </c>
    </row>
    <row r="1955" spans="1:3">
      <c r="A1955" s="250">
        <v>5664</v>
      </c>
      <c r="B1955" s="74" t="s">
        <v>1852</v>
      </c>
      <c r="C1955" s="74" t="s">
        <v>455</v>
      </c>
    </row>
    <row r="1956" spans="1:3">
      <c r="A1956" s="250">
        <v>5665</v>
      </c>
      <c r="B1956" s="74" t="s">
        <v>1853</v>
      </c>
      <c r="C1956" s="74" t="s">
        <v>455</v>
      </c>
    </row>
    <row r="1957" spans="1:3">
      <c r="A1957" s="250">
        <v>5666</v>
      </c>
      <c r="B1957" s="74" t="s">
        <v>1854</v>
      </c>
      <c r="C1957" s="74" t="s">
        <v>455</v>
      </c>
    </row>
    <row r="1958" spans="1:3">
      <c r="A1958" s="250">
        <v>5667</v>
      </c>
      <c r="B1958" s="74" t="s">
        <v>611</v>
      </c>
      <c r="C1958" s="74" t="s">
        <v>455</v>
      </c>
    </row>
    <row r="1959" spans="1:3">
      <c r="A1959" s="250">
        <v>5669</v>
      </c>
      <c r="B1959" s="74" t="s">
        <v>901</v>
      </c>
      <c r="C1959" s="74" t="s">
        <v>455</v>
      </c>
    </row>
    <row r="1960" spans="1:3">
      <c r="A1960" s="250">
        <v>5670</v>
      </c>
      <c r="B1960" s="74" t="s">
        <v>615</v>
      </c>
      <c r="C1960" s="74" t="s">
        <v>455</v>
      </c>
    </row>
    <row r="1961" spans="1:3">
      <c r="A1961" s="250">
        <v>5671</v>
      </c>
      <c r="B1961" s="74" t="s">
        <v>1855</v>
      </c>
      <c r="C1961" s="74" t="s">
        <v>455</v>
      </c>
    </row>
    <row r="1962" spans="1:3">
      <c r="A1962" s="250">
        <v>5672</v>
      </c>
      <c r="B1962" s="74" t="s">
        <v>1856</v>
      </c>
      <c r="C1962" s="74" t="s">
        <v>455</v>
      </c>
    </row>
    <row r="1963" spans="1:3">
      <c r="A1963" s="250">
        <v>5673</v>
      </c>
      <c r="B1963" s="74" t="s">
        <v>1857</v>
      </c>
      <c r="C1963" s="74" t="s">
        <v>455</v>
      </c>
    </row>
    <row r="1964" spans="1:3">
      <c r="A1964" s="250">
        <v>5674</v>
      </c>
      <c r="B1964" s="74" t="s">
        <v>622</v>
      </c>
      <c r="C1964" s="74" t="s">
        <v>455</v>
      </c>
    </row>
    <row r="1965" spans="1:3">
      <c r="A1965" s="250">
        <v>5675</v>
      </c>
      <c r="B1965" s="74" t="s">
        <v>1215</v>
      </c>
      <c r="C1965" s="74" t="s">
        <v>455</v>
      </c>
    </row>
    <row r="1966" spans="1:3">
      <c r="A1966" s="250">
        <v>5676</v>
      </c>
      <c r="B1966" s="74" t="s">
        <v>1855</v>
      </c>
      <c r="C1966" s="74" t="s">
        <v>455</v>
      </c>
    </row>
    <row r="1967" spans="1:3">
      <c r="A1967" s="250">
        <v>5677</v>
      </c>
      <c r="B1967" s="74" t="s">
        <v>1858</v>
      </c>
      <c r="C1967" s="74" t="s">
        <v>455</v>
      </c>
    </row>
    <row r="1968" spans="1:3">
      <c r="A1968" s="250">
        <v>5678</v>
      </c>
      <c r="B1968" s="74" t="s">
        <v>1859</v>
      </c>
      <c r="C1968" s="74" t="s">
        <v>455</v>
      </c>
    </row>
    <row r="1969" spans="1:3">
      <c r="A1969" s="250">
        <v>5679</v>
      </c>
      <c r="B1969" s="74" t="s">
        <v>668</v>
      </c>
      <c r="C1969" s="74" t="s">
        <v>455</v>
      </c>
    </row>
    <row r="1970" spans="1:3">
      <c r="A1970" s="250">
        <v>5680</v>
      </c>
      <c r="B1970" s="74" t="s">
        <v>1860</v>
      </c>
      <c r="C1970" s="74" t="s">
        <v>455</v>
      </c>
    </row>
    <row r="1971" spans="1:3">
      <c r="A1971" s="250">
        <v>5681</v>
      </c>
      <c r="B1971" s="74" t="s">
        <v>1861</v>
      </c>
      <c r="C1971" s="74" t="s">
        <v>455</v>
      </c>
    </row>
    <row r="1972" spans="1:3">
      <c r="A1972" s="250">
        <v>5682</v>
      </c>
      <c r="B1972" s="74" t="s">
        <v>775</v>
      </c>
      <c r="C1972" s="74" t="s">
        <v>455</v>
      </c>
    </row>
    <row r="1973" spans="1:3">
      <c r="A1973" s="250">
        <v>5701</v>
      </c>
      <c r="B1973" s="74" t="s">
        <v>757</v>
      </c>
      <c r="C1973" s="74" t="s">
        <v>455</v>
      </c>
    </row>
    <row r="1974" spans="1:3">
      <c r="A1974" s="250">
        <v>5702</v>
      </c>
      <c r="B1974" s="74" t="s">
        <v>757</v>
      </c>
      <c r="C1974" s="74" t="s">
        <v>455</v>
      </c>
    </row>
    <row r="1975" spans="1:3">
      <c r="A1975" s="250">
        <v>5730</v>
      </c>
      <c r="B1975" s="74" t="s">
        <v>986</v>
      </c>
      <c r="C1975" s="74" t="s">
        <v>455</v>
      </c>
    </row>
    <row r="1976" spans="1:3">
      <c r="A1976" s="250">
        <v>5731</v>
      </c>
      <c r="B1976" s="74" t="s">
        <v>1862</v>
      </c>
      <c r="C1976" s="74" t="s">
        <v>455</v>
      </c>
    </row>
    <row r="1977" spans="1:3">
      <c r="A1977" s="250">
        <v>5732</v>
      </c>
      <c r="B1977" s="74" t="s">
        <v>1863</v>
      </c>
      <c r="C1977" s="74" t="s">
        <v>455</v>
      </c>
    </row>
    <row r="1978" spans="1:3">
      <c r="A1978" s="250">
        <v>5733</v>
      </c>
      <c r="B1978" s="74" t="s">
        <v>1864</v>
      </c>
      <c r="C1978" s="74" t="s">
        <v>455</v>
      </c>
    </row>
    <row r="1979" spans="1:3">
      <c r="A1979" s="250">
        <v>5734</v>
      </c>
      <c r="B1979" s="74" t="s">
        <v>1865</v>
      </c>
      <c r="C1979" s="74" t="s">
        <v>455</v>
      </c>
    </row>
    <row r="1980" spans="1:3">
      <c r="A1980" s="250">
        <v>5735</v>
      </c>
      <c r="B1980" s="74" t="s">
        <v>1866</v>
      </c>
      <c r="C1980" s="74" t="s">
        <v>455</v>
      </c>
    </row>
    <row r="1981" spans="1:3">
      <c r="A1981" s="250">
        <v>5736</v>
      </c>
      <c r="B1981" s="74" t="s">
        <v>1867</v>
      </c>
      <c r="C1981" s="74" t="s">
        <v>455</v>
      </c>
    </row>
    <row r="1982" spans="1:3">
      <c r="A1982" s="250">
        <v>5737</v>
      </c>
      <c r="B1982" s="74" t="s">
        <v>1868</v>
      </c>
      <c r="C1982" s="74" t="s">
        <v>455</v>
      </c>
    </row>
    <row r="1983" spans="1:3">
      <c r="A1983" s="250">
        <v>5738</v>
      </c>
      <c r="B1983" s="74" t="s">
        <v>1869</v>
      </c>
      <c r="C1983" s="74" t="s">
        <v>455</v>
      </c>
    </row>
    <row r="1984" spans="1:3">
      <c r="A1984" s="250">
        <v>5739</v>
      </c>
      <c r="B1984" s="74" t="s">
        <v>1870</v>
      </c>
      <c r="C1984" s="74" t="s">
        <v>455</v>
      </c>
    </row>
    <row r="1985" spans="1:3">
      <c r="A1985" s="250">
        <v>5740</v>
      </c>
      <c r="B1985" s="74" t="s">
        <v>1871</v>
      </c>
      <c r="C1985" s="74" t="s">
        <v>455</v>
      </c>
    </row>
    <row r="1986" spans="1:3">
      <c r="A1986" s="250">
        <v>5741</v>
      </c>
      <c r="B1986" s="74" t="s">
        <v>1872</v>
      </c>
      <c r="C1986" s="74" t="s">
        <v>455</v>
      </c>
    </row>
    <row r="1987" spans="1:3">
      <c r="A1987" s="250">
        <v>5742</v>
      </c>
      <c r="B1987" s="74" t="s">
        <v>1873</v>
      </c>
      <c r="C1987" s="74" t="s">
        <v>455</v>
      </c>
    </row>
    <row r="1988" spans="1:3">
      <c r="A1988" s="250">
        <v>5743</v>
      </c>
      <c r="B1988" s="74" t="s">
        <v>1874</v>
      </c>
      <c r="C1988" s="74" t="s">
        <v>455</v>
      </c>
    </row>
    <row r="1989" spans="1:3">
      <c r="A1989" s="250">
        <v>5744</v>
      </c>
      <c r="B1989" s="74" t="s">
        <v>608</v>
      </c>
      <c r="C1989" s="74" t="s">
        <v>455</v>
      </c>
    </row>
    <row r="1990" spans="1:3">
      <c r="A1990" s="250">
        <v>5745</v>
      </c>
      <c r="B1990" s="74" t="s">
        <v>1875</v>
      </c>
      <c r="C1990" s="74" t="s">
        <v>455</v>
      </c>
    </row>
    <row r="1991" spans="1:3">
      <c r="A1991" s="250">
        <v>5746</v>
      </c>
      <c r="B1991" s="74" t="s">
        <v>1876</v>
      </c>
      <c r="C1991" s="74" t="s">
        <v>455</v>
      </c>
    </row>
    <row r="1992" spans="1:3">
      <c r="A1992" s="250">
        <v>5747</v>
      </c>
      <c r="B1992" s="74" t="s">
        <v>594</v>
      </c>
      <c r="C1992" s="74" t="s">
        <v>455</v>
      </c>
    </row>
    <row r="1993" spans="1:3">
      <c r="A1993" s="250">
        <v>5748</v>
      </c>
      <c r="B1993" s="74" t="s">
        <v>1235</v>
      </c>
      <c r="C1993" s="74" t="s">
        <v>455</v>
      </c>
    </row>
    <row r="1994" spans="1:3">
      <c r="A1994" s="250">
        <v>5750</v>
      </c>
      <c r="B1994" s="74" t="s">
        <v>1877</v>
      </c>
      <c r="C1994" s="74" t="s">
        <v>455</v>
      </c>
    </row>
    <row r="1995" spans="1:3">
      <c r="A1995" s="250">
        <v>5751</v>
      </c>
      <c r="B1995" s="74" t="s">
        <v>1878</v>
      </c>
      <c r="C1995" s="74" t="s">
        <v>455</v>
      </c>
    </row>
    <row r="1996" spans="1:3">
      <c r="A1996" s="250">
        <v>5753</v>
      </c>
      <c r="B1996" s="74" t="s">
        <v>1879</v>
      </c>
      <c r="C1996" s="74" t="s">
        <v>455</v>
      </c>
    </row>
    <row r="1997" spans="1:3">
      <c r="A1997" s="250">
        <v>5757</v>
      </c>
      <c r="B1997" s="74" t="s">
        <v>1880</v>
      </c>
      <c r="C1997" s="74" t="s">
        <v>455</v>
      </c>
    </row>
    <row r="1998" spans="1:3">
      <c r="A1998" s="250">
        <v>5758</v>
      </c>
      <c r="B1998" s="74" t="s">
        <v>1881</v>
      </c>
      <c r="C1998" s="74" t="s">
        <v>455</v>
      </c>
    </row>
    <row r="1999" spans="1:3">
      <c r="A1999" s="250">
        <v>5759</v>
      </c>
      <c r="B1999" s="74" t="s">
        <v>1882</v>
      </c>
      <c r="C1999" s="74" t="s">
        <v>455</v>
      </c>
    </row>
    <row r="2000" spans="1:3">
      <c r="A2000" s="250">
        <v>5760</v>
      </c>
      <c r="B2000" s="74" t="s">
        <v>1883</v>
      </c>
      <c r="C2000" s="74" t="s">
        <v>455</v>
      </c>
    </row>
    <row r="2001" spans="1:3">
      <c r="A2001" s="250">
        <v>5761</v>
      </c>
      <c r="B2001" s="74" t="s">
        <v>1884</v>
      </c>
      <c r="C2001" s="74" t="s">
        <v>455</v>
      </c>
    </row>
    <row r="2002" spans="1:3">
      <c r="A2002" s="250">
        <v>5762</v>
      </c>
      <c r="B2002" s="74" t="s">
        <v>637</v>
      </c>
      <c r="C2002" s="74" t="s">
        <v>455</v>
      </c>
    </row>
    <row r="2003" spans="1:3">
      <c r="A2003" s="250">
        <v>5763</v>
      </c>
      <c r="B2003" s="74" t="s">
        <v>1885</v>
      </c>
      <c r="C2003" s="74" t="s">
        <v>455</v>
      </c>
    </row>
    <row r="2004" spans="1:3">
      <c r="A2004" s="250">
        <v>5764</v>
      </c>
      <c r="B2004" s="74" t="s">
        <v>1886</v>
      </c>
      <c r="C2004" s="74" t="s">
        <v>455</v>
      </c>
    </row>
    <row r="2005" spans="1:3">
      <c r="A2005" s="250">
        <v>5765</v>
      </c>
      <c r="B2005" s="74" t="s">
        <v>1887</v>
      </c>
      <c r="C2005" s="74" t="s">
        <v>455</v>
      </c>
    </row>
    <row r="2006" spans="1:3">
      <c r="A2006" s="250">
        <v>5766</v>
      </c>
      <c r="B2006" s="74" t="s">
        <v>1888</v>
      </c>
      <c r="C2006" s="74" t="s">
        <v>455</v>
      </c>
    </row>
    <row r="2007" spans="1:3">
      <c r="A2007" s="250">
        <v>5767</v>
      </c>
      <c r="B2007" s="74" t="s">
        <v>1085</v>
      </c>
      <c r="C2007" s="74" t="s">
        <v>455</v>
      </c>
    </row>
    <row r="2008" spans="1:3">
      <c r="A2008" s="250">
        <v>5768</v>
      </c>
      <c r="B2008" s="74" t="s">
        <v>1889</v>
      </c>
      <c r="C2008" s="74" t="s">
        <v>455</v>
      </c>
    </row>
    <row r="2009" spans="1:3">
      <c r="A2009" s="250">
        <v>5769</v>
      </c>
      <c r="B2009" s="74" t="s">
        <v>853</v>
      </c>
      <c r="C2009" s="74" t="s">
        <v>455</v>
      </c>
    </row>
    <row r="2010" spans="1:3">
      <c r="A2010" s="250">
        <v>5770</v>
      </c>
      <c r="B2010" s="74" t="s">
        <v>1890</v>
      </c>
      <c r="C2010" s="74" t="s">
        <v>455</v>
      </c>
    </row>
    <row r="2011" spans="1:3">
      <c r="A2011" s="250">
        <v>5772</v>
      </c>
      <c r="B2011" s="74" t="s">
        <v>665</v>
      </c>
      <c r="C2011" s="74" t="s">
        <v>455</v>
      </c>
    </row>
    <row r="2012" spans="1:3">
      <c r="A2012" s="250">
        <v>5773</v>
      </c>
      <c r="B2012" s="74" t="s">
        <v>1891</v>
      </c>
      <c r="C2012" s="74" t="s">
        <v>455</v>
      </c>
    </row>
    <row r="2013" spans="1:3">
      <c r="A2013" s="250">
        <v>5774</v>
      </c>
      <c r="B2013" s="74" t="s">
        <v>1421</v>
      </c>
      <c r="C2013" s="74" t="s">
        <v>455</v>
      </c>
    </row>
    <row r="2014" spans="1:3">
      <c r="A2014" s="250">
        <v>5775</v>
      </c>
      <c r="B2014" s="74" t="s">
        <v>1892</v>
      </c>
      <c r="C2014" s="74" t="s">
        <v>455</v>
      </c>
    </row>
    <row r="2015" spans="1:3">
      <c r="A2015" s="250">
        <v>5776</v>
      </c>
      <c r="B2015" s="74" t="s">
        <v>1893</v>
      </c>
      <c r="C2015" s="74" t="s">
        <v>455</v>
      </c>
    </row>
    <row r="2016" spans="1:3">
      <c r="A2016" s="250">
        <v>5777</v>
      </c>
      <c r="B2016" s="74" t="s">
        <v>1894</v>
      </c>
      <c r="C2016" s="74" t="s">
        <v>455</v>
      </c>
    </row>
    <row r="2017" spans="1:3">
      <c r="A2017" s="250">
        <v>5778</v>
      </c>
      <c r="B2017" s="74" t="s">
        <v>1618</v>
      </c>
      <c r="C2017" s="74" t="s">
        <v>455</v>
      </c>
    </row>
    <row r="2018" spans="1:3">
      <c r="A2018" s="250">
        <v>5819</v>
      </c>
      <c r="B2018" s="74" t="s">
        <v>1895</v>
      </c>
      <c r="C2018" s="74" t="s">
        <v>455</v>
      </c>
    </row>
    <row r="2019" spans="1:3">
      <c r="A2019" s="250">
        <v>5820</v>
      </c>
      <c r="B2019" s="74" t="s">
        <v>1896</v>
      </c>
      <c r="C2019" s="74" t="s">
        <v>455</v>
      </c>
    </row>
    <row r="2020" spans="1:3">
      <c r="A2020" s="250">
        <v>5821</v>
      </c>
      <c r="B2020" s="74" t="s">
        <v>1897</v>
      </c>
      <c r="C2020" s="74" t="s">
        <v>455</v>
      </c>
    </row>
    <row r="2021" spans="1:3">
      <c r="A2021" s="250">
        <v>5822</v>
      </c>
      <c r="B2021" s="74" t="s">
        <v>1898</v>
      </c>
      <c r="C2021" s="74" t="s">
        <v>455</v>
      </c>
    </row>
    <row r="2022" spans="1:3">
      <c r="A2022" s="250">
        <v>5823</v>
      </c>
      <c r="B2022" s="74" t="s">
        <v>1899</v>
      </c>
      <c r="C2022" s="74" t="s">
        <v>455</v>
      </c>
    </row>
    <row r="2023" spans="1:3">
      <c r="A2023" s="250">
        <v>5824</v>
      </c>
      <c r="B2023" s="74" t="s">
        <v>787</v>
      </c>
      <c r="C2023" s="74" t="s">
        <v>455</v>
      </c>
    </row>
    <row r="2024" spans="1:3">
      <c r="A2024" s="250">
        <v>5825</v>
      </c>
      <c r="B2024" s="74" t="s">
        <v>1101</v>
      </c>
      <c r="C2024" s="74" t="s">
        <v>455</v>
      </c>
    </row>
    <row r="2025" spans="1:3">
      <c r="A2025" s="250">
        <v>5826</v>
      </c>
      <c r="B2025" s="74" t="s">
        <v>1900</v>
      </c>
      <c r="C2025" s="74" t="s">
        <v>455</v>
      </c>
    </row>
    <row r="2026" spans="1:3">
      <c r="A2026" s="250">
        <v>5827</v>
      </c>
      <c r="B2026" s="74" t="s">
        <v>1901</v>
      </c>
      <c r="C2026" s="74" t="s">
        <v>455</v>
      </c>
    </row>
    <row r="2027" spans="1:3">
      <c r="A2027" s="250">
        <v>5828</v>
      </c>
      <c r="B2027" s="74" t="s">
        <v>1302</v>
      </c>
      <c r="C2027" s="74" t="s">
        <v>455</v>
      </c>
    </row>
    <row r="2028" spans="1:3">
      <c r="A2028" s="250">
        <v>5829</v>
      </c>
      <c r="B2028" s="74" t="s">
        <v>1902</v>
      </c>
      <c r="C2028" s="74" t="s">
        <v>455</v>
      </c>
    </row>
    <row r="2029" spans="1:3">
      <c r="A2029" s="250">
        <v>5830</v>
      </c>
      <c r="B2029" s="74" t="s">
        <v>1903</v>
      </c>
      <c r="C2029" s="74" t="s">
        <v>455</v>
      </c>
    </row>
    <row r="2030" spans="1:3">
      <c r="A2030" s="250">
        <v>5832</v>
      </c>
      <c r="B2030" s="74" t="s">
        <v>1904</v>
      </c>
      <c r="C2030" s="74" t="s">
        <v>455</v>
      </c>
    </row>
    <row r="2031" spans="1:3">
      <c r="A2031" s="250">
        <v>5833</v>
      </c>
      <c r="B2031" s="74" t="s">
        <v>1905</v>
      </c>
      <c r="C2031" s="74" t="s">
        <v>455</v>
      </c>
    </row>
    <row r="2032" spans="1:3">
      <c r="A2032" s="250">
        <v>5836</v>
      </c>
      <c r="B2032" s="74" t="s">
        <v>1906</v>
      </c>
      <c r="C2032" s="74" t="s">
        <v>455</v>
      </c>
    </row>
    <row r="2033" spans="1:3">
      <c r="A2033" s="250">
        <v>5837</v>
      </c>
      <c r="B2033" s="74" t="s">
        <v>1907</v>
      </c>
      <c r="C2033" s="74" t="s">
        <v>455</v>
      </c>
    </row>
    <row r="2034" spans="1:3">
      <c r="A2034" s="250">
        <v>5838</v>
      </c>
      <c r="B2034" s="74" t="s">
        <v>1908</v>
      </c>
      <c r="C2034" s="74" t="s">
        <v>455</v>
      </c>
    </row>
    <row r="2035" spans="1:3">
      <c r="A2035" s="250">
        <v>5839</v>
      </c>
      <c r="B2035" s="74" t="s">
        <v>1909</v>
      </c>
      <c r="C2035" s="74" t="s">
        <v>455</v>
      </c>
    </row>
    <row r="2036" spans="1:3">
      <c r="A2036" s="250">
        <v>5840</v>
      </c>
      <c r="B2036" s="74" t="s">
        <v>593</v>
      </c>
      <c r="C2036" s="74" t="s">
        <v>455</v>
      </c>
    </row>
    <row r="2037" spans="1:3">
      <c r="A2037" s="250">
        <v>5841</v>
      </c>
      <c r="B2037" s="74" t="s">
        <v>1910</v>
      </c>
      <c r="C2037" s="74" t="s">
        <v>455</v>
      </c>
    </row>
    <row r="2038" spans="1:3">
      <c r="A2038" s="250">
        <v>5842</v>
      </c>
      <c r="B2038" s="74" t="s">
        <v>1911</v>
      </c>
      <c r="C2038" s="74" t="s">
        <v>455</v>
      </c>
    </row>
    <row r="2039" spans="1:3">
      <c r="A2039" s="250">
        <v>5843</v>
      </c>
      <c r="B2039" s="74" t="s">
        <v>597</v>
      </c>
      <c r="C2039" s="74" t="s">
        <v>455</v>
      </c>
    </row>
    <row r="2040" spans="1:3">
      <c r="A2040" s="250">
        <v>5845</v>
      </c>
      <c r="B2040" s="74" t="s">
        <v>1912</v>
      </c>
      <c r="C2040" s="74" t="s">
        <v>455</v>
      </c>
    </row>
    <row r="2041" spans="1:3">
      <c r="A2041" s="250">
        <v>5846</v>
      </c>
      <c r="B2041" s="74" t="s">
        <v>1913</v>
      </c>
      <c r="C2041" s="74" t="s">
        <v>455</v>
      </c>
    </row>
    <row r="2042" spans="1:3">
      <c r="A2042" s="250">
        <v>5847</v>
      </c>
      <c r="B2042" s="74" t="s">
        <v>818</v>
      </c>
      <c r="C2042" s="74" t="s">
        <v>455</v>
      </c>
    </row>
    <row r="2043" spans="1:3">
      <c r="A2043" s="250">
        <v>5848</v>
      </c>
      <c r="B2043" s="74" t="s">
        <v>1914</v>
      </c>
      <c r="C2043" s="74" t="s">
        <v>455</v>
      </c>
    </row>
    <row r="2044" spans="1:3">
      <c r="A2044" s="250">
        <v>5849</v>
      </c>
      <c r="B2044" s="74" t="s">
        <v>1915</v>
      </c>
      <c r="C2044" s="74" t="s">
        <v>455</v>
      </c>
    </row>
    <row r="2045" spans="1:3">
      <c r="A2045" s="250">
        <v>5850</v>
      </c>
      <c r="B2045" s="74" t="s">
        <v>1916</v>
      </c>
      <c r="C2045" s="74" t="s">
        <v>455</v>
      </c>
    </row>
    <row r="2046" spans="1:3">
      <c r="A2046" s="250">
        <v>5851</v>
      </c>
      <c r="B2046" s="74" t="s">
        <v>1917</v>
      </c>
      <c r="C2046" s="74" t="s">
        <v>455</v>
      </c>
    </row>
    <row r="2047" spans="1:3">
      <c r="A2047" s="250">
        <v>5853</v>
      </c>
      <c r="B2047" s="74" t="s">
        <v>1918</v>
      </c>
      <c r="C2047" s="74" t="s">
        <v>455</v>
      </c>
    </row>
    <row r="2048" spans="1:3">
      <c r="A2048" s="250">
        <v>5855</v>
      </c>
      <c r="B2048" s="74" t="s">
        <v>1118</v>
      </c>
      <c r="C2048" s="74" t="s">
        <v>455</v>
      </c>
    </row>
    <row r="2049" spans="1:3">
      <c r="A2049" s="250">
        <v>5857</v>
      </c>
      <c r="B2049" s="74" t="s">
        <v>1919</v>
      </c>
      <c r="C2049" s="74" t="s">
        <v>455</v>
      </c>
    </row>
    <row r="2050" spans="1:3">
      <c r="A2050" s="250">
        <v>5858</v>
      </c>
      <c r="B2050" s="74" t="s">
        <v>1920</v>
      </c>
      <c r="C2050" s="74" t="s">
        <v>455</v>
      </c>
    </row>
    <row r="2051" spans="1:3">
      <c r="A2051" s="250">
        <v>5859</v>
      </c>
      <c r="B2051" s="74" t="s">
        <v>1921</v>
      </c>
      <c r="C2051" s="74" t="s">
        <v>455</v>
      </c>
    </row>
    <row r="2052" spans="1:3">
      <c r="A2052" s="250">
        <v>5860</v>
      </c>
      <c r="B2052" s="74" t="s">
        <v>1042</v>
      </c>
      <c r="C2052" s="74" t="s">
        <v>455</v>
      </c>
    </row>
    <row r="2053" spans="1:3">
      <c r="A2053" s="250">
        <v>5861</v>
      </c>
      <c r="B2053" s="74" t="s">
        <v>1922</v>
      </c>
      <c r="C2053" s="74" t="s">
        <v>455</v>
      </c>
    </row>
    <row r="2054" spans="1:3">
      <c r="A2054" s="250">
        <v>5862</v>
      </c>
      <c r="B2054" s="74" t="s">
        <v>1923</v>
      </c>
      <c r="C2054" s="74" t="s">
        <v>455</v>
      </c>
    </row>
    <row r="2055" spans="1:3">
      <c r="A2055" s="250">
        <v>5863</v>
      </c>
      <c r="B2055" s="74" t="s">
        <v>1924</v>
      </c>
      <c r="C2055" s="74" t="s">
        <v>455</v>
      </c>
    </row>
    <row r="2056" spans="1:3">
      <c r="A2056" s="250">
        <v>5866</v>
      </c>
      <c r="B2056" s="74" t="s">
        <v>661</v>
      </c>
      <c r="C2056" s="74" t="s">
        <v>455</v>
      </c>
    </row>
    <row r="2057" spans="1:3">
      <c r="A2057" s="250">
        <v>5867</v>
      </c>
      <c r="B2057" s="74" t="s">
        <v>774</v>
      </c>
      <c r="C2057" s="74" t="s">
        <v>455</v>
      </c>
    </row>
    <row r="2058" spans="1:3">
      <c r="A2058" s="250">
        <v>5868</v>
      </c>
      <c r="B2058" s="74" t="s">
        <v>1243</v>
      </c>
      <c r="C2058" s="74" t="s">
        <v>455</v>
      </c>
    </row>
    <row r="2059" spans="1:3">
      <c r="A2059" s="250">
        <v>5871</v>
      </c>
      <c r="B2059" s="74" t="s">
        <v>1925</v>
      </c>
      <c r="C2059" s="74" t="s">
        <v>455</v>
      </c>
    </row>
    <row r="2060" spans="1:3">
      <c r="A2060" s="250">
        <v>5872</v>
      </c>
      <c r="B2060" s="74" t="s">
        <v>1926</v>
      </c>
      <c r="C2060" s="74" t="s">
        <v>455</v>
      </c>
    </row>
    <row r="2061" spans="1:3">
      <c r="A2061" s="250">
        <v>5873</v>
      </c>
      <c r="B2061" s="74" t="s">
        <v>1927</v>
      </c>
      <c r="C2061" s="74" t="s">
        <v>455</v>
      </c>
    </row>
    <row r="2062" spans="1:3">
      <c r="A2062" s="250">
        <v>5874</v>
      </c>
      <c r="B2062" s="74" t="s">
        <v>624</v>
      </c>
      <c r="C2062" s="74" t="s">
        <v>455</v>
      </c>
    </row>
    <row r="2063" spans="1:3">
      <c r="A2063" s="250">
        <v>5875</v>
      </c>
      <c r="B2063" s="74" t="s">
        <v>1928</v>
      </c>
      <c r="C2063" s="74" t="s">
        <v>455</v>
      </c>
    </row>
    <row r="2064" spans="1:3">
      <c r="A2064" s="250">
        <v>5901</v>
      </c>
      <c r="B2064" s="74" t="s">
        <v>1929</v>
      </c>
      <c r="C2064" s="74" t="s">
        <v>455</v>
      </c>
    </row>
    <row r="2065" spans="1:3">
      <c r="A2065" s="250">
        <v>5902</v>
      </c>
      <c r="B2065" s="74" t="s">
        <v>1930</v>
      </c>
      <c r="C2065" s="74" t="s">
        <v>455</v>
      </c>
    </row>
    <row r="2066" spans="1:3">
      <c r="A2066" s="250">
        <v>5903</v>
      </c>
      <c r="B2066" s="74" t="s">
        <v>1270</v>
      </c>
      <c r="C2066" s="74" t="s">
        <v>455</v>
      </c>
    </row>
    <row r="2067" spans="1:3">
      <c r="A2067" s="250">
        <v>5904</v>
      </c>
      <c r="B2067" s="74" t="s">
        <v>1931</v>
      </c>
      <c r="C2067" s="74" t="s">
        <v>455</v>
      </c>
    </row>
    <row r="2068" spans="1:3">
      <c r="A2068" s="250">
        <v>5905</v>
      </c>
      <c r="B2068" s="74" t="s">
        <v>1932</v>
      </c>
      <c r="C2068" s="74" t="s">
        <v>455</v>
      </c>
    </row>
    <row r="2069" spans="1:3">
      <c r="A2069" s="250">
        <v>5906</v>
      </c>
      <c r="B2069" s="74" t="s">
        <v>714</v>
      </c>
      <c r="C2069" s="74" t="s">
        <v>455</v>
      </c>
    </row>
    <row r="2070" spans="1:3">
      <c r="A2070" s="250">
        <v>5907</v>
      </c>
      <c r="B2070" s="74" t="s">
        <v>1081</v>
      </c>
      <c r="C2070" s="74" t="s">
        <v>455</v>
      </c>
    </row>
    <row r="2071" spans="1:3">
      <c r="A2071" s="250">
        <v>6001</v>
      </c>
      <c r="B2071" s="74" t="s">
        <v>935</v>
      </c>
      <c r="C2071" s="74" t="s">
        <v>418</v>
      </c>
    </row>
    <row r="2072" spans="1:3">
      <c r="A2072" s="250">
        <v>6002</v>
      </c>
      <c r="B2072" s="74" t="s">
        <v>1933</v>
      </c>
      <c r="C2072" s="74" t="s">
        <v>418</v>
      </c>
    </row>
    <row r="2073" spans="1:3">
      <c r="A2073" s="250">
        <v>6006</v>
      </c>
      <c r="B2073" s="74" t="s">
        <v>669</v>
      </c>
      <c r="C2073" s="74" t="s">
        <v>418</v>
      </c>
    </row>
    <row r="2074" spans="1:3">
      <c r="A2074" s="250">
        <v>6010</v>
      </c>
      <c r="B2074" s="74" t="s">
        <v>1098</v>
      </c>
      <c r="C2074" s="74" t="s">
        <v>418</v>
      </c>
    </row>
    <row r="2075" spans="1:3">
      <c r="A2075" s="250">
        <v>6011</v>
      </c>
      <c r="B2075" s="74" t="s">
        <v>1098</v>
      </c>
      <c r="C2075" s="74" t="s">
        <v>418</v>
      </c>
    </row>
    <row r="2076" spans="1:3">
      <c r="A2076" s="250">
        <v>6013</v>
      </c>
      <c r="B2076" s="74" t="s">
        <v>806</v>
      </c>
      <c r="C2076" s="74" t="s">
        <v>418</v>
      </c>
    </row>
    <row r="2077" spans="1:3">
      <c r="A2077" s="250">
        <v>6016</v>
      </c>
      <c r="B2077" s="74" t="s">
        <v>1934</v>
      </c>
      <c r="C2077" s="74" t="s">
        <v>418</v>
      </c>
    </row>
    <row r="2078" spans="1:3">
      <c r="A2078" s="250">
        <v>6018</v>
      </c>
      <c r="B2078" s="74" t="s">
        <v>1270</v>
      </c>
      <c r="C2078" s="74" t="s">
        <v>418</v>
      </c>
    </row>
    <row r="2079" spans="1:3">
      <c r="A2079" s="250">
        <v>6019</v>
      </c>
      <c r="B2079" s="74" t="s">
        <v>866</v>
      </c>
      <c r="C2079" s="74" t="s">
        <v>418</v>
      </c>
    </row>
    <row r="2080" spans="1:3">
      <c r="A2080" s="250">
        <v>6020</v>
      </c>
      <c r="B2080" s="74" t="s">
        <v>1935</v>
      </c>
      <c r="C2080" s="74" t="s">
        <v>418</v>
      </c>
    </row>
    <row r="2081" spans="1:3">
      <c r="A2081" s="250">
        <v>6021</v>
      </c>
      <c r="B2081" s="74" t="s">
        <v>1249</v>
      </c>
      <c r="C2081" s="74" t="s">
        <v>418</v>
      </c>
    </row>
    <row r="2082" spans="1:3">
      <c r="A2082" s="250">
        <v>6022</v>
      </c>
      <c r="B2082" s="74" t="s">
        <v>1936</v>
      </c>
      <c r="C2082" s="74" t="s">
        <v>418</v>
      </c>
    </row>
    <row r="2083" spans="1:3">
      <c r="A2083" s="250">
        <v>6023</v>
      </c>
      <c r="B2083" s="74" t="s">
        <v>1937</v>
      </c>
      <c r="C2083" s="74" t="s">
        <v>418</v>
      </c>
    </row>
    <row r="2084" spans="1:3">
      <c r="A2084" s="250">
        <v>6024</v>
      </c>
      <c r="B2084" s="74" t="s">
        <v>1938</v>
      </c>
      <c r="C2084" s="74" t="s">
        <v>418</v>
      </c>
    </row>
    <row r="2085" spans="1:3">
      <c r="A2085" s="250">
        <v>6025</v>
      </c>
      <c r="B2085" s="74" t="s">
        <v>1939</v>
      </c>
      <c r="C2085" s="74" t="s">
        <v>418</v>
      </c>
    </row>
    <row r="2086" spans="1:3">
      <c r="A2086" s="250">
        <v>6026</v>
      </c>
      <c r="B2086" s="74" t="s">
        <v>1940</v>
      </c>
      <c r="C2086" s="74" t="s">
        <v>418</v>
      </c>
    </row>
    <row r="2087" spans="1:3">
      <c r="A2087" s="250">
        <v>6027</v>
      </c>
      <c r="B2087" s="74" t="s">
        <v>1941</v>
      </c>
      <c r="C2087" s="74" t="s">
        <v>418</v>
      </c>
    </row>
    <row r="2088" spans="1:3">
      <c r="A2088" s="250">
        <v>6028</v>
      </c>
      <c r="B2088" s="74" t="s">
        <v>1942</v>
      </c>
      <c r="C2088" s="74" t="s">
        <v>418</v>
      </c>
    </row>
    <row r="2089" spans="1:3">
      <c r="A2089" s="250">
        <v>6029</v>
      </c>
      <c r="B2089" s="74" t="s">
        <v>1943</v>
      </c>
      <c r="C2089" s="74" t="s">
        <v>418</v>
      </c>
    </row>
    <row r="2090" spans="1:3">
      <c r="A2090" s="250">
        <v>6030</v>
      </c>
      <c r="B2090" s="74" t="s">
        <v>1309</v>
      </c>
      <c r="C2090" s="74" t="s">
        <v>418</v>
      </c>
    </row>
    <row r="2091" spans="1:3">
      <c r="A2091" s="250">
        <v>6031</v>
      </c>
      <c r="B2091" s="74" t="s">
        <v>1944</v>
      </c>
      <c r="C2091" s="74" t="s">
        <v>418</v>
      </c>
    </row>
    <row r="2092" spans="1:3">
      <c r="A2092" s="250">
        <v>6032</v>
      </c>
      <c r="B2092" s="74" t="s">
        <v>1309</v>
      </c>
      <c r="C2092" s="74" t="s">
        <v>418</v>
      </c>
    </row>
    <row r="2093" spans="1:3">
      <c r="A2093" s="250">
        <v>6033</v>
      </c>
      <c r="B2093" s="74" t="s">
        <v>1945</v>
      </c>
      <c r="C2093" s="74" t="s">
        <v>418</v>
      </c>
    </row>
    <row r="2094" spans="1:3">
      <c r="A2094" s="250">
        <v>6034</v>
      </c>
      <c r="B2094" s="74" t="s">
        <v>1309</v>
      </c>
      <c r="C2094" s="74" t="s">
        <v>418</v>
      </c>
    </row>
    <row r="2095" spans="1:3">
      <c r="A2095" s="250">
        <v>6035</v>
      </c>
      <c r="B2095" s="74" t="s">
        <v>593</v>
      </c>
      <c r="C2095" s="74" t="s">
        <v>418</v>
      </c>
    </row>
    <row r="2096" spans="1:3">
      <c r="A2096" s="250">
        <v>6037</v>
      </c>
      <c r="B2096" s="74" t="s">
        <v>725</v>
      </c>
      <c r="C2096" s="74" t="s">
        <v>418</v>
      </c>
    </row>
    <row r="2097" spans="1:3">
      <c r="A2097" s="250">
        <v>6039</v>
      </c>
      <c r="B2097" s="74" t="s">
        <v>949</v>
      </c>
      <c r="C2097" s="74" t="s">
        <v>418</v>
      </c>
    </row>
    <row r="2098" spans="1:3">
      <c r="A2098" s="250">
        <v>6040</v>
      </c>
      <c r="B2098" s="74" t="s">
        <v>848</v>
      </c>
      <c r="C2098" s="74" t="s">
        <v>418</v>
      </c>
    </row>
    <row r="2099" spans="1:3">
      <c r="A2099" s="250">
        <v>6041</v>
      </c>
      <c r="B2099" s="74" t="s">
        <v>848</v>
      </c>
      <c r="C2099" s="74" t="s">
        <v>418</v>
      </c>
    </row>
    <row r="2100" spans="1:3">
      <c r="A2100" s="250">
        <v>6042</v>
      </c>
      <c r="B2100" s="74" t="s">
        <v>848</v>
      </c>
      <c r="C2100" s="74" t="s">
        <v>418</v>
      </c>
    </row>
    <row r="2101" spans="1:3">
      <c r="A2101" s="250">
        <v>6043</v>
      </c>
      <c r="B2101" s="74" t="s">
        <v>785</v>
      </c>
      <c r="C2101" s="74" t="s">
        <v>418</v>
      </c>
    </row>
    <row r="2102" spans="1:3">
      <c r="A2102" s="250">
        <v>6045</v>
      </c>
      <c r="B2102" s="74" t="s">
        <v>848</v>
      </c>
      <c r="C2102" s="74" t="s">
        <v>418</v>
      </c>
    </row>
    <row r="2103" spans="1:3">
      <c r="A2103" s="250">
        <v>6050</v>
      </c>
      <c r="B2103" s="74" t="s">
        <v>1946</v>
      </c>
      <c r="C2103" s="74" t="s">
        <v>418</v>
      </c>
    </row>
    <row r="2104" spans="1:3">
      <c r="A2104" s="250">
        <v>6051</v>
      </c>
      <c r="B2104" s="74" t="s">
        <v>1946</v>
      </c>
      <c r="C2104" s="74" t="s">
        <v>418</v>
      </c>
    </row>
    <row r="2105" spans="1:3">
      <c r="A2105" s="250">
        <v>6052</v>
      </c>
      <c r="B2105" s="74" t="s">
        <v>1946</v>
      </c>
      <c r="C2105" s="74" t="s">
        <v>418</v>
      </c>
    </row>
    <row r="2106" spans="1:3">
      <c r="A2106" s="250">
        <v>6053</v>
      </c>
      <c r="B2106" s="74" t="s">
        <v>1946</v>
      </c>
      <c r="C2106" s="74" t="s">
        <v>418</v>
      </c>
    </row>
    <row r="2107" spans="1:3">
      <c r="A2107" s="250">
        <v>6057</v>
      </c>
      <c r="B2107" s="74" t="s">
        <v>1947</v>
      </c>
      <c r="C2107" s="74" t="s">
        <v>418</v>
      </c>
    </row>
    <row r="2108" spans="1:3">
      <c r="A2108" s="250">
        <v>6058</v>
      </c>
      <c r="B2108" s="74" t="s">
        <v>886</v>
      </c>
      <c r="C2108" s="74" t="s">
        <v>418</v>
      </c>
    </row>
    <row r="2109" spans="1:3">
      <c r="A2109" s="250">
        <v>6059</v>
      </c>
      <c r="B2109" s="74" t="s">
        <v>1948</v>
      </c>
      <c r="C2109" s="74" t="s">
        <v>418</v>
      </c>
    </row>
    <row r="2110" spans="1:3">
      <c r="A2110" s="250">
        <v>6060</v>
      </c>
      <c r="B2110" s="74" t="s">
        <v>1949</v>
      </c>
      <c r="C2110" s="74" t="s">
        <v>418</v>
      </c>
    </row>
    <row r="2111" spans="1:3">
      <c r="A2111" s="250">
        <v>6061</v>
      </c>
      <c r="B2111" s="74" t="s">
        <v>1950</v>
      </c>
      <c r="C2111" s="74" t="s">
        <v>418</v>
      </c>
    </row>
    <row r="2112" spans="1:3">
      <c r="A2112" s="250">
        <v>6062</v>
      </c>
      <c r="B2112" s="74" t="s">
        <v>1078</v>
      </c>
      <c r="C2112" s="74" t="s">
        <v>418</v>
      </c>
    </row>
    <row r="2113" spans="1:3">
      <c r="A2113" s="250">
        <v>6063</v>
      </c>
      <c r="B2113" s="74" t="s">
        <v>1951</v>
      </c>
      <c r="C2113" s="74" t="s">
        <v>418</v>
      </c>
    </row>
    <row r="2114" spans="1:3">
      <c r="A2114" s="250">
        <v>6064</v>
      </c>
      <c r="B2114" s="74" t="s">
        <v>1952</v>
      </c>
      <c r="C2114" s="74" t="s">
        <v>418</v>
      </c>
    </row>
    <row r="2115" spans="1:3">
      <c r="A2115" s="250">
        <v>6065</v>
      </c>
      <c r="B2115" s="74" t="s">
        <v>1953</v>
      </c>
      <c r="C2115" s="74" t="s">
        <v>418</v>
      </c>
    </row>
    <row r="2116" spans="1:3">
      <c r="A2116" s="250">
        <v>6066</v>
      </c>
      <c r="B2116" s="74" t="s">
        <v>1954</v>
      </c>
      <c r="C2116" s="74" t="s">
        <v>418</v>
      </c>
    </row>
    <row r="2117" spans="1:3">
      <c r="A2117" s="250">
        <v>6067</v>
      </c>
      <c r="B2117" s="74" t="s">
        <v>1955</v>
      </c>
      <c r="C2117" s="74" t="s">
        <v>418</v>
      </c>
    </row>
    <row r="2118" spans="1:3">
      <c r="A2118" s="250">
        <v>6068</v>
      </c>
      <c r="B2118" s="74" t="s">
        <v>853</v>
      </c>
      <c r="C2118" s="74" t="s">
        <v>418</v>
      </c>
    </row>
    <row r="2119" spans="1:3">
      <c r="A2119" s="250">
        <v>6069</v>
      </c>
      <c r="B2119" s="74" t="s">
        <v>893</v>
      </c>
      <c r="C2119" s="74" t="s">
        <v>418</v>
      </c>
    </row>
    <row r="2120" spans="1:3">
      <c r="A2120" s="250">
        <v>6070</v>
      </c>
      <c r="B2120" s="74" t="s">
        <v>1956</v>
      </c>
      <c r="C2120" s="74" t="s">
        <v>418</v>
      </c>
    </row>
    <row r="2121" spans="1:3">
      <c r="A2121" s="250">
        <v>6071</v>
      </c>
      <c r="B2121" s="74" t="s">
        <v>1957</v>
      </c>
      <c r="C2121" s="74" t="s">
        <v>418</v>
      </c>
    </row>
    <row r="2122" spans="1:3">
      <c r="A2122" s="250">
        <v>6072</v>
      </c>
      <c r="B2122" s="74" t="s">
        <v>1958</v>
      </c>
      <c r="C2122" s="74" t="s">
        <v>418</v>
      </c>
    </row>
    <row r="2123" spans="1:3">
      <c r="A2123" s="250">
        <v>6073</v>
      </c>
      <c r="B2123" s="74" t="s">
        <v>1959</v>
      </c>
      <c r="C2123" s="74" t="s">
        <v>418</v>
      </c>
    </row>
    <row r="2124" spans="1:3">
      <c r="A2124" s="250">
        <v>6074</v>
      </c>
      <c r="B2124" s="74" t="s">
        <v>1960</v>
      </c>
      <c r="C2124" s="74" t="s">
        <v>418</v>
      </c>
    </row>
    <row r="2125" spans="1:3">
      <c r="A2125" s="250">
        <v>6075</v>
      </c>
      <c r="B2125" s="74" t="s">
        <v>1961</v>
      </c>
      <c r="C2125" s="74" t="s">
        <v>418</v>
      </c>
    </row>
    <row r="2126" spans="1:3">
      <c r="A2126" s="250">
        <v>6076</v>
      </c>
      <c r="B2126" s="74" t="s">
        <v>1962</v>
      </c>
      <c r="C2126" s="74" t="s">
        <v>418</v>
      </c>
    </row>
    <row r="2127" spans="1:3">
      <c r="A2127" s="250">
        <v>6077</v>
      </c>
      <c r="B2127" s="74" t="s">
        <v>1963</v>
      </c>
      <c r="C2127" s="74" t="s">
        <v>418</v>
      </c>
    </row>
    <row r="2128" spans="1:3">
      <c r="A2128" s="250">
        <v>6078</v>
      </c>
      <c r="B2128" s="74" t="s">
        <v>1964</v>
      </c>
      <c r="C2128" s="74" t="s">
        <v>418</v>
      </c>
    </row>
    <row r="2129" spans="1:3">
      <c r="A2129" s="250">
        <v>6079</v>
      </c>
      <c r="B2129" s="74" t="s">
        <v>1965</v>
      </c>
      <c r="C2129" s="74" t="s">
        <v>418</v>
      </c>
    </row>
    <row r="2130" spans="1:3">
      <c r="A2130" s="250">
        <v>6080</v>
      </c>
      <c r="B2130" s="74" t="s">
        <v>1964</v>
      </c>
      <c r="C2130" s="74" t="s">
        <v>418</v>
      </c>
    </row>
    <row r="2131" spans="1:3">
      <c r="A2131" s="250">
        <v>6081</v>
      </c>
      <c r="B2131" s="74" t="s">
        <v>1966</v>
      </c>
      <c r="C2131" s="74" t="s">
        <v>418</v>
      </c>
    </row>
    <row r="2132" spans="1:3">
      <c r="A2132" s="250">
        <v>6082</v>
      </c>
      <c r="B2132" s="74" t="s">
        <v>1274</v>
      </c>
      <c r="C2132" s="74" t="s">
        <v>418</v>
      </c>
    </row>
    <row r="2133" spans="1:3">
      <c r="A2133" s="250">
        <v>6083</v>
      </c>
      <c r="B2133" s="74" t="s">
        <v>1274</v>
      </c>
      <c r="C2133" s="74" t="s">
        <v>418</v>
      </c>
    </row>
    <row r="2134" spans="1:3">
      <c r="A2134" s="250">
        <v>6084</v>
      </c>
      <c r="B2134" s="74" t="s">
        <v>1967</v>
      </c>
      <c r="C2134" s="74" t="s">
        <v>418</v>
      </c>
    </row>
    <row r="2135" spans="1:3">
      <c r="A2135" s="250">
        <v>6085</v>
      </c>
      <c r="B2135" s="74" t="s">
        <v>1968</v>
      </c>
      <c r="C2135" s="74" t="s">
        <v>418</v>
      </c>
    </row>
    <row r="2136" spans="1:3">
      <c r="A2136" s="250">
        <v>6087</v>
      </c>
      <c r="B2136" s="74" t="s">
        <v>1968</v>
      </c>
      <c r="C2136" s="74" t="s">
        <v>418</v>
      </c>
    </row>
    <row r="2137" spans="1:3">
      <c r="A2137" s="250">
        <v>6088</v>
      </c>
      <c r="B2137" s="74" t="s">
        <v>1969</v>
      </c>
      <c r="C2137" s="74" t="s">
        <v>418</v>
      </c>
    </row>
    <row r="2138" spans="1:3">
      <c r="A2138" s="250">
        <v>6089</v>
      </c>
      <c r="B2138" s="74" t="s">
        <v>1970</v>
      </c>
      <c r="C2138" s="74" t="s">
        <v>418</v>
      </c>
    </row>
    <row r="2139" spans="1:3">
      <c r="A2139" s="250">
        <v>6090</v>
      </c>
      <c r="B2139" s="74" t="s">
        <v>1971</v>
      </c>
      <c r="C2139" s="74" t="s">
        <v>418</v>
      </c>
    </row>
    <row r="2140" spans="1:3">
      <c r="A2140" s="250">
        <v>6091</v>
      </c>
      <c r="B2140" s="74" t="s">
        <v>1972</v>
      </c>
      <c r="C2140" s="74" t="s">
        <v>418</v>
      </c>
    </row>
    <row r="2141" spans="1:3">
      <c r="A2141" s="250">
        <v>6092</v>
      </c>
      <c r="B2141" s="74" t="s">
        <v>1973</v>
      </c>
      <c r="C2141" s="74" t="s">
        <v>418</v>
      </c>
    </row>
    <row r="2142" spans="1:3">
      <c r="A2142" s="250">
        <v>6093</v>
      </c>
      <c r="B2142" s="74" t="s">
        <v>1974</v>
      </c>
      <c r="C2142" s="74" t="s">
        <v>418</v>
      </c>
    </row>
    <row r="2143" spans="1:3">
      <c r="A2143" s="250">
        <v>6094</v>
      </c>
      <c r="B2143" s="74" t="s">
        <v>1975</v>
      </c>
      <c r="C2143" s="74" t="s">
        <v>418</v>
      </c>
    </row>
    <row r="2144" spans="1:3">
      <c r="A2144" s="250">
        <v>6095</v>
      </c>
      <c r="B2144" s="74" t="s">
        <v>669</v>
      </c>
      <c r="C2144" s="74" t="s">
        <v>418</v>
      </c>
    </row>
    <row r="2145" spans="1:3">
      <c r="A2145" s="250">
        <v>6096</v>
      </c>
      <c r="B2145" s="74" t="s">
        <v>1976</v>
      </c>
      <c r="C2145" s="74" t="s">
        <v>418</v>
      </c>
    </row>
    <row r="2146" spans="1:3">
      <c r="A2146" s="250">
        <v>6098</v>
      </c>
      <c r="B2146" s="74" t="s">
        <v>1977</v>
      </c>
      <c r="C2146" s="74" t="s">
        <v>418</v>
      </c>
    </row>
    <row r="2147" spans="1:3">
      <c r="A2147" s="250">
        <v>6101</v>
      </c>
      <c r="B2147" s="74" t="s">
        <v>1737</v>
      </c>
      <c r="C2147" s="74" t="s">
        <v>418</v>
      </c>
    </row>
    <row r="2148" spans="1:3">
      <c r="A2148" s="250">
        <v>6102</v>
      </c>
      <c r="B2148" s="74" t="s">
        <v>1737</v>
      </c>
      <c r="C2148" s="74" t="s">
        <v>418</v>
      </c>
    </row>
    <row r="2149" spans="1:3">
      <c r="A2149" s="250">
        <v>6103</v>
      </c>
      <c r="B2149" s="74" t="s">
        <v>1737</v>
      </c>
      <c r="C2149" s="74" t="s">
        <v>418</v>
      </c>
    </row>
    <row r="2150" spans="1:3">
      <c r="A2150" s="250">
        <v>6104</v>
      </c>
      <c r="B2150" s="74" t="s">
        <v>1737</v>
      </c>
      <c r="C2150" s="74" t="s">
        <v>418</v>
      </c>
    </row>
    <row r="2151" spans="1:3">
      <c r="A2151" s="250">
        <v>6105</v>
      </c>
      <c r="B2151" s="74" t="s">
        <v>1737</v>
      </c>
      <c r="C2151" s="74" t="s">
        <v>418</v>
      </c>
    </row>
    <row r="2152" spans="1:3">
      <c r="A2152" s="250">
        <v>6106</v>
      </c>
      <c r="B2152" s="74" t="s">
        <v>1737</v>
      </c>
      <c r="C2152" s="74" t="s">
        <v>418</v>
      </c>
    </row>
    <row r="2153" spans="1:3">
      <c r="A2153" s="250">
        <v>6107</v>
      </c>
      <c r="B2153" s="74" t="s">
        <v>1759</v>
      </c>
      <c r="C2153" s="74" t="s">
        <v>418</v>
      </c>
    </row>
    <row r="2154" spans="1:3">
      <c r="A2154" s="250">
        <v>6108</v>
      </c>
      <c r="B2154" s="74" t="s">
        <v>1978</v>
      </c>
      <c r="C2154" s="74" t="s">
        <v>418</v>
      </c>
    </row>
    <row r="2155" spans="1:3">
      <c r="A2155" s="250">
        <v>6109</v>
      </c>
      <c r="B2155" s="74" t="s">
        <v>1979</v>
      </c>
      <c r="C2155" s="74" t="s">
        <v>418</v>
      </c>
    </row>
    <row r="2156" spans="1:3">
      <c r="A2156" s="250">
        <v>6110</v>
      </c>
      <c r="B2156" s="74" t="s">
        <v>1759</v>
      </c>
      <c r="C2156" s="74" t="s">
        <v>418</v>
      </c>
    </row>
    <row r="2157" spans="1:3">
      <c r="A2157" s="250">
        <v>6111</v>
      </c>
      <c r="B2157" s="74" t="s">
        <v>1292</v>
      </c>
      <c r="C2157" s="74" t="s">
        <v>418</v>
      </c>
    </row>
    <row r="2158" spans="1:3">
      <c r="A2158" s="250">
        <v>6112</v>
      </c>
      <c r="B2158" s="74" t="s">
        <v>1737</v>
      </c>
      <c r="C2158" s="74" t="s">
        <v>418</v>
      </c>
    </row>
    <row r="2159" spans="1:3">
      <c r="A2159" s="250">
        <v>6114</v>
      </c>
      <c r="B2159" s="74" t="s">
        <v>1737</v>
      </c>
      <c r="C2159" s="74" t="s">
        <v>418</v>
      </c>
    </row>
    <row r="2160" spans="1:3">
      <c r="A2160" s="250">
        <v>6115</v>
      </c>
      <c r="B2160" s="74" t="s">
        <v>1737</v>
      </c>
      <c r="C2160" s="74" t="s">
        <v>418</v>
      </c>
    </row>
    <row r="2161" spans="1:3">
      <c r="A2161" s="250">
        <v>6117</v>
      </c>
      <c r="B2161" s="74" t="s">
        <v>1759</v>
      </c>
      <c r="C2161" s="74" t="s">
        <v>418</v>
      </c>
    </row>
    <row r="2162" spans="1:3">
      <c r="A2162" s="250">
        <v>6118</v>
      </c>
      <c r="B2162" s="74" t="s">
        <v>1978</v>
      </c>
      <c r="C2162" s="74" t="s">
        <v>418</v>
      </c>
    </row>
    <row r="2163" spans="1:3">
      <c r="A2163" s="250">
        <v>6119</v>
      </c>
      <c r="B2163" s="74" t="s">
        <v>1759</v>
      </c>
      <c r="C2163" s="74" t="s">
        <v>418</v>
      </c>
    </row>
    <row r="2164" spans="1:3">
      <c r="A2164" s="250">
        <v>6120</v>
      </c>
      <c r="B2164" s="74" t="s">
        <v>1737</v>
      </c>
      <c r="C2164" s="74" t="s">
        <v>418</v>
      </c>
    </row>
    <row r="2165" spans="1:3">
      <c r="A2165" s="250">
        <v>6123</v>
      </c>
      <c r="B2165" s="74" t="s">
        <v>1737</v>
      </c>
      <c r="C2165" s="74" t="s">
        <v>418</v>
      </c>
    </row>
    <row r="2166" spans="1:3">
      <c r="A2166" s="250">
        <v>6126</v>
      </c>
      <c r="B2166" s="74" t="s">
        <v>1737</v>
      </c>
      <c r="C2166" s="74" t="s">
        <v>418</v>
      </c>
    </row>
    <row r="2167" spans="1:3">
      <c r="A2167" s="250">
        <v>6127</v>
      </c>
      <c r="B2167" s="74" t="s">
        <v>1759</v>
      </c>
      <c r="C2167" s="74" t="s">
        <v>418</v>
      </c>
    </row>
    <row r="2168" spans="1:3">
      <c r="A2168" s="250">
        <v>6128</v>
      </c>
      <c r="B2168" s="74" t="s">
        <v>1978</v>
      </c>
      <c r="C2168" s="74" t="s">
        <v>418</v>
      </c>
    </row>
    <row r="2169" spans="1:3">
      <c r="A2169" s="250">
        <v>6129</v>
      </c>
      <c r="B2169" s="74" t="s">
        <v>1979</v>
      </c>
      <c r="C2169" s="74" t="s">
        <v>418</v>
      </c>
    </row>
    <row r="2170" spans="1:3">
      <c r="A2170" s="250">
        <v>6131</v>
      </c>
      <c r="B2170" s="74" t="s">
        <v>1292</v>
      </c>
      <c r="C2170" s="74" t="s">
        <v>418</v>
      </c>
    </row>
    <row r="2171" spans="1:3">
      <c r="A2171" s="250">
        <v>6132</v>
      </c>
      <c r="B2171" s="74" t="s">
        <v>1737</v>
      </c>
      <c r="C2171" s="74" t="s">
        <v>418</v>
      </c>
    </row>
    <row r="2172" spans="1:3">
      <c r="A2172" s="250">
        <v>6133</v>
      </c>
      <c r="B2172" s="74" t="s">
        <v>1759</v>
      </c>
      <c r="C2172" s="74" t="s">
        <v>418</v>
      </c>
    </row>
    <row r="2173" spans="1:3">
      <c r="A2173" s="250">
        <v>6134</v>
      </c>
      <c r="B2173" s="74" t="s">
        <v>1737</v>
      </c>
      <c r="C2173" s="74" t="s">
        <v>418</v>
      </c>
    </row>
    <row r="2174" spans="1:3">
      <c r="A2174" s="250">
        <v>6137</v>
      </c>
      <c r="B2174" s="74" t="s">
        <v>1759</v>
      </c>
      <c r="C2174" s="74" t="s">
        <v>418</v>
      </c>
    </row>
    <row r="2175" spans="1:3">
      <c r="A2175" s="250">
        <v>6138</v>
      </c>
      <c r="B2175" s="74" t="s">
        <v>1978</v>
      </c>
      <c r="C2175" s="74" t="s">
        <v>418</v>
      </c>
    </row>
    <row r="2176" spans="1:3">
      <c r="A2176" s="250">
        <v>6140</v>
      </c>
      <c r="B2176" s="74" t="s">
        <v>1737</v>
      </c>
      <c r="C2176" s="74" t="s">
        <v>418</v>
      </c>
    </row>
    <row r="2177" spans="1:3">
      <c r="A2177" s="250">
        <v>6141</v>
      </c>
      <c r="B2177" s="74" t="s">
        <v>1737</v>
      </c>
      <c r="C2177" s="74" t="s">
        <v>418</v>
      </c>
    </row>
    <row r="2178" spans="1:3">
      <c r="A2178" s="250">
        <v>6142</v>
      </c>
      <c r="B2178" s="74" t="s">
        <v>1737</v>
      </c>
      <c r="C2178" s="74" t="s">
        <v>418</v>
      </c>
    </row>
    <row r="2179" spans="1:3">
      <c r="A2179" s="250">
        <v>6143</v>
      </c>
      <c r="B2179" s="74" t="s">
        <v>1737</v>
      </c>
      <c r="C2179" s="74" t="s">
        <v>418</v>
      </c>
    </row>
    <row r="2180" spans="1:3">
      <c r="A2180" s="250">
        <v>6144</v>
      </c>
      <c r="B2180" s="74" t="s">
        <v>1737</v>
      </c>
      <c r="C2180" s="74" t="s">
        <v>418</v>
      </c>
    </row>
    <row r="2181" spans="1:3">
      <c r="A2181" s="250">
        <v>6145</v>
      </c>
      <c r="B2181" s="74" t="s">
        <v>1737</v>
      </c>
      <c r="C2181" s="74" t="s">
        <v>418</v>
      </c>
    </row>
    <row r="2182" spans="1:3">
      <c r="A2182" s="250">
        <v>6146</v>
      </c>
      <c r="B2182" s="74" t="s">
        <v>1737</v>
      </c>
      <c r="C2182" s="74" t="s">
        <v>418</v>
      </c>
    </row>
    <row r="2183" spans="1:3">
      <c r="A2183" s="250">
        <v>6147</v>
      </c>
      <c r="B2183" s="74" t="s">
        <v>1737</v>
      </c>
      <c r="C2183" s="74" t="s">
        <v>418</v>
      </c>
    </row>
    <row r="2184" spans="1:3">
      <c r="A2184" s="250">
        <v>6150</v>
      </c>
      <c r="B2184" s="74" t="s">
        <v>1737</v>
      </c>
      <c r="C2184" s="74" t="s">
        <v>418</v>
      </c>
    </row>
    <row r="2185" spans="1:3">
      <c r="A2185" s="250">
        <v>6151</v>
      </c>
      <c r="B2185" s="74" t="s">
        <v>1737</v>
      </c>
      <c r="C2185" s="74" t="s">
        <v>418</v>
      </c>
    </row>
    <row r="2186" spans="1:3">
      <c r="A2186" s="250">
        <v>6152</v>
      </c>
      <c r="B2186" s="74" t="s">
        <v>1737</v>
      </c>
      <c r="C2186" s="74" t="s">
        <v>418</v>
      </c>
    </row>
    <row r="2187" spans="1:3">
      <c r="A2187" s="250">
        <v>6153</v>
      </c>
      <c r="B2187" s="74" t="s">
        <v>1737</v>
      </c>
      <c r="C2187" s="74" t="s">
        <v>418</v>
      </c>
    </row>
    <row r="2188" spans="1:3">
      <c r="A2188" s="250">
        <v>6154</v>
      </c>
      <c r="B2188" s="74" t="s">
        <v>1737</v>
      </c>
      <c r="C2188" s="74" t="s">
        <v>418</v>
      </c>
    </row>
    <row r="2189" spans="1:3">
      <c r="A2189" s="250">
        <v>6155</v>
      </c>
      <c r="B2189" s="74" t="s">
        <v>1737</v>
      </c>
      <c r="C2189" s="74" t="s">
        <v>418</v>
      </c>
    </row>
    <row r="2190" spans="1:3">
      <c r="A2190" s="250">
        <v>6156</v>
      </c>
      <c r="B2190" s="74" t="s">
        <v>1737</v>
      </c>
      <c r="C2190" s="74" t="s">
        <v>418</v>
      </c>
    </row>
    <row r="2191" spans="1:3">
      <c r="A2191" s="250">
        <v>6160</v>
      </c>
      <c r="B2191" s="74" t="s">
        <v>1737</v>
      </c>
      <c r="C2191" s="74" t="s">
        <v>418</v>
      </c>
    </row>
    <row r="2192" spans="1:3">
      <c r="A2192" s="250">
        <v>6161</v>
      </c>
      <c r="B2192" s="74" t="s">
        <v>1737</v>
      </c>
      <c r="C2192" s="74" t="s">
        <v>418</v>
      </c>
    </row>
    <row r="2193" spans="1:3">
      <c r="A2193" s="250">
        <v>6167</v>
      </c>
      <c r="B2193" s="74" t="s">
        <v>1737</v>
      </c>
      <c r="C2193" s="74" t="s">
        <v>418</v>
      </c>
    </row>
    <row r="2194" spans="1:3">
      <c r="A2194" s="250">
        <v>6176</v>
      </c>
      <c r="B2194" s="74" t="s">
        <v>1737</v>
      </c>
      <c r="C2194" s="74" t="s">
        <v>418</v>
      </c>
    </row>
    <row r="2195" spans="1:3">
      <c r="A2195" s="250">
        <v>6180</v>
      </c>
      <c r="B2195" s="74" t="s">
        <v>1737</v>
      </c>
      <c r="C2195" s="74" t="s">
        <v>418</v>
      </c>
    </row>
    <row r="2196" spans="1:3">
      <c r="A2196" s="250">
        <v>6183</v>
      </c>
      <c r="B2196" s="74" t="s">
        <v>1737</v>
      </c>
      <c r="C2196" s="74" t="s">
        <v>418</v>
      </c>
    </row>
    <row r="2197" spans="1:3">
      <c r="A2197" s="250">
        <v>6199</v>
      </c>
      <c r="B2197" s="74" t="s">
        <v>1737</v>
      </c>
      <c r="C2197" s="74" t="s">
        <v>418</v>
      </c>
    </row>
    <row r="2198" spans="1:3">
      <c r="A2198" s="250">
        <v>6226</v>
      </c>
      <c r="B2198" s="74" t="s">
        <v>1980</v>
      </c>
      <c r="C2198" s="74" t="s">
        <v>418</v>
      </c>
    </row>
    <row r="2199" spans="1:3">
      <c r="A2199" s="250">
        <v>6230</v>
      </c>
      <c r="B2199" s="74" t="s">
        <v>951</v>
      </c>
      <c r="C2199" s="74" t="s">
        <v>418</v>
      </c>
    </row>
    <row r="2200" spans="1:3">
      <c r="A2200" s="250">
        <v>6231</v>
      </c>
      <c r="B2200" s="74" t="s">
        <v>1981</v>
      </c>
      <c r="C2200" s="74" t="s">
        <v>418</v>
      </c>
    </row>
    <row r="2201" spans="1:3">
      <c r="A2201" s="250">
        <v>6232</v>
      </c>
      <c r="B2201" s="74" t="s">
        <v>807</v>
      </c>
      <c r="C2201" s="74" t="s">
        <v>418</v>
      </c>
    </row>
    <row r="2202" spans="1:3">
      <c r="A2202" s="250">
        <v>6233</v>
      </c>
      <c r="B2202" s="74" t="s">
        <v>1982</v>
      </c>
      <c r="C2202" s="74" t="s">
        <v>418</v>
      </c>
    </row>
    <row r="2203" spans="1:3">
      <c r="A2203" s="250">
        <v>6234</v>
      </c>
      <c r="B2203" s="74" t="s">
        <v>1983</v>
      </c>
      <c r="C2203" s="74" t="s">
        <v>418</v>
      </c>
    </row>
    <row r="2204" spans="1:3">
      <c r="A2204" s="250">
        <v>6235</v>
      </c>
      <c r="B2204" s="74" t="s">
        <v>1984</v>
      </c>
      <c r="C2204" s="74" t="s">
        <v>418</v>
      </c>
    </row>
    <row r="2205" spans="1:3">
      <c r="A2205" s="250">
        <v>6237</v>
      </c>
      <c r="B2205" s="74" t="s">
        <v>1985</v>
      </c>
      <c r="C2205" s="74" t="s">
        <v>418</v>
      </c>
    </row>
    <row r="2206" spans="1:3">
      <c r="A2206" s="250">
        <v>6238</v>
      </c>
      <c r="B2206" s="74" t="s">
        <v>1101</v>
      </c>
      <c r="C2206" s="74" t="s">
        <v>418</v>
      </c>
    </row>
    <row r="2207" spans="1:3">
      <c r="A2207" s="250">
        <v>6239</v>
      </c>
      <c r="B2207" s="74" t="s">
        <v>1986</v>
      </c>
      <c r="C2207" s="74" t="s">
        <v>418</v>
      </c>
    </row>
    <row r="2208" spans="1:3">
      <c r="A2208" s="250">
        <v>6241</v>
      </c>
      <c r="B2208" s="74" t="s">
        <v>1987</v>
      </c>
      <c r="C2208" s="74" t="s">
        <v>418</v>
      </c>
    </row>
    <row r="2209" spans="1:3">
      <c r="A2209" s="250">
        <v>6242</v>
      </c>
      <c r="B2209" s="74" t="s">
        <v>1988</v>
      </c>
      <c r="C2209" s="74" t="s">
        <v>418</v>
      </c>
    </row>
    <row r="2210" spans="1:3">
      <c r="A2210" s="250">
        <v>6243</v>
      </c>
      <c r="B2210" s="74" t="s">
        <v>1989</v>
      </c>
      <c r="C2210" s="74" t="s">
        <v>418</v>
      </c>
    </row>
    <row r="2211" spans="1:3">
      <c r="A2211" s="250">
        <v>6244</v>
      </c>
      <c r="B2211" s="74" t="s">
        <v>1990</v>
      </c>
      <c r="C2211" s="74" t="s">
        <v>418</v>
      </c>
    </row>
    <row r="2212" spans="1:3">
      <c r="A2212" s="250">
        <v>6245</v>
      </c>
      <c r="B2212" s="74" t="s">
        <v>1991</v>
      </c>
      <c r="C2212" s="74" t="s">
        <v>418</v>
      </c>
    </row>
    <row r="2213" spans="1:3">
      <c r="A2213" s="250">
        <v>6246</v>
      </c>
      <c r="B2213" s="74" t="s">
        <v>1992</v>
      </c>
      <c r="C2213" s="74" t="s">
        <v>418</v>
      </c>
    </row>
    <row r="2214" spans="1:3">
      <c r="A2214" s="250">
        <v>6247</v>
      </c>
      <c r="B2214" s="74" t="s">
        <v>1315</v>
      </c>
      <c r="C2214" s="74" t="s">
        <v>418</v>
      </c>
    </row>
    <row r="2215" spans="1:3">
      <c r="A2215" s="250">
        <v>6248</v>
      </c>
      <c r="B2215" s="74" t="s">
        <v>1190</v>
      </c>
      <c r="C2215" s="74" t="s">
        <v>418</v>
      </c>
    </row>
    <row r="2216" spans="1:3">
      <c r="A2216" s="250">
        <v>6249</v>
      </c>
      <c r="B2216" s="74" t="s">
        <v>1280</v>
      </c>
      <c r="C2216" s="74" t="s">
        <v>418</v>
      </c>
    </row>
    <row r="2217" spans="1:3">
      <c r="A2217" s="250">
        <v>6250</v>
      </c>
      <c r="B2217" s="74" t="s">
        <v>1993</v>
      </c>
      <c r="C2217" s="74" t="s">
        <v>418</v>
      </c>
    </row>
    <row r="2218" spans="1:3">
      <c r="A2218" s="250">
        <v>6251</v>
      </c>
      <c r="B2218" s="74" t="s">
        <v>1994</v>
      </c>
      <c r="C2218" s="74" t="s">
        <v>418</v>
      </c>
    </row>
    <row r="2219" spans="1:3">
      <c r="A2219" s="250">
        <v>6254</v>
      </c>
      <c r="B2219" s="74" t="s">
        <v>1995</v>
      </c>
      <c r="C2219" s="74" t="s">
        <v>418</v>
      </c>
    </row>
    <row r="2220" spans="1:3">
      <c r="A2220" s="250">
        <v>6255</v>
      </c>
      <c r="B2220" s="74" t="s">
        <v>1996</v>
      </c>
      <c r="C2220" s="74" t="s">
        <v>418</v>
      </c>
    </row>
    <row r="2221" spans="1:3">
      <c r="A2221" s="250">
        <v>6256</v>
      </c>
      <c r="B2221" s="74" t="s">
        <v>1997</v>
      </c>
      <c r="C2221" s="74" t="s">
        <v>418</v>
      </c>
    </row>
    <row r="2222" spans="1:3">
      <c r="A2222" s="250">
        <v>6258</v>
      </c>
      <c r="B2222" s="74" t="s">
        <v>1998</v>
      </c>
      <c r="C2222" s="74" t="s">
        <v>418</v>
      </c>
    </row>
    <row r="2223" spans="1:3">
      <c r="A2223" s="250">
        <v>6259</v>
      </c>
      <c r="B2223" s="74" t="s">
        <v>1999</v>
      </c>
      <c r="C2223" s="74" t="s">
        <v>418</v>
      </c>
    </row>
    <row r="2224" spans="1:3">
      <c r="A2224" s="250">
        <v>6260</v>
      </c>
      <c r="B2224" s="74" t="s">
        <v>2000</v>
      </c>
      <c r="C2224" s="74" t="s">
        <v>418</v>
      </c>
    </row>
    <row r="2225" spans="1:3">
      <c r="A2225" s="250">
        <v>6262</v>
      </c>
      <c r="B2225" s="74" t="s">
        <v>2001</v>
      </c>
      <c r="C2225" s="74" t="s">
        <v>418</v>
      </c>
    </row>
    <row r="2226" spans="1:3">
      <c r="A2226" s="250">
        <v>6263</v>
      </c>
      <c r="B2226" s="74" t="s">
        <v>2002</v>
      </c>
      <c r="C2226" s="74" t="s">
        <v>418</v>
      </c>
    </row>
    <row r="2227" spans="1:3">
      <c r="A2227" s="250">
        <v>6264</v>
      </c>
      <c r="B2227" s="74" t="s">
        <v>2003</v>
      </c>
      <c r="C2227" s="74" t="s">
        <v>418</v>
      </c>
    </row>
    <row r="2228" spans="1:3">
      <c r="A2228" s="250">
        <v>6265</v>
      </c>
      <c r="B2228" s="74" t="s">
        <v>2004</v>
      </c>
      <c r="C2228" s="74" t="s">
        <v>418</v>
      </c>
    </row>
    <row r="2229" spans="1:3">
      <c r="A2229" s="250">
        <v>6266</v>
      </c>
      <c r="B2229" s="74" t="s">
        <v>1414</v>
      </c>
      <c r="C2229" s="74" t="s">
        <v>418</v>
      </c>
    </row>
    <row r="2230" spans="1:3">
      <c r="A2230" s="250">
        <v>6267</v>
      </c>
      <c r="B2230" s="74" t="s">
        <v>1751</v>
      </c>
      <c r="C2230" s="74" t="s">
        <v>418</v>
      </c>
    </row>
    <row r="2231" spans="1:3">
      <c r="A2231" s="250">
        <v>6268</v>
      </c>
      <c r="B2231" s="74" t="s">
        <v>2005</v>
      </c>
      <c r="C2231" s="74" t="s">
        <v>418</v>
      </c>
    </row>
    <row r="2232" spans="1:3">
      <c r="A2232" s="250">
        <v>6269</v>
      </c>
      <c r="B2232" s="74" t="s">
        <v>2005</v>
      </c>
      <c r="C2232" s="74" t="s">
        <v>418</v>
      </c>
    </row>
    <row r="2233" spans="1:3">
      <c r="A2233" s="250">
        <v>6277</v>
      </c>
      <c r="B2233" s="74" t="s">
        <v>2006</v>
      </c>
      <c r="C2233" s="74" t="s">
        <v>418</v>
      </c>
    </row>
    <row r="2234" spans="1:3">
      <c r="A2234" s="250">
        <v>6278</v>
      </c>
      <c r="B2234" s="74" t="s">
        <v>2007</v>
      </c>
      <c r="C2234" s="74" t="s">
        <v>418</v>
      </c>
    </row>
    <row r="2235" spans="1:3">
      <c r="A2235" s="250">
        <v>6279</v>
      </c>
      <c r="B2235" s="74" t="s">
        <v>2008</v>
      </c>
      <c r="C2235" s="74" t="s">
        <v>418</v>
      </c>
    </row>
    <row r="2236" spans="1:3">
      <c r="A2236" s="250">
        <v>6280</v>
      </c>
      <c r="B2236" s="74" t="s">
        <v>1174</v>
      </c>
      <c r="C2236" s="74" t="s">
        <v>418</v>
      </c>
    </row>
    <row r="2237" spans="1:3">
      <c r="A2237" s="250">
        <v>6281</v>
      </c>
      <c r="B2237" s="74" t="s">
        <v>1223</v>
      </c>
      <c r="C2237" s="74" t="s">
        <v>418</v>
      </c>
    </row>
    <row r="2238" spans="1:3">
      <c r="A2238" s="250">
        <v>6282</v>
      </c>
      <c r="B2238" s="74" t="s">
        <v>2009</v>
      </c>
      <c r="C2238" s="74" t="s">
        <v>418</v>
      </c>
    </row>
    <row r="2239" spans="1:3">
      <c r="A2239" s="250">
        <v>6320</v>
      </c>
      <c r="B2239" s="74" t="s">
        <v>1201</v>
      </c>
      <c r="C2239" s="74" t="s">
        <v>418</v>
      </c>
    </row>
    <row r="2240" spans="1:3">
      <c r="A2240" s="250">
        <v>6330</v>
      </c>
      <c r="B2240" s="74" t="s">
        <v>2010</v>
      </c>
      <c r="C2240" s="74" t="s">
        <v>418</v>
      </c>
    </row>
    <row r="2241" spans="1:3">
      <c r="A2241" s="250">
        <v>6331</v>
      </c>
      <c r="B2241" s="74" t="s">
        <v>1179</v>
      </c>
      <c r="C2241" s="74" t="s">
        <v>418</v>
      </c>
    </row>
    <row r="2242" spans="1:3">
      <c r="A2242" s="250">
        <v>6332</v>
      </c>
      <c r="B2242" s="74" t="s">
        <v>2011</v>
      </c>
      <c r="C2242" s="74" t="s">
        <v>418</v>
      </c>
    </row>
    <row r="2243" spans="1:3">
      <c r="A2243" s="250">
        <v>6333</v>
      </c>
      <c r="B2243" s="74" t="s">
        <v>2012</v>
      </c>
      <c r="C2243" s="74" t="s">
        <v>418</v>
      </c>
    </row>
    <row r="2244" spans="1:3">
      <c r="A2244" s="250">
        <v>6334</v>
      </c>
      <c r="B2244" s="74" t="s">
        <v>2013</v>
      </c>
      <c r="C2244" s="74" t="s">
        <v>418</v>
      </c>
    </row>
    <row r="2245" spans="1:3">
      <c r="A2245" s="250">
        <v>6335</v>
      </c>
      <c r="B2245" s="74" t="s">
        <v>2014</v>
      </c>
      <c r="C2245" s="74" t="s">
        <v>418</v>
      </c>
    </row>
    <row r="2246" spans="1:3">
      <c r="A2246" s="250">
        <v>6336</v>
      </c>
      <c r="B2246" s="74" t="s">
        <v>1931</v>
      </c>
      <c r="C2246" s="74" t="s">
        <v>418</v>
      </c>
    </row>
    <row r="2247" spans="1:3">
      <c r="A2247" s="250">
        <v>6338</v>
      </c>
      <c r="B2247" s="74" t="s">
        <v>2015</v>
      </c>
      <c r="C2247" s="74" t="s">
        <v>418</v>
      </c>
    </row>
    <row r="2248" spans="1:3">
      <c r="A2248" s="250">
        <v>6339</v>
      </c>
      <c r="B2248" s="74" t="s">
        <v>2016</v>
      </c>
      <c r="C2248" s="74" t="s">
        <v>418</v>
      </c>
    </row>
    <row r="2249" spans="1:3">
      <c r="A2249" s="250">
        <v>6340</v>
      </c>
      <c r="B2249" s="74" t="s">
        <v>709</v>
      </c>
      <c r="C2249" s="74" t="s">
        <v>418</v>
      </c>
    </row>
    <row r="2250" spans="1:3">
      <c r="A2250" s="250">
        <v>6349</v>
      </c>
      <c r="B2250" s="74" t="s">
        <v>709</v>
      </c>
      <c r="C2250" s="74" t="s">
        <v>418</v>
      </c>
    </row>
    <row r="2251" spans="1:3">
      <c r="A2251" s="250">
        <v>6350</v>
      </c>
      <c r="B2251" s="74" t="s">
        <v>944</v>
      </c>
      <c r="C2251" s="74" t="s">
        <v>418</v>
      </c>
    </row>
    <row r="2252" spans="1:3">
      <c r="A2252" s="250">
        <v>6351</v>
      </c>
      <c r="B2252" s="74" t="s">
        <v>2017</v>
      </c>
      <c r="C2252" s="74" t="s">
        <v>418</v>
      </c>
    </row>
    <row r="2253" spans="1:3">
      <c r="A2253" s="250">
        <v>6353</v>
      </c>
      <c r="B2253" s="74" t="s">
        <v>2018</v>
      </c>
      <c r="C2253" s="74" t="s">
        <v>418</v>
      </c>
    </row>
    <row r="2254" spans="1:3">
      <c r="A2254" s="250">
        <v>6354</v>
      </c>
      <c r="B2254" s="74" t="s">
        <v>2019</v>
      </c>
      <c r="C2254" s="74" t="s">
        <v>418</v>
      </c>
    </row>
    <row r="2255" spans="1:3">
      <c r="A2255" s="250">
        <v>6355</v>
      </c>
      <c r="B2255" s="74" t="s">
        <v>2020</v>
      </c>
      <c r="C2255" s="74" t="s">
        <v>418</v>
      </c>
    </row>
    <row r="2256" spans="1:3">
      <c r="A2256" s="250">
        <v>6357</v>
      </c>
      <c r="B2256" s="74" t="s">
        <v>2021</v>
      </c>
      <c r="C2256" s="74" t="s">
        <v>418</v>
      </c>
    </row>
    <row r="2257" spans="1:3">
      <c r="A2257" s="250">
        <v>6359</v>
      </c>
      <c r="B2257" s="74" t="s">
        <v>2022</v>
      </c>
      <c r="C2257" s="74" t="s">
        <v>418</v>
      </c>
    </row>
    <row r="2258" spans="1:3">
      <c r="A2258" s="250">
        <v>6360</v>
      </c>
      <c r="B2258" s="74" t="s">
        <v>1743</v>
      </c>
      <c r="C2258" s="74" t="s">
        <v>418</v>
      </c>
    </row>
    <row r="2259" spans="1:3">
      <c r="A2259" s="250">
        <v>6365</v>
      </c>
      <c r="B2259" s="74" t="s">
        <v>2023</v>
      </c>
      <c r="C2259" s="74" t="s">
        <v>418</v>
      </c>
    </row>
    <row r="2260" spans="1:3">
      <c r="A2260" s="250">
        <v>6370</v>
      </c>
      <c r="B2260" s="74" t="s">
        <v>2024</v>
      </c>
      <c r="C2260" s="74" t="s">
        <v>418</v>
      </c>
    </row>
    <row r="2261" spans="1:3">
      <c r="A2261" s="250">
        <v>6371</v>
      </c>
      <c r="B2261" s="74" t="s">
        <v>2025</v>
      </c>
      <c r="C2261" s="74" t="s">
        <v>418</v>
      </c>
    </row>
    <row r="2262" spans="1:3">
      <c r="A2262" s="250">
        <v>6372</v>
      </c>
      <c r="B2262" s="74" t="s">
        <v>2026</v>
      </c>
      <c r="C2262" s="74" t="s">
        <v>418</v>
      </c>
    </row>
    <row r="2263" spans="1:3">
      <c r="A2263" s="250">
        <v>6373</v>
      </c>
      <c r="B2263" s="74" t="s">
        <v>2027</v>
      </c>
      <c r="C2263" s="74" t="s">
        <v>418</v>
      </c>
    </row>
    <row r="2264" spans="1:3">
      <c r="A2264" s="250">
        <v>6374</v>
      </c>
      <c r="B2264" s="74" t="s">
        <v>611</v>
      </c>
      <c r="C2264" s="74" t="s">
        <v>418</v>
      </c>
    </row>
    <row r="2265" spans="1:3">
      <c r="A2265" s="250">
        <v>6375</v>
      </c>
      <c r="B2265" s="74" t="s">
        <v>2028</v>
      </c>
      <c r="C2265" s="74" t="s">
        <v>418</v>
      </c>
    </row>
    <row r="2266" spans="1:3">
      <c r="A2266" s="250">
        <v>6376</v>
      </c>
      <c r="B2266" s="74" t="s">
        <v>2029</v>
      </c>
      <c r="C2266" s="74" t="s">
        <v>418</v>
      </c>
    </row>
    <row r="2267" spans="1:3">
      <c r="A2267" s="250">
        <v>6377</v>
      </c>
      <c r="B2267" s="74" t="s">
        <v>763</v>
      </c>
      <c r="C2267" s="74" t="s">
        <v>418</v>
      </c>
    </row>
    <row r="2268" spans="1:3">
      <c r="A2268" s="250">
        <v>6378</v>
      </c>
      <c r="B2268" s="74" t="s">
        <v>1613</v>
      </c>
      <c r="C2268" s="74" t="s">
        <v>418</v>
      </c>
    </row>
    <row r="2269" spans="1:3">
      <c r="A2269" s="250">
        <v>6379</v>
      </c>
      <c r="B2269" s="74" t="s">
        <v>2030</v>
      </c>
      <c r="C2269" s="74" t="s">
        <v>418</v>
      </c>
    </row>
    <row r="2270" spans="1:3">
      <c r="A2270" s="250">
        <v>6380</v>
      </c>
      <c r="B2270" s="74" t="s">
        <v>2031</v>
      </c>
      <c r="C2270" s="74" t="s">
        <v>418</v>
      </c>
    </row>
    <row r="2271" spans="1:3">
      <c r="A2271" s="250">
        <v>6382</v>
      </c>
      <c r="B2271" s="74" t="s">
        <v>2032</v>
      </c>
      <c r="C2271" s="74" t="s">
        <v>418</v>
      </c>
    </row>
    <row r="2272" spans="1:3">
      <c r="A2272" s="250">
        <v>6383</v>
      </c>
      <c r="B2272" s="74" t="s">
        <v>2033</v>
      </c>
      <c r="C2272" s="74" t="s">
        <v>418</v>
      </c>
    </row>
    <row r="2273" spans="1:3">
      <c r="A2273" s="250">
        <v>6384</v>
      </c>
      <c r="B2273" s="74" t="s">
        <v>2034</v>
      </c>
      <c r="C2273" s="74" t="s">
        <v>418</v>
      </c>
    </row>
    <row r="2274" spans="1:3">
      <c r="A2274" s="250">
        <v>6385</v>
      </c>
      <c r="B2274" s="74" t="s">
        <v>1420</v>
      </c>
      <c r="C2274" s="74" t="s">
        <v>418</v>
      </c>
    </row>
    <row r="2275" spans="1:3">
      <c r="A2275" s="250">
        <v>6386</v>
      </c>
      <c r="B2275" s="74" t="s">
        <v>1420</v>
      </c>
      <c r="C2275" s="74" t="s">
        <v>418</v>
      </c>
    </row>
    <row r="2276" spans="1:3">
      <c r="A2276" s="250">
        <v>6387</v>
      </c>
      <c r="B2276" s="74" t="s">
        <v>2035</v>
      </c>
      <c r="C2276" s="74" t="s">
        <v>418</v>
      </c>
    </row>
    <row r="2277" spans="1:3">
      <c r="A2277" s="250">
        <v>6388</v>
      </c>
      <c r="B2277" s="74" t="s">
        <v>2036</v>
      </c>
      <c r="C2277" s="74" t="s">
        <v>418</v>
      </c>
    </row>
    <row r="2278" spans="1:3">
      <c r="A2278" s="250">
        <v>6389</v>
      </c>
      <c r="B2278" s="74" t="s">
        <v>2037</v>
      </c>
      <c r="C2278" s="74" t="s">
        <v>418</v>
      </c>
    </row>
    <row r="2279" spans="1:3">
      <c r="A2279" s="250">
        <v>6390</v>
      </c>
      <c r="B2279" s="74" t="s">
        <v>2038</v>
      </c>
      <c r="C2279" s="74" t="s">
        <v>443</v>
      </c>
    </row>
    <row r="2280" spans="1:3">
      <c r="A2280" s="250">
        <v>6401</v>
      </c>
      <c r="B2280" s="74" t="s">
        <v>2039</v>
      </c>
      <c r="C2280" s="74" t="s">
        <v>418</v>
      </c>
    </row>
    <row r="2281" spans="1:3">
      <c r="A2281" s="250">
        <v>6403</v>
      </c>
      <c r="B2281" s="74" t="s">
        <v>2040</v>
      </c>
      <c r="C2281" s="74" t="s">
        <v>418</v>
      </c>
    </row>
    <row r="2282" spans="1:3">
      <c r="A2282" s="250">
        <v>6404</v>
      </c>
      <c r="B2282" s="74" t="s">
        <v>2041</v>
      </c>
      <c r="C2282" s="74" t="s">
        <v>418</v>
      </c>
    </row>
    <row r="2283" spans="1:3">
      <c r="A2283" s="250">
        <v>6405</v>
      </c>
      <c r="B2283" s="74" t="s">
        <v>2042</v>
      </c>
      <c r="C2283" s="74" t="s">
        <v>418</v>
      </c>
    </row>
    <row r="2284" spans="1:3">
      <c r="A2284" s="250">
        <v>6408</v>
      </c>
      <c r="B2284" s="74" t="s">
        <v>642</v>
      </c>
      <c r="C2284" s="74" t="s">
        <v>418</v>
      </c>
    </row>
    <row r="2285" spans="1:3">
      <c r="A2285" s="250">
        <v>6409</v>
      </c>
      <c r="B2285" s="74" t="s">
        <v>2043</v>
      </c>
      <c r="C2285" s="74" t="s">
        <v>418</v>
      </c>
    </row>
    <row r="2286" spans="1:3">
      <c r="A2286" s="250">
        <v>6410</v>
      </c>
      <c r="B2286" s="74" t="s">
        <v>642</v>
      </c>
      <c r="C2286" s="74" t="s">
        <v>418</v>
      </c>
    </row>
    <row r="2287" spans="1:3">
      <c r="A2287" s="250">
        <v>6411</v>
      </c>
      <c r="B2287" s="74" t="s">
        <v>642</v>
      </c>
      <c r="C2287" s="74" t="s">
        <v>418</v>
      </c>
    </row>
    <row r="2288" spans="1:3">
      <c r="A2288" s="250">
        <v>6412</v>
      </c>
      <c r="B2288" s="74" t="s">
        <v>583</v>
      </c>
      <c r="C2288" s="74" t="s">
        <v>418</v>
      </c>
    </row>
    <row r="2289" spans="1:3">
      <c r="A2289" s="250">
        <v>6413</v>
      </c>
      <c r="B2289" s="74" t="s">
        <v>732</v>
      </c>
      <c r="C2289" s="74" t="s">
        <v>418</v>
      </c>
    </row>
    <row r="2290" spans="1:3">
      <c r="A2290" s="250">
        <v>6414</v>
      </c>
      <c r="B2290" s="74" t="s">
        <v>2044</v>
      </c>
      <c r="C2290" s="74" t="s">
        <v>418</v>
      </c>
    </row>
    <row r="2291" spans="1:3">
      <c r="A2291" s="250">
        <v>6415</v>
      </c>
      <c r="B2291" s="74" t="s">
        <v>1802</v>
      </c>
      <c r="C2291" s="74" t="s">
        <v>418</v>
      </c>
    </row>
    <row r="2292" spans="1:3">
      <c r="A2292" s="250">
        <v>6416</v>
      </c>
      <c r="B2292" s="74" t="s">
        <v>2045</v>
      </c>
      <c r="C2292" s="74" t="s">
        <v>418</v>
      </c>
    </row>
    <row r="2293" spans="1:3">
      <c r="A2293" s="250">
        <v>6417</v>
      </c>
      <c r="B2293" s="74" t="s">
        <v>2046</v>
      </c>
      <c r="C2293" s="74" t="s">
        <v>418</v>
      </c>
    </row>
    <row r="2294" spans="1:3">
      <c r="A2294" s="250">
        <v>6418</v>
      </c>
      <c r="B2294" s="74" t="s">
        <v>1902</v>
      </c>
      <c r="C2294" s="74" t="s">
        <v>418</v>
      </c>
    </row>
    <row r="2295" spans="1:3">
      <c r="A2295" s="250">
        <v>6419</v>
      </c>
      <c r="B2295" s="74" t="s">
        <v>2047</v>
      </c>
      <c r="C2295" s="74" t="s">
        <v>418</v>
      </c>
    </row>
    <row r="2296" spans="1:3">
      <c r="A2296" s="250">
        <v>6420</v>
      </c>
      <c r="B2296" s="74" t="s">
        <v>858</v>
      </c>
      <c r="C2296" s="74" t="s">
        <v>418</v>
      </c>
    </row>
    <row r="2297" spans="1:3">
      <c r="A2297" s="250">
        <v>6422</v>
      </c>
      <c r="B2297" s="74" t="s">
        <v>1304</v>
      </c>
      <c r="C2297" s="74" t="s">
        <v>418</v>
      </c>
    </row>
    <row r="2298" spans="1:3">
      <c r="A2298" s="250">
        <v>6423</v>
      </c>
      <c r="B2298" s="74" t="s">
        <v>2048</v>
      </c>
      <c r="C2298" s="74" t="s">
        <v>418</v>
      </c>
    </row>
    <row r="2299" spans="1:3">
      <c r="A2299" s="250">
        <v>6424</v>
      </c>
      <c r="B2299" s="74" t="s">
        <v>2049</v>
      </c>
      <c r="C2299" s="74" t="s">
        <v>418</v>
      </c>
    </row>
    <row r="2300" spans="1:3">
      <c r="A2300" s="250">
        <v>6426</v>
      </c>
      <c r="B2300" s="74" t="s">
        <v>842</v>
      </c>
      <c r="C2300" s="74" t="s">
        <v>418</v>
      </c>
    </row>
    <row r="2301" spans="1:3">
      <c r="A2301" s="250">
        <v>6437</v>
      </c>
      <c r="B2301" s="74" t="s">
        <v>1507</v>
      </c>
      <c r="C2301" s="74" t="s">
        <v>418</v>
      </c>
    </row>
    <row r="2302" spans="1:3">
      <c r="A2302" s="250">
        <v>6438</v>
      </c>
      <c r="B2302" s="74" t="s">
        <v>2050</v>
      </c>
      <c r="C2302" s="74" t="s">
        <v>418</v>
      </c>
    </row>
    <row r="2303" spans="1:3">
      <c r="A2303" s="250">
        <v>6439</v>
      </c>
      <c r="B2303" s="74" t="s">
        <v>2051</v>
      </c>
      <c r="C2303" s="74" t="s">
        <v>418</v>
      </c>
    </row>
    <row r="2304" spans="1:3">
      <c r="A2304" s="250">
        <v>6440</v>
      </c>
      <c r="B2304" s="74" t="s">
        <v>2052</v>
      </c>
      <c r="C2304" s="74" t="s">
        <v>418</v>
      </c>
    </row>
    <row r="2305" spans="1:3">
      <c r="A2305" s="250">
        <v>6441</v>
      </c>
      <c r="B2305" s="74" t="s">
        <v>2053</v>
      </c>
      <c r="C2305" s="74" t="s">
        <v>418</v>
      </c>
    </row>
    <row r="2306" spans="1:3">
      <c r="A2306" s="250">
        <v>6442</v>
      </c>
      <c r="B2306" s="74" t="s">
        <v>2054</v>
      </c>
      <c r="C2306" s="74" t="s">
        <v>418</v>
      </c>
    </row>
    <row r="2307" spans="1:3">
      <c r="A2307" s="250">
        <v>6443</v>
      </c>
      <c r="B2307" s="74" t="s">
        <v>1320</v>
      </c>
      <c r="C2307" s="74" t="s">
        <v>418</v>
      </c>
    </row>
    <row r="2308" spans="1:3">
      <c r="A2308" s="250">
        <v>6444</v>
      </c>
      <c r="B2308" s="74" t="s">
        <v>1071</v>
      </c>
      <c r="C2308" s="74" t="s">
        <v>418</v>
      </c>
    </row>
    <row r="2309" spans="1:3">
      <c r="A2309" s="250">
        <v>6447</v>
      </c>
      <c r="B2309" s="74" t="s">
        <v>793</v>
      </c>
      <c r="C2309" s="74" t="s">
        <v>418</v>
      </c>
    </row>
    <row r="2310" spans="1:3">
      <c r="A2310" s="250">
        <v>6450</v>
      </c>
      <c r="B2310" s="74" t="s">
        <v>1283</v>
      </c>
      <c r="C2310" s="74" t="s">
        <v>418</v>
      </c>
    </row>
    <row r="2311" spans="1:3">
      <c r="A2311" s="250">
        <v>6451</v>
      </c>
      <c r="B2311" s="74" t="s">
        <v>1283</v>
      </c>
      <c r="C2311" s="74" t="s">
        <v>418</v>
      </c>
    </row>
    <row r="2312" spans="1:3">
      <c r="A2312" s="250">
        <v>6454</v>
      </c>
      <c r="B2312" s="74" t="s">
        <v>1283</v>
      </c>
      <c r="C2312" s="74" t="s">
        <v>418</v>
      </c>
    </row>
    <row r="2313" spans="1:3">
      <c r="A2313" s="250">
        <v>6455</v>
      </c>
      <c r="B2313" s="74" t="s">
        <v>652</v>
      </c>
      <c r="C2313" s="74" t="s">
        <v>418</v>
      </c>
    </row>
    <row r="2314" spans="1:3">
      <c r="A2314" s="250">
        <v>6456</v>
      </c>
      <c r="B2314" s="74" t="s">
        <v>2055</v>
      </c>
      <c r="C2314" s="74" t="s">
        <v>418</v>
      </c>
    </row>
    <row r="2315" spans="1:3">
      <c r="A2315" s="250">
        <v>6457</v>
      </c>
      <c r="B2315" s="74" t="s">
        <v>1119</v>
      </c>
      <c r="C2315" s="74" t="s">
        <v>418</v>
      </c>
    </row>
    <row r="2316" spans="1:3">
      <c r="A2316" s="250">
        <v>6459</v>
      </c>
      <c r="B2316" s="74" t="s">
        <v>1119</v>
      </c>
      <c r="C2316" s="74" t="s">
        <v>418</v>
      </c>
    </row>
    <row r="2317" spans="1:3">
      <c r="A2317" s="250">
        <v>6460</v>
      </c>
      <c r="B2317" s="74" t="s">
        <v>796</v>
      </c>
      <c r="C2317" s="74" t="s">
        <v>418</v>
      </c>
    </row>
    <row r="2318" spans="1:3">
      <c r="A2318" s="250">
        <v>6461</v>
      </c>
      <c r="B2318" s="74" t="s">
        <v>796</v>
      </c>
      <c r="C2318" s="74" t="s">
        <v>418</v>
      </c>
    </row>
    <row r="2319" spans="1:3">
      <c r="A2319" s="250">
        <v>6467</v>
      </c>
      <c r="B2319" s="74" t="s">
        <v>2056</v>
      </c>
      <c r="C2319" s="74" t="s">
        <v>418</v>
      </c>
    </row>
    <row r="2320" spans="1:3">
      <c r="A2320" s="250">
        <v>6468</v>
      </c>
      <c r="B2320" s="74" t="s">
        <v>1284</v>
      </c>
      <c r="C2320" s="74" t="s">
        <v>418</v>
      </c>
    </row>
    <row r="2321" spans="1:3">
      <c r="A2321" s="250">
        <v>6469</v>
      </c>
      <c r="B2321" s="74" t="s">
        <v>2057</v>
      </c>
      <c r="C2321" s="74" t="s">
        <v>418</v>
      </c>
    </row>
    <row r="2322" spans="1:3">
      <c r="A2322" s="250">
        <v>6470</v>
      </c>
      <c r="B2322" s="74" t="s">
        <v>2058</v>
      </c>
      <c r="C2322" s="74" t="s">
        <v>418</v>
      </c>
    </row>
    <row r="2323" spans="1:3">
      <c r="A2323" s="250">
        <v>6471</v>
      </c>
      <c r="B2323" s="74" t="s">
        <v>2059</v>
      </c>
      <c r="C2323" s="74" t="s">
        <v>418</v>
      </c>
    </row>
    <row r="2324" spans="1:3">
      <c r="A2324" s="250">
        <v>6472</v>
      </c>
      <c r="B2324" s="74" t="s">
        <v>2060</v>
      </c>
      <c r="C2324" s="74" t="s">
        <v>418</v>
      </c>
    </row>
    <row r="2325" spans="1:3">
      <c r="A2325" s="250">
        <v>6473</v>
      </c>
      <c r="B2325" s="74" t="s">
        <v>1667</v>
      </c>
      <c r="C2325" s="74" t="s">
        <v>418</v>
      </c>
    </row>
    <row r="2326" spans="1:3">
      <c r="A2326" s="250">
        <v>6474</v>
      </c>
      <c r="B2326" s="74" t="s">
        <v>2061</v>
      </c>
      <c r="C2326" s="74" t="s">
        <v>418</v>
      </c>
    </row>
    <row r="2327" spans="1:3">
      <c r="A2327" s="250">
        <v>6475</v>
      </c>
      <c r="B2327" s="74" t="s">
        <v>2062</v>
      </c>
      <c r="C2327" s="74" t="s">
        <v>418</v>
      </c>
    </row>
    <row r="2328" spans="1:3">
      <c r="A2328" s="250">
        <v>6477</v>
      </c>
      <c r="B2328" s="74" t="s">
        <v>689</v>
      </c>
      <c r="C2328" s="74" t="s">
        <v>418</v>
      </c>
    </row>
    <row r="2329" spans="1:3">
      <c r="A2329" s="250">
        <v>6478</v>
      </c>
      <c r="B2329" s="74" t="s">
        <v>754</v>
      </c>
      <c r="C2329" s="74" t="s">
        <v>418</v>
      </c>
    </row>
    <row r="2330" spans="1:3">
      <c r="A2330" s="250">
        <v>6479</v>
      </c>
      <c r="B2330" s="74" t="s">
        <v>2063</v>
      </c>
      <c r="C2330" s="74" t="s">
        <v>418</v>
      </c>
    </row>
    <row r="2331" spans="1:3">
      <c r="A2331" s="250">
        <v>6480</v>
      </c>
      <c r="B2331" s="74" t="s">
        <v>1429</v>
      </c>
      <c r="C2331" s="74" t="s">
        <v>418</v>
      </c>
    </row>
    <row r="2332" spans="1:3">
      <c r="A2332" s="250">
        <v>6481</v>
      </c>
      <c r="B2332" s="74" t="s">
        <v>2064</v>
      </c>
      <c r="C2332" s="74" t="s">
        <v>418</v>
      </c>
    </row>
    <row r="2333" spans="1:3">
      <c r="A2333" s="250">
        <v>6482</v>
      </c>
      <c r="B2333" s="74" t="s">
        <v>2065</v>
      </c>
      <c r="C2333" s="74" t="s">
        <v>418</v>
      </c>
    </row>
    <row r="2334" spans="1:3">
      <c r="A2334" s="250">
        <v>6483</v>
      </c>
      <c r="B2334" s="74" t="s">
        <v>2066</v>
      </c>
      <c r="C2334" s="74" t="s">
        <v>418</v>
      </c>
    </row>
    <row r="2335" spans="1:3">
      <c r="A2335" s="250">
        <v>6484</v>
      </c>
      <c r="B2335" s="74" t="s">
        <v>2067</v>
      </c>
      <c r="C2335" s="74" t="s">
        <v>418</v>
      </c>
    </row>
    <row r="2336" spans="1:3">
      <c r="A2336" s="250">
        <v>6487</v>
      </c>
      <c r="B2336" s="74" t="s">
        <v>2068</v>
      </c>
      <c r="C2336" s="74" t="s">
        <v>418</v>
      </c>
    </row>
    <row r="2337" spans="1:3">
      <c r="A2337" s="250">
        <v>6488</v>
      </c>
      <c r="B2337" s="74" t="s">
        <v>2069</v>
      </c>
      <c r="C2337" s="74" t="s">
        <v>418</v>
      </c>
    </row>
    <row r="2338" spans="1:3">
      <c r="A2338" s="250">
        <v>6489</v>
      </c>
      <c r="B2338" s="74" t="s">
        <v>2070</v>
      </c>
      <c r="C2338" s="74" t="s">
        <v>418</v>
      </c>
    </row>
    <row r="2339" spans="1:3">
      <c r="A2339" s="250">
        <v>6491</v>
      </c>
      <c r="B2339" s="74" t="s">
        <v>2071</v>
      </c>
      <c r="C2339" s="74" t="s">
        <v>418</v>
      </c>
    </row>
    <row r="2340" spans="1:3">
      <c r="A2340" s="250">
        <v>6492</v>
      </c>
      <c r="B2340" s="74" t="s">
        <v>1891</v>
      </c>
      <c r="C2340" s="74" t="s">
        <v>418</v>
      </c>
    </row>
    <row r="2341" spans="1:3">
      <c r="A2341" s="250">
        <v>6493</v>
      </c>
      <c r="B2341" s="74" t="s">
        <v>1891</v>
      </c>
      <c r="C2341" s="74" t="s">
        <v>418</v>
      </c>
    </row>
    <row r="2342" spans="1:3">
      <c r="A2342" s="250">
        <v>6494</v>
      </c>
      <c r="B2342" s="74" t="s">
        <v>1891</v>
      </c>
      <c r="C2342" s="74" t="s">
        <v>418</v>
      </c>
    </row>
    <row r="2343" spans="1:3">
      <c r="A2343" s="250">
        <v>6495</v>
      </c>
      <c r="B2343" s="74" t="s">
        <v>1891</v>
      </c>
      <c r="C2343" s="74" t="s">
        <v>418</v>
      </c>
    </row>
    <row r="2344" spans="1:3">
      <c r="A2344" s="250">
        <v>6497</v>
      </c>
      <c r="B2344" s="74" t="s">
        <v>2072</v>
      </c>
      <c r="C2344" s="74" t="s">
        <v>418</v>
      </c>
    </row>
    <row r="2345" spans="1:3">
      <c r="A2345" s="250">
        <v>6498</v>
      </c>
      <c r="B2345" s="74" t="s">
        <v>1423</v>
      </c>
      <c r="C2345" s="74" t="s">
        <v>418</v>
      </c>
    </row>
    <row r="2346" spans="1:3">
      <c r="A2346" s="250">
        <v>6501</v>
      </c>
      <c r="B2346" s="74" t="s">
        <v>1823</v>
      </c>
      <c r="C2346" s="74" t="s">
        <v>418</v>
      </c>
    </row>
    <row r="2347" spans="1:3">
      <c r="A2347" s="250">
        <v>6502</v>
      </c>
      <c r="B2347" s="74" t="s">
        <v>1823</v>
      </c>
      <c r="C2347" s="74" t="s">
        <v>418</v>
      </c>
    </row>
    <row r="2348" spans="1:3">
      <c r="A2348" s="250">
        <v>6503</v>
      </c>
      <c r="B2348" s="74" t="s">
        <v>1823</v>
      </c>
      <c r="C2348" s="74" t="s">
        <v>418</v>
      </c>
    </row>
    <row r="2349" spans="1:3">
      <c r="A2349" s="250">
        <v>6504</v>
      </c>
      <c r="B2349" s="74" t="s">
        <v>1823</v>
      </c>
      <c r="C2349" s="74" t="s">
        <v>418</v>
      </c>
    </row>
    <row r="2350" spans="1:3">
      <c r="A2350" s="250">
        <v>6505</v>
      </c>
      <c r="B2350" s="74" t="s">
        <v>1823</v>
      </c>
      <c r="C2350" s="74" t="s">
        <v>418</v>
      </c>
    </row>
    <row r="2351" spans="1:3">
      <c r="A2351" s="250">
        <v>6506</v>
      </c>
      <c r="B2351" s="74" t="s">
        <v>1823</v>
      </c>
      <c r="C2351" s="74" t="s">
        <v>418</v>
      </c>
    </row>
    <row r="2352" spans="1:3">
      <c r="A2352" s="250">
        <v>6507</v>
      </c>
      <c r="B2352" s="74" t="s">
        <v>1823</v>
      </c>
      <c r="C2352" s="74" t="s">
        <v>418</v>
      </c>
    </row>
    <row r="2353" spans="1:3">
      <c r="A2353" s="250">
        <v>6508</v>
      </c>
      <c r="B2353" s="74" t="s">
        <v>1823</v>
      </c>
      <c r="C2353" s="74" t="s">
        <v>418</v>
      </c>
    </row>
    <row r="2354" spans="1:3">
      <c r="A2354" s="250">
        <v>6509</v>
      </c>
      <c r="B2354" s="74" t="s">
        <v>1823</v>
      </c>
      <c r="C2354" s="74" t="s">
        <v>418</v>
      </c>
    </row>
    <row r="2355" spans="1:3">
      <c r="A2355" s="250">
        <v>6510</v>
      </c>
      <c r="B2355" s="74" t="s">
        <v>1823</v>
      </c>
      <c r="C2355" s="74" t="s">
        <v>418</v>
      </c>
    </row>
    <row r="2356" spans="1:3">
      <c r="A2356" s="250">
        <v>6511</v>
      </c>
      <c r="B2356" s="74" t="s">
        <v>1823</v>
      </c>
      <c r="C2356" s="74" t="s">
        <v>418</v>
      </c>
    </row>
    <row r="2357" spans="1:3">
      <c r="A2357" s="250">
        <v>6512</v>
      </c>
      <c r="B2357" s="74" t="s">
        <v>1907</v>
      </c>
      <c r="C2357" s="74" t="s">
        <v>418</v>
      </c>
    </row>
    <row r="2358" spans="1:3">
      <c r="A2358" s="250">
        <v>6513</v>
      </c>
      <c r="B2358" s="74" t="s">
        <v>1823</v>
      </c>
      <c r="C2358" s="74" t="s">
        <v>418</v>
      </c>
    </row>
    <row r="2359" spans="1:3">
      <c r="A2359" s="250">
        <v>6514</v>
      </c>
      <c r="B2359" s="74" t="s">
        <v>2073</v>
      </c>
      <c r="C2359" s="74" t="s">
        <v>418</v>
      </c>
    </row>
    <row r="2360" spans="1:3">
      <c r="A2360" s="250">
        <v>6515</v>
      </c>
      <c r="B2360" s="74" t="s">
        <v>1823</v>
      </c>
      <c r="C2360" s="74" t="s">
        <v>418</v>
      </c>
    </row>
    <row r="2361" spans="1:3">
      <c r="A2361" s="250">
        <v>6516</v>
      </c>
      <c r="B2361" s="74" t="s">
        <v>2074</v>
      </c>
      <c r="C2361" s="74" t="s">
        <v>418</v>
      </c>
    </row>
    <row r="2362" spans="1:3">
      <c r="A2362" s="250">
        <v>6517</v>
      </c>
      <c r="B2362" s="74" t="s">
        <v>2073</v>
      </c>
      <c r="C2362" s="74" t="s">
        <v>418</v>
      </c>
    </row>
    <row r="2363" spans="1:3">
      <c r="A2363" s="250">
        <v>6518</v>
      </c>
      <c r="B2363" s="74" t="s">
        <v>2073</v>
      </c>
      <c r="C2363" s="74" t="s">
        <v>418</v>
      </c>
    </row>
    <row r="2364" spans="1:3">
      <c r="A2364" s="250">
        <v>6519</v>
      </c>
      <c r="B2364" s="74" t="s">
        <v>1823</v>
      </c>
      <c r="C2364" s="74" t="s">
        <v>418</v>
      </c>
    </row>
    <row r="2365" spans="1:3">
      <c r="A2365" s="250">
        <v>6520</v>
      </c>
      <c r="B2365" s="74" t="s">
        <v>1823</v>
      </c>
      <c r="C2365" s="74" t="s">
        <v>418</v>
      </c>
    </row>
    <row r="2366" spans="1:3">
      <c r="A2366" s="250">
        <v>6521</v>
      </c>
      <c r="B2366" s="74" t="s">
        <v>1823</v>
      </c>
      <c r="C2366" s="74" t="s">
        <v>418</v>
      </c>
    </row>
    <row r="2367" spans="1:3">
      <c r="A2367" s="250">
        <v>6524</v>
      </c>
      <c r="B2367" s="74" t="s">
        <v>2075</v>
      </c>
      <c r="C2367" s="74" t="s">
        <v>418</v>
      </c>
    </row>
    <row r="2368" spans="1:3">
      <c r="A2368" s="250">
        <v>6525</v>
      </c>
      <c r="B2368" s="74" t="s">
        <v>2076</v>
      </c>
      <c r="C2368" s="74" t="s">
        <v>418</v>
      </c>
    </row>
    <row r="2369" spans="1:3">
      <c r="A2369" s="250">
        <v>6530</v>
      </c>
      <c r="B2369" s="74" t="s">
        <v>1823</v>
      </c>
      <c r="C2369" s="74" t="s">
        <v>418</v>
      </c>
    </row>
    <row r="2370" spans="1:3">
      <c r="A2370" s="250">
        <v>6531</v>
      </c>
      <c r="B2370" s="74" t="s">
        <v>1823</v>
      </c>
      <c r="C2370" s="74" t="s">
        <v>418</v>
      </c>
    </row>
    <row r="2371" spans="1:3">
      <c r="A2371" s="250">
        <v>6532</v>
      </c>
      <c r="B2371" s="74" t="s">
        <v>1823</v>
      </c>
      <c r="C2371" s="74" t="s">
        <v>418</v>
      </c>
    </row>
    <row r="2372" spans="1:3">
      <c r="A2372" s="250">
        <v>6533</v>
      </c>
      <c r="B2372" s="74" t="s">
        <v>1823</v>
      </c>
      <c r="C2372" s="74" t="s">
        <v>418</v>
      </c>
    </row>
    <row r="2373" spans="1:3">
      <c r="A2373" s="250">
        <v>6534</v>
      </c>
      <c r="B2373" s="74" t="s">
        <v>1823</v>
      </c>
      <c r="C2373" s="74" t="s">
        <v>418</v>
      </c>
    </row>
    <row r="2374" spans="1:3">
      <c r="A2374" s="250">
        <v>6535</v>
      </c>
      <c r="B2374" s="74" t="s">
        <v>1823</v>
      </c>
      <c r="C2374" s="74" t="s">
        <v>418</v>
      </c>
    </row>
    <row r="2375" spans="1:3">
      <c r="A2375" s="250">
        <v>6536</v>
      </c>
      <c r="B2375" s="74" t="s">
        <v>1823</v>
      </c>
      <c r="C2375" s="74" t="s">
        <v>418</v>
      </c>
    </row>
    <row r="2376" spans="1:3">
      <c r="A2376" s="250">
        <v>6537</v>
      </c>
      <c r="B2376" s="74" t="s">
        <v>1823</v>
      </c>
      <c r="C2376" s="74" t="s">
        <v>418</v>
      </c>
    </row>
    <row r="2377" spans="1:3">
      <c r="A2377" s="250">
        <v>6538</v>
      </c>
      <c r="B2377" s="74" t="s">
        <v>1823</v>
      </c>
      <c r="C2377" s="74" t="s">
        <v>418</v>
      </c>
    </row>
    <row r="2378" spans="1:3">
      <c r="A2378" s="250">
        <v>6540</v>
      </c>
      <c r="B2378" s="74" t="s">
        <v>1823</v>
      </c>
      <c r="C2378" s="74" t="s">
        <v>418</v>
      </c>
    </row>
    <row r="2379" spans="1:3">
      <c r="A2379" s="250">
        <v>6601</v>
      </c>
      <c r="B2379" s="74" t="s">
        <v>2077</v>
      </c>
      <c r="C2379" s="74" t="s">
        <v>418</v>
      </c>
    </row>
    <row r="2380" spans="1:3">
      <c r="A2380" s="250">
        <v>6602</v>
      </c>
      <c r="B2380" s="74" t="s">
        <v>2077</v>
      </c>
      <c r="C2380" s="74" t="s">
        <v>418</v>
      </c>
    </row>
    <row r="2381" spans="1:3">
      <c r="A2381" s="250">
        <v>6604</v>
      </c>
      <c r="B2381" s="74" t="s">
        <v>2077</v>
      </c>
      <c r="C2381" s="74" t="s">
        <v>418</v>
      </c>
    </row>
    <row r="2382" spans="1:3">
      <c r="A2382" s="250">
        <v>6605</v>
      </c>
      <c r="B2382" s="74" t="s">
        <v>2077</v>
      </c>
      <c r="C2382" s="74" t="s">
        <v>418</v>
      </c>
    </row>
    <row r="2383" spans="1:3">
      <c r="A2383" s="250">
        <v>6606</v>
      </c>
      <c r="B2383" s="74" t="s">
        <v>2077</v>
      </c>
      <c r="C2383" s="74" t="s">
        <v>418</v>
      </c>
    </row>
    <row r="2384" spans="1:3">
      <c r="A2384" s="250">
        <v>6607</v>
      </c>
      <c r="B2384" s="74" t="s">
        <v>2077</v>
      </c>
      <c r="C2384" s="74" t="s">
        <v>418</v>
      </c>
    </row>
    <row r="2385" spans="1:3">
      <c r="A2385" s="250">
        <v>6608</v>
      </c>
      <c r="B2385" s="74" t="s">
        <v>2077</v>
      </c>
      <c r="C2385" s="74" t="s">
        <v>418</v>
      </c>
    </row>
    <row r="2386" spans="1:3">
      <c r="A2386" s="250">
        <v>6610</v>
      </c>
      <c r="B2386" s="74" t="s">
        <v>2077</v>
      </c>
      <c r="C2386" s="74" t="s">
        <v>418</v>
      </c>
    </row>
    <row r="2387" spans="1:3">
      <c r="A2387" s="250">
        <v>6611</v>
      </c>
      <c r="B2387" s="74" t="s">
        <v>2078</v>
      </c>
      <c r="C2387" s="74" t="s">
        <v>418</v>
      </c>
    </row>
    <row r="2388" spans="1:3">
      <c r="A2388" s="250">
        <v>6612</v>
      </c>
      <c r="B2388" s="74" t="s">
        <v>941</v>
      </c>
      <c r="C2388" s="74" t="s">
        <v>418</v>
      </c>
    </row>
    <row r="2389" spans="1:3">
      <c r="A2389" s="250">
        <v>6614</v>
      </c>
      <c r="B2389" s="74" t="s">
        <v>2072</v>
      </c>
      <c r="C2389" s="74" t="s">
        <v>418</v>
      </c>
    </row>
    <row r="2390" spans="1:3">
      <c r="A2390" s="250">
        <v>6615</v>
      </c>
      <c r="B2390" s="74" t="s">
        <v>2072</v>
      </c>
      <c r="C2390" s="74" t="s">
        <v>418</v>
      </c>
    </row>
    <row r="2391" spans="1:3">
      <c r="A2391" s="250">
        <v>6650</v>
      </c>
      <c r="B2391" s="74" t="s">
        <v>2077</v>
      </c>
      <c r="C2391" s="74" t="s">
        <v>418</v>
      </c>
    </row>
    <row r="2392" spans="1:3">
      <c r="A2392" s="250">
        <v>6673</v>
      </c>
      <c r="B2392" s="74" t="s">
        <v>2077</v>
      </c>
      <c r="C2392" s="74" t="s">
        <v>418</v>
      </c>
    </row>
    <row r="2393" spans="1:3">
      <c r="A2393" s="250">
        <v>6699</v>
      </c>
      <c r="B2393" s="74" t="s">
        <v>2077</v>
      </c>
      <c r="C2393" s="74" t="s">
        <v>418</v>
      </c>
    </row>
    <row r="2394" spans="1:3">
      <c r="A2394" s="250">
        <v>6701</v>
      </c>
      <c r="B2394" s="74" t="s">
        <v>1855</v>
      </c>
      <c r="C2394" s="74" t="s">
        <v>418</v>
      </c>
    </row>
    <row r="2395" spans="1:3">
      <c r="A2395" s="250">
        <v>6702</v>
      </c>
      <c r="B2395" s="74" t="s">
        <v>1855</v>
      </c>
      <c r="C2395" s="74" t="s">
        <v>418</v>
      </c>
    </row>
    <row r="2396" spans="1:3">
      <c r="A2396" s="250">
        <v>6703</v>
      </c>
      <c r="B2396" s="74" t="s">
        <v>1855</v>
      </c>
      <c r="C2396" s="74" t="s">
        <v>418</v>
      </c>
    </row>
    <row r="2397" spans="1:3">
      <c r="A2397" s="250">
        <v>6704</v>
      </c>
      <c r="B2397" s="74" t="s">
        <v>1855</v>
      </c>
      <c r="C2397" s="74" t="s">
        <v>418</v>
      </c>
    </row>
    <row r="2398" spans="1:3">
      <c r="A2398" s="250">
        <v>6705</v>
      </c>
      <c r="B2398" s="74" t="s">
        <v>1855</v>
      </c>
      <c r="C2398" s="74" t="s">
        <v>418</v>
      </c>
    </row>
    <row r="2399" spans="1:3">
      <c r="A2399" s="250">
        <v>6706</v>
      </c>
      <c r="B2399" s="74" t="s">
        <v>1855</v>
      </c>
      <c r="C2399" s="74" t="s">
        <v>418</v>
      </c>
    </row>
    <row r="2400" spans="1:3">
      <c r="A2400" s="250">
        <v>6708</v>
      </c>
      <c r="B2400" s="74" t="s">
        <v>1855</v>
      </c>
      <c r="C2400" s="74" t="s">
        <v>418</v>
      </c>
    </row>
    <row r="2401" spans="1:3">
      <c r="A2401" s="250">
        <v>6710</v>
      </c>
      <c r="B2401" s="74" t="s">
        <v>1855</v>
      </c>
      <c r="C2401" s="74" t="s">
        <v>418</v>
      </c>
    </row>
    <row r="2402" spans="1:3">
      <c r="A2402" s="250">
        <v>6712</v>
      </c>
      <c r="B2402" s="74" t="s">
        <v>2079</v>
      </c>
      <c r="C2402" s="74" t="s">
        <v>418</v>
      </c>
    </row>
    <row r="2403" spans="1:3">
      <c r="A2403" s="250">
        <v>6716</v>
      </c>
      <c r="B2403" s="74" t="s">
        <v>1860</v>
      </c>
      <c r="C2403" s="74" t="s">
        <v>418</v>
      </c>
    </row>
    <row r="2404" spans="1:3">
      <c r="A2404" s="250">
        <v>6720</v>
      </c>
      <c r="B2404" s="74" t="s">
        <v>1855</v>
      </c>
      <c r="C2404" s="74" t="s">
        <v>418</v>
      </c>
    </row>
    <row r="2405" spans="1:3">
      <c r="A2405" s="250">
        <v>6721</v>
      </c>
      <c r="B2405" s="74" t="s">
        <v>1855</v>
      </c>
      <c r="C2405" s="74" t="s">
        <v>418</v>
      </c>
    </row>
    <row r="2406" spans="1:3">
      <c r="A2406" s="250">
        <v>6722</v>
      </c>
      <c r="B2406" s="74" t="s">
        <v>1855</v>
      </c>
      <c r="C2406" s="74" t="s">
        <v>418</v>
      </c>
    </row>
    <row r="2407" spans="1:3">
      <c r="A2407" s="250">
        <v>6723</v>
      </c>
      <c r="B2407" s="74" t="s">
        <v>1855</v>
      </c>
      <c r="C2407" s="74" t="s">
        <v>418</v>
      </c>
    </row>
    <row r="2408" spans="1:3">
      <c r="A2408" s="250">
        <v>6724</v>
      </c>
      <c r="B2408" s="74" t="s">
        <v>1855</v>
      </c>
      <c r="C2408" s="74" t="s">
        <v>418</v>
      </c>
    </row>
    <row r="2409" spans="1:3">
      <c r="A2409" s="250">
        <v>6725</v>
      </c>
      <c r="B2409" s="74" t="s">
        <v>1855</v>
      </c>
      <c r="C2409" s="74" t="s">
        <v>418</v>
      </c>
    </row>
    <row r="2410" spans="1:3">
      <c r="A2410" s="250">
        <v>6726</v>
      </c>
      <c r="B2410" s="74" t="s">
        <v>1855</v>
      </c>
      <c r="C2410" s="74" t="s">
        <v>418</v>
      </c>
    </row>
    <row r="2411" spans="1:3">
      <c r="A2411" s="250">
        <v>6749</v>
      </c>
      <c r="B2411" s="74" t="s">
        <v>1855</v>
      </c>
      <c r="C2411" s="74" t="s">
        <v>418</v>
      </c>
    </row>
    <row r="2412" spans="1:3">
      <c r="A2412" s="250">
        <v>6750</v>
      </c>
      <c r="B2412" s="74" t="s">
        <v>2080</v>
      </c>
      <c r="C2412" s="74" t="s">
        <v>418</v>
      </c>
    </row>
    <row r="2413" spans="1:3">
      <c r="A2413" s="250">
        <v>6751</v>
      </c>
      <c r="B2413" s="74" t="s">
        <v>1247</v>
      </c>
      <c r="C2413" s="74" t="s">
        <v>418</v>
      </c>
    </row>
    <row r="2414" spans="1:3">
      <c r="A2414" s="250">
        <v>6752</v>
      </c>
      <c r="B2414" s="74" t="s">
        <v>936</v>
      </c>
      <c r="C2414" s="74" t="s">
        <v>418</v>
      </c>
    </row>
    <row r="2415" spans="1:3">
      <c r="A2415" s="250">
        <v>6753</v>
      </c>
      <c r="B2415" s="74" t="s">
        <v>2081</v>
      </c>
      <c r="C2415" s="74" t="s">
        <v>418</v>
      </c>
    </row>
    <row r="2416" spans="1:3">
      <c r="A2416" s="250">
        <v>6754</v>
      </c>
      <c r="B2416" s="74" t="s">
        <v>2082</v>
      </c>
      <c r="C2416" s="74" t="s">
        <v>418</v>
      </c>
    </row>
    <row r="2417" spans="1:3">
      <c r="A2417" s="250">
        <v>6755</v>
      </c>
      <c r="B2417" s="74" t="s">
        <v>2083</v>
      </c>
      <c r="C2417" s="74" t="s">
        <v>418</v>
      </c>
    </row>
    <row r="2418" spans="1:3">
      <c r="A2418" s="250">
        <v>6756</v>
      </c>
      <c r="B2418" s="74" t="s">
        <v>592</v>
      </c>
      <c r="C2418" s="74" t="s">
        <v>418</v>
      </c>
    </row>
    <row r="2419" spans="1:3">
      <c r="A2419" s="250">
        <v>6757</v>
      </c>
      <c r="B2419" s="74" t="s">
        <v>2084</v>
      </c>
      <c r="C2419" s="74" t="s">
        <v>418</v>
      </c>
    </row>
    <row r="2420" spans="1:3">
      <c r="A2420" s="250">
        <v>6758</v>
      </c>
      <c r="B2420" s="74" t="s">
        <v>2085</v>
      </c>
      <c r="C2420" s="74" t="s">
        <v>418</v>
      </c>
    </row>
    <row r="2421" spans="1:3">
      <c r="A2421" s="250">
        <v>6759</v>
      </c>
      <c r="B2421" s="74" t="s">
        <v>1161</v>
      </c>
      <c r="C2421" s="74" t="s">
        <v>418</v>
      </c>
    </row>
    <row r="2422" spans="1:3">
      <c r="A2422" s="250">
        <v>6762</v>
      </c>
      <c r="B2422" s="74" t="s">
        <v>1879</v>
      </c>
      <c r="C2422" s="74" t="s">
        <v>418</v>
      </c>
    </row>
    <row r="2423" spans="1:3">
      <c r="A2423" s="250">
        <v>6763</v>
      </c>
      <c r="B2423" s="74" t="s">
        <v>2086</v>
      </c>
      <c r="C2423" s="74" t="s">
        <v>418</v>
      </c>
    </row>
    <row r="2424" spans="1:3">
      <c r="A2424" s="250">
        <v>6770</v>
      </c>
      <c r="B2424" s="74" t="s">
        <v>2087</v>
      </c>
      <c r="C2424" s="74" t="s">
        <v>418</v>
      </c>
    </row>
    <row r="2425" spans="1:3">
      <c r="A2425" s="250">
        <v>6776</v>
      </c>
      <c r="B2425" s="74" t="s">
        <v>2088</v>
      </c>
      <c r="C2425" s="74" t="s">
        <v>418</v>
      </c>
    </row>
    <row r="2426" spans="1:3">
      <c r="A2426" s="250">
        <v>6777</v>
      </c>
      <c r="B2426" s="74" t="s">
        <v>2089</v>
      </c>
      <c r="C2426" s="74" t="s">
        <v>418</v>
      </c>
    </row>
    <row r="2427" spans="1:3">
      <c r="A2427" s="250">
        <v>6778</v>
      </c>
      <c r="B2427" s="74" t="s">
        <v>688</v>
      </c>
      <c r="C2427" s="74" t="s">
        <v>418</v>
      </c>
    </row>
    <row r="2428" spans="1:3">
      <c r="A2428" s="250">
        <v>6779</v>
      </c>
      <c r="B2428" s="74" t="s">
        <v>2090</v>
      </c>
      <c r="C2428" s="74" t="s">
        <v>418</v>
      </c>
    </row>
    <row r="2429" spans="1:3">
      <c r="A2429" s="250">
        <v>6781</v>
      </c>
      <c r="B2429" s="74" t="s">
        <v>2091</v>
      </c>
      <c r="C2429" s="74" t="s">
        <v>418</v>
      </c>
    </row>
    <row r="2430" spans="1:3">
      <c r="A2430" s="250">
        <v>6782</v>
      </c>
      <c r="B2430" s="74" t="s">
        <v>956</v>
      </c>
      <c r="C2430" s="74" t="s">
        <v>418</v>
      </c>
    </row>
    <row r="2431" spans="1:3">
      <c r="A2431" s="250">
        <v>6783</v>
      </c>
      <c r="B2431" s="74" t="s">
        <v>901</v>
      </c>
      <c r="C2431" s="74" t="s">
        <v>418</v>
      </c>
    </row>
    <row r="2432" spans="1:3">
      <c r="A2432" s="250">
        <v>6784</v>
      </c>
      <c r="B2432" s="74" t="s">
        <v>1652</v>
      </c>
      <c r="C2432" s="74" t="s">
        <v>418</v>
      </c>
    </row>
    <row r="2433" spans="1:3">
      <c r="A2433" s="250">
        <v>6785</v>
      </c>
      <c r="B2433" s="74" t="s">
        <v>2092</v>
      </c>
      <c r="C2433" s="74" t="s">
        <v>418</v>
      </c>
    </row>
    <row r="2434" spans="1:3">
      <c r="A2434" s="250">
        <v>6786</v>
      </c>
      <c r="B2434" s="74" t="s">
        <v>2093</v>
      </c>
      <c r="C2434" s="74" t="s">
        <v>418</v>
      </c>
    </row>
    <row r="2435" spans="1:3">
      <c r="A2435" s="250">
        <v>6787</v>
      </c>
      <c r="B2435" s="74" t="s">
        <v>1673</v>
      </c>
      <c r="C2435" s="74" t="s">
        <v>418</v>
      </c>
    </row>
    <row r="2436" spans="1:3">
      <c r="A2436" s="250">
        <v>6790</v>
      </c>
      <c r="B2436" s="74" t="s">
        <v>2094</v>
      </c>
      <c r="C2436" s="74" t="s">
        <v>418</v>
      </c>
    </row>
    <row r="2437" spans="1:3">
      <c r="A2437" s="250">
        <v>6791</v>
      </c>
      <c r="B2437" s="74" t="s">
        <v>2095</v>
      </c>
      <c r="C2437" s="74" t="s">
        <v>418</v>
      </c>
    </row>
    <row r="2438" spans="1:3">
      <c r="A2438" s="250">
        <v>6792</v>
      </c>
      <c r="B2438" s="74" t="s">
        <v>2094</v>
      </c>
      <c r="C2438" s="74" t="s">
        <v>418</v>
      </c>
    </row>
    <row r="2439" spans="1:3">
      <c r="A2439" s="250">
        <v>6793</v>
      </c>
      <c r="B2439" s="74" t="s">
        <v>1215</v>
      </c>
      <c r="C2439" s="74" t="s">
        <v>418</v>
      </c>
    </row>
    <row r="2440" spans="1:3">
      <c r="A2440" s="250">
        <v>6794</v>
      </c>
      <c r="B2440" s="74" t="s">
        <v>2096</v>
      </c>
      <c r="C2440" s="74" t="s">
        <v>418</v>
      </c>
    </row>
    <row r="2441" spans="1:3">
      <c r="A2441" s="250">
        <v>6795</v>
      </c>
      <c r="B2441" s="74" t="s">
        <v>983</v>
      </c>
      <c r="C2441" s="74" t="s">
        <v>418</v>
      </c>
    </row>
    <row r="2442" spans="1:3">
      <c r="A2442" s="250">
        <v>6796</v>
      </c>
      <c r="B2442" s="74" t="s">
        <v>2097</v>
      </c>
      <c r="C2442" s="74" t="s">
        <v>418</v>
      </c>
    </row>
    <row r="2443" spans="1:3">
      <c r="A2443" s="250">
        <v>6798</v>
      </c>
      <c r="B2443" s="74" t="s">
        <v>1861</v>
      </c>
      <c r="C2443" s="74" t="s">
        <v>418</v>
      </c>
    </row>
    <row r="2444" spans="1:3">
      <c r="A2444" s="250">
        <v>6801</v>
      </c>
      <c r="B2444" s="74" t="s">
        <v>1434</v>
      </c>
      <c r="C2444" s="74" t="s">
        <v>418</v>
      </c>
    </row>
    <row r="2445" spans="1:3">
      <c r="A2445" s="250">
        <v>6804</v>
      </c>
      <c r="B2445" s="74" t="s">
        <v>728</v>
      </c>
      <c r="C2445" s="74" t="s">
        <v>418</v>
      </c>
    </row>
    <row r="2446" spans="1:3">
      <c r="A2446" s="250">
        <v>6807</v>
      </c>
      <c r="B2446" s="74" t="s">
        <v>2098</v>
      </c>
      <c r="C2446" s="74" t="s">
        <v>418</v>
      </c>
    </row>
    <row r="2447" spans="1:3">
      <c r="A2447" s="250">
        <v>6810</v>
      </c>
      <c r="B2447" s="74" t="s">
        <v>1184</v>
      </c>
      <c r="C2447" s="74" t="s">
        <v>418</v>
      </c>
    </row>
    <row r="2448" spans="1:3">
      <c r="A2448" s="250">
        <v>6811</v>
      </c>
      <c r="B2448" s="74" t="s">
        <v>1184</v>
      </c>
      <c r="C2448" s="74" t="s">
        <v>418</v>
      </c>
    </row>
    <row r="2449" spans="1:3">
      <c r="A2449" s="250">
        <v>6812</v>
      </c>
      <c r="B2449" s="74" t="s">
        <v>2099</v>
      </c>
      <c r="C2449" s="74" t="s">
        <v>418</v>
      </c>
    </row>
    <row r="2450" spans="1:3">
      <c r="A2450" s="250">
        <v>6813</v>
      </c>
      <c r="B2450" s="74" t="s">
        <v>1184</v>
      </c>
      <c r="C2450" s="74" t="s">
        <v>418</v>
      </c>
    </row>
    <row r="2451" spans="1:3">
      <c r="A2451" s="250">
        <v>6814</v>
      </c>
      <c r="B2451" s="74" t="s">
        <v>1184</v>
      </c>
      <c r="C2451" s="74" t="s">
        <v>418</v>
      </c>
    </row>
    <row r="2452" spans="1:3">
      <c r="A2452" s="250">
        <v>6816</v>
      </c>
      <c r="B2452" s="74" t="s">
        <v>1184</v>
      </c>
      <c r="C2452" s="74" t="s">
        <v>418</v>
      </c>
    </row>
    <row r="2453" spans="1:3">
      <c r="A2453" s="250">
        <v>6817</v>
      </c>
      <c r="B2453" s="74" t="s">
        <v>1184</v>
      </c>
      <c r="C2453" s="74" t="s">
        <v>418</v>
      </c>
    </row>
    <row r="2454" spans="1:3">
      <c r="A2454" s="250">
        <v>6820</v>
      </c>
      <c r="B2454" s="74" t="s">
        <v>2100</v>
      </c>
      <c r="C2454" s="74" t="s">
        <v>418</v>
      </c>
    </row>
    <row r="2455" spans="1:3">
      <c r="A2455" s="250">
        <v>6824</v>
      </c>
      <c r="B2455" s="74" t="s">
        <v>1694</v>
      </c>
      <c r="C2455" s="74" t="s">
        <v>418</v>
      </c>
    </row>
    <row r="2456" spans="1:3">
      <c r="A2456" s="250">
        <v>6825</v>
      </c>
      <c r="B2456" s="74" t="s">
        <v>1694</v>
      </c>
      <c r="C2456" s="74" t="s">
        <v>418</v>
      </c>
    </row>
    <row r="2457" spans="1:3">
      <c r="A2457" s="250">
        <v>6828</v>
      </c>
      <c r="B2457" s="74" t="s">
        <v>1694</v>
      </c>
      <c r="C2457" s="74" t="s">
        <v>418</v>
      </c>
    </row>
    <row r="2458" spans="1:3">
      <c r="A2458" s="250">
        <v>6829</v>
      </c>
      <c r="B2458" s="74" t="s">
        <v>813</v>
      </c>
      <c r="C2458" s="74" t="s">
        <v>418</v>
      </c>
    </row>
    <row r="2459" spans="1:3">
      <c r="A2459" s="250">
        <v>6830</v>
      </c>
      <c r="B2459" s="74" t="s">
        <v>2101</v>
      </c>
      <c r="C2459" s="74" t="s">
        <v>418</v>
      </c>
    </row>
    <row r="2460" spans="1:3">
      <c r="A2460" s="250">
        <v>6831</v>
      </c>
      <c r="B2460" s="74" t="s">
        <v>2101</v>
      </c>
      <c r="C2460" s="74" t="s">
        <v>418</v>
      </c>
    </row>
    <row r="2461" spans="1:3">
      <c r="A2461" s="250">
        <v>6832</v>
      </c>
      <c r="B2461" s="74" t="s">
        <v>2101</v>
      </c>
      <c r="C2461" s="74" t="s">
        <v>418</v>
      </c>
    </row>
    <row r="2462" spans="1:3">
      <c r="A2462" s="250">
        <v>6836</v>
      </c>
      <c r="B2462" s="74" t="s">
        <v>2101</v>
      </c>
      <c r="C2462" s="74" t="s">
        <v>418</v>
      </c>
    </row>
    <row r="2463" spans="1:3">
      <c r="A2463" s="250">
        <v>6838</v>
      </c>
      <c r="B2463" s="74" t="s">
        <v>2102</v>
      </c>
      <c r="C2463" s="74" t="s">
        <v>418</v>
      </c>
    </row>
    <row r="2464" spans="1:3">
      <c r="A2464" s="250">
        <v>6840</v>
      </c>
      <c r="B2464" s="74" t="s">
        <v>2103</v>
      </c>
      <c r="C2464" s="74" t="s">
        <v>418</v>
      </c>
    </row>
    <row r="2465" spans="1:3">
      <c r="A2465" s="250">
        <v>6842</v>
      </c>
      <c r="B2465" s="74" t="s">
        <v>2103</v>
      </c>
      <c r="C2465" s="74" t="s">
        <v>418</v>
      </c>
    </row>
    <row r="2466" spans="1:3">
      <c r="A2466" s="250">
        <v>6850</v>
      </c>
      <c r="B2466" s="74" t="s">
        <v>2104</v>
      </c>
      <c r="C2466" s="74" t="s">
        <v>418</v>
      </c>
    </row>
    <row r="2467" spans="1:3">
      <c r="A2467" s="250">
        <v>6851</v>
      </c>
      <c r="B2467" s="74" t="s">
        <v>2104</v>
      </c>
      <c r="C2467" s="74" t="s">
        <v>418</v>
      </c>
    </row>
    <row r="2468" spans="1:3">
      <c r="A2468" s="250">
        <v>6852</v>
      </c>
      <c r="B2468" s="74" t="s">
        <v>2104</v>
      </c>
      <c r="C2468" s="74" t="s">
        <v>418</v>
      </c>
    </row>
    <row r="2469" spans="1:3">
      <c r="A2469" s="250">
        <v>6853</v>
      </c>
      <c r="B2469" s="74" t="s">
        <v>2104</v>
      </c>
      <c r="C2469" s="74" t="s">
        <v>418</v>
      </c>
    </row>
    <row r="2470" spans="1:3">
      <c r="A2470" s="250">
        <v>6854</v>
      </c>
      <c r="B2470" s="74" t="s">
        <v>2104</v>
      </c>
      <c r="C2470" s="74" t="s">
        <v>418</v>
      </c>
    </row>
    <row r="2471" spans="1:3">
      <c r="A2471" s="250">
        <v>6855</v>
      </c>
      <c r="B2471" s="74" t="s">
        <v>2104</v>
      </c>
      <c r="C2471" s="74" t="s">
        <v>418</v>
      </c>
    </row>
    <row r="2472" spans="1:3">
      <c r="A2472" s="250">
        <v>6856</v>
      </c>
      <c r="B2472" s="74" t="s">
        <v>2104</v>
      </c>
      <c r="C2472" s="74" t="s">
        <v>418</v>
      </c>
    </row>
    <row r="2473" spans="1:3">
      <c r="A2473" s="250">
        <v>6857</v>
      </c>
      <c r="B2473" s="74" t="s">
        <v>2104</v>
      </c>
      <c r="C2473" s="74" t="s">
        <v>418</v>
      </c>
    </row>
    <row r="2474" spans="1:3">
      <c r="A2474" s="250">
        <v>6858</v>
      </c>
      <c r="B2474" s="74" t="s">
        <v>2104</v>
      </c>
      <c r="C2474" s="74" t="s">
        <v>418</v>
      </c>
    </row>
    <row r="2475" spans="1:3">
      <c r="A2475" s="250">
        <v>6859</v>
      </c>
      <c r="B2475" s="74" t="s">
        <v>2104</v>
      </c>
      <c r="C2475" s="74" t="s">
        <v>418</v>
      </c>
    </row>
    <row r="2476" spans="1:3">
      <c r="A2476" s="250">
        <v>6860</v>
      </c>
      <c r="B2476" s="74" t="s">
        <v>2104</v>
      </c>
      <c r="C2476" s="74" t="s">
        <v>418</v>
      </c>
    </row>
    <row r="2477" spans="1:3">
      <c r="A2477" s="250">
        <v>6870</v>
      </c>
      <c r="B2477" s="74" t="s">
        <v>2105</v>
      </c>
      <c r="C2477" s="74" t="s">
        <v>418</v>
      </c>
    </row>
    <row r="2478" spans="1:3">
      <c r="A2478" s="250">
        <v>6875</v>
      </c>
      <c r="B2478" s="74" t="s">
        <v>2106</v>
      </c>
      <c r="C2478" s="74" t="s">
        <v>418</v>
      </c>
    </row>
    <row r="2479" spans="1:3">
      <c r="A2479" s="250">
        <v>6876</v>
      </c>
      <c r="B2479" s="74" t="s">
        <v>2107</v>
      </c>
      <c r="C2479" s="74" t="s">
        <v>418</v>
      </c>
    </row>
    <row r="2480" spans="1:3">
      <c r="A2480" s="250">
        <v>6877</v>
      </c>
      <c r="B2480" s="74" t="s">
        <v>2108</v>
      </c>
      <c r="C2480" s="74" t="s">
        <v>418</v>
      </c>
    </row>
    <row r="2481" spans="1:3">
      <c r="A2481" s="250">
        <v>6878</v>
      </c>
      <c r="B2481" s="74" t="s">
        <v>1147</v>
      </c>
      <c r="C2481" s="74" t="s">
        <v>418</v>
      </c>
    </row>
    <row r="2482" spans="1:3">
      <c r="A2482" s="250">
        <v>6879</v>
      </c>
      <c r="B2482" s="74" t="s">
        <v>2108</v>
      </c>
      <c r="C2482" s="74" t="s">
        <v>418</v>
      </c>
    </row>
    <row r="2483" spans="1:3">
      <c r="A2483" s="250">
        <v>6880</v>
      </c>
      <c r="B2483" s="74" t="s">
        <v>1090</v>
      </c>
      <c r="C2483" s="74" t="s">
        <v>418</v>
      </c>
    </row>
    <row r="2484" spans="1:3">
      <c r="A2484" s="250">
        <v>6881</v>
      </c>
      <c r="B2484" s="74" t="s">
        <v>1090</v>
      </c>
      <c r="C2484" s="74" t="s">
        <v>418</v>
      </c>
    </row>
    <row r="2485" spans="1:3">
      <c r="A2485" s="250">
        <v>6883</v>
      </c>
      <c r="B2485" s="74" t="s">
        <v>991</v>
      </c>
      <c r="C2485" s="74" t="s">
        <v>418</v>
      </c>
    </row>
    <row r="2486" spans="1:3">
      <c r="A2486" s="250">
        <v>6888</v>
      </c>
      <c r="B2486" s="74" t="s">
        <v>1090</v>
      </c>
      <c r="C2486" s="74" t="s">
        <v>418</v>
      </c>
    </row>
    <row r="2487" spans="1:3">
      <c r="A2487" s="250">
        <v>6889</v>
      </c>
      <c r="B2487" s="74" t="s">
        <v>1090</v>
      </c>
      <c r="C2487" s="74" t="s">
        <v>418</v>
      </c>
    </row>
    <row r="2488" spans="1:3">
      <c r="A2488" s="250">
        <v>6890</v>
      </c>
      <c r="B2488" s="74" t="s">
        <v>1560</v>
      </c>
      <c r="C2488" s="74" t="s">
        <v>418</v>
      </c>
    </row>
    <row r="2489" spans="1:3">
      <c r="A2489" s="250">
        <v>6896</v>
      </c>
      <c r="B2489" s="74" t="s">
        <v>2109</v>
      </c>
      <c r="C2489" s="74" t="s">
        <v>418</v>
      </c>
    </row>
    <row r="2490" spans="1:3">
      <c r="A2490" s="250">
        <v>6897</v>
      </c>
      <c r="B2490" s="74" t="s">
        <v>1173</v>
      </c>
      <c r="C2490" s="74" t="s">
        <v>418</v>
      </c>
    </row>
    <row r="2491" spans="1:3">
      <c r="A2491" s="250">
        <v>6901</v>
      </c>
      <c r="B2491" s="74" t="s">
        <v>1789</v>
      </c>
      <c r="C2491" s="74" t="s">
        <v>418</v>
      </c>
    </row>
    <row r="2492" spans="1:3">
      <c r="A2492" s="250">
        <v>6902</v>
      </c>
      <c r="B2492" s="74" t="s">
        <v>1789</v>
      </c>
      <c r="C2492" s="74" t="s">
        <v>418</v>
      </c>
    </row>
    <row r="2493" spans="1:3">
      <c r="A2493" s="250">
        <v>6903</v>
      </c>
      <c r="B2493" s="74" t="s">
        <v>1789</v>
      </c>
      <c r="C2493" s="74" t="s">
        <v>418</v>
      </c>
    </row>
    <row r="2494" spans="1:3">
      <c r="A2494" s="250">
        <v>6904</v>
      </c>
      <c r="B2494" s="74" t="s">
        <v>1789</v>
      </c>
      <c r="C2494" s="74" t="s">
        <v>418</v>
      </c>
    </row>
    <row r="2495" spans="1:3">
      <c r="A2495" s="250">
        <v>6905</v>
      </c>
      <c r="B2495" s="74" t="s">
        <v>1789</v>
      </c>
      <c r="C2495" s="74" t="s">
        <v>418</v>
      </c>
    </row>
    <row r="2496" spans="1:3">
      <c r="A2496" s="250">
        <v>6906</v>
      </c>
      <c r="B2496" s="74" t="s">
        <v>1789</v>
      </c>
      <c r="C2496" s="74" t="s">
        <v>418</v>
      </c>
    </row>
    <row r="2497" spans="1:3">
      <c r="A2497" s="250">
        <v>6907</v>
      </c>
      <c r="B2497" s="74" t="s">
        <v>1789</v>
      </c>
      <c r="C2497" s="74" t="s">
        <v>418</v>
      </c>
    </row>
    <row r="2498" spans="1:3">
      <c r="A2498" s="250">
        <v>6910</v>
      </c>
      <c r="B2498" s="74" t="s">
        <v>1789</v>
      </c>
      <c r="C2498" s="74" t="s">
        <v>418</v>
      </c>
    </row>
    <row r="2499" spans="1:3">
      <c r="A2499" s="250">
        <v>6911</v>
      </c>
      <c r="B2499" s="74" t="s">
        <v>1789</v>
      </c>
      <c r="C2499" s="74" t="s">
        <v>418</v>
      </c>
    </row>
    <row r="2500" spans="1:3">
      <c r="A2500" s="250">
        <v>6912</v>
      </c>
      <c r="B2500" s="74" t="s">
        <v>1789</v>
      </c>
      <c r="C2500" s="74" t="s">
        <v>418</v>
      </c>
    </row>
    <row r="2501" spans="1:3">
      <c r="A2501" s="250">
        <v>6913</v>
      </c>
      <c r="B2501" s="74" t="s">
        <v>1789</v>
      </c>
      <c r="C2501" s="74" t="s">
        <v>418</v>
      </c>
    </row>
    <row r="2502" spans="1:3">
      <c r="A2502" s="250">
        <v>6914</v>
      </c>
      <c r="B2502" s="74" t="s">
        <v>1789</v>
      </c>
      <c r="C2502" s="74" t="s">
        <v>418</v>
      </c>
    </row>
    <row r="2503" spans="1:3">
      <c r="A2503" s="250">
        <v>6920</v>
      </c>
      <c r="B2503" s="74" t="s">
        <v>1789</v>
      </c>
      <c r="C2503" s="74" t="s">
        <v>418</v>
      </c>
    </row>
    <row r="2504" spans="1:3">
      <c r="A2504" s="250">
        <v>6921</v>
      </c>
      <c r="B2504" s="74" t="s">
        <v>1789</v>
      </c>
      <c r="C2504" s="74" t="s">
        <v>418</v>
      </c>
    </row>
    <row r="2505" spans="1:3">
      <c r="A2505" s="250">
        <v>6922</v>
      </c>
      <c r="B2505" s="74" t="s">
        <v>1789</v>
      </c>
      <c r="C2505" s="74" t="s">
        <v>418</v>
      </c>
    </row>
    <row r="2506" spans="1:3">
      <c r="A2506" s="250">
        <v>6925</v>
      </c>
      <c r="B2506" s="74" t="s">
        <v>1789</v>
      </c>
      <c r="C2506" s="74" t="s">
        <v>418</v>
      </c>
    </row>
    <row r="2507" spans="1:3">
      <c r="A2507" s="250">
        <v>6926</v>
      </c>
      <c r="B2507" s="74" t="s">
        <v>1789</v>
      </c>
      <c r="C2507" s="74" t="s">
        <v>418</v>
      </c>
    </row>
    <row r="2508" spans="1:3">
      <c r="A2508" s="250">
        <v>6927</v>
      </c>
      <c r="B2508" s="74" t="s">
        <v>1789</v>
      </c>
      <c r="C2508" s="74" t="s">
        <v>418</v>
      </c>
    </row>
    <row r="2509" spans="1:3">
      <c r="A2509" s="250">
        <v>6928</v>
      </c>
      <c r="B2509" s="74" t="s">
        <v>1789</v>
      </c>
      <c r="C2509" s="74" t="s">
        <v>418</v>
      </c>
    </row>
    <row r="2510" spans="1:3">
      <c r="A2510" s="250">
        <v>7001</v>
      </c>
      <c r="B2510" s="74" t="s">
        <v>2110</v>
      </c>
      <c r="C2510" s="74" t="s">
        <v>441</v>
      </c>
    </row>
    <row r="2511" spans="1:3">
      <c r="A2511" s="250">
        <v>7002</v>
      </c>
      <c r="B2511" s="74" t="s">
        <v>2111</v>
      </c>
      <c r="C2511" s="74" t="s">
        <v>441</v>
      </c>
    </row>
    <row r="2512" spans="1:3">
      <c r="A2512" s="250">
        <v>7003</v>
      </c>
      <c r="B2512" s="74" t="s">
        <v>1933</v>
      </c>
      <c r="C2512" s="74" t="s">
        <v>441</v>
      </c>
    </row>
    <row r="2513" spans="1:3">
      <c r="A2513" s="250">
        <v>7004</v>
      </c>
      <c r="B2513" s="74" t="s">
        <v>1694</v>
      </c>
      <c r="C2513" s="74" t="s">
        <v>441</v>
      </c>
    </row>
    <row r="2514" spans="1:3">
      <c r="A2514" s="250">
        <v>7005</v>
      </c>
      <c r="B2514" s="74" t="s">
        <v>2112</v>
      </c>
      <c r="C2514" s="74" t="s">
        <v>441</v>
      </c>
    </row>
    <row r="2515" spans="1:3">
      <c r="A2515" s="250">
        <v>7006</v>
      </c>
      <c r="B2515" s="74" t="s">
        <v>2113</v>
      </c>
      <c r="C2515" s="74" t="s">
        <v>441</v>
      </c>
    </row>
    <row r="2516" spans="1:3">
      <c r="A2516" s="250">
        <v>7007</v>
      </c>
      <c r="B2516" s="74" t="s">
        <v>2113</v>
      </c>
      <c r="C2516" s="74" t="s">
        <v>441</v>
      </c>
    </row>
    <row r="2517" spans="1:3">
      <c r="A2517" s="250">
        <v>7008</v>
      </c>
      <c r="B2517" s="74" t="s">
        <v>2114</v>
      </c>
      <c r="C2517" s="74" t="s">
        <v>441</v>
      </c>
    </row>
    <row r="2518" spans="1:3">
      <c r="A2518" s="250">
        <v>7009</v>
      </c>
      <c r="B2518" s="74" t="s">
        <v>2115</v>
      </c>
      <c r="C2518" s="74" t="s">
        <v>441</v>
      </c>
    </row>
    <row r="2519" spans="1:3">
      <c r="A2519" s="250">
        <v>7010</v>
      </c>
      <c r="B2519" s="74" t="s">
        <v>2116</v>
      </c>
      <c r="C2519" s="74" t="s">
        <v>441</v>
      </c>
    </row>
    <row r="2520" spans="1:3">
      <c r="A2520" s="250">
        <v>7011</v>
      </c>
      <c r="B2520" s="74" t="s">
        <v>2117</v>
      </c>
      <c r="C2520" s="74" t="s">
        <v>441</v>
      </c>
    </row>
    <row r="2521" spans="1:3">
      <c r="A2521" s="250">
        <v>7012</v>
      </c>
      <c r="B2521" s="74" t="s">
        <v>2117</v>
      </c>
      <c r="C2521" s="74" t="s">
        <v>441</v>
      </c>
    </row>
    <row r="2522" spans="1:3">
      <c r="A2522" s="250">
        <v>7013</v>
      </c>
      <c r="B2522" s="74" t="s">
        <v>2117</v>
      </c>
      <c r="C2522" s="74" t="s">
        <v>441</v>
      </c>
    </row>
    <row r="2523" spans="1:3">
      <c r="A2523" s="250">
        <v>7014</v>
      </c>
      <c r="B2523" s="74" t="s">
        <v>2117</v>
      </c>
      <c r="C2523" s="74" t="s">
        <v>441</v>
      </c>
    </row>
    <row r="2524" spans="1:3">
      <c r="A2524" s="250">
        <v>7015</v>
      </c>
      <c r="B2524" s="74" t="s">
        <v>2117</v>
      </c>
      <c r="C2524" s="74" t="s">
        <v>441</v>
      </c>
    </row>
    <row r="2525" spans="1:3">
      <c r="A2525" s="250">
        <v>7016</v>
      </c>
      <c r="B2525" s="74" t="s">
        <v>2118</v>
      </c>
      <c r="C2525" s="74" t="s">
        <v>441</v>
      </c>
    </row>
    <row r="2526" spans="1:3">
      <c r="A2526" s="250">
        <v>7017</v>
      </c>
      <c r="B2526" s="74" t="s">
        <v>2119</v>
      </c>
      <c r="C2526" s="74" t="s">
        <v>441</v>
      </c>
    </row>
    <row r="2527" spans="1:3">
      <c r="A2527" s="250">
        <v>7018</v>
      </c>
      <c r="B2527" s="74" t="s">
        <v>2119</v>
      </c>
      <c r="C2527" s="74" t="s">
        <v>441</v>
      </c>
    </row>
    <row r="2528" spans="1:3">
      <c r="A2528" s="250">
        <v>7019</v>
      </c>
      <c r="B2528" s="74" t="s">
        <v>2119</v>
      </c>
      <c r="C2528" s="74" t="s">
        <v>441</v>
      </c>
    </row>
    <row r="2529" spans="1:3">
      <c r="A2529" s="250">
        <v>7020</v>
      </c>
      <c r="B2529" s="74" t="s">
        <v>2120</v>
      </c>
      <c r="C2529" s="74" t="s">
        <v>441</v>
      </c>
    </row>
    <row r="2530" spans="1:3">
      <c r="A2530" s="250">
        <v>7021</v>
      </c>
      <c r="B2530" s="74" t="s">
        <v>2121</v>
      </c>
      <c r="C2530" s="74" t="s">
        <v>441</v>
      </c>
    </row>
    <row r="2531" spans="1:3">
      <c r="A2531" s="250">
        <v>7022</v>
      </c>
      <c r="B2531" s="74" t="s">
        <v>2122</v>
      </c>
      <c r="C2531" s="74" t="s">
        <v>441</v>
      </c>
    </row>
    <row r="2532" spans="1:3">
      <c r="A2532" s="250">
        <v>7023</v>
      </c>
      <c r="B2532" s="74" t="s">
        <v>2123</v>
      </c>
      <c r="C2532" s="74" t="s">
        <v>441</v>
      </c>
    </row>
    <row r="2533" spans="1:3">
      <c r="A2533" s="250">
        <v>7024</v>
      </c>
      <c r="B2533" s="74" t="s">
        <v>2124</v>
      </c>
      <c r="C2533" s="74" t="s">
        <v>441</v>
      </c>
    </row>
    <row r="2534" spans="1:3">
      <c r="A2534" s="250">
        <v>7026</v>
      </c>
      <c r="B2534" s="74" t="s">
        <v>2125</v>
      </c>
      <c r="C2534" s="74" t="s">
        <v>441</v>
      </c>
    </row>
    <row r="2535" spans="1:3">
      <c r="A2535" s="250">
        <v>7027</v>
      </c>
      <c r="B2535" s="74" t="s">
        <v>2126</v>
      </c>
      <c r="C2535" s="74" t="s">
        <v>441</v>
      </c>
    </row>
    <row r="2536" spans="1:3">
      <c r="A2536" s="250">
        <v>7028</v>
      </c>
      <c r="B2536" s="74" t="s">
        <v>2127</v>
      </c>
      <c r="C2536" s="74" t="s">
        <v>441</v>
      </c>
    </row>
    <row r="2537" spans="1:3">
      <c r="A2537" s="250">
        <v>7029</v>
      </c>
      <c r="B2537" s="74" t="s">
        <v>1386</v>
      </c>
      <c r="C2537" s="74" t="s">
        <v>441</v>
      </c>
    </row>
    <row r="2538" spans="1:3">
      <c r="A2538" s="250">
        <v>7030</v>
      </c>
      <c r="B2538" s="74" t="s">
        <v>2128</v>
      </c>
      <c r="C2538" s="74" t="s">
        <v>441</v>
      </c>
    </row>
    <row r="2539" spans="1:3">
      <c r="A2539" s="250">
        <v>7031</v>
      </c>
      <c r="B2539" s="74" t="s">
        <v>2129</v>
      </c>
      <c r="C2539" s="74" t="s">
        <v>441</v>
      </c>
    </row>
    <row r="2540" spans="1:3">
      <c r="A2540" s="250">
        <v>7032</v>
      </c>
      <c r="B2540" s="74" t="s">
        <v>2130</v>
      </c>
      <c r="C2540" s="74" t="s">
        <v>441</v>
      </c>
    </row>
    <row r="2541" spans="1:3">
      <c r="A2541" s="250">
        <v>7033</v>
      </c>
      <c r="B2541" s="74" t="s">
        <v>2131</v>
      </c>
      <c r="C2541" s="74" t="s">
        <v>441</v>
      </c>
    </row>
    <row r="2542" spans="1:3">
      <c r="A2542" s="250">
        <v>7034</v>
      </c>
      <c r="B2542" s="74" t="s">
        <v>2132</v>
      </c>
      <c r="C2542" s="74" t="s">
        <v>441</v>
      </c>
    </row>
    <row r="2543" spans="1:3">
      <c r="A2543" s="250">
        <v>7035</v>
      </c>
      <c r="B2543" s="74" t="s">
        <v>2133</v>
      </c>
      <c r="C2543" s="74" t="s">
        <v>441</v>
      </c>
    </row>
    <row r="2544" spans="1:3">
      <c r="A2544" s="250">
        <v>7036</v>
      </c>
      <c r="B2544" s="74" t="s">
        <v>2134</v>
      </c>
      <c r="C2544" s="74" t="s">
        <v>441</v>
      </c>
    </row>
    <row r="2545" spans="1:3">
      <c r="A2545" s="250">
        <v>7039</v>
      </c>
      <c r="B2545" s="74" t="s">
        <v>2135</v>
      </c>
      <c r="C2545" s="74" t="s">
        <v>441</v>
      </c>
    </row>
    <row r="2546" spans="1:3">
      <c r="A2546" s="250">
        <v>7040</v>
      </c>
      <c r="B2546" s="74" t="s">
        <v>2136</v>
      </c>
      <c r="C2546" s="74" t="s">
        <v>441</v>
      </c>
    </row>
    <row r="2547" spans="1:3">
      <c r="A2547" s="250">
        <v>7041</v>
      </c>
      <c r="B2547" s="74" t="s">
        <v>2137</v>
      </c>
      <c r="C2547" s="74" t="s">
        <v>441</v>
      </c>
    </row>
    <row r="2548" spans="1:3">
      <c r="A2548" s="250">
        <v>7042</v>
      </c>
      <c r="B2548" s="74" t="s">
        <v>2138</v>
      </c>
      <c r="C2548" s="74" t="s">
        <v>441</v>
      </c>
    </row>
    <row r="2549" spans="1:3">
      <c r="A2549" s="250">
        <v>7043</v>
      </c>
      <c r="B2549" s="74" t="s">
        <v>2138</v>
      </c>
      <c r="C2549" s="74" t="s">
        <v>441</v>
      </c>
    </row>
    <row r="2550" spans="1:3">
      <c r="A2550" s="250">
        <v>7044</v>
      </c>
      <c r="B2550" s="74" t="s">
        <v>2139</v>
      </c>
      <c r="C2550" s="74" t="s">
        <v>441</v>
      </c>
    </row>
    <row r="2551" spans="1:3">
      <c r="A2551" s="250">
        <v>7045</v>
      </c>
      <c r="B2551" s="74" t="s">
        <v>2018</v>
      </c>
      <c r="C2551" s="74" t="s">
        <v>441</v>
      </c>
    </row>
    <row r="2552" spans="1:3">
      <c r="A2552" s="250">
        <v>7046</v>
      </c>
      <c r="B2552" s="74" t="s">
        <v>2140</v>
      </c>
      <c r="C2552" s="74" t="s">
        <v>441</v>
      </c>
    </row>
    <row r="2553" spans="1:3">
      <c r="A2553" s="250">
        <v>7047</v>
      </c>
      <c r="B2553" s="74" t="s">
        <v>2141</v>
      </c>
      <c r="C2553" s="74" t="s">
        <v>441</v>
      </c>
    </row>
    <row r="2554" spans="1:3">
      <c r="A2554" s="250">
        <v>7050</v>
      </c>
      <c r="B2554" s="74" t="s">
        <v>689</v>
      </c>
      <c r="C2554" s="74" t="s">
        <v>441</v>
      </c>
    </row>
    <row r="2555" spans="1:3">
      <c r="A2555" s="250">
        <v>7051</v>
      </c>
      <c r="B2555" s="74" t="s">
        <v>689</v>
      </c>
      <c r="C2555" s="74" t="s">
        <v>441</v>
      </c>
    </row>
    <row r="2556" spans="1:3">
      <c r="A2556" s="250">
        <v>7052</v>
      </c>
      <c r="B2556" s="74" t="s">
        <v>2142</v>
      </c>
      <c r="C2556" s="74" t="s">
        <v>441</v>
      </c>
    </row>
    <row r="2557" spans="1:3">
      <c r="A2557" s="250">
        <v>7054</v>
      </c>
      <c r="B2557" s="74" t="s">
        <v>2143</v>
      </c>
      <c r="C2557" s="74" t="s">
        <v>441</v>
      </c>
    </row>
    <row r="2558" spans="1:3">
      <c r="A2558" s="250">
        <v>7055</v>
      </c>
      <c r="B2558" s="74" t="s">
        <v>2144</v>
      </c>
      <c r="C2558" s="74" t="s">
        <v>441</v>
      </c>
    </row>
    <row r="2559" spans="1:3">
      <c r="A2559" s="250">
        <v>7057</v>
      </c>
      <c r="B2559" s="74" t="s">
        <v>2145</v>
      </c>
      <c r="C2559" s="74" t="s">
        <v>441</v>
      </c>
    </row>
    <row r="2560" spans="1:3">
      <c r="A2560" s="250">
        <v>7058</v>
      </c>
      <c r="B2560" s="74" t="s">
        <v>2146</v>
      </c>
      <c r="C2560" s="74" t="s">
        <v>441</v>
      </c>
    </row>
    <row r="2561" spans="1:3">
      <c r="A2561" s="250">
        <v>7059</v>
      </c>
      <c r="B2561" s="74" t="s">
        <v>622</v>
      </c>
      <c r="C2561" s="74" t="s">
        <v>441</v>
      </c>
    </row>
    <row r="2562" spans="1:3">
      <c r="A2562" s="250">
        <v>7060</v>
      </c>
      <c r="B2562" s="74" t="s">
        <v>611</v>
      </c>
      <c r="C2562" s="74" t="s">
        <v>441</v>
      </c>
    </row>
    <row r="2563" spans="1:3">
      <c r="A2563" s="250">
        <v>7061</v>
      </c>
      <c r="B2563" s="74" t="s">
        <v>611</v>
      </c>
      <c r="C2563" s="74" t="s">
        <v>441</v>
      </c>
    </row>
    <row r="2564" spans="1:3">
      <c r="A2564" s="250">
        <v>7062</v>
      </c>
      <c r="B2564" s="74" t="s">
        <v>611</v>
      </c>
      <c r="C2564" s="74" t="s">
        <v>441</v>
      </c>
    </row>
    <row r="2565" spans="1:3">
      <c r="A2565" s="250">
        <v>7063</v>
      </c>
      <c r="B2565" s="74" t="s">
        <v>611</v>
      </c>
      <c r="C2565" s="74" t="s">
        <v>441</v>
      </c>
    </row>
    <row r="2566" spans="1:3">
      <c r="A2566" s="250">
        <v>7064</v>
      </c>
      <c r="B2566" s="74" t="s">
        <v>2147</v>
      </c>
      <c r="C2566" s="74" t="s">
        <v>441</v>
      </c>
    </row>
    <row r="2567" spans="1:3">
      <c r="A2567" s="250">
        <v>7065</v>
      </c>
      <c r="B2567" s="74" t="s">
        <v>2148</v>
      </c>
      <c r="C2567" s="74" t="s">
        <v>441</v>
      </c>
    </row>
    <row r="2568" spans="1:3">
      <c r="A2568" s="250">
        <v>7066</v>
      </c>
      <c r="B2568" s="74" t="s">
        <v>2149</v>
      </c>
      <c r="C2568" s="74" t="s">
        <v>441</v>
      </c>
    </row>
    <row r="2569" spans="1:3">
      <c r="A2569" s="250">
        <v>7067</v>
      </c>
      <c r="B2569" s="74" t="s">
        <v>2150</v>
      </c>
      <c r="C2569" s="74" t="s">
        <v>441</v>
      </c>
    </row>
    <row r="2570" spans="1:3">
      <c r="A2570" s="250">
        <v>7068</v>
      </c>
      <c r="B2570" s="74" t="s">
        <v>2151</v>
      </c>
      <c r="C2570" s="74" t="s">
        <v>441</v>
      </c>
    </row>
    <row r="2571" spans="1:3">
      <c r="A2571" s="250">
        <v>7069</v>
      </c>
      <c r="B2571" s="74" t="s">
        <v>2152</v>
      </c>
      <c r="C2571" s="74" t="s">
        <v>441</v>
      </c>
    </row>
    <row r="2572" spans="1:3">
      <c r="A2572" s="250">
        <v>7070</v>
      </c>
      <c r="B2572" s="74" t="s">
        <v>2153</v>
      </c>
      <c r="C2572" s="74" t="s">
        <v>441</v>
      </c>
    </row>
    <row r="2573" spans="1:3">
      <c r="A2573" s="250">
        <v>7071</v>
      </c>
      <c r="B2573" s="74" t="s">
        <v>2154</v>
      </c>
      <c r="C2573" s="74" t="s">
        <v>441</v>
      </c>
    </row>
    <row r="2574" spans="1:3">
      <c r="A2574" s="250">
        <v>7072</v>
      </c>
      <c r="B2574" s="74" t="s">
        <v>2155</v>
      </c>
      <c r="C2574" s="74" t="s">
        <v>441</v>
      </c>
    </row>
    <row r="2575" spans="1:3">
      <c r="A2575" s="250">
        <v>7073</v>
      </c>
      <c r="B2575" s="74" t="s">
        <v>2156</v>
      </c>
      <c r="C2575" s="74" t="s">
        <v>441</v>
      </c>
    </row>
    <row r="2576" spans="1:3">
      <c r="A2576" s="250">
        <v>7074</v>
      </c>
      <c r="B2576" s="74" t="s">
        <v>2157</v>
      </c>
      <c r="C2576" s="74" t="s">
        <v>441</v>
      </c>
    </row>
    <row r="2577" spans="1:3">
      <c r="A2577" s="250">
        <v>7075</v>
      </c>
      <c r="B2577" s="74" t="s">
        <v>2158</v>
      </c>
      <c r="C2577" s="74" t="s">
        <v>441</v>
      </c>
    </row>
    <row r="2578" spans="1:3">
      <c r="A2578" s="250">
        <v>7076</v>
      </c>
      <c r="B2578" s="74" t="s">
        <v>2159</v>
      </c>
      <c r="C2578" s="74" t="s">
        <v>441</v>
      </c>
    </row>
    <row r="2579" spans="1:3">
      <c r="A2579" s="250">
        <v>7077</v>
      </c>
      <c r="B2579" s="74" t="s">
        <v>2160</v>
      </c>
      <c r="C2579" s="74" t="s">
        <v>441</v>
      </c>
    </row>
    <row r="2580" spans="1:3">
      <c r="A2580" s="250">
        <v>7078</v>
      </c>
      <c r="B2580" s="74" t="s">
        <v>2161</v>
      </c>
      <c r="C2580" s="74" t="s">
        <v>441</v>
      </c>
    </row>
    <row r="2581" spans="1:3">
      <c r="A2581" s="250">
        <v>7079</v>
      </c>
      <c r="B2581" s="74" t="s">
        <v>2162</v>
      </c>
      <c r="C2581" s="74" t="s">
        <v>441</v>
      </c>
    </row>
    <row r="2582" spans="1:3">
      <c r="A2582" s="250">
        <v>7080</v>
      </c>
      <c r="B2582" s="74" t="s">
        <v>2163</v>
      </c>
      <c r="C2582" s="74" t="s">
        <v>441</v>
      </c>
    </row>
    <row r="2583" spans="1:3">
      <c r="A2583" s="250">
        <v>7081</v>
      </c>
      <c r="B2583" s="74" t="s">
        <v>634</v>
      </c>
      <c r="C2583" s="74" t="s">
        <v>441</v>
      </c>
    </row>
    <row r="2584" spans="1:3">
      <c r="A2584" s="250">
        <v>7082</v>
      </c>
      <c r="B2584" s="74" t="s">
        <v>2164</v>
      </c>
      <c r="C2584" s="74" t="s">
        <v>441</v>
      </c>
    </row>
    <row r="2585" spans="1:3">
      <c r="A2585" s="250">
        <v>7083</v>
      </c>
      <c r="B2585" s="74" t="s">
        <v>1346</v>
      </c>
      <c r="C2585" s="74" t="s">
        <v>441</v>
      </c>
    </row>
    <row r="2586" spans="1:3">
      <c r="A2586" s="250">
        <v>7086</v>
      </c>
      <c r="B2586" s="74" t="s">
        <v>2165</v>
      </c>
      <c r="C2586" s="74" t="s">
        <v>441</v>
      </c>
    </row>
    <row r="2587" spans="1:3">
      <c r="A2587" s="250">
        <v>7087</v>
      </c>
      <c r="B2587" s="74" t="s">
        <v>2166</v>
      </c>
      <c r="C2587" s="74" t="s">
        <v>441</v>
      </c>
    </row>
    <row r="2588" spans="1:3">
      <c r="A2588" s="250">
        <v>7088</v>
      </c>
      <c r="B2588" s="74" t="s">
        <v>2167</v>
      </c>
      <c r="C2588" s="74" t="s">
        <v>441</v>
      </c>
    </row>
    <row r="2589" spans="1:3">
      <c r="A2589" s="250">
        <v>7090</v>
      </c>
      <c r="B2589" s="74" t="s">
        <v>624</v>
      </c>
      <c r="C2589" s="74" t="s">
        <v>441</v>
      </c>
    </row>
    <row r="2590" spans="1:3">
      <c r="A2590" s="250">
        <v>7091</v>
      </c>
      <c r="B2590" s="74" t="s">
        <v>624</v>
      </c>
      <c r="C2590" s="74" t="s">
        <v>441</v>
      </c>
    </row>
    <row r="2591" spans="1:3">
      <c r="A2591" s="250">
        <v>7092</v>
      </c>
      <c r="B2591" s="74" t="s">
        <v>2168</v>
      </c>
      <c r="C2591" s="74" t="s">
        <v>441</v>
      </c>
    </row>
    <row r="2592" spans="1:3">
      <c r="A2592" s="250">
        <v>7093</v>
      </c>
      <c r="B2592" s="74" t="s">
        <v>2169</v>
      </c>
      <c r="C2592" s="74" t="s">
        <v>441</v>
      </c>
    </row>
    <row r="2593" spans="1:3">
      <c r="A2593" s="250">
        <v>7094</v>
      </c>
      <c r="B2593" s="74" t="s">
        <v>2170</v>
      </c>
      <c r="C2593" s="74" t="s">
        <v>441</v>
      </c>
    </row>
    <row r="2594" spans="1:3">
      <c r="A2594" s="250">
        <v>7095</v>
      </c>
      <c r="B2594" s="74" t="s">
        <v>2076</v>
      </c>
      <c r="C2594" s="74" t="s">
        <v>441</v>
      </c>
    </row>
    <row r="2595" spans="1:3">
      <c r="A2595" s="250">
        <v>7096</v>
      </c>
      <c r="B2595" s="74" t="s">
        <v>2170</v>
      </c>
      <c r="C2595" s="74" t="s">
        <v>441</v>
      </c>
    </row>
    <row r="2596" spans="1:3">
      <c r="A2596" s="250">
        <v>7097</v>
      </c>
      <c r="B2596" s="74" t="s">
        <v>2171</v>
      </c>
      <c r="C2596" s="74" t="s">
        <v>441</v>
      </c>
    </row>
    <row r="2597" spans="1:3">
      <c r="A2597" s="250">
        <v>7099</v>
      </c>
      <c r="B2597" s="74" t="s">
        <v>2130</v>
      </c>
      <c r="C2597" s="74" t="s">
        <v>441</v>
      </c>
    </row>
    <row r="2598" spans="1:3">
      <c r="A2598" s="250">
        <v>7101</v>
      </c>
      <c r="B2598" s="74" t="s">
        <v>2172</v>
      </c>
      <c r="C2598" s="74" t="s">
        <v>441</v>
      </c>
    </row>
    <row r="2599" spans="1:3">
      <c r="A2599" s="250">
        <v>7102</v>
      </c>
      <c r="B2599" s="74" t="s">
        <v>2172</v>
      </c>
      <c r="C2599" s="74" t="s">
        <v>441</v>
      </c>
    </row>
    <row r="2600" spans="1:3">
      <c r="A2600" s="250">
        <v>7103</v>
      </c>
      <c r="B2600" s="74" t="s">
        <v>2172</v>
      </c>
      <c r="C2600" s="74" t="s">
        <v>441</v>
      </c>
    </row>
    <row r="2601" spans="1:3">
      <c r="A2601" s="250">
        <v>7104</v>
      </c>
      <c r="B2601" s="74" t="s">
        <v>2172</v>
      </c>
      <c r="C2601" s="74" t="s">
        <v>441</v>
      </c>
    </row>
    <row r="2602" spans="1:3">
      <c r="A2602" s="250">
        <v>7105</v>
      </c>
      <c r="B2602" s="74" t="s">
        <v>2172</v>
      </c>
      <c r="C2602" s="74" t="s">
        <v>441</v>
      </c>
    </row>
    <row r="2603" spans="1:3">
      <c r="A2603" s="250">
        <v>7106</v>
      </c>
      <c r="B2603" s="74" t="s">
        <v>2172</v>
      </c>
      <c r="C2603" s="74" t="s">
        <v>441</v>
      </c>
    </row>
    <row r="2604" spans="1:3">
      <c r="A2604" s="250">
        <v>7107</v>
      </c>
      <c r="B2604" s="74" t="s">
        <v>2172</v>
      </c>
      <c r="C2604" s="74" t="s">
        <v>441</v>
      </c>
    </row>
    <row r="2605" spans="1:3">
      <c r="A2605" s="250">
        <v>7108</v>
      </c>
      <c r="B2605" s="74" t="s">
        <v>2172</v>
      </c>
      <c r="C2605" s="74" t="s">
        <v>441</v>
      </c>
    </row>
    <row r="2606" spans="1:3">
      <c r="A2606" s="250">
        <v>7109</v>
      </c>
      <c r="B2606" s="74" t="s">
        <v>2173</v>
      </c>
      <c r="C2606" s="74" t="s">
        <v>441</v>
      </c>
    </row>
    <row r="2607" spans="1:3">
      <c r="A2607" s="250">
        <v>7110</v>
      </c>
      <c r="B2607" s="74" t="s">
        <v>2174</v>
      </c>
      <c r="C2607" s="74" t="s">
        <v>441</v>
      </c>
    </row>
    <row r="2608" spans="1:3">
      <c r="A2608" s="250">
        <v>7111</v>
      </c>
      <c r="B2608" s="74" t="s">
        <v>2175</v>
      </c>
      <c r="C2608" s="74" t="s">
        <v>441</v>
      </c>
    </row>
    <row r="2609" spans="1:3">
      <c r="A2609" s="250">
        <v>7112</v>
      </c>
      <c r="B2609" s="74" t="s">
        <v>2172</v>
      </c>
      <c r="C2609" s="74" t="s">
        <v>441</v>
      </c>
    </row>
    <row r="2610" spans="1:3">
      <c r="A2610" s="250">
        <v>7114</v>
      </c>
      <c r="B2610" s="74" t="s">
        <v>2172</v>
      </c>
      <c r="C2610" s="74" t="s">
        <v>441</v>
      </c>
    </row>
    <row r="2611" spans="1:3">
      <c r="A2611" s="250">
        <v>7175</v>
      </c>
      <c r="B2611" s="74" t="s">
        <v>2172</v>
      </c>
      <c r="C2611" s="74" t="s">
        <v>441</v>
      </c>
    </row>
    <row r="2612" spans="1:3">
      <c r="A2612" s="250">
        <v>7182</v>
      </c>
      <c r="B2612" s="74" t="s">
        <v>2172</v>
      </c>
      <c r="C2612" s="74" t="s">
        <v>441</v>
      </c>
    </row>
    <row r="2613" spans="1:3">
      <c r="A2613" s="250">
        <v>7184</v>
      </c>
      <c r="B2613" s="74" t="s">
        <v>2172</v>
      </c>
      <c r="C2613" s="74" t="s">
        <v>441</v>
      </c>
    </row>
    <row r="2614" spans="1:3">
      <c r="A2614" s="250">
        <v>7188</v>
      </c>
      <c r="B2614" s="74" t="s">
        <v>2172</v>
      </c>
      <c r="C2614" s="74" t="s">
        <v>441</v>
      </c>
    </row>
    <row r="2615" spans="1:3">
      <c r="A2615" s="250">
        <v>7189</v>
      </c>
      <c r="B2615" s="74" t="s">
        <v>2172</v>
      </c>
      <c r="C2615" s="74" t="s">
        <v>441</v>
      </c>
    </row>
    <row r="2616" spans="1:3">
      <c r="A2616" s="250">
        <v>7191</v>
      </c>
      <c r="B2616" s="74" t="s">
        <v>2172</v>
      </c>
      <c r="C2616" s="74" t="s">
        <v>441</v>
      </c>
    </row>
    <row r="2617" spans="1:3">
      <c r="A2617" s="250">
        <v>7192</v>
      </c>
      <c r="B2617" s="74" t="s">
        <v>2172</v>
      </c>
      <c r="C2617" s="74" t="s">
        <v>441</v>
      </c>
    </row>
    <row r="2618" spans="1:3">
      <c r="A2618" s="250">
        <v>7193</v>
      </c>
      <c r="B2618" s="74" t="s">
        <v>2172</v>
      </c>
      <c r="C2618" s="74" t="s">
        <v>441</v>
      </c>
    </row>
    <row r="2619" spans="1:3">
      <c r="A2619" s="250">
        <v>7194</v>
      </c>
      <c r="B2619" s="74" t="s">
        <v>2172</v>
      </c>
      <c r="C2619" s="74" t="s">
        <v>441</v>
      </c>
    </row>
    <row r="2620" spans="1:3">
      <c r="A2620" s="250">
        <v>7195</v>
      </c>
      <c r="B2620" s="74" t="s">
        <v>2172</v>
      </c>
      <c r="C2620" s="74" t="s">
        <v>441</v>
      </c>
    </row>
    <row r="2621" spans="1:3">
      <c r="A2621" s="250">
        <v>7198</v>
      </c>
      <c r="B2621" s="74" t="s">
        <v>2172</v>
      </c>
      <c r="C2621" s="74" t="s">
        <v>441</v>
      </c>
    </row>
    <row r="2622" spans="1:3">
      <c r="A2622" s="250">
        <v>7199</v>
      </c>
      <c r="B2622" s="74" t="s">
        <v>2172</v>
      </c>
      <c r="C2622" s="74" t="s">
        <v>441</v>
      </c>
    </row>
    <row r="2623" spans="1:3">
      <c r="A2623" s="250">
        <v>7201</v>
      </c>
      <c r="B2623" s="74" t="s">
        <v>2176</v>
      </c>
      <c r="C2623" s="74" t="s">
        <v>441</v>
      </c>
    </row>
    <row r="2624" spans="1:3">
      <c r="A2624" s="250">
        <v>7202</v>
      </c>
      <c r="B2624" s="74" t="s">
        <v>2176</v>
      </c>
      <c r="C2624" s="74" t="s">
        <v>441</v>
      </c>
    </row>
    <row r="2625" spans="1:3">
      <c r="A2625" s="250">
        <v>7203</v>
      </c>
      <c r="B2625" s="74" t="s">
        <v>2177</v>
      </c>
      <c r="C2625" s="74" t="s">
        <v>441</v>
      </c>
    </row>
    <row r="2626" spans="1:3">
      <c r="A2626" s="250">
        <v>7204</v>
      </c>
      <c r="B2626" s="74" t="s">
        <v>2178</v>
      </c>
      <c r="C2626" s="74" t="s">
        <v>441</v>
      </c>
    </row>
    <row r="2627" spans="1:3">
      <c r="A2627" s="250">
        <v>7205</v>
      </c>
      <c r="B2627" s="74" t="s">
        <v>2179</v>
      </c>
      <c r="C2627" s="74" t="s">
        <v>441</v>
      </c>
    </row>
    <row r="2628" spans="1:3">
      <c r="A2628" s="250">
        <v>7206</v>
      </c>
      <c r="B2628" s="74" t="s">
        <v>2180</v>
      </c>
      <c r="C2628" s="74" t="s">
        <v>441</v>
      </c>
    </row>
    <row r="2629" spans="1:3">
      <c r="A2629" s="250">
        <v>7207</v>
      </c>
      <c r="B2629" s="74" t="s">
        <v>2176</v>
      </c>
      <c r="C2629" s="74" t="s">
        <v>441</v>
      </c>
    </row>
    <row r="2630" spans="1:3">
      <c r="A2630" s="250">
        <v>7208</v>
      </c>
      <c r="B2630" s="74" t="s">
        <v>2176</v>
      </c>
      <c r="C2630" s="74" t="s">
        <v>441</v>
      </c>
    </row>
    <row r="2631" spans="1:3">
      <c r="A2631" s="250">
        <v>7302</v>
      </c>
      <c r="B2631" s="74" t="s">
        <v>2171</v>
      </c>
      <c r="C2631" s="74" t="s">
        <v>441</v>
      </c>
    </row>
    <row r="2632" spans="1:3">
      <c r="A2632" s="250">
        <v>7303</v>
      </c>
      <c r="B2632" s="74" t="s">
        <v>2171</v>
      </c>
      <c r="C2632" s="74" t="s">
        <v>441</v>
      </c>
    </row>
    <row r="2633" spans="1:3">
      <c r="A2633" s="250">
        <v>7304</v>
      </c>
      <c r="B2633" s="74" t="s">
        <v>2171</v>
      </c>
      <c r="C2633" s="74" t="s">
        <v>441</v>
      </c>
    </row>
    <row r="2634" spans="1:3">
      <c r="A2634" s="250">
        <v>7305</v>
      </c>
      <c r="B2634" s="74" t="s">
        <v>2171</v>
      </c>
      <c r="C2634" s="74" t="s">
        <v>441</v>
      </c>
    </row>
    <row r="2635" spans="1:3">
      <c r="A2635" s="250">
        <v>7306</v>
      </c>
      <c r="B2635" s="74" t="s">
        <v>2171</v>
      </c>
      <c r="C2635" s="74" t="s">
        <v>441</v>
      </c>
    </row>
    <row r="2636" spans="1:3">
      <c r="A2636" s="250">
        <v>7307</v>
      </c>
      <c r="B2636" s="74" t="s">
        <v>2171</v>
      </c>
      <c r="C2636" s="74" t="s">
        <v>441</v>
      </c>
    </row>
    <row r="2637" spans="1:3">
      <c r="A2637" s="250">
        <v>7308</v>
      </c>
      <c r="B2637" s="74" t="s">
        <v>2171</v>
      </c>
      <c r="C2637" s="74" t="s">
        <v>441</v>
      </c>
    </row>
    <row r="2638" spans="1:3">
      <c r="A2638" s="250">
        <v>7309</v>
      </c>
      <c r="B2638" s="74" t="s">
        <v>2171</v>
      </c>
      <c r="C2638" s="74" t="s">
        <v>441</v>
      </c>
    </row>
    <row r="2639" spans="1:3">
      <c r="A2639" s="250">
        <v>7310</v>
      </c>
      <c r="B2639" s="74" t="s">
        <v>2171</v>
      </c>
      <c r="C2639" s="74" t="s">
        <v>441</v>
      </c>
    </row>
    <row r="2640" spans="1:3">
      <c r="A2640" s="250">
        <v>7311</v>
      </c>
      <c r="B2640" s="74" t="s">
        <v>2171</v>
      </c>
      <c r="C2640" s="74" t="s">
        <v>441</v>
      </c>
    </row>
    <row r="2641" spans="1:3">
      <c r="A2641" s="250">
        <v>7395</v>
      </c>
      <c r="B2641" s="74" t="s">
        <v>2171</v>
      </c>
      <c r="C2641" s="74" t="s">
        <v>441</v>
      </c>
    </row>
    <row r="2642" spans="1:3">
      <c r="A2642" s="250">
        <v>7399</v>
      </c>
      <c r="B2642" s="74" t="s">
        <v>2171</v>
      </c>
      <c r="C2642" s="74" t="s">
        <v>441</v>
      </c>
    </row>
    <row r="2643" spans="1:3">
      <c r="A2643" s="250">
        <v>7401</v>
      </c>
      <c r="B2643" s="74" t="s">
        <v>2181</v>
      </c>
      <c r="C2643" s="74" t="s">
        <v>441</v>
      </c>
    </row>
    <row r="2644" spans="1:3">
      <c r="A2644" s="250">
        <v>7403</v>
      </c>
      <c r="B2644" s="74" t="s">
        <v>2182</v>
      </c>
      <c r="C2644" s="74" t="s">
        <v>441</v>
      </c>
    </row>
    <row r="2645" spans="1:3">
      <c r="A2645" s="250">
        <v>7405</v>
      </c>
      <c r="B2645" s="74" t="s">
        <v>2183</v>
      </c>
      <c r="C2645" s="74" t="s">
        <v>441</v>
      </c>
    </row>
    <row r="2646" spans="1:3">
      <c r="A2646" s="250">
        <v>7407</v>
      </c>
      <c r="B2646" s="74" t="s">
        <v>2184</v>
      </c>
      <c r="C2646" s="74" t="s">
        <v>441</v>
      </c>
    </row>
    <row r="2647" spans="1:3">
      <c r="A2647" s="250">
        <v>7410</v>
      </c>
      <c r="B2647" s="74" t="s">
        <v>2185</v>
      </c>
      <c r="C2647" s="74" t="s">
        <v>441</v>
      </c>
    </row>
    <row r="2648" spans="1:3">
      <c r="A2648" s="250">
        <v>7416</v>
      </c>
      <c r="B2648" s="74" t="s">
        <v>873</v>
      </c>
      <c r="C2648" s="74" t="s">
        <v>441</v>
      </c>
    </row>
    <row r="2649" spans="1:3">
      <c r="A2649" s="250">
        <v>7417</v>
      </c>
      <c r="B2649" s="74" t="s">
        <v>2186</v>
      </c>
      <c r="C2649" s="74" t="s">
        <v>441</v>
      </c>
    </row>
    <row r="2650" spans="1:3">
      <c r="A2650" s="250">
        <v>7418</v>
      </c>
      <c r="B2650" s="74" t="s">
        <v>2187</v>
      </c>
      <c r="C2650" s="74" t="s">
        <v>441</v>
      </c>
    </row>
    <row r="2651" spans="1:3">
      <c r="A2651" s="250">
        <v>7419</v>
      </c>
      <c r="B2651" s="74" t="s">
        <v>2188</v>
      </c>
      <c r="C2651" s="74" t="s">
        <v>441</v>
      </c>
    </row>
    <row r="2652" spans="1:3">
      <c r="A2652" s="250">
        <v>7420</v>
      </c>
      <c r="B2652" s="74" t="s">
        <v>2189</v>
      </c>
      <c r="C2652" s="74" t="s">
        <v>441</v>
      </c>
    </row>
    <row r="2653" spans="1:3">
      <c r="A2653" s="250">
        <v>7421</v>
      </c>
      <c r="B2653" s="74" t="s">
        <v>2190</v>
      </c>
      <c r="C2653" s="74" t="s">
        <v>441</v>
      </c>
    </row>
    <row r="2654" spans="1:3">
      <c r="A2654" s="250">
        <v>7422</v>
      </c>
      <c r="B2654" s="74" t="s">
        <v>2191</v>
      </c>
      <c r="C2654" s="74" t="s">
        <v>441</v>
      </c>
    </row>
    <row r="2655" spans="1:3">
      <c r="A2655" s="250">
        <v>7423</v>
      </c>
      <c r="B2655" s="74" t="s">
        <v>2192</v>
      </c>
      <c r="C2655" s="74" t="s">
        <v>441</v>
      </c>
    </row>
    <row r="2656" spans="1:3">
      <c r="A2656" s="250">
        <v>7424</v>
      </c>
      <c r="B2656" s="74" t="s">
        <v>2193</v>
      </c>
      <c r="C2656" s="74" t="s">
        <v>441</v>
      </c>
    </row>
    <row r="2657" spans="1:3">
      <c r="A2657" s="250">
        <v>7428</v>
      </c>
      <c r="B2657" s="74" t="s">
        <v>2194</v>
      </c>
      <c r="C2657" s="74" t="s">
        <v>441</v>
      </c>
    </row>
    <row r="2658" spans="1:3">
      <c r="A2658" s="250">
        <v>7430</v>
      </c>
      <c r="B2658" s="74" t="s">
        <v>2195</v>
      </c>
      <c r="C2658" s="74" t="s">
        <v>441</v>
      </c>
    </row>
    <row r="2659" spans="1:3">
      <c r="A2659" s="250">
        <v>7432</v>
      </c>
      <c r="B2659" s="74" t="s">
        <v>2196</v>
      </c>
      <c r="C2659" s="74" t="s">
        <v>441</v>
      </c>
    </row>
    <row r="2660" spans="1:3">
      <c r="A2660" s="250">
        <v>7435</v>
      </c>
      <c r="B2660" s="74" t="s">
        <v>2197</v>
      </c>
      <c r="C2660" s="74" t="s">
        <v>441</v>
      </c>
    </row>
    <row r="2661" spans="1:3">
      <c r="A2661" s="250">
        <v>7436</v>
      </c>
      <c r="B2661" s="74" t="s">
        <v>1121</v>
      </c>
      <c r="C2661" s="74" t="s">
        <v>441</v>
      </c>
    </row>
    <row r="2662" spans="1:3">
      <c r="A2662" s="250">
        <v>7438</v>
      </c>
      <c r="B2662" s="74" t="s">
        <v>2198</v>
      </c>
      <c r="C2662" s="74" t="s">
        <v>441</v>
      </c>
    </row>
    <row r="2663" spans="1:3">
      <c r="A2663" s="250">
        <v>7439</v>
      </c>
      <c r="B2663" s="74" t="s">
        <v>2199</v>
      </c>
      <c r="C2663" s="74" t="s">
        <v>441</v>
      </c>
    </row>
    <row r="2664" spans="1:3">
      <c r="A2664" s="250">
        <v>7440</v>
      </c>
      <c r="B2664" s="74" t="s">
        <v>2200</v>
      </c>
      <c r="C2664" s="74" t="s">
        <v>441</v>
      </c>
    </row>
    <row r="2665" spans="1:3">
      <c r="A2665" s="250">
        <v>7442</v>
      </c>
      <c r="B2665" s="74" t="s">
        <v>2201</v>
      </c>
      <c r="C2665" s="74" t="s">
        <v>441</v>
      </c>
    </row>
    <row r="2666" spans="1:3">
      <c r="A2666" s="250">
        <v>7444</v>
      </c>
      <c r="B2666" s="74" t="s">
        <v>2202</v>
      </c>
      <c r="C2666" s="74" t="s">
        <v>441</v>
      </c>
    </row>
    <row r="2667" spans="1:3">
      <c r="A2667" s="250">
        <v>7446</v>
      </c>
      <c r="B2667" s="74" t="s">
        <v>2203</v>
      </c>
      <c r="C2667" s="74" t="s">
        <v>441</v>
      </c>
    </row>
    <row r="2668" spans="1:3">
      <c r="A2668" s="250">
        <v>7450</v>
      </c>
      <c r="B2668" s="74" t="s">
        <v>2204</v>
      </c>
      <c r="C2668" s="74" t="s">
        <v>441</v>
      </c>
    </row>
    <row r="2669" spans="1:3">
      <c r="A2669" s="250">
        <v>7451</v>
      </c>
      <c r="B2669" s="74" t="s">
        <v>2204</v>
      </c>
      <c r="C2669" s="74" t="s">
        <v>441</v>
      </c>
    </row>
    <row r="2670" spans="1:3">
      <c r="A2670" s="250">
        <v>7452</v>
      </c>
      <c r="B2670" s="74" t="s">
        <v>2205</v>
      </c>
      <c r="C2670" s="74" t="s">
        <v>441</v>
      </c>
    </row>
    <row r="2671" spans="1:3">
      <c r="A2671" s="250">
        <v>7456</v>
      </c>
      <c r="B2671" s="74" t="s">
        <v>2206</v>
      </c>
      <c r="C2671" s="74" t="s">
        <v>441</v>
      </c>
    </row>
    <row r="2672" spans="1:3">
      <c r="A2672" s="250">
        <v>7457</v>
      </c>
      <c r="B2672" s="74" t="s">
        <v>2207</v>
      </c>
      <c r="C2672" s="74" t="s">
        <v>441</v>
      </c>
    </row>
    <row r="2673" spans="1:3">
      <c r="A2673" s="250">
        <v>7458</v>
      </c>
      <c r="B2673" s="74" t="s">
        <v>2208</v>
      </c>
      <c r="C2673" s="74" t="s">
        <v>441</v>
      </c>
    </row>
    <row r="2674" spans="1:3">
      <c r="A2674" s="250">
        <v>7460</v>
      </c>
      <c r="B2674" s="74" t="s">
        <v>1657</v>
      </c>
      <c r="C2674" s="74" t="s">
        <v>441</v>
      </c>
    </row>
    <row r="2675" spans="1:3">
      <c r="A2675" s="250">
        <v>7461</v>
      </c>
      <c r="B2675" s="74" t="s">
        <v>2209</v>
      </c>
      <c r="C2675" s="74" t="s">
        <v>441</v>
      </c>
    </row>
    <row r="2676" spans="1:3">
      <c r="A2676" s="250">
        <v>7462</v>
      </c>
      <c r="B2676" s="74" t="s">
        <v>1791</v>
      </c>
      <c r="C2676" s="74" t="s">
        <v>441</v>
      </c>
    </row>
    <row r="2677" spans="1:3">
      <c r="A2677" s="250">
        <v>7463</v>
      </c>
      <c r="B2677" s="74" t="s">
        <v>2210</v>
      </c>
      <c r="C2677" s="74" t="s">
        <v>441</v>
      </c>
    </row>
    <row r="2678" spans="1:3">
      <c r="A2678" s="250">
        <v>7465</v>
      </c>
      <c r="B2678" s="74" t="s">
        <v>2211</v>
      </c>
      <c r="C2678" s="74" t="s">
        <v>441</v>
      </c>
    </row>
    <row r="2679" spans="1:3">
      <c r="A2679" s="250">
        <v>7470</v>
      </c>
      <c r="B2679" s="74" t="s">
        <v>1464</v>
      </c>
      <c r="C2679" s="74" t="s">
        <v>441</v>
      </c>
    </row>
    <row r="2680" spans="1:3">
      <c r="A2680" s="250">
        <v>7474</v>
      </c>
      <c r="B2680" s="74" t="s">
        <v>1464</v>
      </c>
      <c r="C2680" s="74" t="s">
        <v>441</v>
      </c>
    </row>
    <row r="2681" spans="1:3">
      <c r="A2681" s="250">
        <v>7477</v>
      </c>
      <c r="B2681" s="74" t="s">
        <v>1464</v>
      </c>
      <c r="C2681" s="74" t="s">
        <v>441</v>
      </c>
    </row>
    <row r="2682" spans="1:3">
      <c r="A2682" s="250">
        <v>7480</v>
      </c>
      <c r="B2682" s="74" t="s">
        <v>2212</v>
      </c>
      <c r="C2682" s="74" t="s">
        <v>441</v>
      </c>
    </row>
    <row r="2683" spans="1:3">
      <c r="A2683" s="250">
        <v>7481</v>
      </c>
      <c r="B2683" s="74" t="s">
        <v>2213</v>
      </c>
      <c r="C2683" s="74" t="s">
        <v>441</v>
      </c>
    </row>
    <row r="2684" spans="1:3">
      <c r="A2684" s="250">
        <v>7495</v>
      </c>
      <c r="B2684" s="74" t="s">
        <v>2195</v>
      </c>
      <c r="C2684" s="74" t="s">
        <v>441</v>
      </c>
    </row>
    <row r="2685" spans="1:3">
      <c r="A2685" s="250">
        <v>7501</v>
      </c>
      <c r="B2685" s="74" t="s">
        <v>2214</v>
      </c>
      <c r="C2685" s="74" t="s">
        <v>441</v>
      </c>
    </row>
    <row r="2686" spans="1:3">
      <c r="A2686" s="250">
        <v>7502</v>
      </c>
      <c r="B2686" s="74" t="s">
        <v>2214</v>
      </c>
      <c r="C2686" s="74" t="s">
        <v>441</v>
      </c>
    </row>
    <row r="2687" spans="1:3">
      <c r="A2687" s="250">
        <v>7503</v>
      </c>
      <c r="B2687" s="74" t="s">
        <v>2214</v>
      </c>
      <c r="C2687" s="74" t="s">
        <v>441</v>
      </c>
    </row>
    <row r="2688" spans="1:3">
      <c r="A2688" s="250">
        <v>7504</v>
      </c>
      <c r="B2688" s="74" t="s">
        <v>2214</v>
      </c>
      <c r="C2688" s="74" t="s">
        <v>441</v>
      </c>
    </row>
    <row r="2689" spans="1:3">
      <c r="A2689" s="250">
        <v>7505</v>
      </c>
      <c r="B2689" s="74" t="s">
        <v>2214</v>
      </c>
      <c r="C2689" s="74" t="s">
        <v>441</v>
      </c>
    </row>
    <row r="2690" spans="1:3">
      <c r="A2690" s="250">
        <v>7506</v>
      </c>
      <c r="B2690" s="74" t="s">
        <v>2215</v>
      </c>
      <c r="C2690" s="74" t="s">
        <v>441</v>
      </c>
    </row>
    <row r="2691" spans="1:3">
      <c r="A2691" s="250">
        <v>7507</v>
      </c>
      <c r="B2691" s="74" t="s">
        <v>2215</v>
      </c>
      <c r="C2691" s="74" t="s">
        <v>441</v>
      </c>
    </row>
    <row r="2692" spans="1:3">
      <c r="A2692" s="250">
        <v>7508</v>
      </c>
      <c r="B2692" s="74" t="s">
        <v>2216</v>
      </c>
      <c r="C2692" s="74" t="s">
        <v>441</v>
      </c>
    </row>
    <row r="2693" spans="1:3">
      <c r="A2693" s="250">
        <v>7509</v>
      </c>
      <c r="B2693" s="74" t="s">
        <v>2214</v>
      </c>
      <c r="C2693" s="74" t="s">
        <v>441</v>
      </c>
    </row>
    <row r="2694" spans="1:3">
      <c r="A2694" s="250">
        <v>7510</v>
      </c>
      <c r="B2694" s="74" t="s">
        <v>2214</v>
      </c>
      <c r="C2694" s="74" t="s">
        <v>441</v>
      </c>
    </row>
    <row r="2695" spans="1:3">
      <c r="A2695" s="250">
        <v>7511</v>
      </c>
      <c r="B2695" s="74" t="s">
        <v>2217</v>
      </c>
      <c r="C2695" s="74" t="s">
        <v>441</v>
      </c>
    </row>
    <row r="2696" spans="1:3">
      <c r="A2696" s="250">
        <v>7512</v>
      </c>
      <c r="B2696" s="74" t="s">
        <v>2217</v>
      </c>
      <c r="C2696" s="74" t="s">
        <v>441</v>
      </c>
    </row>
    <row r="2697" spans="1:3">
      <c r="A2697" s="250">
        <v>7513</v>
      </c>
      <c r="B2697" s="74" t="s">
        <v>2214</v>
      </c>
      <c r="C2697" s="74" t="s">
        <v>441</v>
      </c>
    </row>
    <row r="2698" spans="1:3">
      <c r="A2698" s="250">
        <v>7514</v>
      </c>
      <c r="B2698" s="74" t="s">
        <v>2214</v>
      </c>
      <c r="C2698" s="74" t="s">
        <v>441</v>
      </c>
    </row>
    <row r="2699" spans="1:3">
      <c r="A2699" s="250">
        <v>7522</v>
      </c>
      <c r="B2699" s="74" t="s">
        <v>2214</v>
      </c>
      <c r="C2699" s="74" t="s">
        <v>441</v>
      </c>
    </row>
    <row r="2700" spans="1:3">
      <c r="A2700" s="250">
        <v>7524</v>
      </c>
      <c r="B2700" s="74" t="s">
        <v>2214</v>
      </c>
      <c r="C2700" s="74" t="s">
        <v>441</v>
      </c>
    </row>
    <row r="2701" spans="1:3">
      <c r="A2701" s="250">
        <v>7533</v>
      </c>
      <c r="B2701" s="74" t="s">
        <v>2214</v>
      </c>
      <c r="C2701" s="74" t="s">
        <v>441</v>
      </c>
    </row>
    <row r="2702" spans="1:3">
      <c r="A2702" s="250">
        <v>7538</v>
      </c>
      <c r="B2702" s="74" t="s">
        <v>2216</v>
      </c>
      <c r="C2702" s="74" t="s">
        <v>441</v>
      </c>
    </row>
    <row r="2703" spans="1:3">
      <c r="A2703" s="250">
        <v>7543</v>
      </c>
      <c r="B2703" s="74" t="s">
        <v>2214</v>
      </c>
      <c r="C2703" s="74" t="s">
        <v>441</v>
      </c>
    </row>
    <row r="2704" spans="1:3">
      <c r="A2704" s="250">
        <v>7544</v>
      </c>
      <c r="B2704" s="74" t="s">
        <v>2214</v>
      </c>
      <c r="C2704" s="74" t="s">
        <v>441</v>
      </c>
    </row>
    <row r="2705" spans="1:3">
      <c r="A2705" s="250">
        <v>7601</v>
      </c>
      <c r="B2705" s="74" t="s">
        <v>2218</v>
      </c>
      <c r="C2705" s="74" t="s">
        <v>441</v>
      </c>
    </row>
    <row r="2706" spans="1:3">
      <c r="A2706" s="250">
        <v>7602</v>
      </c>
      <c r="B2706" s="74" t="s">
        <v>2218</v>
      </c>
      <c r="C2706" s="74" t="s">
        <v>441</v>
      </c>
    </row>
    <row r="2707" spans="1:3">
      <c r="A2707" s="250">
        <v>7603</v>
      </c>
      <c r="B2707" s="74" t="s">
        <v>2219</v>
      </c>
      <c r="C2707" s="74" t="s">
        <v>441</v>
      </c>
    </row>
    <row r="2708" spans="1:3">
      <c r="A2708" s="250">
        <v>7604</v>
      </c>
      <c r="B2708" s="74" t="s">
        <v>2220</v>
      </c>
      <c r="C2708" s="74" t="s">
        <v>441</v>
      </c>
    </row>
    <row r="2709" spans="1:3">
      <c r="A2709" s="250">
        <v>7605</v>
      </c>
      <c r="B2709" s="74" t="s">
        <v>2221</v>
      </c>
      <c r="C2709" s="74" t="s">
        <v>441</v>
      </c>
    </row>
    <row r="2710" spans="1:3">
      <c r="A2710" s="250">
        <v>7606</v>
      </c>
      <c r="B2710" s="74" t="s">
        <v>2222</v>
      </c>
      <c r="C2710" s="74" t="s">
        <v>441</v>
      </c>
    </row>
    <row r="2711" spans="1:3">
      <c r="A2711" s="250">
        <v>7607</v>
      </c>
      <c r="B2711" s="74" t="s">
        <v>2223</v>
      </c>
      <c r="C2711" s="74" t="s">
        <v>441</v>
      </c>
    </row>
    <row r="2712" spans="1:3">
      <c r="A2712" s="250">
        <v>7608</v>
      </c>
      <c r="B2712" s="74" t="s">
        <v>2224</v>
      </c>
      <c r="C2712" s="74" t="s">
        <v>441</v>
      </c>
    </row>
    <row r="2713" spans="1:3">
      <c r="A2713" s="250">
        <v>7620</v>
      </c>
      <c r="B2713" s="74" t="s">
        <v>2225</v>
      </c>
      <c r="C2713" s="74" t="s">
        <v>441</v>
      </c>
    </row>
    <row r="2714" spans="1:3">
      <c r="A2714" s="250">
        <v>7621</v>
      </c>
      <c r="B2714" s="74" t="s">
        <v>2226</v>
      </c>
      <c r="C2714" s="74" t="s">
        <v>441</v>
      </c>
    </row>
    <row r="2715" spans="1:3">
      <c r="A2715" s="250">
        <v>7624</v>
      </c>
      <c r="B2715" s="74" t="s">
        <v>2227</v>
      </c>
      <c r="C2715" s="74" t="s">
        <v>441</v>
      </c>
    </row>
    <row r="2716" spans="1:3">
      <c r="A2716" s="250">
        <v>7626</v>
      </c>
      <c r="B2716" s="74" t="s">
        <v>2228</v>
      </c>
      <c r="C2716" s="74" t="s">
        <v>441</v>
      </c>
    </row>
    <row r="2717" spans="1:3">
      <c r="A2717" s="250">
        <v>7627</v>
      </c>
      <c r="B2717" s="74" t="s">
        <v>2229</v>
      </c>
      <c r="C2717" s="74" t="s">
        <v>441</v>
      </c>
    </row>
    <row r="2718" spans="1:3">
      <c r="A2718" s="250">
        <v>7628</v>
      </c>
      <c r="B2718" s="74" t="s">
        <v>2230</v>
      </c>
      <c r="C2718" s="74" t="s">
        <v>441</v>
      </c>
    </row>
    <row r="2719" spans="1:3">
      <c r="A2719" s="250">
        <v>7630</v>
      </c>
      <c r="B2719" s="74" t="s">
        <v>2231</v>
      </c>
      <c r="C2719" s="74" t="s">
        <v>441</v>
      </c>
    </row>
    <row r="2720" spans="1:3">
      <c r="A2720" s="250">
        <v>7631</v>
      </c>
      <c r="B2720" s="74" t="s">
        <v>2232</v>
      </c>
      <c r="C2720" s="74" t="s">
        <v>441</v>
      </c>
    </row>
    <row r="2721" spans="1:3">
      <c r="A2721" s="250">
        <v>7632</v>
      </c>
      <c r="B2721" s="74" t="s">
        <v>2233</v>
      </c>
      <c r="C2721" s="74" t="s">
        <v>441</v>
      </c>
    </row>
    <row r="2722" spans="1:3">
      <c r="A2722" s="250">
        <v>7640</v>
      </c>
      <c r="B2722" s="74" t="s">
        <v>2234</v>
      </c>
      <c r="C2722" s="74" t="s">
        <v>441</v>
      </c>
    </row>
    <row r="2723" spans="1:3">
      <c r="A2723" s="250">
        <v>7641</v>
      </c>
      <c r="B2723" s="74" t="s">
        <v>2235</v>
      </c>
      <c r="C2723" s="74" t="s">
        <v>441</v>
      </c>
    </row>
    <row r="2724" spans="1:3">
      <c r="A2724" s="250">
        <v>7642</v>
      </c>
      <c r="B2724" s="74" t="s">
        <v>2236</v>
      </c>
      <c r="C2724" s="74" t="s">
        <v>441</v>
      </c>
    </row>
    <row r="2725" spans="1:3">
      <c r="A2725" s="250">
        <v>7643</v>
      </c>
      <c r="B2725" s="74" t="s">
        <v>2237</v>
      </c>
      <c r="C2725" s="74" t="s">
        <v>441</v>
      </c>
    </row>
    <row r="2726" spans="1:3">
      <c r="A2726" s="250">
        <v>7644</v>
      </c>
      <c r="B2726" s="74" t="s">
        <v>2238</v>
      </c>
      <c r="C2726" s="74" t="s">
        <v>441</v>
      </c>
    </row>
    <row r="2727" spans="1:3">
      <c r="A2727" s="250">
        <v>7645</v>
      </c>
      <c r="B2727" s="74" t="s">
        <v>2239</v>
      </c>
      <c r="C2727" s="74" t="s">
        <v>441</v>
      </c>
    </row>
    <row r="2728" spans="1:3">
      <c r="A2728" s="250">
        <v>7646</v>
      </c>
      <c r="B2728" s="74" t="s">
        <v>2088</v>
      </c>
      <c r="C2728" s="74" t="s">
        <v>441</v>
      </c>
    </row>
    <row r="2729" spans="1:3">
      <c r="A2729" s="250">
        <v>7647</v>
      </c>
      <c r="B2729" s="74" t="s">
        <v>2240</v>
      </c>
      <c r="C2729" s="74" t="s">
        <v>441</v>
      </c>
    </row>
    <row r="2730" spans="1:3">
      <c r="A2730" s="250">
        <v>7648</v>
      </c>
      <c r="B2730" s="74" t="s">
        <v>890</v>
      </c>
      <c r="C2730" s="74" t="s">
        <v>441</v>
      </c>
    </row>
    <row r="2731" spans="1:3">
      <c r="A2731" s="250">
        <v>7649</v>
      </c>
      <c r="B2731" s="74" t="s">
        <v>2241</v>
      </c>
      <c r="C2731" s="74" t="s">
        <v>441</v>
      </c>
    </row>
    <row r="2732" spans="1:3">
      <c r="A2732" s="250">
        <v>7650</v>
      </c>
      <c r="B2732" s="74" t="s">
        <v>2242</v>
      </c>
      <c r="C2732" s="74" t="s">
        <v>441</v>
      </c>
    </row>
    <row r="2733" spans="1:3">
      <c r="A2733" s="250">
        <v>7652</v>
      </c>
      <c r="B2733" s="74" t="s">
        <v>2243</v>
      </c>
      <c r="C2733" s="74" t="s">
        <v>441</v>
      </c>
    </row>
    <row r="2734" spans="1:3">
      <c r="A2734" s="250">
        <v>7653</v>
      </c>
      <c r="B2734" s="74" t="s">
        <v>2243</v>
      </c>
      <c r="C2734" s="74" t="s">
        <v>441</v>
      </c>
    </row>
    <row r="2735" spans="1:3">
      <c r="A2735" s="250">
        <v>7656</v>
      </c>
      <c r="B2735" s="74" t="s">
        <v>2244</v>
      </c>
      <c r="C2735" s="74" t="s">
        <v>441</v>
      </c>
    </row>
    <row r="2736" spans="1:3">
      <c r="A2736" s="250">
        <v>7657</v>
      </c>
      <c r="B2736" s="74" t="s">
        <v>2108</v>
      </c>
      <c r="C2736" s="74" t="s">
        <v>441</v>
      </c>
    </row>
    <row r="2737" spans="1:3">
      <c r="A2737" s="250">
        <v>7660</v>
      </c>
      <c r="B2737" s="74" t="s">
        <v>2245</v>
      </c>
      <c r="C2737" s="74" t="s">
        <v>441</v>
      </c>
    </row>
    <row r="2738" spans="1:3">
      <c r="A2738" s="250">
        <v>7661</v>
      </c>
      <c r="B2738" s="74" t="s">
        <v>2246</v>
      </c>
      <c r="C2738" s="74" t="s">
        <v>441</v>
      </c>
    </row>
    <row r="2739" spans="1:3">
      <c r="A2739" s="250">
        <v>7662</v>
      </c>
      <c r="B2739" s="74" t="s">
        <v>2247</v>
      </c>
      <c r="C2739" s="74" t="s">
        <v>441</v>
      </c>
    </row>
    <row r="2740" spans="1:3">
      <c r="A2740" s="250">
        <v>7663</v>
      </c>
      <c r="B2740" s="74" t="s">
        <v>2248</v>
      </c>
      <c r="C2740" s="74" t="s">
        <v>441</v>
      </c>
    </row>
    <row r="2741" spans="1:3">
      <c r="A2741" s="250">
        <v>7666</v>
      </c>
      <c r="B2741" s="74" t="s">
        <v>2249</v>
      </c>
      <c r="C2741" s="74" t="s">
        <v>441</v>
      </c>
    </row>
    <row r="2742" spans="1:3">
      <c r="A2742" s="250">
        <v>7670</v>
      </c>
      <c r="B2742" s="74" t="s">
        <v>2250</v>
      </c>
      <c r="C2742" s="74" t="s">
        <v>441</v>
      </c>
    </row>
    <row r="2743" spans="1:3">
      <c r="A2743" s="250">
        <v>7675</v>
      </c>
      <c r="B2743" s="74" t="s">
        <v>898</v>
      </c>
      <c r="C2743" s="74" t="s">
        <v>441</v>
      </c>
    </row>
    <row r="2744" spans="1:3">
      <c r="A2744" s="250">
        <v>7676</v>
      </c>
      <c r="B2744" s="74" t="s">
        <v>2251</v>
      </c>
      <c r="C2744" s="74" t="s">
        <v>441</v>
      </c>
    </row>
    <row r="2745" spans="1:3">
      <c r="A2745" s="250">
        <v>7677</v>
      </c>
      <c r="B2745" s="74" t="s">
        <v>2252</v>
      </c>
      <c r="C2745" s="74" t="s">
        <v>441</v>
      </c>
    </row>
    <row r="2746" spans="1:3">
      <c r="A2746" s="250">
        <v>7699</v>
      </c>
      <c r="B2746" s="74" t="s">
        <v>2224</v>
      </c>
      <c r="C2746" s="74" t="s">
        <v>441</v>
      </c>
    </row>
    <row r="2747" spans="1:3">
      <c r="A2747" s="250">
        <v>7701</v>
      </c>
      <c r="B2747" s="74" t="s">
        <v>2253</v>
      </c>
      <c r="C2747" s="74" t="s">
        <v>441</v>
      </c>
    </row>
    <row r="2748" spans="1:3">
      <c r="A2748" s="250">
        <v>7702</v>
      </c>
      <c r="B2748" s="74" t="s">
        <v>758</v>
      </c>
      <c r="C2748" s="74" t="s">
        <v>441</v>
      </c>
    </row>
    <row r="2749" spans="1:3">
      <c r="A2749" s="250">
        <v>7703</v>
      </c>
      <c r="B2749" s="74" t="s">
        <v>2254</v>
      </c>
      <c r="C2749" s="74" t="s">
        <v>441</v>
      </c>
    </row>
    <row r="2750" spans="1:3">
      <c r="A2750" s="250">
        <v>7704</v>
      </c>
      <c r="B2750" s="74" t="s">
        <v>1874</v>
      </c>
      <c r="C2750" s="74" t="s">
        <v>441</v>
      </c>
    </row>
    <row r="2751" spans="1:3">
      <c r="A2751" s="250">
        <v>7709</v>
      </c>
      <c r="B2751" s="74" t="s">
        <v>2253</v>
      </c>
      <c r="C2751" s="74" t="s">
        <v>441</v>
      </c>
    </row>
    <row r="2752" spans="1:3">
      <c r="A2752" s="250">
        <v>7710</v>
      </c>
      <c r="B2752" s="74" t="s">
        <v>2255</v>
      </c>
      <c r="C2752" s="74" t="s">
        <v>441</v>
      </c>
    </row>
    <row r="2753" spans="1:3">
      <c r="A2753" s="250">
        <v>7711</v>
      </c>
      <c r="B2753" s="74" t="s">
        <v>2256</v>
      </c>
      <c r="C2753" s="74" t="s">
        <v>441</v>
      </c>
    </row>
    <row r="2754" spans="1:3">
      <c r="A2754" s="250">
        <v>7712</v>
      </c>
      <c r="B2754" s="74" t="s">
        <v>2257</v>
      </c>
      <c r="C2754" s="74" t="s">
        <v>441</v>
      </c>
    </row>
    <row r="2755" spans="1:3">
      <c r="A2755" s="250">
        <v>7715</v>
      </c>
      <c r="B2755" s="74" t="s">
        <v>2258</v>
      </c>
      <c r="C2755" s="74" t="s">
        <v>441</v>
      </c>
    </row>
    <row r="2756" spans="1:3">
      <c r="A2756" s="250">
        <v>7716</v>
      </c>
      <c r="B2756" s="74" t="s">
        <v>2259</v>
      </c>
      <c r="C2756" s="74" t="s">
        <v>441</v>
      </c>
    </row>
    <row r="2757" spans="1:3">
      <c r="A2757" s="250">
        <v>7717</v>
      </c>
      <c r="B2757" s="74" t="s">
        <v>2260</v>
      </c>
      <c r="C2757" s="74" t="s">
        <v>441</v>
      </c>
    </row>
    <row r="2758" spans="1:3">
      <c r="A2758" s="250">
        <v>7718</v>
      </c>
      <c r="B2758" s="74" t="s">
        <v>2261</v>
      </c>
      <c r="C2758" s="74" t="s">
        <v>441</v>
      </c>
    </row>
    <row r="2759" spans="1:3">
      <c r="A2759" s="250">
        <v>7719</v>
      </c>
      <c r="B2759" s="74" t="s">
        <v>2258</v>
      </c>
      <c r="C2759" s="74" t="s">
        <v>441</v>
      </c>
    </row>
    <row r="2760" spans="1:3">
      <c r="A2760" s="250">
        <v>7720</v>
      </c>
      <c r="B2760" s="74" t="s">
        <v>2262</v>
      </c>
      <c r="C2760" s="74" t="s">
        <v>441</v>
      </c>
    </row>
    <row r="2761" spans="1:3">
      <c r="A2761" s="250">
        <v>7721</v>
      </c>
      <c r="B2761" s="74" t="s">
        <v>2263</v>
      </c>
      <c r="C2761" s="74" t="s">
        <v>441</v>
      </c>
    </row>
    <row r="2762" spans="1:3">
      <c r="A2762" s="250">
        <v>7722</v>
      </c>
      <c r="B2762" s="74" t="s">
        <v>2264</v>
      </c>
      <c r="C2762" s="74" t="s">
        <v>441</v>
      </c>
    </row>
    <row r="2763" spans="1:3">
      <c r="A2763" s="250">
        <v>7723</v>
      </c>
      <c r="B2763" s="74" t="s">
        <v>2265</v>
      </c>
      <c r="C2763" s="74" t="s">
        <v>441</v>
      </c>
    </row>
    <row r="2764" spans="1:3">
      <c r="A2764" s="250">
        <v>7724</v>
      </c>
      <c r="B2764" s="74" t="s">
        <v>2266</v>
      </c>
      <c r="C2764" s="74" t="s">
        <v>441</v>
      </c>
    </row>
    <row r="2765" spans="1:3">
      <c r="A2765" s="250">
        <v>7726</v>
      </c>
      <c r="B2765" s="74" t="s">
        <v>2267</v>
      </c>
      <c r="C2765" s="74" t="s">
        <v>441</v>
      </c>
    </row>
    <row r="2766" spans="1:3">
      <c r="A2766" s="250">
        <v>7727</v>
      </c>
      <c r="B2766" s="74" t="s">
        <v>1477</v>
      </c>
      <c r="C2766" s="74" t="s">
        <v>441</v>
      </c>
    </row>
    <row r="2767" spans="1:3">
      <c r="A2767" s="250">
        <v>7728</v>
      </c>
      <c r="B2767" s="74" t="s">
        <v>2268</v>
      </c>
      <c r="C2767" s="74" t="s">
        <v>441</v>
      </c>
    </row>
    <row r="2768" spans="1:3">
      <c r="A2768" s="250">
        <v>7730</v>
      </c>
      <c r="B2768" s="74" t="s">
        <v>2269</v>
      </c>
      <c r="C2768" s="74" t="s">
        <v>441</v>
      </c>
    </row>
    <row r="2769" spans="1:3">
      <c r="A2769" s="250">
        <v>7731</v>
      </c>
      <c r="B2769" s="74" t="s">
        <v>2270</v>
      </c>
      <c r="C2769" s="74" t="s">
        <v>441</v>
      </c>
    </row>
    <row r="2770" spans="1:3">
      <c r="A2770" s="250">
        <v>7732</v>
      </c>
      <c r="B2770" s="74" t="s">
        <v>2271</v>
      </c>
      <c r="C2770" s="74" t="s">
        <v>441</v>
      </c>
    </row>
    <row r="2771" spans="1:3">
      <c r="A2771" s="250">
        <v>7733</v>
      </c>
      <c r="B2771" s="74" t="s">
        <v>2272</v>
      </c>
      <c r="C2771" s="74" t="s">
        <v>441</v>
      </c>
    </row>
    <row r="2772" spans="1:3">
      <c r="A2772" s="250">
        <v>7734</v>
      </c>
      <c r="B2772" s="74" t="s">
        <v>2273</v>
      </c>
      <c r="C2772" s="74" t="s">
        <v>441</v>
      </c>
    </row>
    <row r="2773" spans="1:3">
      <c r="A2773" s="250">
        <v>7735</v>
      </c>
      <c r="B2773" s="74" t="s">
        <v>2274</v>
      </c>
      <c r="C2773" s="74" t="s">
        <v>441</v>
      </c>
    </row>
    <row r="2774" spans="1:3">
      <c r="A2774" s="250">
        <v>7737</v>
      </c>
      <c r="B2774" s="74" t="s">
        <v>2275</v>
      </c>
      <c r="C2774" s="74" t="s">
        <v>441</v>
      </c>
    </row>
    <row r="2775" spans="1:3">
      <c r="A2775" s="250">
        <v>7738</v>
      </c>
      <c r="B2775" s="74" t="s">
        <v>2276</v>
      </c>
      <c r="C2775" s="74" t="s">
        <v>441</v>
      </c>
    </row>
    <row r="2776" spans="1:3">
      <c r="A2776" s="250">
        <v>7739</v>
      </c>
      <c r="B2776" s="74" t="s">
        <v>2277</v>
      </c>
      <c r="C2776" s="74" t="s">
        <v>441</v>
      </c>
    </row>
    <row r="2777" spans="1:3">
      <c r="A2777" s="250">
        <v>7740</v>
      </c>
      <c r="B2777" s="74" t="s">
        <v>2278</v>
      </c>
      <c r="C2777" s="74" t="s">
        <v>441</v>
      </c>
    </row>
    <row r="2778" spans="1:3">
      <c r="A2778" s="250">
        <v>7746</v>
      </c>
      <c r="B2778" s="74" t="s">
        <v>1784</v>
      </c>
      <c r="C2778" s="74" t="s">
        <v>441</v>
      </c>
    </row>
    <row r="2779" spans="1:3">
      <c r="A2779" s="250">
        <v>7747</v>
      </c>
      <c r="B2779" s="74" t="s">
        <v>2279</v>
      </c>
      <c r="C2779" s="74" t="s">
        <v>441</v>
      </c>
    </row>
    <row r="2780" spans="1:3">
      <c r="A2780" s="250">
        <v>7748</v>
      </c>
      <c r="B2780" s="74" t="s">
        <v>1119</v>
      </c>
      <c r="C2780" s="74" t="s">
        <v>441</v>
      </c>
    </row>
    <row r="2781" spans="1:3">
      <c r="A2781" s="250">
        <v>7750</v>
      </c>
      <c r="B2781" s="74" t="s">
        <v>2280</v>
      </c>
      <c r="C2781" s="74" t="s">
        <v>441</v>
      </c>
    </row>
    <row r="2782" spans="1:3">
      <c r="A2782" s="250">
        <v>7751</v>
      </c>
      <c r="B2782" s="74" t="s">
        <v>2281</v>
      </c>
      <c r="C2782" s="74" t="s">
        <v>441</v>
      </c>
    </row>
    <row r="2783" spans="1:3">
      <c r="A2783" s="250">
        <v>7752</v>
      </c>
      <c r="B2783" s="74" t="s">
        <v>2282</v>
      </c>
      <c r="C2783" s="74" t="s">
        <v>441</v>
      </c>
    </row>
    <row r="2784" spans="1:3">
      <c r="A2784" s="250">
        <v>7753</v>
      </c>
      <c r="B2784" s="74" t="s">
        <v>2283</v>
      </c>
      <c r="C2784" s="74" t="s">
        <v>441</v>
      </c>
    </row>
    <row r="2785" spans="1:3">
      <c r="A2785" s="250">
        <v>7754</v>
      </c>
      <c r="B2785" s="74" t="s">
        <v>2283</v>
      </c>
      <c r="C2785" s="74" t="s">
        <v>441</v>
      </c>
    </row>
    <row r="2786" spans="1:3">
      <c r="A2786" s="250">
        <v>7755</v>
      </c>
      <c r="B2786" s="74" t="s">
        <v>2284</v>
      </c>
      <c r="C2786" s="74" t="s">
        <v>441</v>
      </c>
    </row>
    <row r="2787" spans="1:3">
      <c r="A2787" s="250">
        <v>7756</v>
      </c>
      <c r="B2787" s="74" t="s">
        <v>2285</v>
      </c>
      <c r="C2787" s="74" t="s">
        <v>441</v>
      </c>
    </row>
    <row r="2788" spans="1:3">
      <c r="A2788" s="250">
        <v>7757</v>
      </c>
      <c r="B2788" s="74" t="s">
        <v>2286</v>
      </c>
      <c r="C2788" s="74" t="s">
        <v>441</v>
      </c>
    </row>
    <row r="2789" spans="1:3">
      <c r="A2789" s="250">
        <v>7758</v>
      </c>
      <c r="B2789" s="74" t="s">
        <v>2287</v>
      </c>
      <c r="C2789" s="74" t="s">
        <v>441</v>
      </c>
    </row>
    <row r="2790" spans="1:3">
      <c r="A2790" s="250">
        <v>7760</v>
      </c>
      <c r="B2790" s="74" t="s">
        <v>2288</v>
      </c>
      <c r="C2790" s="74" t="s">
        <v>441</v>
      </c>
    </row>
    <row r="2791" spans="1:3">
      <c r="A2791" s="250">
        <v>7762</v>
      </c>
      <c r="B2791" s="74" t="s">
        <v>2289</v>
      </c>
      <c r="C2791" s="74" t="s">
        <v>441</v>
      </c>
    </row>
    <row r="2792" spans="1:3">
      <c r="A2792" s="250">
        <v>7763</v>
      </c>
      <c r="B2792" s="74" t="s">
        <v>2290</v>
      </c>
      <c r="C2792" s="74" t="s">
        <v>441</v>
      </c>
    </row>
    <row r="2793" spans="1:3">
      <c r="A2793" s="250">
        <v>7764</v>
      </c>
      <c r="B2793" s="74" t="s">
        <v>2291</v>
      </c>
      <c r="C2793" s="74" t="s">
        <v>441</v>
      </c>
    </row>
    <row r="2794" spans="1:3">
      <c r="A2794" s="250">
        <v>7765</v>
      </c>
      <c r="B2794" s="74" t="s">
        <v>2292</v>
      </c>
      <c r="C2794" s="74" t="s">
        <v>441</v>
      </c>
    </row>
    <row r="2795" spans="1:3">
      <c r="A2795" s="250">
        <v>7799</v>
      </c>
      <c r="B2795" s="74" t="s">
        <v>2266</v>
      </c>
      <c r="C2795" s="74" t="s">
        <v>441</v>
      </c>
    </row>
    <row r="2796" spans="1:3">
      <c r="A2796" s="250">
        <v>7801</v>
      </c>
      <c r="B2796" s="74" t="s">
        <v>869</v>
      </c>
      <c r="C2796" s="74" t="s">
        <v>441</v>
      </c>
    </row>
    <row r="2797" spans="1:3">
      <c r="A2797" s="250">
        <v>7802</v>
      </c>
      <c r="B2797" s="74" t="s">
        <v>869</v>
      </c>
      <c r="C2797" s="74" t="s">
        <v>441</v>
      </c>
    </row>
    <row r="2798" spans="1:3">
      <c r="A2798" s="250">
        <v>7803</v>
      </c>
      <c r="B2798" s="74" t="s">
        <v>2293</v>
      </c>
      <c r="C2798" s="74" t="s">
        <v>441</v>
      </c>
    </row>
    <row r="2799" spans="1:3">
      <c r="A2799" s="250">
        <v>7806</v>
      </c>
      <c r="B2799" s="74" t="s">
        <v>2294</v>
      </c>
      <c r="C2799" s="74" t="s">
        <v>441</v>
      </c>
    </row>
    <row r="2800" spans="1:3">
      <c r="A2800" s="250">
        <v>7820</v>
      </c>
      <c r="B2800" s="74" t="s">
        <v>2295</v>
      </c>
      <c r="C2800" s="74" t="s">
        <v>441</v>
      </c>
    </row>
    <row r="2801" spans="1:3">
      <c r="A2801" s="250">
        <v>7821</v>
      </c>
      <c r="B2801" s="74" t="s">
        <v>807</v>
      </c>
      <c r="C2801" s="74" t="s">
        <v>441</v>
      </c>
    </row>
    <row r="2802" spans="1:3">
      <c r="A2802" s="250">
        <v>7822</v>
      </c>
      <c r="B2802" s="74" t="s">
        <v>1473</v>
      </c>
      <c r="C2802" s="74" t="s">
        <v>441</v>
      </c>
    </row>
    <row r="2803" spans="1:3">
      <c r="A2803" s="250">
        <v>7823</v>
      </c>
      <c r="B2803" s="74" t="s">
        <v>2296</v>
      </c>
      <c r="C2803" s="74" t="s">
        <v>441</v>
      </c>
    </row>
    <row r="2804" spans="1:3">
      <c r="A2804" s="250">
        <v>7825</v>
      </c>
      <c r="B2804" s="74" t="s">
        <v>2297</v>
      </c>
      <c r="C2804" s="74" t="s">
        <v>441</v>
      </c>
    </row>
    <row r="2805" spans="1:3">
      <c r="A2805" s="250">
        <v>7826</v>
      </c>
      <c r="B2805" s="74" t="s">
        <v>2298</v>
      </c>
      <c r="C2805" s="74" t="s">
        <v>441</v>
      </c>
    </row>
    <row r="2806" spans="1:3">
      <c r="A2806" s="250">
        <v>7827</v>
      </c>
      <c r="B2806" s="74" t="s">
        <v>685</v>
      </c>
      <c r="C2806" s="74" t="s">
        <v>441</v>
      </c>
    </row>
    <row r="2807" spans="1:3">
      <c r="A2807" s="250">
        <v>7828</v>
      </c>
      <c r="B2807" s="74" t="s">
        <v>2299</v>
      </c>
      <c r="C2807" s="74" t="s">
        <v>441</v>
      </c>
    </row>
    <row r="2808" spans="1:3">
      <c r="A2808" s="250">
        <v>7829</v>
      </c>
      <c r="B2808" s="74" t="s">
        <v>2300</v>
      </c>
      <c r="C2808" s="74" t="s">
        <v>441</v>
      </c>
    </row>
    <row r="2809" spans="1:3">
      <c r="A2809" s="250">
        <v>7830</v>
      </c>
      <c r="B2809" s="74" t="s">
        <v>2301</v>
      </c>
      <c r="C2809" s="74" t="s">
        <v>441</v>
      </c>
    </row>
    <row r="2810" spans="1:3">
      <c r="A2810" s="250">
        <v>7831</v>
      </c>
      <c r="B2810" s="74" t="s">
        <v>2302</v>
      </c>
      <c r="C2810" s="74" t="s">
        <v>441</v>
      </c>
    </row>
    <row r="2811" spans="1:3">
      <c r="A2811" s="250">
        <v>7832</v>
      </c>
      <c r="B2811" s="74" t="s">
        <v>1985</v>
      </c>
      <c r="C2811" s="74" t="s">
        <v>441</v>
      </c>
    </row>
    <row r="2812" spans="1:3">
      <c r="A2812" s="250">
        <v>7833</v>
      </c>
      <c r="B2812" s="74" t="s">
        <v>2303</v>
      </c>
      <c r="C2812" s="74" t="s">
        <v>441</v>
      </c>
    </row>
    <row r="2813" spans="1:3">
      <c r="A2813" s="250">
        <v>7834</v>
      </c>
      <c r="B2813" s="74" t="s">
        <v>2304</v>
      </c>
      <c r="C2813" s="74" t="s">
        <v>441</v>
      </c>
    </row>
    <row r="2814" spans="1:3">
      <c r="A2814" s="250">
        <v>7836</v>
      </c>
      <c r="B2814" s="74" t="s">
        <v>2305</v>
      </c>
      <c r="C2814" s="74" t="s">
        <v>441</v>
      </c>
    </row>
    <row r="2815" spans="1:3">
      <c r="A2815" s="250">
        <v>7837</v>
      </c>
      <c r="B2815" s="74" t="s">
        <v>2306</v>
      </c>
      <c r="C2815" s="74" t="s">
        <v>441</v>
      </c>
    </row>
    <row r="2816" spans="1:3">
      <c r="A2816" s="250">
        <v>7838</v>
      </c>
      <c r="B2816" s="74" t="s">
        <v>2307</v>
      </c>
      <c r="C2816" s="74" t="s">
        <v>441</v>
      </c>
    </row>
    <row r="2817" spans="1:3">
      <c r="A2817" s="250">
        <v>7839</v>
      </c>
      <c r="B2817" s="74" t="s">
        <v>2308</v>
      </c>
      <c r="C2817" s="74" t="s">
        <v>441</v>
      </c>
    </row>
    <row r="2818" spans="1:3">
      <c r="A2818" s="250">
        <v>7840</v>
      </c>
      <c r="B2818" s="74" t="s">
        <v>2309</v>
      </c>
      <c r="C2818" s="74" t="s">
        <v>441</v>
      </c>
    </row>
    <row r="2819" spans="1:3">
      <c r="A2819" s="250">
        <v>7842</v>
      </c>
      <c r="B2819" s="74" t="s">
        <v>2310</v>
      </c>
      <c r="C2819" s="74" t="s">
        <v>441</v>
      </c>
    </row>
    <row r="2820" spans="1:3">
      <c r="A2820" s="250">
        <v>7843</v>
      </c>
      <c r="B2820" s="74" t="s">
        <v>2311</v>
      </c>
      <c r="C2820" s="74" t="s">
        <v>441</v>
      </c>
    </row>
    <row r="2821" spans="1:3">
      <c r="A2821" s="250">
        <v>7844</v>
      </c>
      <c r="B2821" s="74" t="s">
        <v>1111</v>
      </c>
      <c r="C2821" s="74" t="s">
        <v>441</v>
      </c>
    </row>
    <row r="2822" spans="1:3">
      <c r="A2822" s="250">
        <v>7845</v>
      </c>
      <c r="B2822" s="74" t="s">
        <v>2312</v>
      </c>
      <c r="C2822" s="74" t="s">
        <v>441</v>
      </c>
    </row>
    <row r="2823" spans="1:3">
      <c r="A2823" s="250">
        <v>7846</v>
      </c>
      <c r="B2823" s="74" t="s">
        <v>2313</v>
      </c>
      <c r="C2823" s="74" t="s">
        <v>441</v>
      </c>
    </row>
    <row r="2824" spans="1:3">
      <c r="A2824" s="250">
        <v>7847</v>
      </c>
      <c r="B2824" s="74" t="s">
        <v>2314</v>
      </c>
      <c r="C2824" s="74" t="s">
        <v>441</v>
      </c>
    </row>
    <row r="2825" spans="1:3">
      <c r="A2825" s="250">
        <v>7848</v>
      </c>
      <c r="B2825" s="74" t="s">
        <v>2315</v>
      </c>
      <c r="C2825" s="74" t="s">
        <v>441</v>
      </c>
    </row>
    <row r="2826" spans="1:3">
      <c r="A2826" s="250">
        <v>7849</v>
      </c>
      <c r="B2826" s="74" t="s">
        <v>2316</v>
      </c>
      <c r="C2826" s="74" t="s">
        <v>441</v>
      </c>
    </row>
    <row r="2827" spans="1:3">
      <c r="A2827" s="250">
        <v>7850</v>
      </c>
      <c r="B2827" s="74" t="s">
        <v>2317</v>
      </c>
      <c r="C2827" s="74" t="s">
        <v>441</v>
      </c>
    </row>
    <row r="2828" spans="1:3">
      <c r="A2828" s="250">
        <v>7851</v>
      </c>
      <c r="B2828" s="74" t="s">
        <v>2318</v>
      </c>
      <c r="C2828" s="74" t="s">
        <v>441</v>
      </c>
    </row>
    <row r="2829" spans="1:3">
      <c r="A2829" s="250">
        <v>7852</v>
      </c>
      <c r="B2829" s="74" t="s">
        <v>2319</v>
      </c>
      <c r="C2829" s="74" t="s">
        <v>441</v>
      </c>
    </row>
    <row r="2830" spans="1:3">
      <c r="A2830" s="250">
        <v>7853</v>
      </c>
      <c r="B2830" s="74" t="s">
        <v>2320</v>
      </c>
      <c r="C2830" s="74" t="s">
        <v>441</v>
      </c>
    </row>
    <row r="2831" spans="1:3">
      <c r="A2831" s="250">
        <v>7855</v>
      </c>
      <c r="B2831" s="74" t="s">
        <v>2321</v>
      </c>
      <c r="C2831" s="74" t="s">
        <v>441</v>
      </c>
    </row>
    <row r="2832" spans="1:3">
      <c r="A2832" s="250">
        <v>7856</v>
      </c>
      <c r="B2832" s="74" t="s">
        <v>2322</v>
      </c>
      <c r="C2832" s="74" t="s">
        <v>441</v>
      </c>
    </row>
    <row r="2833" spans="1:3">
      <c r="A2833" s="250">
        <v>7857</v>
      </c>
      <c r="B2833" s="74" t="s">
        <v>2323</v>
      </c>
      <c r="C2833" s="74" t="s">
        <v>441</v>
      </c>
    </row>
    <row r="2834" spans="1:3">
      <c r="A2834" s="250">
        <v>7860</v>
      </c>
      <c r="B2834" s="74" t="s">
        <v>973</v>
      </c>
      <c r="C2834" s="74" t="s">
        <v>441</v>
      </c>
    </row>
    <row r="2835" spans="1:3">
      <c r="A2835" s="250">
        <v>7863</v>
      </c>
      <c r="B2835" s="74" t="s">
        <v>754</v>
      </c>
      <c r="C2835" s="74" t="s">
        <v>441</v>
      </c>
    </row>
    <row r="2836" spans="1:3">
      <c r="A2836" s="250">
        <v>7865</v>
      </c>
      <c r="B2836" s="74" t="s">
        <v>2324</v>
      </c>
      <c r="C2836" s="74" t="s">
        <v>441</v>
      </c>
    </row>
    <row r="2837" spans="1:3">
      <c r="A2837" s="250">
        <v>7866</v>
      </c>
      <c r="B2837" s="74" t="s">
        <v>2325</v>
      </c>
      <c r="C2837" s="74" t="s">
        <v>441</v>
      </c>
    </row>
    <row r="2838" spans="1:3">
      <c r="A2838" s="250">
        <v>7869</v>
      </c>
      <c r="B2838" s="74" t="s">
        <v>960</v>
      </c>
      <c r="C2838" s="74" t="s">
        <v>441</v>
      </c>
    </row>
    <row r="2839" spans="1:3">
      <c r="A2839" s="250">
        <v>7870</v>
      </c>
      <c r="B2839" s="74" t="s">
        <v>2326</v>
      </c>
      <c r="C2839" s="74" t="s">
        <v>441</v>
      </c>
    </row>
    <row r="2840" spans="1:3">
      <c r="A2840" s="250">
        <v>7871</v>
      </c>
      <c r="B2840" s="74" t="s">
        <v>2327</v>
      </c>
      <c r="C2840" s="74" t="s">
        <v>441</v>
      </c>
    </row>
    <row r="2841" spans="1:3">
      <c r="A2841" s="250">
        <v>7874</v>
      </c>
      <c r="B2841" s="74" t="s">
        <v>2328</v>
      </c>
      <c r="C2841" s="74" t="s">
        <v>441</v>
      </c>
    </row>
    <row r="2842" spans="1:3">
      <c r="A2842" s="250">
        <v>7875</v>
      </c>
      <c r="B2842" s="74" t="s">
        <v>1530</v>
      </c>
      <c r="C2842" s="74" t="s">
        <v>441</v>
      </c>
    </row>
    <row r="2843" spans="1:3">
      <c r="A2843" s="250">
        <v>7876</v>
      </c>
      <c r="B2843" s="74" t="s">
        <v>2329</v>
      </c>
      <c r="C2843" s="74" t="s">
        <v>441</v>
      </c>
    </row>
    <row r="2844" spans="1:3">
      <c r="A2844" s="250">
        <v>7877</v>
      </c>
      <c r="B2844" s="74" t="s">
        <v>2330</v>
      </c>
      <c r="C2844" s="74" t="s">
        <v>441</v>
      </c>
    </row>
    <row r="2845" spans="1:3">
      <c r="A2845" s="250">
        <v>7878</v>
      </c>
      <c r="B2845" s="74" t="s">
        <v>2331</v>
      </c>
      <c r="C2845" s="74" t="s">
        <v>441</v>
      </c>
    </row>
    <row r="2846" spans="1:3">
      <c r="A2846" s="250">
        <v>7879</v>
      </c>
      <c r="B2846" s="74" t="s">
        <v>2332</v>
      </c>
      <c r="C2846" s="74" t="s">
        <v>441</v>
      </c>
    </row>
    <row r="2847" spans="1:3">
      <c r="A2847" s="250">
        <v>7880</v>
      </c>
      <c r="B2847" s="74" t="s">
        <v>1486</v>
      </c>
      <c r="C2847" s="74" t="s">
        <v>441</v>
      </c>
    </row>
    <row r="2848" spans="1:3">
      <c r="A2848" s="250">
        <v>7881</v>
      </c>
      <c r="B2848" s="74" t="s">
        <v>2333</v>
      </c>
      <c r="C2848" s="74" t="s">
        <v>441</v>
      </c>
    </row>
    <row r="2849" spans="1:3">
      <c r="A2849" s="250">
        <v>7882</v>
      </c>
      <c r="B2849" s="74" t="s">
        <v>1215</v>
      </c>
      <c r="C2849" s="74" t="s">
        <v>441</v>
      </c>
    </row>
    <row r="2850" spans="1:3">
      <c r="A2850" s="250">
        <v>7885</v>
      </c>
      <c r="B2850" s="74" t="s">
        <v>2334</v>
      </c>
      <c r="C2850" s="74" t="s">
        <v>441</v>
      </c>
    </row>
    <row r="2851" spans="1:3">
      <c r="A2851" s="250">
        <v>7890</v>
      </c>
      <c r="B2851" s="74" t="s">
        <v>2298</v>
      </c>
      <c r="C2851" s="74" t="s">
        <v>441</v>
      </c>
    </row>
    <row r="2852" spans="1:3">
      <c r="A2852" s="250">
        <v>7901</v>
      </c>
      <c r="B2852" s="74" t="s">
        <v>2335</v>
      </c>
      <c r="C2852" s="74" t="s">
        <v>441</v>
      </c>
    </row>
    <row r="2853" spans="1:3">
      <c r="A2853" s="250">
        <v>7902</v>
      </c>
      <c r="B2853" s="74" t="s">
        <v>2335</v>
      </c>
      <c r="C2853" s="74" t="s">
        <v>441</v>
      </c>
    </row>
    <row r="2854" spans="1:3">
      <c r="A2854" s="250">
        <v>7920</v>
      </c>
      <c r="B2854" s="74" t="s">
        <v>2336</v>
      </c>
      <c r="C2854" s="74" t="s">
        <v>441</v>
      </c>
    </row>
    <row r="2855" spans="1:3">
      <c r="A2855" s="250">
        <v>7921</v>
      </c>
      <c r="B2855" s="74" t="s">
        <v>2337</v>
      </c>
      <c r="C2855" s="74" t="s">
        <v>441</v>
      </c>
    </row>
    <row r="2856" spans="1:3">
      <c r="A2856" s="250">
        <v>7922</v>
      </c>
      <c r="B2856" s="74" t="s">
        <v>2338</v>
      </c>
      <c r="C2856" s="74" t="s">
        <v>441</v>
      </c>
    </row>
    <row r="2857" spans="1:3">
      <c r="A2857" s="250">
        <v>7924</v>
      </c>
      <c r="B2857" s="74" t="s">
        <v>2339</v>
      </c>
      <c r="C2857" s="74" t="s">
        <v>441</v>
      </c>
    </row>
    <row r="2858" spans="1:3">
      <c r="A2858" s="250">
        <v>7926</v>
      </c>
      <c r="B2858" s="74" t="s">
        <v>2340</v>
      </c>
      <c r="C2858" s="74" t="s">
        <v>441</v>
      </c>
    </row>
    <row r="2859" spans="1:3">
      <c r="A2859" s="250">
        <v>7927</v>
      </c>
      <c r="B2859" s="74" t="s">
        <v>2341</v>
      </c>
      <c r="C2859" s="74" t="s">
        <v>441</v>
      </c>
    </row>
    <row r="2860" spans="1:3">
      <c r="A2860" s="250">
        <v>7928</v>
      </c>
      <c r="B2860" s="74" t="s">
        <v>1025</v>
      </c>
      <c r="C2860" s="74" t="s">
        <v>441</v>
      </c>
    </row>
    <row r="2861" spans="1:3">
      <c r="A2861" s="250">
        <v>7930</v>
      </c>
      <c r="B2861" s="74" t="s">
        <v>583</v>
      </c>
      <c r="C2861" s="74" t="s">
        <v>441</v>
      </c>
    </row>
    <row r="2862" spans="1:3">
      <c r="A2862" s="250">
        <v>7931</v>
      </c>
      <c r="B2862" s="74" t="s">
        <v>2342</v>
      </c>
      <c r="C2862" s="74" t="s">
        <v>441</v>
      </c>
    </row>
    <row r="2863" spans="1:3">
      <c r="A2863" s="250">
        <v>7932</v>
      </c>
      <c r="B2863" s="74" t="s">
        <v>2343</v>
      </c>
      <c r="C2863" s="74" t="s">
        <v>441</v>
      </c>
    </row>
    <row r="2864" spans="1:3">
      <c r="A2864" s="250">
        <v>7933</v>
      </c>
      <c r="B2864" s="74" t="s">
        <v>2344</v>
      </c>
      <c r="C2864" s="74" t="s">
        <v>441</v>
      </c>
    </row>
    <row r="2865" spans="1:3">
      <c r="A2865" s="250">
        <v>7934</v>
      </c>
      <c r="B2865" s="74" t="s">
        <v>2345</v>
      </c>
      <c r="C2865" s="74" t="s">
        <v>441</v>
      </c>
    </row>
    <row r="2866" spans="1:3">
      <c r="A2866" s="250">
        <v>7935</v>
      </c>
      <c r="B2866" s="74" t="s">
        <v>2346</v>
      </c>
      <c r="C2866" s="74" t="s">
        <v>441</v>
      </c>
    </row>
    <row r="2867" spans="1:3">
      <c r="A2867" s="250">
        <v>7936</v>
      </c>
      <c r="B2867" s="74" t="s">
        <v>2347</v>
      </c>
      <c r="C2867" s="74" t="s">
        <v>441</v>
      </c>
    </row>
    <row r="2868" spans="1:3">
      <c r="A2868" s="250">
        <v>7938</v>
      </c>
      <c r="B2868" s="74" t="s">
        <v>2348</v>
      </c>
      <c r="C2868" s="74" t="s">
        <v>441</v>
      </c>
    </row>
    <row r="2869" spans="1:3">
      <c r="A2869" s="250">
        <v>7939</v>
      </c>
      <c r="B2869" s="74" t="s">
        <v>2349</v>
      </c>
      <c r="C2869" s="74" t="s">
        <v>441</v>
      </c>
    </row>
    <row r="2870" spans="1:3">
      <c r="A2870" s="250">
        <v>7940</v>
      </c>
      <c r="B2870" s="74" t="s">
        <v>1320</v>
      </c>
      <c r="C2870" s="74" t="s">
        <v>441</v>
      </c>
    </row>
    <row r="2871" spans="1:3">
      <c r="A2871" s="250">
        <v>7945</v>
      </c>
      <c r="B2871" s="74" t="s">
        <v>2350</v>
      </c>
      <c r="C2871" s="74" t="s">
        <v>441</v>
      </c>
    </row>
    <row r="2872" spans="1:3">
      <c r="A2872" s="250">
        <v>7946</v>
      </c>
      <c r="B2872" s="74" t="s">
        <v>2351</v>
      </c>
      <c r="C2872" s="74" t="s">
        <v>441</v>
      </c>
    </row>
    <row r="2873" spans="1:3">
      <c r="A2873" s="250">
        <v>7950</v>
      </c>
      <c r="B2873" s="74" t="s">
        <v>2352</v>
      </c>
      <c r="C2873" s="74" t="s">
        <v>441</v>
      </c>
    </row>
    <row r="2874" spans="1:3">
      <c r="A2874" s="250">
        <v>7960</v>
      </c>
      <c r="B2874" s="74" t="s">
        <v>2353</v>
      </c>
      <c r="C2874" s="74" t="s">
        <v>441</v>
      </c>
    </row>
    <row r="2875" spans="1:3">
      <c r="A2875" s="250">
        <v>7961</v>
      </c>
      <c r="B2875" s="74" t="s">
        <v>2354</v>
      </c>
      <c r="C2875" s="74" t="s">
        <v>441</v>
      </c>
    </row>
    <row r="2876" spans="1:3">
      <c r="A2876" s="250">
        <v>7962</v>
      </c>
      <c r="B2876" s="74" t="s">
        <v>2353</v>
      </c>
      <c r="C2876" s="74" t="s">
        <v>441</v>
      </c>
    </row>
    <row r="2877" spans="1:3">
      <c r="A2877" s="250">
        <v>7963</v>
      </c>
      <c r="B2877" s="74" t="s">
        <v>2353</v>
      </c>
      <c r="C2877" s="74" t="s">
        <v>441</v>
      </c>
    </row>
    <row r="2878" spans="1:3">
      <c r="A2878" s="250">
        <v>7970</v>
      </c>
      <c r="B2878" s="74" t="s">
        <v>2355</v>
      </c>
      <c r="C2878" s="74" t="s">
        <v>441</v>
      </c>
    </row>
    <row r="2879" spans="1:3">
      <c r="A2879" s="250">
        <v>7974</v>
      </c>
      <c r="B2879" s="74" t="s">
        <v>2356</v>
      </c>
      <c r="C2879" s="74" t="s">
        <v>441</v>
      </c>
    </row>
    <row r="2880" spans="1:3">
      <c r="A2880" s="250">
        <v>7976</v>
      </c>
      <c r="B2880" s="74" t="s">
        <v>2357</v>
      </c>
      <c r="C2880" s="74" t="s">
        <v>441</v>
      </c>
    </row>
    <row r="2881" spans="1:3">
      <c r="A2881" s="250">
        <v>7977</v>
      </c>
      <c r="B2881" s="74" t="s">
        <v>2358</v>
      </c>
      <c r="C2881" s="74" t="s">
        <v>441</v>
      </c>
    </row>
    <row r="2882" spans="1:3">
      <c r="A2882" s="250">
        <v>7978</v>
      </c>
      <c r="B2882" s="74" t="s">
        <v>2359</v>
      </c>
      <c r="C2882" s="74" t="s">
        <v>441</v>
      </c>
    </row>
    <row r="2883" spans="1:3">
      <c r="A2883" s="250">
        <v>7979</v>
      </c>
      <c r="B2883" s="74" t="s">
        <v>2360</v>
      </c>
      <c r="C2883" s="74" t="s">
        <v>441</v>
      </c>
    </row>
    <row r="2884" spans="1:3">
      <c r="A2884" s="250">
        <v>7980</v>
      </c>
      <c r="B2884" s="74" t="s">
        <v>2361</v>
      </c>
      <c r="C2884" s="74" t="s">
        <v>441</v>
      </c>
    </row>
    <row r="2885" spans="1:3">
      <c r="A2885" s="250">
        <v>7981</v>
      </c>
      <c r="B2885" s="74" t="s">
        <v>2362</v>
      </c>
      <c r="C2885" s="74" t="s">
        <v>441</v>
      </c>
    </row>
    <row r="2886" spans="1:3">
      <c r="A2886" s="250">
        <v>7983</v>
      </c>
      <c r="B2886" s="74" t="s">
        <v>2362</v>
      </c>
      <c r="C2886" s="74" t="s">
        <v>441</v>
      </c>
    </row>
    <row r="2887" spans="1:3">
      <c r="A2887" s="250">
        <v>7999</v>
      </c>
      <c r="B2887" s="74" t="s">
        <v>2362</v>
      </c>
      <c r="C2887" s="74" t="s">
        <v>441</v>
      </c>
    </row>
    <row r="2888" spans="1:3">
      <c r="A2888" s="250">
        <v>8001</v>
      </c>
      <c r="B2888" s="74" t="s">
        <v>2363</v>
      </c>
      <c r="C2888" s="74" t="s">
        <v>441</v>
      </c>
    </row>
    <row r="2889" spans="1:3">
      <c r="A2889" s="250">
        <v>8002</v>
      </c>
      <c r="B2889" s="74" t="s">
        <v>2364</v>
      </c>
      <c r="C2889" s="74" t="s">
        <v>441</v>
      </c>
    </row>
    <row r="2890" spans="1:3">
      <c r="A2890" s="250">
        <v>8003</v>
      </c>
      <c r="B2890" s="74" t="s">
        <v>2364</v>
      </c>
      <c r="C2890" s="74" t="s">
        <v>441</v>
      </c>
    </row>
    <row r="2891" spans="1:3">
      <c r="A2891" s="250">
        <v>8004</v>
      </c>
      <c r="B2891" s="74" t="s">
        <v>2365</v>
      </c>
      <c r="C2891" s="74" t="s">
        <v>441</v>
      </c>
    </row>
    <row r="2892" spans="1:3">
      <c r="A2892" s="250">
        <v>8005</v>
      </c>
      <c r="B2892" s="74" t="s">
        <v>2366</v>
      </c>
      <c r="C2892" s="74" t="s">
        <v>441</v>
      </c>
    </row>
    <row r="2893" spans="1:3">
      <c r="A2893" s="250">
        <v>8006</v>
      </c>
      <c r="B2893" s="74" t="s">
        <v>2367</v>
      </c>
      <c r="C2893" s="74" t="s">
        <v>441</v>
      </c>
    </row>
    <row r="2894" spans="1:3">
      <c r="A2894" s="250">
        <v>8007</v>
      </c>
      <c r="B2894" s="74" t="s">
        <v>1095</v>
      </c>
      <c r="C2894" s="74" t="s">
        <v>441</v>
      </c>
    </row>
    <row r="2895" spans="1:3">
      <c r="A2895" s="250">
        <v>8008</v>
      </c>
      <c r="B2895" s="74" t="s">
        <v>2368</v>
      </c>
      <c r="C2895" s="74" t="s">
        <v>441</v>
      </c>
    </row>
    <row r="2896" spans="1:3">
      <c r="A2896" s="250">
        <v>8009</v>
      </c>
      <c r="B2896" s="74" t="s">
        <v>725</v>
      </c>
      <c r="C2896" s="74" t="s">
        <v>441</v>
      </c>
    </row>
    <row r="2897" spans="1:3">
      <c r="A2897" s="250">
        <v>8010</v>
      </c>
      <c r="B2897" s="74" t="s">
        <v>838</v>
      </c>
      <c r="C2897" s="74" t="s">
        <v>441</v>
      </c>
    </row>
    <row r="2898" spans="1:3">
      <c r="A2898" s="250">
        <v>8011</v>
      </c>
      <c r="B2898" s="74" t="s">
        <v>2369</v>
      </c>
      <c r="C2898" s="74" t="s">
        <v>441</v>
      </c>
    </row>
    <row r="2899" spans="1:3">
      <c r="A2899" s="250">
        <v>8012</v>
      </c>
      <c r="B2899" s="74" t="s">
        <v>2370</v>
      </c>
      <c r="C2899" s="74" t="s">
        <v>441</v>
      </c>
    </row>
    <row r="2900" spans="1:3">
      <c r="A2900" s="250">
        <v>8014</v>
      </c>
      <c r="B2900" s="74" t="s">
        <v>2077</v>
      </c>
      <c r="C2900" s="74" t="s">
        <v>441</v>
      </c>
    </row>
    <row r="2901" spans="1:3">
      <c r="A2901" s="250">
        <v>8015</v>
      </c>
      <c r="B2901" s="74" t="s">
        <v>2371</v>
      </c>
      <c r="C2901" s="74" t="s">
        <v>441</v>
      </c>
    </row>
    <row r="2902" spans="1:3">
      <c r="A2902" s="250">
        <v>8016</v>
      </c>
      <c r="B2902" s="74" t="s">
        <v>806</v>
      </c>
      <c r="C2902" s="74" t="s">
        <v>441</v>
      </c>
    </row>
    <row r="2903" spans="1:3">
      <c r="A2903" s="250">
        <v>8018</v>
      </c>
      <c r="B2903" s="74" t="s">
        <v>2372</v>
      </c>
      <c r="C2903" s="74" t="s">
        <v>441</v>
      </c>
    </row>
    <row r="2904" spans="1:3">
      <c r="A2904" s="250">
        <v>8019</v>
      </c>
      <c r="B2904" s="74" t="s">
        <v>2373</v>
      </c>
      <c r="C2904" s="74" t="s">
        <v>441</v>
      </c>
    </row>
    <row r="2905" spans="1:3">
      <c r="A2905" s="250">
        <v>8020</v>
      </c>
      <c r="B2905" s="74" t="s">
        <v>2374</v>
      </c>
      <c r="C2905" s="74" t="s">
        <v>441</v>
      </c>
    </row>
    <row r="2906" spans="1:3">
      <c r="A2906" s="250">
        <v>8021</v>
      </c>
      <c r="B2906" s="74" t="s">
        <v>2375</v>
      </c>
      <c r="C2906" s="74" t="s">
        <v>441</v>
      </c>
    </row>
    <row r="2907" spans="1:3">
      <c r="A2907" s="250">
        <v>8022</v>
      </c>
      <c r="B2907" s="74" t="s">
        <v>2376</v>
      </c>
      <c r="C2907" s="74" t="s">
        <v>441</v>
      </c>
    </row>
    <row r="2908" spans="1:3">
      <c r="A2908" s="250">
        <v>8023</v>
      </c>
      <c r="B2908" s="74" t="s">
        <v>2377</v>
      </c>
      <c r="C2908" s="74" t="s">
        <v>441</v>
      </c>
    </row>
    <row r="2909" spans="1:3">
      <c r="A2909" s="250">
        <v>8025</v>
      </c>
      <c r="B2909" s="74" t="s">
        <v>2378</v>
      </c>
      <c r="C2909" s="74" t="s">
        <v>441</v>
      </c>
    </row>
    <row r="2910" spans="1:3">
      <c r="A2910" s="250">
        <v>8026</v>
      </c>
      <c r="B2910" s="74" t="s">
        <v>2379</v>
      </c>
      <c r="C2910" s="74" t="s">
        <v>441</v>
      </c>
    </row>
    <row r="2911" spans="1:3">
      <c r="A2911" s="250">
        <v>8027</v>
      </c>
      <c r="B2911" s="74" t="s">
        <v>2380</v>
      </c>
      <c r="C2911" s="74" t="s">
        <v>441</v>
      </c>
    </row>
    <row r="2912" spans="1:3">
      <c r="A2912" s="250">
        <v>8028</v>
      </c>
      <c r="B2912" s="74" t="s">
        <v>2381</v>
      </c>
      <c r="C2912" s="74" t="s">
        <v>441</v>
      </c>
    </row>
    <row r="2913" spans="1:3">
      <c r="A2913" s="250">
        <v>8029</v>
      </c>
      <c r="B2913" s="74" t="s">
        <v>2382</v>
      </c>
      <c r="C2913" s="74" t="s">
        <v>441</v>
      </c>
    </row>
    <row r="2914" spans="1:3">
      <c r="A2914" s="250">
        <v>8030</v>
      </c>
      <c r="B2914" s="74" t="s">
        <v>2383</v>
      </c>
      <c r="C2914" s="74" t="s">
        <v>441</v>
      </c>
    </row>
    <row r="2915" spans="1:3">
      <c r="A2915" s="250">
        <v>8031</v>
      </c>
      <c r="B2915" s="74" t="s">
        <v>2384</v>
      </c>
      <c r="C2915" s="74" t="s">
        <v>441</v>
      </c>
    </row>
    <row r="2916" spans="1:3">
      <c r="A2916" s="250">
        <v>8032</v>
      </c>
      <c r="B2916" s="74" t="s">
        <v>2385</v>
      </c>
      <c r="C2916" s="74" t="s">
        <v>441</v>
      </c>
    </row>
    <row r="2917" spans="1:3">
      <c r="A2917" s="250">
        <v>8033</v>
      </c>
      <c r="B2917" s="74" t="s">
        <v>2386</v>
      </c>
      <c r="C2917" s="74" t="s">
        <v>441</v>
      </c>
    </row>
    <row r="2918" spans="1:3">
      <c r="A2918" s="250">
        <v>8034</v>
      </c>
      <c r="B2918" s="74" t="s">
        <v>2364</v>
      </c>
      <c r="C2918" s="74" t="s">
        <v>441</v>
      </c>
    </row>
    <row r="2919" spans="1:3">
      <c r="A2919" s="250">
        <v>8035</v>
      </c>
      <c r="B2919" s="74" t="s">
        <v>2387</v>
      </c>
      <c r="C2919" s="74" t="s">
        <v>441</v>
      </c>
    </row>
    <row r="2920" spans="1:3">
      <c r="A2920" s="250">
        <v>8036</v>
      </c>
      <c r="B2920" s="74" t="s">
        <v>2388</v>
      </c>
      <c r="C2920" s="74" t="s">
        <v>441</v>
      </c>
    </row>
    <row r="2921" spans="1:3">
      <c r="A2921" s="250">
        <v>8037</v>
      </c>
      <c r="B2921" s="74" t="s">
        <v>2389</v>
      </c>
      <c r="C2921" s="74" t="s">
        <v>441</v>
      </c>
    </row>
    <row r="2922" spans="1:3">
      <c r="A2922" s="250">
        <v>8038</v>
      </c>
      <c r="B2922" s="74" t="s">
        <v>2390</v>
      </c>
      <c r="C2922" s="74" t="s">
        <v>441</v>
      </c>
    </row>
    <row r="2923" spans="1:3">
      <c r="A2923" s="250">
        <v>8039</v>
      </c>
      <c r="B2923" s="74" t="s">
        <v>2391</v>
      </c>
      <c r="C2923" s="74" t="s">
        <v>441</v>
      </c>
    </row>
    <row r="2924" spans="1:3">
      <c r="A2924" s="250">
        <v>8041</v>
      </c>
      <c r="B2924" s="74" t="s">
        <v>2392</v>
      </c>
      <c r="C2924" s="74" t="s">
        <v>441</v>
      </c>
    </row>
    <row r="2925" spans="1:3">
      <c r="A2925" s="250">
        <v>8042</v>
      </c>
      <c r="B2925" s="74" t="s">
        <v>2393</v>
      </c>
      <c r="C2925" s="74" t="s">
        <v>441</v>
      </c>
    </row>
    <row r="2926" spans="1:3">
      <c r="A2926" s="250">
        <v>8043</v>
      </c>
      <c r="B2926" s="74" t="s">
        <v>2394</v>
      </c>
      <c r="C2926" s="74" t="s">
        <v>441</v>
      </c>
    </row>
    <row r="2927" spans="1:3">
      <c r="A2927" s="250">
        <v>8045</v>
      </c>
      <c r="B2927" s="74" t="s">
        <v>2395</v>
      </c>
      <c r="C2927" s="74" t="s">
        <v>441</v>
      </c>
    </row>
    <row r="2928" spans="1:3">
      <c r="A2928" s="250">
        <v>8046</v>
      </c>
      <c r="B2928" s="74" t="s">
        <v>2396</v>
      </c>
      <c r="C2928" s="74" t="s">
        <v>441</v>
      </c>
    </row>
    <row r="2929" spans="1:3">
      <c r="A2929" s="250">
        <v>8048</v>
      </c>
      <c r="B2929" s="74" t="s">
        <v>2397</v>
      </c>
      <c r="C2929" s="74" t="s">
        <v>441</v>
      </c>
    </row>
    <row r="2930" spans="1:3">
      <c r="A2930" s="250">
        <v>8049</v>
      </c>
      <c r="B2930" s="74" t="s">
        <v>2398</v>
      </c>
      <c r="C2930" s="74" t="s">
        <v>441</v>
      </c>
    </row>
    <row r="2931" spans="1:3">
      <c r="A2931" s="250">
        <v>8050</v>
      </c>
      <c r="B2931" s="74" t="s">
        <v>2399</v>
      </c>
      <c r="C2931" s="74" t="s">
        <v>441</v>
      </c>
    </row>
    <row r="2932" spans="1:3">
      <c r="A2932" s="250">
        <v>8051</v>
      </c>
      <c r="B2932" s="74" t="s">
        <v>2400</v>
      </c>
      <c r="C2932" s="74" t="s">
        <v>441</v>
      </c>
    </row>
    <row r="2933" spans="1:3">
      <c r="A2933" s="250">
        <v>8052</v>
      </c>
      <c r="B2933" s="74" t="s">
        <v>2401</v>
      </c>
      <c r="C2933" s="74" t="s">
        <v>441</v>
      </c>
    </row>
    <row r="2934" spans="1:3">
      <c r="A2934" s="250">
        <v>8053</v>
      </c>
      <c r="B2934" s="74" t="s">
        <v>2402</v>
      </c>
      <c r="C2934" s="74" t="s">
        <v>441</v>
      </c>
    </row>
    <row r="2935" spans="1:3">
      <c r="A2935" s="250">
        <v>8054</v>
      </c>
      <c r="B2935" s="74" t="s">
        <v>2403</v>
      </c>
      <c r="C2935" s="74" t="s">
        <v>441</v>
      </c>
    </row>
    <row r="2936" spans="1:3">
      <c r="A2936" s="250">
        <v>8055</v>
      </c>
      <c r="B2936" s="74" t="s">
        <v>921</v>
      </c>
      <c r="C2936" s="74" t="s">
        <v>441</v>
      </c>
    </row>
    <row r="2937" spans="1:3">
      <c r="A2937" s="250">
        <v>8056</v>
      </c>
      <c r="B2937" s="74" t="s">
        <v>2404</v>
      </c>
      <c r="C2937" s="74" t="s">
        <v>441</v>
      </c>
    </row>
    <row r="2938" spans="1:3">
      <c r="A2938" s="250">
        <v>8057</v>
      </c>
      <c r="B2938" s="74" t="s">
        <v>2405</v>
      </c>
      <c r="C2938" s="74" t="s">
        <v>441</v>
      </c>
    </row>
    <row r="2939" spans="1:3">
      <c r="A2939" s="250">
        <v>8059</v>
      </c>
      <c r="B2939" s="74" t="s">
        <v>2406</v>
      </c>
      <c r="C2939" s="74" t="s">
        <v>441</v>
      </c>
    </row>
    <row r="2940" spans="1:3">
      <c r="A2940" s="250">
        <v>8060</v>
      </c>
      <c r="B2940" s="74" t="s">
        <v>1881</v>
      </c>
      <c r="C2940" s="74" t="s">
        <v>441</v>
      </c>
    </row>
    <row r="2941" spans="1:3">
      <c r="A2941" s="250">
        <v>8061</v>
      </c>
      <c r="B2941" s="74" t="s">
        <v>2407</v>
      </c>
      <c r="C2941" s="74" t="s">
        <v>441</v>
      </c>
    </row>
    <row r="2942" spans="1:3">
      <c r="A2942" s="250">
        <v>8062</v>
      </c>
      <c r="B2942" s="74" t="s">
        <v>2408</v>
      </c>
      <c r="C2942" s="74" t="s">
        <v>441</v>
      </c>
    </row>
    <row r="2943" spans="1:3">
      <c r="A2943" s="250">
        <v>8063</v>
      </c>
      <c r="B2943" s="74" t="s">
        <v>2409</v>
      </c>
      <c r="C2943" s="74" t="s">
        <v>441</v>
      </c>
    </row>
    <row r="2944" spans="1:3">
      <c r="A2944" s="250">
        <v>8064</v>
      </c>
      <c r="B2944" s="74" t="s">
        <v>2410</v>
      </c>
      <c r="C2944" s="74" t="s">
        <v>441</v>
      </c>
    </row>
    <row r="2945" spans="1:3">
      <c r="A2945" s="250">
        <v>8065</v>
      </c>
      <c r="B2945" s="74" t="s">
        <v>1710</v>
      </c>
      <c r="C2945" s="74" t="s">
        <v>441</v>
      </c>
    </row>
    <row r="2946" spans="1:3">
      <c r="A2946" s="250">
        <v>8066</v>
      </c>
      <c r="B2946" s="74" t="s">
        <v>2411</v>
      </c>
      <c r="C2946" s="74" t="s">
        <v>441</v>
      </c>
    </row>
    <row r="2947" spans="1:3">
      <c r="A2947" s="250">
        <v>8067</v>
      </c>
      <c r="B2947" s="74" t="s">
        <v>2412</v>
      </c>
      <c r="C2947" s="74" t="s">
        <v>441</v>
      </c>
    </row>
    <row r="2948" spans="1:3">
      <c r="A2948" s="250">
        <v>8068</v>
      </c>
      <c r="B2948" s="74" t="s">
        <v>2413</v>
      </c>
      <c r="C2948" s="74" t="s">
        <v>441</v>
      </c>
    </row>
    <row r="2949" spans="1:3">
      <c r="A2949" s="250">
        <v>8069</v>
      </c>
      <c r="B2949" s="74" t="s">
        <v>2414</v>
      </c>
      <c r="C2949" s="74" t="s">
        <v>441</v>
      </c>
    </row>
    <row r="2950" spans="1:3">
      <c r="A2950" s="250">
        <v>8070</v>
      </c>
      <c r="B2950" s="74" t="s">
        <v>2415</v>
      </c>
      <c r="C2950" s="74" t="s">
        <v>441</v>
      </c>
    </row>
    <row r="2951" spans="1:3">
      <c r="A2951" s="250">
        <v>8071</v>
      </c>
      <c r="B2951" s="74" t="s">
        <v>2416</v>
      </c>
      <c r="C2951" s="74" t="s">
        <v>441</v>
      </c>
    </row>
    <row r="2952" spans="1:3">
      <c r="A2952" s="250">
        <v>8072</v>
      </c>
      <c r="B2952" s="74" t="s">
        <v>2417</v>
      </c>
      <c r="C2952" s="74" t="s">
        <v>441</v>
      </c>
    </row>
    <row r="2953" spans="1:3">
      <c r="A2953" s="250">
        <v>8073</v>
      </c>
      <c r="B2953" s="74" t="s">
        <v>2418</v>
      </c>
      <c r="C2953" s="74" t="s">
        <v>441</v>
      </c>
    </row>
    <row r="2954" spans="1:3">
      <c r="A2954" s="250">
        <v>8074</v>
      </c>
      <c r="B2954" s="74" t="s">
        <v>2419</v>
      </c>
      <c r="C2954" s="74" t="s">
        <v>441</v>
      </c>
    </row>
    <row r="2955" spans="1:3">
      <c r="A2955" s="250">
        <v>8075</v>
      </c>
      <c r="B2955" s="74" t="s">
        <v>1147</v>
      </c>
      <c r="C2955" s="74" t="s">
        <v>441</v>
      </c>
    </row>
    <row r="2956" spans="1:3">
      <c r="A2956" s="250">
        <v>8076</v>
      </c>
      <c r="B2956" s="74" t="s">
        <v>1953</v>
      </c>
      <c r="C2956" s="74" t="s">
        <v>441</v>
      </c>
    </row>
    <row r="2957" spans="1:3">
      <c r="A2957" s="250">
        <v>8077</v>
      </c>
      <c r="B2957" s="74" t="s">
        <v>1953</v>
      </c>
      <c r="C2957" s="74" t="s">
        <v>441</v>
      </c>
    </row>
    <row r="2958" spans="1:3">
      <c r="A2958" s="250">
        <v>8078</v>
      </c>
      <c r="B2958" s="74" t="s">
        <v>2420</v>
      </c>
      <c r="C2958" s="74" t="s">
        <v>441</v>
      </c>
    </row>
    <row r="2959" spans="1:3">
      <c r="A2959" s="250">
        <v>8079</v>
      </c>
      <c r="B2959" s="74" t="s">
        <v>858</v>
      </c>
      <c r="C2959" s="74" t="s">
        <v>441</v>
      </c>
    </row>
    <row r="2960" spans="1:3">
      <c r="A2960" s="250">
        <v>8080</v>
      </c>
      <c r="B2960" s="74" t="s">
        <v>2421</v>
      </c>
      <c r="C2960" s="74" t="s">
        <v>441</v>
      </c>
    </row>
    <row r="2961" spans="1:3">
      <c r="A2961" s="250">
        <v>8081</v>
      </c>
      <c r="B2961" s="74" t="s">
        <v>2422</v>
      </c>
      <c r="C2961" s="74" t="s">
        <v>441</v>
      </c>
    </row>
    <row r="2962" spans="1:3">
      <c r="A2962" s="250">
        <v>8083</v>
      </c>
      <c r="B2962" s="74" t="s">
        <v>2423</v>
      </c>
      <c r="C2962" s="74" t="s">
        <v>441</v>
      </c>
    </row>
    <row r="2963" spans="1:3">
      <c r="A2963" s="250">
        <v>8084</v>
      </c>
      <c r="B2963" s="74" t="s">
        <v>2072</v>
      </c>
      <c r="C2963" s="74" t="s">
        <v>441</v>
      </c>
    </row>
    <row r="2964" spans="1:3">
      <c r="A2964" s="250">
        <v>8085</v>
      </c>
      <c r="B2964" s="74" t="s">
        <v>2424</v>
      </c>
      <c r="C2964" s="74" t="s">
        <v>441</v>
      </c>
    </row>
    <row r="2965" spans="1:3">
      <c r="A2965" s="250">
        <v>8086</v>
      </c>
      <c r="B2965" s="74" t="s">
        <v>2425</v>
      </c>
      <c r="C2965" s="74" t="s">
        <v>441</v>
      </c>
    </row>
    <row r="2966" spans="1:3">
      <c r="A2966" s="250">
        <v>8087</v>
      </c>
      <c r="B2966" s="74" t="s">
        <v>2426</v>
      </c>
      <c r="C2966" s="74" t="s">
        <v>441</v>
      </c>
    </row>
    <row r="2967" spans="1:3">
      <c r="A2967" s="250">
        <v>8088</v>
      </c>
      <c r="B2967" s="74" t="s">
        <v>2427</v>
      </c>
      <c r="C2967" s="74" t="s">
        <v>441</v>
      </c>
    </row>
    <row r="2968" spans="1:3">
      <c r="A2968" s="250">
        <v>8089</v>
      </c>
      <c r="B2968" s="74" t="s">
        <v>2428</v>
      </c>
      <c r="C2968" s="74" t="s">
        <v>441</v>
      </c>
    </row>
    <row r="2969" spans="1:3">
      <c r="A2969" s="250">
        <v>8090</v>
      </c>
      <c r="B2969" s="74" t="s">
        <v>2429</v>
      </c>
      <c r="C2969" s="74" t="s">
        <v>441</v>
      </c>
    </row>
    <row r="2970" spans="1:3">
      <c r="A2970" s="250">
        <v>8091</v>
      </c>
      <c r="B2970" s="74" t="s">
        <v>2430</v>
      </c>
      <c r="C2970" s="74" t="s">
        <v>441</v>
      </c>
    </row>
    <row r="2971" spans="1:3">
      <c r="A2971" s="250">
        <v>8092</v>
      </c>
      <c r="B2971" s="74" t="s">
        <v>2431</v>
      </c>
      <c r="C2971" s="74" t="s">
        <v>441</v>
      </c>
    </row>
    <row r="2972" spans="1:3">
      <c r="A2972" s="250">
        <v>8093</v>
      </c>
      <c r="B2972" s="74" t="s">
        <v>2432</v>
      </c>
      <c r="C2972" s="74" t="s">
        <v>441</v>
      </c>
    </row>
    <row r="2973" spans="1:3">
      <c r="A2973" s="250">
        <v>8094</v>
      </c>
      <c r="B2973" s="74" t="s">
        <v>668</v>
      </c>
      <c r="C2973" s="74" t="s">
        <v>441</v>
      </c>
    </row>
    <row r="2974" spans="1:3">
      <c r="A2974" s="250">
        <v>8095</v>
      </c>
      <c r="B2974" s="74" t="s">
        <v>2433</v>
      </c>
      <c r="C2974" s="74" t="s">
        <v>441</v>
      </c>
    </row>
    <row r="2975" spans="1:3">
      <c r="A2975" s="250">
        <v>8096</v>
      </c>
      <c r="B2975" s="74" t="s">
        <v>2434</v>
      </c>
      <c r="C2975" s="74" t="s">
        <v>441</v>
      </c>
    </row>
    <row r="2976" spans="1:3">
      <c r="A2976" s="250">
        <v>8097</v>
      </c>
      <c r="B2976" s="74" t="s">
        <v>2435</v>
      </c>
      <c r="C2976" s="74" t="s">
        <v>441</v>
      </c>
    </row>
    <row r="2977" spans="1:3">
      <c r="A2977" s="250">
        <v>8098</v>
      </c>
      <c r="B2977" s="74" t="s">
        <v>2436</v>
      </c>
      <c r="C2977" s="74" t="s">
        <v>441</v>
      </c>
    </row>
    <row r="2978" spans="1:3">
      <c r="A2978" s="250">
        <v>8099</v>
      </c>
      <c r="B2978" s="74" t="s">
        <v>2384</v>
      </c>
      <c r="C2978" s="74" t="s">
        <v>441</v>
      </c>
    </row>
    <row r="2979" spans="1:3">
      <c r="A2979" s="250">
        <v>8101</v>
      </c>
      <c r="B2979" s="74" t="s">
        <v>1660</v>
      </c>
      <c r="C2979" s="74" t="s">
        <v>441</v>
      </c>
    </row>
    <row r="2980" spans="1:3">
      <c r="A2980" s="250">
        <v>8102</v>
      </c>
      <c r="B2980" s="74" t="s">
        <v>1660</v>
      </c>
      <c r="C2980" s="74" t="s">
        <v>441</v>
      </c>
    </row>
    <row r="2981" spans="1:3">
      <c r="A2981" s="250">
        <v>8103</v>
      </c>
      <c r="B2981" s="74" t="s">
        <v>1660</v>
      </c>
      <c r="C2981" s="74" t="s">
        <v>441</v>
      </c>
    </row>
    <row r="2982" spans="1:3">
      <c r="A2982" s="250">
        <v>8104</v>
      </c>
      <c r="B2982" s="74" t="s">
        <v>1660</v>
      </c>
      <c r="C2982" s="74" t="s">
        <v>441</v>
      </c>
    </row>
    <row r="2983" spans="1:3">
      <c r="A2983" s="250">
        <v>8105</v>
      </c>
      <c r="B2983" s="74" t="s">
        <v>1660</v>
      </c>
      <c r="C2983" s="74" t="s">
        <v>441</v>
      </c>
    </row>
    <row r="2984" spans="1:3">
      <c r="A2984" s="250">
        <v>8106</v>
      </c>
      <c r="B2984" s="74" t="s">
        <v>2437</v>
      </c>
      <c r="C2984" s="74" t="s">
        <v>441</v>
      </c>
    </row>
    <row r="2985" spans="1:3">
      <c r="A2985" s="250">
        <v>8107</v>
      </c>
      <c r="B2985" s="74" t="s">
        <v>2438</v>
      </c>
      <c r="C2985" s="74" t="s">
        <v>441</v>
      </c>
    </row>
    <row r="2986" spans="1:3">
      <c r="A2986" s="250">
        <v>8108</v>
      </c>
      <c r="B2986" s="74" t="s">
        <v>2439</v>
      </c>
      <c r="C2986" s="74" t="s">
        <v>441</v>
      </c>
    </row>
    <row r="2987" spans="1:3">
      <c r="A2987" s="250">
        <v>8109</v>
      </c>
      <c r="B2987" s="74" t="s">
        <v>2440</v>
      </c>
      <c r="C2987" s="74" t="s">
        <v>441</v>
      </c>
    </row>
    <row r="2988" spans="1:3">
      <c r="A2988" s="250">
        <v>8110</v>
      </c>
      <c r="B2988" s="74" t="s">
        <v>2441</v>
      </c>
      <c r="C2988" s="74" t="s">
        <v>441</v>
      </c>
    </row>
    <row r="2989" spans="1:3">
      <c r="A2989" s="250">
        <v>8201</v>
      </c>
      <c r="B2989" s="74" t="s">
        <v>2442</v>
      </c>
      <c r="C2989" s="74" t="s">
        <v>441</v>
      </c>
    </row>
    <row r="2990" spans="1:3">
      <c r="A2990" s="250">
        <v>8202</v>
      </c>
      <c r="B2990" s="74" t="s">
        <v>2443</v>
      </c>
      <c r="C2990" s="74" t="s">
        <v>441</v>
      </c>
    </row>
    <row r="2991" spans="1:3">
      <c r="A2991" s="250">
        <v>8203</v>
      </c>
      <c r="B2991" s="74" t="s">
        <v>2444</v>
      </c>
      <c r="C2991" s="74" t="s">
        <v>441</v>
      </c>
    </row>
    <row r="2992" spans="1:3">
      <c r="A2992" s="250">
        <v>8204</v>
      </c>
      <c r="B2992" s="74" t="s">
        <v>2445</v>
      </c>
      <c r="C2992" s="74" t="s">
        <v>441</v>
      </c>
    </row>
    <row r="2993" spans="1:3">
      <c r="A2993" s="250">
        <v>8205</v>
      </c>
      <c r="B2993" s="74" t="s">
        <v>2442</v>
      </c>
      <c r="C2993" s="74" t="s">
        <v>441</v>
      </c>
    </row>
    <row r="2994" spans="1:3">
      <c r="A2994" s="250">
        <v>8210</v>
      </c>
      <c r="B2994" s="74" t="s">
        <v>2446</v>
      </c>
      <c r="C2994" s="74" t="s">
        <v>441</v>
      </c>
    </row>
    <row r="2995" spans="1:3">
      <c r="A2995" s="250">
        <v>8212</v>
      </c>
      <c r="B2995" s="74" t="s">
        <v>2447</v>
      </c>
      <c r="C2995" s="74" t="s">
        <v>441</v>
      </c>
    </row>
    <row r="2996" spans="1:3">
      <c r="A2996" s="250">
        <v>8213</v>
      </c>
      <c r="B2996" s="74" t="s">
        <v>2448</v>
      </c>
      <c r="C2996" s="74" t="s">
        <v>441</v>
      </c>
    </row>
    <row r="2997" spans="1:3">
      <c r="A2997" s="250">
        <v>8214</v>
      </c>
      <c r="B2997" s="74" t="s">
        <v>2449</v>
      </c>
      <c r="C2997" s="74" t="s">
        <v>441</v>
      </c>
    </row>
    <row r="2998" spans="1:3">
      <c r="A2998" s="250">
        <v>8215</v>
      </c>
      <c r="B2998" s="74" t="s">
        <v>2450</v>
      </c>
      <c r="C2998" s="74" t="s">
        <v>441</v>
      </c>
    </row>
    <row r="2999" spans="1:3">
      <c r="A2999" s="250">
        <v>8217</v>
      </c>
      <c r="B2999" s="74" t="s">
        <v>2451</v>
      </c>
      <c r="C2999" s="74" t="s">
        <v>441</v>
      </c>
    </row>
    <row r="3000" spans="1:3">
      <c r="A3000" s="250">
        <v>8218</v>
      </c>
      <c r="B3000" s="74" t="s">
        <v>592</v>
      </c>
      <c r="C3000" s="74" t="s">
        <v>441</v>
      </c>
    </row>
    <row r="3001" spans="1:3">
      <c r="A3001" s="250">
        <v>8219</v>
      </c>
      <c r="B3001" s="74" t="s">
        <v>2452</v>
      </c>
      <c r="C3001" s="74" t="s">
        <v>441</v>
      </c>
    </row>
    <row r="3002" spans="1:3">
      <c r="A3002" s="250">
        <v>8220</v>
      </c>
      <c r="B3002" s="74" t="s">
        <v>2453</v>
      </c>
      <c r="C3002" s="74" t="s">
        <v>441</v>
      </c>
    </row>
    <row r="3003" spans="1:3">
      <c r="A3003" s="250">
        <v>8221</v>
      </c>
      <c r="B3003" s="74" t="s">
        <v>743</v>
      </c>
      <c r="C3003" s="74" t="s">
        <v>441</v>
      </c>
    </row>
    <row r="3004" spans="1:3">
      <c r="A3004" s="250">
        <v>8223</v>
      </c>
      <c r="B3004" s="74" t="s">
        <v>2454</v>
      </c>
      <c r="C3004" s="74" t="s">
        <v>441</v>
      </c>
    </row>
    <row r="3005" spans="1:3">
      <c r="A3005" s="250">
        <v>8224</v>
      </c>
      <c r="B3005" s="74" t="s">
        <v>2455</v>
      </c>
      <c r="C3005" s="74" t="s">
        <v>441</v>
      </c>
    </row>
    <row r="3006" spans="1:3">
      <c r="A3006" s="250">
        <v>8225</v>
      </c>
      <c r="B3006" s="74" t="s">
        <v>688</v>
      </c>
      <c r="C3006" s="74" t="s">
        <v>441</v>
      </c>
    </row>
    <row r="3007" spans="1:3">
      <c r="A3007" s="250">
        <v>8226</v>
      </c>
      <c r="B3007" s="74" t="s">
        <v>2456</v>
      </c>
      <c r="C3007" s="74" t="s">
        <v>441</v>
      </c>
    </row>
    <row r="3008" spans="1:3">
      <c r="A3008" s="250">
        <v>8230</v>
      </c>
      <c r="B3008" s="74" t="s">
        <v>2457</v>
      </c>
      <c r="C3008" s="74" t="s">
        <v>441</v>
      </c>
    </row>
    <row r="3009" spans="1:3">
      <c r="A3009" s="250">
        <v>8231</v>
      </c>
      <c r="B3009" s="74" t="s">
        <v>2458</v>
      </c>
      <c r="C3009" s="74" t="s">
        <v>441</v>
      </c>
    </row>
    <row r="3010" spans="1:3">
      <c r="A3010" s="250">
        <v>8232</v>
      </c>
      <c r="B3010" s="74" t="s">
        <v>2459</v>
      </c>
      <c r="C3010" s="74" t="s">
        <v>441</v>
      </c>
    </row>
    <row r="3011" spans="1:3">
      <c r="A3011" s="250">
        <v>8234</v>
      </c>
      <c r="B3011" s="74" t="s">
        <v>2460</v>
      </c>
      <c r="C3011" s="74" t="s">
        <v>441</v>
      </c>
    </row>
    <row r="3012" spans="1:3">
      <c r="A3012" s="250">
        <v>8240</v>
      </c>
      <c r="B3012" s="74" t="s">
        <v>2461</v>
      </c>
      <c r="C3012" s="74" t="s">
        <v>441</v>
      </c>
    </row>
    <row r="3013" spans="1:3">
      <c r="A3013" s="250">
        <v>8241</v>
      </c>
      <c r="B3013" s="74" t="s">
        <v>2462</v>
      </c>
      <c r="C3013" s="74" t="s">
        <v>441</v>
      </c>
    </row>
    <row r="3014" spans="1:3">
      <c r="A3014" s="250">
        <v>8242</v>
      </c>
      <c r="B3014" s="74" t="s">
        <v>538</v>
      </c>
      <c r="C3014" s="74" t="s">
        <v>441</v>
      </c>
    </row>
    <row r="3015" spans="1:3">
      <c r="A3015" s="250">
        <v>8243</v>
      </c>
      <c r="B3015" s="74" t="s">
        <v>2463</v>
      </c>
      <c r="C3015" s="74" t="s">
        <v>441</v>
      </c>
    </row>
    <row r="3016" spans="1:3">
      <c r="A3016" s="250">
        <v>8244</v>
      </c>
      <c r="B3016" s="74" t="s">
        <v>2464</v>
      </c>
      <c r="C3016" s="74" t="s">
        <v>441</v>
      </c>
    </row>
    <row r="3017" spans="1:3">
      <c r="A3017" s="250">
        <v>8245</v>
      </c>
      <c r="B3017" s="74" t="s">
        <v>1046</v>
      </c>
      <c r="C3017" s="74" t="s">
        <v>441</v>
      </c>
    </row>
    <row r="3018" spans="1:3">
      <c r="A3018" s="250">
        <v>8246</v>
      </c>
      <c r="B3018" s="74" t="s">
        <v>2465</v>
      </c>
      <c r="C3018" s="74" t="s">
        <v>441</v>
      </c>
    </row>
    <row r="3019" spans="1:3">
      <c r="A3019" s="250">
        <v>8247</v>
      </c>
      <c r="B3019" s="74" t="s">
        <v>2466</v>
      </c>
      <c r="C3019" s="74" t="s">
        <v>441</v>
      </c>
    </row>
    <row r="3020" spans="1:3">
      <c r="A3020" s="250">
        <v>8248</v>
      </c>
      <c r="B3020" s="74" t="s">
        <v>2467</v>
      </c>
      <c r="C3020" s="74" t="s">
        <v>441</v>
      </c>
    </row>
    <row r="3021" spans="1:3">
      <c r="A3021" s="250">
        <v>8250</v>
      </c>
      <c r="B3021" s="74" t="s">
        <v>2468</v>
      </c>
      <c r="C3021" s="74" t="s">
        <v>441</v>
      </c>
    </row>
    <row r="3022" spans="1:3">
      <c r="A3022" s="250">
        <v>8251</v>
      </c>
      <c r="B3022" s="74" t="s">
        <v>2469</v>
      </c>
      <c r="C3022" s="74" t="s">
        <v>441</v>
      </c>
    </row>
    <row r="3023" spans="1:3">
      <c r="A3023" s="250">
        <v>8252</v>
      </c>
      <c r="B3023" s="74" t="s">
        <v>2470</v>
      </c>
      <c r="C3023" s="74" t="s">
        <v>441</v>
      </c>
    </row>
    <row r="3024" spans="1:3">
      <c r="A3024" s="250">
        <v>8260</v>
      </c>
      <c r="B3024" s="74" t="s">
        <v>2471</v>
      </c>
      <c r="C3024" s="74" t="s">
        <v>441</v>
      </c>
    </row>
    <row r="3025" spans="1:3">
      <c r="A3025" s="250">
        <v>8270</v>
      </c>
      <c r="B3025" s="74" t="s">
        <v>2472</v>
      </c>
      <c r="C3025" s="74" t="s">
        <v>441</v>
      </c>
    </row>
    <row r="3026" spans="1:3">
      <c r="A3026" s="250">
        <v>8302</v>
      </c>
      <c r="B3026" s="74" t="s">
        <v>2473</v>
      </c>
      <c r="C3026" s="74" t="s">
        <v>441</v>
      </c>
    </row>
    <row r="3027" spans="1:3">
      <c r="A3027" s="250">
        <v>8310</v>
      </c>
      <c r="B3027" s="74" t="s">
        <v>2474</v>
      </c>
      <c r="C3027" s="74" t="s">
        <v>441</v>
      </c>
    </row>
    <row r="3028" spans="1:3">
      <c r="A3028" s="250">
        <v>8311</v>
      </c>
      <c r="B3028" s="74" t="s">
        <v>2475</v>
      </c>
      <c r="C3028" s="74" t="s">
        <v>441</v>
      </c>
    </row>
    <row r="3029" spans="1:3">
      <c r="A3029" s="250">
        <v>8312</v>
      </c>
      <c r="B3029" s="74" t="s">
        <v>2476</v>
      </c>
      <c r="C3029" s="74" t="s">
        <v>441</v>
      </c>
    </row>
    <row r="3030" spans="1:3">
      <c r="A3030" s="250">
        <v>8313</v>
      </c>
      <c r="B3030" s="74" t="s">
        <v>2477</v>
      </c>
      <c r="C3030" s="74" t="s">
        <v>441</v>
      </c>
    </row>
    <row r="3031" spans="1:3">
      <c r="A3031" s="250">
        <v>8314</v>
      </c>
      <c r="B3031" s="74" t="s">
        <v>2478</v>
      </c>
      <c r="C3031" s="74" t="s">
        <v>441</v>
      </c>
    </row>
    <row r="3032" spans="1:3">
      <c r="A3032" s="250">
        <v>8315</v>
      </c>
      <c r="B3032" s="74" t="s">
        <v>2479</v>
      </c>
      <c r="C3032" s="74" t="s">
        <v>441</v>
      </c>
    </row>
    <row r="3033" spans="1:3">
      <c r="A3033" s="250">
        <v>8316</v>
      </c>
      <c r="B3033" s="74" t="s">
        <v>903</v>
      </c>
      <c r="C3033" s="74" t="s">
        <v>441</v>
      </c>
    </row>
    <row r="3034" spans="1:3">
      <c r="A3034" s="250">
        <v>8317</v>
      </c>
      <c r="B3034" s="74" t="s">
        <v>2480</v>
      </c>
      <c r="C3034" s="74" t="s">
        <v>441</v>
      </c>
    </row>
    <row r="3035" spans="1:3">
      <c r="A3035" s="250">
        <v>8318</v>
      </c>
      <c r="B3035" s="74" t="s">
        <v>2481</v>
      </c>
      <c r="C3035" s="74" t="s">
        <v>441</v>
      </c>
    </row>
    <row r="3036" spans="1:3">
      <c r="A3036" s="250">
        <v>8319</v>
      </c>
      <c r="B3036" s="74" t="s">
        <v>2482</v>
      </c>
      <c r="C3036" s="74" t="s">
        <v>441</v>
      </c>
    </row>
    <row r="3037" spans="1:3">
      <c r="A3037" s="250">
        <v>8320</v>
      </c>
      <c r="B3037" s="74" t="s">
        <v>2483</v>
      </c>
      <c r="C3037" s="74" t="s">
        <v>441</v>
      </c>
    </row>
    <row r="3038" spans="1:3">
      <c r="A3038" s="250">
        <v>8321</v>
      </c>
      <c r="B3038" s="74" t="s">
        <v>2484</v>
      </c>
      <c r="C3038" s="74" t="s">
        <v>441</v>
      </c>
    </row>
    <row r="3039" spans="1:3">
      <c r="A3039" s="250">
        <v>8322</v>
      </c>
      <c r="B3039" s="74" t="s">
        <v>2485</v>
      </c>
      <c r="C3039" s="74" t="s">
        <v>441</v>
      </c>
    </row>
    <row r="3040" spans="1:3">
      <c r="A3040" s="250">
        <v>8323</v>
      </c>
      <c r="B3040" s="74" t="s">
        <v>2101</v>
      </c>
      <c r="C3040" s="74" t="s">
        <v>441</v>
      </c>
    </row>
    <row r="3041" spans="1:3">
      <c r="A3041" s="250">
        <v>8324</v>
      </c>
      <c r="B3041" s="74" t="s">
        <v>2486</v>
      </c>
      <c r="C3041" s="74" t="s">
        <v>441</v>
      </c>
    </row>
    <row r="3042" spans="1:3">
      <c r="A3042" s="250">
        <v>8326</v>
      </c>
      <c r="B3042" s="74" t="s">
        <v>2487</v>
      </c>
      <c r="C3042" s="74" t="s">
        <v>441</v>
      </c>
    </row>
    <row r="3043" spans="1:3">
      <c r="A3043" s="250">
        <v>8327</v>
      </c>
      <c r="B3043" s="74" t="s">
        <v>2488</v>
      </c>
      <c r="C3043" s="74" t="s">
        <v>441</v>
      </c>
    </row>
    <row r="3044" spans="1:3">
      <c r="A3044" s="250">
        <v>8328</v>
      </c>
      <c r="B3044" s="74" t="s">
        <v>2489</v>
      </c>
      <c r="C3044" s="74" t="s">
        <v>441</v>
      </c>
    </row>
    <row r="3045" spans="1:3">
      <c r="A3045" s="250">
        <v>8329</v>
      </c>
      <c r="B3045" s="74" t="s">
        <v>2490</v>
      </c>
      <c r="C3045" s="74" t="s">
        <v>441</v>
      </c>
    </row>
    <row r="3046" spans="1:3">
      <c r="A3046" s="250">
        <v>8330</v>
      </c>
      <c r="B3046" s="74" t="s">
        <v>2491</v>
      </c>
      <c r="C3046" s="74" t="s">
        <v>441</v>
      </c>
    </row>
    <row r="3047" spans="1:3">
      <c r="A3047" s="250">
        <v>8332</v>
      </c>
      <c r="B3047" s="74" t="s">
        <v>746</v>
      </c>
      <c r="C3047" s="74" t="s">
        <v>441</v>
      </c>
    </row>
    <row r="3048" spans="1:3">
      <c r="A3048" s="250">
        <v>8340</v>
      </c>
      <c r="B3048" s="74" t="s">
        <v>2492</v>
      </c>
      <c r="C3048" s="74" t="s">
        <v>441</v>
      </c>
    </row>
    <row r="3049" spans="1:3">
      <c r="A3049" s="250">
        <v>8341</v>
      </c>
      <c r="B3049" s="74" t="s">
        <v>2493</v>
      </c>
      <c r="C3049" s="74" t="s">
        <v>441</v>
      </c>
    </row>
    <row r="3050" spans="1:3">
      <c r="A3050" s="250">
        <v>8342</v>
      </c>
      <c r="B3050" s="74" t="s">
        <v>2494</v>
      </c>
      <c r="C3050" s="74" t="s">
        <v>441</v>
      </c>
    </row>
    <row r="3051" spans="1:3">
      <c r="A3051" s="250">
        <v>8343</v>
      </c>
      <c r="B3051" s="74" t="s">
        <v>2495</v>
      </c>
      <c r="C3051" s="74" t="s">
        <v>441</v>
      </c>
    </row>
    <row r="3052" spans="1:3">
      <c r="A3052" s="250">
        <v>8344</v>
      </c>
      <c r="B3052" s="74" t="s">
        <v>1398</v>
      </c>
      <c r="C3052" s="74" t="s">
        <v>441</v>
      </c>
    </row>
    <row r="3053" spans="1:3">
      <c r="A3053" s="250">
        <v>8345</v>
      </c>
      <c r="B3053" s="74" t="s">
        <v>1118</v>
      </c>
      <c r="C3053" s="74" t="s">
        <v>441</v>
      </c>
    </row>
    <row r="3054" spans="1:3">
      <c r="A3054" s="250">
        <v>8346</v>
      </c>
      <c r="B3054" s="74" t="s">
        <v>975</v>
      </c>
      <c r="C3054" s="74" t="s">
        <v>441</v>
      </c>
    </row>
    <row r="3055" spans="1:3">
      <c r="A3055" s="250">
        <v>8347</v>
      </c>
      <c r="B3055" s="74" t="s">
        <v>2496</v>
      </c>
      <c r="C3055" s="74" t="s">
        <v>441</v>
      </c>
    </row>
    <row r="3056" spans="1:3">
      <c r="A3056" s="250">
        <v>8348</v>
      </c>
      <c r="B3056" s="74" t="s">
        <v>2497</v>
      </c>
      <c r="C3056" s="74" t="s">
        <v>441</v>
      </c>
    </row>
    <row r="3057" spans="1:3">
      <c r="A3057" s="250">
        <v>8349</v>
      </c>
      <c r="B3057" s="74" t="s">
        <v>2498</v>
      </c>
      <c r="C3057" s="74" t="s">
        <v>441</v>
      </c>
    </row>
    <row r="3058" spans="1:3">
      <c r="A3058" s="250">
        <v>8350</v>
      </c>
      <c r="B3058" s="74" t="s">
        <v>2499</v>
      </c>
      <c r="C3058" s="74" t="s">
        <v>441</v>
      </c>
    </row>
    <row r="3059" spans="1:3">
      <c r="A3059" s="250">
        <v>8352</v>
      </c>
      <c r="B3059" s="74" t="s">
        <v>2500</v>
      </c>
      <c r="C3059" s="74" t="s">
        <v>441</v>
      </c>
    </row>
    <row r="3060" spans="1:3">
      <c r="A3060" s="250">
        <v>8353</v>
      </c>
      <c r="B3060" s="74" t="s">
        <v>2501</v>
      </c>
      <c r="C3060" s="74" t="s">
        <v>441</v>
      </c>
    </row>
    <row r="3061" spans="1:3">
      <c r="A3061" s="250">
        <v>8360</v>
      </c>
      <c r="B3061" s="74" t="s">
        <v>2502</v>
      </c>
      <c r="C3061" s="74" t="s">
        <v>441</v>
      </c>
    </row>
    <row r="3062" spans="1:3">
      <c r="A3062" s="250">
        <v>8361</v>
      </c>
      <c r="B3062" s="74" t="s">
        <v>2502</v>
      </c>
      <c r="C3062" s="74" t="s">
        <v>441</v>
      </c>
    </row>
    <row r="3063" spans="1:3">
      <c r="A3063" s="250">
        <v>8362</v>
      </c>
      <c r="B3063" s="74" t="s">
        <v>2502</v>
      </c>
      <c r="C3063" s="74" t="s">
        <v>441</v>
      </c>
    </row>
    <row r="3064" spans="1:3">
      <c r="A3064" s="250">
        <v>8401</v>
      </c>
      <c r="B3064" s="74" t="s">
        <v>2503</v>
      </c>
      <c r="C3064" s="74" t="s">
        <v>441</v>
      </c>
    </row>
    <row r="3065" spans="1:3">
      <c r="A3065" s="250">
        <v>8402</v>
      </c>
      <c r="B3065" s="74" t="s">
        <v>2504</v>
      </c>
      <c r="C3065" s="74" t="s">
        <v>441</v>
      </c>
    </row>
    <row r="3066" spans="1:3">
      <c r="A3066" s="250">
        <v>8403</v>
      </c>
      <c r="B3066" s="74" t="s">
        <v>2505</v>
      </c>
      <c r="C3066" s="74" t="s">
        <v>441</v>
      </c>
    </row>
    <row r="3067" spans="1:3">
      <c r="A3067" s="250">
        <v>8404</v>
      </c>
      <c r="B3067" s="74" t="s">
        <v>2503</v>
      </c>
      <c r="C3067" s="74" t="s">
        <v>441</v>
      </c>
    </row>
    <row r="3068" spans="1:3">
      <c r="A3068" s="250">
        <v>8405</v>
      </c>
      <c r="B3068" s="74" t="s">
        <v>2503</v>
      </c>
      <c r="C3068" s="74" t="s">
        <v>441</v>
      </c>
    </row>
    <row r="3069" spans="1:3">
      <c r="A3069" s="250">
        <v>8406</v>
      </c>
      <c r="B3069" s="74" t="s">
        <v>2506</v>
      </c>
      <c r="C3069" s="74" t="s">
        <v>441</v>
      </c>
    </row>
    <row r="3070" spans="1:3">
      <c r="A3070" s="250">
        <v>8501</v>
      </c>
      <c r="B3070" s="74" t="s">
        <v>2507</v>
      </c>
      <c r="C3070" s="74" t="s">
        <v>441</v>
      </c>
    </row>
    <row r="3071" spans="1:3">
      <c r="A3071" s="250">
        <v>8502</v>
      </c>
      <c r="B3071" s="74" t="s">
        <v>2508</v>
      </c>
      <c r="C3071" s="74" t="s">
        <v>441</v>
      </c>
    </row>
    <row r="3072" spans="1:3">
      <c r="A3072" s="250">
        <v>8504</v>
      </c>
      <c r="B3072" s="74" t="s">
        <v>2509</v>
      </c>
      <c r="C3072" s="74" t="s">
        <v>441</v>
      </c>
    </row>
    <row r="3073" spans="1:3">
      <c r="A3073" s="250">
        <v>8505</v>
      </c>
      <c r="B3073" s="74" t="s">
        <v>2510</v>
      </c>
      <c r="C3073" s="74" t="s">
        <v>441</v>
      </c>
    </row>
    <row r="3074" spans="1:3">
      <c r="A3074" s="250">
        <v>8510</v>
      </c>
      <c r="B3074" s="74" t="s">
        <v>2511</v>
      </c>
      <c r="C3074" s="74" t="s">
        <v>441</v>
      </c>
    </row>
    <row r="3075" spans="1:3">
      <c r="A3075" s="250">
        <v>8511</v>
      </c>
      <c r="B3075" s="74" t="s">
        <v>2512</v>
      </c>
      <c r="C3075" s="74" t="s">
        <v>441</v>
      </c>
    </row>
    <row r="3076" spans="1:3">
      <c r="A3076" s="250">
        <v>8512</v>
      </c>
      <c r="B3076" s="74" t="s">
        <v>2513</v>
      </c>
      <c r="C3076" s="74" t="s">
        <v>441</v>
      </c>
    </row>
    <row r="3077" spans="1:3">
      <c r="A3077" s="250">
        <v>8514</v>
      </c>
      <c r="B3077" s="74" t="s">
        <v>2514</v>
      </c>
      <c r="C3077" s="74" t="s">
        <v>441</v>
      </c>
    </row>
    <row r="3078" spans="1:3">
      <c r="A3078" s="250">
        <v>8515</v>
      </c>
      <c r="B3078" s="74" t="s">
        <v>584</v>
      </c>
      <c r="C3078" s="74" t="s">
        <v>441</v>
      </c>
    </row>
    <row r="3079" spans="1:3">
      <c r="A3079" s="250">
        <v>8518</v>
      </c>
      <c r="B3079" s="74" t="s">
        <v>608</v>
      </c>
      <c r="C3079" s="74" t="s">
        <v>441</v>
      </c>
    </row>
    <row r="3080" spans="1:3">
      <c r="A3080" s="250">
        <v>8520</v>
      </c>
      <c r="B3080" s="74" t="s">
        <v>2515</v>
      </c>
      <c r="C3080" s="74" t="s">
        <v>441</v>
      </c>
    </row>
    <row r="3081" spans="1:3">
      <c r="A3081" s="250">
        <v>8525</v>
      </c>
      <c r="B3081" s="74" t="s">
        <v>2516</v>
      </c>
      <c r="C3081" s="74" t="s">
        <v>441</v>
      </c>
    </row>
    <row r="3082" spans="1:3">
      <c r="A3082" s="250">
        <v>8526</v>
      </c>
      <c r="B3082" s="74" t="s">
        <v>2517</v>
      </c>
      <c r="C3082" s="74" t="s">
        <v>441</v>
      </c>
    </row>
    <row r="3083" spans="1:3">
      <c r="A3083" s="250">
        <v>8527</v>
      </c>
      <c r="B3083" s="74" t="s">
        <v>1318</v>
      </c>
      <c r="C3083" s="74" t="s">
        <v>441</v>
      </c>
    </row>
    <row r="3084" spans="1:3">
      <c r="A3084" s="250">
        <v>8528</v>
      </c>
      <c r="B3084" s="74" t="s">
        <v>957</v>
      </c>
      <c r="C3084" s="74" t="s">
        <v>441</v>
      </c>
    </row>
    <row r="3085" spans="1:3">
      <c r="A3085" s="250">
        <v>8530</v>
      </c>
      <c r="B3085" s="74" t="s">
        <v>2518</v>
      </c>
      <c r="C3085" s="74" t="s">
        <v>441</v>
      </c>
    </row>
    <row r="3086" spans="1:3">
      <c r="A3086" s="250">
        <v>8533</v>
      </c>
      <c r="B3086" s="74" t="s">
        <v>2519</v>
      </c>
      <c r="C3086" s="74" t="s">
        <v>441</v>
      </c>
    </row>
    <row r="3087" spans="1:3">
      <c r="A3087" s="250">
        <v>8534</v>
      </c>
      <c r="B3087" s="74" t="s">
        <v>2520</v>
      </c>
      <c r="C3087" s="74" t="s">
        <v>441</v>
      </c>
    </row>
    <row r="3088" spans="1:3">
      <c r="A3088" s="250">
        <v>8535</v>
      </c>
      <c r="B3088" s="74" t="s">
        <v>2511</v>
      </c>
      <c r="C3088" s="74" t="s">
        <v>441</v>
      </c>
    </row>
    <row r="3089" spans="1:3">
      <c r="A3089" s="250">
        <v>8536</v>
      </c>
      <c r="B3089" s="74" t="s">
        <v>2521</v>
      </c>
      <c r="C3089" s="74" t="s">
        <v>441</v>
      </c>
    </row>
    <row r="3090" spans="1:3">
      <c r="A3090" s="250">
        <v>8540</v>
      </c>
      <c r="B3090" s="74" t="s">
        <v>755</v>
      </c>
      <c r="C3090" s="74" t="s">
        <v>441</v>
      </c>
    </row>
    <row r="3091" spans="1:3">
      <c r="A3091" s="250">
        <v>8541</v>
      </c>
      <c r="B3091" s="74" t="s">
        <v>755</v>
      </c>
      <c r="C3091" s="74" t="s">
        <v>441</v>
      </c>
    </row>
    <row r="3092" spans="1:3">
      <c r="A3092" s="250">
        <v>8542</v>
      </c>
      <c r="B3092" s="74" t="s">
        <v>755</v>
      </c>
      <c r="C3092" s="74" t="s">
        <v>441</v>
      </c>
    </row>
    <row r="3093" spans="1:3">
      <c r="A3093" s="250">
        <v>8543</v>
      </c>
      <c r="B3093" s="74" t="s">
        <v>755</v>
      </c>
      <c r="C3093" s="74" t="s">
        <v>441</v>
      </c>
    </row>
    <row r="3094" spans="1:3">
      <c r="A3094" s="250">
        <v>8544</v>
      </c>
      <c r="B3094" s="74" t="s">
        <v>755</v>
      </c>
      <c r="C3094" s="74" t="s">
        <v>441</v>
      </c>
    </row>
    <row r="3095" spans="1:3">
      <c r="A3095" s="250">
        <v>8550</v>
      </c>
      <c r="B3095" s="74" t="s">
        <v>2522</v>
      </c>
      <c r="C3095" s="74" t="s">
        <v>441</v>
      </c>
    </row>
    <row r="3096" spans="1:3">
      <c r="A3096" s="250">
        <v>8551</v>
      </c>
      <c r="B3096" s="74" t="s">
        <v>2523</v>
      </c>
      <c r="C3096" s="74" t="s">
        <v>441</v>
      </c>
    </row>
    <row r="3097" spans="1:3">
      <c r="A3097" s="250">
        <v>8553</v>
      </c>
      <c r="B3097" s="74" t="s">
        <v>1955</v>
      </c>
      <c r="C3097" s="74" t="s">
        <v>441</v>
      </c>
    </row>
    <row r="3098" spans="1:3">
      <c r="A3098" s="250">
        <v>8554</v>
      </c>
      <c r="B3098" s="74" t="s">
        <v>2524</v>
      </c>
      <c r="C3098" s="74" t="s">
        <v>441</v>
      </c>
    </row>
    <row r="3099" spans="1:3">
      <c r="A3099" s="250">
        <v>8555</v>
      </c>
      <c r="B3099" s="74" t="s">
        <v>2525</v>
      </c>
      <c r="C3099" s="74" t="s">
        <v>441</v>
      </c>
    </row>
    <row r="3100" spans="1:3">
      <c r="A3100" s="250">
        <v>8556</v>
      </c>
      <c r="B3100" s="74" t="s">
        <v>2526</v>
      </c>
      <c r="C3100" s="74" t="s">
        <v>441</v>
      </c>
    </row>
    <row r="3101" spans="1:3">
      <c r="A3101" s="250">
        <v>8557</v>
      </c>
      <c r="B3101" s="74" t="s">
        <v>2527</v>
      </c>
      <c r="C3101" s="74" t="s">
        <v>441</v>
      </c>
    </row>
    <row r="3102" spans="1:3">
      <c r="A3102" s="250">
        <v>8558</v>
      </c>
      <c r="B3102" s="74" t="s">
        <v>2528</v>
      </c>
      <c r="C3102" s="74" t="s">
        <v>441</v>
      </c>
    </row>
    <row r="3103" spans="1:3">
      <c r="A3103" s="250">
        <v>8559</v>
      </c>
      <c r="B3103" s="74" t="s">
        <v>2529</v>
      </c>
      <c r="C3103" s="74" t="s">
        <v>441</v>
      </c>
    </row>
    <row r="3104" spans="1:3">
      <c r="A3104" s="250">
        <v>8560</v>
      </c>
      <c r="B3104" s="74" t="s">
        <v>2530</v>
      </c>
      <c r="C3104" s="74" t="s">
        <v>441</v>
      </c>
    </row>
    <row r="3105" spans="1:3">
      <c r="A3105" s="250">
        <v>8561</v>
      </c>
      <c r="B3105" s="74" t="s">
        <v>669</v>
      </c>
      <c r="C3105" s="74" t="s">
        <v>441</v>
      </c>
    </row>
    <row r="3106" spans="1:3">
      <c r="A3106" s="250">
        <v>8562</v>
      </c>
      <c r="B3106" s="74" t="s">
        <v>2531</v>
      </c>
      <c r="C3106" s="74" t="s">
        <v>441</v>
      </c>
    </row>
    <row r="3107" spans="1:3">
      <c r="A3107" s="250">
        <v>8601</v>
      </c>
      <c r="B3107" s="74" t="s">
        <v>2532</v>
      </c>
      <c r="C3107" s="74" t="s">
        <v>441</v>
      </c>
    </row>
    <row r="3108" spans="1:3">
      <c r="A3108" s="250">
        <v>8602</v>
      </c>
      <c r="B3108" s="74" t="s">
        <v>2532</v>
      </c>
      <c r="C3108" s="74" t="s">
        <v>441</v>
      </c>
    </row>
    <row r="3109" spans="1:3">
      <c r="A3109" s="250">
        <v>8603</v>
      </c>
      <c r="B3109" s="74" t="s">
        <v>2532</v>
      </c>
      <c r="C3109" s="74" t="s">
        <v>441</v>
      </c>
    </row>
    <row r="3110" spans="1:3">
      <c r="A3110" s="250">
        <v>8604</v>
      </c>
      <c r="B3110" s="74" t="s">
        <v>2532</v>
      </c>
      <c r="C3110" s="74" t="s">
        <v>441</v>
      </c>
    </row>
    <row r="3111" spans="1:3">
      <c r="A3111" s="250">
        <v>8605</v>
      </c>
      <c r="B3111" s="74" t="s">
        <v>2532</v>
      </c>
      <c r="C3111" s="74" t="s">
        <v>441</v>
      </c>
    </row>
    <row r="3112" spans="1:3">
      <c r="A3112" s="250">
        <v>8606</v>
      </c>
      <c r="B3112" s="74" t="s">
        <v>2532</v>
      </c>
      <c r="C3112" s="74" t="s">
        <v>441</v>
      </c>
    </row>
    <row r="3113" spans="1:3">
      <c r="A3113" s="250">
        <v>8607</v>
      </c>
      <c r="B3113" s="74" t="s">
        <v>2532</v>
      </c>
      <c r="C3113" s="74" t="s">
        <v>441</v>
      </c>
    </row>
    <row r="3114" spans="1:3">
      <c r="A3114" s="250">
        <v>8608</v>
      </c>
      <c r="B3114" s="74" t="s">
        <v>2532</v>
      </c>
      <c r="C3114" s="74" t="s">
        <v>441</v>
      </c>
    </row>
    <row r="3115" spans="1:3">
      <c r="A3115" s="250">
        <v>8609</v>
      </c>
      <c r="B3115" s="74" t="s">
        <v>2532</v>
      </c>
      <c r="C3115" s="74" t="s">
        <v>441</v>
      </c>
    </row>
    <row r="3116" spans="1:3">
      <c r="A3116" s="250">
        <v>8610</v>
      </c>
      <c r="B3116" s="74" t="s">
        <v>2532</v>
      </c>
      <c r="C3116" s="74" t="s">
        <v>441</v>
      </c>
    </row>
    <row r="3117" spans="1:3">
      <c r="A3117" s="250">
        <v>8611</v>
      </c>
      <c r="B3117" s="74" t="s">
        <v>2532</v>
      </c>
      <c r="C3117" s="74" t="s">
        <v>441</v>
      </c>
    </row>
    <row r="3118" spans="1:3">
      <c r="A3118" s="250">
        <v>8618</v>
      </c>
      <c r="B3118" s="74" t="s">
        <v>2532</v>
      </c>
      <c r="C3118" s="74" t="s">
        <v>441</v>
      </c>
    </row>
    <row r="3119" spans="1:3">
      <c r="A3119" s="250">
        <v>8619</v>
      </c>
      <c r="B3119" s="74" t="s">
        <v>2532</v>
      </c>
      <c r="C3119" s="74" t="s">
        <v>441</v>
      </c>
    </row>
    <row r="3120" spans="1:3">
      <c r="A3120" s="250">
        <v>8620</v>
      </c>
      <c r="B3120" s="74" t="s">
        <v>2532</v>
      </c>
      <c r="C3120" s="74" t="s">
        <v>441</v>
      </c>
    </row>
    <row r="3121" spans="1:3">
      <c r="A3121" s="250">
        <v>8625</v>
      </c>
      <c r="B3121" s="74" t="s">
        <v>2532</v>
      </c>
      <c r="C3121" s="74" t="s">
        <v>441</v>
      </c>
    </row>
    <row r="3122" spans="1:3">
      <c r="A3122" s="250">
        <v>8628</v>
      </c>
      <c r="B3122" s="74" t="s">
        <v>2532</v>
      </c>
      <c r="C3122" s="74" t="s">
        <v>441</v>
      </c>
    </row>
    <row r="3123" spans="1:3">
      <c r="A3123" s="250">
        <v>8629</v>
      </c>
      <c r="B3123" s="74" t="s">
        <v>2532</v>
      </c>
      <c r="C3123" s="74" t="s">
        <v>441</v>
      </c>
    </row>
    <row r="3124" spans="1:3">
      <c r="A3124" s="250">
        <v>8638</v>
      </c>
      <c r="B3124" s="74" t="s">
        <v>2532</v>
      </c>
      <c r="C3124" s="74" t="s">
        <v>441</v>
      </c>
    </row>
    <row r="3125" spans="1:3">
      <c r="A3125" s="250">
        <v>8640</v>
      </c>
      <c r="B3125" s="74" t="s">
        <v>2533</v>
      </c>
      <c r="C3125" s="74" t="s">
        <v>441</v>
      </c>
    </row>
    <row r="3126" spans="1:3">
      <c r="A3126" s="250">
        <v>8641</v>
      </c>
      <c r="B3126" s="74" t="s">
        <v>2532</v>
      </c>
      <c r="C3126" s="74" t="s">
        <v>441</v>
      </c>
    </row>
    <row r="3127" spans="1:3">
      <c r="A3127" s="250">
        <v>8645</v>
      </c>
      <c r="B3127" s="74" t="s">
        <v>2532</v>
      </c>
      <c r="C3127" s="74" t="s">
        <v>441</v>
      </c>
    </row>
    <row r="3128" spans="1:3">
      <c r="A3128" s="250">
        <v>8646</v>
      </c>
      <c r="B3128" s="74" t="s">
        <v>2532</v>
      </c>
      <c r="C3128" s="74" t="s">
        <v>441</v>
      </c>
    </row>
    <row r="3129" spans="1:3">
      <c r="A3129" s="250">
        <v>8647</v>
      </c>
      <c r="B3129" s="74" t="s">
        <v>2532</v>
      </c>
      <c r="C3129" s="74" t="s">
        <v>441</v>
      </c>
    </row>
    <row r="3130" spans="1:3">
      <c r="A3130" s="250">
        <v>8648</v>
      </c>
      <c r="B3130" s="74" t="s">
        <v>2534</v>
      </c>
      <c r="C3130" s="74" t="s">
        <v>441</v>
      </c>
    </row>
    <row r="3131" spans="1:3">
      <c r="A3131" s="250">
        <v>8650</v>
      </c>
      <c r="B3131" s="74" t="s">
        <v>2532</v>
      </c>
      <c r="C3131" s="74" t="s">
        <v>441</v>
      </c>
    </row>
    <row r="3132" spans="1:3">
      <c r="A3132" s="250">
        <v>8666</v>
      </c>
      <c r="B3132" s="74" t="s">
        <v>2532</v>
      </c>
      <c r="C3132" s="74" t="s">
        <v>441</v>
      </c>
    </row>
    <row r="3133" spans="1:3">
      <c r="A3133" s="250">
        <v>8690</v>
      </c>
      <c r="B3133" s="74" t="s">
        <v>2532</v>
      </c>
      <c r="C3133" s="74" t="s">
        <v>441</v>
      </c>
    </row>
    <row r="3134" spans="1:3">
      <c r="A3134" s="250">
        <v>8691</v>
      </c>
      <c r="B3134" s="74" t="s">
        <v>2532</v>
      </c>
      <c r="C3134" s="74" t="s">
        <v>441</v>
      </c>
    </row>
    <row r="3135" spans="1:3">
      <c r="A3135" s="250">
        <v>8695</v>
      </c>
      <c r="B3135" s="74" t="s">
        <v>2532</v>
      </c>
      <c r="C3135" s="74" t="s">
        <v>441</v>
      </c>
    </row>
    <row r="3136" spans="1:3">
      <c r="A3136" s="250">
        <v>8701</v>
      </c>
      <c r="B3136" s="74" t="s">
        <v>2535</v>
      </c>
      <c r="C3136" s="74" t="s">
        <v>441</v>
      </c>
    </row>
    <row r="3137" spans="1:3">
      <c r="A3137" s="250">
        <v>8720</v>
      </c>
      <c r="B3137" s="74" t="s">
        <v>2536</v>
      </c>
      <c r="C3137" s="74" t="s">
        <v>441</v>
      </c>
    </row>
    <row r="3138" spans="1:3">
      <c r="A3138" s="250">
        <v>8721</v>
      </c>
      <c r="B3138" s="74" t="s">
        <v>2537</v>
      </c>
      <c r="C3138" s="74" t="s">
        <v>441</v>
      </c>
    </row>
    <row r="3139" spans="1:3">
      <c r="A3139" s="250">
        <v>8722</v>
      </c>
      <c r="B3139" s="74" t="s">
        <v>2538</v>
      </c>
      <c r="C3139" s="74" t="s">
        <v>441</v>
      </c>
    </row>
    <row r="3140" spans="1:3">
      <c r="A3140" s="250">
        <v>8723</v>
      </c>
      <c r="B3140" s="74" t="s">
        <v>2539</v>
      </c>
      <c r="C3140" s="74" t="s">
        <v>441</v>
      </c>
    </row>
    <row r="3141" spans="1:3">
      <c r="A3141" s="250">
        <v>8724</v>
      </c>
      <c r="B3141" s="74" t="s">
        <v>2539</v>
      </c>
      <c r="C3141" s="74" t="s">
        <v>441</v>
      </c>
    </row>
    <row r="3142" spans="1:3">
      <c r="A3142" s="250">
        <v>8730</v>
      </c>
      <c r="B3142" s="74" t="s">
        <v>2540</v>
      </c>
      <c r="C3142" s="74" t="s">
        <v>441</v>
      </c>
    </row>
    <row r="3143" spans="1:3">
      <c r="A3143" s="250">
        <v>8731</v>
      </c>
      <c r="B3143" s="74" t="s">
        <v>2541</v>
      </c>
      <c r="C3143" s="74" t="s">
        <v>441</v>
      </c>
    </row>
    <row r="3144" spans="1:3">
      <c r="A3144" s="250">
        <v>8732</v>
      </c>
      <c r="B3144" s="74" t="s">
        <v>2542</v>
      </c>
      <c r="C3144" s="74" t="s">
        <v>441</v>
      </c>
    </row>
    <row r="3145" spans="1:3">
      <c r="A3145" s="250">
        <v>8733</v>
      </c>
      <c r="B3145" s="74" t="s">
        <v>2543</v>
      </c>
      <c r="C3145" s="74" t="s">
        <v>441</v>
      </c>
    </row>
    <row r="3146" spans="1:3">
      <c r="A3146" s="250">
        <v>8734</v>
      </c>
      <c r="B3146" s="74" t="s">
        <v>2544</v>
      </c>
      <c r="C3146" s="74" t="s">
        <v>441</v>
      </c>
    </row>
    <row r="3147" spans="1:3">
      <c r="A3147" s="250">
        <v>8735</v>
      </c>
      <c r="B3147" s="74" t="s">
        <v>2545</v>
      </c>
      <c r="C3147" s="74" t="s">
        <v>441</v>
      </c>
    </row>
    <row r="3148" spans="1:3">
      <c r="A3148" s="250">
        <v>8736</v>
      </c>
      <c r="B3148" s="74" t="s">
        <v>2546</v>
      </c>
      <c r="C3148" s="74" t="s">
        <v>441</v>
      </c>
    </row>
    <row r="3149" spans="1:3">
      <c r="A3149" s="250">
        <v>8738</v>
      </c>
      <c r="B3149" s="74" t="s">
        <v>2547</v>
      </c>
      <c r="C3149" s="74" t="s">
        <v>441</v>
      </c>
    </row>
    <row r="3150" spans="1:3">
      <c r="A3150" s="250">
        <v>8739</v>
      </c>
      <c r="B3150" s="74" t="s">
        <v>2548</v>
      </c>
      <c r="C3150" s="74" t="s">
        <v>441</v>
      </c>
    </row>
    <row r="3151" spans="1:3">
      <c r="A3151" s="250">
        <v>8740</v>
      </c>
      <c r="B3151" s="74" t="s">
        <v>2549</v>
      </c>
      <c r="C3151" s="74" t="s">
        <v>441</v>
      </c>
    </row>
    <row r="3152" spans="1:3">
      <c r="A3152" s="250">
        <v>8741</v>
      </c>
      <c r="B3152" s="74" t="s">
        <v>2550</v>
      </c>
      <c r="C3152" s="74" t="s">
        <v>441</v>
      </c>
    </row>
    <row r="3153" spans="1:3">
      <c r="A3153" s="250">
        <v>8742</v>
      </c>
      <c r="B3153" s="74" t="s">
        <v>2551</v>
      </c>
      <c r="C3153" s="74" t="s">
        <v>441</v>
      </c>
    </row>
    <row r="3154" spans="1:3">
      <c r="A3154" s="250">
        <v>8750</v>
      </c>
      <c r="B3154" s="74" t="s">
        <v>2552</v>
      </c>
      <c r="C3154" s="74" t="s">
        <v>441</v>
      </c>
    </row>
    <row r="3155" spans="1:3">
      <c r="A3155" s="250">
        <v>8751</v>
      </c>
      <c r="B3155" s="74" t="s">
        <v>2553</v>
      </c>
      <c r="C3155" s="74" t="s">
        <v>441</v>
      </c>
    </row>
    <row r="3156" spans="1:3">
      <c r="A3156" s="250">
        <v>8752</v>
      </c>
      <c r="B3156" s="74" t="s">
        <v>2554</v>
      </c>
      <c r="C3156" s="74" t="s">
        <v>441</v>
      </c>
    </row>
    <row r="3157" spans="1:3">
      <c r="A3157" s="250">
        <v>8753</v>
      </c>
      <c r="B3157" s="74" t="s">
        <v>2555</v>
      </c>
      <c r="C3157" s="74" t="s">
        <v>441</v>
      </c>
    </row>
    <row r="3158" spans="1:3">
      <c r="A3158" s="250">
        <v>8754</v>
      </c>
      <c r="B3158" s="74" t="s">
        <v>2555</v>
      </c>
      <c r="C3158" s="74" t="s">
        <v>441</v>
      </c>
    </row>
    <row r="3159" spans="1:3">
      <c r="A3159" s="250">
        <v>8755</v>
      </c>
      <c r="B3159" s="74" t="s">
        <v>2555</v>
      </c>
      <c r="C3159" s="74" t="s">
        <v>441</v>
      </c>
    </row>
    <row r="3160" spans="1:3">
      <c r="A3160" s="250">
        <v>8756</v>
      </c>
      <c r="B3160" s="74" t="s">
        <v>2555</v>
      </c>
      <c r="C3160" s="74" t="s">
        <v>441</v>
      </c>
    </row>
    <row r="3161" spans="1:3">
      <c r="A3161" s="250">
        <v>8757</v>
      </c>
      <c r="B3161" s="74" t="s">
        <v>2555</v>
      </c>
      <c r="C3161" s="74" t="s">
        <v>441</v>
      </c>
    </row>
    <row r="3162" spans="1:3">
      <c r="A3162" s="250">
        <v>8758</v>
      </c>
      <c r="B3162" s="74" t="s">
        <v>2556</v>
      </c>
      <c r="C3162" s="74" t="s">
        <v>441</v>
      </c>
    </row>
    <row r="3163" spans="1:3">
      <c r="A3163" s="250">
        <v>8759</v>
      </c>
      <c r="B3163" s="74" t="s">
        <v>2557</v>
      </c>
      <c r="C3163" s="74" t="s">
        <v>441</v>
      </c>
    </row>
    <row r="3164" spans="1:3">
      <c r="A3164" s="250">
        <v>8801</v>
      </c>
      <c r="B3164" s="74" t="s">
        <v>2558</v>
      </c>
      <c r="C3164" s="74" t="s">
        <v>441</v>
      </c>
    </row>
    <row r="3165" spans="1:3">
      <c r="A3165" s="250">
        <v>8802</v>
      </c>
      <c r="B3165" s="74" t="s">
        <v>2559</v>
      </c>
      <c r="C3165" s="74" t="s">
        <v>441</v>
      </c>
    </row>
    <row r="3166" spans="1:3">
      <c r="A3166" s="250">
        <v>8803</v>
      </c>
      <c r="B3166" s="74" t="s">
        <v>2560</v>
      </c>
      <c r="C3166" s="74" t="s">
        <v>441</v>
      </c>
    </row>
    <row r="3167" spans="1:3">
      <c r="A3167" s="250">
        <v>8804</v>
      </c>
      <c r="B3167" s="74" t="s">
        <v>2561</v>
      </c>
      <c r="C3167" s="74" t="s">
        <v>441</v>
      </c>
    </row>
    <row r="3168" spans="1:3">
      <c r="A3168" s="250">
        <v>8805</v>
      </c>
      <c r="B3168" s="74" t="s">
        <v>2562</v>
      </c>
      <c r="C3168" s="74" t="s">
        <v>441</v>
      </c>
    </row>
    <row r="3169" spans="1:3">
      <c r="A3169" s="250">
        <v>8807</v>
      </c>
      <c r="B3169" s="74" t="s">
        <v>936</v>
      </c>
      <c r="C3169" s="74" t="s">
        <v>441</v>
      </c>
    </row>
    <row r="3170" spans="1:3">
      <c r="A3170" s="250">
        <v>8808</v>
      </c>
      <c r="B3170" s="74" t="s">
        <v>2563</v>
      </c>
      <c r="C3170" s="74" t="s">
        <v>441</v>
      </c>
    </row>
    <row r="3171" spans="1:3">
      <c r="A3171" s="250">
        <v>8809</v>
      </c>
      <c r="B3171" s="74" t="s">
        <v>732</v>
      </c>
      <c r="C3171" s="74" t="s">
        <v>441</v>
      </c>
    </row>
    <row r="3172" spans="1:3">
      <c r="A3172" s="250">
        <v>8810</v>
      </c>
      <c r="B3172" s="74" t="s">
        <v>2564</v>
      </c>
      <c r="C3172" s="74" t="s">
        <v>441</v>
      </c>
    </row>
    <row r="3173" spans="1:3">
      <c r="A3173" s="250">
        <v>8812</v>
      </c>
      <c r="B3173" s="74" t="s">
        <v>2565</v>
      </c>
      <c r="C3173" s="74" t="s">
        <v>441</v>
      </c>
    </row>
    <row r="3174" spans="1:3">
      <c r="A3174" s="250">
        <v>8816</v>
      </c>
      <c r="B3174" s="74" t="s">
        <v>2566</v>
      </c>
      <c r="C3174" s="74" t="s">
        <v>441</v>
      </c>
    </row>
    <row r="3175" spans="1:3">
      <c r="A3175" s="250">
        <v>8817</v>
      </c>
      <c r="B3175" s="74" t="s">
        <v>2567</v>
      </c>
      <c r="C3175" s="74" t="s">
        <v>441</v>
      </c>
    </row>
    <row r="3176" spans="1:3">
      <c r="A3176" s="250">
        <v>8818</v>
      </c>
      <c r="B3176" s="74" t="s">
        <v>2567</v>
      </c>
      <c r="C3176" s="74" t="s">
        <v>441</v>
      </c>
    </row>
    <row r="3177" spans="1:3">
      <c r="A3177" s="250">
        <v>8820</v>
      </c>
      <c r="B3177" s="74" t="s">
        <v>2567</v>
      </c>
      <c r="C3177" s="74" t="s">
        <v>441</v>
      </c>
    </row>
    <row r="3178" spans="1:3">
      <c r="A3178" s="250">
        <v>8821</v>
      </c>
      <c r="B3178" s="74" t="s">
        <v>2568</v>
      </c>
      <c r="C3178" s="74" t="s">
        <v>441</v>
      </c>
    </row>
    <row r="3179" spans="1:3">
      <c r="A3179" s="250">
        <v>8822</v>
      </c>
      <c r="B3179" s="74" t="s">
        <v>2569</v>
      </c>
      <c r="C3179" s="74" t="s">
        <v>441</v>
      </c>
    </row>
    <row r="3180" spans="1:3">
      <c r="A3180" s="250">
        <v>8823</v>
      </c>
      <c r="B3180" s="74" t="s">
        <v>2570</v>
      </c>
      <c r="C3180" s="74" t="s">
        <v>441</v>
      </c>
    </row>
    <row r="3181" spans="1:3">
      <c r="A3181" s="250">
        <v>8824</v>
      </c>
      <c r="B3181" s="74" t="s">
        <v>2571</v>
      </c>
      <c r="C3181" s="74" t="s">
        <v>441</v>
      </c>
    </row>
    <row r="3182" spans="1:3">
      <c r="A3182" s="250">
        <v>8825</v>
      </c>
      <c r="B3182" s="74" t="s">
        <v>2572</v>
      </c>
      <c r="C3182" s="74" t="s">
        <v>441</v>
      </c>
    </row>
    <row r="3183" spans="1:3">
      <c r="A3183" s="250">
        <v>8826</v>
      </c>
      <c r="B3183" s="74" t="s">
        <v>2573</v>
      </c>
      <c r="C3183" s="74" t="s">
        <v>441</v>
      </c>
    </row>
    <row r="3184" spans="1:3">
      <c r="A3184" s="250">
        <v>8827</v>
      </c>
      <c r="B3184" s="74" t="s">
        <v>1315</v>
      </c>
      <c r="C3184" s="74" t="s">
        <v>441</v>
      </c>
    </row>
    <row r="3185" spans="1:3">
      <c r="A3185" s="250">
        <v>8828</v>
      </c>
      <c r="B3185" s="74" t="s">
        <v>2574</v>
      </c>
      <c r="C3185" s="74" t="s">
        <v>441</v>
      </c>
    </row>
    <row r="3186" spans="1:3">
      <c r="A3186" s="250">
        <v>8829</v>
      </c>
      <c r="B3186" s="74" t="s">
        <v>2575</v>
      </c>
      <c r="C3186" s="74" t="s">
        <v>441</v>
      </c>
    </row>
    <row r="3187" spans="1:3">
      <c r="A3187" s="250">
        <v>8830</v>
      </c>
      <c r="B3187" s="74" t="s">
        <v>2576</v>
      </c>
      <c r="C3187" s="74" t="s">
        <v>441</v>
      </c>
    </row>
    <row r="3188" spans="1:3">
      <c r="A3188" s="250">
        <v>8831</v>
      </c>
      <c r="B3188" s="74" t="s">
        <v>2577</v>
      </c>
      <c r="C3188" s="74" t="s">
        <v>441</v>
      </c>
    </row>
    <row r="3189" spans="1:3">
      <c r="A3189" s="250">
        <v>8832</v>
      </c>
      <c r="B3189" s="74" t="s">
        <v>2578</v>
      </c>
      <c r="C3189" s="74" t="s">
        <v>441</v>
      </c>
    </row>
    <row r="3190" spans="1:3">
      <c r="A3190" s="250">
        <v>8833</v>
      </c>
      <c r="B3190" s="74" t="s">
        <v>1280</v>
      </c>
      <c r="C3190" s="74" t="s">
        <v>441</v>
      </c>
    </row>
    <row r="3191" spans="1:3">
      <c r="A3191" s="250">
        <v>8834</v>
      </c>
      <c r="B3191" s="74" t="s">
        <v>2579</v>
      </c>
      <c r="C3191" s="74" t="s">
        <v>441</v>
      </c>
    </row>
    <row r="3192" spans="1:3">
      <c r="A3192" s="250">
        <v>8835</v>
      </c>
      <c r="B3192" s="74" t="s">
        <v>1116</v>
      </c>
      <c r="C3192" s="74" t="s">
        <v>441</v>
      </c>
    </row>
    <row r="3193" spans="1:3">
      <c r="A3193" s="250">
        <v>8836</v>
      </c>
      <c r="B3193" s="74" t="s">
        <v>2580</v>
      </c>
      <c r="C3193" s="74" t="s">
        <v>441</v>
      </c>
    </row>
    <row r="3194" spans="1:3">
      <c r="A3194" s="250">
        <v>8837</v>
      </c>
      <c r="B3194" s="74" t="s">
        <v>2567</v>
      </c>
      <c r="C3194" s="74" t="s">
        <v>441</v>
      </c>
    </row>
    <row r="3195" spans="1:3">
      <c r="A3195" s="250">
        <v>8840</v>
      </c>
      <c r="B3195" s="74" t="s">
        <v>2581</v>
      </c>
      <c r="C3195" s="74" t="s">
        <v>441</v>
      </c>
    </row>
    <row r="3196" spans="1:3">
      <c r="A3196" s="250">
        <v>8844</v>
      </c>
      <c r="B3196" s="74" t="s">
        <v>1193</v>
      </c>
      <c r="C3196" s="74" t="s">
        <v>441</v>
      </c>
    </row>
    <row r="3197" spans="1:3">
      <c r="A3197" s="250">
        <v>8846</v>
      </c>
      <c r="B3197" s="74" t="s">
        <v>2582</v>
      </c>
      <c r="C3197" s="74" t="s">
        <v>441</v>
      </c>
    </row>
    <row r="3198" spans="1:3">
      <c r="A3198" s="250">
        <v>8848</v>
      </c>
      <c r="B3198" s="74" t="s">
        <v>796</v>
      </c>
      <c r="C3198" s="74" t="s">
        <v>441</v>
      </c>
    </row>
    <row r="3199" spans="1:3">
      <c r="A3199" s="250">
        <v>8850</v>
      </c>
      <c r="B3199" s="74" t="s">
        <v>2583</v>
      </c>
      <c r="C3199" s="74" t="s">
        <v>441</v>
      </c>
    </row>
    <row r="3200" spans="1:3">
      <c r="A3200" s="250">
        <v>8852</v>
      </c>
      <c r="B3200" s="74" t="s">
        <v>2584</v>
      </c>
      <c r="C3200" s="74" t="s">
        <v>441</v>
      </c>
    </row>
    <row r="3201" spans="1:3">
      <c r="A3201" s="250">
        <v>8853</v>
      </c>
      <c r="B3201" s="74" t="s">
        <v>2585</v>
      </c>
      <c r="C3201" s="74" t="s">
        <v>441</v>
      </c>
    </row>
    <row r="3202" spans="1:3">
      <c r="A3202" s="250">
        <v>8854</v>
      </c>
      <c r="B3202" s="74" t="s">
        <v>2586</v>
      </c>
      <c r="C3202" s="74" t="s">
        <v>441</v>
      </c>
    </row>
    <row r="3203" spans="1:3">
      <c r="A3203" s="250">
        <v>8855</v>
      </c>
      <c r="B3203" s="74" t="s">
        <v>2586</v>
      </c>
      <c r="C3203" s="74" t="s">
        <v>441</v>
      </c>
    </row>
    <row r="3204" spans="1:3">
      <c r="A3204" s="250">
        <v>8857</v>
      </c>
      <c r="B3204" s="74" t="s">
        <v>2587</v>
      </c>
      <c r="C3204" s="74" t="s">
        <v>441</v>
      </c>
    </row>
    <row r="3205" spans="1:3">
      <c r="A3205" s="250">
        <v>8858</v>
      </c>
      <c r="B3205" s="74" t="s">
        <v>2588</v>
      </c>
      <c r="C3205" s="74" t="s">
        <v>441</v>
      </c>
    </row>
    <row r="3206" spans="1:3">
      <c r="A3206" s="250">
        <v>8859</v>
      </c>
      <c r="B3206" s="74" t="s">
        <v>2589</v>
      </c>
      <c r="C3206" s="74" t="s">
        <v>441</v>
      </c>
    </row>
    <row r="3207" spans="1:3">
      <c r="A3207" s="250">
        <v>8861</v>
      </c>
      <c r="B3207" s="74" t="s">
        <v>2590</v>
      </c>
      <c r="C3207" s="74" t="s">
        <v>441</v>
      </c>
    </row>
    <row r="3208" spans="1:3">
      <c r="A3208" s="250">
        <v>8862</v>
      </c>
      <c r="B3208" s="74" t="s">
        <v>2590</v>
      </c>
      <c r="C3208" s="74" t="s">
        <v>441</v>
      </c>
    </row>
    <row r="3209" spans="1:3">
      <c r="A3209" s="250">
        <v>8863</v>
      </c>
      <c r="B3209" s="74" t="s">
        <v>2591</v>
      </c>
      <c r="C3209" s="74" t="s">
        <v>441</v>
      </c>
    </row>
    <row r="3210" spans="1:3">
      <c r="A3210" s="250">
        <v>8865</v>
      </c>
      <c r="B3210" s="74" t="s">
        <v>2592</v>
      </c>
      <c r="C3210" s="74" t="s">
        <v>441</v>
      </c>
    </row>
    <row r="3211" spans="1:3">
      <c r="A3211" s="250">
        <v>8867</v>
      </c>
      <c r="B3211" s="74" t="s">
        <v>2593</v>
      </c>
      <c r="C3211" s="74" t="s">
        <v>441</v>
      </c>
    </row>
    <row r="3212" spans="1:3">
      <c r="A3212" s="250">
        <v>8868</v>
      </c>
      <c r="B3212" s="74" t="s">
        <v>2594</v>
      </c>
      <c r="C3212" s="74" t="s">
        <v>441</v>
      </c>
    </row>
    <row r="3213" spans="1:3">
      <c r="A3213" s="250">
        <v>8869</v>
      </c>
      <c r="B3213" s="74" t="s">
        <v>2595</v>
      </c>
      <c r="C3213" s="74" t="s">
        <v>441</v>
      </c>
    </row>
    <row r="3214" spans="1:3">
      <c r="A3214" s="250">
        <v>8870</v>
      </c>
      <c r="B3214" s="74" t="s">
        <v>2596</v>
      </c>
      <c r="C3214" s="74" t="s">
        <v>441</v>
      </c>
    </row>
    <row r="3215" spans="1:3">
      <c r="A3215" s="250">
        <v>8871</v>
      </c>
      <c r="B3215" s="74" t="s">
        <v>2597</v>
      </c>
      <c r="C3215" s="74" t="s">
        <v>441</v>
      </c>
    </row>
    <row r="3216" spans="1:3">
      <c r="A3216" s="250">
        <v>8872</v>
      </c>
      <c r="B3216" s="74" t="s">
        <v>2597</v>
      </c>
      <c r="C3216" s="74" t="s">
        <v>441</v>
      </c>
    </row>
    <row r="3217" spans="1:3">
      <c r="A3217" s="250">
        <v>8873</v>
      </c>
      <c r="B3217" s="74" t="s">
        <v>1070</v>
      </c>
      <c r="C3217" s="74" t="s">
        <v>441</v>
      </c>
    </row>
    <row r="3218" spans="1:3">
      <c r="A3218" s="250">
        <v>8875</v>
      </c>
      <c r="B3218" s="74" t="s">
        <v>1070</v>
      </c>
      <c r="C3218" s="74" t="s">
        <v>441</v>
      </c>
    </row>
    <row r="3219" spans="1:3">
      <c r="A3219" s="250">
        <v>8876</v>
      </c>
      <c r="B3219" s="74" t="s">
        <v>915</v>
      </c>
      <c r="C3219" s="74" t="s">
        <v>441</v>
      </c>
    </row>
    <row r="3220" spans="1:3">
      <c r="A3220" s="250">
        <v>8879</v>
      </c>
      <c r="B3220" s="74" t="s">
        <v>2598</v>
      </c>
      <c r="C3220" s="74" t="s">
        <v>441</v>
      </c>
    </row>
    <row r="3221" spans="1:3">
      <c r="A3221" s="250">
        <v>8880</v>
      </c>
      <c r="B3221" s="74" t="s">
        <v>2599</v>
      </c>
      <c r="C3221" s="74" t="s">
        <v>441</v>
      </c>
    </row>
    <row r="3222" spans="1:3">
      <c r="A3222" s="250">
        <v>8882</v>
      </c>
      <c r="B3222" s="74" t="s">
        <v>2600</v>
      </c>
      <c r="C3222" s="74" t="s">
        <v>441</v>
      </c>
    </row>
    <row r="3223" spans="1:3">
      <c r="A3223" s="250">
        <v>8884</v>
      </c>
      <c r="B3223" s="74" t="s">
        <v>2601</v>
      </c>
      <c r="C3223" s="74" t="s">
        <v>441</v>
      </c>
    </row>
    <row r="3224" spans="1:3">
      <c r="A3224" s="250">
        <v>8885</v>
      </c>
      <c r="B3224" s="74" t="s">
        <v>2602</v>
      </c>
      <c r="C3224" s="74" t="s">
        <v>441</v>
      </c>
    </row>
    <row r="3225" spans="1:3">
      <c r="A3225" s="250">
        <v>8886</v>
      </c>
      <c r="B3225" s="74" t="s">
        <v>2603</v>
      </c>
      <c r="C3225" s="74" t="s">
        <v>441</v>
      </c>
    </row>
    <row r="3226" spans="1:3">
      <c r="A3226" s="250">
        <v>8887</v>
      </c>
      <c r="B3226" s="74" t="s">
        <v>2604</v>
      </c>
      <c r="C3226" s="74" t="s">
        <v>441</v>
      </c>
    </row>
    <row r="3227" spans="1:3">
      <c r="A3227" s="250">
        <v>8888</v>
      </c>
      <c r="B3227" s="74" t="s">
        <v>2605</v>
      </c>
      <c r="C3227" s="74" t="s">
        <v>441</v>
      </c>
    </row>
    <row r="3228" spans="1:3">
      <c r="A3228" s="250">
        <v>8889</v>
      </c>
      <c r="B3228" s="74" t="s">
        <v>2606</v>
      </c>
      <c r="C3228" s="74" t="s">
        <v>441</v>
      </c>
    </row>
    <row r="3229" spans="1:3">
      <c r="A3229" s="250">
        <v>8890</v>
      </c>
      <c r="B3229" s="74" t="s">
        <v>2607</v>
      </c>
      <c r="C3229" s="74" t="s">
        <v>441</v>
      </c>
    </row>
    <row r="3230" spans="1:3">
      <c r="A3230" s="250">
        <v>8899</v>
      </c>
      <c r="B3230" s="74" t="s">
        <v>2567</v>
      </c>
      <c r="C3230" s="74" t="s">
        <v>441</v>
      </c>
    </row>
    <row r="3231" spans="1:3">
      <c r="A3231" s="250">
        <v>8901</v>
      </c>
      <c r="B3231" s="74" t="s">
        <v>2608</v>
      </c>
      <c r="C3231" s="74" t="s">
        <v>441</v>
      </c>
    </row>
    <row r="3232" spans="1:3">
      <c r="A3232" s="250">
        <v>8902</v>
      </c>
      <c r="B3232" s="74" t="s">
        <v>2609</v>
      </c>
      <c r="C3232" s="74" t="s">
        <v>441</v>
      </c>
    </row>
    <row r="3233" spans="1:3">
      <c r="A3233" s="250">
        <v>8903</v>
      </c>
      <c r="B3233" s="74" t="s">
        <v>2608</v>
      </c>
      <c r="C3233" s="74" t="s">
        <v>441</v>
      </c>
    </row>
    <row r="3234" spans="1:3">
      <c r="A3234" s="250">
        <v>8904</v>
      </c>
      <c r="B3234" s="74" t="s">
        <v>2610</v>
      </c>
      <c r="C3234" s="74" t="s">
        <v>441</v>
      </c>
    </row>
    <row r="3235" spans="1:3">
      <c r="A3235" s="250">
        <v>8905</v>
      </c>
      <c r="B3235" s="74" t="s">
        <v>2608</v>
      </c>
      <c r="C3235" s="74" t="s">
        <v>441</v>
      </c>
    </row>
    <row r="3236" spans="1:3">
      <c r="A3236" s="250">
        <v>8906</v>
      </c>
      <c r="B3236" s="74" t="s">
        <v>2608</v>
      </c>
      <c r="C3236" s="74" t="s">
        <v>441</v>
      </c>
    </row>
    <row r="3237" spans="1:3">
      <c r="A3237" s="250">
        <v>8922</v>
      </c>
      <c r="B3237" s="74" t="s">
        <v>2608</v>
      </c>
      <c r="C3237" s="74" t="s">
        <v>441</v>
      </c>
    </row>
    <row r="3238" spans="1:3">
      <c r="A3238" s="250">
        <v>8933</v>
      </c>
      <c r="B3238" s="74" t="s">
        <v>2608</v>
      </c>
      <c r="C3238" s="74" t="s">
        <v>441</v>
      </c>
    </row>
    <row r="3239" spans="1:3">
      <c r="A3239" s="250">
        <v>8988</v>
      </c>
      <c r="B3239" s="74" t="s">
        <v>2608</v>
      </c>
      <c r="C3239" s="74" t="s">
        <v>441</v>
      </c>
    </row>
    <row r="3240" spans="1:3">
      <c r="A3240" s="250">
        <v>8989</v>
      </c>
      <c r="B3240" s="74" t="s">
        <v>2608</v>
      </c>
      <c r="C3240" s="74" t="s">
        <v>441</v>
      </c>
    </row>
    <row r="3241" spans="1:3">
      <c r="A3241" s="250">
        <v>10001</v>
      </c>
      <c r="B3241" s="74" t="s">
        <v>2611</v>
      </c>
      <c r="C3241" s="74" t="s">
        <v>443</v>
      </c>
    </row>
    <row r="3242" spans="1:3">
      <c r="A3242" s="250">
        <v>10002</v>
      </c>
      <c r="B3242" s="74" t="s">
        <v>2611</v>
      </c>
      <c r="C3242" s="74" t="s">
        <v>443</v>
      </c>
    </row>
    <row r="3243" spans="1:3">
      <c r="A3243" s="250">
        <v>10003</v>
      </c>
      <c r="B3243" s="74" t="s">
        <v>2611</v>
      </c>
      <c r="C3243" s="74" t="s">
        <v>443</v>
      </c>
    </row>
    <row r="3244" spans="1:3">
      <c r="A3244" s="250">
        <v>10004</v>
      </c>
      <c r="B3244" s="74" t="s">
        <v>2611</v>
      </c>
      <c r="C3244" s="74" t="s">
        <v>443</v>
      </c>
    </row>
    <row r="3245" spans="1:3">
      <c r="A3245" s="250">
        <v>10005</v>
      </c>
      <c r="B3245" s="74" t="s">
        <v>2611</v>
      </c>
      <c r="C3245" s="74" t="s">
        <v>443</v>
      </c>
    </row>
    <row r="3246" spans="1:3">
      <c r="A3246" s="250">
        <v>10006</v>
      </c>
      <c r="B3246" s="74" t="s">
        <v>2611</v>
      </c>
      <c r="C3246" s="74" t="s">
        <v>443</v>
      </c>
    </row>
    <row r="3247" spans="1:3">
      <c r="A3247" s="250">
        <v>10007</v>
      </c>
      <c r="B3247" s="74" t="s">
        <v>2611</v>
      </c>
      <c r="C3247" s="74" t="s">
        <v>443</v>
      </c>
    </row>
    <row r="3248" spans="1:3">
      <c r="A3248" s="250">
        <v>10008</v>
      </c>
      <c r="B3248" s="74" t="s">
        <v>2611</v>
      </c>
      <c r="C3248" s="74" t="s">
        <v>443</v>
      </c>
    </row>
    <row r="3249" spans="1:3">
      <c r="A3249" s="250">
        <v>10009</v>
      </c>
      <c r="B3249" s="74" t="s">
        <v>2611</v>
      </c>
      <c r="C3249" s="74" t="s">
        <v>443</v>
      </c>
    </row>
    <row r="3250" spans="1:3">
      <c r="A3250" s="250">
        <v>10010</v>
      </c>
      <c r="B3250" s="74" t="s">
        <v>2611</v>
      </c>
      <c r="C3250" s="74" t="s">
        <v>443</v>
      </c>
    </row>
    <row r="3251" spans="1:3">
      <c r="A3251" s="250">
        <v>10011</v>
      </c>
      <c r="B3251" s="74" t="s">
        <v>2611</v>
      </c>
      <c r="C3251" s="74" t="s">
        <v>443</v>
      </c>
    </row>
    <row r="3252" spans="1:3">
      <c r="A3252" s="250">
        <v>10012</v>
      </c>
      <c r="B3252" s="74" t="s">
        <v>2611</v>
      </c>
      <c r="C3252" s="74" t="s">
        <v>443</v>
      </c>
    </row>
    <row r="3253" spans="1:3">
      <c r="A3253" s="250">
        <v>10013</v>
      </c>
      <c r="B3253" s="74" t="s">
        <v>2611</v>
      </c>
      <c r="C3253" s="74" t="s">
        <v>443</v>
      </c>
    </row>
    <row r="3254" spans="1:3">
      <c r="A3254" s="250">
        <v>10014</v>
      </c>
      <c r="B3254" s="74" t="s">
        <v>2611</v>
      </c>
      <c r="C3254" s="74" t="s">
        <v>443</v>
      </c>
    </row>
    <row r="3255" spans="1:3">
      <c r="A3255" s="250">
        <v>10015</v>
      </c>
      <c r="B3255" s="74" t="s">
        <v>2611</v>
      </c>
      <c r="C3255" s="74" t="s">
        <v>443</v>
      </c>
    </row>
    <row r="3256" spans="1:3">
      <c r="A3256" s="250">
        <v>10016</v>
      </c>
      <c r="B3256" s="74" t="s">
        <v>2611</v>
      </c>
      <c r="C3256" s="74" t="s">
        <v>443</v>
      </c>
    </row>
    <row r="3257" spans="1:3">
      <c r="A3257" s="250">
        <v>10017</v>
      </c>
      <c r="B3257" s="74" t="s">
        <v>2611</v>
      </c>
      <c r="C3257" s="74" t="s">
        <v>443</v>
      </c>
    </row>
    <row r="3258" spans="1:3">
      <c r="A3258" s="250">
        <v>10018</v>
      </c>
      <c r="B3258" s="74" t="s">
        <v>2611</v>
      </c>
      <c r="C3258" s="74" t="s">
        <v>443</v>
      </c>
    </row>
    <row r="3259" spans="1:3">
      <c r="A3259" s="250">
        <v>10019</v>
      </c>
      <c r="B3259" s="74" t="s">
        <v>2611</v>
      </c>
      <c r="C3259" s="74" t="s">
        <v>443</v>
      </c>
    </row>
    <row r="3260" spans="1:3">
      <c r="A3260" s="250">
        <v>10020</v>
      </c>
      <c r="B3260" s="74" t="s">
        <v>2611</v>
      </c>
      <c r="C3260" s="74" t="s">
        <v>443</v>
      </c>
    </row>
    <row r="3261" spans="1:3">
      <c r="A3261" s="250">
        <v>10021</v>
      </c>
      <c r="B3261" s="74" t="s">
        <v>2611</v>
      </c>
      <c r="C3261" s="74" t="s">
        <v>443</v>
      </c>
    </row>
    <row r="3262" spans="1:3">
      <c r="A3262" s="250">
        <v>10022</v>
      </c>
      <c r="B3262" s="74" t="s">
        <v>2611</v>
      </c>
      <c r="C3262" s="74" t="s">
        <v>443</v>
      </c>
    </row>
    <row r="3263" spans="1:3">
      <c r="A3263" s="250">
        <v>10023</v>
      </c>
      <c r="B3263" s="74" t="s">
        <v>2611</v>
      </c>
      <c r="C3263" s="74" t="s">
        <v>443</v>
      </c>
    </row>
    <row r="3264" spans="1:3">
      <c r="A3264" s="250">
        <v>10024</v>
      </c>
      <c r="B3264" s="74" t="s">
        <v>2611</v>
      </c>
      <c r="C3264" s="74" t="s">
        <v>443</v>
      </c>
    </row>
    <row r="3265" spans="1:3">
      <c r="A3265" s="250">
        <v>10025</v>
      </c>
      <c r="B3265" s="74" t="s">
        <v>2611</v>
      </c>
      <c r="C3265" s="74" t="s">
        <v>443</v>
      </c>
    </row>
    <row r="3266" spans="1:3">
      <c r="A3266" s="250">
        <v>10026</v>
      </c>
      <c r="B3266" s="74" t="s">
        <v>2611</v>
      </c>
      <c r="C3266" s="74" t="s">
        <v>443</v>
      </c>
    </row>
    <row r="3267" spans="1:3">
      <c r="A3267" s="250">
        <v>10027</v>
      </c>
      <c r="B3267" s="74" t="s">
        <v>2611</v>
      </c>
      <c r="C3267" s="74" t="s">
        <v>443</v>
      </c>
    </row>
    <row r="3268" spans="1:3">
      <c r="A3268" s="250">
        <v>10028</v>
      </c>
      <c r="B3268" s="74" t="s">
        <v>2611</v>
      </c>
      <c r="C3268" s="74" t="s">
        <v>443</v>
      </c>
    </row>
    <row r="3269" spans="1:3">
      <c r="A3269" s="250">
        <v>10029</v>
      </c>
      <c r="B3269" s="74" t="s">
        <v>2611</v>
      </c>
      <c r="C3269" s="74" t="s">
        <v>443</v>
      </c>
    </row>
    <row r="3270" spans="1:3">
      <c r="A3270" s="250">
        <v>10030</v>
      </c>
      <c r="B3270" s="74" t="s">
        <v>2611</v>
      </c>
      <c r="C3270" s="74" t="s">
        <v>443</v>
      </c>
    </row>
    <row r="3271" spans="1:3">
      <c r="A3271" s="250">
        <v>10031</v>
      </c>
      <c r="B3271" s="74" t="s">
        <v>2611</v>
      </c>
      <c r="C3271" s="74" t="s">
        <v>443</v>
      </c>
    </row>
    <row r="3272" spans="1:3">
      <c r="A3272" s="250">
        <v>10032</v>
      </c>
      <c r="B3272" s="74" t="s">
        <v>2611</v>
      </c>
      <c r="C3272" s="74" t="s">
        <v>443</v>
      </c>
    </row>
    <row r="3273" spans="1:3">
      <c r="A3273" s="250">
        <v>10033</v>
      </c>
      <c r="B3273" s="74" t="s">
        <v>2611</v>
      </c>
      <c r="C3273" s="74" t="s">
        <v>443</v>
      </c>
    </row>
    <row r="3274" spans="1:3">
      <c r="A3274" s="250">
        <v>10034</v>
      </c>
      <c r="B3274" s="74" t="s">
        <v>2611</v>
      </c>
      <c r="C3274" s="74" t="s">
        <v>443</v>
      </c>
    </row>
    <row r="3275" spans="1:3">
      <c r="A3275" s="250">
        <v>10035</v>
      </c>
      <c r="B3275" s="74" t="s">
        <v>2611</v>
      </c>
      <c r="C3275" s="74" t="s">
        <v>443</v>
      </c>
    </row>
    <row r="3276" spans="1:3">
      <c r="A3276" s="250">
        <v>10036</v>
      </c>
      <c r="B3276" s="74" t="s">
        <v>2611</v>
      </c>
      <c r="C3276" s="74" t="s">
        <v>443</v>
      </c>
    </row>
    <row r="3277" spans="1:3">
      <c r="A3277" s="250">
        <v>10037</v>
      </c>
      <c r="B3277" s="74" t="s">
        <v>2611</v>
      </c>
      <c r="C3277" s="74" t="s">
        <v>443</v>
      </c>
    </row>
    <row r="3278" spans="1:3">
      <c r="A3278" s="250">
        <v>10038</v>
      </c>
      <c r="B3278" s="74" t="s">
        <v>2611</v>
      </c>
      <c r="C3278" s="74" t="s">
        <v>443</v>
      </c>
    </row>
    <row r="3279" spans="1:3">
      <c r="A3279" s="250">
        <v>10039</v>
      </c>
      <c r="B3279" s="74" t="s">
        <v>2611</v>
      </c>
      <c r="C3279" s="74" t="s">
        <v>443</v>
      </c>
    </row>
    <row r="3280" spans="1:3">
      <c r="A3280" s="250">
        <v>10040</v>
      </c>
      <c r="B3280" s="74" t="s">
        <v>2611</v>
      </c>
      <c r="C3280" s="74" t="s">
        <v>443</v>
      </c>
    </row>
    <row r="3281" spans="1:3">
      <c r="A3281" s="250">
        <v>10041</v>
      </c>
      <c r="B3281" s="74" t="s">
        <v>2611</v>
      </c>
      <c r="C3281" s="74" t="s">
        <v>443</v>
      </c>
    </row>
    <row r="3282" spans="1:3">
      <c r="A3282" s="250">
        <v>10043</v>
      </c>
      <c r="B3282" s="74" t="s">
        <v>2611</v>
      </c>
      <c r="C3282" s="74" t="s">
        <v>443</v>
      </c>
    </row>
    <row r="3283" spans="1:3">
      <c r="A3283" s="250">
        <v>10044</v>
      </c>
      <c r="B3283" s="74" t="s">
        <v>2611</v>
      </c>
      <c r="C3283" s="74" t="s">
        <v>443</v>
      </c>
    </row>
    <row r="3284" spans="1:3">
      <c r="A3284" s="250">
        <v>10045</v>
      </c>
      <c r="B3284" s="74" t="s">
        <v>2611</v>
      </c>
      <c r="C3284" s="74" t="s">
        <v>443</v>
      </c>
    </row>
    <row r="3285" spans="1:3">
      <c r="A3285" s="250">
        <v>10046</v>
      </c>
      <c r="B3285" s="74" t="s">
        <v>2611</v>
      </c>
      <c r="C3285" s="74" t="s">
        <v>443</v>
      </c>
    </row>
    <row r="3286" spans="1:3">
      <c r="A3286" s="250">
        <v>10047</v>
      </c>
      <c r="B3286" s="74" t="s">
        <v>2611</v>
      </c>
      <c r="C3286" s="74" t="s">
        <v>443</v>
      </c>
    </row>
    <row r="3287" spans="1:3">
      <c r="A3287" s="250">
        <v>10048</v>
      </c>
      <c r="B3287" s="74" t="s">
        <v>2611</v>
      </c>
      <c r="C3287" s="74" t="s">
        <v>443</v>
      </c>
    </row>
    <row r="3288" spans="1:3">
      <c r="A3288" s="250">
        <v>10055</v>
      </c>
      <c r="B3288" s="74" t="s">
        <v>2611</v>
      </c>
      <c r="C3288" s="74" t="s">
        <v>443</v>
      </c>
    </row>
    <row r="3289" spans="1:3">
      <c r="A3289" s="250">
        <v>10060</v>
      </c>
      <c r="B3289" s="74" t="s">
        <v>2611</v>
      </c>
      <c r="C3289" s="74" t="s">
        <v>443</v>
      </c>
    </row>
    <row r="3290" spans="1:3">
      <c r="A3290" s="250">
        <v>10065</v>
      </c>
      <c r="B3290" s="74" t="s">
        <v>2611</v>
      </c>
      <c r="C3290" s="74" t="s">
        <v>443</v>
      </c>
    </row>
    <row r="3291" spans="1:3">
      <c r="A3291" s="250">
        <v>10069</v>
      </c>
      <c r="B3291" s="74" t="s">
        <v>2611</v>
      </c>
      <c r="C3291" s="74" t="s">
        <v>443</v>
      </c>
    </row>
    <row r="3292" spans="1:3">
      <c r="A3292" s="250">
        <v>10072</v>
      </c>
      <c r="B3292" s="74" t="s">
        <v>2611</v>
      </c>
      <c r="C3292" s="74" t="s">
        <v>443</v>
      </c>
    </row>
    <row r="3293" spans="1:3">
      <c r="A3293" s="250">
        <v>10075</v>
      </c>
      <c r="B3293" s="74" t="s">
        <v>2611</v>
      </c>
      <c r="C3293" s="74" t="s">
        <v>443</v>
      </c>
    </row>
    <row r="3294" spans="1:3">
      <c r="A3294" s="250">
        <v>10079</v>
      </c>
      <c r="B3294" s="74" t="s">
        <v>2611</v>
      </c>
      <c r="C3294" s="74" t="s">
        <v>443</v>
      </c>
    </row>
    <row r="3295" spans="1:3">
      <c r="A3295" s="250">
        <v>10080</v>
      </c>
      <c r="B3295" s="74" t="s">
        <v>2611</v>
      </c>
      <c r="C3295" s="74" t="s">
        <v>443</v>
      </c>
    </row>
    <row r="3296" spans="1:3">
      <c r="A3296" s="250">
        <v>10081</v>
      </c>
      <c r="B3296" s="74" t="s">
        <v>2611</v>
      </c>
      <c r="C3296" s="74" t="s">
        <v>443</v>
      </c>
    </row>
    <row r="3297" spans="1:3">
      <c r="A3297" s="250">
        <v>10082</v>
      </c>
      <c r="B3297" s="74" t="s">
        <v>2611</v>
      </c>
      <c r="C3297" s="74" t="s">
        <v>443</v>
      </c>
    </row>
    <row r="3298" spans="1:3">
      <c r="A3298" s="250">
        <v>10087</v>
      </c>
      <c r="B3298" s="74" t="s">
        <v>2611</v>
      </c>
      <c r="C3298" s="74" t="s">
        <v>443</v>
      </c>
    </row>
    <row r="3299" spans="1:3">
      <c r="A3299" s="250">
        <v>10090</v>
      </c>
      <c r="B3299" s="74" t="s">
        <v>2611</v>
      </c>
      <c r="C3299" s="74" t="s">
        <v>443</v>
      </c>
    </row>
    <row r="3300" spans="1:3">
      <c r="A3300" s="250">
        <v>10094</v>
      </c>
      <c r="B3300" s="74" t="s">
        <v>2611</v>
      </c>
      <c r="C3300" s="74" t="s">
        <v>443</v>
      </c>
    </row>
    <row r="3301" spans="1:3">
      <c r="A3301" s="250">
        <v>10095</v>
      </c>
      <c r="B3301" s="74" t="s">
        <v>2611</v>
      </c>
      <c r="C3301" s="74" t="s">
        <v>443</v>
      </c>
    </row>
    <row r="3302" spans="1:3">
      <c r="A3302" s="250">
        <v>10096</v>
      </c>
      <c r="B3302" s="74" t="s">
        <v>2611</v>
      </c>
      <c r="C3302" s="74" t="s">
        <v>443</v>
      </c>
    </row>
    <row r="3303" spans="1:3">
      <c r="A3303" s="250">
        <v>10098</v>
      </c>
      <c r="B3303" s="74" t="s">
        <v>2611</v>
      </c>
      <c r="C3303" s="74" t="s">
        <v>443</v>
      </c>
    </row>
    <row r="3304" spans="1:3">
      <c r="A3304" s="250">
        <v>10099</v>
      </c>
      <c r="B3304" s="74" t="s">
        <v>2611</v>
      </c>
      <c r="C3304" s="74" t="s">
        <v>443</v>
      </c>
    </row>
    <row r="3305" spans="1:3">
      <c r="A3305" s="250">
        <v>10101</v>
      </c>
      <c r="B3305" s="74" t="s">
        <v>2611</v>
      </c>
      <c r="C3305" s="74" t="s">
        <v>443</v>
      </c>
    </row>
    <row r="3306" spans="1:3">
      <c r="A3306" s="250">
        <v>10102</v>
      </c>
      <c r="B3306" s="74" t="s">
        <v>2611</v>
      </c>
      <c r="C3306" s="74" t="s">
        <v>443</v>
      </c>
    </row>
    <row r="3307" spans="1:3">
      <c r="A3307" s="250">
        <v>10103</v>
      </c>
      <c r="B3307" s="74" t="s">
        <v>2611</v>
      </c>
      <c r="C3307" s="74" t="s">
        <v>443</v>
      </c>
    </row>
    <row r="3308" spans="1:3">
      <c r="A3308" s="250">
        <v>10104</v>
      </c>
      <c r="B3308" s="74" t="s">
        <v>2611</v>
      </c>
      <c r="C3308" s="74" t="s">
        <v>443</v>
      </c>
    </row>
    <row r="3309" spans="1:3">
      <c r="A3309" s="250">
        <v>10105</v>
      </c>
      <c r="B3309" s="74" t="s">
        <v>2611</v>
      </c>
      <c r="C3309" s="74" t="s">
        <v>443</v>
      </c>
    </row>
    <row r="3310" spans="1:3">
      <c r="A3310" s="250">
        <v>10106</v>
      </c>
      <c r="B3310" s="74" t="s">
        <v>2611</v>
      </c>
      <c r="C3310" s="74" t="s">
        <v>443</v>
      </c>
    </row>
    <row r="3311" spans="1:3">
      <c r="A3311" s="250">
        <v>10107</v>
      </c>
      <c r="B3311" s="74" t="s">
        <v>2611</v>
      </c>
      <c r="C3311" s="74" t="s">
        <v>443</v>
      </c>
    </row>
    <row r="3312" spans="1:3">
      <c r="A3312" s="250">
        <v>10108</v>
      </c>
      <c r="B3312" s="74" t="s">
        <v>2611</v>
      </c>
      <c r="C3312" s="74" t="s">
        <v>443</v>
      </c>
    </row>
    <row r="3313" spans="1:3">
      <c r="A3313" s="250">
        <v>10109</v>
      </c>
      <c r="B3313" s="74" t="s">
        <v>2611</v>
      </c>
      <c r="C3313" s="74" t="s">
        <v>443</v>
      </c>
    </row>
    <row r="3314" spans="1:3">
      <c r="A3314" s="250">
        <v>10110</v>
      </c>
      <c r="B3314" s="74" t="s">
        <v>2611</v>
      </c>
      <c r="C3314" s="74" t="s">
        <v>443</v>
      </c>
    </row>
    <row r="3315" spans="1:3">
      <c r="A3315" s="250">
        <v>10111</v>
      </c>
      <c r="B3315" s="74" t="s">
        <v>2611</v>
      </c>
      <c r="C3315" s="74" t="s">
        <v>443</v>
      </c>
    </row>
    <row r="3316" spans="1:3">
      <c r="A3316" s="250">
        <v>10112</v>
      </c>
      <c r="B3316" s="74" t="s">
        <v>2611</v>
      </c>
      <c r="C3316" s="74" t="s">
        <v>443</v>
      </c>
    </row>
    <row r="3317" spans="1:3">
      <c r="A3317" s="250">
        <v>10113</v>
      </c>
      <c r="B3317" s="74" t="s">
        <v>2611</v>
      </c>
      <c r="C3317" s="74" t="s">
        <v>443</v>
      </c>
    </row>
    <row r="3318" spans="1:3">
      <c r="A3318" s="250">
        <v>10114</v>
      </c>
      <c r="B3318" s="74" t="s">
        <v>2611</v>
      </c>
      <c r="C3318" s="74" t="s">
        <v>443</v>
      </c>
    </row>
    <row r="3319" spans="1:3">
      <c r="A3319" s="250">
        <v>10115</v>
      </c>
      <c r="B3319" s="74" t="s">
        <v>2611</v>
      </c>
      <c r="C3319" s="74" t="s">
        <v>443</v>
      </c>
    </row>
    <row r="3320" spans="1:3">
      <c r="A3320" s="250">
        <v>10116</v>
      </c>
      <c r="B3320" s="74" t="s">
        <v>2611</v>
      </c>
      <c r="C3320" s="74" t="s">
        <v>443</v>
      </c>
    </row>
    <row r="3321" spans="1:3">
      <c r="A3321" s="250">
        <v>10117</v>
      </c>
      <c r="B3321" s="74" t="s">
        <v>2611</v>
      </c>
      <c r="C3321" s="74" t="s">
        <v>443</v>
      </c>
    </row>
    <row r="3322" spans="1:3">
      <c r="A3322" s="250">
        <v>10118</v>
      </c>
      <c r="B3322" s="74" t="s">
        <v>2611</v>
      </c>
      <c r="C3322" s="74" t="s">
        <v>443</v>
      </c>
    </row>
    <row r="3323" spans="1:3">
      <c r="A3323" s="250">
        <v>10119</v>
      </c>
      <c r="B3323" s="74" t="s">
        <v>2611</v>
      </c>
      <c r="C3323" s="74" t="s">
        <v>443</v>
      </c>
    </row>
    <row r="3324" spans="1:3">
      <c r="A3324" s="250">
        <v>10120</v>
      </c>
      <c r="B3324" s="74" t="s">
        <v>2611</v>
      </c>
      <c r="C3324" s="74" t="s">
        <v>443</v>
      </c>
    </row>
    <row r="3325" spans="1:3">
      <c r="A3325" s="250">
        <v>10121</v>
      </c>
      <c r="B3325" s="74" t="s">
        <v>2611</v>
      </c>
      <c r="C3325" s="74" t="s">
        <v>443</v>
      </c>
    </row>
    <row r="3326" spans="1:3">
      <c r="A3326" s="250">
        <v>10122</v>
      </c>
      <c r="B3326" s="74" t="s">
        <v>2611</v>
      </c>
      <c r="C3326" s="74" t="s">
        <v>443</v>
      </c>
    </row>
    <row r="3327" spans="1:3">
      <c r="A3327" s="250">
        <v>10123</v>
      </c>
      <c r="B3327" s="74" t="s">
        <v>2611</v>
      </c>
      <c r="C3327" s="74" t="s">
        <v>443</v>
      </c>
    </row>
    <row r="3328" spans="1:3">
      <c r="A3328" s="250">
        <v>10124</v>
      </c>
      <c r="B3328" s="74" t="s">
        <v>2611</v>
      </c>
      <c r="C3328" s="74" t="s">
        <v>443</v>
      </c>
    </row>
    <row r="3329" spans="1:3">
      <c r="A3329" s="250">
        <v>10125</v>
      </c>
      <c r="B3329" s="74" t="s">
        <v>2611</v>
      </c>
      <c r="C3329" s="74" t="s">
        <v>443</v>
      </c>
    </row>
    <row r="3330" spans="1:3">
      <c r="A3330" s="250">
        <v>10126</v>
      </c>
      <c r="B3330" s="74" t="s">
        <v>2611</v>
      </c>
      <c r="C3330" s="74" t="s">
        <v>443</v>
      </c>
    </row>
    <row r="3331" spans="1:3">
      <c r="A3331" s="250">
        <v>10128</v>
      </c>
      <c r="B3331" s="74" t="s">
        <v>2611</v>
      </c>
      <c r="C3331" s="74" t="s">
        <v>443</v>
      </c>
    </row>
    <row r="3332" spans="1:3">
      <c r="A3332" s="250">
        <v>10129</v>
      </c>
      <c r="B3332" s="74" t="s">
        <v>2611</v>
      </c>
      <c r="C3332" s="74" t="s">
        <v>443</v>
      </c>
    </row>
    <row r="3333" spans="1:3">
      <c r="A3333" s="250">
        <v>10130</v>
      </c>
      <c r="B3333" s="74" t="s">
        <v>2611</v>
      </c>
      <c r="C3333" s="74" t="s">
        <v>443</v>
      </c>
    </row>
    <row r="3334" spans="1:3">
      <c r="A3334" s="250">
        <v>10131</v>
      </c>
      <c r="B3334" s="74" t="s">
        <v>2611</v>
      </c>
      <c r="C3334" s="74" t="s">
        <v>443</v>
      </c>
    </row>
    <row r="3335" spans="1:3">
      <c r="A3335" s="250">
        <v>10132</v>
      </c>
      <c r="B3335" s="74" t="s">
        <v>2611</v>
      </c>
      <c r="C3335" s="74" t="s">
        <v>443</v>
      </c>
    </row>
    <row r="3336" spans="1:3">
      <c r="A3336" s="250">
        <v>10133</v>
      </c>
      <c r="B3336" s="74" t="s">
        <v>2611</v>
      </c>
      <c r="C3336" s="74" t="s">
        <v>443</v>
      </c>
    </row>
    <row r="3337" spans="1:3">
      <c r="A3337" s="250">
        <v>10138</v>
      </c>
      <c r="B3337" s="74" t="s">
        <v>2611</v>
      </c>
      <c r="C3337" s="74" t="s">
        <v>443</v>
      </c>
    </row>
    <row r="3338" spans="1:3">
      <c r="A3338" s="250">
        <v>10149</v>
      </c>
      <c r="B3338" s="74" t="s">
        <v>2611</v>
      </c>
      <c r="C3338" s="74" t="s">
        <v>443</v>
      </c>
    </row>
    <row r="3339" spans="1:3">
      <c r="A3339" s="250">
        <v>10150</v>
      </c>
      <c r="B3339" s="74" t="s">
        <v>2611</v>
      </c>
      <c r="C3339" s="74" t="s">
        <v>443</v>
      </c>
    </row>
    <row r="3340" spans="1:3">
      <c r="A3340" s="250">
        <v>10151</v>
      </c>
      <c r="B3340" s="74" t="s">
        <v>2611</v>
      </c>
      <c r="C3340" s="74" t="s">
        <v>443</v>
      </c>
    </row>
    <row r="3341" spans="1:3">
      <c r="A3341" s="250">
        <v>10152</v>
      </c>
      <c r="B3341" s="74" t="s">
        <v>2611</v>
      </c>
      <c r="C3341" s="74" t="s">
        <v>443</v>
      </c>
    </row>
    <row r="3342" spans="1:3">
      <c r="A3342" s="250">
        <v>10153</v>
      </c>
      <c r="B3342" s="74" t="s">
        <v>2611</v>
      </c>
      <c r="C3342" s="74" t="s">
        <v>443</v>
      </c>
    </row>
    <row r="3343" spans="1:3">
      <c r="A3343" s="250">
        <v>10154</v>
      </c>
      <c r="B3343" s="74" t="s">
        <v>2611</v>
      </c>
      <c r="C3343" s="74" t="s">
        <v>443</v>
      </c>
    </row>
    <row r="3344" spans="1:3">
      <c r="A3344" s="250">
        <v>10155</v>
      </c>
      <c r="B3344" s="74" t="s">
        <v>2611</v>
      </c>
      <c r="C3344" s="74" t="s">
        <v>443</v>
      </c>
    </row>
    <row r="3345" spans="1:3">
      <c r="A3345" s="250">
        <v>10156</v>
      </c>
      <c r="B3345" s="74" t="s">
        <v>2611</v>
      </c>
      <c r="C3345" s="74" t="s">
        <v>443</v>
      </c>
    </row>
    <row r="3346" spans="1:3">
      <c r="A3346" s="250">
        <v>10157</v>
      </c>
      <c r="B3346" s="74" t="s">
        <v>2611</v>
      </c>
      <c r="C3346" s="74" t="s">
        <v>443</v>
      </c>
    </row>
    <row r="3347" spans="1:3">
      <c r="A3347" s="250">
        <v>10158</v>
      </c>
      <c r="B3347" s="74" t="s">
        <v>2611</v>
      </c>
      <c r="C3347" s="74" t="s">
        <v>443</v>
      </c>
    </row>
    <row r="3348" spans="1:3">
      <c r="A3348" s="250">
        <v>10159</v>
      </c>
      <c r="B3348" s="74" t="s">
        <v>2611</v>
      </c>
      <c r="C3348" s="74" t="s">
        <v>443</v>
      </c>
    </row>
    <row r="3349" spans="1:3">
      <c r="A3349" s="250">
        <v>10160</v>
      </c>
      <c r="B3349" s="74" t="s">
        <v>2611</v>
      </c>
      <c r="C3349" s="74" t="s">
        <v>443</v>
      </c>
    </row>
    <row r="3350" spans="1:3">
      <c r="A3350" s="250">
        <v>10161</v>
      </c>
      <c r="B3350" s="74" t="s">
        <v>2611</v>
      </c>
      <c r="C3350" s="74" t="s">
        <v>443</v>
      </c>
    </row>
    <row r="3351" spans="1:3">
      <c r="A3351" s="250">
        <v>10162</v>
      </c>
      <c r="B3351" s="74" t="s">
        <v>2611</v>
      </c>
      <c r="C3351" s="74" t="s">
        <v>443</v>
      </c>
    </row>
    <row r="3352" spans="1:3">
      <c r="A3352" s="250">
        <v>10163</v>
      </c>
      <c r="B3352" s="74" t="s">
        <v>2611</v>
      </c>
      <c r="C3352" s="74" t="s">
        <v>443</v>
      </c>
    </row>
    <row r="3353" spans="1:3">
      <c r="A3353" s="250">
        <v>10164</v>
      </c>
      <c r="B3353" s="74" t="s">
        <v>2611</v>
      </c>
      <c r="C3353" s="74" t="s">
        <v>443</v>
      </c>
    </row>
    <row r="3354" spans="1:3">
      <c r="A3354" s="250">
        <v>10165</v>
      </c>
      <c r="B3354" s="74" t="s">
        <v>2611</v>
      </c>
      <c r="C3354" s="74" t="s">
        <v>443</v>
      </c>
    </row>
    <row r="3355" spans="1:3">
      <c r="A3355" s="250">
        <v>10166</v>
      </c>
      <c r="B3355" s="74" t="s">
        <v>2611</v>
      </c>
      <c r="C3355" s="74" t="s">
        <v>443</v>
      </c>
    </row>
    <row r="3356" spans="1:3">
      <c r="A3356" s="250">
        <v>10167</v>
      </c>
      <c r="B3356" s="74" t="s">
        <v>2611</v>
      </c>
      <c r="C3356" s="74" t="s">
        <v>443</v>
      </c>
    </row>
    <row r="3357" spans="1:3">
      <c r="A3357" s="250">
        <v>10168</v>
      </c>
      <c r="B3357" s="74" t="s">
        <v>2611</v>
      </c>
      <c r="C3357" s="74" t="s">
        <v>443</v>
      </c>
    </row>
    <row r="3358" spans="1:3">
      <c r="A3358" s="250">
        <v>10169</v>
      </c>
      <c r="B3358" s="74" t="s">
        <v>2611</v>
      </c>
      <c r="C3358" s="74" t="s">
        <v>443</v>
      </c>
    </row>
    <row r="3359" spans="1:3">
      <c r="A3359" s="250">
        <v>10170</v>
      </c>
      <c r="B3359" s="74" t="s">
        <v>2611</v>
      </c>
      <c r="C3359" s="74" t="s">
        <v>443</v>
      </c>
    </row>
    <row r="3360" spans="1:3">
      <c r="A3360" s="250">
        <v>10171</v>
      </c>
      <c r="B3360" s="74" t="s">
        <v>2611</v>
      </c>
      <c r="C3360" s="74" t="s">
        <v>443</v>
      </c>
    </row>
    <row r="3361" spans="1:3">
      <c r="A3361" s="250">
        <v>10172</v>
      </c>
      <c r="B3361" s="74" t="s">
        <v>2611</v>
      </c>
      <c r="C3361" s="74" t="s">
        <v>443</v>
      </c>
    </row>
    <row r="3362" spans="1:3">
      <c r="A3362" s="250">
        <v>10173</v>
      </c>
      <c r="B3362" s="74" t="s">
        <v>2611</v>
      </c>
      <c r="C3362" s="74" t="s">
        <v>443</v>
      </c>
    </row>
    <row r="3363" spans="1:3">
      <c r="A3363" s="250">
        <v>10174</v>
      </c>
      <c r="B3363" s="74" t="s">
        <v>2611</v>
      </c>
      <c r="C3363" s="74" t="s">
        <v>443</v>
      </c>
    </row>
    <row r="3364" spans="1:3">
      <c r="A3364" s="250">
        <v>10175</v>
      </c>
      <c r="B3364" s="74" t="s">
        <v>2611</v>
      </c>
      <c r="C3364" s="74" t="s">
        <v>443</v>
      </c>
    </row>
    <row r="3365" spans="1:3">
      <c r="A3365" s="250">
        <v>10176</v>
      </c>
      <c r="B3365" s="74" t="s">
        <v>2611</v>
      </c>
      <c r="C3365" s="74" t="s">
        <v>443</v>
      </c>
    </row>
    <row r="3366" spans="1:3">
      <c r="A3366" s="250">
        <v>10177</v>
      </c>
      <c r="B3366" s="74" t="s">
        <v>2611</v>
      </c>
      <c r="C3366" s="74" t="s">
        <v>443</v>
      </c>
    </row>
    <row r="3367" spans="1:3">
      <c r="A3367" s="250">
        <v>10178</v>
      </c>
      <c r="B3367" s="74" t="s">
        <v>2611</v>
      </c>
      <c r="C3367" s="74" t="s">
        <v>443</v>
      </c>
    </row>
    <row r="3368" spans="1:3">
      <c r="A3368" s="250">
        <v>10179</v>
      </c>
      <c r="B3368" s="74" t="s">
        <v>2611</v>
      </c>
      <c r="C3368" s="74" t="s">
        <v>443</v>
      </c>
    </row>
    <row r="3369" spans="1:3">
      <c r="A3369" s="250">
        <v>10184</v>
      </c>
      <c r="B3369" s="74" t="s">
        <v>2611</v>
      </c>
      <c r="C3369" s="74" t="s">
        <v>443</v>
      </c>
    </row>
    <row r="3370" spans="1:3">
      <c r="A3370" s="250">
        <v>10185</v>
      </c>
      <c r="B3370" s="74" t="s">
        <v>2611</v>
      </c>
      <c r="C3370" s="74" t="s">
        <v>443</v>
      </c>
    </row>
    <row r="3371" spans="1:3">
      <c r="A3371" s="250">
        <v>10196</v>
      </c>
      <c r="B3371" s="74" t="s">
        <v>2611</v>
      </c>
      <c r="C3371" s="74" t="s">
        <v>443</v>
      </c>
    </row>
    <row r="3372" spans="1:3">
      <c r="A3372" s="250">
        <v>10197</v>
      </c>
      <c r="B3372" s="74" t="s">
        <v>2611</v>
      </c>
      <c r="C3372" s="74" t="s">
        <v>443</v>
      </c>
    </row>
    <row r="3373" spans="1:3">
      <c r="A3373" s="250">
        <v>10199</v>
      </c>
      <c r="B3373" s="74" t="s">
        <v>2611</v>
      </c>
      <c r="C3373" s="74" t="s">
        <v>443</v>
      </c>
    </row>
    <row r="3374" spans="1:3">
      <c r="A3374" s="250">
        <v>10200</v>
      </c>
      <c r="B3374" s="74" t="s">
        <v>2611</v>
      </c>
      <c r="C3374" s="74" t="s">
        <v>443</v>
      </c>
    </row>
    <row r="3375" spans="1:3">
      <c r="A3375" s="250">
        <v>10203</v>
      </c>
      <c r="B3375" s="74" t="s">
        <v>2611</v>
      </c>
      <c r="C3375" s="74" t="s">
        <v>443</v>
      </c>
    </row>
    <row r="3376" spans="1:3">
      <c r="A3376" s="250">
        <v>10211</v>
      </c>
      <c r="B3376" s="74" t="s">
        <v>2611</v>
      </c>
      <c r="C3376" s="74" t="s">
        <v>443</v>
      </c>
    </row>
    <row r="3377" spans="1:3">
      <c r="A3377" s="250">
        <v>10212</v>
      </c>
      <c r="B3377" s="74" t="s">
        <v>2611</v>
      </c>
      <c r="C3377" s="74" t="s">
        <v>443</v>
      </c>
    </row>
    <row r="3378" spans="1:3">
      <c r="A3378" s="250">
        <v>10213</v>
      </c>
      <c r="B3378" s="74" t="s">
        <v>2611</v>
      </c>
      <c r="C3378" s="74" t="s">
        <v>443</v>
      </c>
    </row>
    <row r="3379" spans="1:3">
      <c r="A3379" s="250">
        <v>10242</v>
      </c>
      <c r="B3379" s="74" t="s">
        <v>2611</v>
      </c>
      <c r="C3379" s="74" t="s">
        <v>443</v>
      </c>
    </row>
    <row r="3380" spans="1:3">
      <c r="A3380" s="250">
        <v>10249</v>
      </c>
      <c r="B3380" s="74" t="s">
        <v>2611</v>
      </c>
      <c r="C3380" s="74" t="s">
        <v>443</v>
      </c>
    </row>
    <row r="3381" spans="1:3">
      <c r="A3381" s="250">
        <v>10256</v>
      </c>
      <c r="B3381" s="74" t="s">
        <v>2611</v>
      </c>
      <c r="C3381" s="74" t="s">
        <v>443</v>
      </c>
    </row>
    <row r="3382" spans="1:3">
      <c r="A3382" s="250">
        <v>10257</v>
      </c>
      <c r="B3382" s="74" t="s">
        <v>2611</v>
      </c>
      <c r="C3382" s="74" t="s">
        <v>443</v>
      </c>
    </row>
    <row r="3383" spans="1:3">
      <c r="A3383" s="250">
        <v>10258</v>
      </c>
      <c r="B3383" s="74" t="s">
        <v>2611</v>
      </c>
      <c r="C3383" s="74" t="s">
        <v>443</v>
      </c>
    </row>
    <row r="3384" spans="1:3">
      <c r="A3384" s="250">
        <v>10259</v>
      </c>
      <c r="B3384" s="74" t="s">
        <v>2611</v>
      </c>
      <c r="C3384" s="74" t="s">
        <v>443</v>
      </c>
    </row>
    <row r="3385" spans="1:3">
      <c r="A3385" s="250">
        <v>10260</v>
      </c>
      <c r="B3385" s="74" t="s">
        <v>2611</v>
      </c>
      <c r="C3385" s="74" t="s">
        <v>443</v>
      </c>
    </row>
    <row r="3386" spans="1:3">
      <c r="A3386" s="250">
        <v>10261</v>
      </c>
      <c r="B3386" s="74" t="s">
        <v>2611</v>
      </c>
      <c r="C3386" s="74" t="s">
        <v>443</v>
      </c>
    </row>
    <row r="3387" spans="1:3">
      <c r="A3387" s="250">
        <v>10265</v>
      </c>
      <c r="B3387" s="74" t="s">
        <v>2611</v>
      </c>
      <c r="C3387" s="74" t="s">
        <v>443</v>
      </c>
    </row>
    <row r="3388" spans="1:3">
      <c r="A3388" s="250">
        <v>10268</v>
      </c>
      <c r="B3388" s="74" t="s">
        <v>2611</v>
      </c>
      <c r="C3388" s="74" t="s">
        <v>443</v>
      </c>
    </row>
    <row r="3389" spans="1:3">
      <c r="A3389" s="250">
        <v>10269</v>
      </c>
      <c r="B3389" s="74" t="s">
        <v>2611</v>
      </c>
      <c r="C3389" s="74" t="s">
        <v>443</v>
      </c>
    </row>
    <row r="3390" spans="1:3">
      <c r="A3390" s="250">
        <v>10270</v>
      </c>
      <c r="B3390" s="74" t="s">
        <v>2611</v>
      </c>
      <c r="C3390" s="74" t="s">
        <v>443</v>
      </c>
    </row>
    <row r="3391" spans="1:3">
      <c r="A3391" s="250">
        <v>10271</v>
      </c>
      <c r="B3391" s="74" t="s">
        <v>2611</v>
      </c>
      <c r="C3391" s="74" t="s">
        <v>443</v>
      </c>
    </row>
    <row r="3392" spans="1:3">
      <c r="A3392" s="250">
        <v>10272</v>
      </c>
      <c r="B3392" s="74" t="s">
        <v>2611</v>
      </c>
      <c r="C3392" s="74" t="s">
        <v>443</v>
      </c>
    </row>
    <row r="3393" spans="1:3">
      <c r="A3393" s="250">
        <v>10273</v>
      </c>
      <c r="B3393" s="74" t="s">
        <v>2611</v>
      </c>
      <c r="C3393" s="74" t="s">
        <v>443</v>
      </c>
    </row>
    <row r="3394" spans="1:3">
      <c r="A3394" s="250">
        <v>10274</v>
      </c>
      <c r="B3394" s="74" t="s">
        <v>2611</v>
      </c>
      <c r="C3394" s="74" t="s">
        <v>443</v>
      </c>
    </row>
    <row r="3395" spans="1:3">
      <c r="A3395" s="250">
        <v>10275</v>
      </c>
      <c r="B3395" s="74" t="s">
        <v>2611</v>
      </c>
      <c r="C3395" s="74" t="s">
        <v>443</v>
      </c>
    </row>
    <row r="3396" spans="1:3">
      <c r="A3396" s="250">
        <v>10276</v>
      </c>
      <c r="B3396" s="74" t="s">
        <v>2611</v>
      </c>
      <c r="C3396" s="74" t="s">
        <v>443</v>
      </c>
    </row>
    <row r="3397" spans="1:3">
      <c r="A3397" s="250">
        <v>10277</v>
      </c>
      <c r="B3397" s="74" t="s">
        <v>2611</v>
      </c>
      <c r="C3397" s="74" t="s">
        <v>443</v>
      </c>
    </row>
    <row r="3398" spans="1:3">
      <c r="A3398" s="250">
        <v>10278</v>
      </c>
      <c r="B3398" s="74" t="s">
        <v>2611</v>
      </c>
      <c r="C3398" s="74" t="s">
        <v>443</v>
      </c>
    </row>
    <row r="3399" spans="1:3">
      <c r="A3399" s="250">
        <v>10279</v>
      </c>
      <c r="B3399" s="74" t="s">
        <v>2611</v>
      </c>
      <c r="C3399" s="74" t="s">
        <v>443</v>
      </c>
    </row>
    <row r="3400" spans="1:3">
      <c r="A3400" s="250">
        <v>10280</v>
      </c>
      <c r="B3400" s="74" t="s">
        <v>2611</v>
      </c>
      <c r="C3400" s="74" t="s">
        <v>443</v>
      </c>
    </row>
    <row r="3401" spans="1:3">
      <c r="A3401" s="250">
        <v>10281</v>
      </c>
      <c r="B3401" s="74" t="s">
        <v>2611</v>
      </c>
      <c r="C3401" s="74" t="s">
        <v>443</v>
      </c>
    </row>
    <row r="3402" spans="1:3">
      <c r="A3402" s="250">
        <v>10282</v>
      </c>
      <c r="B3402" s="74" t="s">
        <v>2611</v>
      </c>
      <c r="C3402" s="74" t="s">
        <v>443</v>
      </c>
    </row>
    <row r="3403" spans="1:3">
      <c r="A3403" s="250">
        <v>10285</v>
      </c>
      <c r="B3403" s="74" t="s">
        <v>2611</v>
      </c>
      <c r="C3403" s="74" t="s">
        <v>443</v>
      </c>
    </row>
    <row r="3404" spans="1:3">
      <c r="A3404" s="250">
        <v>10286</v>
      </c>
      <c r="B3404" s="74" t="s">
        <v>2611</v>
      </c>
      <c r="C3404" s="74" t="s">
        <v>443</v>
      </c>
    </row>
    <row r="3405" spans="1:3">
      <c r="A3405" s="250">
        <v>10292</v>
      </c>
      <c r="B3405" s="74" t="s">
        <v>2611</v>
      </c>
      <c r="C3405" s="74" t="s">
        <v>443</v>
      </c>
    </row>
    <row r="3406" spans="1:3">
      <c r="A3406" s="250">
        <v>10301</v>
      </c>
      <c r="B3406" s="74" t="s">
        <v>2612</v>
      </c>
      <c r="C3406" s="74" t="s">
        <v>443</v>
      </c>
    </row>
    <row r="3407" spans="1:3">
      <c r="A3407" s="250">
        <v>10302</v>
      </c>
      <c r="B3407" s="74" t="s">
        <v>2612</v>
      </c>
      <c r="C3407" s="74" t="s">
        <v>443</v>
      </c>
    </row>
    <row r="3408" spans="1:3">
      <c r="A3408" s="250">
        <v>10303</v>
      </c>
      <c r="B3408" s="74" t="s">
        <v>2612</v>
      </c>
      <c r="C3408" s="74" t="s">
        <v>443</v>
      </c>
    </row>
    <row r="3409" spans="1:3">
      <c r="A3409" s="250">
        <v>10304</v>
      </c>
      <c r="B3409" s="74" t="s">
        <v>2612</v>
      </c>
      <c r="C3409" s="74" t="s">
        <v>443</v>
      </c>
    </row>
    <row r="3410" spans="1:3">
      <c r="A3410" s="250">
        <v>10305</v>
      </c>
      <c r="B3410" s="74" t="s">
        <v>2612</v>
      </c>
      <c r="C3410" s="74" t="s">
        <v>443</v>
      </c>
    </row>
    <row r="3411" spans="1:3">
      <c r="A3411" s="250">
        <v>10306</v>
      </c>
      <c r="B3411" s="74" t="s">
        <v>2612</v>
      </c>
      <c r="C3411" s="74" t="s">
        <v>443</v>
      </c>
    </row>
    <row r="3412" spans="1:3">
      <c r="A3412" s="250">
        <v>10307</v>
      </c>
      <c r="B3412" s="74" t="s">
        <v>2612</v>
      </c>
      <c r="C3412" s="74" t="s">
        <v>443</v>
      </c>
    </row>
    <row r="3413" spans="1:3">
      <c r="A3413" s="250">
        <v>10308</v>
      </c>
      <c r="B3413" s="74" t="s">
        <v>2612</v>
      </c>
      <c r="C3413" s="74" t="s">
        <v>443</v>
      </c>
    </row>
    <row r="3414" spans="1:3">
      <c r="A3414" s="250">
        <v>10309</v>
      </c>
      <c r="B3414" s="74" t="s">
        <v>2612</v>
      </c>
      <c r="C3414" s="74" t="s">
        <v>443</v>
      </c>
    </row>
    <row r="3415" spans="1:3">
      <c r="A3415" s="250">
        <v>10310</v>
      </c>
      <c r="B3415" s="74" t="s">
        <v>2612</v>
      </c>
      <c r="C3415" s="74" t="s">
        <v>443</v>
      </c>
    </row>
    <row r="3416" spans="1:3">
      <c r="A3416" s="250">
        <v>10311</v>
      </c>
      <c r="B3416" s="74" t="s">
        <v>2612</v>
      </c>
      <c r="C3416" s="74" t="s">
        <v>443</v>
      </c>
    </row>
    <row r="3417" spans="1:3">
      <c r="A3417" s="250">
        <v>10312</v>
      </c>
      <c r="B3417" s="74" t="s">
        <v>2612</v>
      </c>
      <c r="C3417" s="74" t="s">
        <v>443</v>
      </c>
    </row>
    <row r="3418" spans="1:3">
      <c r="A3418" s="250">
        <v>10313</v>
      </c>
      <c r="B3418" s="74" t="s">
        <v>2612</v>
      </c>
      <c r="C3418" s="74" t="s">
        <v>443</v>
      </c>
    </row>
    <row r="3419" spans="1:3">
      <c r="A3419" s="250">
        <v>10314</v>
      </c>
      <c r="B3419" s="74" t="s">
        <v>2612</v>
      </c>
      <c r="C3419" s="74" t="s">
        <v>443</v>
      </c>
    </row>
    <row r="3420" spans="1:3">
      <c r="A3420" s="250">
        <v>10451</v>
      </c>
      <c r="B3420" s="74" t="s">
        <v>2613</v>
      </c>
      <c r="C3420" s="74" t="s">
        <v>443</v>
      </c>
    </row>
    <row r="3421" spans="1:3">
      <c r="A3421" s="250">
        <v>10452</v>
      </c>
      <c r="B3421" s="74" t="s">
        <v>2613</v>
      </c>
      <c r="C3421" s="74" t="s">
        <v>443</v>
      </c>
    </row>
    <row r="3422" spans="1:3">
      <c r="A3422" s="250">
        <v>10453</v>
      </c>
      <c r="B3422" s="74" t="s">
        <v>2613</v>
      </c>
      <c r="C3422" s="74" t="s">
        <v>443</v>
      </c>
    </row>
    <row r="3423" spans="1:3">
      <c r="A3423" s="250">
        <v>10454</v>
      </c>
      <c r="B3423" s="74" t="s">
        <v>2613</v>
      </c>
      <c r="C3423" s="74" t="s">
        <v>443</v>
      </c>
    </row>
    <row r="3424" spans="1:3">
      <c r="A3424" s="250">
        <v>10455</v>
      </c>
      <c r="B3424" s="74" t="s">
        <v>2613</v>
      </c>
      <c r="C3424" s="74" t="s">
        <v>443</v>
      </c>
    </row>
    <row r="3425" spans="1:3">
      <c r="A3425" s="250">
        <v>10456</v>
      </c>
      <c r="B3425" s="74" t="s">
        <v>2613</v>
      </c>
      <c r="C3425" s="74" t="s">
        <v>443</v>
      </c>
    </row>
    <row r="3426" spans="1:3">
      <c r="A3426" s="250">
        <v>10457</v>
      </c>
      <c r="B3426" s="74" t="s">
        <v>2613</v>
      </c>
      <c r="C3426" s="74" t="s">
        <v>443</v>
      </c>
    </row>
    <row r="3427" spans="1:3">
      <c r="A3427" s="250">
        <v>10458</v>
      </c>
      <c r="B3427" s="74" t="s">
        <v>2613</v>
      </c>
      <c r="C3427" s="74" t="s">
        <v>443</v>
      </c>
    </row>
    <row r="3428" spans="1:3">
      <c r="A3428" s="250">
        <v>10459</v>
      </c>
      <c r="B3428" s="74" t="s">
        <v>2613</v>
      </c>
      <c r="C3428" s="74" t="s">
        <v>443</v>
      </c>
    </row>
    <row r="3429" spans="1:3">
      <c r="A3429" s="250">
        <v>10460</v>
      </c>
      <c r="B3429" s="74" t="s">
        <v>2613</v>
      </c>
      <c r="C3429" s="74" t="s">
        <v>443</v>
      </c>
    </row>
    <row r="3430" spans="1:3">
      <c r="A3430" s="250">
        <v>10461</v>
      </c>
      <c r="B3430" s="74" t="s">
        <v>2613</v>
      </c>
      <c r="C3430" s="74" t="s">
        <v>443</v>
      </c>
    </row>
    <row r="3431" spans="1:3">
      <c r="A3431" s="250">
        <v>10462</v>
      </c>
      <c r="B3431" s="74" t="s">
        <v>2613</v>
      </c>
      <c r="C3431" s="74" t="s">
        <v>443</v>
      </c>
    </row>
    <row r="3432" spans="1:3">
      <c r="A3432" s="250">
        <v>10463</v>
      </c>
      <c r="B3432" s="74" t="s">
        <v>2613</v>
      </c>
      <c r="C3432" s="74" t="s">
        <v>443</v>
      </c>
    </row>
    <row r="3433" spans="1:3">
      <c r="A3433" s="250">
        <v>10464</v>
      </c>
      <c r="B3433" s="74" t="s">
        <v>2613</v>
      </c>
      <c r="C3433" s="74" t="s">
        <v>443</v>
      </c>
    </row>
    <row r="3434" spans="1:3">
      <c r="A3434" s="250">
        <v>10465</v>
      </c>
      <c r="B3434" s="74" t="s">
        <v>2613</v>
      </c>
      <c r="C3434" s="74" t="s">
        <v>443</v>
      </c>
    </row>
    <row r="3435" spans="1:3">
      <c r="A3435" s="250">
        <v>10466</v>
      </c>
      <c r="B3435" s="74" t="s">
        <v>2613</v>
      </c>
      <c r="C3435" s="74" t="s">
        <v>443</v>
      </c>
    </row>
    <row r="3436" spans="1:3">
      <c r="A3436" s="250">
        <v>10467</v>
      </c>
      <c r="B3436" s="74" t="s">
        <v>2613</v>
      </c>
      <c r="C3436" s="74" t="s">
        <v>443</v>
      </c>
    </row>
    <row r="3437" spans="1:3">
      <c r="A3437" s="250">
        <v>10468</v>
      </c>
      <c r="B3437" s="74" t="s">
        <v>2613</v>
      </c>
      <c r="C3437" s="74" t="s">
        <v>443</v>
      </c>
    </row>
    <row r="3438" spans="1:3">
      <c r="A3438" s="250">
        <v>10469</v>
      </c>
      <c r="B3438" s="74" t="s">
        <v>2613</v>
      </c>
      <c r="C3438" s="74" t="s">
        <v>443</v>
      </c>
    </row>
    <row r="3439" spans="1:3">
      <c r="A3439" s="250">
        <v>10470</v>
      </c>
      <c r="B3439" s="74" t="s">
        <v>2613</v>
      </c>
      <c r="C3439" s="74" t="s">
        <v>443</v>
      </c>
    </row>
    <row r="3440" spans="1:3">
      <c r="A3440" s="250">
        <v>10471</v>
      </c>
      <c r="B3440" s="74" t="s">
        <v>2613</v>
      </c>
      <c r="C3440" s="74" t="s">
        <v>443</v>
      </c>
    </row>
    <row r="3441" spans="1:3">
      <c r="A3441" s="250">
        <v>10472</v>
      </c>
      <c r="B3441" s="74" t="s">
        <v>2613</v>
      </c>
      <c r="C3441" s="74" t="s">
        <v>443</v>
      </c>
    </row>
    <row r="3442" spans="1:3">
      <c r="A3442" s="250">
        <v>10473</v>
      </c>
      <c r="B3442" s="74" t="s">
        <v>2613</v>
      </c>
      <c r="C3442" s="74" t="s">
        <v>443</v>
      </c>
    </row>
    <row r="3443" spans="1:3">
      <c r="A3443" s="250">
        <v>10474</v>
      </c>
      <c r="B3443" s="74" t="s">
        <v>2613</v>
      </c>
      <c r="C3443" s="74" t="s">
        <v>443</v>
      </c>
    </row>
    <row r="3444" spans="1:3">
      <c r="A3444" s="250">
        <v>10475</v>
      </c>
      <c r="B3444" s="74" t="s">
        <v>2613</v>
      </c>
      <c r="C3444" s="74" t="s">
        <v>443</v>
      </c>
    </row>
    <row r="3445" spans="1:3">
      <c r="A3445" s="250">
        <v>10499</v>
      </c>
      <c r="B3445" s="74" t="s">
        <v>2613</v>
      </c>
      <c r="C3445" s="74" t="s">
        <v>443</v>
      </c>
    </row>
    <row r="3446" spans="1:3">
      <c r="A3446" s="250">
        <v>10501</v>
      </c>
      <c r="B3446" s="74" t="s">
        <v>2614</v>
      </c>
      <c r="C3446" s="74" t="s">
        <v>443</v>
      </c>
    </row>
    <row r="3447" spans="1:3">
      <c r="A3447" s="250">
        <v>10502</v>
      </c>
      <c r="B3447" s="74" t="s">
        <v>2615</v>
      </c>
      <c r="C3447" s="74" t="s">
        <v>443</v>
      </c>
    </row>
    <row r="3448" spans="1:3">
      <c r="A3448" s="250">
        <v>10503</v>
      </c>
      <c r="B3448" s="74" t="s">
        <v>2616</v>
      </c>
      <c r="C3448" s="74" t="s">
        <v>443</v>
      </c>
    </row>
    <row r="3449" spans="1:3">
      <c r="A3449" s="250">
        <v>10504</v>
      </c>
      <c r="B3449" s="74" t="s">
        <v>2617</v>
      </c>
      <c r="C3449" s="74" t="s">
        <v>443</v>
      </c>
    </row>
    <row r="3450" spans="1:3">
      <c r="A3450" s="250">
        <v>10505</v>
      </c>
      <c r="B3450" s="74" t="s">
        <v>2618</v>
      </c>
      <c r="C3450" s="74" t="s">
        <v>443</v>
      </c>
    </row>
    <row r="3451" spans="1:3">
      <c r="A3451" s="250">
        <v>10506</v>
      </c>
      <c r="B3451" s="74" t="s">
        <v>783</v>
      </c>
      <c r="C3451" s="74" t="s">
        <v>443</v>
      </c>
    </row>
    <row r="3452" spans="1:3">
      <c r="A3452" s="250">
        <v>10507</v>
      </c>
      <c r="B3452" s="74" t="s">
        <v>2619</v>
      </c>
      <c r="C3452" s="74" t="s">
        <v>443</v>
      </c>
    </row>
    <row r="3453" spans="1:3">
      <c r="A3453" s="250">
        <v>10509</v>
      </c>
      <c r="B3453" s="74" t="s">
        <v>1023</v>
      </c>
      <c r="C3453" s="74" t="s">
        <v>443</v>
      </c>
    </row>
    <row r="3454" spans="1:3">
      <c r="A3454" s="250">
        <v>10510</v>
      </c>
      <c r="B3454" s="74" t="s">
        <v>2620</v>
      </c>
      <c r="C3454" s="74" t="s">
        <v>443</v>
      </c>
    </row>
    <row r="3455" spans="1:3">
      <c r="A3455" s="250">
        <v>10511</v>
      </c>
      <c r="B3455" s="74" t="s">
        <v>2621</v>
      </c>
      <c r="C3455" s="74" t="s">
        <v>443</v>
      </c>
    </row>
    <row r="3456" spans="1:3">
      <c r="A3456" s="250">
        <v>10512</v>
      </c>
      <c r="B3456" s="74" t="s">
        <v>1496</v>
      </c>
      <c r="C3456" s="74" t="s">
        <v>443</v>
      </c>
    </row>
    <row r="3457" spans="1:3">
      <c r="A3457" s="250">
        <v>10514</v>
      </c>
      <c r="B3457" s="74" t="s">
        <v>2622</v>
      </c>
      <c r="C3457" s="74" t="s">
        <v>443</v>
      </c>
    </row>
    <row r="3458" spans="1:3">
      <c r="A3458" s="250">
        <v>10516</v>
      </c>
      <c r="B3458" s="74" t="s">
        <v>2623</v>
      </c>
      <c r="C3458" s="74" t="s">
        <v>443</v>
      </c>
    </row>
    <row r="3459" spans="1:3">
      <c r="A3459" s="250">
        <v>10517</v>
      </c>
      <c r="B3459" s="74" t="s">
        <v>2624</v>
      </c>
      <c r="C3459" s="74" t="s">
        <v>443</v>
      </c>
    </row>
    <row r="3460" spans="1:3">
      <c r="A3460" s="250">
        <v>10518</v>
      </c>
      <c r="B3460" s="74" t="s">
        <v>2625</v>
      </c>
      <c r="C3460" s="74" t="s">
        <v>443</v>
      </c>
    </row>
    <row r="3461" spans="1:3">
      <c r="A3461" s="250">
        <v>10519</v>
      </c>
      <c r="B3461" s="74" t="s">
        <v>2626</v>
      </c>
      <c r="C3461" s="74" t="s">
        <v>443</v>
      </c>
    </row>
    <row r="3462" spans="1:3">
      <c r="A3462" s="250">
        <v>10520</v>
      </c>
      <c r="B3462" s="74" t="s">
        <v>2627</v>
      </c>
      <c r="C3462" s="74" t="s">
        <v>443</v>
      </c>
    </row>
    <row r="3463" spans="1:3">
      <c r="A3463" s="250">
        <v>10521</v>
      </c>
      <c r="B3463" s="74" t="s">
        <v>2627</v>
      </c>
      <c r="C3463" s="74" t="s">
        <v>443</v>
      </c>
    </row>
    <row r="3464" spans="1:3">
      <c r="A3464" s="250">
        <v>10522</v>
      </c>
      <c r="B3464" s="74" t="s">
        <v>2628</v>
      </c>
      <c r="C3464" s="74" t="s">
        <v>443</v>
      </c>
    </row>
    <row r="3465" spans="1:3">
      <c r="A3465" s="250">
        <v>10523</v>
      </c>
      <c r="B3465" s="74" t="s">
        <v>2629</v>
      </c>
      <c r="C3465" s="74" t="s">
        <v>443</v>
      </c>
    </row>
    <row r="3466" spans="1:3">
      <c r="A3466" s="250">
        <v>10524</v>
      </c>
      <c r="B3466" s="74" t="s">
        <v>2630</v>
      </c>
      <c r="C3466" s="74" t="s">
        <v>443</v>
      </c>
    </row>
    <row r="3467" spans="1:3">
      <c r="A3467" s="250">
        <v>10526</v>
      </c>
      <c r="B3467" s="74" t="s">
        <v>2631</v>
      </c>
      <c r="C3467" s="74" t="s">
        <v>443</v>
      </c>
    </row>
    <row r="3468" spans="1:3">
      <c r="A3468" s="250">
        <v>10527</v>
      </c>
      <c r="B3468" s="74" t="s">
        <v>2632</v>
      </c>
      <c r="C3468" s="74" t="s">
        <v>443</v>
      </c>
    </row>
    <row r="3469" spans="1:3">
      <c r="A3469" s="250">
        <v>10528</v>
      </c>
      <c r="B3469" s="74" t="s">
        <v>1386</v>
      </c>
      <c r="C3469" s="74" t="s">
        <v>443</v>
      </c>
    </row>
    <row r="3470" spans="1:3">
      <c r="A3470" s="250">
        <v>10530</v>
      </c>
      <c r="B3470" s="74" t="s">
        <v>2633</v>
      </c>
      <c r="C3470" s="74" t="s">
        <v>443</v>
      </c>
    </row>
    <row r="3471" spans="1:3">
      <c r="A3471" s="250">
        <v>10532</v>
      </c>
      <c r="B3471" s="74" t="s">
        <v>2215</v>
      </c>
      <c r="C3471" s="74" t="s">
        <v>443</v>
      </c>
    </row>
    <row r="3472" spans="1:3">
      <c r="A3472" s="250">
        <v>10533</v>
      </c>
      <c r="B3472" s="74" t="s">
        <v>2175</v>
      </c>
      <c r="C3472" s="74" t="s">
        <v>443</v>
      </c>
    </row>
    <row r="3473" spans="1:3">
      <c r="A3473" s="250">
        <v>10535</v>
      </c>
      <c r="B3473" s="74" t="s">
        <v>2634</v>
      </c>
      <c r="C3473" s="74" t="s">
        <v>443</v>
      </c>
    </row>
    <row r="3474" spans="1:3">
      <c r="A3474" s="250">
        <v>10536</v>
      </c>
      <c r="B3474" s="74" t="s">
        <v>2635</v>
      </c>
      <c r="C3474" s="74" t="s">
        <v>443</v>
      </c>
    </row>
    <row r="3475" spans="1:3">
      <c r="A3475" s="250">
        <v>10537</v>
      </c>
      <c r="B3475" s="74" t="s">
        <v>2636</v>
      </c>
      <c r="C3475" s="74" t="s">
        <v>443</v>
      </c>
    </row>
    <row r="3476" spans="1:3">
      <c r="A3476" s="250">
        <v>10538</v>
      </c>
      <c r="B3476" s="74" t="s">
        <v>2637</v>
      </c>
      <c r="C3476" s="74" t="s">
        <v>443</v>
      </c>
    </row>
    <row r="3477" spans="1:3">
      <c r="A3477" s="250">
        <v>10540</v>
      </c>
      <c r="B3477" s="74" t="s">
        <v>2638</v>
      </c>
      <c r="C3477" s="74" t="s">
        <v>443</v>
      </c>
    </row>
    <row r="3478" spans="1:3">
      <c r="A3478" s="250">
        <v>10541</v>
      </c>
      <c r="B3478" s="74" t="s">
        <v>2639</v>
      </c>
      <c r="C3478" s="74" t="s">
        <v>443</v>
      </c>
    </row>
    <row r="3479" spans="1:3">
      <c r="A3479" s="250">
        <v>10542</v>
      </c>
      <c r="B3479" s="74" t="s">
        <v>2640</v>
      </c>
      <c r="C3479" s="74" t="s">
        <v>443</v>
      </c>
    </row>
    <row r="3480" spans="1:3">
      <c r="A3480" s="250">
        <v>10543</v>
      </c>
      <c r="B3480" s="74" t="s">
        <v>2641</v>
      </c>
      <c r="C3480" s="74" t="s">
        <v>443</v>
      </c>
    </row>
    <row r="3481" spans="1:3">
      <c r="A3481" s="250">
        <v>10545</v>
      </c>
      <c r="B3481" s="74" t="s">
        <v>2642</v>
      </c>
      <c r="C3481" s="74" t="s">
        <v>443</v>
      </c>
    </row>
    <row r="3482" spans="1:3">
      <c r="A3482" s="250">
        <v>10546</v>
      </c>
      <c r="B3482" s="74" t="s">
        <v>2643</v>
      </c>
      <c r="C3482" s="74" t="s">
        <v>443</v>
      </c>
    </row>
    <row r="3483" spans="1:3">
      <c r="A3483" s="250">
        <v>10547</v>
      </c>
      <c r="B3483" s="74" t="s">
        <v>2644</v>
      </c>
      <c r="C3483" s="74" t="s">
        <v>443</v>
      </c>
    </row>
    <row r="3484" spans="1:3">
      <c r="A3484" s="250">
        <v>10548</v>
      </c>
      <c r="B3484" s="74" t="s">
        <v>2645</v>
      </c>
      <c r="C3484" s="74" t="s">
        <v>443</v>
      </c>
    </row>
    <row r="3485" spans="1:3">
      <c r="A3485" s="250">
        <v>10549</v>
      </c>
      <c r="B3485" s="74" t="s">
        <v>2646</v>
      </c>
      <c r="C3485" s="74" t="s">
        <v>443</v>
      </c>
    </row>
    <row r="3486" spans="1:3">
      <c r="A3486" s="250">
        <v>10550</v>
      </c>
      <c r="B3486" s="74" t="s">
        <v>1481</v>
      </c>
      <c r="C3486" s="74" t="s">
        <v>443</v>
      </c>
    </row>
    <row r="3487" spans="1:3">
      <c r="A3487" s="250">
        <v>10551</v>
      </c>
      <c r="B3487" s="74" t="s">
        <v>1481</v>
      </c>
      <c r="C3487" s="74" t="s">
        <v>443</v>
      </c>
    </row>
    <row r="3488" spans="1:3">
      <c r="A3488" s="250">
        <v>10552</v>
      </c>
      <c r="B3488" s="74" t="s">
        <v>1481</v>
      </c>
      <c r="C3488" s="74" t="s">
        <v>443</v>
      </c>
    </row>
    <row r="3489" spans="1:3">
      <c r="A3489" s="250">
        <v>10553</v>
      </c>
      <c r="B3489" s="74" t="s">
        <v>1481</v>
      </c>
      <c r="C3489" s="74" t="s">
        <v>443</v>
      </c>
    </row>
    <row r="3490" spans="1:3">
      <c r="A3490" s="250">
        <v>10557</v>
      </c>
      <c r="B3490" s="74" t="s">
        <v>1481</v>
      </c>
      <c r="C3490" s="74" t="s">
        <v>443</v>
      </c>
    </row>
    <row r="3491" spans="1:3">
      <c r="A3491" s="250">
        <v>10558</v>
      </c>
      <c r="B3491" s="74" t="s">
        <v>1481</v>
      </c>
      <c r="C3491" s="74" t="s">
        <v>443</v>
      </c>
    </row>
    <row r="3492" spans="1:3">
      <c r="A3492" s="250">
        <v>10560</v>
      </c>
      <c r="B3492" s="74" t="s">
        <v>1168</v>
      </c>
      <c r="C3492" s="74" t="s">
        <v>443</v>
      </c>
    </row>
    <row r="3493" spans="1:3">
      <c r="A3493" s="250">
        <v>10562</v>
      </c>
      <c r="B3493" s="74" t="s">
        <v>2647</v>
      </c>
      <c r="C3493" s="74" t="s">
        <v>443</v>
      </c>
    </row>
    <row r="3494" spans="1:3">
      <c r="A3494" s="250">
        <v>10566</v>
      </c>
      <c r="B3494" s="74" t="s">
        <v>2648</v>
      </c>
      <c r="C3494" s="74" t="s">
        <v>443</v>
      </c>
    </row>
    <row r="3495" spans="1:3">
      <c r="A3495" s="250">
        <v>10567</v>
      </c>
      <c r="B3495" s="74" t="s">
        <v>2649</v>
      </c>
      <c r="C3495" s="74" t="s">
        <v>443</v>
      </c>
    </row>
    <row r="3496" spans="1:3">
      <c r="A3496" s="250">
        <v>10570</v>
      </c>
      <c r="B3496" s="74" t="s">
        <v>2459</v>
      </c>
      <c r="C3496" s="74" t="s">
        <v>443</v>
      </c>
    </row>
    <row r="3497" spans="1:3">
      <c r="A3497" s="250">
        <v>10571</v>
      </c>
      <c r="B3497" s="74" t="s">
        <v>2459</v>
      </c>
      <c r="C3497" s="74" t="s">
        <v>443</v>
      </c>
    </row>
    <row r="3498" spans="1:3">
      <c r="A3498" s="250">
        <v>10572</v>
      </c>
      <c r="B3498" s="74" t="s">
        <v>2459</v>
      </c>
      <c r="C3498" s="74" t="s">
        <v>443</v>
      </c>
    </row>
    <row r="3499" spans="1:3">
      <c r="A3499" s="250">
        <v>10573</v>
      </c>
      <c r="B3499" s="74" t="s">
        <v>2650</v>
      </c>
      <c r="C3499" s="74" t="s">
        <v>443</v>
      </c>
    </row>
    <row r="3500" spans="1:3">
      <c r="A3500" s="250">
        <v>10576</v>
      </c>
      <c r="B3500" s="74" t="s">
        <v>2651</v>
      </c>
      <c r="C3500" s="74" t="s">
        <v>443</v>
      </c>
    </row>
    <row r="3501" spans="1:3">
      <c r="A3501" s="250">
        <v>10577</v>
      </c>
      <c r="B3501" s="74" t="s">
        <v>2652</v>
      </c>
      <c r="C3501" s="74" t="s">
        <v>443</v>
      </c>
    </row>
    <row r="3502" spans="1:3">
      <c r="A3502" s="250">
        <v>10578</v>
      </c>
      <c r="B3502" s="74" t="s">
        <v>2653</v>
      </c>
      <c r="C3502" s="74" t="s">
        <v>443</v>
      </c>
    </row>
    <row r="3503" spans="1:3">
      <c r="A3503" s="250">
        <v>10579</v>
      </c>
      <c r="B3503" s="74" t="s">
        <v>2654</v>
      </c>
      <c r="C3503" s="74" t="s">
        <v>443</v>
      </c>
    </row>
    <row r="3504" spans="1:3">
      <c r="A3504" s="250">
        <v>10580</v>
      </c>
      <c r="B3504" s="74" t="s">
        <v>1334</v>
      </c>
      <c r="C3504" s="74" t="s">
        <v>443</v>
      </c>
    </row>
    <row r="3505" spans="1:3">
      <c r="A3505" s="250">
        <v>10583</v>
      </c>
      <c r="B3505" s="74" t="s">
        <v>2655</v>
      </c>
      <c r="C3505" s="74" t="s">
        <v>443</v>
      </c>
    </row>
    <row r="3506" spans="1:3">
      <c r="A3506" s="250">
        <v>10587</v>
      </c>
      <c r="B3506" s="74" t="s">
        <v>2656</v>
      </c>
      <c r="C3506" s="74" t="s">
        <v>443</v>
      </c>
    </row>
    <row r="3507" spans="1:3">
      <c r="A3507" s="250">
        <v>10588</v>
      </c>
      <c r="B3507" s="74" t="s">
        <v>2657</v>
      </c>
      <c r="C3507" s="74" t="s">
        <v>443</v>
      </c>
    </row>
    <row r="3508" spans="1:3">
      <c r="A3508" s="250">
        <v>10589</v>
      </c>
      <c r="B3508" s="74" t="s">
        <v>1957</v>
      </c>
      <c r="C3508" s="74" t="s">
        <v>443</v>
      </c>
    </row>
    <row r="3509" spans="1:3">
      <c r="A3509" s="250">
        <v>10590</v>
      </c>
      <c r="B3509" s="74" t="s">
        <v>2658</v>
      </c>
      <c r="C3509" s="74" t="s">
        <v>443</v>
      </c>
    </row>
    <row r="3510" spans="1:3">
      <c r="A3510" s="250">
        <v>10591</v>
      </c>
      <c r="B3510" s="74" t="s">
        <v>2659</v>
      </c>
      <c r="C3510" s="74" t="s">
        <v>443</v>
      </c>
    </row>
    <row r="3511" spans="1:3">
      <c r="A3511" s="250">
        <v>10594</v>
      </c>
      <c r="B3511" s="74" t="s">
        <v>2660</v>
      </c>
      <c r="C3511" s="74" t="s">
        <v>443</v>
      </c>
    </row>
    <row r="3512" spans="1:3">
      <c r="A3512" s="250">
        <v>10595</v>
      </c>
      <c r="B3512" s="74" t="s">
        <v>2661</v>
      </c>
      <c r="C3512" s="74" t="s">
        <v>443</v>
      </c>
    </row>
    <row r="3513" spans="1:3">
      <c r="A3513" s="250">
        <v>10596</v>
      </c>
      <c r="B3513" s="74" t="s">
        <v>2662</v>
      </c>
      <c r="C3513" s="74" t="s">
        <v>443</v>
      </c>
    </row>
    <row r="3514" spans="1:3">
      <c r="A3514" s="250">
        <v>10597</v>
      </c>
      <c r="B3514" s="74" t="s">
        <v>2663</v>
      </c>
      <c r="C3514" s="74" t="s">
        <v>443</v>
      </c>
    </row>
    <row r="3515" spans="1:3">
      <c r="A3515" s="250">
        <v>10598</v>
      </c>
      <c r="B3515" s="74" t="s">
        <v>2664</v>
      </c>
      <c r="C3515" s="74" t="s">
        <v>443</v>
      </c>
    </row>
    <row r="3516" spans="1:3">
      <c r="A3516" s="250">
        <v>10601</v>
      </c>
      <c r="B3516" s="74" t="s">
        <v>2665</v>
      </c>
      <c r="C3516" s="74" t="s">
        <v>443</v>
      </c>
    </row>
    <row r="3517" spans="1:3">
      <c r="A3517" s="250">
        <v>10602</v>
      </c>
      <c r="B3517" s="74" t="s">
        <v>2665</v>
      </c>
      <c r="C3517" s="74" t="s">
        <v>443</v>
      </c>
    </row>
    <row r="3518" spans="1:3">
      <c r="A3518" s="250">
        <v>10603</v>
      </c>
      <c r="B3518" s="74" t="s">
        <v>2665</v>
      </c>
      <c r="C3518" s="74" t="s">
        <v>443</v>
      </c>
    </row>
    <row r="3519" spans="1:3">
      <c r="A3519" s="250">
        <v>10604</v>
      </c>
      <c r="B3519" s="74" t="s">
        <v>2666</v>
      </c>
      <c r="C3519" s="74" t="s">
        <v>443</v>
      </c>
    </row>
    <row r="3520" spans="1:3">
      <c r="A3520" s="250">
        <v>10605</v>
      </c>
      <c r="B3520" s="74" t="s">
        <v>2665</v>
      </c>
      <c r="C3520" s="74" t="s">
        <v>443</v>
      </c>
    </row>
    <row r="3521" spans="1:3">
      <c r="A3521" s="250">
        <v>10606</v>
      </c>
      <c r="B3521" s="74" t="s">
        <v>2665</v>
      </c>
      <c r="C3521" s="74" t="s">
        <v>443</v>
      </c>
    </row>
    <row r="3522" spans="1:3">
      <c r="A3522" s="250">
        <v>10607</v>
      </c>
      <c r="B3522" s="74" t="s">
        <v>2665</v>
      </c>
      <c r="C3522" s="74" t="s">
        <v>443</v>
      </c>
    </row>
    <row r="3523" spans="1:3">
      <c r="A3523" s="250">
        <v>10610</v>
      </c>
      <c r="B3523" s="74" t="s">
        <v>2665</v>
      </c>
      <c r="C3523" s="74" t="s">
        <v>443</v>
      </c>
    </row>
    <row r="3524" spans="1:3">
      <c r="A3524" s="250">
        <v>10701</v>
      </c>
      <c r="B3524" s="74" t="s">
        <v>2667</v>
      </c>
      <c r="C3524" s="74" t="s">
        <v>443</v>
      </c>
    </row>
    <row r="3525" spans="1:3">
      <c r="A3525" s="250">
        <v>10702</v>
      </c>
      <c r="B3525" s="74" t="s">
        <v>2667</v>
      </c>
      <c r="C3525" s="74" t="s">
        <v>443</v>
      </c>
    </row>
    <row r="3526" spans="1:3">
      <c r="A3526" s="250">
        <v>10703</v>
      </c>
      <c r="B3526" s="74" t="s">
        <v>2667</v>
      </c>
      <c r="C3526" s="74" t="s">
        <v>443</v>
      </c>
    </row>
    <row r="3527" spans="1:3">
      <c r="A3527" s="250">
        <v>10704</v>
      </c>
      <c r="B3527" s="74" t="s">
        <v>2667</v>
      </c>
      <c r="C3527" s="74" t="s">
        <v>443</v>
      </c>
    </row>
    <row r="3528" spans="1:3">
      <c r="A3528" s="250">
        <v>10705</v>
      </c>
      <c r="B3528" s="74" t="s">
        <v>2667</v>
      </c>
      <c r="C3528" s="74" t="s">
        <v>443</v>
      </c>
    </row>
    <row r="3529" spans="1:3">
      <c r="A3529" s="250">
        <v>10706</v>
      </c>
      <c r="B3529" s="74" t="s">
        <v>2668</v>
      </c>
      <c r="C3529" s="74" t="s">
        <v>443</v>
      </c>
    </row>
    <row r="3530" spans="1:3">
      <c r="A3530" s="250">
        <v>10707</v>
      </c>
      <c r="B3530" s="74" t="s">
        <v>2468</v>
      </c>
      <c r="C3530" s="74" t="s">
        <v>443</v>
      </c>
    </row>
    <row r="3531" spans="1:3">
      <c r="A3531" s="250">
        <v>10708</v>
      </c>
      <c r="B3531" s="74" t="s">
        <v>2669</v>
      </c>
      <c r="C3531" s="74" t="s">
        <v>443</v>
      </c>
    </row>
    <row r="3532" spans="1:3">
      <c r="A3532" s="250">
        <v>10709</v>
      </c>
      <c r="B3532" s="74" t="s">
        <v>2670</v>
      </c>
      <c r="C3532" s="74" t="s">
        <v>443</v>
      </c>
    </row>
    <row r="3533" spans="1:3">
      <c r="A3533" s="250">
        <v>10710</v>
      </c>
      <c r="B3533" s="74" t="s">
        <v>2667</v>
      </c>
      <c r="C3533" s="74" t="s">
        <v>443</v>
      </c>
    </row>
    <row r="3534" spans="1:3">
      <c r="A3534" s="250">
        <v>10801</v>
      </c>
      <c r="B3534" s="74" t="s">
        <v>2671</v>
      </c>
      <c r="C3534" s="74" t="s">
        <v>443</v>
      </c>
    </row>
    <row r="3535" spans="1:3">
      <c r="A3535" s="250">
        <v>10802</v>
      </c>
      <c r="B3535" s="74" t="s">
        <v>2671</v>
      </c>
      <c r="C3535" s="74" t="s">
        <v>443</v>
      </c>
    </row>
    <row r="3536" spans="1:3">
      <c r="A3536" s="250">
        <v>10803</v>
      </c>
      <c r="B3536" s="74" t="s">
        <v>1169</v>
      </c>
      <c r="C3536" s="74" t="s">
        <v>443</v>
      </c>
    </row>
    <row r="3537" spans="1:3">
      <c r="A3537" s="250">
        <v>10804</v>
      </c>
      <c r="B3537" s="74" t="s">
        <v>2671</v>
      </c>
      <c r="C3537" s="74" t="s">
        <v>443</v>
      </c>
    </row>
    <row r="3538" spans="1:3">
      <c r="A3538" s="250">
        <v>10805</v>
      </c>
      <c r="B3538" s="74" t="s">
        <v>2671</v>
      </c>
      <c r="C3538" s="74" t="s">
        <v>443</v>
      </c>
    </row>
    <row r="3539" spans="1:3">
      <c r="A3539" s="250">
        <v>10901</v>
      </c>
      <c r="B3539" s="74" t="s">
        <v>2672</v>
      </c>
      <c r="C3539" s="74" t="s">
        <v>443</v>
      </c>
    </row>
    <row r="3540" spans="1:3">
      <c r="A3540" s="250">
        <v>10910</v>
      </c>
      <c r="B3540" s="74" t="s">
        <v>2673</v>
      </c>
      <c r="C3540" s="74" t="s">
        <v>443</v>
      </c>
    </row>
    <row r="3541" spans="1:3">
      <c r="A3541" s="250">
        <v>10911</v>
      </c>
      <c r="B3541" s="74" t="s">
        <v>2674</v>
      </c>
      <c r="C3541" s="74" t="s">
        <v>443</v>
      </c>
    </row>
    <row r="3542" spans="1:3">
      <c r="A3542" s="250">
        <v>10912</v>
      </c>
      <c r="B3542" s="74" t="s">
        <v>2675</v>
      </c>
      <c r="C3542" s="74" t="s">
        <v>443</v>
      </c>
    </row>
    <row r="3543" spans="1:3">
      <c r="A3543" s="250">
        <v>10913</v>
      </c>
      <c r="B3543" s="74" t="s">
        <v>2676</v>
      </c>
      <c r="C3543" s="74" t="s">
        <v>443</v>
      </c>
    </row>
    <row r="3544" spans="1:3">
      <c r="A3544" s="250">
        <v>10914</v>
      </c>
      <c r="B3544" s="74" t="s">
        <v>2677</v>
      </c>
      <c r="C3544" s="74" t="s">
        <v>443</v>
      </c>
    </row>
    <row r="3545" spans="1:3">
      <c r="A3545" s="250">
        <v>10915</v>
      </c>
      <c r="B3545" s="74" t="s">
        <v>2678</v>
      </c>
      <c r="C3545" s="74" t="s">
        <v>443</v>
      </c>
    </row>
    <row r="3546" spans="1:3">
      <c r="A3546" s="250">
        <v>10916</v>
      </c>
      <c r="B3546" s="74" t="s">
        <v>2679</v>
      </c>
      <c r="C3546" s="74" t="s">
        <v>443</v>
      </c>
    </row>
    <row r="3547" spans="1:3">
      <c r="A3547" s="250">
        <v>10917</v>
      </c>
      <c r="B3547" s="74" t="s">
        <v>2680</v>
      </c>
      <c r="C3547" s="74" t="s">
        <v>443</v>
      </c>
    </row>
    <row r="3548" spans="1:3">
      <c r="A3548" s="250">
        <v>10918</v>
      </c>
      <c r="B3548" s="74" t="s">
        <v>583</v>
      </c>
      <c r="C3548" s="74" t="s">
        <v>443</v>
      </c>
    </row>
    <row r="3549" spans="1:3">
      <c r="A3549" s="250">
        <v>10919</v>
      </c>
      <c r="B3549" s="74" t="s">
        <v>2681</v>
      </c>
      <c r="C3549" s="74" t="s">
        <v>443</v>
      </c>
    </row>
    <row r="3550" spans="1:3">
      <c r="A3550" s="250">
        <v>10920</v>
      </c>
      <c r="B3550" s="74" t="s">
        <v>2682</v>
      </c>
      <c r="C3550" s="74" t="s">
        <v>443</v>
      </c>
    </row>
    <row r="3551" spans="1:3">
      <c r="A3551" s="250">
        <v>10921</v>
      </c>
      <c r="B3551" s="74" t="s">
        <v>492</v>
      </c>
      <c r="C3551" s="74" t="s">
        <v>443</v>
      </c>
    </row>
    <row r="3552" spans="1:3">
      <c r="A3552" s="250">
        <v>10922</v>
      </c>
      <c r="B3552" s="74" t="s">
        <v>2683</v>
      </c>
      <c r="C3552" s="74" t="s">
        <v>443</v>
      </c>
    </row>
    <row r="3553" spans="1:3">
      <c r="A3553" s="250">
        <v>10923</v>
      </c>
      <c r="B3553" s="74" t="s">
        <v>2684</v>
      </c>
      <c r="C3553" s="74" t="s">
        <v>443</v>
      </c>
    </row>
    <row r="3554" spans="1:3">
      <c r="A3554" s="250">
        <v>10924</v>
      </c>
      <c r="B3554" s="74" t="s">
        <v>592</v>
      </c>
      <c r="C3554" s="74" t="s">
        <v>443</v>
      </c>
    </row>
    <row r="3555" spans="1:3">
      <c r="A3555" s="250">
        <v>10925</v>
      </c>
      <c r="B3555" s="74" t="s">
        <v>2685</v>
      </c>
      <c r="C3555" s="74" t="s">
        <v>443</v>
      </c>
    </row>
    <row r="3556" spans="1:3">
      <c r="A3556" s="250">
        <v>10926</v>
      </c>
      <c r="B3556" s="74" t="s">
        <v>2686</v>
      </c>
      <c r="C3556" s="74" t="s">
        <v>443</v>
      </c>
    </row>
    <row r="3557" spans="1:3">
      <c r="A3557" s="250">
        <v>10927</v>
      </c>
      <c r="B3557" s="74" t="s">
        <v>2687</v>
      </c>
      <c r="C3557" s="74" t="s">
        <v>443</v>
      </c>
    </row>
    <row r="3558" spans="1:3">
      <c r="A3558" s="250">
        <v>10928</v>
      </c>
      <c r="B3558" s="74" t="s">
        <v>2688</v>
      </c>
      <c r="C3558" s="74" t="s">
        <v>443</v>
      </c>
    </row>
    <row r="3559" spans="1:3">
      <c r="A3559" s="250">
        <v>10930</v>
      </c>
      <c r="B3559" s="74" t="s">
        <v>2689</v>
      </c>
      <c r="C3559" s="74" t="s">
        <v>443</v>
      </c>
    </row>
    <row r="3560" spans="1:3">
      <c r="A3560" s="250">
        <v>10931</v>
      </c>
      <c r="B3560" s="74" t="s">
        <v>2690</v>
      </c>
      <c r="C3560" s="74" t="s">
        <v>443</v>
      </c>
    </row>
    <row r="3561" spans="1:3">
      <c r="A3561" s="250">
        <v>10932</v>
      </c>
      <c r="B3561" s="74" t="s">
        <v>2691</v>
      </c>
      <c r="C3561" s="74" t="s">
        <v>443</v>
      </c>
    </row>
    <row r="3562" spans="1:3">
      <c r="A3562" s="250">
        <v>10933</v>
      </c>
      <c r="B3562" s="74" t="s">
        <v>1847</v>
      </c>
      <c r="C3562" s="74" t="s">
        <v>443</v>
      </c>
    </row>
    <row r="3563" spans="1:3">
      <c r="A3563" s="250">
        <v>10940</v>
      </c>
      <c r="B3563" s="74" t="s">
        <v>1119</v>
      </c>
      <c r="C3563" s="74" t="s">
        <v>443</v>
      </c>
    </row>
    <row r="3564" spans="1:3">
      <c r="A3564" s="250">
        <v>10941</v>
      </c>
      <c r="B3564" s="74" t="s">
        <v>1119</v>
      </c>
      <c r="C3564" s="74" t="s">
        <v>443</v>
      </c>
    </row>
    <row r="3565" spans="1:3">
      <c r="A3565" s="250">
        <v>10943</v>
      </c>
      <c r="B3565" s="74" t="s">
        <v>1119</v>
      </c>
      <c r="C3565" s="74" t="s">
        <v>443</v>
      </c>
    </row>
    <row r="3566" spans="1:3">
      <c r="A3566" s="250">
        <v>10949</v>
      </c>
      <c r="B3566" s="74" t="s">
        <v>1284</v>
      </c>
      <c r="C3566" s="74" t="s">
        <v>443</v>
      </c>
    </row>
    <row r="3567" spans="1:3">
      <c r="A3567" s="250">
        <v>10950</v>
      </c>
      <c r="B3567" s="74" t="s">
        <v>1284</v>
      </c>
      <c r="C3567" s="74" t="s">
        <v>443</v>
      </c>
    </row>
    <row r="3568" spans="1:3">
      <c r="A3568" s="250">
        <v>10952</v>
      </c>
      <c r="B3568" s="74" t="s">
        <v>2692</v>
      </c>
      <c r="C3568" s="74" t="s">
        <v>443</v>
      </c>
    </row>
    <row r="3569" spans="1:3">
      <c r="A3569" s="250">
        <v>10953</v>
      </c>
      <c r="B3569" s="74" t="s">
        <v>2693</v>
      </c>
      <c r="C3569" s="74" t="s">
        <v>443</v>
      </c>
    </row>
    <row r="3570" spans="1:3">
      <c r="A3570" s="250">
        <v>10954</v>
      </c>
      <c r="B3570" s="74" t="s">
        <v>2694</v>
      </c>
      <c r="C3570" s="74" t="s">
        <v>443</v>
      </c>
    </row>
    <row r="3571" spans="1:3">
      <c r="A3571" s="250">
        <v>10956</v>
      </c>
      <c r="B3571" s="74" t="s">
        <v>2695</v>
      </c>
      <c r="C3571" s="74" t="s">
        <v>443</v>
      </c>
    </row>
    <row r="3572" spans="1:3">
      <c r="A3572" s="250">
        <v>10958</v>
      </c>
      <c r="B3572" s="74" t="s">
        <v>1200</v>
      </c>
      <c r="C3572" s="74" t="s">
        <v>443</v>
      </c>
    </row>
    <row r="3573" spans="1:3">
      <c r="A3573" s="250">
        <v>10959</v>
      </c>
      <c r="B3573" s="74" t="s">
        <v>2088</v>
      </c>
      <c r="C3573" s="74" t="s">
        <v>443</v>
      </c>
    </row>
    <row r="3574" spans="1:3">
      <c r="A3574" s="250">
        <v>10960</v>
      </c>
      <c r="B3574" s="74" t="s">
        <v>2696</v>
      </c>
      <c r="C3574" s="74" t="s">
        <v>443</v>
      </c>
    </row>
    <row r="3575" spans="1:3">
      <c r="A3575" s="250">
        <v>10962</v>
      </c>
      <c r="B3575" s="74" t="s">
        <v>2697</v>
      </c>
      <c r="C3575" s="74" t="s">
        <v>443</v>
      </c>
    </row>
    <row r="3576" spans="1:3">
      <c r="A3576" s="250">
        <v>10963</v>
      </c>
      <c r="B3576" s="74" t="s">
        <v>2698</v>
      </c>
      <c r="C3576" s="74" t="s">
        <v>443</v>
      </c>
    </row>
    <row r="3577" spans="1:3">
      <c r="A3577" s="250">
        <v>10964</v>
      </c>
      <c r="B3577" s="74" t="s">
        <v>2699</v>
      </c>
      <c r="C3577" s="74" t="s">
        <v>443</v>
      </c>
    </row>
    <row r="3578" spans="1:3">
      <c r="A3578" s="250">
        <v>10965</v>
      </c>
      <c r="B3578" s="74" t="s">
        <v>2700</v>
      </c>
      <c r="C3578" s="74" t="s">
        <v>443</v>
      </c>
    </row>
    <row r="3579" spans="1:3">
      <c r="A3579" s="250">
        <v>10968</v>
      </c>
      <c r="B3579" s="74" t="s">
        <v>1287</v>
      </c>
      <c r="C3579" s="74" t="s">
        <v>443</v>
      </c>
    </row>
    <row r="3580" spans="1:3">
      <c r="A3580" s="250">
        <v>10969</v>
      </c>
      <c r="B3580" s="74" t="s">
        <v>2701</v>
      </c>
      <c r="C3580" s="74" t="s">
        <v>443</v>
      </c>
    </row>
    <row r="3581" spans="1:3">
      <c r="A3581" s="250">
        <v>10970</v>
      </c>
      <c r="B3581" s="74" t="s">
        <v>2461</v>
      </c>
      <c r="C3581" s="74" t="s">
        <v>443</v>
      </c>
    </row>
    <row r="3582" spans="1:3">
      <c r="A3582" s="250">
        <v>10973</v>
      </c>
      <c r="B3582" s="74" t="s">
        <v>2702</v>
      </c>
      <c r="C3582" s="74" t="s">
        <v>443</v>
      </c>
    </row>
    <row r="3583" spans="1:3">
      <c r="A3583" s="250">
        <v>10974</v>
      </c>
      <c r="B3583" s="74" t="s">
        <v>2703</v>
      </c>
      <c r="C3583" s="74" t="s">
        <v>443</v>
      </c>
    </row>
    <row r="3584" spans="1:3">
      <c r="A3584" s="250">
        <v>10975</v>
      </c>
      <c r="B3584" s="74" t="s">
        <v>2704</v>
      </c>
      <c r="C3584" s="74" t="s">
        <v>443</v>
      </c>
    </row>
    <row r="3585" spans="1:3">
      <c r="A3585" s="250">
        <v>10976</v>
      </c>
      <c r="B3585" s="74" t="s">
        <v>2705</v>
      </c>
      <c r="C3585" s="74" t="s">
        <v>443</v>
      </c>
    </row>
    <row r="3586" spans="1:3">
      <c r="A3586" s="250">
        <v>10977</v>
      </c>
      <c r="B3586" s="74" t="s">
        <v>2706</v>
      </c>
      <c r="C3586" s="74" t="s">
        <v>443</v>
      </c>
    </row>
    <row r="3587" spans="1:3">
      <c r="A3587" s="250">
        <v>10979</v>
      </c>
      <c r="B3587" s="74" t="s">
        <v>2707</v>
      </c>
      <c r="C3587" s="74" t="s">
        <v>443</v>
      </c>
    </row>
    <row r="3588" spans="1:3">
      <c r="A3588" s="250">
        <v>10980</v>
      </c>
      <c r="B3588" s="74" t="s">
        <v>2708</v>
      </c>
      <c r="C3588" s="74" t="s">
        <v>443</v>
      </c>
    </row>
    <row r="3589" spans="1:3">
      <c r="A3589" s="250">
        <v>10981</v>
      </c>
      <c r="B3589" s="74" t="s">
        <v>2709</v>
      </c>
      <c r="C3589" s="74" t="s">
        <v>443</v>
      </c>
    </row>
    <row r="3590" spans="1:3">
      <c r="A3590" s="250">
        <v>10982</v>
      </c>
      <c r="B3590" s="74" t="s">
        <v>2710</v>
      </c>
      <c r="C3590" s="74" t="s">
        <v>443</v>
      </c>
    </row>
    <row r="3591" spans="1:3">
      <c r="A3591" s="250">
        <v>10983</v>
      </c>
      <c r="B3591" s="74" t="s">
        <v>2711</v>
      </c>
      <c r="C3591" s="74" t="s">
        <v>443</v>
      </c>
    </row>
    <row r="3592" spans="1:3">
      <c r="A3592" s="250">
        <v>10984</v>
      </c>
      <c r="B3592" s="74" t="s">
        <v>2712</v>
      </c>
      <c r="C3592" s="74" t="s">
        <v>443</v>
      </c>
    </row>
    <row r="3593" spans="1:3">
      <c r="A3593" s="250">
        <v>10985</v>
      </c>
      <c r="B3593" s="74" t="s">
        <v>2713</v>
      </c>
      <c r="C3593" s="74" t="s">
        <v>443</v>
      </c>
    </row>
    <row r="3594" spans="1:3">
      <c r="A3594" s="250">
        <v>10986</v>
      </c>
      <c r="B3594" s="74" t="s">
        <v>2714</v>
      </c>
      <c r="C3594" s="74" t="s">
        <v>443</v>
      </c>
    </row>
    <row r="3595" spans="1:3">
      <c r="A3595" s="250">
        <v>10987</v>
      </c>
      <c r="B3595" s="74" t="s">
        <v>2715</v>
      </c>
      <c r="C3595" s="74" t="s">
        <v>443</v>
      </c>
    </row>
    <row r="3596" spans="1:3">
      <c r="A3596" s="250">
        <v>10988</v>
      </c>
      <c r="B3596" s="74" t="s">
        <v>1968</v>
      </c>
      <c r="C3596" s="74" t="s">
        <v>443</v>
      </c>
    </row>
    <row r="3597" spans="1:3">
      <c r="A3597" s="250">
        <v>10989</v>
      </c>
      <c r="B3597" s="74" t="s">
        <v>2716</v>
      </c>
      <c r="C3597" s="74" t="s">
        <v>443</v>
      </c>
    </row>
    <row r="3598" spans="1:3">
      <c r="A3598" s="250">
        <v>10990</v>
      </c>
      <c r="B3598" s="74" t="s">
        <v>697</v>
      </c>
      <c r="C3598" s="74" t="s">
        <v>443</v>
      </c>
    </row>
    <row r="3599" spans="1:3">
      <c r="A3599" s="250">
        <v>10992</v>
      </c>
      <c r="B3599" s="74" t="s">
        <v>2717</v>
      </c>
      <c r="C3599" s="74" t="s">
        <v>443</v>
      </c>
    </row>
    <row r="3600" spans="1:3">
      <c r="A3600" s="250">
        <v>10993</v>
      </c>
      <c r="B3600" s="74" t="s">
        <v>2718</v>
      </c>
      <c r="C3600" s="74" t="s">
        <v>443</v>
      </c>
    </row>
    <row r="3601" spans="1:3">
      <c r="A3601" s="250">
        <v>10994</v>
      </c>
      <c r="B3601" s="74" t="s">
        <v>2719</v>
      </c>
      <c r="C3601" s="74" t="s">
        <v>443</v>
      </c>
    </row>
    <row r="3602" spans="1:3">
      <c r="A3602" s="250">
        <v>10996</v>
      </c>
      <c r="B3602" s="74" t="s">
        <v>2720</v>
      </c>
      <c r="C3602" s="74" t="s">
        <v>443</v>
      </c>
    </row>
    <row r="3603" spans="1:3">
      <c r="A3603" s="250">
        <v>10997</v>
      </c>
      <c r="B3603" s="74" t="s">
        <v>2720</v>
      </c>
      <c r="C3603" s="74" t="s">
        <v>443</v>
      </c>
    </row>
    <row r="3604" spans="1:3">
      <c r="A3604" s="250">
        <v>10998</v>
      </c>
      <c r="B3604" s="74" t="s">
        <v>2721</v>
      </c>
      <c r="C3604" s="74" t="s">
        <v>443</v>
      </c>
    </row>
    <row r="3605" spans="1:3">
      <c r="A3605" s="250">
        <v>11001</v>
      </c>
      <c r="B3605" s="74" t="s">
        <v>2722</v>
      </c>
      <c r="C3605" s="74" t="s">
        <v>443</v>
      </c>
    </row>
    <row r="3606" spans="1:3">
      <c r="A3606" s="250">
        <v>11002</v>
      </c>
      <c r="B3606" s="74" t="s">
        <v>2722</v>
      </c>
      <c r="C3606" s="74" t="s">
        <v>443</v>
      </c>
    </row>
    <row r="3607" spans="1:3">
      <c r="A3607" s="250">
        <v>11003</v>
      </c>
      <c r="B3607" s="74" t="s">
        <v>2723</v>
      </c>
      <c r="C3607" s="74" t="s">
        <v>443</v>
      </c>
    </row>
    <row r="3608" spans="1:3">
      <c r="A3608" s="250">
        <v>11004</v>
      </c>
      <c r="B3608" s="74" t="s">
        <v>2724</v>
      </c>
      <c r="C3608" s="74" t="s">
        <v>443</v>
      </c>
    </row>
    <row r="3609" spans="1:3">
      <c r="A3609" s="250">
        <v>11005</v>
      </c>
      <c r="B3609" s="74" t="s">
        <v>2722</v>
      </c>
      <c r="C3609" s="74" t="s">
        <v>443</v>
      </c>
    </row>
    <row r="3610" spans="1:3">
      <c r="A3610" s="250">
        <v>11010</v>
      </c>
      <c r="B3610" s="74" t="s">
        <v>2725</v>
      </c>
      <c r="C3610" s="74" t="s">
        <v>443</v>
      </c>
    </row>
    <row r="3611" spans="1:3">
      <c r="A3611" s="250">
        <v>11020</v>
      </c>
      <c r="B3611" s="74" t="s">
        <v>2726</v>
      </c>
      <c r="C3611" s="74" t="s">
        <v>443</v>
      </c>
    </row>
    <row r="3612" spans="1:3">
      <c r="A3612" s="250">
        <v>11021</v>
      </c>
      <c r="B3612" s="74" t="s">
        <v>2726</v>
      </c>
      <c r="C3612" s="74" t="s">
        <v>443</v>
      </c>
    </row>
    <row r="3613" spans="1:3">
      <c r="A3613" s="250">
        <v>11022</v>
      </c>
      <c r="B3613" s="74" t="s">
        <v>2726</v>
      </c>
      <c r="C3613" s="74" t="s">
        <v>443</v>
      </c>
    </row>
    <row r="3614" spans="1:3">
      <c r="A3614" s="250">
        <v>11023</v>
      </c>
      <c r="B3614" s="74" t="s">
        <v>2726</v>
      </c>
      <c r="C3614" s="74" t="s">
        <v>443</v>
      </c>
    </row>
    <row r="3615" spans="1:3">
      <c r="A3615" s="250">
        <v>11024</v>
      </c>
      <c r="B3615" s="74" t="s">
        <v>2726</v>
      </c>
      <c r="C3615" s="74" t="s">
        <v>443</v>
      </c>
    </row>
    <row r="3616" spans="1:3">
      <c r="A3616" s="250">
        <v>11025</v>
      </c>
      <c r="B3616" s="74" t="s">
        <v>2726</v>
      </c>
      <c r="C3616" s="74" t="s">
        <v>443</v>
      </c>
    </row>
    <row r="3617" spans="1:3">
      <c r="A3617" s="250">
        <v>11026</v>
      </c>
      <c r="B3617" s="74" t="s">
        <v>2726</v>
      </c>
      <c r="C3617" s="74" t="s">
        <v>443</v>
      </c>
    </row>
    <row r="3618" spans="1:3">
      <c r="A3618" s="250">
        <v>11027</v>
      </c>
      <c r="B3618" s="74" t="s">
        <v>2726</v>
      </c>
      <c r="C3618" s="74" t="s">
        <v>443</v>
      </c>
    </row>
    <row r="3619" spans="1:3">
      <c r="A3619" s="250">
        <v>11030</v>
      </c>
      <c r="B3619" s="74" t="s">
        <v>2727</v>
      </c>
      <c r="C3619" s="74" t="s">
        <v>443</v>
      </c>
    </row>
    <row r="3620" spans="1:3">
      <c r="A3620" s="250">
        <v>11040</v>
      </c>
      <c r="B3620" s="74" t="s">
        <v>2728</v>
      </c>
      <c r="C3620" s="74" t="s">
        <v>443</v>
      </c>
    </row>
    <row r="3621" spans="1:3">
      <c r="A3621" s="250">
        <v>11041</v>
      </c>
      <c r="B3621" s="74" t="s">
        <v>2728</v>
      </c>
      <c r="C3621" s="74" t="s">
        <v>443</v>
      </c>
    </row>
    <row r="3622" spans="1:3">
      <c r="A3622" s="250">
        <v>11042</v>
      </c>
      <c r="B3622" s="74" t="s">
        <v>2728</v>
      </c>
      <c r="C3622" s="74" t="s">
        <v>443</v>
      </c>
    </row>
    <row r="3623" spans="1:3">
      <c r="A3623" s="250">
        <v>11043</v>
      </c>
      <c r="B3623" s="74" t="s">
        <v>2728</v>
      </c>
      <c r="C3623" s="74" t="s">
        <v>443</v>
      </c>
    </row>
    <row r="3624" spans="1:3">
      <c r="A3624" s="250">
        <v>11044</v>
      </c>
      <c r="B3624" s="74" t="s">
        <v>2728</v>
      </c>
      <c r="C3624" s="74" t="s">
        <v>443</v>
      </c>
    </row>
    <row r="3625" spans="1:3">
      <c r="A3625" s="250">
        <v>11050</v>
      </c>
      <c r="B3625" s="74" t="s">
        <v>2729</v>
      </c>
      <c r="C3625" s="74" t="s">
        <v>443</v>
      </c>
    </row>
    <row r="3626" spans="1:3">
      <c r="A3626" s="250">
        <v>11051</v>
      </c>
      <c r="B3626" s="74" t="s">
        <v>2729</v>
      </c>
      <c r="C3626" s="74" t="s">
        <v>443</v>
      </c>
    </row>
    <row r="3627" spans="1:3">
      <c r="A3627" s="250">
        <v>11052</v>
      </c>
      <c r="B3627" s="74" t="s">
        <v>2729</v>
      </c>
      <c r="C3627" s="74" t="s">
        <v>443</v>
      </c>
    </row>
    <row r="3628" spans="1:3">
      <c r="A3628" s="250">
        <v>11053</v>
      </c>
      <c r="B3628" s="74" t="s">
        <v>2729</v>
      </c>
      <c r="C3628" s="74" t="s">
        <v>443</v>
      </c>
    </row>
    <row r="3629" spans="1:3">
      <c r="A3629" s="250">
        <v>11054</v>
      </c>
      <c r="B3629" s="74" t="s">
        <v>2729</v>
      </c>
      <c r="C3629" s="74" t="s">
        <v>443</v>
      </c>
    </row>
    <row r="3630" spans="1:3">
      <c r="A3630" s="250">
        <v>11055</v>
      </c>
      <c r="B3630" s="74" t="s">
        <v>2729</v>
      </c>
      <c r="C3630" s="74" t="s">
        <v>443</v>
      </c>
    </row>
    <row r="3631" spans="1:3">
      <c r="A3631" s="250">
        <v>11096</v>
      </c>
      <c r="B3631" s="74" t="s">
        <v>2730</v>
      </c>
      <c r="C3631" s="74" t="s">
        <v>443</v>
      </c>
    </row>
    <row r="3632" spans="1:3">
      <c r="A3632" s="250">
        <v>11099</v>
      </c>
      <c r="B3632" s="74" t="s">
        <v>2728</v>
      </c>
      <c r="C3632" s="74" t="s">
        <v>443</v>
      </c>
    </row>
    <row r="3633" spans="1:3">
      <c r="A3633" s="250">
        <v>11101</v>
      </c>
      <c r="B3633" s="74" t="s">
        <v>2731</v>
      </c>
      <c r="C3633" s="74" t="s">
        <v>443</v>
      </c>
    </row>
    <row r="3634" spans="1:3">
      <c r="A3634" s="250">
        <v>11102</v>
      </c>
      <c r="B3634" s="74" t="s">
        <v>2732</v>
      </c>
      <c r="C3634" s="74" t="s">
        <v>443</v>
      </c>
    </row>
    <row r="3635" spans="1:3">
      <c r="A3635" s="250">
        <v>11103</v>
      </c>
      <c r="B3635" s="74" t="s">
        <v>2732</v>
      </c>
      <c r="C3635" s="74" t="s">
        <v>443</v>
      </c>
    </row>
    <row r="3636" spans="1:3">
      <c r="A3636" s="250">
        <v>11104</v>
      </c>
      <c r="B3636" s="74" t="s">
        <v>2733</v>
      </c>
      <c r="C3636" s="74" t="s">
        <v>443</v>
      </c>
    </row>
    <row r="3637" spans="1:3">
      <c r="A3637" s="250">
        <v>11105</v>
      </c>
      <c r="B3637" s="74" t="s">
        <v>2732</v>
      </c>
      <c r="C3637" s="74" t="s">
        <v>443</v>
      </c>
    </row>
    <row r="3638" spans="1:3">
      <c r="A3638" s="250">
        <v>11106</v>
      </c>
      <c r="B3638" s="74" t="s">
        <v>2732</v>
      </c>
      <c r="C3638" s="74" t="s">
        <v>443</v>
      </c>
    </row>
    <row r="3639" spans="1:3">
      <c r="A3639" s="250">
        <v>11109</v>
      </c>
      <c r="B3639" s="74" t="s">
        <v>2731</v>
      </c>
      <c r="C3639" s="74" t="s">
        <v>443</v>
      </c>
    </row>
    <row r="3640" spans="1:3">
      <c r="A3640" s="250">
        <v>11120</v>
      </c>
      <c r="B3640" s="74" t="s">
        <v>2731</v>
      </c>
      <c r="C3640" s="74" t="s">
        <v>443</v>
      </c>
    </row>
    <row r="3641" spans="1:3">
      <c r="A3641" s="250">
        <v>11201</v>
      </c>
      <c r="B3641" s="74" t="s">
        <v>1983</v>
      </c>
      <c r="C3641" s="74" t="s">
        <v>443</v>
      </c>
    </row>
    <row r="3642" spans="1:3">
      <c r="A3642" s="250">
        <v>11202</v>
      </c>
      <c r="B3642" s="74" t="s">
        <v>1983</v>
      </c>
      <c r="C3642" s="74" t="s">
        <v>443</v>
      </c>
    </row>
    <row r="3643" spans="1:3">
      <c r="A3643" s="250">
        <v>11203</v>
      </c>
      <c r="B3643" s="74" t="s">
        <v>1983</v>
      </c>
      <c r="C3643" s="74" t="s">
        <v>443</v>
      </c>
    </row>
    <row r="3644" spans="1:3">
      <c r="A3644" s="250">
        <v>11204</v>
      </c>
      <c r="B3644" s="74" t="s">
        <v>1983</v>
      </c>
      <c r="C3644" s="74" t="s">
        <v>443</v>
      </c>
    </row>
    <row r="3645" spans="1:3">
      <c r="A3645" s="250">
        <v>11205</v>
      </c>
      <c r="B3645" s="74" t="s">
        <v>1983</v>
      </c>
      <c r="C3645" s="74" t="s">
        <v>443</v>
      </c>
    </row>
    <row r="3646" spans="1:3">
      <c r="A3646" s="250">
        <v>11206</v>
      </c>
      <c r="B3646" s="74" t="s">
        <v>1983</v>
      </c>
      <c r="C3646" s="74" t="s">
        <v>443</v>
      </c>
    </row>
    <row r="3647" spans="1:3">
      <c r="A3647" s="250">
        <v>11207</v>
      </c>
      <c r="B3647" s="74" t="s">
        <v>1983</v>
      </c>
      <c r="C3647" s="74" t="s">
        <v>443</v>
      </c>
    </row>
    <row r="3648" spans="1:3">
      <c r="A3648" s="250">
        <v>11208</v>
      </c>
      <c r="B3648" s="74" t="s">
        <v>1983</v>
      </c>
      <c r="C3648" s="74" t="s">
        <v>443</v>
      </c>
    </row>
    <row r="3649" spans="1:3">
      <c r="A3649" s="250">
        <v>11209</v>
      </c>
      <c r="B3649" s="74" t="s">
        <v>1983</v>
      </c>
      <c r="C3649" s="74" t="s">
        <v>443</v>
      </c>
    </row>
    <row r="3650" spans="1:3">
      <c r="A3650" s="250">
        <v>11210</v>
      </c>
      <c r="B3650" s="74" t="s">
        <v>1983</v>
      </c>
      <c r="C3650" s="74" t="s">
        <v>443</v>
      </c>
    </row>
    <row r="3651" spans="1:3">
      <c r="A3651" s="250">
        <v>11211</v>
      </c>
      <c r="B3651" s="74" t="s">
        <v>1983</v>
      </c>
      <c r="C3651" s="74" t="s">
        <v>443</v>
      </c>
    </row>
    <row r="3652" spans="1:3">
      <c r="A3652" s="250">
        <v>11212</v>
      </c>
      <c r="B3652" s="74" t="s">
        <v>1983</v>
      </c>
      <c r="C3652" s="74" t="s">
        <v>443</v>
      </c>
    </row>
    <row r="3653" spans="1:3">
      <c r="A3653" s="250">
        <v>11213</v>
      </c>
      <c r="B3653" s="74" t="s">
        <v>1983</v>
      </c>
      <c r="C3653" s="74" t="s">
        <v>443</v>
      </c>
    </row>
    <row r="3654" spans="1:3">
      <c r="A3654" s="250">
        <v>11214</v>
      </c>
      <c r="B3654" s="74" t="s">
        <v>1983</v>
      </c>
      <c r="C3654" s="74" t="s">
        <v>443</v>
      </c>
    </row>
    <row r="3655" spans="1:3">
      <c r="A3655" s="250">
        <v>11215</v>
      </c>
      <c r="B3655" s="74" t="s">
        <v>1983</v>
      </c>
      <c r="C3655" s="74" t="s">
        <v>443</v>
      </c>
    </row>
    <row r="3656" spans="1:3">
      <c r="A3656" s="250">
        <v>11216</v>
      </c>
      <c r="B3656" s="74" t="s">
        <v>1983</v>
      </c>
      <c r="C3656" s="74" t="s">
        <v>443</v>
      </c>
    </row>
    <row r="3657" spans="1:3">
      <c r="A3657" s="250">
        <v>11217</v>
      </c>
      <c r="B3657" s="74" t="s">
        <v>1983</v>
      </c>
      <c r="C3657" s="74" t="s">
        <v>443</v>
      </c>
    </row>
    <row r="3658" spans="1:3">
      <c r="A3658" s="250">
        <v>11218</v>
      </c>
      <c r="B3658" s="74" t="s">
        <v>1983</v>
      </c>
      <c r="C3658" s="74" t="s">
        <v>443</v>
      </c>
    </row>
    <row r="3659" spans="1:3">
      <c r="A3659" s="250">
        <v>11219</v>
      </c>
      <c r="B3659" s="74" t="s">
        <v>1983</v>
      </c>
      <c r="C3659" s="74" t="s">
        <v>443</v>
      </c>
    </row>
    <row r="3660" spans="1:3">
      <c r="A3660" s="250">
        <v>11220</v>
      </c>
      <c r="B3660" s="74" t="s">
        <v>1983</v>
      </c>
      <c r="C3660" s="74" t="s">
        <v>443</v>
      </c>
    </row>
    <row r="3661" spans="1:3">
      <c r="A3661" s="250">
        <v>11221</v>
      </c>
      <c r="B3661" s="74" t="s">
        <v>1983</v>
      </c>
      <c r="C3661" s="74" t="s">
        <v>443</v>
      </c>
    </row>
    <row r="3662" spans="1:3">
      <c r="A3662" s="250">
        <v>11222</v>
      </c>
      <c r="B3662" s="74" t="s">
        <v>1983</v>
      </c>
      <c r="C3662" s="74" t="s">
        <v>443</v>
      </c>
    </row>
    <row r="3663" spans="1:3">
      <c r="A3663" s="250">
        <v>11223</v>
      </c>
      <c r="B3663" s="74" t="s">
        <v>1983</v>
      </c>
      <c r="C3663" s="74" t="s">
        <v>443</v>
      </c>
    </row>
    <row r="3664" spans="1:3">
      <c r="A3664" s="250">
        <v>11224</v>
      </c>
      <c r="B3664" s="74" t="s">
        <v>1983</v>
      </c>
      <c r="C3664" s="74" t="s">
        <v>443</v>
      </c>
    </row>
    <row r="3665" spans="1:3">
      <c r="A3665" s="250">
        <v>11225</v>
      </c>
      <c r="B3665" s="74" t="s">
        <v>1983</v>
      </c>
      <c r="C3665" s="74" t="s">
        <v>443</v>
      </c>
    </row>
    <row r="3666" spans="1:3">
      <c r="A3666" s="250">
        <v>11226</v>
      </c>
      <c r="B3666" s="74" t="s">
        <v>1983</v>
      </c>
      <c r="C3666" s="74" t="s">
        <v>443</v>
      </c>
    </row>
    <row r="3667" spans="1:3">
      <c r="A3667" s="250">
        <v>11228</v>
      </c>
      <c r="B3667" s="74" t="s">
        <v>1983</v>
      </c>
      <c r="C3667" s="74" t="s">
        <v>443</v>
      </c>
    </row>
    <row r="3668" spans="1:3">
      <c r="A3668" s="250">
        <v>11229</v>
      </c>
      <c r="B3668" s="74" t="s">
        <v>1983</v>
      </c>
      <c r="C3668" s="74" t="s">
        <v>443</v>
      </c>
    </row>
    <row r="3669" spans="1:3">
      <c r="A3669" s="250">
        <v>11230</v>
      </c>
      <c r="B3669" s="74" t="s">
        <v>1983</v>
      </c>
      <c r="C3669" s="74" t="s">
        <v>443</v>
      </c>
    </row>
    <row r="3670" spans="1:3">
      <c r="A3670" s="250">
        <v>11231</v>
      </c>
      <c r="B3670" s="74" t="s">
        <v>1983</v>
      </c>
      <c r="C3670" s="74" t="s">
        <v>443</v>
      </c>
    </row>
    <row r="3671" spans="1:3">
      <c r="A3671" s="250">
        <v>11232</v>
      </c>
      <c r="B3671" s="74" t="s">
        <v>1983</v>
      </c>
      <c r="C3671" s="74" t="s">
        <v>443</v>
      </c>
    </row>
    <row r="3672" spans="1:3">
      <c r="A3672" s="250">
        <v>11233</v>
      </c>
      <c r="B3672" s="74" t="s">
        <v>1983</v>
      </c>
      <c r="C3672" s="74" t="s">
        <v>443</v>
      </c>
    </row>
    <row r="3673" spans="1:3">
      <c r="A3673" s="250">
        <v>11234</v>
      </c>
      <c r="B3673" s="74" t="s">
        <v>1983</v>
      </c>
      <c r="C3673" s="74" t="s">
        <v>443</v>
      </c>
    </row>
    <row r="3674" spans="1:3">
      <c r="A3674" s="250">
        <v>11235</v>
      </c>
      <c r="B3674" s="74" t="s">
        <v>1983</v>
      </c>
      <c r="C3674" s="74" t="s">
        <v>443</v>
      </c>
    </row>
    <row r="3675" spans="1:3">
      <c r="A3675" s="250">
        <v>11236</v>
      </c>
      <c r="B3675" s="74" t="s">
        <v>1983</v>
      </c>
      <c r="C3675" s="74" t="s">
        <v>443</v>
      </c>
    </row>
    <row r="3676" spans="1:3">
      <c r="A3676" s="250">
        <v>11237</v>
      </c>
      <c r="B3676" s="74" t="s">
        <v>1983</v>
      </c>
      <c r="C3676" s="74" t="s">
        <v>443</v>
      </c>
    </row>
    <row r="3677" spans="1:3">
      <c r="A3677" s="250">
        <v>11238</v>
      </c>
      <c r="B3677" s="74" t="s">
        <v>1983</v>
      </c>
      <c r="C3677" s="74" t="s">
        <v>443</v>
      </c>
    </row>
    <row r="3678" spans="1:3">
      <c r="A3678" s="250">
        <v>11239</v>
      </c>
      <c r="B3678" s="74" t="s">
        <v>1983</v>
      </c>
      <c r="C3678" s="74" t="s">
        <v>443</v>
      </c>
    </row>
    <row r="3679" spans="1:3">
      <c r="A3679" s="250">
        <v>11240</v>
      </c>
      <c r="B3679" s="74" t="s">
        <v>1983</v>
      </c>
      <c r="C3679" s="74" t="s">
        <v>443</v>
      </c>
    </row>
    <row r="3680" spans="1:3">
      <c r="A3680" s="250">
        <v>11241</v>
      </c>
      <c r="B3680" s="74" t="s">
        <v>1983</v>
      </c>
      <c r="C3680" s="74" t="s">
        <v>443</v>
      </c>
    </row>
    <row r="3681" spans="1:3">
      <c r="A3681" s="250">
        <v>11242</v>
      </c>
      <c r="B3681" s="74" t="s">
        <v>1983</v>
      </c>
      <c r="C3681" s="74" t="s">
        <v>443</v>
      </c>
    </row>
    <row r="3682" spans="1:3">
      <c r="A3682" s="250">
        <v>11243</v>
      </c>
      <c r="B3682" s="74" t="s">
        <v>1983</v>
      </c>
      <c r="C3682" s="74" t="s">
        <v>443</v>
      </c>
    </row>
    <row r="3683" spans="1:3">
      <c r="A3683" s="250">
        <v>11244</v>
      </c>
      <c r="B3683" s="74" t="s">
        <v>1983</v>
      </c>
      <c r="C3683" s="74" t="s">
        <v>443</v>
      </c>
    </row>
    <row r="3684" spans="1:3">
      <c r="A3684" s="250">
        <v>11245</v>
      </c>
      <c r="B3684" s="74" t="s">
        <v>1983</v>
      </c>
      <c r="C3684" s="74" t="s">
        <v>443</v>
      </c>
    </row>
    <row r="3685" spans="1:3">
      <c r="A3685" s="250">
        <v>11247</v>
      </c>
      <c r="B3685" s="74" t="s">
        <v>1983</v>
      </c>
      <c r="C3685" s="74" t="s">
        <v>443</v>
      </c>
    </row>
    <row r="3686" spans="1:3">
      <c r="A3686" s="250">
        <v>11248</v>
      </c>
      <c r="B3686" s="74" t="s">
        <v>1983</v>
      </c>
      <c r="C3686" s="74" t="s">
        <v>443</v>
      </c>
    </row>
    <row r="3687" spans="1:3">
      <c r="A3687" s="250">
        <v>11249</v>
      </c>
      <c r="B3687" s="74" t="s">
        <v>1983</v>
      </c>
      <c r="C3687" s="74" t="s">
        <v>443</v>
      </c>
    </row>
    <row r="3688" spans="1:3">
      <c r="A3688" s="250">
        <v>11251</v>
      </c>
      <c r="B3688" s="74" t="s">
        <v>1983</v>
      </c>
      <c r="C3688" s="74" t="s">
        <v>443</v>
      </c>
    </row>
    <row r="3689" spans="1:3">
      <c r="A3689" s="250">
        <v>11252</v>
      </c>
      <c r="B3689" s="74" t="s">
        <v>1983</v>
      </c>
      <c r="C3689" s="74" t="s">
        <v>443</v>
      </c>
    </row>
    <row r="3690" spans="1:3">
      <c r="A3690" s="250">
        <v>11254</v>
      </c>
      <c r="B3690" s="74" t="s">
        <v>1983</v>
      </c>
      <c r="C3690" s="74" t="s">
        <v>443</v>
      </c>
    </row>
    <row r="3691" spans="1:3">
      <c r="A3691" s="250">
        <v>11255</v>
      </c>
      <c r="B3691" s="74" t="s">
        <v>1983</v>
      </c>
      <c r="C3691" s="74" t="s">
        <v>443</v>
      </c>
    </row>
    <row r="3692" spans="1:3">
      <c r="A3692" s="250">
        <v>11256</v>
      </c>
      <c r="B3692" s="74" t="s">
        <v>1983</v>
      </c>
      <c r="C3692" s="74" t="s">
        <v>443</v>
      </c>
    </row>
    <row r="3693" spans="1:3">
      <c r="A3693" s="250">
        <v>11351</v>
      </c>
      <c r="B3693" s="74" t="s">
        <v>2734</v>
      </c>
      <c r="C3693" s="74" t="s">
        <v>443</v>
      </c>
    </row>
    <row r="3694" spans="1:3">
      <c r="A3694" s="250">
        <v>11352</v>
      </c>
      <c r="B3694" s="74" t="s">
        <v>2734</v>
      </c>
      <c r="C3694" s="74" t="s">
        <v>443</v>
      </c>
    </row>
    <row r="3695" spans="1:3">
      <c r="A3695" s="250">
        <v>11354</v>
      </c>
      <c r="B3695" s="74" t="s">
        <v>2734</v>
      </c>
      <c r="C3695" s="74" t="s">
        <v>443</v>
      </c>
    </row>
    <row r="3696" spans="1:3">
      <c r="A3696" s="250">
        <v>11355</v>
      </c>
      <c r="B3696" s="74" t="s">
        <v>2734</v>
      </c>
      <c r="C3696" s="74" t="s">
        <v>443</v>
      </c>
    </row>
    <row r="3697" spans="1:3">
      <c r="A3697" s="250">
        <v>11356</v>
      </c>
      <c r="B3697" s="74" t="s">
        <v>2735</v>
      </c>
      <c r="C3697" s="74" t="s">
        <v>443</v>
      </c>
    </row>
    <row r="3698" spans="1:3">
      <c r="A3698" s="250">
        <v>11357</v>
      </c>
      <c r="B3698" s="74" t="s">
        <v>2736</v>
      </c>
      <c r="C3698" s="74" t="s">
        <v>443</v>
      </c>
    </row>
    <row r="3699" spans="1:3">
      <c r="A3699" s="250">
        <v>11358</v>
      </c>
      <c r="B3699" s="74" t="s">
        <v>2734</v>
      </c>
      <c r="C3699" s="74" t="s">
        <v>443</v>
      </c>
    </row>
    <row r="3700" spans="1:3">
      <c r="A3700" s="250">
        <v>11359</v>
      </c>
      <c r="B3700" s="74" t="s">
        <v>2737</v>
      </c>
      <c r="C3700" s="74" t="s">
        <v>443</v>
      </c>
    </row>
    <row r="3701" spans="1:3">
      <c r="A3701" s="250">
        <v>11360</v>
      </c>
      <c r="B3701" s="74" t="s">
        <v>2737</v>
      </c>
      <c r="C3701" s="74" t="s">
        <v>443</v>
      </c>
    </row>
    <row r="3702" spans="1:3">
      <c r="A3702" s="250">
        <v>11361</v>
      </c>
      <c r="B3702" s="74" t="s">
        <v>2737</v>
      </c>
      <c r="C3702" s="74" t="s">
        <v>443</v>
      </c>
    </row>
    <row r="3703" spans="1:3">
      <c r="A3703" s="250">
        <v>11362</v>
      </c>
      <c r="B3703" s="74" t="s">
        <v>2738</v>
      </c>
      <c r="C3703" s="74" t="s">
        <v>443</v>
      </c>
    </row>
    <row r="3704" spans="1:3">
      <c r="A3704" s="250">
        <v>11363</v>
      </c>
      <c r="B3704" s="74" t="s">
        <v>2738</v>
      </c>
      <c r="C3704" s="74" t="s">
        <v>443</v>
      </c>
    </row>
    <row r="3705" spans="1:3">
      <c r="A3705" s="250">
        <v>11364</v>
      </c>
      <c r="B3705" s="74" t="s">
        <v>2739</v>
      </c>
      <c r="C3705" s="74" t="s">
        <v>443</v>
      </c>
    </row>
    <row r="3706" spans="1:3">
      <c r="A3706" s="250">
        <v>11365</v>
      </c>
      <c r="B3706" s="74" t="s">
        <v>2740</v>
      </c>
      <c r="C3706" s="74" t="s">
        <v>443</v>
      </c>
    </row>
    <row r="3707" spans="1:3">
      <c r="A3707" s="250">
        <v>11366</v>
      </c>
      <c r="B3707" s="74" t="s">
        <v>2740</v>
      </c>
      <c r="C3707" s="74" t="s">
        <v>443</v>
      </c>
    </row>
    <row r="3708" spans="1:3">
      <c r="A3708" s="250">
        <v>11367</v>
      </c>
      <c r="B3708" s="74" t="s">
        <v>2734</v>
      </c>
      <c r="C3708" s="74" t="s">
        <v>443</v>
      </c>
    </row>
    <row r="3709" spans="1:3">
      <c r="A3709" s="250">
        <v>11368</v>
      </c>
      <c r="B3709" s="74" t="s">
        <v>2741</v>
      </c>
      <c r="C3709" s="74" t="s">
        <v>443</v>
      </c>
    </row>
    <row r="3710" spans="1:3">
      <c r="A3710" s="250">
        <v>11369</v>
      </c>
      <c r="B3710" s="74" t="s">
        <v>2742</v>
      </c>
      <c r="C3710" s="74" t="s">
        <v>443</v>
      </c>
    </row>
    <row r="3711" spans="1:3">
      <c r="A3711" s="250">
        <v>11370</v>
      </c>
      <c r="B3711" s="74" t="s">
        <v>2742</v>
      </c>
      <c r="C3711" s="74" t="s">
        <v>443</v>
      </c>
    </row>
    <row r="3712" spans="1:3">
      <c r="A3712" s="250">
        <v>11371</v>
      </c>
      <c r="B3712" s="74" t="s">
        <v>2734</v>
      </c>
      <c r="C3712" s="74" t="s">
        <v>443</v>
      </c>
    </row>
    <row r="3713" spans="1:3">
      <c r="A3713" s="250">
        <v>11372</v>
      </c>
      <c r="B3713" s="74" t="s">
        <v>2743</v>
      </c>
      <c r="C3713" s="74" t="s">
        <v>443</v>
      </c>
    </row>
    <row r="3714" spans="1:3">
      <c r="A3714" s="250">
        <v>11373</v>
      </c>
      <c r="B3714" s="74" t="s">
        <v>2744</v>
      </c>
      <c r="C3714" s="74" t="s">
        <v>443</v>
      </c>
    </row>
    <row r="3715" spans="1:3">
      <c r="A3715" s="250">
        <v>11374</v>
      </c>
      <c r="B3715" s="74" t="s">
        <v>2745</v>
      </c>
      <c r="C3715" s="74" t="s">
        <v>443</v>
      </c>
    </row>
    <row r="3716" spans="1:3">
      <c r="A3716" s="250">
        <v>11375</v>
      </c>
      <c r="B3716" s="74" t="s">
        <v>2746</v>
      </c>
      <c r="C3716" s="74" t="s">
        <v>443</v>
      </c>
    </row>
    <row r="3717" spans="1:3">
      <c r="A3717" s="250">
        <v>11377</v>
      </c>
      <c r="B3717" s="74" t="s">
        <v>2747</v>
      </c>
      <c r="C3717" s="74" t="s">
        <v>443</v>
      </c>
    </row>
    <row r="3718" spans="1:3">
      <c r="A3718" s="250">
        <v>11378</v>
      </c>
      <c r="B3718" s="74" t="s">
        <v>2748</v>
      </c>
      <c r="C3718" s="74" t="s">
        <v>443</v>
      </c>
    </row>
    <row r="3719" spans="1:3">
      <c r="A3719" s="250">
        <v>11379</v>
      </c>
      <c r="B3719" s="74" t="s">
        <v>2749</v>
      </c>
      <c r="C3719" s="74" t="s">
        <v>443</v>
      </c>
    </row>
    <row r="3720" spans="1:3">
      <c r="A3720" s="250">
        <v>11380</v>
      </c>
      <c r="B3720" s="74" t="s">
        <v>2744</v>
      </c>
      <c r="C3720" s="74" t="s">
        <v>443</v>
      </c>
    </row>
    <row r="3721" spans="1:3">
      <c r="A3721" s="250">
        <v>11381</v>
      </c>
      <c r="B3721" s="74" t="s">
        <v>2734</v>
      </c>
      <c r="C3721" s="74" t="s">
        <v>443</v>
      </c>
    </row>
    <row r="3722" spans="1:3">
      <c r="A3722" s="250">
        <v>11385</v>
      </c>
      <c r="B3722" s="74" t="s">
        <v>2204</v>
      </c>
      <c r="C3722" s="74" t="s">
        <v>443</v>
      </c>
    </row>
    <row r="3723" spans="1:3">
      <c r="A3723" s="250">
        <v>11386</v>
      </c>
      <c r="B3723" s="74" t="s">
        <v>2204</v>
      </c>
      <c r="C3723" s="74" t="s">
        <v>443</v>
      </c>
    </row>
    <row r="3724" spans="1:3">
      <c r="A3724" s="250">
        <v>11390</v>
      </c>
      <c r="B3724" s="74" t="s">
        <v>2734</v>
      </c>
      <c r="C3724" s="74" t="s">
        <v>443</v>
      </c>
    </row>
    <row r="3725" spans="1:3">
      <c r="A3725" s="250">
        <v>11405</v>
      </c>
      <c r="B3725" s="74" t="s">
        <v>1783</v>
      </c>
      <c r="C3725" s="74" t="s">
        <v>443</v>
      </c>
    </row>
    <row r="3726" spans="1:3">
      <c r="A3726" s="250">
        <v>11411</v>
      </c>
      <c r="B3726" s="74" t="s">
        <v>2750</v>
      </c>
      <c r="C3726" s="74" t="s">
        <v>443</v>
      </c>
    </row>
    <row r="3727" spans="1:3">
      <c r="A3727" s="250">
        <v>11412</v>
      </c>
      <c r="B3727" s="74" t="s">
        <v>1713</v>
      </c>
      <c r="C3727" s="74" t="s">
        <v>443</v>
      </c>
    </row>
    <row r="3728" spans="1:3">
      <c r="A3728" s="250">
        <v>11413</v>
      </c>
      <c r="B3728" s="74" t="s">
        <v>2751</v>
      </c>
      <c r="C3728" s="74" t="s">
        <v>443</v>
      </c>
    </row>
    <row r="3729" spans="1:3">
      <c r="A3729" s="250">
        <v>11414</v>
      </c>
      <c r="B3729" s="74" t="s">
        <v>2752</v>
      </c>
      <c r="C3729" s="74" t="s">
        <v>443</v>
      </c>
    </row>
    <row r="3730" spans="1:3">
      <c r="A3730" s="250">
        <v>11415</v>
      </c>
      <c r="B3730" s="74" t="s">
        <v>2753</v>
      </c>
      <c r="C3730" s="74" t="s">
        <v>443</v>
      </c>
    </row>
    <row r="3731" spans="1:3">
      <c r="A3731" s="250">
        <v>11416</v>
      </c>
      <c r="B3731" s="74" t="s">
        <v>2754</v>
      </c>
      <c r="C3731" s="74" t="s">
        <v>443</v>
      </c>
    </row>
    <row r="3732" spans="1:3">
      <c r="A3732" s="250">
        <v>11417</v>
      </c>
      <c r="B3732" s="74" t="s">
        <v>2754</v>
      </c>
      <c r="C3732" s="74" t="s">
        <v>443</v>
      </c>
    </row>
    <row r="3733" spans="1:3">
      <c r="A3733" s="250">
        <v>11418</v>
      </c>
      <c r="B3733" s="74" t="s">
        <v>2755</v>
      </c>
      <c r="C3733" s="74" t="s">
        <v>443</v>
      </c>
    </row>
    <row r="3734" spans="1:3">
      <c r="A3734" s="250">
        <v>11419</v>
      </c>
      <c r="B3734" s="74" t="s">
        <v>2756</v>
      </c>
      <c r="C3734" s="74" t="s">
        <v>443</v>
      </c>
    </row>
    <row r="3735" spans="1:3">
      <c r="A3735" s="250">
        <v>11420</v>
      </c>
      <c r="B3735" s="74" t="s">
        <v>2757</v>
      </c>
      <c r="C3735" s="74" t="s">
        <v>443</v>
      </c>
    </row>
    <row r="3736" spans="1:3">
      <c r="A3736" s="250">
        <v>11421</v>
      </c>
      <c r="B3736" s="74" t="s">
        <v>2758</v>
      </c>
      <c r="C3736" s="74" t="s">
        <v>443</v>
      </c>
    </row>
    <row r="3737" spans="1:3">
      <c r="A3737" s="250">
        <v>11422</v>
      </c>
      <c r="B3737" s="74" t="s">
        <v>2759</v>
      </c>
      <c r="C3737" s="74" t="s">
        <v>443</v>
      </c>
    </row>
    <row r="3738" spans="1:3">
      <c r="A3738" s="250">
        <v>11423</v>
      </c>
      <c r="B3738" s="74" t="s">
        <v>1160</v>
      </c>
      <c r="C3738" s="74" t="s">
        <v>443</v>
      </c>
    </row>
    <row r="3739" spans="1:3">
      <c r="A3739" s="250">
        <v>11424</v>
      </c>
      <c r="B3739" s="74" t="s">
        <v>1783</v>
      </c>
      <c r="C3739" s="74" t="s">
        <v>443</v>
      </c>
    </row>
    <row r="3740" spans="1:3">
      <c r="A3740" s="250">
        <v>11425</v>
      </c>
      <c r="B3740" s="74" t="s">
        <v>1783</v>
      </c>
      <c r="C3740" s="74" t="s">
        <v>443</v>
      </c>
    </row>
    <row r="3741" spans="1:3">
      <c r="A3741" s="250">
        <v>11426</v>
      </c>
      <c r="B3741" s="74" t="s">
        <v>2760</v>
      </c>
      <c r="C3741" s="74" t="s">
        <v>443</v>
      </c>
    </row>
    <row r="3742" spans="1:3">
      <c r="A3742" s="250">
        <v>11427</v>
      </c>
      <c r="B3742" s="74" t="s">
        <v>2761</v>
      </c>
      <c r="C3742" s="74" t="s">
        <v>443</v>
      </c>
    </row>
    <row r="3743" spans="1:3">
      <c r="A3743" s="250">
        <v>11428</v>
      </c>
      <c r="B3743" s="74" t="s">
        <v>2761</v>
      </c>
      <c r="C3743" s="74" t="s">
        <v>443</v>
      </c>
    </row>
    <row r="3744" spans="1:3">
      <c r="A3744" s="250">
        <v>11429</v>
      </c>
      <c r="B3744" s="74" t="s">
        <v>2761</v>
      </c>
      <c r="C3744" s="74" t="s">
        <v>443</v>
      </c>
    </row>
    <row r="3745" spans="1:3">
      <c r="A3745" s="250">
        <v>11430</v>
      </c>
      <c r="B3745" s="74" t="s">
        <v>1783</v>
      </c>
      <c r="C3745" s="74" t="s">
        <v>443</v>
      </c>
    </row>
    <row r="3746" spans="1:3">
      <c r="A3746" s="250">
        <v>11431</v>
      </c>
      <c r="B3746" s="74" t="s">
        <v>1783</v>
      </c>
      <c r="C3746" s="74" t="s">
        <v>443</v>
      </c>
    </row>
    <row r="3747" spans="1:3">
      <c r="A3747" s="250">
        <v>11432</v>
      </c>
      <c r="B3747" s="74" t="s">
        <v>1783</v>
      </c>
      <c r="C3747" s="74" t="s">
        <v>443</v>
      </c>
    </row>
    <row r="3748" spans="1:3">
      <c r="A3748" s="250">
        <v>11433</v>
      </c>
      <c r="B3748" s="74" t="s">
        <v>1783</v>
      </c>
      <c r="C3748" s="74" t="s">
        <v>443</v>
      </c>
    </row>
    <row r="3749" spans="1:3">
      <c r="A3749" s="250">
        <v>11434</v>
      </c>
      <c r="B3749" s="74" t="s">
        <v>1783</v>
      </c>
      <c r="C3749" s="74" t="s">
        <v>443</v>
      </c>
    </row>
    <row r="3750" spans="1:3">
      <c r="A3750" s="250">
        <v>11435</v>
      </c>
      <c r="B3750" s="74" t="s">
        <v>1783</v>
      </c>
      <c r="C3750" s="74" t="s">
        <v>443</v>
      </c>
    </row>
    <row r="3751" spans="1:3">
      <c r="A3751" s="250">
        <v>11436</v>
      </c>
      <c r="B3751" s="74" t="s">
        <v>1783</v>
      </c>
      <c r="C3751" s="74" t="s">
        <v>443</v>
      </c>
    </row>
    <row r="3752" spans="1:3">
      <c r="A3752" s="250">
        <v>11439</v>
      </c>
      <c r="B3752" s="74" t="s">
        <v>1783</v>
      </c>
      <c r="C3752" s="74" t="s">
        <v>443</v>
      </c>
    </row>
    <row r="3753" spans="1:3">
      <c r="A3753" s="250">
        <v>11451</v>
      </c>
      <c r="B3753" s="74" t="s">
        <v>1783</v>
      </c>
      <c r="C3753" s="74" t="s">
        <v>443</v>
      </c>
    </row>
    <row r="3754" spans="1:3">
      <c r="A3754" s="250">
        <v>11499</v>
      </c>
      <c r="B3754" s="74" t="s">
        <v>1783</v>
      </c>
      <c r="C3754" s="74" t="s">
        <v>443</v>
      </c>
    </row>
    <row r="3755" spans="1:3">
      <c r="A3755" s="250">
        <v>11501</v>
      </c>
      <c r="B3755" s="74" t="s">
        <v>2762</v>
      </c>
      <c r="C3755" s="74" t="s">
        <v>443</v>
      </c>
    </row>
    <row r="3756" spans="1:3">
      <c r="A3756" s="250">
        <v>11507</v>
      </c>
      <c r="B3756" s="74" t="s">
        <v>2763</v>
      </c>
      <c r="C3756" s="74" t="s">
        <v>443</v>
      </c>
    </row>
    <row r="3757" spans="1:3">
      <c r="A3757" s="250">
        <v>11509</v>
      </c>
      <c r="B3757" s="74" t="s">
        <v>2764</v>
      </c>
      <c r="C3757" s="74" t="s">
        <v>443</v>
      </c>
    </row>
    <row r="3758" spans="1:3">
      <c r="A3758" s="250">
        <v>11510</v>
      </c>
      <c r="B3758" s="74" t="s">
        <v>2765</v>
      </c>
      <c r="C3758" s="74" t="s">
        <v>443</v>
      </c>
    </row>
    <row r="3759" spans="1:3">
      <c r="A3759" s="250">
        <v>11514</v>
      </c>
      <c r="B3759" s="74" t="s">
        <v>2766</v>
      </c>
      <c r="C3759" s="74" t="s">
        <v>443</v>
      </c>
    </row>
    <row r="3760" spans="1:3">
      <c r="A3760" s="250">
        <v>11516</v>
      </c>
      <c r="B3760" s="74" t="s">
        <v>2767</v>
      </c>
      <c r="C3760" s="74" t="s">
        <v>443</v>
      </c>
    </row>
    <row r="3761" spans="1:3">
      <c r="A3761" s="250">
        <v>11518</v>
      </c>
      <c r="B3761" s="74" t="s">
        <v>2768</v>
      </c>
      <c r="C3761" s="74" t="s">
        <v>443</v>
      </c>
    </row>
    <row r="3762" spans="1:3">
      <c r="A3762" s="250">
        <v>11520</v>
      </c>
      <c r="B3762" s="74" t="s">
        <v>1383</v>
      </c>
      <c r="C3762" s="74" t="s">
        <v>443</v>
      </c>
    </row>
    <row r="3763" spans="1:3">
      <c r="A3763" s="250">
        <v>11530</v>
      </c>
      <c r="B3763" s="74" t="s">
        <v>2769</v>
      </c>
      <c r="C3763" s="74" t="s">
        <v>443</v>
      </c>
    </row>
    <row r="3764" spans="1:3">
      <c r="A3764" s="250">
        <v>11531</v>
      </c>
      <c r="B3764" s="74" t="s">
        <v>2769</v>
      </c>
      <c r="C3764" s="74" t="s">
        <v>443</v>
      </c>
    </row>
    <row r="3765" spans="1:3">
      <c r="A3765" s="250">
        <v>11535</v>
      </c>
      <c r="B3765" s="74" t="s">
        <v>2769</v>
      </c>
      <c r="C3765" s="74" t="s">
        <v>443</v>
      </c>
    </row>
    <row r="3766" spans="1:3">
      <c r="A3766" s="250">
        <v>11536</v>
      </c>
      <c r="B3766" s="74" t="s">
        <v>2769</v>
      </c>
      <c r="C3766" s="74" t="s">
        <v>443</v>
      </c>
    </row>
    <row r="3767" spans="1:3">
      <c r="A3767" s="250">
        <v>11542</v>
      </c>
      <c r="B3767" s="74" t="s">
        <v>1661</v>
      </c>
      <c r="C3767" s="74" t="s">
        <v>443</v>
      </c>
    </row>
    <row r="3768" spans="1:3">
      <c r="A3768" s="250">
        <v>11545</v>
      </c>
      <c r="B3768" s="74" t="s">
        <v>2770</v>
      </c>
      <c r="C3768" s="74" t="s">
        <v>443</v>
      </c>
    </row>
    <row r="3769" spans="1:3">
      <c r="A3769" s="250">
        <v>11547</v>
      </c>
      <c r="B3769" s="74" t="s">
        <v>2771</v>
      </c>
      <c r="C3769" s="74" t="s">
        <v>443</v>
      </c>
    </row>
    <row r="3770" spans="1:3">
      <c r="A3770" s="250">
        <v>11548</v>
      </c>
      <c r="B3770" s="74" t="s">
        <v>2772</v>
      </c>
      <c r="C3770" s="74" t="s">
        <v>443</v>
      </c>
    </row>
    <row r="3771" spans="1:3">
      <c r="A3771" s="250">
        <v>11549</v>
      </c>
      <c r="B3771" s="74" t="s">
        <v>2773</v>
      </c>
      <c r="C3771" s="74" t="s">
        <v>443</v>
      </c>
    </row>
    <row r="3772" spans="1:3">
      <c r="A3772" s="250">
        <v>11550</v>
      </c>
      <c r="B3772" s="74" t="s">
        <v>2773</v>
      </c>
      <c r="C3772" s="74" t="s">
        <v>443</v>
      </c>
    </row>
    <row r="3773" spans="1:3">
      <c r="A3773" s="250">
        <v>11551</v>
      </c>
      <c r="B3773" s="74" t="s">
        <v>2773</v>
      </c>
      <c r="C3773" s="74" t="s">
        <v>443</v>
      </c>
    </row>
    <row r="3774" spans="1:3">
      <c r="A3774" s="250">
        <v>11552</v>
      </c>
      <c r="B3774" s="74" t="s">
        <v>2774</v>
      </c>
      <c r="C3774" s="74" t="s">
        <v>443</v>
      </c>
    </row>
    <row r="3775" spans="1:3">
      <c r="A3775" s="250">
        <v>11553</v>
      </c>
      <c r="B3775" s="74" t="s">
        <v>2775</v>
      </c>
      <c r="C3775" s="74" t="s">
        <v>443</v>
      </c>
    </row>
    <row r="3776" spans="1:3">
      <c r="A3776" s="250">
        <v>11554</v>
      </c>
      <c r="B3776" s="74" t="s">
        <v>2776</v>
      </c>
      <c r="C3776" s="74" t="s">
        <v>443</v>
      </c>
    </row>
    <row r="3777" spans="1:3">
      <c r="A3777" s="250">
        <v>11555</v>
      </c>
      <c r="B3777" s="74" t="s">
        <v>2775</v>
      </c>
      <c r="C3777" s="74" t="s">
        <v>443</v>
      </c>
    </row>
    <row r="3778" spans="1:3">
      <c r="A3778" s="250">
        <v>11556</v>
      </c>
      <c r="B3778" s="74" t="s">
        <v>2775</v>
      </c>
      <c r="C3778" s="74" t="s">
        <v>443</v>
      </c>
    </row>
    <row r="3779" spans="1:3">
      <c r="A3779" s="250">
        <v>11557</v>
      </c>
      <c r="B3779" s="74" t="s">
        <v>2777</v>
      </c>
      <c r="C3779" s="74" t="s">
        <v>443</v>
      </c>
    </row>
    <row r="3780" spans="1:3">
      <c r="A3780" s="250">
        <v>11558</v>
      </c>
      <c r="B3780" s="74" t="s">
        <v>2778</v>
      </c>
      <c r="C3780" s="74" t="s">
        <v>443</v>
      </c>
    </row>
    <row r="3781" spans="1:3">
      <c r="A3781" s="250">
        <v>11559</v>
      </c>
      <c r="B3781" s="74" t="s">
        <v>815</v>
      </c>
      <c r="C3781" s="74" t="s">
        <v>443</v>
      </c>
    </row>
    <row r="3782" spans="1:3">
      <c r="A3782" s="250">
        <v>11560</v>
      </c>
      <c r="B3782" s="74" t="s">
        <v>2779</v>
      </c>
      <c r="C3782" s="74" t="s">
        <v>443</v>
      </c>
    </row>
    <row r="3783" spans="1:3">
      <c r="A3783" s="250">
        <v>11561</v>
      </c>
      <c r="B3783" s="74" t="s">
        <v>2780</v>
      </c>
      <c r="C3783" s="74" t="s">
        <v>443</v>
      </c>
    </row>
    <row r="3784" spans="1:3">
      <c r="A3784" s="250">
        <v>11563</v>
      </c>
      <c r="B3784" s="74" t="s">
        <v>2781</v>
      </c>
      <c r="C3784" s="74" t="s">
        <v>443</v>
      </c>
    </row>
    <row r="3785" spans="1:3">
      <c r="A3785" s="250">
        <v>11565</v>
      </c>
      <c r="B3785" s="74" t="s">
        <v>2782</v>
      </c>
      <c r="C3785" s="74" t="s">
        <v>443</v>
      </c>
    </row>
    <row r="3786" spans="1:3">
      <c r="A3786" s="250">
        <v>11566</v>
      </c>
      <c r="B3786" s="74" t="s">
        <v>2783</v>
      </c>
      <c r="C3786" s="74" t="s">
        <v>443</v>
      </c>
    </row>
    <row r="3787" spans="1:3">
      <c r="A3787" s="250">
        <v>11568</v>
      </c>
      <c r="B3787" s="74" t="s">
        <v>2784</v>
      </c>
      <c r="C3787" s="74" t="s">
        <v>443</v>
      </c>
    </row>
    <row r="3788" spans="1:3">
      <c r="A3788" s="250">
        <v>11569</v>
      </c>
      <c r="B3788" s="74" t="s">
        <v>2785</v>
      </c>
      <c r="C3788" s="74" t="s">
        <v>443</v>
      </c>
    </row>
    <row r="3789" spans="1:3">
      <c r="A3789" s="250">
        <v>11570</v>
      </c>
      <c r="B3789" s="74" t="s">
        <v>2786</v>
      </c>
      <c r="C3789" s="74" t="s">
        <v>443</v>
      </c>
    </row>
    <row r="3790" spans="1:3">
      <c r="A3790" s="250">
        <v>11571</v>
      </c>
      <c r="B3790" s="74" t="s">
        <v>2786</v>
      </c>
      <c r="C3790" s="74" t="s">
        <v>443</v>
      </c>
    </row>
    <row r="3791" spans="1:3">
      <c r="A3791" s="250">
        <v>11572</v>
      </c>
      <c r="B3791" s="74" t="s">
        <v>2787</v>
      </c>
      <c r="C3791" s="74" t="s">
        <v>443</v>
      </c>
    </row>
    <row r="3792" spans="1:3">
      <c r="A3792" s="250">
        <v>11575</v>
      </c>
      <c r="B3792" s="74" t="s">
        <v>2525</v>
      </c>
      <c r="C3792" s="74" t="s">
        <v>443</v>
      </c>
    </row>
    <row r="3793" spans="1:3">
      <c r="A3793" s="250">
        <v>11576</v>
      </c>
      <c r="B3793" s="74" t="s">
        <v>2788</v>
      </c>
      <c r="C3793" s="74" t="s">
        <v>443</v>
      </c>
    </row>
    <row r="3794" spans="1:3">
      <c r="A3794" s="250">
        <v>11577</v>
      </c>
      <c r="B3794" s="74" t="s">
        <v>2789</v>
      </c>
      <c r="C3794" s="74" t="s">
        <v>443</v>
      </c>
    </row>
    <row r="3795" spans="1:3">
      <c r="A3795" s="250">
        <v>11579</v>
      </c>
      <c r="B3795" s="74" t="s">
        <v>2790</v>
      </c>
      <c r="C3795" s="74" t="s">
        <v>443</v>
      </c>
    </row>
    <row r="3796" spans="1:3">
      <c r="A3796" s="250">
        <v>11580</v>
      </c>
      <c r="B3796" s="74" t="s">
        <v>2791</v>
      </c>
      <c r="C3796" s="74" t="s">
        <v>443</v>
      </c>
    </row>
    <row r="3797" spans="1:3">
      <c r="A3797" s="250">
        <v>11581</v>
      </c>
      <c r="B3797" s="74" t="s">
        <v>2791</v>
      </c>
      <c r="C3797" s="74" t="s">
        <v>443</v>
      </c>
    </row>
    <row r="3798" spans="1:3">
      <c r="A3798" s="250">
        <v>11582</v>
      </c>
      <c r="B3798" s="74" t="s">
        <v>2791</v>
      </c>
      <c r="C3798" s="74" t="s">
        <v>443</v>
      </c>
    </row>
    <row r="3799" spans="1:3">
      <c r="A3799" s="250">
        <v>11590</v>
      </c>
      <c r="B3799" s="74" t="s">
        <v>2792</v>
      </c>
      <c r="C3799" s="74" t="s">
        <v>443</v>
      </c>
    </row>
    <row r="3800" spans="1:3">
      <c r="A3800" s="250">
        <v>11592</v>
      </c>
      <c r="B3800" s="74" t="s">
        <v>2793</v>
      </c>
      <c r="C3800" s="74" t="s">
        <v>443</v>
      </c>
    </row>
    <row r="3801" spans="1:3">
      <c r="A3801" s="250">
        <v>11594</v>
      </c>
      <c r="B3801" s="74" t="s">
        <v>2792</v>
      </c>
      <c r="C3801" s="74" t="s">
        <v>443</v>
      </c>
    </row>
    <row r="3802" spans="1:3">
      <c r="A3802" s="250">
        <v>11595</v>
      </c>
      <c r="B3802" s="74" t="s">
        <v>2792</v>
      </c>
      <c r="C3802" s="74" t="s">
        <v>443</v>
      </c>
    </row>
    <row r="3803" spans="1:3">
      <c r="A3803" s="250">
        <v>11596</v>
      </c>
      <c r="B3803" s="74" t="s">
        <v>2794</v>
      </c>
      <c r="C3803" s="74" t="s">
        <v>443</v>
      </c>
    </row>
    <row r="3804" spans="1:3">
      <c r="A3804" s="250">
        <v>11597</v>
      </c>
      <c r="B3804" s="74" t="s">
        <v>2792</v>
      </c>
      <c r="C3804" s="74" t="s">
        <v>443</v>
      </c>
    </row>
    <row r="3805" spans="1:3">
      <c r="A3805" s="250">
        <v>11598</v>
      </c>
      <c r="B3805" s="74" t="s">
        <v>2795</v>
      </c>
      <c r="C3805" s="74" t="s">
        <v>443</v>
      </c>
    </row>
    <row r="3806" spans="1:3">
      <c r="A3806" s="250">
        <v>11599</v>
      </c>
      <c r="B3806" s="74" t="s">
        <v>2769</v>
      </c>
      <c r="C3806" s="74" t="s">
        <v>443</v>
      </c>
    </row>
    <row r="3807" spans="1:3">
      <c r="A3807" s="250">
        <v>11690</v>
      </c>
      <c r="B3807" s="74" t="s">
        <v>2796</v>
      </c>
      <c r="C3807" s="74" t="s">
        <v>443</v>
      </c>
    </row>
    <row r="3808" spans="1:3">
      <c r="A3808" s="250">
        <v>11691</v>
      </c>
      <c r="B3808" s="74" t="s">
        <v>2796</v>
      </c>
      <c r="C3808" s="74" t="s">
        <v>443</v>
      </c>
    </row>
    <row r="3809" spans="1:3">
      <c r="A3809" s="250">
        <v>11692</v>
      </c>
      <c r="B3809" s="74" t="s">
        <v>2797</v>
      </c>
      <c r="C3809" s="74" t="s">
        <v>443</v>
      </c>
    </row>
    <row r="3810" spans="1:3">
      <c r="A3810" s="250">
        <v>11693</v>
      </c>
      <c r="B3810" s="74" t="s">
        <v>2796</v>
      </c>
      <c r="C3810" s="74" t="s">
        <v>443</v>
      </c>
    </row>
    <row r="3811" spans="1:3">
      <c r="A3811" s="250">
        <v>11694</v>
      </c>
      <c r="B3811" s="74" t="s">
        <v>2798</v>
      </c>
      <c r="C3811" s="74" t="s">
        <v>443</v>
      </c>
    </row>
    <row r="3812" spans="1:3">
      <c r="A3812" s="250">
        <v>11695</v>
      </c>
      <c r="B3812" s="74" t="s">
        <v>2796</v>
      </c>
      <c r="C3812" s="74" t="s">
        <v>443</v>
      </c>
    </row>
    <row r="3813" spans="1:3">
      <c r="A3813" s="250">
        <v>11697</v>
      </c>
      <c r="B3813" s="74" t="s">
        <v>2799</v>
      </c>
      <c r="C3813" s="74" t="s">
        <v>443</v>
      </c>
    </row>
    <row r="3814" spans="1:3">
      <c r="A3814" s="250">
        <v>11701</v>
      </c>
      <c r="B3814" s="74" t="s">
        <v>2800</v>
      </c>
      <c r="C3814" s="74" t="s">
        <v>443</v>
      </c>
    </row>
    <row r="3815" spans="1:3">
      <c r="A3815" s="250">
        <v>11702</v>
      </c>
      <c r="B3815" s="74" t="s">
        <v>2801</v>
      </c>
      <c r="C3815" s="74" t="s">
        <v>443</v>
      </c>
    </row>
    <row r="3816" spans="1:3">
      <c r="A3816" s="250">
        <v>11703</v>
      </c>
      <c r="B3816" s="74" t="s">
        <v>2802</v>
      </c>
      <c r="C3816" s="74" t="s">
        <v>443</v>
      </c>
    </row>
    <row r="3817" spans="1:3">
      <c r="A3817" s="250">
        <v>11704</v>
      </c>
      <c r="B3817" s="74" t="s">
        <v>2803</v>
      </c>
      <c r="C3817" s="74" t="s">
        <v>443</v>
      </c>
    </row>
    <row r="3818" spans="1:3">
      <c r="A3818" s="250">
        <v>11705</v>
      </c>
      <c r="B3818" s="74" t="s">
        <v>2804</v>
      </c>
      <c r="C3818" s="74" t="s">
        <v>443</v>
      </c>
    </row>
    <row r="3819" spans="1:3">
      <c r="A3819" s="250">
        <v>11706</v>
      </c>
      <c r="B3819" s="74" t="s">
        <v>2805</v>
      </c>
      <c r="C3819" s="74" t="s">
        <v>443</v>
      </c>
    </row>
    <row r="3820" spans="1:3">
      <c r="A3820" s="250">
        <v>11707</v>
      </c>
      <c r="B3820" s="74" t="s">
        <v>2803</v>
      </c>
      <c r="C3820" s="74" t="s">
        <v>443</v>
      </c>
    </row>
    <row r="3821" spans="1:3">
      <c r="A3821" s="250">
        <v>11708</v>
      </c>
      <c r="B3821" s="74" t="s">
        <v>2800</v>
      </c>
      <c r="C3821" s="74" t="s">
        <v>443</v>
      </c>
    </row>
    <row r="3822" spans="1:3">
      <c r="A3822" s="250">
        <v>11709</v>
      </c>
      <c r="B3822" s="74" t="s">
        <v>2537</v>
      </c>
      <c r="C3822" s="74" t="s">
        <v>443</v>
      </c>
    </row>
    <row r="3823" spans="1:3">
      <c r="A3823" s="250">
        <v>11710</v>
      </c>
      <c r="B3823" s="74" t="s">
        <v>2806</v>
      </c>
      <c r="C3823" s="74" t="s">
        <v>443</v>
      </c>
    </row>
    <row r="3824" spans="1:3">
      <c r="A3824" s="250">
        <v>11713</v>
      </c>
      <c r="B3824" s="74" t="s">
        <v>2807</v>
      </c>
      <c r="C3824" s="74" t="s">
        <v>443</v>
      </c>
    </row>
    <row r="3825" spans="1:3">
      <c r="A3825" s="250">
        <v>11714</v>
      </c>
      <c r="B3825" s="74" t="s">
        <v>2808</v>
      </c>
      <c r="C3825" s="74" t="s">
        <v>443</v>
      </c>
    </row>
    <row r="3826" spans="1:3">
      <c r="A3826" s="250">
        <v>11715</v>
      </c>
      <c r="B3826" s="74" t="s">
        <v>2809</v>
      </c>
      <c r="C3826" s="74" t="s">
        <v>443</v>
      </c>
    </row>
    <row r="3827" spans="1:3">
      <c r="A3827" s="250">
        <v>11716</v>
      </c>
      <c r="B3827" s="74" t="s">
        <v>2810</v>
      </c>
      <c r="C3827" s="74" t="s">
        <v>443</v>
      </c>
    </row>
    <row r="3828" spans="1:3">
      <c r="A3828" s="250">
        <v>11717</v>
      </c>
      <c r="B3828" s="74" t="s">
        <v>2811</v>
      </c>
      <c r="C3828" s="74" t="s">
        <v>443</v>
      </c>
    </row>
    <row r="3829" spans="1:3">
      <c r="A3829" s="250">
        <v>11718</v>
      </c>
      <c r="B3829" s="74" t="s">
        <v>2812</v>
      </c>
      <c r="C3829" s="74" t="s">
        <v>443</v>
      </c>
    </row>
    <row r="3830" spans="1:3">
      <c r="A3830" s="250">
        <v>11719</v>
      </c>
      <c r="B3830" s="74" t="s">
        <v>2813</v>
      </c>
      <c r="C3830" s="74" t="s">
        <v>443</v>
      </c>
    </row>
    <row r="3831" spans="1:3">
      <c r="A3831" s="250">
        <v>11720</v>
      </c>
      <c r="B3831" s="74" t="s">
        <v>2814</v>
      </c>
      <c r="C3831" s="74" t="s">
        <v>443</v>
      </c>
    </row>
    <row r="3832" spans="1:3">
      <c r="A3832" s="250">
        <v>11721</v>
      </c>
      <c r="B3832" s="74" t="s">
        <v>2815</v>
      </c>
      <c r="C3832" s="74" t="s">
        <v>443</v>
      </c>
    </row>
    <row r="3833" spans="1:3">
      <c r="A3833" s="250">
        <v>11722</v>
      </c>
      <c r="B3833" s="74" t="s">
        <v>2816</v>
      </c>
      <c r="C3833" s="74" t="s">
        <v>443</v>
      </c>
    </row>
    <row r="3834" spans="1:3">
      <c r="A3834" s="250">
        <v>11724</v>
      </c>
      <c r="B3834" s="74" t="s">
        <v>2817</v>
      </c>
      <c r="C3834" s="74" t="s">
        <v>443</v>
      </c>
    </row>
    <row r="3835" spans="1:3">
      <c r="A3835" s="250">
        <v>11725</v>
      </c>
      <c r="B3835" s="74" t="s">
        <v>2818</v>
      </c>
      <c r="C3835" s="74" t="s">
        <v>443</v>
      </c>
    </row>
    <row r="3836" spans="1:3">
      <c r="A3836" s="250">
        <v>11726</v>
      </c>
      <c r="B3836" s="74" t="s">
        <v>2819</v>
      </c>
      <c r="C3836" s="74" t="s">
        <v>443</v>
      </c>
    </row>
    <row r="3837" spans="1:3">
      <c r="A3837" s="250">
        <v>11727</v>
      </c>
      <c r="B3837" s="74" t="s">
        <v>2820</v>
      </c>
      <c r="C3837" s="74" t="s">
        <v>443</v>
      </c>
    </row>
    <row r="3838" spans="1:3">
      <c r="A3838" s="250">
        <v>11729</v>
      </c>
      <c r="B3838" s="74" t="s">
        <v>2821</v>
      </c>
      <c r="C3838" s="74" t="s">
        <v>443</v>
      </c>
    </row>
    <row r="3839" spans="1:3">
      <c r="A3839" s="250">
        <v>11730</v>
      </c>
      <c r="B3839" s="74" t="s">
        <v>2822</v>
      </c>
      <c r="C3839" s="74" t="s">
        <v>443</v>
      </c>
    </row>
    <row r="3840" spans="1:3">
      <c r="A3840" s="250">
        <v>11731</v>
      </c>
      <c r="B3840" s="74" t="s">
        <v>2823</v>
      </c>
      <c r="C3840" s="74" t="s">
        <v>443</v>
      </c>
    </row>
    <row r="3841" spans="1:3">
      <c r="A3841" s="250">
        <v>11732</v>
      </c>
      <c r="B3841" s="74" t="s">
        <v>2824</v>
      </c>
      <c r="C3841" s="74" t="s">
        <v>443</v>
      </c>
    </row>
    <row r="3842" spans="1:3">
      <c r="A3842" s="250">
        <v>11733</v>
      </c>
      <c r="B3842" s="74" t="s">
        <v>2825</v>
      </c>
      <c r="C3842" s="74" t="s">
        <v>443</v>
      </c>
    </row>
    <row r="3843" spans="1:3">
      <c r="A3843" s="250">
        <v>11735</v>
      </c>
      <c r="B3843" s="74" t="s">
        <v>1477</v>
      </c>
      <c r="C3843" s="74" t="s">
        <v>443</v>
      </c>
    </row>
    <row r="3844" spans="1:3">
      <c r="A3844" s="250">
        <v>11736</v>
      </c>
      <c r="B3844" s="74" t="s">
        <v>1477</v>
      </c>
      <c r="C3844" s="74" t="s">
        <v>443</v>
      </c>
    </row>
    <row r="3845" spans="1:3">
      <c r="A3845" s="250">
        <v>11737</v>
      </c>
      <c r="B3845" s="74" t="s">
        <v>1477</v>
      </c>
      <c r="C3845" s="74" t="s">
        <v>443</v>
      </c>
    </row>
    <row r="3846" spans="1:3">
      <c r="A3846" s="250">
        <v>11738</v>
      </c>
      <c r="B3846" s="74" t="s">
        <v>2826</v>
      </c>
      <c r="C3846" s="74" t="s">
        <v>443</v>
      </c>
    </row>
    <row r="3847" spans="1:3">
      <c r="A3847" s="250">
        <v>11739</v>
      </c>
      <c r="B3847" s="74" t="s">
        <v>2827</v>
      </c>
      <c r="C3847" s="74" t="s">
        <v>443</v>
      </c>
    </row>
    <row r="3848" spans="1:3">
      <c r="A3848" s="250">
        <v>11740</v>
      </c>
      <c r="B3848" s="74" t="s">
        <v>2828</v>
      </c>
      <c r="C3848" s="74" t="s">
        <v>443</v>
      </c>
    </row>
    <row r="3849" spans="1:3">
      <c r="A3849" s="250">
        <v>11741</v>
      </c>
      <c r="B3849" s="74" t="s">
        <v>946</v>
      </c>
      <c r="C3849" s="74" t="s">
        <v>443</v>
      </c>
    </row>
    <row r="3850" spans="1:3">
      <c r="A3850" s="250">
        <v>11742</v>
      </c>
      <c r="B3850" s="74" t="s">
        <v>470</v>
      </c>
      <c r="C3850" s="74" t="s">
        <v>443</v>
      </c>
    </row>
    <row r="3851" spans="1:3">
      <c r="A3851" s="250">
        <v>11743</v>
      </c>
      <c r="B3851" s="74" t="s">
        <v>601</v>
      </c>
      <c r="C3851" s="74" t="s">
        <v>443</v>
      </c>
    </row>
    <row r="3852" spans="1:3">
      <c r="A3852" s="250">
        <v>11746</v>
      </c>
      <c r="B3852" s="74" t="s">
        <v>2829</v>
      </c>
      <c r="C3852" s="74" t="s">
        <v>443</v>
      </c>
    </row>
    <row r="3853" spans="1:3">
      <c r="A3853" s="250">
        <v>11747</v>
      </c>
      <c r="B3853" s="74" t="s">
        <v>2830</v>
      </c>
      <c r="C3853" s="74" t="s">
        <v>443</v>
      </c>
    </row>
    <row r="3854" spans="1:3">
      <c r="A3854" s="250">
        <v>11749</v>
      </c>
      <c r="B3854" s="74" t="s">
        <v>2831</v>
      </c>
      <c r="C3854" s="74" t="s">
        <v>443</v>
      </c>
    </row>
    <row r="3855" spans="1:3">
      <c r="A3855" s="250">
        <v>11750</v>
      </c>
      <c r="B3855" s="74" t="s">
        <v>2829</v>
      </c>
      <c r="C3855" s="74" t="s">
        <v>443</v>
      </c>
    </row>
    <row r="3856" spans="1:3">
      <c r="A3856" s="250">
        <v>11751</v>
      </c>
      <c r="B3856" s="74" t="s">
        <v>2832</v>
      </c>
      <c r="C3856" s="74" t="s">
        <v>443</v>
      </c>
    </row>
    <row r="3857" spans="1:3">
      <c r="A3857" s="250">
        <v>11752</v>
      </c>
      <c r="B3857" s="74" t="s">
        <v>2833</v>
      </c>
      <c r="C3857" s="74" t="s">
        <v>443</v>
      </c>
    </row>
    <row r="3858" spans="1:3">
      <c r="A3858" s="250">
        <v>11753</v>
      </c>
      <c r="B3858" s="74" t="s">
        <v>1818</v>
      </c>
      <c r="C3858" s="74" t="s">
        <v>443</v>
      </c>
    </row>
    <row r="3859" spans="1:3">
      <c r="A3859" s="250">
        <v>11754</v>
      </c>
      <c r="B3859" s="74" t="s">
        <v>2834</v>
      </c>
      <c r="C3859" s="74" t="s">
        <v>443</v>
      </c>
    </row>
    <row r="3860" spans="1:3">
      <c r="A3860" s="250">
        <v>11755</v>
      </c>
      <c r="B3860" s="74" t="s">
        <v>2835</v>
      </c>
      <c r="C3860" s="74" t="s">
        <v>443</v>
      </c>
    </row>
    <row r="3861" spans="1:3">
      <c r="A3861" s="250">
        <v>11756</v>
      </c>
      <c r="B3861" s="74" t="s">
        <v>2836</v>
      </c>
      <c r="C3861" s="74" t="s">
        <v>443</v>
      </c>
    </row>
    <row r="3862" spans="1:3">
      <c r="A3862" s="250">
        <v>11757</v>
      </c>
      <c r="B3862" s="74" t="s">
        <v>2837</v>
      </c>
      <c r="C3862" s="74" t="s">
        <v>443</v>
      </c>
    </row>
    <row r="3863" spans="1:3">
      <c r="A3863" s="250">
        <v>11758</v>
      </c>
      <c r="B3863" s="74" t="s">
        <v>2838</v>
      </c>
      <c r="C3863" s="74" t="s">
        <v>443</v>
      </c>
    </row>
    <row r="3864" spans="1:3">
      <c r="A3864" s="250">
        <v>11760</v>
      </c>
      <c r="B3864" s="74" t="s">
        <v>2831</v>
      </c>
      <c r="C3864" s="74" t="s">
        <v>443</v>
      </c>
    </row>
    <row r="3865" spans="1:3">
      <c r="A3865" s="250">
        <v>11762</v>
      </c>
      <c r="B3865" s="74" t="s">
        <v>2839</v>
      </c>
      <c r="C3865" s="74" t="s">
        <v>443</v>
      </c>
    </row>
    <row r="3866" spans="1:3">
      <c r="A3866" s="250">
        <v>11763</v>
      </c>
      <c r="B3866" s="74" t="s">
        <v>921</v>
      </c>
      <c r="C3866" s="74" t="s">
        <v>443</v>
      </c>
    </row>
    <row r="3867" spans="1:3">
      <c r="A3867" s="250">
        <v>11764</v>
      </c>
      <c r="B3867" s="74" t="s">
        <v>2840</v>
      </c>
      <c r="C3867" s="74" t="s">
        <v>443</v>
      </c>
    </row>
    <row r="3868" spans="1:3">
      <c r="A3868" s="250">
        <v>11765</v>
      </c>
      <c r="B3868" s="74" t="s">
        <v>2841</v>
      </c>
      <c r="C3868" s="74" t="s">
        <v>443</v>
      </c>
    </row>
    <row r="3869" spans="1:3">
      <c r="A3869" s="250">
        <v>11766</v>
      </c>
      <c r="B3869" s="74" t="s">
        <v>2842</v>
      </c>
      <c r="C3869" s="74" t="s">
        <v>443</v>
      </c>
    </row>
    <row r="3870" spans="1:3">
      <c r="A3870" s="250">
        <v>11767</v>
      </c>
      <c r="B3870" s="74" t="s">
        <v>2843</v>
      </c>
      <c r="C3870" s="74" t="s">
        <v>443</v>
      </c>
    </row>
    <row r="3871" spans="1:3">
      <c r="A3871" s="250">
        <v>11768</v>
      </c>
      <c r="B3871" s="74" t="s">
        <v>2844</v>
      </c>
      <c r="C3871" s="74" t="s">
        <v>443</v>
      </c>
    </row>
    <row r="3872" spans="1:3">
      <c r="A3872" s="250">
        <v>11769</v>
      </c>
      <c r="B3872" s="74" t="s">
        <v>2024</v>
      </c>
      <c r="C3872" s="74" t="s">
        <v>443</v>
      </c>
    </row>
    <row r="3873" spans="1:3">
      <c r="A3873" s="250">
        <v>11770</v>
      </c>
      <c r="B3873" s="74" t="s">
        <v>2845</v>
      </c>
      <c r="C3873" s="74" t="s">
        <v>443</v>
      </c>
    </row>
    <row r="3874" spans="1:3">
      <c r="A3874" s="250">
        <v>11771</v>
      </c>
      <c r="B3874" s="74" t="s">
        <v>2846</v>
      </c>
      <c r="C3874" s="74" t="s">
        <v>443</v>
      </c>
    </row>
    <row r="3875" spans="1:3">
      <c r="A3875" s="250">
        <v>11772</v>
      </c>
      <c r="B3875" s="74" t="s">
        <v>2847</v>
      </c>
      <c r="C3875" s="74" t="s">
        <v>443</v>
      </c>
    </row>
    <row r="3876" spans="1:3">
      <c r="A3876" s="250">
        <v>11773</v>
      </c>
      <c r="B3876" s="74" t="s">
        <v>2848</v>
      </c>
      <c r="C3876" s="74" t="s">
        <v>443</v>
      </c>
    </row>
    <row r="3877" spans="1:3">
      <c r="A3877" s="250">
        <v>11774</v>
      </c>
      <c r="B3877" s="74" t="s">
        <v>1477</v>
      </c>
      <c r="C3877" s="74" t="s">
        <v>443</v>
      </c>
    </row>
    <row r="3878" spans="1:3">
      <c r="A3878" s="250">
        <v>11775</v>
      </c>
      <c r="B3878" s="74" t="s">
        <v>2830</v>
      </c>
      <c r="C3878" s="74" t="s">
        <v>443</v>
      </c>
    </row>
    <row r="3879" spans="1:3">
      <c r="A3879" s="250">
        <v>11776</v>
      </c>
      <c r="B3879" s="74" t="s">
        <v>2849</v>
      </c>
      <c r="C3879" s="74" t="s">
        <v>443</v>
      </c>
    </row>
    <row r="3880" spans="1:3">
      <c r="A3880" s="250">
        <v>11777</v>
      </c>
      <c r="B3880" s="74" t="s">
        <v>2850</v>
      </c>
      <c r="C3880" s="74" t="s">
        <v>443</v>
      </c>
    </row>
    <row r="3881" spans="1:3">
      <c r="A3881" s="250">
        <v>11778</v>
      </c>
      <c r="B3881" s="74" t="s">
        <v>2851</v>
      </c>
      <c r="C3881" s="74" t="s">
        <v>443</v>
      </c>
    </row>
    <row r="3882" spans="1:3">
      <c r="A3882" s="250">
        <v>11779</v>
      </c>
      <c r="B3882" s="74" t="s">
        <v>2852</v>
      </c>
      <c r="C3882" s="74" t="s">
        <v>443</v>
      </c>
    </row>
    <row r="3883" spans="1:3">
      <c r="A3883" s="250">
        <v>11780</v>
      </c>
      <c r="B3883" s="74" t="s">
        <v>2853</v>
      </c>
      <c r="C3883" s="74" t="s">
        <v>443</v>
      </c>
    </row>
    <row r="3884" spans="1:3">
      <c r="A3884" s="250">
        <v>11782</v>
      </c>
      <c r="B3884" s="74" t="s">
        <v>2854</v>
      </c>
      <c r="C3884" s="74" t="s">
        <v>443</v>
      </c>
    </row>
    <row r="3885" spans="1:3">
      <c r="A3885" s="250">
        <v>11783</v>
      </c>
      <c r="B3885" s="74" t="s">
        <v>2855</v>
      </c>
      <c r="C3885" s="74" t="s">
        <v>443</v>
      </c>
    </row>
    <row r="3886" spans="1:3">
      <c r="A3886" s="250">
        <v>11784</v>
      </c>
      <c r="B3886" s="74" t="s">
        <v>2856</v>
      </c>
      <c r="C3886" s="74" t="s">
        <v>443</v>
      </c>
    </row>
    <row r="3887" spans="1:3">
      <c r="A3887" s="250">
        <v>11786</v>
      </c>
      <c r="B3887" s="74" t="s">
        <v>1890</v>
      </c>
      <c r="C3887" s="74" t="s">
        <v>443</v>
      </c>
    </row>
    <row r="3888" spans="1:3">
      <c r="A3888" s="250">
        <v>11787</v>
      </c>
      <c r="B3888" s="74" t="s">
        <v>2857</v>
      </c>
      <c r="C3888" s="74" t="s">
        <v>443</v>
      </c>
    </row>
    <row r="3889" spans="1:3">
      <c r="A3889" s="250">
        <v>11788</v>
      </c>
      <c r="B3889" s="74" t="s">
        <v>2858</v>
      </c>
      <c r="C3889" s="74" t="s">
        <v>443</v>
      </c>
    </row>
    <row r="3890" spans="1:3">
      <c r="A3890" s="250">
        <v>11789</v>
      </c>
      <c r="B3890" s="74" t="s">
        <v>2859</v>
      </c>
      <c r="C3890" s="74" t="s">
        <v>443</v>
      </c>
    </row>
    <row r="3891" spans="1:3">
      <c r="A3891" s="250">
        <v>11790</v>
      </c>
      <c r="B3891" s="74" t="s">
        <v>2860</v>
      </c>
      <c r="C3891" s="74" t="s">
        <v>443</v>
      </c>
    </row>
    <row r="3892" spans="1:3">
      <c r="A3892" s="250">
        <v>11791</v>
      </c>
      <c r="B3892" s="74" t="s">
        <v>2848</v>
      </c>
      <c r="C3892" s="74" t="s">
        <v>443</v>
      </c>
    </row>
    <row r="3893" spans="1:3">
      <c r="A3893" s="250">
        <v>11792</v>
      </c>
      <c r="B3893" s="74" t="s">
        <v>2861</v>
      </c>
      <c r="C3893" s="74" t="s">
        <v>443</v>
      </c>
    </row>
    <row r="3894" spans="1:3">
      <c r="A3894" s="250">
        <v>11793</v>
      </c>
      <c r="B3894" s="74" t="s">
        <v>2862</v>
      </c>
      <c r="C3894" s="74" t="s">
        <v>443</v>
      </c>
    </row>
    <row r="3895" spans="1:3">
      <c r="A3895" s="250">
        <v>11794</v>
      </c>
      <c r="B3895" s="74" t="s">
        <v>2860</v>
      </c>
      <c r="C3895" s="74" t="s">
        <v>443</v>
      </c>
    </row>
    <row r="3896" spans="1:3">
      <c r="A3896" s="250">
        <v>11795</v>
      </c>
      <c r="B3896" s="74" t="s">
        <v>2863</v>
      </c>
      <c r="C3896" s="74" t="s">
        <v>443</v>
      </c>
    </row>
    <row r="3897" spans="1:3">
      <c r="A3897" s="250">
        <v>11796</v>
      </c>
      <c r="B3897" s="74" t="s">
        <v>2864</v>
      </c>
      <c r="C3897" s="74" t="s">
        <v>443</v>
      </c>
    </row>
    <row r="3898" spans="1:3">
      <c r="A3898" s="250">
        <v>11797</v>
      </c>
      <c r="B3898" s="74" t="s">
        <v>1861</v>
      </c>
      <c r="C3898" s="74" t="s">
        <v>443</v>
      </c>
    </row>
    <row r="3899" spans="1:3">
      <c r="A3899" s="250">
        <v>11798</v>
      </c>
      <c r="B3899" s="74" t="s">
        <v>2865</v>
      </c>
      <c r="C3899" s="74" t="s">
        <v>443</v>
      </c>
    </row>
    <row r="3900" spans="1:3">
      <c r="A3900" s="250">
        <v>11801</v>
      </c>
      <c r="B3900" s="74" t="s">
        <v>2866</v>
      </c>
      <c r="C3900" s="74" t="s">
        <v>443</v>
      </c>
    </row>
    <row r="3901" spans="1:3">
      <c r="A3901" s="250">
        <v>11802</v>
      </c>
      <c r="B3901" s="74" t="s">
        <v>2866</v>
      </c>
      <c r="C3901" s="74" t="s">
        <v>443</v>
      </c>
    </row>
    <row r="3902" spans="1:3">
      <c r="A3902" s="250">
        <v>11803</v>
      </c>
      <c r="B3902" s="74" t="s">
        <v>2867</v>
      </c>
      <c r="C3902" s="74" t="s">
        <v>443</v>
      </c>
    </row>
    <row r="3903" spans="1:3">
      <c r="A3903" s="250">
        <v>11804</v>
      </c>
      <c r="B3903" s="74" t="s">
        <v>2868</v>
      </c>
      <c r="C3903" s="74" t="s">
        <v>443</v>
      </c>
    </row>
    <row r="3904" spans="1:3">
      <c r="A3904" s="250">
        <v>11815</v>
      </c>
      <c r="B3904" s="74" t="s">
        <v>2866</v>
      </c>
      <c r="C3904" s="74" t="s">
        <v>443</v>
      </c>
    </row>
    <row r="3905" spans="1:3">
      <c r="A3905" s="250">
        <v>11819</v>
      </c>
      <c r="B3905" s="74" t="s">
        <v>2866</v>
      </c>
      <c r="C3905" s="74" t="s">
        <v>443</v>
      </c>
    </row>
    <row r="3906" spans="1:3">
      <c r="A3906" s="250">
        <v>11853</v>
      </c>
      <c r="B3906" s="74" t="s">
        <v>1818</v>
      </c>
      <c r="C3906" s="74" t="s">
        <v>443</v>
      </c>
    </row>
    <row r="3907" spans="1:3">
      <c r="A3907" s="250">
        <v>11854</v>
      </c>
      <c r="B3907" s="74" t="s">
        <v>2866</v>
      </c>
      <c r="C3907" s="74" t="s">
        <v>443</v>
      </c>
    </row>
    <row r="3908" spans="1:3">
      <c r="A3908" s="250">
        <v>11855</v>
      </c>
      <c r="B3908" s="74" t="s">
        <v>2866</v>
      </c>
      <c r="C3908" s="74" t="s">
        <v>443</v>
      </c>
    </row>
    <row r="3909" spans="1:3">
      <c r="A3909" s="250">
        <v>11901</v>
      </c>
      <c r="B3909" s="74" t="s">
        <v>2869</v>
      </c>
      <c r="C3909" s="74" t="s">
        <v>443</v>
      </c>
    </row>
    <row r="3910" spans="1:3">
      <c r="A3910" s="250">
        <v>11930</v>
      </c>
      <c r="B3910" s="74" t="s">
        <v>2870</v>
      </c>
      <c r="C3910" s="74" t="s">
        <v>443</v>
      </c>
    </row>
    <row r="3911" spans="1:3">
      <c r="A3911" s="250">
        <v>11931</v>
      </c>
      <c r="B3911" s="74" t="s">
        <v>2871</v>
      </c>
      <c r="C3911" s="74" t="s">
        <v>443</v>
      </c>
    </row>
    <row r="3912" spans="1:3">
      <c r="A3912" s="250">
        <v>11932</v>
      </c>
      <c r="B3912" s="74" t="s">
        <v>2872</v>
      </c>
      <c r="C3912" s="74" t="s">
        <v>443</v>
      </c>
    </row>
    <row r="3913" spans="1:3">
      <c r="A3913" s="250">
        <v>11933</v>
      </c>
      <c r="B3913" s="74" t="s">
        <v>2873</v>
      </c>
      <c r="C3913" s="74" t="s">
        <v>443</v>
      </c>
    </row>
    <row r="3914" spans="1:3">
      <c r="A3914" s="250">
        <v>11934</v>
      </c>
      <c r="B3914" s="74" t="s">
        <v>2874</v>
      </c>
      <c r="C3914" s="74" t="s">
        <v>443</v>
      </c>
    </row>
    <row r="3915" spans="1:3">
      <c r="A3915" s="250">
        <v>11935</v>
      </c>
      <c r="B3915" s="74" t="s">
        <v>2875</v>
      </c>
      <c r="C3915" s="74" t="s">
        <v>443</v>
      </c>
    </row>
    <row r="3916" spans="1:3">
      <c r="A3916" s="250">
        <v>11937</v>
      </c>
      <c r="B3916" s="74" t="s">
        <v>2049</v>
      </c>
      <c r="C3916" s="74" t="s">
        <v>443</v>
      </c>
    </row>
    <row r="3917" spans="1:3">
      <c r="A3917" s="250">
        <v>11939</v>
      </c>
      <c r="B3917" s="74" t="s">
        <v>2876</v>
      </c>
      <c r="C3917" s="74" t="s">
        <v>443</v>
      </c>
    </row>
    <row r="3918" spans="1:3">
      <c r="A3918" s="250">
        <v>11940</v>
      </c>
      <c r="B3918" s="74" t="s">
        <v>2877</v>
      </c>
      <c r="C3918" s="74" t="s">
        <v>443</v>
      </c>
    </row>
    <row r="3919" spans="1:3">
      <c r="A3919" s="250">
        <v>11941</v>
      </c>
      <c r="B3919" s="74" t="s">
        <v>1583</v>
      </c>
      <c r="C3919" s="74" t="s">
        <v>443</v>
      </c>
    </row>
    <row r="3920" spans="1:3">
      <c r="A3920" s="250">
        <v>11942</v>
      </c>
      <c r="B3920" s="74" t="s">
        <v>2878</v>
      </c>
      <c r="C3920" s="74" t="s">
        <v>443</v>
      </c>
    </row>
    <row r="3921" spans="1:3">
      <c r="A3921" s="250">
        <v>11944</v>
      </c>
      <c r="B3921" s="74" t="s">
        <v>2879</v>
      </c>
      <c r="C3921" s="74" t="s">
        <v>443</v>
      </c>
    </row>
    <row r="3922" spans="1:3">
      <c r="A3922" s="250">
        <v>11946</v>
      </c>
      <c r="B3922" s="74" t="s">
        <v>2880</v>
      </c>
      <c r="C3922" s="74" t="s">
        <v>443</v>
      </c>
    </row>
    <row r="3923" spans="1:3">
      <c r="A3923" s="250">
        <v>11947</v>
      </c>
      <c r="B3923" s="74" t="s">
        <v>2881</v>
      </c>
      <c r="C3923" s="74" t="s">
        <v>443</v>
      </c>
    </row>
    <row r="3924" spans="1:3">
      <c r="A3924" s="250">
        <v>11948</v>
      </c>
      <c r="B3924" s="74" t="s">
        <v>2882</v>
      </c>
      <c r="C3924" s="74" t="s">
        <v>443</v>
      </c>
    </row>
    <row r="3925" spans="1:3">
      <c r="A3925" s="250">
        <v>11949</v>
      </c>
      <c r="B3925" s="74" t="s">
        <v>2883</v>
      </c>
      <c r="C3925" s="74" t="s">
        <v>443</v>
      </c>
    </row>
    <row r="3926" spans="1:3">
      <c r="A3926" s="250">
        <v>11950</v>
      </c>
      <c r="B3926" s="74" t="s">
        <v>2884</v>
      </c>
      <c r="C3926" s="74" t="s">
        <v>443</v>
      </c>
    </row>
    <row r="3927" spans="1:3">
      <c r="A3927" s="250">
        <v>11951</v>
      </c>
      <c r="B3927" s="74" t="s">
        <v>2885</v>
      </c>
      <c r="C3927" s="74" t="s">
        <v>443</v>
      </c>
    </row>
    <row r="3928" spans="1:3">
      <c r="A3928" s="250">
        <v>11952</v>
      </c>
      <c r="B3928" s="74" t="s">
        <v>2886</v>
      </c>
      <c r="C3928" s="74" t="s">
        <v>443</v>
      </c>
    </row>
    <row r="3929" spans="1:3">
      <c r="A3929" s="250">
        <v>11953</v>
      </c>
      <c r="B3929" s="74" t="s">
        <v>2887</v>
      </c>
      <c r="C3929" s="74" t="s">
        <v>443</v>
      </c>
    </row>
    <row r="3930" spans="1:3">
      <c r="A3930" s="250">
        <v>11954</v>
      </c>
      <c r="B3930" s="74" t="s">
        <v>2888</v>
      </c>
      <c r="C3930" s="74" t="s">
        <v>443</v>
      </c>
    </row>
    <row r="3931" spans="1:3">
      <c r="A3931" s="250">
        <v>11955</v>
      </c>
      <c r="B3931" s="74" t="s">
        <v>2889</v>
      </c>
      <c r="C3931" s="74" t="s">
        <v>443</v>
      </c>
    </row>
    <row r="3932" spans="1:3">
      <c r="A3932" s="250">
        <v>11956</v>
      </c>
      <c r="B3932" s="74" t="s">
        <v>2890</v>
      </c>
      <c r="C3932" s="74" t="s">
        <v>443</v>
      </c>
    </row>
    <row r="3933" spans="1:3">
      <c r="A3933" s="250">
        <v>11957</v>
      </c>
      <c r="B3933" s="74" t="s">
        <v>1520</v>
      </c>
      <c r="C3933" s="74" t="s">
        <v>443</v>
      </c>
    </row>
    <row r="3934" spans="1:3">
      <c r="A3934" s="250">
        <v>11958</v>
      </c>
      <c r="B3934" s="74" t="s">
        <v>2891</v>
      </c>
      <c r="C3934" s="74" t="s">
        <v>443</v>
      </c>
    </row>
    <row r="3935" spans="1:3">
      <c r="A3935" s="250">
        <v>11959</v>
      </c>
      <c r="B3935" s="74" t="s">
        <v>2892</v>
      </c>
      <c r="C3935" s="74" t="s">
        <v>443</v>
      </c>
    </row>
    <row r="3936" spans="1:3">
      <c r="A3936" s="250">
        <v>11960</v>
      </c>
      <c r="B3936" s="74" t="s">
        <v>2893</v>
      </c>
      <c r="C3936" s="74" t="s">
        <v>443</v>
      </c>
    </row>
    <row r="3937" spans="1:3">
      <c r="A3937" s="250">
        <v>11961</v>
      </c>
      <c r="B3937" s="74" t="s">
        <v>2894</v>
      </c>
      <c r="C3937" s="74" t="s">
        <v>443</v>
      </c>
    </row>
    <row r="3938" spans="1:3">
      <c r="A3938" s="250">
        <v>11962</v>
      </c>
      <c r="B3938" s="74" t="s">
        <v>2895</v>
      </c>
      <c r="C3938" s="74" t="s">
        <v>443</v>
      </c>
    </row>
    <row r="3939" spans="1:3">
      <c r="A3939" s="250">
        <v>11963</v>
      </c>
      <c r="B3939" s="74" t="s">
        <v>2896</v>
      </c>
      <c r="C3939" s="74" t="s">
        <v>443</v>
      </c>
    </row>
    <row r="3940" spans="1:3">
      <c r="A3940" s="250">
        <v>11964</v>
      </c>
      <c r="B3940" s="74" t="s">
        <v>2897</v>
      </c>
      <c r="C3940" s="74" t="s">
        <v>443</v>
      </c>
    </row>
    <row r="3941" spans="1:3">
      <c r="A3941" s="250">
        <v>11965</v>
      </c>
      <c r="B3941" s="74" t="s">
        <v>2898</v>
      </c>
      <c r="C3941" s="74" t="s">
        <v>443</v>
      </c>
    </row>
    <row r="3942" spans="1:3">
      <c r="A3942" s="250">
        <v>11967</v>
      </c>
      <c r="B3942" s="74" t="s">
        <v>716</v>
      </c>
      <c r="C3942" s="74" t="s">
        <v>443</v>
      </c>
    </row>
    <row r="3943" spans="1:3">
      <c r="A3943" s="250">
        <v>11968</v>
      </c>
      <c r="B3943" s="74" t="s">
        <v>614</v>
      </c>
      <c r="C3943" s="74" t="s">
        <v>443</v>
      </c>
    </row>
    <row r="3944" spans="1:3">
      <c r="A3944" s="250">
        <v>11969</v>
      </c>
      <c r="B3944" s="74" t="s">
        <v>614</v>
      </c>
      <c r="C3944" s="74" t="s">
        <v>443</v>
      </c>
    </row>
    <row r="3945" spans="1:3">
      <c r="A3945" s="250">
        <v>11970</v>
      </c>
      <c r="B3945" s="74" t="s">
        <v>2899</v>
      </c>
      <c r="C3945" s="74" t="s">
        <v>443</v>
      </c>
    </row>
    <row r="3946" spans="1:3">
      <c r="A3946" s="250">
        <v>11971</v>
      </c>
      <c r="B3946" s="74" t="s">
        <v>2900</v>
      </c>
      <c r="C3946" s="74" t="s">
        <v>443</v>
      </c>
    </row>
    <row r="3947" spans="1:3">
      <c r="A3947" s="250">
        <v>11972</v>
      </c>
      <c r="B3947" s="74" t="s">
        <v>2901</v>
      </c>
      <c r="C3947" s="74" t="s">
        <v>443</v>
      </c>
    </row>
    <row r="3948" spans="1:3">
      <c r="A3948" s="250">
        <v>11973</v>
      </c>
      <c r="B3948" s="74" t="s">
        <v>765</v>
      </c>
      <c r="C3948" s="74" t="s">
        <v>443</v>
      </c>
    </row>
    <row r="3949" spans="1:3">
      <c r="A3949" s="250">
        <v>11975</v>
      </c>
      <c r="B3949" s="74" t="s">
        <v>2902</v>
      </c>
      <c r="C3949" s="74" t="s">
        <v>443</v>
      </c>
    </row>
    <row r="3950" spans="1:3">
      <c r="A3950" s="250">
        <v>11976</v>
      </c>
      <c r="B3950" s="74" t="s">
        <v>2903</v>
      </c>
      <c r="C3950" s="74" t="s">
        <v>443</v>
      </c>
    </row>
    <row r="3951" spans="1:3">
      <c r="A3951" s="250">
        <v>11977</v>
      </c>
      <c r="B3951" s="74" t="s">
        <v>2904</v>
      </c>
      <c r="C3951" s="74" t="s">
        <v>443</v>
      </c>
    </row>
    <row r="3952" spans="1:3">
      <c r="A3952" s="250">
        <v>11978</v>
      </c>
      <c r="B3952" s="74" t="s">
        <v>2905</v>
      </c>
      <c r="C3952" s="74" t="s">
        <v>443</v>
      </c>
    </row>
    <row r="3953" spans="1:3">
      <c r="A3953" s="250">
        <v>11980</v>
      </c>
      <c r="B3953" s="74" t="s">
        <v>2906</v>
      </c>
      <c r="C3953" s="74" t="s">
        <v>443</v>
      </c>
    </row>
    <row r="3954" spans="1:3">
      <c r="A3954" s="250">
        <v>12007</v>
      </c>
      <c r="B3954" s="74" t="s">
        <v>2907</v>
      </c>
      <c r="C3954" s="74" t="s">
        <v>443</v>
      </c>
    </row>
    <row r="3955" spans="1:3">
      <c r="A3955" s="250">
        <v>12008</v>
      </c>
      <c r="B3955" s="74" t="s">
        <v>2908</v>
      </c>
      <c r="C3955" s="74" t="s">
        <v>443</v>
      </c>
    </row>
    <row r="3956" spans="1:3">
      <c r="A3956" s="250">
        <v>12009</v>
      </c>
      <c r="B3956" s="74" t="s">
        <v>2909</v>
      </c>
      <c r="C3956" s="74" t="s">
        <v>443</v>
      </c>
    </row>
    <row r="3957" spans="1:3">
      <c r="A3957" s="250">
        <v>12010</v>
      </c>
      <c r="B3957" s="74" t="s">
        <v>2910</v>
      </c>
      <c r="C3957" s="74" t="s">
        <v>443</v>
      </c>
    </row>
    <row r="3958" spans="1:3">
      <c r="A3958" s="250">
        <v>12015</v>
      </c>
      <c r="B3958" s="74" t="s">
        <v>1678</v>
      </c>
      <c r="C3958" s="74" t="s">
        <v>443</v>
      </c>
    </row>
    <row r="3959" spans="1:3">
      <c r="A3959" s="250">
        <v>12016</v>
      </c>
      <c r="B3959" s="74" t="s">
        <v>2911</v>
      </c>
      <c r="C3959" s="74" t="s">
        <v>443</v>
      </c>
    </row>
    <row r="3960" spans="1:3">
      <c r="A3960" s="250">
        <v>12017</v>
      </c>
      <c r="B3960" s="74" t="s">
        <v>2912</v>
      </c>
      <c r="C3960" s="74" t="s">
        <v>443</v>
      </c>
    </row>
    <row r="3961" spans="1:3">
      <c r="A3961" s="250">
        <v>12018</v>
      </c>
      <c r="B3961" s="74" t="s">
        <v>2913</v>
      </c>
      <c r="C3961" s="74" t="s">
        <v>443</v>
      </c>
    </row>
    <row r="3962" spans="1:3">
      <c r="A3962" s="250">
        <v>12019</v>
      </c>
      <c r="B3962" s="74" t="s">
        <v>2914</v>
      </c>
      <c r="C3962" s="74" t="s">
        <v>443</v>
      </c>
    </row>
    <row r="3963" spans="1:3">
      <c r="A3963" s="250">
        <v>12020</v>
      </c>
      <c r="B3963" s="74" t="s">
        <v>2915</v>
      </c>
      <c r="C3963" s="74" t="s">
        <v>443</v>
      </c>
    </row>
    <row r="3964" spans="1:3">
      <c r="A3964" s="250">
        <v>12022</v>
      </c>
      <c r="B3964" s="74" t="s">
        <v>725</v>
      </c>
      <c r="C3964" s="74" t="s">
        <v>443</v>
      </c>
    </row>
    <row r="3965" spans="1:3">
      <c r="A3965" s="250">
        <v>12023</v>
      </c>
      <c r="B3965" s="74" t="s">
        <v>2916</v>
      </c>
      <c r="C3965" s="74" t="s">
        <v>443</v>
      </c>
    </row>
    <row r="3966" spans="1:3">
      <c r="A3966" s="250">
        <v>12024</v>
      </c>
      <c r="B3966" s="74" t="s">
        <v>2917</v>
      </c>
      <c r="C3966" s="74" t="s">
        <v>443</v>
      </c>
    </row>
    <row r="3967" spans="1:3">
      <c r="A3967" s="250">
        <v>12025</v>
      </c>
      <c r="B3967" s="74" t="s">
        <v>2918</v>
      </c>
      <c r="C3967" s="74" t="s">
        <v>443</v>
      </c>
    </row>
    <row r="3968" spans="1:3">
      <c r="A3968" s="250">
        <v>12027</v>
      </c>
      <c r="B3968" s="74" t="s">
        <v>2919</v>
      </c>
      <c r="C3968" s="74" t="s">
        <v>443</v>
      </c>
    </row>
    <row r="3969" spans="1:3">
      <c r="A3969" s="250">
        <v>12028</v>
      </c>
      <c r="B3969" s="74" t="s">
        <v>2920</v>
      </c>
      <c r="C3969" s="74" t="s">
        <v>443</v>
      </c>
    </row>
    <row r="3970" spans="1:3">
      <c r="A3970" s="250">
        <v>12029</v>
      </c>
      <c r="B3970" s="74" t="s">
        <v>1270</v>
      </c>
      <c r="C3970" s="74" t="s">
        <v>443</v>
      </c>
    </row>
    <row r="3971" spans="1:3">
      <c r="A3971" s="250">
        <v>12031</v>
      </c>
      <c r="B3971" s="74" t="s">
        <v>786</v>
      </c>
      <c r="C3971" s="74" t="s">
        <v>443</v>
      </c>
    </row>
    <row r="3972" spans="1:3">
      <c r="A3972" s="250">
        <v>12032</v>
      </c>
      <c r="B3972" s="74" t="s">
        <v>2921</v>
      </c>
      <c r="C3972" s="74" t="s">
        <v>443</v>
      </c>
    </row>
    <row r="3973" spans="1:3">
      <c r="A3973" s="250">
        <v>12033</v>
      </c>
      <c r="B3973" s="74" t="s">
        <v>2922</v>
      </c>
      <c r="C3973" s="74" t="s">
        <v>443</v>
      </c>
    </row>
    <row r="3974" spans="1:3">
      <c r="A3974" s="250">
        <v>12035</v>
      </c>
      <c r="B3974" s="74" t="s">
        <v>2923</v>
      </c>
      <c r="C3974" s="74" t="s">
        <v>443</v>
      </c>
    </row>
    <row r="3975" spans="1:3">
      <c r="A3975" s="250">
        <v>12036</v>
      </c>
      <c r="B3975" s="74" t="s">
        <v>2924</v>
      </c>
      <c r="C3975" s="74" t="s">
        <v>443</v>
      </c>
    </row>
    <row r="3976" spans="1:3">
      <c r="A3976" s="250">
        <v>12037</v>
      </c>
      <c r="B3976" s="74" t="s">
        <v>1025</v>
      </c>
      <c r="C3976" s="74" t="s">
        <v>443</v>
      </c>
    </row>
    <row r="3977" spans="1:3">
      <c r="A3977" s="250">
        <v>12040</v>
      </c>
      <c r="B3977" s="74" t="s">
        <v>2925</v>
      </c>
      <c r="C3977" s="74" t="s">
        <v>443</v>
      </c>
    </row>
    <row r="3978" spans="1:3">
      <c r="A3978" s="250">
        <v>12041</v>
      </c>
      <c r="B3978" s="74" t="s">
        <v>2926</v>
      </c>
      <c r="C3978" s="74" t="s">
        <v>443</v>
      </c>
    </row>
    <row r="3979" spans="1:3">
      <c r="A3979" s="250">
        <v>12042</v>
      </c>
      <c r="B3979" s="74" t="s">
        <v>2927</v>
      </c>
      <c r="C3979" s="74" t="s">
        <v>443</v>
      </c>
    </row>
    <row r="3980" spans="1:3">
      <c r="A3980" s="250">
        <v>12043</v>
      </c>
      <c r="B3980" s="74" t="s">
        <v>2928</v>
      </c>
      <c r="C3980" s="74" t="s">
        <v>443</v>
      </c>
    </row>
    <row r="3981" spans="1:3">
      <c r="A3981" s="250">
        <v>12045</v>
      </c>
      <c r="B3981" s="74" t="s">
        <v>2929</v>
      </c>
      <c r="C3981" s="74" t="s">
        <v>443</v>
      </c>
    </row>
    <row r="3982" spans="1:3">
      <c r="A3982" s="250">
        <v>12046</v>
      </c>
      <c r="B3982" s="74" t="s">
        <v>2930</v>
      </c>
      <c r="C3982" s="74" t="s">
        <v>443</v>
      </c>
    </row>
    <row r="3983" spans="1:3">
      <c r="A3983" s="250">
        <v>12047</v>
      </c>
      <c r="B3983" s="74" t="s">
        <v>2931</v>
      </c>
      <c r="C3983" s="74" t="s">
        <v>443</v>
      </c>
    </row>
    <row r="3984" spans="1:3">
      <c r="A3984" s="250">
        <v>12050</v>
      </c>
      <c r="B3984" s="74" t="s">
        <v>2932</v>
      </c>
      <c r="C3984" s="74" t="s">
        <v>443</v>
      </c>
    </row>
    <row r="3985" spans="1:3">
      <c r="A3985" s="250">
        <v>12051</v>
      </c>
      <c r="B3985" s="74" t="s">
        <v>2933</v>
      </c>
      <c r="C3985" s="74" t="s">
        <v>443</v>
      </c>
    </row>
    <row r="3986" spans="1:3">
      <c r="A3986" s="250">
        <v>12052</v>
      </c>
      <c r="B3986" s="74" t="s">
        <v>2934</v>
      </c>
      <c r="C3986" s="74" t="s">
        <v>443</v>
      </c>
    </row>
    <row r="3987" spans="1:3">
      <c r="A3987" s="250">
        <v>12053</v>
      </c>
      <c r="B3987" s="74" t="s">
        <v>2935</v>
      </c>
      <c r="C3987" s="74" t="s">
        <v>443</v>
      </c>
    </row>
    <row r="3988" spans="1:3">
      <c r="A3988" s="250">
        <v>12054</v>
      </c>
      <c r="B3988" s="74" t="s">
        <v>2936</v>
      </c>
      <c r="C3988" s="74" t="s">
        <v>443</v>
      </c>
    </row>
    <row r="3989" spans="1:3">
      <c r="A3989" s="250">
        <v>12055</v>
      </c>
      <c r="B3989" s="74" t="s">
        <v>2937</v>
      </c>
      <c r="C3989" s="74" t="s">
        <v>443</v>
      </c>
    </row>
    <row r="3990" spans="1:3">
      <c r="A3990" s="250">
        <v>12056</v>
      </c>
      <c r="B3990" s="74" t="s">
        <v>2938</v>
      </c>
      <c r="C3990" s="74" t="s">
        <v>443</v>
      </c>
    </row>
    <row r="3991" spans="1:3">
      <c r="A3991" s="250">
        <v>12057</v>
      </c>
      <c r="B3991" s="74" t="s">
        <v>2939</v>
      </c>
      <c r="C3991" s="74" t="s">
        <v>443</v>
      </c>
    </row>
    <row r="3992" spans="1:3">
      <c r="A3992" s="250">
        <v>12058</v>
      </c>
      <c r="B3992" s="74" t="s">
        <v>2940</v>
      </c>
      <c r="C3992" s="74" t="s">
        <v>443</v>
      </c>
    </row>
    <row r="3993" spans="1:3">
      <c r="A3993" s="250">
        <v>12059</v>
      </c>
      <c r="B3993" s="74" t="s">
        <v>2941</v>
      </c>
      <c r="C3993" s="74" t="s">
        <v>443</v>
      </c>
    </row>
    <row r="3994" spans="1:3">
      <c r="A3994" s="250">
        <v>12060</v>
      </c>
      <c r="B3994" s="74" t="s">
        <v>2942</v>
      </c>
      <c r="C3994" s="74" t="s">
        <v>443</v>
      </c>
    </row>
    <row r="3995" spans="1:3">
      <c r="A3995" s="250">
        <v>12061</v>
      </c>
      <c r="B3995" s="74" t="s">
        <v>2943</v>
      </c>
      <c r="C3995" s="74" t="s">
        <v>443</v>
      </c>
    </row>
    <row r="3996" spans="1:3">
      <c r="A3996" s="250">
        <v>12062</v>
      </c>
      <c r="B3996" s="74" t="s">
        <v>2944</v>
      </c>
      <c r="C3996" s="74" t="s">
        <v>443</v>
      </c>
    </row>
    <row r="3997" spans="1:3">
      <c r="A3997" s="250">
        <v>12063</v>
      </c>
      <c r="B3997" s="74" t="s">
        <v>2945</v>
      </c>
      <c r="C3997" s="74" t="s">
        <v>443</v>
      </c>
    </row>
    <row r="3998" spans="1:3">
      <c r="A3998" s="250">
        <v>12064</v>
      </c>
      <c r="B3998" s="74" t="s">
        <v>2946</v>
      </c>
      <c r="C3998" s="74" t="s">
        <v>443</v>
      </c>
    </row>
    <row r="3999" spans="1:3">
      <c r="A3999" s="250">
        <v>12065</v>
      </c>
      <c r="B3999" s="74" t="s">
        <v>2947</v>
      </c>
      <c r="C3999" s="74" t="s">
        <v>443</v>
      </c>
    </row>
    <row r="4000" spans="1:3">
      <c r="A4000" s="250">
        <v>12066</v>
      </c>
      <c r="B4000" s="74" t="s">
        <v>2948</v>
      </c>
      <c r="C4000" s="74" t="s">
        <v>443</v>
      </c>
    </row>
    <row r="4001" spans="1:3">
      <c r="A4001" s="250">
        <v>12067</v>
      </c>
      <c r="B4001" s="74" t="s">
        <v>2949</v>
      </c>
      <c r="C4001" s="74" t="s">
        <v>443</v>
      </c>
    </row>
    <row r="4002" spans="1:3">
      <c r="A4002" s="250">
        <v>12068</v>
      </c>
      <c r="B4002" s="74" t="s">
        <v>2950</v>
      </c>
      <c r="C4002" s="74" t="s">
        <v>443</v>
      </c>
    </row>
    <row r="4003" spans="1:3">
      <c r="A4003" s="250">
        <v>12069</v>
      </c>
      <c r="B4003" s="74" t="s">
        <v>2951</v>
      </c>
      <c r="C4003" s="74" t="s">
        <v>443</v>
      </c>
    </row>
    <row r="4004" spans="1:3">
      <c r="A4004" s="250">
        <v>12070</v>
      </c>
      <c r="B4004" s="74" t="s">
        <v>2952</v>
      </c>
      <c r="C4004" s="74" t="s">
        <v>443</v>
      </c>
    </row>
    <row r="4005" spans="1:3">
      <c r="A4005" s="250">
        <v>12071</v>
      </c>
      <c r="B4005" s="74" t="s">
        <v>2953</v>
      </c>
      <c r="C4005" s="74" t="s">
        <v>443</v>
      </c>
    </row>
    <row r="4006" spans="1:3">
      <c r="A4006" s="250">
        <v>12072</v>
      </c>
      <c r="B4006" s="74" t="s">
        <v>2954</v>
      </c>
      <c r="C4006" s="74" t="s">
        <v>443</v>
      </c>
    </row>
    <row r="4007" spans="1:3">
      <c r="A4007" s="250">
        <v>12073</v>
      </c>
      <c r="B4007" s="74" t="s">
        <v>2955</v>
      </c>
      <c r="C4007" s="74" t="s">
        <v>443</v>
      </c>
    </row>
    <row r="4008" spans="1:3">
      <c r="A4008" s="250">
        <v>12074</v>
      </c>
      <c r="B4008" s="74" t="s">
        <v>2956</v>
      </c>
      <c r="C4008" s="74" t="s">
        <v>443</v>
      </c>
    </row>
    <row r="4009" spans="1:3">
      <c r="A4009" s="250">
        <v>12075</v>
      </c>
      <c r="B4009" s="74" t="s">
        <v>2957</v>
      </c>
      <c r="C4009" s="74" t="s">
        <v>443</v>
      </c>
    </row>
    <row r="4010" spans="1:3">
      <c r="A4010" s="250">
        <v>12076</v>
      </c>
      <c r="B4010" s="74" t="s">
        <v>2958</v>
      </c>
      <c r="C4010" s="74" t="s">
        <v>443</v>
      </c>
    </row>
    <row r="4011" spans="1:3">
      <c r="A4011" s="250">
        <v>12077</v>
      </c>
      <c r="B4011" s="74" t="s">
        <v>2959</v>
      </c>
      <c r="C4011" s="74" t="s">
        <v>443</v>
      </c>
    </row>
    <row r="4012" spans="1:3">
      <c r="A4012" s="250">
        <v>12078</v>
      </c>
      <c r="B4012" s="74" t="s">
        <v>2960</v>
      </c>
      <c r="C4012" s="74" t="s">
        <v>443</v>
      </c>
    </row>
    <row r="4013" spans="1:3">
      <c r="A4013" s="250">
        <v>12082</v>
      </c>
      <c r="B4013" s="74" t="s">
        <v>737</v>
      </c>
      <c r="C4013" s="74" t="s">
        <v>443</v>
      </c>
    </row>
    <row r="4014" spans="1:3">
      <c r="A4014" s="250">
        <v>12083</v>
      </c>
      <c r="B4014" s="74" t="s">
        <v>1108</v>
      </c>
      <c r="C4014" s="74" t="s">
        <v>443</v>
      </c>
    </row>
    <row r="4015" spans="1:3">
      <c r="A4015" s="250">
        <v>12084</v>
      </c>
      <c r="B4015" s="74" t="s">
        <v>2961</v>
      </c>
      <c r="C4015" s="74" t="s">
        <v>443</v>
      </c>
    </row>
    <row r="4016" spans="1:3">
      <c r="A4016" s="250">
        <v>12085</v>
      </c>
      <c r="B4016" s="74" t="s">
        <v>2962</v>
      </c>
      <c r="C4016" s="74" t="s">
        <v>443</v>
      </c>
    </row>
    <row r="4017" spans="1:3">
      <c r="A4017" s="250">
        <v>12086</v>
      </c>
      <c r="B4017" s="74" t="s">
        <v>2963</v>
      </c>
      <c r="C4017" s="74" t="s">
        <v>443</v>
      </c>
    </row>
    <row r="4018" spans="1:3">
      <c r="A4018" s="250">
        <v>12087</v>
      </c>
      <c r="B4018" s="74" t="s">
        <v>2964</v>
      </c>
      <c r="C4018" s="74" t="s">
        <v>443</v>
      </c>
    </row>
    <row r="4019" spans="1:3">
      <c r="A4019" s="250">
        <v>12089</v>
      </c>
      <c r="B4019" s="74" t="s">
        <v>2965</v>
      </c>
      <c r="C4019" s="74" t="s">
        <v>443</v>
      </c>
    </row>
    <row r="4020" spans="1:3">
      <c r="A4020" s="250">
        <v>12090</v>
      </c>
      <c r="B4020" s="74" t="s">
        <v>2966</v>
      </c>
      <c r="C4020" s="74" t="s">
        <v>443</v>
      </c>
    </row>
    <row r="4021" spans="1:3">
      <c r="A4021" s="250">
        <v>12092</v>
      </c>
      <c r="B4021" s="74" t="s">
        <v>2967</v>
      </c>
      <c r="C4021" s="74" t="s">
        <v>443</v>
      </c>
    </row>
    <row r="4022" spans="1:3">
      <c r="A4022" s="250">
        <v>12093</v>
      </c>
      <c r="B4022" s="74" t="s">
        <v>740</v>
      </c>
      <c r="C4022" s="74" t="s">
        <v>443</v>
      </c>
    </row>
    <row r="4023" spans="1:3">
      <c r="A4023" s="250">
        <v>12094</v>
      </c>
      <c r="B4023" s="74" t="s">
        <v>2968</v>
      </c>
      <c r="C4023" s="74" t="s">
        <v>443</v>
      </c>
    </row>
    <row r="4024" spans="1:3">
      <c r="A4024" s="250">
        <v>12095</v>
      </c>
      <c r="B4024" s="74" t="s">
        <v>2969</v>
      </c>
      <c r="C4024" s="74" t="s">
        <v>443</v>
      </c>
    </row>
    <row r="4025" spans="1:3">
      <c r="A4025" s="250">
        <v>12106</v>
      </c>
      <c r="B4025" s="74" t="s">
        <v>2970</v>
      </c>
      <c r="C4025" s="74" t="s">
        <v>443</v>
      </c>
    </row>
    <row r="4026" spans="1:3">
      <c r="A4026" s="250">
        <v>12107</v>
      </c>
      <c r="B4026" s="74" t="s">
        <v>2971</v>
      </c>
      <c r="C4026" s="74" t="s">
        <v>443</v>
      </c>
    </row>
    <row r="4027" spans="1:3">
      <c r="A4027" s="250">
        <v>12108</v>
      </c>
      <c r="B4027" s="74" t="s">
        <v>682</v>
      </c>
      <c r="C4027" s="74" t="s">
        <v>443</v>
      </c>
    </row>
    <row r="4028" spans="1:3">
      <c r="A4028" s="250">
        <v>12110</v>
      </c>
      <c r="B4028" s="74" t="s">
        <v>2972</v>
      </c>
      <c r="C4028" s="74" t="s">
        <v>443</v>
      </c>
    </row>
    <row r="4029" spans="1:3">
      <c r="A4029" s="250">
        <v>12115</v>
      </c>
      <c r="B4029" s="74" t="s">
        <v>2973</v>
      </c>
      <c r="C4029" s="74" t="s">
        <v>443</v>
      </c>
    </row>
    <row r="4030" spans="1:3">
      <c r="A4030" s="250">
        <v>12116</v>
      </c>
      <c r="B4030" s="74" t="s">
        <v>2974</v>
      </c>
      <c r="C4030" s="74" t="s">
        <v>443</v>
      </c>
    </row>
    <row r="4031" spans="1:3">
      <c r="A4031" s="250">
        <v>12117</v>
      </c>
      <c r="B4031" s="74" t="s">
        <v>2975</v>
      </c>
      <c r="C4031" s="74" t="s">
        <v>443</v>
      </c>
    </row>
    <row r="4032" spans="1:3">
      <c r="A4032" s="250">
        <v>12118</v>
      </c>
      <c r="B4032" s="74" t="s">
        <v>2976</v>
      </c>
      <c r="C4032" s="74" t="s">
        <v>443</v>
      </c>
    </row>
    <row r="4033" spans="1:3">
      <c r="A4033" s="250">
        <v>12120</v>
      </c>
      <c r="B4033" s="74" t="s">
        <v>2977</v>
      </c>
      <c r="C4033" s="74" t="s">
        <v>443</v>
      </c>
    </row>
    <row r="4034" spans="1:3">
      <c r="A4034" s="250">
        <v>12121</v>
      </c>
      <c r="B4034" s="74" t="s">
        <v>924</v>
      </c>
      <c r="C4034" s="74" t="s">
        <v>443</v>
      </c>
    </row>
    <row r="4035" spans="1:3">
      <c r="A4035" s="250">
        <v>12122</v>
      </c>
      <c r="B4035" s="74" t="s">
        <v>2978</v>
      </c>
      <c r="C4035" s="74" t="s">
        <v>443</v>
      </c>
    </row>
    <row r="4036" spans="1:3">
      <c r="A4036" s="250">
        <v>12123</v>
      </c>
      <c r="B4036" s="74" t="s">
        <v>2979</v>
      </c>
      <c r="C4036" s="74" t="s">
        <v>443</v>
      </c>
    </row>
    <row r="4037" spans="1:3">
      <c r="A4037" s="250">
        <v>12124</v>
      </c>
      <c r="B4037" s="74" t="s">
        <v>2980</v>
      </c>
      <c r="C4037" s="74" t="s">
        <v>443</v>
      </c>
    </row>
    <row r="4038" spans="1:3">
      <c r="A4038" s="250">
        <v>12125</v>
      </c>
      <c r="B4038" s="74" t="s">
        <v>2981</v>
      </c>
      <c r="C4038" s="74" t="s">
        <v>443</v>
      </c>
    </row>
    <row r="4039" spans="1:3">
      <c r="A4039" s="250">
        <v>12128</v>
      </c>
      <c r="B4039" s="74" t="s">
        <v>975</v>
      </c>
      <c r="C4039" s="74" t="s">
        <v>443</v>
      </c>
    </row>
    <row r="4040" spans="1:3">
      <c r="A4040" s="250">
        <v>12130</v>
      </c>
      <c r="B4040" s="74" t="s">
        <v>2982</v>
      </c>
      <c r="C4040" s="74" t="s">
        <v>443</v>
      </c>
    </row>
    <row r="4041" spans="1:3">
      <c r="A4041" s="250">
        <v>12131</v>
      </c>
      <c r="B4041" s="74" t="s">
        <v>2983</v>
      </c>
      <c r="C4041" s="74" t="s">
        <v>443</v>
      </c>
    </row>
    <row r="4042" spans="1:3">
      <c r="A4042" s="250">
        <v>12132</v>
      </c>
      <c r="B4042" s="74" t="s">
        <v>1039</v>
      </c>
      <c r="C4042" s="74" t="s">
        <v>443</v>
      </c>
    </row>
    <row r="4043" spans="1:3">
      <c r="A4043" s="250">
        <v>12133</v>
      </c>
      <c r="B4043" s="74" t="s">
        <v>2984</v>
      </c>
      <c r="C4043" s="74" t="s">
        <v>443</v>
      </c>
    </row>
    <row r="4044" spans="1:3">
      <c r="A4044" s="250">
        <v>12134</v>
      </c>
      <c r="B4044" s="74" t="s">
        <v>2985</v>
      </c>
      <c r="C4044" s="74" t="s">
        <v>443</v>
      </c>
    </row>
    <row r="4045" spans="1:3">
      <c r="A4045" s="250">
        <v>12136</v>
      </c>
      <c r="B4045" s="74" t="s">
        <v>2986</v>
      </c>
      <c r="C4045" s="74" t="s">
        <v>443</v>
      </c>
    </row>
    <row r="4046" spans="1:3">
      <c r="A4046" s="250">
        <v>12137</v>
      </c>
      <c r="B4046" s="74" t="s">
        <v>2987</v>
      </c>
      <c r="C4046" s="74" t="s">
        <v>443</v>
      </c>
    </row>
    <row r="4047" spans="1:3">
      <c r="A4047" s="250">
        <v>12138</v>
      </c>
      <c r="B4047" s="74" t="s">
        <v>2988</v>
      </c>
      <c r="C4047" s="74" t="s">
        <v>443</v>
      </c>
    </row>
    <row r="4048" spans="1:3">
      <c r="A4048" s="250">
        <v>12139</v>
      </c>
      <c r="B4048" s="74" t="s">
        <v>2989</v>
      </c>
      <c r="C4048" s="74" t="s">
        <v>443</v>
      </c>
    </row>
    <row r="4049" spans="1:3">
      <c r="A4049" s="250">
        <v>12140</v>
      </c>
      <c r="B4049" s="74" t="s">
        <v>2990</v>
      </c>
      <c r="C4049" s="74" t="s">
        <v>443</v>
      </c>
    </row>
    <row r="4050" spans="1:3">
      <c r="A4050" s="250">
        <v>12141</v>
      </c>
      <c r="B4050" s="74" t="s">
        <v>2991</v>
      </c>
      <c r="C4050" s="74" t="s">
        <v>443</v>
      </c>
    </row>
    <row r="4051" spans="1:3">
      <c r="A4051" s="250">
        <v>12143</v>
      </c>
      <c r="B4051" s="74" t="s">
        <v>2992</v>
      </c>
      <c r="C4051" s="74" t="s">
        <v>443</v>
      </c>
    </row>
    <row r="4052" spans="1:3">
      <c r="A4052" s="250">
        <v>12144</v>
      </c>
      <c r="B4052" s="74" t="s">
        <v>2993</v>
      </c>
      <c r="C4052" s="74" t="s">
        <v>443</v>
      </c>
    </row>
    <row r="4053" spans="1:3">
      <c r="A4053" s="250">
        <v>12147</v>
      </c>
      <c r="B4053" s="74" t="s">
        <v>2994</v>
      </c>
      <c r="C4053" s="74" t="s">
        <v>443</v>
      </c>
    </row>
    <row r="4054" spans="1:3">
      <c r="A4054" s="250">
        <v>12148</v>
      </c>
      <c r="B4054" s="74" t="s">
        <v>2995</v>
      </c>
      <c r="C4054" s="74" t="s">
        <v>443</v>
      </c>
    </row>
    <row r="4055" spans="1:3">
      <c r="A4055" s="250">
        <v>12149</v>
      </c>
      <c r="B4055" s="74" t="s">
        <v>2996</v>
      </c>
      <c r="C4055" s="74" t="s">
        <v>443</v>
      </c>
    </row>
    <row r="4056" spans="1:3">
      <c r="A4056" s="250">
        <v>12150</v>
      </c>
      <c r="B4056" s="74" t="s">
        <v>2997</v>
      </c>
      <c r="C4056" s="74" t="s">
        <v>443</v>
      </c>
    </row>
    <row r="4057" spans="1:3">
      <c r="A4057" s="250">
        <v>12151</v>
      </c>
      <c r="B4057" s="74" t="s">
        <v>2998</v>
      </c>
      <c r="C4057" s="74" t="s">
        <v>443</v>
      </c>
    </row>
    <row r="4058" spans="1:3">
      <c r="A4058" s="250">
        <v>12153</v>
      </c>
      <c r="B4058" s="74" t="s">
        <v>2999</v>
      </c>
      <c r="C4058" s="74" t="s">
        <v>443</v>
      </c>
    </row>
    <row r="4059" spans="1:3">
      <c r="A4059" s="250">
        <v>12154</v>
      </c>
      <c r="B4059" s="74" t="s">
        <v>3000</v>
      </c>
      <c r="C4059" s="74" t="s">
        <v>443</v>
      </c>
    </row>
    <row r="4060" spans="1:3">
      <c r="A4060" s="250">
        <v>12155</v>
      </c>
      <c r="B4060" s="74" t="s">
        <v>3001</v>
      </c>
      <c r="C4060" s="74" t="s">
        <v>443</v>
      </c>
    </row>
    <row r="4061" spans="1:3">
      <c r="A4061" s="250">
        <v>12156</v>
      </c>
      <c r="B4061" s="74" t="s">
        <v>3002</v>
      </c>
      <c r="C4061" s="74" t="s">
        <v>443</v>
      </c>
    </row>
    <row r="4062" spans="1:3">
      <c r="A4062" s="250">
        <v>12157</v>
      </c>
      <c r="B4062" s="74" t="s">
        <v>3003</v>
      </c>
      <c r="C4062" s="74" t="s">
        <v>443</v>
      </c>
    </row>
    <row r="4063" spans="1:3">
      <c r="A4063" s="250">
        <v>12158</v>
      </c>
      <c r="B4063" s="74" t="s">
        <v>3004</v>
      </c>
      <c r="C4063" s="74" t="s">
        <v>443</v>
      </c>
    </row>
    <row r="4064" spans="1:3">
      <c r="A4064" s="250">
        <v>12159</v>
      </c>
      <c r="B4064" s="74" t="s">
        <v>3005</v>
      </c>
      <c r="C4064" s="74" t="s">
        <v>443</v>
      </c>
    </row>
    <row r="4065" spans="1:3">
      <c r="A4065" s="250">
        <v>12160</v>
      </c>
      <c r="B4065" s="74" t="s">
        <v>3006</v>
      </c>
      <c r="C4065" s="74" t="s">
        <v>443</v>
      </c>
    </row>
    <row r="4066" spans="1:3">
      <c r="A4066" s="250">
        <v>12161</v>
      </c>
      <c r="B4066" s="74" t="s">
        <v>3007</v>
      </c>
      <c r="C4066" s="74" t="s">
        <v>443</v>
      </c>
    </row>
    <row r="4067" spans="1:3">
      <c r="A4067" s="250">
        <v>12164</v>
      </c>
      <c r="B4067" s="74" t="s">
        <v>3008</v>
      </c>
      <c r="C4067" s="74" t="s">
        <v>443</v>
      </c>
    </row>
    <row r="4068" spans="1:3">
      <c r="A4068" s="250">
        <v>12165</v>
      </c>
      <c r="B4068" s="74" t="s">
        <v>3009</v>
      </c>
      <c r="C4068" s="74" t="s">
        <v>443</v>
      </c>
    </row>
    <row r="4069" spans="1:3">
      <c r="A4069" s="250">
        <v>12166</v>
      </c>
      <c r="B4069" s="74" t="s">
        <v>3010</v>
      </c>
      <c r="C4069" s="74" t="s">
        <v>443</v>
      </c>
    </row>
    <row r="4070" spans="1:3">
      <c r="A4070" s="250">
        <v>12167</v>
      </c>
      <c r="B4070" s="74" t="s">
        <v>1789</v>
      </c>
      <c r="C4070" s="74" t="s">
        <v>443</v>
      </c>
    </row>
    <row r="4071" spans="1:3">
      <c r="A4071" s="250">
        <v>12168</v>
      </c>
      <c r="B4071" s="74" t="s">
        <v>3011</v>
      </c>
      <c r="C4071" s="74" t="s">
        <v>443</v>
      </c>
    </row>
    <row r="4072" spans="1:3">
      <c r="A4072" s="250">
        <v>12169</v>
      </c>
      <c r="B4072" s="74" t="s">
        <v>3011</v>
      </c>
      <c r="C4072" s="74" t="s">
        <v>443</v>
      </c>
    </row>
    <row r="4073" spans="1:3">
      <c r="A4073" s="250">
        <v>12170</v>
      </c>
      <c r="B4073" s="74" t="s">
        <v>1530</v>
      </c>
      <c r="C4073" s="74" t="s">
        <v>443</v>
      </c>
    </row>
    <row r="4074" spans="1:3">
      <c r="A4074" s="250">
        <v>12172</v>
      </c>
      <c r="B4074" s="74" t="s">
        <v>3012</v>
      </c>
      <c r="C4074" s="74" t="s">
        <v>443</v>
      </c>
    </row>
    <row r="4075" spans="1:3">
      <c r="A4075" s="250">
        <v>12173</v>
      </c>
      <c r="B4075" s="74" t="s">
        <v>3013</v>
      </c>
      <c r="C4075" s="74" t="s">
        <v>443</v>
      </c>
    </row>
    <row r="4076" spans="1:3">
      <c r="A4076" s="250">
        <v>12174</v>
      </c>
      <c r="B4076" s="74" t="s">
        <v>3014</v>
      </c>
      <c r="C4076" s="74" t="s">
        <v>443</v>
      </c>
    </row>
    <row r="4077" spans="1:3">
      <c r="A4077" s="250">
        <v>12175</v>
      </c>
      <c r="B4077" s="74" t="s">
        <v>2335</v>
      </c>
      <c r="C4077" s="74" t="s">
        <v>443</v>
      </c>
    </row>
    <row r="4078" spans="1:3">
      <c r="A4078" s="250">
        <v>12176</v>
      </c>
      <c r="B4078" s="74" t="s">
        <v>3015</v>
      </c>
      <c r="C4078" s="74" t="s">
        <v>443</v>
      </c>
    </row>
    <row r="4079" spans="1:3">
      <c r="A4079" s="250">
        <v>12177</v>
      </c>
      <c r="B4079" s="74" t="s">
        <v>3016</v>
      </c>
      <c r="C4079" s="74" t="s">
        <v>443</v>
      </c>
    </row>
    <row r="4080" spans="1:3">
      <c r="A4080" s="250">
        <v>12180</v>
      </c>
      <c r="B4080" s="74" t="s">
        <v>1243</v>
      </c>
      <c r="C4080" s="74" t="s">
        <v>443</v>
      </c>
    </row>
    <row r="4081" spans="1:3">
      <c r="A4081" s="250">
        <v>12181</v>
      </c>
      <c r="B4081" s="74" t="s">
        <v>1243</v>
      </c>
      <c r="C4081" s="74" t="s">
        <v>443</v>
      </c>
    </row>
    <row r="4082" spans="1:3">
      <c r="A4082" s="250">
        <v>12182</v>
      </c>
      <c r="B4082" s="74" t="s">
        <v>1243</v>
      </c>
      <c r="C4082" s="74" t="s">
        <v>443</v>
      </c>
    </row>
    <row r="4083" spans="1:3">
      <c r="A4083" s="250">
        <v>12183</v>
      </c>
      <c r="B4083" s="74" t="s">
        <v>1243</v>
      </c>
      <c r="C4083" s="74" t="s">
        <v>443</v>
      </c>
    </row>
    <row r="4084" spans="1:3">
      <c r="A4084" s="250">
        <v>12184</v>
      </c>
      <c r="B4084" s="74" t="s">
        <v>3017</v>
      </c>
      <c r="C4084" s="74" t="s">
        <v>443</v>
      </c>
    </row>
    <row r="4085" spans="1:3">
      <c r="A4085" s="250">
        <v>12185</v>
      </c>
      <c r="B4085" s="74" t="s">
        <v>3018</v>
      </c>
      <c r="C4085" s="74" t="s">
        <v>443</v>
      </c>
    </row>
    <row r="4086" spans="1:3">
      <c r="A4086" s="250">
        <v>12186</v>
      </c>
      <c r="B4086" s="74" t="s">
        <v>3019</v>
      </c>
      <c r="C4086" s="74" t="s">
        <v>443</v>
      </c>
    </row>
    <row r="4087" spans="1:3">
      <c r="A4087" s="250">
        <v>12187</v>
      </c>
      <c r="B4087" s="74" t="s">
        <v>3020</v>
      </c>
      <c r="C4087" s="74" t="s">
        <v>443</v>
      </c>
    </row>
    <row r="4088" spans="1:3">
      <c r="A4088" s="250">
        <v>12188</v>
      </c>
      <c r="B4088" s="74" t="s">
        <v>1420</v>
      </c>
      <c r="C4088" s="74" t="s">
        <v>443</v>
      </c>
    </row>
    <row r="4089" spans="1:3">
      <c r="A4089" s="250">
        <v>12189</v>
      </c>
      <c r="B4089" s="74" t="s">
        <v>3021</v>
      </c>
      <c r="C4089" s="74" t="s">
        <v>443</v>
      </c>
    </row>
    <row r="4090" spans="1:3">
      <c r="A4090" s="250">
        <v>12190</v>
      </c>
      <c r="B4090" s="74" t="s">
        <v>1421</v>
      </c>
      <c r="C4090" s="74" t="s">
        <v>443</v>
      </c>
    </row>
    <row r="4091" spans="1:3">
      <c r="A4091" s="250">
        <v>12192</v>
      </c>
      <c r="B4091" s="74" t="s">
        <v>3022</v>
      </c>
      <c r="C4091" s="74" t="s">
        <v>443</v>
      </c>
    </row>
    <row r="4092" spans="1:3">
      <c r="A4092" s="250">
        <v>12193</v>
      </c>
      <c r="B4092" s="74" t="s">
        <v>3023</v>
      </c>
      <c r="C4092" s="74" t="s">
        <v>443</v>
      </c>
    </row>
    <row r="4093" spans="1:3">
      <c r="A4093" s="250">
        <v>12194</v>
      </c>
      <c r="B4093" s="74" t="s">
        <v>3024</v>
      </c>
      <c r="C4093" s="74" t="s">
        <v>443</v>
      </c>
    </row>
    <row r="4094" spans="1:3">
      <c r="A4094" s="250">
        <v>12195</v>
      </c>
      <c r="B4094" s="74" t="s">
        <v>1290</v>
      </c>
      <c r="C4094" s="74" t="s">
        <v>443</v>
      </c>
    </row>
    <row r="4095" spans="1:3">
      <c r="A4095" s="250">
        <v>12196</v>
      </c>
      <c r="B4095" s="74" t="s">
        <v>3025</v>
      </c>
      <c r="C4095" s="74" t="s">
        <v>443</v>
      </c>
    </row>
    <row r="4096" spans="1:3">
      <c r="A4096" s="250">
        <v>12197</v>
      </c>
      <c r="B4096" s="74" t="s">
        <v>775</v>
      </c>
      <c r="C4096" s="74" t="s">
        <v>443</v>
      </c>
    </row>
    <row r="4097" spans="1:3">
      <c r="A4097" s="250">
        <v>12198</v>
      </c>
      <c r="B4097" s="74" t="s">
        <v>3026</v>
      </c>
      <c r="C4097" s="74" t="s">
        <v>443</v>
      </c>
    </row>
    <row r="4098" spans="1:3">
      <c r="A4098" s="250">
        <v>12201</v>
      </c>
      <c r="B4098" s="74" t="s">
        <v>1896</v>
      </c>
      <c r="C4098" s="74" t="s">
        <v>443</v>
      </c>
    </row>
    <row r="4099" spans="1:3">
      <c r="A4099" s="250">
        <v>12202</v>
      </c>
      <c r="B4099" s="74" t="s">
        <v>1896</v>
      </c>
      <c r="C4099" s="74" t="s">
        <v>443</v>
      </c>
    </row>
    <row r="4100" spans="1:3">
      <c r="A4100" s="250">
        <v>12203</v>
      </c>
      <c r="B4100" s="74" t="s">
        <v>1896</v>
      </c>
      <c r="C4100" s="74" t="s">
        <v>443</v>
      </c>
    </row>
    <row r="4101" spans="1:3">
      <c r="A4101" s="250">
        <v>12204</v>
      </c>
      <c r="B4101" s="74" t="s">
        <v>1896</v>
      </c>
      <c r="C4101" s="74" t="s">
        <v>443</v>
      </c>
    </row>
    <row r="4102" spans="1:3">
      <c r="A4102" s="250">
        <v>12205</v>
      </c>
      <c r="B4102" s="74" t="s">
        <v>1896</v>
      </c>
      <c r="C4102" s="74" t="s">
        <v>443</v>
      </c>
    </row>
    <row r="4103" spans="1:3">
      <c r="A4103" s="250">
        <v>12206</v>
      </c>
      <c r="B4103" s="74" t="s">
        <v>1896</v>
      </c>
      <c r="C4103" s="74" t="s">
        <v>443</v>
      </c>
    </row>
    <row r="4104" spans="1:3">
      <c r="A4104" s="250">
        <v>12207</v>
      </c>
      <c r="B4104" s="74" t="s">
        <v>1896</v>
      </c>
      <c r="C4104" s="74" t="s">
        <v>443</v>
      </c>
    </row>
    <row r="4105" spans="1:3">
      <c r="A4105" s="250">
        <v>12208</v>
      </c>
      <c r="B4105" s="74" t="s">
        <v>1896</v>
      </c>
      <c r="C4105" s="74" t="s">
        <v>443</v>
      </c>
    </row>
    <row r="4106" spans="1:3">
      <c r="A4106" s="250">
        <v>12209</v>
      </c>
      <c r="B4106" s="74" t="s">
        <v>1896</v>
      </c>
      <c r="C4106" s="74" t="s">
        <v>443</v>
      </c>
    </row>
    <row r="4107" spans="1:3">
      <c r="A4107" s="250">
        <v>12210</v>
      </c>
      <c r="B4107" s="74" t="s">
        <v>1896</v>
      </c>
      <c r="C4107" s="74" t="s">
        <v>443</v>
      </c>
    </row>
    <row r="4108" spans="1:3">
      <c r="A4108" s="250">
        <v>12211</v>
      </c>
      <c r="B4108" s="74" t="s">
        <v>1896</v>
      </c>
      <c r="C4108" s="74" t="s">
        <v>443</v>
      </c>
    </row>
    <row r="4109" spans="1:3">
      <c r="A4109" s="250">
        <v>12212</v>
      </c>
      <c r="B4109" s="74" t="s">
        <v>1896</v>
      </c>
      <c r="C4109" s="74" t="s">
        <v>443</v>
      </c>
    </row>
    <row r="4110" spans="1:3">
      <c r="A4110" s="250">
        <v>12214</v>
      </c>
      <c r="B4110" s="74" t="s">
        <v>1896</v>
      </c>
      <c r="C4110" s="74" t="s">
        <v>443</v>
      </c>
    </row>
    <row r="4111" spans="1:3">
      <c r="A4111" s="250">
        <v>12220</v>
      </c>
      <c r="B4111" s="74" t="s">
        <v>1896</v>
      </c>
      <c r="C4111" s="74" t="s">
        <v>443</v>
      </c>
    </row>
    <row r="4112" spans="1:3">
      <c r="A4112" s="250">
        <v>12222</v>
      </c>
      <c r="B4112" s="74" t="s">
        <v>1896</v>
      </c>
      <c r="C4112" s="74" t="s">
        <v>443</v>
      </c>
    </row>
    <row r="4113" spans="1:3">
      <c r="A4113" s="250">
        <v>12223</v>
      </c>
      <c r="B4113" s="74" t="s">
        <v>1896</v>
      </c>
      <c r="C4113" s="74" t="s">
        <v>443</v>
      </c>
    </row>
    <row r="4114" spans="1:3">
      <c r="A4114" s="250">
        <v>12224</v>
      </c>
      <c r="B4114" s="74" t="s">
        <v>1896</v>
      </c>
      <c r="C4114" s="74" t="s">
        <v>443</v>
      </c>
    </row>
    <row r="4115" spans="1:3">
      <c r="A4115" s="250">
        <v>12225</v>
      </c>
      <c r="B4115" s="74" t="s">
        <v>1896</v>
      </c>
      <c r="C4115" s="74" t="s">
        <v>443</v>
      </c>
    </row>
    <row r="4116" spans="1:3">
      <c r="A4116" s="250">
        <v>12226</v>
      </c>
      <c r="B4116" s="74" t="s">
        <v>1896</v>
      </c>
      <c r="C4116" s="74" t="s">
        <v>443</v>
      </c>
    </row>
    <row r="4117" spans="1:3">
      <c r="A4117" s="250">
        <v>12227</v>
      </c>
      <c r="B4117" s="74" t="s">
        <v>1896</v>
      </c>
      <c r="C4117" s="74" t="s">
        <v>443</v>
      </c>
    </row>
    <row r="4118" spans="1:3">
      <c r="A4118" s="250">
        <v>12228</v>
      </c>
      <c r="B4118" s="74" t="s">
        <v>1896</v>
      </c>
      <c r="C4118" s="74" t="s">
        <v>443</v>
      </c>
    </row>
    <row r="4119" spans="1:3">
      <c r="A4119" s="250">
        <v>12229</v>
      </c>
      <c r="B4119" s="74" t="s">
        <v>1896</v>
      </c>
      <c r="C4119" s="74" t="s">
        <v>443</v>
      </c>
    </row>
    <row r="4120" spans="1:3">
      <c r="A4120" s="250">
        <v>12230</v>
      </c>
      <c r="B4120" s="74" t="s">
        <v>1896</v>
      </c>
      <c r="C4120" s="74" t="s">
        <v>443</v>
      </c>
    </row>
    <row r="4121" spans="1:3">
      <c r="A4121" s="250">
        <v>12231</v>
      </c>
      <c r="B4121" s="74" t="s">
        <v>1896</v>
      </c>
      <c r="C4121" s="74" t="s">
        <v>443</v>
      </c>
    </row>
    <row r="4122" spans="1:3">
      <c r="A4122" s="250">
        <v>12232</v>
      </c>
      <c r="B4122" s="74" t="s">
        <v>1896</v>
      </c>
      <c r="C4122" s="74" t="s">
        <v>443</v>
      </c>
    </row>
    <row r="4123" spans="1:3">
      <c r="A4123" s="250">
        <v>12233</v>
      </c>
      <c r="B4123" s="74" t="s">
        <v>1896</v>
      </c>
      <c r="C4123" s="74" t="s">
        <v>443</v>
      </c>
    </row>
    <row r="4124" spans="1:3">
      <c r="A4124" s="250">
        <v>12234</v>
      </c>
      <c r="B4124" s="74" t="s">
        <v>1896</v>
      </c>
      <c r="C4124" s="74" t="s">
        <v>443</v>
      </c>
    </row>
    <row r="4125" spans="1:3">
      <c r="A4125" s="250">
        <v>12235</v>
      </c>
      <c r="B4125" s="74" t="s">
        <v>1896</v>
      </c>
      <c r="C4125" s="74" t="s">
        <v>443</v>
      </c>
    </row>
    <row r="4126" spans="1:3">
      <c r="A4126" s="250">
        <v>12236</v>
      </c>
      <c r="B4126" s="74" t="s">
        <v>1896</v>
      </c>
      <c r="C4126" s="74" t="s">
        <v>443</v>
      </c>
    </row>
    <row r="4127" spans="1:3">
      <c r="A4127" s="250">
        <v>12237</v>
      </c>
      <c r="B4127" s="74" t="s">
        <v>1896</v>
      </c>
      <c r="C4127" s="74" t="s">
        <v>443</v>
      </c>
    </row>
    <row r="4128" spans="1:3">
      <c r="A4128" s="250">
        <v>12238</v>
      </c>
      <c r="B4128" s="74" t="s">
        <v>1896</v>
      </c>
      <c r="C4128" s="74" t="s">
        <v>443</v>
      </c>
    </row>
    <row r="4129" spans="1:3">
      <c r="A4129" s="250">
        <v>12239</v>
      </c>
      <c r="B4129" s="74" t="s">
        <v>1896</v>
      </c>
      <c r="C4129" s="74" t="s">
        <v>443</v>
      </c>
    </row>
    <row r="4130" spans="1:3">
      <c r="A4130" s="250">
        <v>12240</v>
      </c>
      <c r="B4130" s="74" t="s">
        <v>1896</v>
      </c>
      <c r="C4130" s="74" t="s">
        <v>443</v>
      </c>
    </row>
    <row r="4131" spans="1:3">
      <c r="A4131" s="250">
        <v>12241</v>
      </c>
      <c r="B4131" s="74" t="s">
        <v>1896</v>
      </c>
      <c r="C4131" s="74" t="s">
        <v>443</v>
      </c>
    </row>
    <row r="4132" spans="1:3">
      <c r="A4132" s="250">
        <v>12242</v>
      </c>
      <c r="B4132" s="74" t="s">
        <v>1896</v>
      </c>
      <c r="C4132" s="74" t="s">
        <v>443</v>
      </c>
    </row>
    <row r="4133" spans="1:3">
      <c r="A4133" s="250">
        <v>12243</v>
      </c>
      <c r="B4133" s="74" t="s">
        <v>1896</v>
      </c>
      <c r="C4133" s="74" t="s">
        <v>443</v>
      </c>
    </row>
    <row r="4134" spans="1:3">
      <c r="A4134" s="250">
        <v>12244</v>
      </c>
      <c r="B4134" s="74" t="s">
        <v>1896</v>
      </c>
      <c r="C4134" s="74" t="s">
        <v>443</v>
      </c>
    </row>
    <row r="4135" spans="1:3">
      <c r="A4135" s="250">
        <v>12245</v>
      </c>
      <c r="B4135" s="74" t="s">
        <v>1896</v>
      </c>
      <c r="C4135" s="74" t="s">
        <v>443</v>
      </c>
    </row>
    <row r="4136" spans="1:3">
      <c r="A4136" s="250">
        <v>12246</v>
      </c>
      <c r="B4136" s="74" t="s">
        <v>1896</v>
      </c>
      <c r="C4136" s="74" t="s">
        <v>443</v>
      </c>
    </row>
    <row r="4137" spans="1:3">
      <c r="A4137" s="250">
        <v>12247</v>
      </c>
      <c r="B4137" s="74" t="s">
        <v>1896</v>
      </c>
      <c r="C4137" s="74" t="s">
        <v>443</v>
      </c>
    </row>
    <row r="4138" spans="1:3">
      <c r="A4138" s="250">
        <v>12248</v>
      </c>
      <c r="B4138" s="74" t="s">
        <v>1896</v>
      </c>
      <c r="C4138" s="74" t="s">
        <v>443</v>
      </c>
    </row>
    <row r="4139" spans="1:3">
      <c r="A4139" s="250">
        <v>12249</v>
      </c>
      <c r="B4139" s="74" t="s">
        <v>1896</v>
      </c>
      <c r="C4139" s="74" t="s">
        <v>443</v>
      </c>
    </row>
    <row r="4140" spans="1:3">
      <c r="A4140" s="250">
        <v>12250</v>
      </c>
      <c r="B4140" s="74" t="s">
        <v>1896</v>
      </c>
      <c r="C4140" s="74" t="s">
        <v>443</v>
      </c>
    </row>
    <row r="4141" spans="1:3">
      <c r="A4141" s="250">
        <v>12252</v>
      </c>
      <c r="B4141" s="74" t="s">
        <v>1896</v>
      </c>
      <c r="C4141" s="74" t="s">
        <v>443</v>
      </c>
    </row>
    <row r="4142" spans="1:3">
      <c r="A4142" s="250">
        <v>12255</v>
      </c>
      <c r="B4142" s="74" t="s">
        <v>1896</v>
      </c>
      <c r="C4142" s="74" t="s">
        <v>443</v>
      </c>
    </row>
    <row r="4143" spans="1:3">
      <c r="A4143" s="250">
        <v>12256</v>
      </c>
      <c r="B4143" s="74" t="s">
        <v>1896</v>
      </c>
      <c r="C4143" s="74" t="s">
        <v>443</v>
      </c>
    </row>
    <row r="4144" spans="1:3">
      <c r="A4144" s="250">
        <v>12257</v>
      </c>
      <c r="B4144" s="74" t="s">
        <v>1896</v>
      </c>
      <c r="C4144" s="74" t="s">
        <v>443</v>
      </c>
    </row>
    <row r="4145" spans="1:3">
      <c r="A4145" s="250">
        <v>12260</v>
      </c>
      <c r="B4145" s="74" t="s">
        <v>1896</v>
      </c>
      <c r="C4145" s="74" t="s">
        <v>443</v>
      </c>
    </row>
    <row r="4146" spans="1:3">
      <c r="A4146" s="250">
        <v>12261</v>
      </c>
      <c r="B4146" s="74" t="s">
        <v>1896</v>
      </c>
      <c r="C4146" s="74" t="s">
        <v>443</v>
      </c>
    </row>
    <row r="4147" spans="1:3">
      <c r="A4147" s="250">
        <v>12288</v>
      </c>
      <c r="B4147" s="74" t="s">
        <v>1896</v>
      </c>
      <c r="C4147" s="74" t="s">
        <v>443</v>
      </c>
    </row>
    <row r="4148" spans="1:3">
      <c r="A4148" s="250">
        <v>12301</v>
      </c>
      <c r="B4148" s="74" t="s">
        <v>3027</v>
      </c>
      <c r="C4148" s="74" t="s">
        <v>443</v>
      </c>
    </row>
    <row r="4149" spans="1:3">
      <c r="A4149" s="250">
        <v>12302</v>
      </c>
      <c r="B4149" s="74" t="s">
        <v>3027</v>
      </c>
      <c r="C4149" s="74" t="s">
        <v>443</v>
      </c>
    </row>
    <row r="4150" spans="1:3">
      <c r="A4150" s="250">
        <v>12303</v>
      </c>
      <c r="B4150" s="74" t="s">
        <v>3027</v>
      </c>
      <c r="C4150" s="74" t="s">
        <v>443</v>
      </c>
    </row>
    <row r="4151" spans="1:3">
      <c r="A4151" s="250">
        <v>12304</v>
      </c>
      <c r="B4151" s="74" t="s">
        <v>3027</v>
      </c>
      <c r="C4151" s="74" t="s">
        <v>443</v>
      </c>
    </row>
    <row r="4152" spans="1:3">
      <c r="A4152" s="250">
        <v>12305</v>
      </c>
      <c r="B4152" s="74" t="s">
        <v>3027</v>
      </c>
      <c r="C4152" s="74" t="s">
        <v>443</v>
      </c>
    </row>
    <row r="4153" spans="1:3">
      <c r="A4153" s="250">
        <v>12306</v>
      </c>
      <c r="B4153" s="74" t="s">
        <v>3027</v>
      </c>
      <c r="C4153" s="74" t="s">
        <v>443</v>
      </c>
    </row>
    <row r="4154" spans="1:3">
      <c r="A4154" s="250">
        <v>12307</v>
      </c>
      <c r="B4154" s="74" t="s">
        <v>3027</v>
      </c>
      <c r="C4154" s="74" t="s">
        <v>443</v>
      </c>
    </row>
    <row r="4155" spans="1:3">
      <c r="A4155" s="250">
        <v>12308</v>
      </c>
      <c r="B4155" s="74" t="s">
        <v>3027</v>
      </c>
      <c r="C4155" s="74" t="s">
        <v>443</v>
      </c>
    </row>
    <row r="4156" spans="1:3">
      <c r="A4156" s="250">
        <v>12309</v>
      </c>
      <c r="B4156" s="74" t="s">
        <v>3027</v>
      </c>
      <c r="C4156" s="74" t="s">
        <v>443</v>
      </c>
    </row>
    <row r="4157" spans="1:3">
      <c r="A4157" s="250">
        <v>12325</v>
      </c>
      <c r="B4157" s="74" t="s">
        <v>3027</v>
      </c>
      <c r="C4157" s="74" t="s">
        <v>443</v>
      </c>
    </row>
    <row r="4158" spans="1:3">
      <c r="A4158" s="250">
        <v>12345</v>
      </c>
      <c r="B4158" s="74" t="s">
        <v>3027</v>
      </c>
      <c r="C4158" s="74" t="s">
        <v>443</v>
      </c>
    </row>
    <row r="4159" spans="1:3">
      <c r="A4159" s="250">
        <v>12401</v>
      </c>
      <c r="B4159" s="74" t="s">
        <v>957</v>
      </c>
      <c r="C4159" s="74" t="s">
        <v>443</v>
      </c>
    </row>
    <row r="4160" spans="1:3">
      <c r="A4160" s="250">
        <v>12402</v>
      </c>
      <c r="B4160" s="74" t="s">
        <v>957</v>
      </c>
      <c r="C4160" s="74" t="s">
        <v>443</v>
      </c>
    </row>
    <row r="4161" spans="1:3">
      <c r="A4161" s="250">
        <v>12404</v>
      </c>
      <c r="B4161" s="74" t="s">
        <v>863</v>
      </c>
      <c r="C4161" s="74" t="s">
        <v>443</v>
      </c>
    </row>
    <row r="4162" spans="1:3">
      <c r="A4162" s="250">
        <v>12405</v>
      </c>
      <c r="B4162" s="74" t="s">
        <v>3028</v>
      </c>
      <c r="C4162" s="74" t="s">
        <v>443</v>
      </c>
    </row>
    <row r="4163" spans="1:3">
      <c r="A4163" s="250">
        <v>12406</v>
      </c>
      <c r="B4163" s="74" t="s">
        <v>3029</v>
      </c>
      <c r="C4163" s="74" t="s">
        <v>443</v>
      </c>
    </row>
    <row r="4164" spans="1:3">
      <c r="A4164" s="250">
        <v>12407</v>
      </c>
      <c r="B4164" s="74" t="s">
        <v>782</v>
      </c>
      <c r="C4164" s="74" t="s">
        <v>443</v>
      </c>
    </row>
    <row r="4165" spans="1:3">
      <c r="A4165" s="250">
        <v>12409</v>
      </c>
      <c r="B4165" s="74" t="s">
        <v>3030</v>
      </c>
      <c r="C4165" s="74" t="s">
        <v>443</v>
      </c>
    </row>
    <row r="4166" spans="1:3">
      <c r="A4166" s="250">
        <v>12410</v>
      </c>
      <c r="B4166" s="74" t="s">
        <v>3031</v>
      </c>
      <c r="C4166" s="74" t="s">
        <v>443</v>
      </c>
    </row>
    <row r="4167" spans="1:3">
      <c r="A4167" s="250">
        <v>12411</v>
      </c>
      <c r="B4167" s="74" t="s">
        <v>3032</v>
      </c>
      <c r="C4167" s="74" t="s">
        <v>443</v>
      </c>
    </row>
    <row r="4168" spans="1:3">
      <c r="A4168" s="250">
        <v>12412</v>
      </c>
      <c r="B4168" s="74" t="s">
        <v>3033</v>
      </c>
      <c r="C4168" s="74" t="s">
        <v>443</v>
      </c>
    </row>
    <row r="4169" spans="1:3">
      <c r="A4169" s="250">
        <v>12413</v>
      </c>
      <c r="B4169" s="74" t="s">
        <v>3034</v>
      </c>
      <c r="C4169" s="74" t="s">
        <v>443</v>
      </c>
    </row>
    <row r="4170" spans="1:3">
      <c r="A4170" s="250">
        <v>12414</v>
      </c>
      <c r="B4170" s="74" t="s">
        <v>3035</v>
      </c>
      <c r="C4170" s="74" t="s">
        <v>443</v>
      </c>
    </row>
    <row r="4171" spans="1:3">
      <c r="A4171" s="250">
        <v>12416</v>
      </c>
      <c r="B4171" s="74" t="s">
        <v>1202</v>
      </c>
      <c r="C4171" s="74" t="s">
        <v>443</v>
      </c>
    </row>
    <row r="4172" spans="1:3">
      <c r="A4172" s="250">
        <v>12417</v>
      </c>
      <c r="B4172" s="74" t="s">
        <v>3036</v>
      </c>
      <c r="C4172" s="74" t="s">
        <v>443</v>
      </c>
    </row>
    <row r="4173" spans="1:3">
      <c r="A4173" s="250">
        <v>12418</v>
      </c>
      <c r="B4173" s="74" t="s">
        <v>3037</v>
      </c>
      <c r="C4173" s="74" t="s">
        <v>443</v>
      </c>
    </row>
    <row r="4174" spans="1:3">
      <c r="A4174" s="250">
        <v>12419</v>
      </c>
      <c r="B4174" s="74" t="s">
        <v>3038</v>
      </c>
      <c r="C4174" s="74" t="s">
        <v>443</v>
      </c>
    </row>
    <row r="4175" spans="1:3">
      <c r="A4175" s="250">
        <v>12420</v>
      </c>
      <c r="B4175" s="74" t="s">
        <v>3039</v>
      </c>
      <c r="C4175" s="74" t="s">
        <v>443</v>
      </c>
    </row>
    <row r="4176" spans="1:3">
      <c r="A4176" s="250">
        <v>12421</v>
      </c>
      <c r="B4176" s="74" t="s">
        <v>3040</v>
      </c>
      <c r="C4176" s="74" t="s">
        <v>443</v>
      </c>
    </row>
    <row r="4177" spans="1:3">
      <c r="A4177" s="250">
        <v>12422</v>
      </c>
      <c r="B4177" s="74" t="s">
        <v>1304</v>
      </c>
      <c r="C4177" s="74" t="s">
        <v>443</v>
      </c>
    </row>
    <row r="4178" spans="1:3">
      <c r="A4178" s="250">
        <v>12423</v>
      </c>
      <c r="B4178" s="74" t="s">
        <v>3041</v>
      </c>
      <c r="C4178" s="74" t="s">
        <v>443</v>
      </c>
    </row>
    <row r="4179" spans="1:3">
      <c r="A4179" s="250">
        <v>12424</v>
      </c>
      <c r="B4179" s="74" t="s">
        <v>3042</v>
      </c>
      <c r="C4179" s="74" t="s">
        <v>443</v>
      </c>
    </row>
    <row r="4180" spans="1:3">
      <c r="A4180" s="250">
        <v>12427</v>
      </c>
      <c r="B4180" s="74" t="s">
        <v>3043</v>
      </c>
      <c r="C4180" s="74" t="s">
        <v>443</v>
      </c>
    </row>
    <row r="4181" spans="1:3">
      <c r="A4181" s="250">
        <v>12428</v>
      </c>
      <c r="B4181" s="74" t="s">
        <v>3044</v>
      </c>
      <c r="C4181" s="74" t="s">
        <v>443</v>
      </c>
    </row>
    <row r="4182" spans="1:3">
      <c r="A4182" s="250">
        <v>12429</v>
      </c>
      <c r="B4182" s="74" t="s">
        <v>3045</v>
      </c>
      <c r="C4182" s="74" t="s">
        <v>443</v>
      </c>
    </row>
    <row r="4183" spans="1:3">
      <c r="A4183" s="250">
        <v>12430</v>
      </c>
      <c r="B4183" s="74" t="s">
        <v>3046</v>
      </c>
      <c r="C4183" s="74" t="s">
        <v>443</v>
      </c>
    </row>
    <row r="4184" spans="1:3">
      <c r="A4184" s="250">
        <v>12431</v>
      </c>
      <c r="B4184" s="74" t="s">
        <v>2268</v>
      </c>
      <c r="C4184" s="74" t="s">
        <v>443</v>
      </c>
    </row>
    <row r="4185" spans="1:3">
      <c r="A4185" s="250">
        <v>12432</v>
      </c>
      <c r="B4185" s="74" t="s">
        <v>3047</v>
      </c>
      <c r="C4185" s="74" t="s">
        <v>443</v>
      </c>
    </row>
    <row r="4186" spans="1:3">
      <c r="A4186" s="250">
        <v>12433</v>
      </c>
      <c r="B4186" s="74" t="s">
        <v>3048</v>
      </c>
      <c r="C4186" s="74" t="s">
        <v>443</v>
      </c>
    </row>
    <row r="4187" spans="1:3">
      <c r="A4187" s="250">
        <v>12434</v>
      </c>
      <c r="B4187" s="74" t="s">
        <v>3049</v>
      </c>
      <c r="C4187" s="74" t="s">
        <v>443</v>
      </c>
    </row>
    <row r="4188" spans="1:3">
      <c r="A4188" s="250">
        <v>12435</v>
      </c>
      <c r="B4188" s="74" t="s">
        <v>3050</v>
      </c>
      <c r="C4188" s="74" t="s">
        <v>443</v>
      </c>
    </row>
    <row r="4189" spans="1:3">
      <c r="A4189" s="250">
        <v>12436</v>
      </c>
      <c r="B4189" s="74" t="s">
        <v>3051</v>
      </c>
      <c r="C4189" s="74" t="s">
        <v>443</v>
      </c>
    </row>
    <row r="4190" spans="1:3">
      <c r="A4190" s="250">
        <v>12438</v>
      </c>
      <c r="B4190" s="74" t="s">
        <v>3052</v>
      </c>
      <c r="C4190" s="74" t="s">
        <v>443</v>
      </c>
    </row>
    <row r="4191" spans="1:3">
      <c r="A4191" s="250">
        <v>12439</v>
      </c>
      <c r="B4191" s="74" t="s">
        <v>3053</v>
      </c>
      <c r="C4191" s="74" t="s">
        <v>443</v>
      </c>
    </row>
    <row r="4192" spans="1:3">
      <c r="A4192" s="250">
        <v>12440</v>
      </c>
      <c r="B4192" s="74" t="s">
        <v>3054</v>
      </c>
      <c r="C4192" s="74" t="s">
        <v>443</v>
      </c>
    </row>
    <row r="4193" spans="1:3">
      <c r="A4193" s="250">
        <v>12441</v>
      </c>
      <c r="B4193" s="74" t="s">
        <v>3055</v>
      </c>
      <c r="C4193" s="74" t="s">
        <v>443</v>
      </c>
    </row>
    <row r="4194" spans="1:3">
      <c r="A4194" s="250">
        <v>12442</v>
      </c>
      <c r="B4194" s="74" t="s">
        <v>3056</v>
      </c>
      <c r="C4194" s="74" t="s">
        <v>443</v>
      </c>
    </row>
    <row r="4195" spans="1:3">
      <c r="A4195" s="250">
        <v>12443</v>
      </c>
      <c r="B4195" s="74" t="s">
        <v>3057</v>
      </c>
      <c r="C4195" s="74" t="s">
        <v>443</v>
      </c>
    </row>
    <row r="4196" spans="1:3">
      <c r="A4196" s="250">
        <v>12444</v>
      </c>
      <c r="B4196" s="74" t="s">
        <v>3058</v>
      </c>
      <c r="C4196" s="74" t="s">
        <v>443</v>
      </c>
    </row>
    <row r="4197" spans="1:3">
      <c r="A4197" s="250">
        <v>12446</v>
      </c>
      <c r="B4197" s="74" t="s">
        <v>3059</v>
      </c>
      <c r="C4197" s="74" t="s">
        <v>443</v>
      </c>
    </row>
    <row r="4198" spans="1:3">
      <c r="A4198" s="250">
        <v>12448</v>
      </c>
      <c r="B4198" s="74" t="s">
        <v>3060</v>
      </c>
      <c r="C4198" s="74" t="s">
        <v>443</v>
      </c>
    </row>
    <row r="4199" spans="1:3">
      <c r="A4199" s="250">
        <v>12449</v>
      </c>
      <c r="B4199" s="74" t="s">
        <v>3061</v>
      </c>
      <c r="C4199" s="74" t="s">
        <v>443</v>
      </c>
    </row>
    <row r="4200" spans="1:3">
      <c r="A4200" s="250">
        <v>12450</v>
      </c>
      <c r="B4200" s="74" t="s">
        <v>3062</v>
      </c>
      <c r="C4200" s="74" t="s">
        <v>443</v>
      </c>
    </row>
    <row r="4201" spans="1:3">
      <c r="A4201" s="250">
        <v>12451</v>
      </c>
      <c r="B4201" s="74" t="s">
        <v>602</v>
      </c>
      <c r="C4201" s="74" t="s">
        <v>443</v>
      </c>
    </row>
    <row r="4202" spans="1:3">
      <c r="A4202" s="250">
        <v>12452</v>
      </c>
      <c r="B4202" s="74" t="s">
        <v>966</v>
      </c>
      <c r="C4202" s="74" t="s">
        <v>443</v>
      </c>
    </row>
    <row r="4203" spans="1:3">
      <c r="A4203" s="250">
        <v>12453</v>
      </c>
      <c r="B4203" s="74" t="s">
        <v>3063</v>
      </c>
      <c r="C4203" s="74" t="s">
        <v>443</v>
      </c>
    </row>
    <row r="4204" spans="1:3">
      <c r="A4204" s="250">
        <v>12454</v>
      </c>
      <c r="B4204" s="74" t="s">
        <v>3064</v>
      </c>
      <c r="C4204" s="74" t="s">
        <v>443</v>
      </c>
    </row>
    <row r="4205" spans="1:3">
      <c r="A4205" s="250">
        <v>12455</v>
      </c>
      <c r="B4205" s="74" t="s">
        <v>3065</v>
      </c>
      <c r="C4205" s="74" t="s">
        <v>443</v>
      </c>
    </row>
    <row r="4206" spans="1:3">
      <c r="A4206" s="250">
        <v>12456</v>
      </c>
      <c r="B4206" s="74" t="s">
        <v>3066</v>
      </c>
      <c r="C4206" s="74" t="s">
        <v>443</v>
      </c>
    </row>
    <row r="4207" spans="1:3">
      <c r="A4207" s="250">
        <v>12457</v>
      </c>
      <c r="B4207" s="74" t="s">
        <v>3067</v>
      </c>
      <c r="C4207" s="74" t="s">
        <v>443</v>
      </c>
    </row>
    <row r="4208" spans="1:3">
      <c r="A4208" s="250">
        <v>12458</v>
      </c>
      <c r="B4208" s="74" t="s">
        <v>3068</v>
      </c>
      <c r="C4208" s="74" t="s">
        <v>443</v>
      </c>
    </row>
    <row r="4209" spans="1:3">
      <c r="A4209" s="250">
        <v>12459</v>
      </c>
      <c r="B4209" s="74" t="s">
        <v>3069</v>
      </c>
      <c r="C4209" s="74" t="s">
        <v>443</v>
      </c>
    </row>
    <row r="4210" spans="1:3">
      <c r="A4210" s="250">
        <v>12460</v>
      </c>
      <c r="B4210" s="74" t="s">
        <v>3070</v>
      </c>
      <c r="C4210" s="74" t="s">
        <v>443</v>
      </c>
    </row>
    <row r="4211" spans="1:3">
      <c r="A4211" s="250">
        <v>12461</v>
      </c>
      <c r="B4211" s="74" t="s">
        <v>3071</v>
      </c>
      <c r="C4211" s="74" t="s">
        <v>443</v>
      </c>
    </row>
    <row r="4212" spans="1:3">
      <c r="A4212" s="250">
        <v>12463</v>
      </c>
      <c r="B4212" s="74" t="s">
        <v>3072</v>
      </c>
      <c r="C4212" s="74" t="s">
        <v>443</v>
      </c>
    </row>
    <row r="4213" spans="1:3">
      <c r="A4213" s="250">
        <v>12464</v>
      </c>
      <c r="B4213" s="74" t="s">
        <v>3073</v>
      </c>
      <c r="C4213" s="74" t="s">
        <v>443</v>
      </c>
    </row>
    <row r="4214" spans="1:3">
      <c r="A4214" s="250">
        <v>12465</v>
      </c>
      <c r="B4214" s="74" t="s">
        <v>3074</v>
      </c>
      <c r="C4214" s="74" t="s">
        <v>443</v>
      </c>
    </row>
    <row r="4215" spans="1:3">
      <c r="A4215" s="250">
        <v>12466</v>
      </c>
      <c r="B4215" s="74" t="s">
        <v>3075</v>
      </c>
      <c r="C4215" s="74" t="s">
        <v>443</v>
      </c>
    </row>
    <row r="4216" spans="1:3">
      <c r="A4216" s="250">
        <v>12468</v>
      </c>
      <c r="B4216" s="74" t="s">
        <v>3076</v>
      </c>
      <c r="C4216" s="74" t="s">
        <v>443</v>
      </c>
    </row>
    <row r="4217" spans="1:3">
      <c r="A4217" s="250">
        <v>12469</v>
      </c>
      <c r="B4217" s="74" t="s">
        <v>3077</v>
      </c>
      <c r="C4217" s="74" t="s">
        <v>443</v>
      </c>
    </row>
    <row r="4218" spans="1:3">
      <c r="A4218" s="250">
        <v>12470</v>
      </c>
      <c r="B4218" s="74" t="s">
        <v>3078</v>
      </c>
      <c r="C4218" s="74" t="s">
        <v>443</v>
      </c>
    </row>
    <row r="4219" spans="1:3">
      <c r="A4219" s="250">
        <v>12471</v>
      </c>
      <c r="B4219" s="74" t="s">
        <v>3079</v>
      </c>
      <c r="C4219" s="74" t="s">
        <v>443</v>
      </c>
    </row>
    <row r="4220" spans="1:3">
      <c r="A4220" s="250">
        <v>12472</v>
      </c>
      <c r="B4220" s="74" t="s">
        <v>3080</v>
      </c>
      <c r="C4220" s="74" t="s">
        <v>443</v>
      </c>
    </row>
    <row r="4221" spans="1:3">
      <c r="A4221" s="250">
        <v>12473</v>
      </c>
      <c r="B4221" s="74" t="s">
        <v>3081</v>
      </c>
      <c r="C4221" s="74" t="s">
        <v>443</v>
      </c>
    </row>
    <row r="4222" spans="1:3">
      <c r="A4222" s="250">
        <v>12474</v>
      </c>
      <c r="B4222" s="74" t="s">
        <v>901</v>
      </c>
      <c r="C4222" s="74" t="s">
        <v>443</v>
      </c>
    </row>
    <row r="4223" spans="1:3">
      <c r="A4223" s="250">
        <v>12475</v>
      </c>
      <c r="B4223" s="74" t="s">
        <v>3082</v>
      </c>
      <c r="C4223" s="74" t="s">
        <v>443</v>
      </c>
    </row>
    <row r="4224" spans="1:3">
      <c r="A4224" s="250">
        <v>12477</v>
      </c>
      <c r="B4224" s="74" t="s">
        <v>3083</v>
      </c>
      <c r="C4224" s="74" t="s">
        <v>443</v>
      </c>
    </row>
    <row r="4225" spans="1:3">
      <c r="A4225" s="250">
        <v>12480</v>
      </c>
      <c r="B4225" s="74" t="s">
        <v>3084</v>
      </c>
      <c r="C4225" s="74" t="s">
        <v>443</v>
      </c>
    </row>
    <row r="4226" spans="1:3">
      <c r="A4226" s="250">
        <v>12481</v>
      </c>
      <c r="B4226" s="74" t="s">
        <v>3085</v>
      </c>
      <c r="C4226" s="74" t="s">
        <v>443</v>
      </c>
    </row>
    <row r="4227" spans="1:3">
      <c r="A4227" s="250">
        <v>12482</v>
      </c>
      <c r="B4227" s="74" t="s">
        <v>3086</v>
      </c>
      <c r="C4227" s="74" t="s">
        <v>443</v>
      </c>
    </row>
    <row r="4228" spans="1:3">
      <c r="A4228" s="250">
        <v>12483</v>
      </c>
      <c r="B4228" s="74" t="s">
        <v>3087</v>
      </c>
      <c r="C4228" s="74" t="s">
        <v>443</v>
      </c>
    </row>
    <row r="4229" spans="1:3">
      <c r="A4229" s="250">
        <v>12484</v>
      </c>
      <c r="B4229" s="74" t="s">
        <v>3088</v>
      </c>
      <c r="C4229" s="74" t="s">
        <v>443</v>
      </c>
    </row>
    <row r="4230" spans="1:3">
      <c r="A4230" s="250">
        <v>12485</v>
      </c>
      <c r="B4230" s="74" t="s">
        <v>3089</v>
      </c>
      <c r="C4230" s="74" t="s">
        <v>443</v>
      </c>
    </row>
    <row r="4231" spans="1:3">
      <c r="A4231" s="250">
        <v>12486</v>
      </c>
      <c r="B4231" s="74" t="s">
        <v>3090</v>
      </c>
      <c r="C4231" s="74" t="s">
        <v>443</v>
      </c>
    </row>
    <row r="4232" spans="1:3">
      <c r="A4232" s="250">
        <v>12487</v>
      </c>
      <c r="B4232" s="74" t="s">
        <v>3091</v>
      </c>
      <c r="C4232" s="74" t="s">
        <v>443</v>
      </c>
    </row>
    <row r="4233" spans="1:3">
      <c r="A4233" s="250">
        <v>12489</v>
      </c>
      <c r="B4233" s="74" t="s">
        <v>3092</v>
      </c>
      <c r="C4233" s="74" t="s">
        <v>443</v>
      </c>
    </row>
    <row r="4234" spans="1:3">
      <c r="A4234" s="250">
        <v>12490</v>
      </c>
      <c r="B4234" s="74" t="s">
        <v>3093</v>
      </c>
      <c r="C4234" s="74" t="s">
        <v>443</v>
      </c>
    </row>
    <row r="4235" spans="1:3">
      <c r="A4235" s="250">
        <v>12491</v>
      </c>
      <c r="B4235" s="74" t="s">
        <v>3094</v>
      </c>
      <c r="C4235" s="74" t="s">
        <v>443</v>
      </c>
    </row>
    <row r="4236" spans="1:3">
      <c r="A4236" s="250">
        <v>12492</v>
      </c>
      <c r="B4236" s="74" t="s">
        <v>3095</v>
      </c>
      <c r="C4236" s="74" t="s">
        <v>443</v>
      </c>
    </row>
    <row r="4237" spans="1:3">
      <c r="A4237" s="250">
        <v>12493</v>
      </c>
      <c r="B4237" s="74" t="s">
        <v>3096</v>
      </c>
      <c r="C4237" s="74" t="s">
        <v>443</v>
      </c>
    </row>
    <row r="4238" spans="1:3">
      <c r="A4238" s="250">
        <v>12494</v>
      </c>
      <c r="B4238" s="74" t="s">
        <v>3097</v>
      </c>
      <c r="C4238" s="74" t="s">
        <v>443</v>
      </c>
    </row>
    <row r="4239" spans="1:3">
      <c r="A4239" s="250">
        <v>12495</v>
      </c>
      <c r="B4239" s="74" t="s">
        <v>3098</v>
      </c>
      <c r="C4239" s="74" t="s">
        <v>443</v>
      </c>
    </row>
    <row r="4240" spans="1:3">
      <c r="A4240" s="250">
        <v>12496</v>
      </c>
      <c r="B4240" s="74" t="s">
        <v>1174</v>
      </c>
      <c r="C4240" s="74" t="s">
        <v>443</v>
      </c>
    </row>
    <row r="4241" spans="1:3">
      <c r="A4241" s="250">
        <v>12498</v>
      </c>
      <c r="B4241" s="74" t="s">
        <v>1223</v>
      </c>
      <c r="C4241" s="74" t="s">
        <v>443</v>
      </c>
    </row>
    <row r="4242" spans="1:3">
      <c r="A4242" s="250">
        <v>12501</v>
      </c>
      <c r="B4242" s="74" t="s">
        <v>3099</v>
      </c>
      <c r="C4242" s="74" t="s">
        <v>443</v>
      </c>
    </row>
    <row r="4243" spans="1:3">
      <c r="A4243" s="250">
        <v>12502</v>
      </c>
      <c r="B4243" s="74" t="s">
        <v>3100</v>
      </c>
      <c r="C4243" s="74" t="s">
        <v>443</v>
      </c>
    </row>
    <row r="4244" spans="1:3">
      <c r="A4244" s="250">
        <v>12503</v>
      </c>
      <c r="B4244" s="74" t="s">
        <v>3101</v>
      </c>
      <c r="C4244" s="74" t="s">
        <v>443</v>
      </c>
    </row>
    <row r="4245" spans="1:3">
      <c r="A4245" s="250">
        <v>12504</v>
      </c>
      <c r="B4245" s="74" t="s">
        <v>3102</v>
      </c>
      <c r="C4245" s="74" t="s">
        <v>443</v>
      </c>
    </row>
    <row r="4246" spans="1:3">
      <c r="A4246" s="250">
        <v>12506</v>
      </c>
      <c r="B4246" s="74" t="s">
        <v>3103</v>
      </c>
      <c r="C4246" s="74" t="s">
        <v>443</v>
      </c>
    </row>
    <row r="4247" spans="1:3">
      <c r="A4247" s="250">
        <v>12507</v>
      </c>
      <c r="B4247" s="74" t="s">
        <v>3104</v>
      </c>
      <c r="C4247" s="74" t="s">
        <v>443</v>
      </c>
    </row>
    <row r="4248" spans="1:3">
      <c r="A4248" s="250">
        <v>12508</v>
      </c>
      <c r="B4248" s="74" t="s">
        <v>3105</v>
      </c>
      <c r="C4248" s="74" t="s">
        <v>443</v>
      </c>
    </row>
    <row r="4249" spans="1:3">
      <c r="A4249" s="250">
        <v>12510</v>
      </c>
      <c r="B4249" s="74" t="s">
        <v>3106</v>
      </c>
      <c r="C4249" s="74" t="s">
        <v>443</v>
      </c>
    </row>
    <row r="4250" spans="1:3">
      <c r="A4250" s="250">
        <v>12511</v>
      </c>
      <c r="B4250" s="74" t="s">
        <v>3107</v>
      </c>
      <c r="C4250" s="74" t="s">
        <v>443</v>
      </c>
    </row>
    <row r="4251" spans="1:3">
      <c r="A4251" s="250">
        <v>12512</v>
      </c>
      <c r="B4251" s="74" t="s">
        <v>918</v>
      </c>
      <c r="C4251" s="74" t="s">
        <v>443</v>
      </c>
    </row>
    <row r="4252" spans="1:3">
      <c r="A4252" s="250">
        <v>12513</v>
      </c>
      <c r="B4252" s="74" t="s">
        <v>3108</v>
      </c>
      <c r="C4252" s="74" t="s">
        <v>443</v>
      </c>
    </row>
    <row r="4253" spans="1:3">
      <c r="A4253" s="250">
        <v>12514</v>
      </c>
      <c r="B4253" s="74" t="s">
        <v>3109</v>
      </c>
      <c r="C4253" s="74" t="s">
        <v>443</v>
      </c>
    </row>
    <row r="4254" spans="1:3">
      <c r="A4254" s="250">
        <v>12515</v>
      </c>
      <c r="B4254" s="74" t="s">
        <v>3110</v>
      </c>
      <c r="C4254" s="74" t="s">
        <v>443</v>
      </c>
    </row>
    <row r="4255" spans="1:3">
      <c r="A4255" s="250">
        <v>12516</v>
      </c>
      <c r="B4255" s="74" t="s">
        <v>3111</v>
      </c>
      <c r="C4255" s="74" t="s">
        <v>443</v>
      </c>
    </row>
    <row r="4256" spans="1:3">
      <c r="A4256" s="250">
        <v>12517</v>
      </c>
      <c r="B4256" s="74" t="s">
        <v>3112</v>
      </c>
      <c r="C4256" s="74" t="s">
        <v>443</v>
      </c>
    </row>
    <row r="4257" spans="1:3">
      <c r="A4257" s="250">
        <v>12518</v>
      </c>
      <c r="B4257" s="74" t="s">
        <v>2081</v>
      </c>
      <c r="C4257" s="74" t="s">
        <v>443</v>
      </c>
    </row>
    <row r="4258" spans="1:3">
      <c r="A4258" s="250">
        <v>12520</v>
      </c>
      <c r="B4258" s="74" t="s">
        <v>3113</v>
      </c>
      <c r="C4258" s="74" t="s">
        <v>443</v>
      </c>
    </row>
    <row r="4259" spans="1:3">
      <c r="A4259" s="250">
        <v>12521</v>
      </c>
      <c r="B4259" s="74" t="s">
        <v>3114</v>
      </c>
      <c r="C4259" s="74" t="s">
        <v>443</v>
      </c>
    </row>
    <row r="4260" spans="1:3">
      <c r="A4260" s="250">
        <v>12522</v>
      </c>
      <c r="B4260" s="74" t="s">
        <v>3115</v>
      </c>
      <c r="C4260" s="74" t="s">
        <v>443</v>
      </c>
    </row>
    <row r="4261" spans="1:3">
      <c r="A4261" s="250">
        <v>12523</v>
      </c>
      <c r="B4261" s="74" t="s">
        <v>3116</v>
      </c>
      <c r="C4261" s="74" t="s">
        <v>443</v>
      </c>
    </row>
    <row r="4262" spans="1:3">
      <c r="A4262" s="250">
        <v>12524</v>
      </c>
      <c r="B4262" s="74" t="s">
        <v>3117</v>
      </c>
      <c r="C4262" s="74" t="s">
        <v>443</v>
      </c>
    </row>
    <row r="4263" spans="1:3">
      <c r="A4263" s="250">
        <v>12525</v>
      </c>
      <c r="B4263" s="74" t="s">
        <v>1478</v>
      </c>
      <c r="C4263" s="74" t="s">
        <v>443</v>
      </c>
    </row>
    <row r="4264" spans="1:3">
      <c r="A4264" s="250">
        <v>12526</v>
      </c>
      <c r="B4264" s="74" t="s">
        <v>3118</v>
      </c>
      <c r="C4264" s="74" t="s">
        <v>443</v>
      </c>
    </row>
    <row r="4265" spans="1:3">
      <c r="A4265" s="250">
        <v>12527</v>
      </c>
      <c r="B4265" s="74" t="s">
        <v>3119</v>
      </c>
      <c r="C4265" s="74" t="s">
        <v>443</v>
      </c>
    </row>
    <row r="4266" spans="1:3">
      <c r="A4266" s="250">
        <v>12528</v>
      </c>
      <c r="B4266" s="74" t="s">
        <v>3120</v>
      </c>
      <c r="C4266" s="74" t="s">
        <v>443</v>
      </c>
    </row>
    <row r="4267" spans="1:3">
      <c r="A4267" s="250">
        <v>12529</v>
      </c>
      <c r="B4267" s="74" t="s">
        <v>2236</v>
      </c>
      <c r="C4267" s="74" t="s">
        <v>443</v>
      </c>
    </row>
    <row r="4268" spans="1:3">
      <c r="A4268" s="250">
        <v>12530</v>
      </c>
      <c r="B4268" s="74" t="s">
        <v>3121</v>
      </c>
      <c r="C4268" s="74" t="s">
        <v>443</v>
      </c>
    </row>
    <row r="4269" spans="1:3">
      <c r="A4269" s="250">
        <v>12531</v>
      </c>
      <c r="B4269" s="74" t="s">
        <v>3122</v>
      </c>
      <c r="C4269" s="74" t="s">
        <v>443</v>
      </c>
    </row>
    <row r="4270" spans="1:3">
      <c r="A4270" s="250">
        <v>12533</v>
      </c>
      <c r="B4270" s="74" t="s">
        <v>3123</v>
      </c>
      <c r="C4270" s="74" t="s">
        <v>443</v>
      </c>
    </row>
    <row r="4271" spans="1:3">
      <c r="A4271" s="250">
        <v>12534</v>
      </c>
      <c r="B4271" s="74" t="s">
        <v>792</v>
      </c>
      <c r="C4271" s="74" t="s">
        <v>443</v>
      </c>
    </row>
    <row r="4272" spans="1:3">
      <c r="A4272" s="250">
        <v>12537</v>
      </c>
      <c r="B4272" s="74" t="s">
        <v>3124</v>
      </c>
      <c r="C4272" s="74" t="s">
        <v>443</v>
      </c>
    </row>
    <row r="4273" spans="1:3">
      <c r="A4273" s="250">
        <v>12538</v>
      </c>
      <c r="B4273" s="74" t="s">
        <v>912</v>
      </c>
      <c r="C4273" s="74" t="s">
        <v>443</v>
      </c>
    </row>
    <row r="4274" spans="1:3">
      <c r="A4274" s="250">
        <v>12540</v>
      </c>
      <c r="B4274" s="74" t="s">
        <v>3125</v>
      </c>
      <c r="C4274" s="74" t="s">
        <v>443</v>
      </c>
    </row>
    <row r="4275" spans="1:3">
      <c r="A4275" s="250">
        <v>12541</v>
      </c>
      <c r="B4275" s="74" t="s">
        <v>2135</v>
      </c>
      <c r="C4275" s="74" t="s">
        <v>443</v>
      </c>
    </row>
    <row r="4276" spans="1:3">
      <c r="A4276" s="250">
        <v>12542</v>
      </c>
      <c r="B4276" s="74" t="s">
        <v>1784</v>
      </c>
      <c r="C4276" s="74" t="s">
        <v>443</v>
      </c>
    </row>
    <row r="4277" spans="1:3">
      <c r="A4277" s="250">
        <v>12543</v>
      </c>
      <c r="B4277" s="74" t="s">
        <v>3126</v>
      </c>
      <c r="C4277" s="74" t="s">
        <v>443</v>
      </c>
    </row>
    <row r="4278" spans="1:3">
      <c r="A4278" s="250">
        <v>12544</v>
      </c>
      <c r="B4278" s="74" t="s">
        <v>3127</v>
      </c>
      <c r="C4278" s="74" t="s">
        <v>443</v>
      </c>
    </row>
    <row r="4279" spans="1:3">
      <c r="A4279" s="250">
        <v>12545</v>
      </c>
      <c r="B4279" s="74" t="s">
        <v>3128</v>
      </c>
      <c r="C4279" s="74" t="s">
        <v>443</v>
      </c>
    </row>
    <row r="4280" spans="1:3">
      <c r="A4280" s="250">
        <v>12546</v>
      </c>
      <c r="B4280" s="74" t="s">
        <v>3129</v>
      </c>
      <c r="C4280" s="74" t="s">
        <v>443</v>
      </c>
    </row>
    <row r="4281" spans="1:3">
      <c r="A4281" s="250">
        <v>12547</v>
      </c>
      <c r="B4281" s="74" t="s">
        <v>927</v>
      </c>
      <c r="C4281" s="74" t="s">
        <v>443</v>
      </c>
    </row>
    <row r="4282" spans="1:3">
      <c r="A4282" s="250">
        <v>12548</v>
      </c>
      <c r="B4282" s="74" t="s">
        <v>3130</v>
      </c>
      <c r="C4282" s="74" t="s">
        <v>443</v>
      </c>
    </row>
    <row r="4283" spans="1:3">
      <c r="A4283" s="250">
        <v>12549</v>
      </c>
      <c r="B4283" s="74" t="s">
        <v>1821</v>
      </c>
      <c r="C4283" s="74" t="s">
        <v>443</v>
      </c>
    </row>
    <row r="4284" spans="1:3">
      <c r="A4284" s="250">
        <v>12550</v>
      </c>
      <c r="B4284" s="74" t="s">
        <v>3131</v>
      </c>
      <c r="C4284" s="74" t="s">
        <v>443</v>
      </c>
    </row>
    <row r="4285" spans="1:3">
      <c r="A4285" s="250">
        <v>12551</v>
      </c>
      <c r="B4285" s="74" t="s">
        <v>3131</v>
      </c>
      <c r="C4285" s="74" t="s">
        <v>443</v>
      </c>
    </row>
    <row r="4286" spans="1:3">
      <c r="A4286" s="250">
        <v>12552</v>
      </c>
      <c r="B4286" s="74" t="s">
        <v>3131</v>
      </c>
      <c r="C4286" s="74" t="s">
        <v>443</v>
      </c>
    </row>
    <row r="4287" spans="1:3">
      <c r="A4287" s="250">
        <v>12553</v>
      </c>
      <c r="B4287" s="74" t="s">
        <v>3132</v>
      </c>
      <c r="C4287" s="74" t="s">
        <v>443</v>
      </c>
    </row>
    <row r="4288" spans="1:3">
      <c r="A4288" s="250">
        <v>12555</v>
      </c>
      <c r="B4288" s="74" t="s">
        <v>3131</v>
      </c>
      <c r="C4288" s="74" t="s">
        <v>443</v>
      </c>
    </row>
    <row r="4289" spans="1:3">
      <c r="A4289" s="250">
        <v>12561</v>
      </c>
      <c r="B4289" s="74" t="s">
        <v>3133</v>
      </c>
      <c r="C4289" s="74" t="s">
        <v>443</v>
      </c>
    </row>
    <row r="4290" spans="1:3">
      <c r="A4290" s="250">
        <v>12563</v>
      </c>
      <c r="B4290" s="74" t="s">
        <v>3134</v>
      </c>
      <c r="C4290" s="74" t="s">
        <v>443</v>
      </c>
    </row>
    <row r="4291" spans="1:3">
      <c r="A4291" s="250">
        <v>12564</v>
      </c>
      <c r="B4291" s="74" t="s">
        <v>3135</v>
      </c>
      <c r="C4291" s="74" t="s">
        <v>443</v>
      </c>
    </row>
    <row r="4292" spans="1:3">
      <c r="A4292" s="250">
        <v>12565</v>
      </c>
      <c r="B4292" s="74" t="s">
        <v>3136</v>
      </c>
      <c r="C4292" s="74" t="s">
        <v>443</v>
      </c>
    </row>
    <row r="4293" spans="1:3">
      <c r="A4293" s="250">
        <v>12566</v>
      </c>
      <c r="B4293" s="74" t="s">
        <v>3137</v>
      </c>
      <c r="C4293" s="74" t="s">
        <v>443</v>
      </c>
    </row>
    <row r="4294" spans="1:3">
      <c r="A4294" s="250">
        <v>12567</v>
      </c>
      <c r="B4294" s="74" t="s">
        <v>3138</v>
      </c>
      <c r="C4294" s="74" t="s">
        <v>443</v>
      </c>
    </row>
    <row r="4295" spans="1:3">
      <c r="A4295" s="250">
        <v>12568</v>
      </c>
      <c r="B4295" s="74" t="s">
        <v>3139</v>
      </c>
      <c r="C4295" s="74" t="s">
        <v>443</v>
      </c>
    </row>
    <row r="4296" spans="1:3">
      <c r="A4296" s="250">
        <v>12569</v>
      </c>
      <c r="B4296" s="74" t="s">
        <v>3140</v>
      </c>
      <c r="C4296" s="74" t="s">
        <v>443</v>
      </c>
    </row>
    <row r="4297" spans="1:3">
      <c r="A4297" s="250">
        <v>12570</v>
      </c>
      <c r="B4297" s="74" t="s">
        <v>3141</v>
      </c>
      <c r="C4297" s="74" t="s">
        <v>443</v>
      </c>
    </row>
    <row r="4298" spans="1:3">
      <c r="A4298" s="250">
        <v>12571</v>
      </c>
      <c r="B4298" s="74" t="s">
        <v>3142</v>
      </c>
      <c r="C4298" s="74" t="s">
        <v>443</v>
      </c>
    </row>
    <row r="4299" spans="1:3">
      <c r="A4299" s="250">
        <v>12572</v>
      </c>
      <c r="B4299" s="74" t="s">
        <v>3143</v>
      </c>
      <c r="C4299" s="74" t="s">
        <v>443</v>
      </c>
    </row>
    <row r="4300" spans="1:3">
      <c r="A4300" s="250">
        <v>12574</v>
      </c>
      <c r="B4300" s="74" t="s">
        <v>3144</v>
      </c>
      <c r="C4300" s="74" t="s">
        <v>443</v>
      </c>
    </row>
    <row r="4301" spans="1:3">
      <c r="A4301" s="250">
        <v>12575</v>
      </c>
      <c r="B4301" s="74" t="s">
        <v>3145</v>
      </c>
      <c r="C4301" s="74" t="s">
        <v>443</v>
      </c>
    </row>
    <row r="4302" spans="1:3">
      <c r="A4302" s="250">
        <v>12577</v>
      </c>
      <c r="B4302" s="74" t="s">
        <v>3146</v>
      </c>
      <c r="C4302" s="74" t="s">
        <v>443</v>
      </c>
    </row>
    <row r="4303" spans="1:3">
      <c r="A4303" s="250">
        <v>12578</v>
      </c>
      <c r="B4303" s="74" t="s">
        <v>3147</v>
      </c>
      <c r="C4303" s="74" t="s">
        <v>443</v>
      </c>
    </row>
    <row r="4304" spans="1:3">
      <c r="A4304" s="250">
        <v>12580</v>
      </c>
      <c r="B4304" s="74" t="s">
        <v>3148</v>
      </c>
      <c r="C4304" s="74" t="s">
        <v>443</v>
      </c>
    </row>
    <row r="4305" spans="1:3">
      <c r="A4305" s="250">
        <v>12581</v>
      </c>
      <c r="B4305" s="74" t="s">
        <v>3149</v>
      </c>
      <c r="C4305" s="74" t="s">
        <v>443</v>
      </c>
    </row>
    <row r="4306" spans="1:3">
      <c r="A4306" s="250">
        <v>12582</v>
      </c>
      <c r="B4306" s="74" t="s">
        <v>3150</v>
      </c>
      <c r="C4306" s="74" t="s">
        <v>443</v>
      </c>
    </row>
    <row r="4307" spans="1:3">
      <c r="A4307" s="250">
        <v>12583</v>
      </c>
      <c r="B4307" s="74" t="s">
        <v>3151</v>
      </c>
      <c r="C4307" s="74" t="s">
        <v>443</v>
      </c>
    </row>
    <row r="4308" spans="1:3">
      <c r="A4308" s="250">
        <v>12584</v>
      </c>
      <c r="B4308" s="74" t="s">
        <v>3152</v>
      </c>
      <c r="C4308" s="74" t="s">
        <v>443</v>
      </c>
    </row>
    <row r="4309" spans="1:3">
      <c r="A4309" s="250">
        <v>12585</v>
      </c>
      <c r="B4309" s="74" t="s">
        <v>3153</v>
      </c>
      <c r="C4309" s="74" t="s">
        <v>443</v>
      </c>
    </row>
    <row r="4310" spans="1:3">
      <c r="A4310" s="250">
        <v>12586</v>
      </c>
      <c r="B4310" s="74" t="s">
        <v>3154</v>
      </c>
      <c r="C4310" s="74" t="s">
        <v>443</v>
      </c>
    </row>
    <row r="4311" spans="1:3">
      <c r="A4311" s="250">
        <v>12588</v>
      </c>
      <c r="B4311" s="74" t="s">
        <v>3155</v>
      </c>
      <c r="C4311" s="74" t="s">
        <v>443</v>
      </c>
    </row>
    <row r="4312" spans="1:3">
      <c r="A4312" s="250">
        <v>12589</v>
      </c>
      <c r="B4312" s="74" t="s">
        <v>3156</v>
      </c>
      <c r="C4312" s="74" t="s">
        <v>443</v>
      </c>
    </row>
    <row r="4313" spans="1:3">
      <c r="A4313" s="250">
        <v>12590</v>
      </c>
      <c r="B4313" s="74" t="s">
        <v>3157</v>
      </c>
      <c r="C4313" s="74" t="s">
        <v>443</v>
      </c>
    </row>
    <row r="4314" spans="1:3">
      <c r="A4314" s="250">
        <v>12592</v>
      </c>
      <c r="B4314" s="74" t="s">
        <v>3158</v>
      </c>
      <c r="C4314" s="74" t="s">
        <v>443</v>
      </c>
    </row>
    <row r="4315" spans="1:3">
      <c r="A4315" s="250">
        <v>12593</v>
      </c>
      <c r="B4315" s="74" t="s">
        <v>3159</v>
      </c>
      <c r="C4315" s="74" t="s">
        <v>443</v>
      </c>
    </row>
    <row r="4316" spans="1:3">
      <c r="A4316" s="250">
        <v>12594</v>
      </c>
      <c r="B4316" s="74" t="s">
        <v>3160</v>
      </c>
      <c r="C4316" s="74" t="s">
        <v>443</v>
      </c>
    </row>
    <row r="4317" spans="1:3">
      <c r="A4317" s="250">
        <v>12601</v>
      </c>
      <c r="B4317" s="74" t="s">
        <v>3161</v>
      </c>
      <c r="C4317" s="74" t="s">
        <v>443</v>
      </c>
    </row>
    <row r="4318" spans="1:3">
      <c r="A4318" s="250">
        <v>12602</v>
      </c>
      <c r="B4318" s="74" t="s">
        <v>3161</v>
      </c>
      <c r="C4318" s="74" t="s">
        <v>443</v>
      </c>
    </row>
    <row r="4319" spans="1:3">
      <c r="A4319" s="250">
        <v>12603</v>
      </c>
      <c r="B4319" s="74" t="s">
        <v>3161</v>
      </c>
      <c r="C4319" s="74" t="s">
        <v>443</v>
      </c>
    </row>
    <row r="4320" spans="1:3">
      <c r="A4320" s="250">
        <v>12604</v>
      </c>
      <c r="B4320" s="74" t="s">
        <v>3161</v>
      </c>
      <c r="C4320" s="74" t="s">
        <v>443</v>
      </c>
    </row>
    <row r="4321" spans="1:3">
      <c r="A4321" s="250">
        <v>12701</v>
      </c>
      <c r="B4321" s="74" t="s">
        <v>1639</v>
      </c>
      <c r="C4321" s="74" t="s">
        <v>443</v>
      </c>
    </row>
    <row r="4322" spans="1:3">
      <c r="A4322" s="250">
        <v>12719</v>
      </c>
      <c r="B4322" s="74" t="s">
        <v>3162</v>
      </c>
      <c r="C4322" s="74" t="s">
        <v>443</v>
      </c>
    </row>
    <row r="4323" spans="1:3">
      <c r="A4323" s="250">
        <v>12720</v>
      </c>
      <c r="B4323" s="74" t="s">
        <v>1434</v>
      </c>
      <c r="C4323" s="74" t="s">
        <v>443</v>
      </c>
    </row>
    <row r="4324" spans="1:3">
      <c r="A4324" s="250">
        <v>12721</v>
      </c>
      <c r="B4324" s="74" t="s">
        <v>3163</v>
      </c>
      <c r="C4324" s="74" t="s">
        <v>443</v>
      </c>
    </row>
    <row r="4325" spans="1:3">
      <c r="A4325" s="250">
        <v>12722</v>
      </c>
      <c r="B4325" s="74" t="s">
        <v>3164</v>
      </c>
      <c r="C4325" s="74" t="s">
        <v>443</v>
      </c>
    </row>
    <row r="4326" spans="1:3">
      <c r="A4326" s="250">
        <v>12723</v>
      </c>
      <c r="B4326" s="74" t="s">
        <v>3165</v>
      </c>
      <c r="C4326" s="74" t="s">
        <v>443</v>
      </c>
    </row>
    <row r="4327" spans="1:3">
      <c r="A4327" s="250">
        <v>12724</v>
      </c>
      <c r="B4327" s="74" t="s">
        <v>3166</v>
      </c>
      <c r="C4327" s="74" t="s">
        <v>443</v>
      </c>
    </row>
    <row r="4328" spans="1:3">
      <c r="A4328" s="250">
        <v>12725</v>
      </c>
      <c r="B4328" s="74" t="s">
        <v>3167</v>
      </c>
      <c r="C4328" s="74" t="s">
        <v>443</v>
      </c>
    </row>
    <row r="4329" spans="1:3">
      <c r="A4329" s="250">
        <v>12726</v>
      </c>
      <c r="B4329" s="74" t="s">
        <v>3168</v>
      </c>
      <c r="C4329" s="74" t="s">
        <v>443</v>
      </c>
    </row>
    <row r="4330" spans="1:3">
      <c r="A4330" s="250">
        <v>12727</v>
      </c>
      <c r="B4330" s="74" t="s">
        <v>3169</v>
      </c>
      <c r="C4330" s="74" t="s">
        <v>443</v>
      </c>
    </row>
    <row r="4331" spans="1:3">
      <c r="A4331" s="250">
        <v>12729</v>
      </c>
      <c r="B4331" s="74" t="s">
        <v>3170</v>
      </c>
      <c r="C4331" s="74" t="s">
        <v>443</v>
      </c>
    </row>
    <row r="4332" spans="1:3">
      <c r="A4332" s="250">
        <v>12732</v>
      </c>
      <c r="B4332" s="74" t="s">
        <v>3171</v>
      </c>
      <c r="C4332" s="74" t="s">
        <v>443</v>
      </c>
    </row>
    <row r="4333" spans="1:3">
      <c r="A4333" s="250">
        <v>12733</v>
      </c>
      <c r="B4333" s="74" t="s">
        <v>3172</v>
      </c>
      <c r="C4333" s="74" t="s">
        <v>443</v>
      </c>
    </row>
    <row r="4334" spans="1:3">
      <c r="A4334" s="250">
        <v>12734</v>
      </c>
      <c r="B4334" s="74" t="s">
        <v>3173</v>
      </c>
      <c r="C4334" s="74" t="s">
        <v>443</v>
      </c>
    </row>
    <row r="4335" spans="1:3">
      <c r="A4335" s="250">
        <v>12736</v>
      </c>
      <c r="B4335" s="74" t="s">
        <v>3174</v>
      </c>
      <c r="C4335" s="74" t="s">
        <v>443</v>
      </c>
    </row>
    <row r="4336" spans="1:3">
      <c r="A4336" s="250">
        <v>12737</v>
      </c>
      <c r="B4336" s="74" t="s">
        <v>3175</v>
      </c>
      <c r="C4336" s="74" t="s">
        <v>443</v>
      </c>
    </row>
    <row r="4337" spans="1:3">
      <c r="A4337" s="250">
        <v>12738</v>
      </c>
      <c r="B4337" s="74" t="s">
        <v>3176</v>
      </c>
      <c r="C4337" s="74" t="s">
        <v>443</v>
      </c>
    </row>
    <row r="4338" spans="1:3">
      <c r="A4338" s="250">
        <v>12740</v>
      </c>
      <c r="B4338" s="74" t="s">
        <v>3177</v>
      </c>
      <c r="C4338" s="74" t="s">
        <v>443</v>
      </c>
    </row>
    <row r="4339" spans="1:3">
      <c r="A4339" s="250">
        <v>12741</v>
      </c>
      <c r="B4339" s="74" t="s">
        <v>3178</v>
      </c>
      <c r="C4339" s="74" t="s">
        <v>443</v>
      </c>
    </row>
    <row r="4340" spans="1:3">
      <c r="A4340" s="250">
        <v>12742</v>
      </c>
      <c r="B4340" s="74" t="s">
        <v>3179</v>
      </c>
      <c r="C4340" s="74" t="s">
        <v>443</v>
      </c>
    </row>
    <row r="4341" spans="1:3">
      <c r="A4341" s="250">
        <v>12743</v>
      </c>
      <c r="B4341" s="74" t="s">
        <v>3180</v>
      </c>
      <c r="C4341" s="74" t="s">
        <v>443</v>
      </c>
    </row>
    <row r="4342" spans="1:3">
      <c r="A4342" s="250">
        <v>12745</v>
      </c>
      <c r="B4342" s="74" t="s">
        <v>3181</v>
      </c>
      <c r="C4342" s="74" t="s">
        <v>443</v>
      </c>
    </row>
    <row r="4343" spans="1:3">
      <c r="A4343" s="250">
        <v>12746</v>
      </c>
      <c r="B4343" s="74" t="s">
        <v>3182</v>
      </c>
      <c r="C4343" s="74" t="s">
        <v>443</v>
      </c>
    </row>
    <row r="4344" spans="1:3">
      <c r="A4344" s="250">
        <v>12747</v>
      </c>
      <c r="B4344" s="74" t="s">
        <v>3183</v>
      </c>
      <c r="C4344" s="74" t="s">
        <v>443</v>
      </c>
    </row>
    <row r="4345" spans="1:3">
      <c r="A4345" s="250">
        <v>12748</v>
      </c>
      <c r="B4345" s="74" t="s">
        <v>1817</v>
      </c>
      <c r="C4345" s="74" t="s">
        <v>443</v>
      </c>
    </row>
    <row r="4346" spans="1:3">
      <c r="A4346" s="250">
        <v>12749</v>
      </c>
      <c r="B4346" s="74" t="s">
        <v>3184</v>
      </c>
      <c r="C4346" s="74" t="s">
        <v>443</v>
      </c>
    </row>
    <row r="4347" spans="1:3">
      <c r="A4347" s="250">
        <v>12750</v>
      </c>
      <c r="B4347" s="74" t="s">
        <v>3185</v>
      </c>
      <c r="C4347" s="74" t="s">
        <v>443</v>
      </c>
    </row>
    <row r="4348" spans="1:3">
      <c r="A4348" s="250">
        <v>12751</v>
      </c>
      <c r="B4348" s="74" t="s">
        <v>3186</v>
      </c>
      <c r="C4348" s="74" t="s">
        <v>443</v>
      </c>
    </row>
    <row r="4349" spans="1:3">
      <c r="A4349" s="250">
        <v>12752</v>
      </c>
      <c r="B4349" s="74" t="s">
        <v>3187</v>
      </c>
      <c r="C4349" s="74" t="s">
        <v>443</v>
      </c>
    </row>
    <row r="4350" spans="1:3">
      <c r="A4350" s="250">
        <v>12754</v>
      </c>
      <c r="B4350" s="74" t="s">
        <v>1701</v>
      </c>
      <c r="C4350" s="74" t="s">
        <v>443</v>
      </c>
    </row>
    <row r="4351" spans="1:3">
      <c r="A4351" s="250">
        <v>12758</v>
      </c>
      <c r="B4351" s="74" t="s">
        <v>3188</v>
      </c>
      <c r="C4351" s="74" t="s">
        <v>443</v>
      </c>
    </row>
    <row r="4352" spans="1:3">
      <c r="A4352" s="250">
        <v>12759</v>
      </c>
      <c r="B4352" s="74" t="s">
        <v>3189</v>
      </c>
      <c r="C4352" s="74" t="s">
        <v>443</v>
      </c>
    </row>
    <row r="4353" spans="1:3">
      <c r="A4353" s="250">
        <v>12760</v>
      </c>
      <c r="B4353" s="74" t="s">
        <v>3190</v>
      </c>
      <c r="C4353" s="74" t="s">
        <v>443</v>
      </c>
    </row>
    <row r="4354" spans="1:3">
      <c r="A4354" s="250">
        <v>12762</v>
      </c>
      <c r="B4354" s="74" t="s">
        <v>3191</v>
      </c>
      <c r="C4354" s="74" t="s">
        <v>443</v>
      </c>
    </row>
    <row r="4355" spans="1:3">
      <c r="A4355" s="250">
        <v>12763</v>
      </c>
      <c r="B4355" s="74" t="s">
        <v>3192</v>
      </c>
      <c r="C4355" s="74" t="s">
        <v>443</v>
      </c>
    </row>
    <row r="4356" spans="1:3">
      <c r="A4356" s="250">
        <v>12764</v>
      </c>
      <c r="B4356" s="74" t="s">
        <v>3193</v>
      </c>
      <c r="C4356" s="74" t="s">
        <v>443</v>
      </c>
    </row>
    <row r="4357" spans="1:3">
      <c r="A4357" s="250">
        <v>12765</v>
      </c>
      <c r="B4357" s="74" t="s">
        <v>3194</v>
      </c>
      <c r="C4357" s="74" t="s">
        <v>443</v>
      </c>
    </row>
    <row r="4358" spans="1:3">
      <c r="A4358" s="250">
        <v>12766</v>
      </c>
      <c r="B4358" s="74" t="s">
        <v>3195</v>
      </c>
      <c r="C4358" s="74" t="s">
        <v>443</v>
      </c>
    </row>
    <row r="4359" spans="1:3">
      <c r="A4359" s="250">
        <v>12767</v>
      </c>
      <c r="B4359" s="74" t="s">
        <v>3196</v>
      </c>
      <c r="C4359" s="74" t="s">
        <v>443</v>
      </c>
    </row>
    <row r="4360" spans="1:3">
      <c r="A4360" s="250">
        <v>12768</v>
      </c>
      <c r="B4360" s="74" t="s">
        <v>3197</v>
      </c>
      <c r="C4360" s="74" t="s">
        <v>443</v>
      </c>
    </row>
    <row r="4361" spans="1:3">
      <c r="A4361" s="250">
        <v>12769</v>
      </c>
      <c r="B4361" s="74" t="s">
        <v>3198</v>
      </c>
      <c r="C4361" s="74" t="s">
        <v>443</v>
      </c>
    </row>
    <row r="4362" spans="1:3">
      <c r="A4362" s="250">
        <v>12770</v>
      </c>
      <c r="B4362" s="74" t="s">
        <v>3199</v>
      </c>
      <c r="C4362" s="74" t="s">
        <v>443</v>
      </c>
    </row>
    <row r="4363" spans="1:3">
      <c r="A4363" s="250">
        <v>12771</v>
      </c>
      <c r="B4363" s="74" t="s">
        <v>3200</v>
      </c>
      <c r="C4363" s="74" t="s">
        <v>443</v>
      </c>
    </row>
    <row r="4364" spans="1:3">
      <c r="A4364" s="250">
        <v>12775</v>
      </c>
      <c r="B4364" s="74" t="s">
        <v>3201</v>
      </c>
      <c r="C4364" s="74" t="s">
        <v>443</v>
      </c>
    </row>
    <row r="4365" spans="1:3">
      <c r="A4365" s="250">
        <v>12776</v>
      </c>
      <c r="B4365" s="74" t="s">
        <v>3202</v>
      </c>
      <c r="C4365" s="74" t="s">
        <v>443</v>
      </c>
    </row>
    <row r="4366" spans="1:3">
      <c r="A4366" s="250">
        <v>12777</v>
      </c>
      <c r="B4366" s="74" t="s">
        <v>3203</v>
      </c>
      <c r="C4366" s="74" t="s">
        <v>443</v>
      </c>
    </row>
    <row r="4367" spans="1:3">
      <c r="A4367" s="250">
        <v>12778</v>
      </c>
      <c r="B4367" s="74" t="s">
        <v>3204</v>
      </c>
      <c r="C4367" s="74" t="s">
        <v>443</v>
      </c>
    </row>
    <row r="4368" spans="1:3">
      <c r="A4368" s="250">
        <v>12779</v>
      </c>
      <c r="B4368" s="74" t="s">
        <v>3205</v>
      </c>
      <c r="C4368" s="74" t="s">
        <v>443</v>
      </c>
    </row>
    <row r="4369" spans="1:3">
      <c r="A4369" s="250">
        <v>12780</v>
      </c>
      <c r="B4369" s="74" t="s">
        <v>3206</v>
      </c>
      <c r="C4369" s="74" t="s">
        <v>443</v>
      </c>
    </row>
    <row r="4370" spans="1:3">
      <c r="A4370" s="250">
        <v>12781</v>
      </c>
      <c r="B4370" s="74" t="s">
        <v>3207</v>
      </c>
      <c r="C4370" s="74" t="s">
        <v>443</v>
      </c>
    </row>
    <row r="4371" spans="1:3">
      <c r="A4371" s="250">
        <v>12783</v>
      </c>
      <c r="B4371" s="74" t="s">
        <v>3208</v>
      </c>
      <c r="C4371" s="74" t="s">
        <v>443</v>
      </c>
    </row>
    <row r="4372" spans="1:3">
      <c r="A4372" s="250">
        <v>12784</v>
      </c>
      <c r="B4372" s="74" t="s">
        <v>3209</v>
      </c>
      <c r="C4372" s="74" t="s">
        <v>443</v>
      </c>
    </row>
    <row r="4373" spans="1:3">
      <c r="A4373" s="250">
        <v>12785</v>
      </c>
      <c r="B4373" s="74" t="s">
        <v>3210</v>
      </c>
      <c r="C4373" s="74" t="s">
        <v>443</v>
      </c>
    </row>
    <row r="4374" spans="1:3">
      <c r="A4374" s="250">
        <v>12786</v>
      </c>
      <c r="B4374" s="74" t="s">
        <v>3211</v>
      </c>
      <c r="C4374" s="74" t="s">
        <v>443</v>
      </c>
    </row>
    <row r="4375" spans="1:3">
      <c r="A4375" s="250">
        <v>12787</v>
      </c>
      <c r="B4375" s="74" t="s">
        <v>3212</v>
      </c>
      <c r="C4375" s="74" t="s">
        <v>443</v>
      </c>
    </row>
    <row r="4376" spans="1:3">
      <c r="A4376" s="250">
        <v>12788</v>
      </c>
      <c r="B4376" s="74" t="s">
        <v>3213</v>
      </c>
      <c r="C4376" s="74" t="s">
        <v>443</v>
      </c>
    </row>
    <row r="4377" spans="1:3">
      <c r="A4377" s="250">
        <v>12789</v>
      </c>
      <c r="B4377" s="74" t="s">
        <v>3214</v>
      </c>
      <c r="C4377" s="74" t="s">
        <v>443</v>
      </c>
    </row>
    <row r="4378" spans="1:3">
      <c r="A4378" s="250">
        <v>12790</v>
      </c>
      <c r="B4378" s="74" t="s">
        <v>3215</v>
      </c>
      <c r="C4378" s="74" t="s">
        <v>443</v>
      </c>
    </row>
    <row r="4379" spans="1:3">
      <c r="A4379" s="250">
        <v>12791</v>
      </c>
      <c r="B4379" s="74" t="s">
        <v>3216</v>
      </c>
      <c r="C4379" s="74" t="s">
        <v>443</v>
      </c>
    </row>
    <row r="4380" spans="1:3">
      <c r="A4380" s="250">
        <v>12792</v>
      </c>
      <c r="B4380" s="74" t="s">
        <v>3217</v>
      </c>
      <c r="C4380" s="74" t="s">
        <v>443</v>
      </c>
    </row>
    <row r="4381" spans="1:3">
      <c r="A4381" s="250">
        <v>12801</v>
      </c>
      <c r="B4381" s="74" t="s">
        <v>3218</v>
      </c>
      <c r="C4381" s="74" t="s">
        <v>443</v>
      </c>
    </row>
    <row r="4382" spans="1:3">
      <c r="A4382" s="250">
        <v>12803</v>
      </c>
      <c r="B4382" s="74" t="s">
        <v>3219</v>
      </c>
      <c r="C4382" s="74" t="s">
        <v>443</v>
      </c>
    </row>
    <row r="4383" spans="1:3">
      <c r="A4383" s="250">
        <v>12804</v>
      </c>
      <c r="B4383" s="74" t="s">
        <v>3220</v>
      </c>
      <c r="C4383" s="74" t="s">
        <v>443</v>
      </c>
    </row>
    <row r="4384" spans="1:3">
      <c r="A4384" s="250">
        <v>12808</v>
      </c>
      <c r="B4384" s="74" t="s">
        <v>3221</v>
      </c>
      <c r="C4384" s="74" t="s">
        <v>443</v>
      </c>
    </row>
    <row r="4385" spans="1:3">
      <c r="A4385" s="250">
        <v>12809</v>
      </c>
      <c r="B4385" s="74" t="s">
        <v>3222</v>
      </c>
      <c r="C4385" s="74" t="s">
        <v>443</v>
      </c>
    </row>
    <row r="4386" spans="1:3">
      <c r="A4386" s="250">
        <v>12810</v>
      </c>
      <c r="B4386" s="74" t="s">
        <v>672</v>
      </c>
      <c r="C4386" s="74" t="s">
        <v>443</v>
      </c>
    </row>
    <row r="4387" spans="1:3">
      <c r="A4387" s="250">
        <v>12811</v>
      </c>
      <c r="B4387" s="74" t="s">
        <v>3223</v>
      </c>
      <c r="C4387" s="74" t="s">
        <v>443</v>
      </c>
    </row>
    <row r="4388" spans="1:3">
      <c r="A4388" s="250">
        <v>12812</v>
      </c>
      <c r="B4388" s="74" t="s">
        <v>3224</v>
      </c>
      <c r="C4388" s="74" t="s">
        <v>443</v>
      </c>
    </row>
    <row r="4389" spans="1:3">
      <c r="A4389" s="250">
        <v>12814</v>
      </c>
      <c r="B4389" s="74" t="s">
        <v>3225</v>
      </c>
      <c r="C4389" s="74" t="s">
        <v>443</v>
      </c>
    </row>
    <row r="4390" spans="1:3">
      <c r="A4390" s="250">
        <v>12815</v>
      </c>
      <c r="B4390" s="74" t="s">
        <v>3226</v>
      </c>
      <c r="C4390" s="74" t="s">
        <v>443</v>
      </c>
    </row>
    <row r="4391" spans="1:3">
      <c r="A4391" s="250">
        <v>12816</v>
      </c>
      <c r="B4391" s="74" t="s">
        <v>914</v>
      </c>
      <c r="C4391" s="74" t="s">
        <v>443</v>
      </c>
    </row>
    <row r="4392" spans="1:3">
      <c r="A4392" s="250">
        <v>12817</v>
      </c>
      <c r="B4392" s="74" t="s">
        <v>3227</v>
      </c>
      <c r="C4392" s="74" t="s">
        <v>443</v>
      </c>
    </row>
    <row r="4393" spans="1:3">
      <c r="A4393" s="250">
        <v>12819</v>
      </c>
      <c r="B4393" s="74" t="s">
        <v>3228</v>
      </c>
      <c r="C4393" s="74" t="s">
        <v>443</v>
      </c>
    </row>
    <row r="4394" spans="1:3">
      <c r="A4394" s="250">
        <v>12820</v>
      </c>
      <c r="B4394" s="74" t="s">
        <v>3229</v>
      </c>
      <c r="C4394" s="74" t="s">
        <v>443</v>
      </c>
    </row>
    <row r="4395" spans="1:3">
      <c r="A4395" s="250">
        <v>12821</v>
      </c>
      <c r="B4395" s="74" t="s">
        <v>3230</v>
      </c>
      <c r="C4395" s="74" t="s">
        <v>443</v>
      </c>
    </row>
    <row r="4396" spans="1:3">
      <c r="A4396" s="250">
        <v>12822</v>
      </c>
      <c r="B4396" s="74" t="s">
        <v>1501</v>
      </c>
      <c r="C4396" s="74" t="s">
        <v>443</v>
      </c>
    </row>
    <row r="4397" spans="1:3">
      <c r="A4397" s="250">
        <v>12823</v>
      </c>
      <c r="B4397" s="74" t="s">
        <v>3231</v>
      </c>
      <c r="C4397" s="74" t="s">
        <v>443</v>
      </c>
    </row>
    <row r="4398" spans="1:3">
      <c r="A4398" s="250">
        <v>12824</v>
      </c>
      <c r="B4398" s="74" t="s">
        <v>3232</v>
      </c>
      <c r="C4398" s="74" t="s">
        <v>443</v>
      </c>
    </row>
    <row r="4399" spans="1:3">
      <c r="A4399" s="250">
        <v>12827</v>
      </c>
      <c r="B4399" s="74" t="s">
        <v>3233</v>
      </c>
      <c r="C4399" s="74" t="s">
        <v>443</v>
      </c>
    </row>
    <row r="4400" spans="1:3">
      <c r="A4400" s="250">
        <v>12828</v>
      </c>
      <c r="B4400" s="74" t="s">
        <v>3234</v>
      </c>
      <c r="C4400" s="74" t="s">
        <v>443</v>
      </c>
    </row>
    <row r="4401" spans="1:3">
      <c r="A4401" s="250">
        <v>12831</v>
      </c>
      <c r="B4401" s="74" t="s">
        <v>3235</v>
      </c>
      <c r="C4401" s="74" t="s">
        <v>443</v>
      </c>
    </row>
    <row r="4402" spans="1:3">
      <c r="A4402" s="250">
        <v>12832</v>
      </c>
      <c r="B4402" s="74" t="s">
        <v>594</v>
      </c>
      <c r="C4402" s="74" t="s">
        <v>443</v>
      </c>
    </row>
    <row r="4403" spans="1:3">
      <c r="A4403" s="250">
        <v>12833</v>
      </c>
      <c r="B4403" s="74" t="s">
        <v>3236</v>
      </c>
      <c r="C4403" s="74" t="s">
        <v>443</v>
      </c>
    </row>
    <row r="4404" spans="1:3">
      <c r="A4404" s="250">
        <v>12834</v>
      </c>
      <c r="B4404" s="74" t="s">
        <v>2101</v>
      </c>
      <c r="C4404" s="74" t="s">
        <v>443</v>
      </c>
    </row>
    <row r="4405" spans="1:3">
      <c r="A4405" s="250">
        <v>12835</v>
      </c>
      <c r="B4405" s="74" t="s">
        <v>595</v>
      </c>
      <c r="C4405" s="74" t="s">
        <v>443</v>
      </c>
    </row>
    <row r="4406" spans="1:3">
      <c r="A4406" s="250">
        <v>12836</v>
      </c>
      <c r="B4406" s="74" t="s">
        <v>3237</v>
      </c>
      <c r="C4406" s="74" t="s">
        <v>443</v>
      </c>
    </row>
    <row r="4407" spans="1:3">
      <c r="A4407" s="250">
        <v>12837</v>
      </c>
      <c r="B4407" s="74" t="s">
        <v>1315</v>
      </c>
      <c r="C4407" s="74" t="s">
        <v>443</v>
      </c>
    </row>
    <row r="4408" spans="1:3">
      <c r="A4408" s="250">
        <v>12838</v>
      </c>
      <c r="B4408" s="74" t="s">
        <v>1737</v>
      </c>
      <c r="C4408" s="74" t="s">
        <v>443</v>
      </c>
    </row>
    <row r="4409" spans="1:3">
      <c r="A4409" s="250">
        <v>12839</v>
      </c>
      <c r="B4409" s="74" t="s">
        <v>3238</v>
      </c>
      <c r="C4409" s="74" t="s">
        <v>443</v>
      </c>
    </row>
    <row r="4410" spans="1:3">
      <c r="A4410" s="250">
        <v>12841</v>
      </c>
      <c r="B4410" s="74" t="s">
        <v>3239</v>
      </c>
      <c r="C4410" s="74" t="s">
        <v>443</v>
      </c>
    </row>
    <row r="4411" spans="1:3">
      <c r="A4411" s="250">
        <v>12842</v>
      </c>
      <c r="B4411" s="74" t="s">
        <v>3240</v>
      </c>
      <c r="C4411" s="74" t="s">
        <v>443</v>
      </c>
    </row>
    <row r="4412" spans="1:3">
      <c r="A4412" s="250">
        <v>12843</v>
      </c>
      <c r="B4412" s="74" t="s">
        <v>3241</v>
      </c>
      <c r="C4412" s="74" t="s">
        <v>443</v>
      </c>
    </row>
    <row r="4413" spans="1:3">
      <c r="A4413" s="250">
        <v>12844</v>
      </c>
      <c r="B4413" s="74" t="s">
        <v>3242</v>
      </c>
      <c r="C4413" s="74" t="s">
        <v>443</v>
      </c>
    </row>
    <row r="4414" spans="1:3">
      <c r="A4414" s="250">
        <v>12845</v>
      </c>
      <c r="B4414" s="74" t="s">
        <v>3243</v>
      </c>
      <c r="C4414" s="74" t="s">
        <v>443</v>
      </c>
    </row>
    <row r="4415" spans="1:3">
      <c r="A4415" s="250">
        <v>12846</v>
      </c>
      <c r="B4415" s="74" t="s">
        <v>3244</v>
      </c>
      <c r="C4415" s="74" t="s">
        <v>443</v>
      </c>
    </row>
    <row r="4416" spans="1:3">
      <c r="A4416" s="250">
        <v>12847</v>
      </c>
      <c r="B4416" s="74" t="s">
        <v>3245</v>
      </c>
      <c r="C4416" s="74" t="s">
        <v>443</v>
      </c>
    </row>
    <row r="4417" spans="1:3">
      <c r="A4417" s="250">
        <v>12848</v>
      </c>
      <c r="B4417" s="74" t="s">
        <v>3246</v>
      </c>
      <c r="C4417" s="74" t="s">
        <v>443</v>
      </c>
    </row>
    <row r="4418" spans="1:3">
      <c r="A4418" s="250">
        <v>12849</v>
      </c>
      <c r="B4418" s="74" t="s">
        <v>3247</v>
      </c>
      <c r="C4418" s="74" t="s">
        <v>443</v>
      </c>
    </row>
    <row r="4419" spans="1:3">
      <c r="A4419" s="250">
        <v>12850</v>
      </c>
      <c r="B4419" s="74" t="s">
        <v>3248</v>
      </c>
      <c r="C4419" s="74" t="s">
        <v>443</v>
      </c>
    </row>
    <row r="4420" spans="1:3">
      <c r="A4420" s="250">
        <v>12851</v>
      </c>
      <c r="B4420" s="74" t="s">
        <v>3249</v>
      </c>
      <c r="C4420" s="74" t="s">
        <v>443</v>
      </c>
    </row>
    <row r="4421" spans="1:3">
      <c r="A4421" s="250">
        <v>12852</v>
      </c>
      <c r="B4421" s="74" t="s">
        <v>3250</v>
      </c>
      <c r="C4421" s="74" t="s">
        <v>443</v>
      </c>
    </row>
    <row r="4422" spans="1:3">
      <c r="A4422" s="250">
        <v>12853</v>
      </c>
      <c r="B4422" s="74" t="s">
        <v>3251</v>
      </c>
      <c r="C4422" s="74" t="s">
        <v>443</v>
      </c>
    </row>
    <row r="4423" spans="1:3">
      <c r="A4423" s="250">
        <v>12854</v>
      </c>
      <c r="B4423" s="74" t="s">
        <v>3252</v>
      </c>
      <c r="C4423" s="74" t="s">
        <v>443</v>
      </c>
    </row>
    <row r="4424" spans="1:3">
      <c r="A4424" s="250">
        <v>12855</v>
      </c>
      <c r="B4424" s="74" t="s">
        <v>3253</v>
      </c>
      <c r="C4424" s="74" t="s">
        <v>443</v>
      </c>
    </row>
    <row r="4425" spans="1:3">
      <c r="A4425" s="250">
        <v>12856</v>
      </c>
      <c r="B4425" s="74" t="s">
        <v>3254</v>
      </c>
      <c r="C4425" s="74" t="s">
        <v>443</v>
      </c>
    </row>
    <row r="4426" spans="1:3">
      <c r="A4426" s="250">
        <v>12857</v>
      </c>
      <c r="B4426" s="74" t="s">
        <v>3255</v>
      </c>
      <c r="C4426" s="74" t="s">
        <v>443</v>
      </c>
    </row>
    <row r="4427" spans="1:3">
      <c r="A4427" s="250">
        <v>12858</v>
      </c>
      <c r="B4427" s="74" t="s">
        <v>3256</v>
      </c>
      <c r="C4427" s="74" t="s">
        <v>443</v>
      </c>
    </row>
    <row r="4428" spans="1:3">
      <c r="A4428" s="250">
        <v>12859</v>
      </c>
      <c r="B4428" s="74" t="s">
        <v>3257</v>
      </c>
      <c r="C4428" s="74" t="s">
        <v>443</v>
      </c>
    </row>
    <row r="4429" spans="1:3">
      <c r="A4429" s="250">
        <v>12860</v>
      </c>
      <c r="B4429" s="74" t="s">
        <v>2360</v>
      </c>
      <c r="C4429" s="74" t="s">
        <v>443</v>
      </c>
    </row>
    <row r="4430" spans="1:3">
      <c r="A4430" s="250">
        <v>12861</v>
      </c>
      <c r="B4430" s="74" t="s">
        <v>3258</v>
      </c>
      <c r="C4430" s="74" t="s">
        <v>443</v>
      </c>
    </row>
    <row r="4431" spans="1:3">
      <c r="A4431" s="250">
        <v>12862</v>
      </c>
      <c r="B4431" s="74" t="s">
        <v>3259</v>
      </c>
      <c r="C4431" s="74" t="s">
        <v>443</v>
      </c>
    </row>
    <row r="4432" spans="1:3">
      <c r="A4432" s="250">
        <v>12863</v>
      </c>
      <c r="B4432" s="74" t="s">
        <v>3260</v>
      </c>
      <c r="C4432" s="74" t="s">
        <v>443</v>
      </c>
    </row>
    <row r="4433" spans="1:3">
      <c r="A4433" s="250">
        <v>12864</v>
      </c>
      <c r="B4433" s="74" t="s">
        <v>3261</v>
      </c>
      <c r="C4433" s="74" t="s">
        <v>443</v>
      </c>
    </row>
    <row r="4434" spans="1:3">
      <c r="A4434" s="250">
        <v>12865</v>
      </c>
      <c r="B4434" s="74" t="s">
        <v>858</v>
      </c>
      <c r="C4434" s="74" t="s">
        <v>443</v>
      </c>
    </row>
    <row r="4435" spans="1:3">
      <c r="A4435" s="250">
        <v>12866</v>
      </c>
      <c r="B4435" s="74" t="s">
        <v>3262</v>
      </c>
      <c r="C4435" s="74" t="s">
        <v>443</v>
      </c>
    </row>
    <row r="4436" spans="1:3">
      <c r="A4436" s="250">
        <v>12870</v>
      </c>
      <c r="B4436" s="74" t="s">
        <v>3263</v>
      </c>
      <c r="C4436" s="74" t="s">
        <v>443</v>
      </c>
    </row>
    <row r="4437" spans="1:3">
      <c r="A4437" s="250">
        <v>12871</v>
      </c>
      <c r="B4437" s="74" t="s">
        <v>3264</v>
      </c>
      <c r="C4437" s="74" t="s">
        <v>443</v>
      </c>
    </row>
    <row r="4438" spans="1:3">
      <c r="A4438" s="250">
        <v>12872</v>
      </c>
      <c r="B4438" s="74" t="s">
        <v>3265</v>
      </c>
      <c r="C4438" s="74" t="s">
        <v>443</v>
      </c>
    </row>
    <row r="4439" spans="1:3">
      <c r="A4439" s="250">
        <v>12873</v>
      </c>
      <c r="B4439" s="74" t="s">
        <v>3266</v>
      </c>
      <c r="C4439" s="74" t="s">
        <v>443</v>
      </c>
    </row>
    <row r="4440" spans="1:3">
      <c r="A4440" s="250">
        <v>12874</v>
      </c>
      <c r="B4440" s="74" t="s">
        <v>3267</v>
      </c>
      <c r="C4440" s="74" t="s">
        <v>443</v>
      </c>
    </row>
    <row r="4441" spans="1:3">
      <c r="A4441" s="250">
        <v>12878</v>
      </c>
      <c r="B4441" s="74" t="s">
        <v>3268</v>
      </c>
      <c r="C4441" s="74" t="s">
        <v>443</v>
      </c>
    </row>
    <row r="4442" spans="1:3">
      <c r="A4442" s="250">
        <v>12879</v>
      </c>
      <c r="B4442" s="74" t="s">
        <v>3250</v>
      </c>
      <c r="C4442" s="74" t="s">
        <v>443</v>
      </c>
    </row>
    <row r="4443" spans="1:3">
      <c r="A4443" s="250">
        <v>12883</v>
      </c>
      <c r="B4443" s="74" t="s">
        <v>3269</v>
      </c>
      <c r="C4443" s="74" t="s">
        <v>443</v>
      </c>
    </row>
    <row r="4444" spans="1:3">
      <c r="A4444" s="250">
        <v>12884</v>
      </c>
      <c r="B4444" s="74" t="s">
        <v>3270</v>
      </c>
      <c r="C4444" s="74" t="s">
        <v>443</v>
      </c>
    </row>
    <row r="4445" spans="1:3">
      <c r="A4445" s="250">
        <v>12885</v>
      </c>
      <c r="B4445" s="74" t="s">
        <v>3271</v>
      </c>
      <c r="C4445" s="74" t="s">
        <v>443</v>
      </c>
    </row>
    <row r="4446" spans="1:3">
      <c r="A4446" s="250">
        <v>12886</v>
      </c>
      <c r="B4446" s="74" t="s">
        <v>3272</v>
      </c>
      <c r="C4446" s="74" t="s">
        <v>443</v>
      </c>
    </row>
    <row r="4447" spans="1:3">
      <c r="A4447" s="250">
        <v>12887</v>
      </c>
      <c r="B4447" s="74" t="s">
        <v>3273</v>
      </c>
      <c r="C4447" s="74" t="s">
        <v>443</v>
      </c>
    </row>
    <row r="4448" spans="1:3">
      <c r="A4448" s="250">
        <v>12901</v>
      </c>
      <c r="B4448" s="74" t="s">
        <v>3274</v>
      </c>
      <c r="C4448" s="74" t="s">
        <v>443</v>
      </c>
    </row>
    <row r="4449" spans="1:3">
      <c r="A4449" s="250">
        <v>12903</v>
      </c>
      <c r="B4449" s="74" t="s">
        <v>3274</v>
      </c>
      <c r="C4449" s="74" t="s">
        <v>443</v>
      </c>
    </row>
    <row r="4450" spans="1:3">
      <c r="A4450" s="250">
        <v>12910</v>
      </c>
      <c r="B4450" s="74" t="s">
        <v>3275</v>
      </c>
      <c r="C4450" s="74" t="s">
        <v>443</v>
      </c>
    </row>
    <row r="4451" spans="1:3">
      <c r="A4451" s="250">
        <v>12911</v>
      </c>
      <c r="B4451" s="74" t="s">
        <v>3276</v>
      </c>
      <c r="C4451" s="74" t="s">
        <v>443</v>
      </c>
    </row>
    <row r="4452" spans="1:3">
      <c r="A4452" s="250">
        <v>12912</v>
      </c>
      <c r="B4452" s="74" t="s">
        <v>3277</v>
      </c>
      <c r="C4452" s="74" t="s">
        <v>443</v>
      </c>
    </row>
    <row r="4453" spans="1:3">
      <c r="A4453" s="250">
        <v>12913</v>
      </c>
      <c r="B4453" s="74" t="s">
        <v>2182</v>
      </c>
      <c r="C4453" s="74" t="s">
        <v>443</v>
      </c>
    </row>
    <row r="4454" spans="1:3">
      <c r="A4454" s="250">
        <v>12914</v>
      </c>
      <c r="B4454" s="74" t="s">
        <v>3278</v>
      </c>
      <c r="C4454" s="74" t="s">
        <v>443</v>
      </c>
    </row>
    <row r="4455" spans="1:3">
      <c r="A4455" s="250">
        <v>12915</v>
      </c>
      <c r="B4455" s="74" t="s">
        <v>3279</v>
      </c>
      <c r="C4455" s="74" t="s">
        <v>443</v>
      </c>
    </row>
    <row r="4456" spans="1:3">
      <c r="A4456" s="250">
        <v>12916</v>
      </c>
      <c r="B4456" s="74" t="s">
        <v>3280</v>
      </c>
      <c r="C4456" s="74" t="s">
        <v>443</v>
      </c>
    </row>
    <row r="4457" spans="1:3">
      <c r="A4457" s="250">
        <v>12917</v>
      </c>
      <c r="B4457" s="74" t="s">
        <v>3281</v>
      </c>
      <c r="C4457" s="74" t="s">
        <v>443</v>
      </c>
    </row>
    <row r="4458" spans="1:3">
      <c r="A4458" s="250">
        <v>12918</v>
      </c>
      <c r="B4458" s="74" t="s">
        <v>3282</v>
      </c>
      <c r="C4458" s="74" t="s">
        <v>443</v>
      </c>
    </row>
    <row r="4459" spans="1:3">
      <c r="A4459" s="250">
        <v>12919</v>
      </c>
      <c r="B4459" s="74" t="s">
        <v>3283</v>
      </c>
      <c r="C4459" s="74" t="s">
        <v>443</v>
      </c>
    </row>
    <row r="4460" spans="1:3">
      <c r="A4460" s="250">
        <v>12920</v>
      </c>
      <c r="B4460" s="74" t="s">
        <v>3284</v>
      </c>
      <c r="C4460" s="74" t="s">
        <v>443</v>
      </c>
    </row>
    <row r="4461" spans="1:3">
      <c r="A4461" s="250">
        <v>12921</v>
      </c>
      <c r="B4461" s="74" t="s">
        <v>3285</v>
      </c>
      <c r="C4461" s="74" t="s">
        <v>443</v>
      </c>
    </row>
    <row r="4462" spans="1:3">
      <c r="A4462" s="250">
        <v>12922</v>
      </c>
      <c r="B4462" s="74" t="s">
        <v>3286</v>
      </c>
      <c r="C4462" s="74" t="s">
        <v>443</v>
      </c>
    </row>
    <row r="4463" spans="1:3">
      <c r="A4463" s="250">
        <v>12923</v>
      </c>
      <c r="B4463" s="74" t="s">
        <v>3287</v>
      </c>
      <c r="C4463" s="74" t="s">
        <v>443</v>
      </c>
    </row>
    <row r="4464" spans="1:3">
      <c r="A4464" s="250">
        <v>12924</v>
      </c>
      <c r="B4464" s="74" t="s">
        <v>3276</v>
      </c>
      <c r="C4464" s="74" t="s">
        <v>443</v>
      </c>
    </row>
    <row r="4465" spans="1:3">
      <c r="A4465" s="250">
        <v>12926</v>
      </c>
      <c r="B4465" s="74" t="s">
        <v>3288</v>
      </c>
      <c r="C4465" s="74" t="s">
        <v>443</v>
      </c>
    </row>
    <row r="4466" spans="1:3">
      <c r="A4466" s="250">
        <v>12927</v>
      </c>
      <c r="B4466" s="74" t="s">
        <v>3289</v>
      </c>
      <c r="C4466" s="74" t="s">
        <v>443</v>
      </c>
    </row>
    <row r="4467" spans="1:3">
      <c r="A4467" s="250">
        <v>12928</v>
      </c>
      <c r="B4467" s="74" t="s">
        <v>3290</v>
      </c>
      <c r="C4467" s="74" t="s">
        <v>443</v>
      </c>
    </row>
    <row r="4468" spans="1:3">
      <c r="A4468" s="250">
        <v>12929</v>
      </c>
      <c r="B4468" s="74" t="s">
        <v>3291</v>
      </c>
      <c r="C4468" s="74" t="s">
        <v>443</v>
      </c>
    </row>
    <row r="4469" spans="1:3">
      <c r="A4469" s="250">
        <v>12930</v>
      </c>
      <c r="B4469" s="74" t="s">
        <v>3292</v>
      </c>
      <c r="C4469" s="74" t="s">
        <v>443</v>
      </c>
    </row>
    <row r="4470" spans="1:3">
      <c r="A4470" s="250">
        <v>12932</v>
      </c>
      <c r="B4470" s="74" t="s">
        <v>3293</v>
      </c>
      <c r="C4470" s="74" t="s">
        <v>443</v>
      </c>
    </row>
    <row r="4471" spans="1:3">
      <c r="A4471" s="250">
        <v>12933</v>
      </c>
      <c r="B4471" s="74" t="s">
        <v>3294</v>
      </c>
      <c r="C4471" s="74" t="s">
        <v>443</v>
      </c>
    </row>
    <row r="4472" spans="1:3">
      <c r="A4472" s="250">
        <v>12934</v>
      </c>
      <c r="B4472" s="74" t="s">
        <v>3295</v>
      </c>
      <c r="C4472" s="74" t="s">
        <v>443</v>
      </c>
    </row>
    <row r="4473" spans="1:3">
      <c r="A4473" s="250">
        <v>12935</v>
      </c>
      <c r="B4473" s="74" t="s">
        <v>3296</v>
      </c>
      <c r="C4473" s="74" t="s">
        <v>443</v>
      </c>
    </row>
    <row r="4474" spans="1:3">
      <c r="A4474" s="250">
        <v>12936</v>
      </c>
      <c r="B4474" s="74" t="s">
        <v>842</v>
      </c>
      <c r="C4474" s="74" t="s">
        <v>443</v>
      </c>
    </row>
    <row r="4475" spans="1:3">
      <c r="A4475" s="250">
        <v>12937</v>
      </c>
      <c r="B4475" s="74" t="s">
        <v>3297</v>
      </c>
      <c r="C4475" s="74" t="s">
        <v>443</v>
      </c>
    </row>
    <row r="4476" spans="1:3">
      <c r="A4476" s="250">
        <v>12939</v>
      </c>
      <c r="B4476" s="74" t="s">
        <v>3298</v>
      </c>
      <c r="C4476" s="74" t="s">
        <v>443</v>
      </c>
    </row>
    <row r="4477" spans="1:3">
      <c r="A4477" s="250">
        <v>12941</v>
      </c>
      <c r="B4477" s="74" t="s">
        <v>1443</v>
      </c>
      <c r="C4477" s="74" t="s">
        <v>443</v>
      </c>
    </row>
    <row r="4478" spans="1:3">
      <c r="A4478" s="250">
        <v>12942</v>
      </c>
      <c r="B4478" s="74" t="s">
        <v>1226</v>
      </c>
      <c r="C4478" s="74" t="s">
        <v>443</v>
      </c>
    </row>
    <row r="4479" spans="1:3">
      <c r="A4479" s="250">
        <v>12943</v>
      </c>
      <c r="B4479" s="74" t="s">
        <v>3299</v>
      </c>
      <c r="C4479" s="74" t="s">
        <v>443</v>
      </c>
    </row>
    <row r="4480" spans="1:3">
      <c r="A4480" s="250">
        <v>12944</v>
      </c>
      <c r="B4480" s="74" t="s">
        <v>3276</v>
      </c>
      <c r="C4480" s="74" t="s">
        <v>443</v>
      </c>
    </row>
    <row r="4481" spans="1:3">
      <c r="A4481" s="250">
        <v>12945</v>
      </c>
      <c r="B4481" s="74" t="s">
        <v>3300</v>
      </c>
      <c r="C4481" s="74" t="s">
        <v>443</v>
      </c>
    </row>
    <row r="4482" spans="1:3">
      <c r="A4482" s="250">
        <v>12946</v>
      </c>
      <c r="B4482" s="74" t="s">
        <v>3301</v>
      </c>
      <c r="C4482" s="74" t="s">
        <v>443</v>
      </c>
    </row>
    <row r="4483" spans="1:3">
      <c r="A4483" s="250">
        <v>12949</v>
      </c>
      <c r="B4483" s="74" t="s">
        <v>3302</v>
      </c>
      <c r="C4483" s="74" t="s">
        <v>443</v>
      </c>
    </row>
    <row r="4484" spans="1:3">
      <c r="A4484" s="250">
        <v>12950</v>
      </c>
      <c r="B4484" s="74" t="s">
        <v>3303</v>
      </c>
      <c r="C4484" s="74" t="s">
        <v>443</v>
      </c>
    </row>
    <row r="4485" spans="1:3">
      <c r="A4485" s="250">
        <v>12952</v>
      </c>
      <c r="B4485" s="74" t="s">
        <v>3304</v>
      </c>
      <c r="C4485" s="74" t="s">
        <v>443</v>
      </c>
    </row>
    <row r="4486" spans="1:3">
      <c r="A4486" s="250">
        <v>12953</v>
      </c>
      <c r="B4486" s="74" t="s">
        <v>3305</v>
      </c>
      <c r="C4486" s="74" t="s">
        <v>443</v>
      </c>
    </row>
    <row r="4487" spans="1:3">
      <c r="A4487" s="250">
        <v>12955</v>
      </c>
      <c r="B4487" s="74" t="s">
        <v>3304</v>
      </c>
      <c r="C4487" s="74" t="s">
        <v>443</v>
      </c>
    </row>
    <row r="4488" spans="1:3">
      <c r="A4488" s="250">
        <v>12956</v>
      </c>
      <c r="B4488" s="74" t="s">
        <v>3306</v>
      </c>
      <c r="C4488" s="74" t="s">
        <v>443</v>
      </c>
    </row>
    <row r="4489" spans="1:3">
      <c r="A4489" s="250">
        <v>12957</v>
      </c>
      <c r="B4489" s="74" t="s">
        <v>3307</v>
      </c>
      <c r="C4489" s="74" t="s">
        <v>443</v>
      </c>
    </row>
    <row r="4490" spans="1:3">
      <c r="A4490" s="250">
        <v>12958</v>
      </c>
      <c r="B4490" s="74" t="s">
        <v>3308</v>
      </c>
      <c r="C4490" s="74" t="s">
        <v>443</v>
      </c>
    </row>
    <row r="4491" spans="1:3">
      <c r="A4491" s="250">
        <v>12959</v>
      </c>
      <c r="B4491" s="74" t="s">
        <v>3309</v>
      </c>
      <c r="C4491" s="74" t="s">
        <v>443</v>
      </c>
    </row>
    <row r="4492" spans="1:3">
      <c r="A4492" s="250">
        <v>12960</v>
      </c>
      <c r="B4492" s="74" t="s">
        <v>3310</v>
      </c>
      <c r="C4492" s="74" t="s">
        <v>443</v>
      </c>
    </row>
    <row r="4493" spans="1:3">
      <c r="A4493" s="250">
        <v>12961</v>
      </c>
      <c r="B4493" s="74" t="s">
        <v>3311</v>
      </c>
      <c r="C4493" s="74" t="s">
        <v>443</v>
      </c>
    </row>
    <row r="4494" spans="1:3">
      <c r="A4494" s="250">
        <v>12962</v>
      </c>
      <c r="B4494" s="74" t="s">
        <v>3312</v>
      </c>
      <c r="C4494" s="74" t="s">
        <v>443</v>
      </c>
    </row>
    <row r="4495" spans="1:3">
      <c r="A4495" s="250">
        <v>12964</v>
      </c>
      <c r="B4495" s="74" t="s">
        <v>3313</v>
      </c>
      <c r="C4495" s="74" t="s">
        <v>443</v>
      </c>
    </row>
    <row r="4496" spans="1:3">
      <c r="A4496" s="250">
        <v>12965</v>
      </c>
      <c r="B4496" s="74" t="s">
        <v>3314</v>
      </c>
      <c r="C4496" s="74" t="s">
        <v>443</v>
      </c>
    </row>
    <row r="4497" spans="1:3">
      <c r="A4497" s="250">
        <v>12966</v>
      </c>
      <c r="B4497" s="74" t="s">
        <v>3315</v>
      </c>
      <c r="C4497" s="74" t="s">
        <v>443</v>
      </c>
    </row>
    <row r="4498" spans="1:3">
      <c r="A4498" s="250">
        <v>12967</v>
      </c>
      <c r="B4498" s="74" t="s">
        <v>3316</v>
      </c>
      <c r="C4498" s="74" t="s">
        <v>443</v>
      </c>
    </row>
    <row r="4499" spans="1:3">
      <c r="A4499" s="250">
        <v>12969</v>
      </c>
      <c r="B4499" s="74" t="s">
        <v>1668</v>
      </c>
      <c r="C4499" s="74" t="s">
        <v>443</v>
      </c>
    </row>
    <row r="4500" spans="1:3">
      <c r="A4500" s="250">
        <v>12970</v>
      </c>
      <c r="B4500" s="74" t="s">
        <v>3317</v>
      </c>
      <c r="C4500" s="74" t="s">
        <v>443</v>
      </c>
    </row>
    <row r="4501" spans="1:3">
      <c r="A4501" s="250">
        <v>12972</v>
      </c>
      <c r="B4501" s="74" t="s">
        <v>1470</v>
      </c>
      <c r="C4501" s="74" t="s">
        <v>443</v>
      </c>
    </row>
    <row r="4502" spans="1:3">
      <c r="A4502" s="250">
        <v>12973</v>
      </c>
      <c r="B4502" s="74" t="s">
        <v>3318</v>
      </c>
      <c r="C4502" s="74" t="s">
        <v>443</v>
      </c>
    </row>
    <row r="4503" spans="1:3">
      <c r="A4503" s="250">
        <v>12974</v>
      </c>
      <c r="B4503" s="74" t="s">
        <v>3319</v>
      </c>
      <c r="C4503" s="74" t="s">
        <v>443</v>
      </c>
    </row>
    <row r="4504" spans="1:3">
      <c r="A4504" s="250">
        <v>12975</v>
      </c>
      <c r="B4504" s="74" t="s">
        <v>3320</v>
      </c>
      <c r="C4504" s="74" t="s">
        <v>443</v>
      </c>
    </row>
    <row r="4505" spans="1:3">
      <c r="A4505" s="250">
        <v>12976</v>
      </c>
      <c r="B4505" s="74" t="s">
        <v>3321</v>
      </c>
      <c r="C4505" s="74" t="s">
        <v>443</v>
      </c>
    </row>
    <row r="4506" spans="1:3">
      <c r="A4506" s="250">
        <v>12977</v>
      </c>
      <c r="B4506" s="74" t="s">
        <v>3322</v>
      </c>
      <c r="C4506" s="74" t="s">
        <v>443</v>
      </c>
    </row>
    <row r="4507" spans="1:3">
      <c r="A4507" s="250">
        <v>12978</v>
      </c>
      <c r="B4507" s="74" t="s">
        <v>3323</v>
      </c>
      <c r="C4507" s="74" t="s">
        <v>443</v>
      </c>
    </row>
    <row r="4508" spans="1:3">
      <c r="A4508" s="250">
        <v>12979</v>
      </c>
      <c r="B4508" s="74" t="s">
        <v>3324</v>
      </c>
      <c r="C4508" s="74" t="s">
        <v>443</v>
      </c>
    </row>
    <row r="4509" spans="1:3">
      <c r="A4509" s="250">
        <v>12980</v>
      </c>
      <c r="B4509" s="74" t="s">
        <v>3325</v>
      </c>
      <c r="C4509" s="74" t="s">
        <v>443</v>
      </c>
    </row>
    <row r="4510" spans="1:3">
      <c r="A4510" s="250">
        <v>12981</v>
      </c>
      <c r="B4510" s="74" t="s">
        <v>3326</v>
      </c>
      <c r="C4510" s="74" t="s">
        <v>443</v>
      </c>
    </row>
    <row r="4511" spans="1:3">
      <c r="A4511" s="250">
        <v>12983</v>
      </c>
      <c r="B4511" s="74" t="s">
        <v>3327</v>
      </c>
      <c r="C4511" s="74" t="s">
        <v>443</v>
      </c>
    </row>
    <row r="4512" spans="1:3">
      <c r="A4512" s="250">
        <v>12985</v>
      </c>
      <c r="B4512" s="74" t="s">
        <v>3328</v>
      </c>
      <c r="C4512" s="74" t="s">
        <v>443</v>
      </c>
    </row>
    <row r="4513" spans="1:3">
      <c r="A4513" s="250">
        <v>12986</v>
      </c>
      <c r="B4513" s="74" t="s">
        <v>3329</v>
      </c>
      <c r="C4513" s="74" t="s">
        <v>443</v>
      </c>
    </row>
    <row r="4514" spans="1:3">
      <c r="A4514" s="250">
        <v>12987</v>
      </c>
      <c r="B4514" s="74" t="s">
        <v>3330</v>
      </c>
      <c r="C4514" s="74" t="s">
        <v>443</v>
      </c>
    </row>
    <row r="4515" spans="1:3">
      <c r="A4515" s="250">
        <v>12989</v>
      </c>
      <c r="B4515" s="74" t="s">
        <v>3331</v>
      </c>
      <c r="C4515" s="74" t="s">
        <v>443</v>
      </c>
    </row>
    <row r="4516" spans="1:3">
      <c r="A4516" s="250">
        <v>12992</v>
      </c>
      <c r="B4516" s="74" t="s">
        <v>3332</v>
      </c>
      <c r="C4516" s="74" t="s">
        <v>443</v>
      </c>
    </row>
    <row r="4517" spans="1:3">
      <c r="A4517" s="250">
        <v>12993</v>
      </c>
      <c r="B4517" s="74" t="s">
        <v>1090</v>
      </c>
      <c r="C4517" s="74" t="s">
        <v>443</v>
      </c>
    </row>
    <row r="4518" spans="1:3">
      <c r="A4518" s="250">
        <v>12995</v>
      </c>
      <c r="B4518" s="74" t="s">
        <v>3333</v>
      </c>
      <c r="C4518" s="74" t="s">
        <v>443</v>
      </c>
    </row>
    <row r="4519" spans="1:3">
      <c r="A4519" s="250">
        <v>12996</v>
      </c>
      <c r="B4519" s="74" t="s">
        <v>3334</v>
      </c>
      <c r="C4519" s="74" t="s">
        <v>443</v>
      </c>
    </row>
    <row r="4520" spans="1:3">
      <c r="A4520" s="250">
        <v>12997</v>
      </c>
      <c r="B4520" s="74" t="s">
        <v>831</v>
      </c>
      <c r="C4520" s="74" t="s">
        <v>443</v>
      </c>
    </row>
    <row r="4521" spans="1:3">
      <c r="A4521" s="250">
        <v>12998</v>
      </c>
      <c r="B4521" s="74" t="s">
        <v>3335</v>
      </c>
      <c r="C4521" s="74" t="s">
        <v>443</v>
      </c>
    </row>
    <row r="4522" spans="1:3">
      <c r="A4522" s="250">
        <v>13020</v>
      </c>
      <c r="B4522" s="74" t="s">
        <v>3336</v>
      </c>
      <c r="C4522" s="74" t="s">
        <v>443</v>
      </c>
    </row>
    <row r="4523" spans="1:3">
      <c r="A4523" s="250">
        <v>13021</v>
      </c>
      <c r="B4523" s="74" t="s">
        <v>724</v>
      </c>
      <c r="C4523" s="74" t="s">
        <v>443</v>
      </c>
    </row>
    <row r="4524" spans="1:3">
      <c r="A4524" s="250">
        <v>13022</v>
      </c>
      <c r="B4524" s="74" t="s">
        <v>724</v>
      </c>
      <c r="C4524" s="74" t="s">
        <v>443</v>
      </c>
    </row>
    <row r="4525" spans="1:3">
      <c r="A4525" s="250">
        <v>13024</v>
      </c>
      <c r="B4525" s="74" t="s">
        <v>724</v>
      </c>
      <c r="C4525" s="74" t="s">
        <v>443</v>
      </c>
    </row>
    <row r="4526" spans="1:3">
      <c r="A4526" s="250">
        <v>13026</v>
      </c>
      <c r="B4526" s="74" t="s">
        <v>1489</v>
      </c>
      <c r="C4526" s="74" t="s">
        <v>443</v>
      </c>
    </row>
    <row r="4527" spans="1:3">
      <c r="A4527" s="250">
        <v>13027</v>
      </c>
      <c r="B4527" s="74" t="s">
        <v>3337</v>
      </c>
      <c r="C4527" s="74" t="s">
        <v>443</v>
      </c>
    </row>
    <row r="4528" spans="1:3">
      <c r="A4528" s="250">
        <v>13028</v>
      </c>
      <c r="B4528" s="74" t="s">
        <v>3338</v>
      </c>
      <c r="C4528" s="74" t="s">
        <v>443</v>
      </c>
    </row>
    <row r="4529" spans="1:3">
      <c r="A4529" s="250">
        <v>13029</v>
      </c>
      <c r="B4529" s="74" t="s">
        <v>3339</v>
      </c>
      <c r="C4529" s="74" t="s">
        <v>443</v>
      </c>
    </row>
    <row r="4530" spans="1:3">
      <c r="A4530" s="250">
        <v>13030</v>
      </c>
      <c r="B4530" s="74" t="s">
        <v>2077</v>
      </c>
      <c r="C4530" s="74" t="s">
        <v>443</v>
      </c>
    </row>
    <row r="4531" spans="1:3">
      <c r="A4531" s="250">
        <v>13031</v>
      </c>
      <c r="B4531" s="74" t="s">
        <v>3340</v>
      </c>
      <c r="C4531" s="74" t="s">
        <v>443</v>
      </c>
    </row>
    <row r="4532" spans="1:3">
      <c r="A4532" s="250">
        <v>13032</v>
      </c>
      <c r="B4532" s="74" t="s">
        <v>3341</v>
      </c>
      <c r="C4532" s="74" t="s">
        <v>443</v>
      </c>
    </row>
    <row r="4533" spans="1:3">
      <c r="A4533" s="250">
        <v>13033</v>
      </c>
      <c r="B4533" s="74" t="s">
        <v>3342</v>
      </c>
      <c r="C4533" s="74" t="s">
        <v>443</v>
      </c>
    </row>
    <row r="4534" spans="1:3">
      <c r="A4534" s="250">
        <v>13034</v>
      </c>
      <c r="B4534" s="74" t="s">
        <v>3343</v>
      </c>
      <c r="C4534" s="74" t="s">
        <v>443</v>
      </c>
    </row>
    <row r="4535" spans="1:3">
      <c r="A4535" s="250">
        <v>13035</v>
      </c>
      <c r="B4535" s="74" t="s">
        <v>3344</v>
      </c>
      <c r="C4535" s="74" t="s">
        <v>443</v>
      </c>
    </row>
    <row r="4536" spans="1:3">
      <c r="A4536" s="250">
        <v>13036</v>
      </c>
      <c r="B4536" s="74" t="s">
        <v>3345</v>
      </c>
      <c r="C4536" s="74" t="s">
        <v>443</v>
      </c>
    </row>
    <row r="4537" spans="1:3">
      <c r="A4537" s="250">
        <v>13037</v>
      </c>
      <c r="B4537" s="74" t="s">
        <v>3346</v>
      </c>
      <c r="C4537" s="74" t="s">
        <v>443</v>
      </c>
    </row>
    <row r="4538" spans="1:3">
      <c r="A4538" s="250">
        <v>13039</v>
      </c>
      <c r="B4538" s="74" t="s">
        <v>3347</v>
      </c>
      <c r="C4538" s="74" t="s">
        <v>443</v>
      </c>
    </row>
    <row r="4539" spans="1:3">
      <c r="A4539" s="250">
        <v>13040</v>
      </c>
      <c r="B4539" s="74" t="s">
        <v>3348</v>
      </c>
      <c r="C4539" s="74" t="s">
        <v>443</v>
      </c>
    </row>
    <row r="4540" spans="1:3">
      <c r="A4540" s="250">
        <v>13041</v>
      </c>
      <c r="B4540" s="74" t="s">
        <v>3349</v>
      </c>
      <c r="C4540" s="74" t="s">
        <v>443</v>
      </c>
    </row>
    <row r="4541" spans="1:3">
      <c r="A4541" s="250">
        <v>13042</v>
      </c>
      <c r="B4541" s="74" t="s">
        <v>3350</v>
      </c>
      <c r="C4541" s="74" t="s">
        <v>443</v>
      </c>
    </row>
    <row r="4542" spans="1:3">
      <c r="A4542" s="250">
        <v>13043</v>
      </c>
      <c r="B4542" s="74" t="s">
        <v>3351</v>
      </c>
      <c r="C4542" s="74" t="s">
        <v>443</v>
      </c>
    </row>
    <row r="4543" spans="1:3">
      <c r="A4543" s="250">
        <v>13044</v>
      </c>
      <c r="B4543" s="74" t="s">
        <v>3352</v>
      </c>
      <c r="C4543" s="74" t="s">
        <v>443</v>
      </c>
    </row>
    <row r="4544" spans="1:3">
      <c r="A4544" s="250">
        <v>13045</v>
      </c>
      <c r="B4544" s="74" t="s">
        <v>3353</v>
      </c>
      <c r="C4544" s="74" t="s">
        <v>443</v>
      </c>
    </row>
    <row r="4545" spans="1:3">
      <c r="A4545" s="250">
        <v>13051</v>
      </c>
      <c r="B4545" s="74" t="s">
        <v>3354</v>
      </c>
      <c r="C4545" s="74" t="s">
        <v>443</v>
      </c>
    </row>
    <row r="4546" spans="1:3">
      <c r="A4546" s="250">
        <v>13052</v>
      </c>
      <c r="B4546" s="74" t="s">
        <v>3355</v>
      </c>
      <c r="C4546" s="74" t="s">
        <v>443</v>
      </c>
    </row>
    <row r="4547" spans="1:3">
      <c r="A4547" s="250">
        <v>13053</v>
      </c>
      <c r="B4547" s="74" t="s">
        <v>1438</v>
      </c>
      <c r="C4547" s="74" t="s">
        <v>443</v>
      </c>
    </row>
    <row r="4548" spans="1:3">
      <c r="A4548" s="250">
        <v>13054</v>
      </c>
      <c r="B4548" s="74" t="s">
        <v>3356</v>
      </c>
      <c r="C4548" s="74" t="s">
        <v>443</v>
      </c>
    </row>
    <row r="4549" spans="1:3">
      <c r="A4549" s="250">
        <v>13056</v>
      </c>
      <c r="B4549" s="74" t="s">
        <v>3357</v>
      </c>
      <c r="C4549" s="74" t="s">
        <v>443</v>
      </c>
    </row>
    <row r="4550" spans="1:3">
      <c r="A4550" s="250">
        <v>13057</v>
      </c>
      <c r="B4550" s="74" t="s">
        <v>3358</v>
      </c>
      <c r="C4550" s="74" t="s">
        <v>443</v>
      </c>
    </row>
    <row r="4551" spans="1:3">
      <c r="A4551" s="250">
        <v>13060</v>
      </c>
      <c r="B4551" s="74" t="s">
        <v>3359</v>
      </c>
      <c r="C4551" s="74" t="s">
        <v>443</v>
      </c>
    </row>
    <row r="4552" spans="1:3">
      <c r="A4552" s="250">
        <v>13061</v>
      </c>
      <c r="B4552" s="74" t="s">
        <v>3360</v>
      </c>
      <c r="C4552" s="74" t="s">
        <v>443</v>
      </c>
    </row>
    <row r="4553" spans="1:3">
      <c r="A4553" s="250">
        <v>13062</v>
      </c>
      <c r="B4553" s="74" t="s">
        <v>1276</v>
      </c>
      <c r="C4553" s="74" t="s">
        <v>443</v>
      </c>
    </row>
    <row r="4554" spans="1:3">
      <c r="A4554" s="250">
        <v>13063</v>
      </c>
      <c r="B4554" s="74" t="s">
        <v>3361</v>
      </c>
      <c r="C4554" s="74" t="s">
        <v>443</v>
      </c>
    </row>
    <row r="4555" spans="1:3">
      <c r="A4555" s="250">
        <v>13064</v>
      </c>
      <c r="B4555" s="74" t="s">
        <v>1874</v>
      </c>
      <c r="C4555" s="74" t="s">
        <v>443</v>
      </c>
    </row>
    <row r="4556" spans="1:3">
      <c r="A4556" s="250">
        <v>13065</v>
      </c>
      <c r="B4556" s="74" t="s">
        <v>3362</v>
      </c>
      <c r="C4556" s="74" t="s">
        <v>443</v>
      </c>
    </row>
    <row r="4557" spans="1:3">
      <c r="A4557" s="250">
        <v>13066</v>
      </c>
      <c r="B4557" s="74" t="s">
        <v>3363</v>
      </c>
      <c r="C4557" s="74" t="s">
        <v>443</v>
      </c>
    </row>
    <row r="4558" spans="1:3">
      <c r="A4558" s="250">
        <v>13068</v>
      </c>
      <c r="B4558" s="74" t="s">
        <v>3364</v>
      </c>
      <c r="C4558" s="74" t="s">
        <v>443</v>
      </c>
    </row>
    <row r="4559" spans="1:3">
      <c r="A4559" s="250">
        <v>13069</v>
      </c>
      <c r="B4559" s="74" t="s">
        <v>3365</v>
      </c>
      <c r="C4559" s="74" t="s">
        <v>443</v>
      </c>
    </row>
    <row r="4560" spans="1:3">
      <c r="A4560" s="250">
        <v>13071</v>
      </c>
      <c r="B4560" s="74" t="s">
        <v>3366</v>
      </c>
      <c r="C4560" s="74" t="s">
        <v>443</v>
      </c>
    </row>
    <row r="4561" spans="1:3">
      <c r="A4561" s="250">
        <v>13072</v>
      </c>
      <c r="B4561" s="74" t="s">
        <v>813</v>
      </c>
      <c r="C4561" s="74" t="s">
        <v>443</v>
      </c>
    </row>
    <row r="4562" spans="1:3">
      <c r="A4562" s="250">
        <v>13073</v>
      </c>
      <c r="B4562" s="74" t="s">
        <v>709</v>
      </c>
      <c r="C4562" s="74" t="s">
        <v>443</v>
      </c>
    </row>
    <row r="4563" spans="1:3">
      <c r="A4563" s="250">
        <v>13074</v>
      </c>
      <c r="B4563" s="74" t="s">
        <v>3367</v>
      </c>
      <c r="C4563" s="74" t="s">
        <v>443</v>
      </c>
    </row>
    <row r="4564" spans="1:3">
      <c r="A4564" s="250">
        <v>13076</v>
      </c>
      <c r="B4564" s="74" t="s">
        <v>3368</v>
      </c>
      <c r="C4564" s="74" t="s">
        <v>443</v>
      </c>
    </row>
    <row r="4565" spans="1:3">
      <c r="A4565" s="250">
        <v>13077</v>
      </c>
      <c r="B4565" s="74" t="s">
        <v>3369</v>
      </c>
      <c r="C4565" s="74" t="s">
        <v>443</v>
      </c>
    </row>
    <row r="4566" spans="1:3">
      <c r="A4566" s="250">
        <v>13078</v>
      </c>
      <c r="B4566" s="74" t="s">
        <v>3370</v>
      </c>
      <c r="C4566" s="74" t="s">
        <v>443</v>
      </c>
    </row>
    <row r="4567" spans="1:3">
      <c r="A4567" s="250">
        <v>13080</v>
      </c>
      <c r="B4567" s="74" t="s">
        <v>3371</v>
      </c>
      <c r="C4567" s="74" t="s">
        <v>443</v>
      </c>
    </row>
    <row r="4568" spans="1:3">
      <c r="A4568" s="250">
        <v>13081</v>
      </c>
      <c r="B4568" s="74" t="s">
        <v>3372</v>
      </c>
      <c r="C4568" s="74" t="s">
        <v>443</v>
      </c>
    </row>
    <row r="4569" spans="1:3">
      <c r="A4569" s="250">
        <v>13082</v>
      </c>
      <c r="B4569" s="74" t="s">
        <v>3373</v>
      </c>
      <c r="C4569" s="74" t="s">
        <v>443</v>
      </c>
    </row>
    <row r="4570" spans="1:3">
      <c r="A4570" s="250">
        <v>13083</v>
      </c>
      <c r="B4570" s="74" t="s">
        <v>3374</v>
      </c>
      <c r="C4570" s="74" t="s">
        <v>443</v>
      </c>
    </row>
    <row r="4571" spans="1:3">
      <c r="A4571" s="250">
        <v>13084</v>
      </c>
      <c r="B4571" s="74" t="s">
        <v>3375</v>
      </c>
      <c r="C4571" s="74" t="s">
        <v>443</v>
      </c>
    </row>
    <row r="4572" spans="1:3">
      <c r="A4572" s="250">
        <v>13087</v>
      </c>
      <c r="B4572" s="74" t="s">
        <v>2579</v>
      </c>
      <c r="C4572" s="74" t="s">
        <v>443</v>
      </c>
    </row>
    <row r="4573" spans="1:3">
      <c r="A4573" s="250">
        <v>13088</v>
      </c>
      <c r="B4573" s="74" t="s">
        <v>3376</v>
      </c>
      <c r="C4573" s="74" t="s">
        <v>443</v>
      </c>
    </row>
    <row r="4574" spans="1:3">
      <c r="A4574" s="250">
        <v>13089</v>
      </c>
      <c r="B4574" s="74" t="s">
        <v>3376</v>
      </c>
      <c r="C4574" s="74" t="s">
        <v>443</v>
      </c>
    </row>
    <row r="4575" spans="1:3">
      <c r="A4575" s="250">
        <v>13090</v>
      </c>
      <c r="B4575" s="74" t="s">
        <v>3376</v>
      </c>
      <c r="C4575" s="74" t="s">
        <v>443</v>
      </c>
    </row>
    <row r="4576" spans="1:3">
      <c r="A4576" s="250">
        <v>13092</v>
      </c>
      <c r="B4576" s="74" t="s">
        <v>3377</v>
      </c>
      <c r="C4576" s="74" t="s">
        <v>443</v>
      </c>
    </row>
    <row r="4577" spans="1:3">
      <c r="A4577" s="250">
        <v>13093</v>
      </c>
      <c r="B4577" s="74" t="s">
        <v>3378</v>
      </c>
      <c r="C4577" s="74" t="s">
        <v>443</v>
      </c>
    </row>
    <row r="4578" spans="1:3">
      <c r="A4578" s="250">
        <v>13101</v>
      </c>
      <c r="B4578" s="74" t="s">
        <v>3379</v>
      </c>
      <c r="C4578" s="74" t="s">
        <v>443</v>
      </c>
    </row>
    <row r="4579" spans="1:3">
      <c r="A4579" s="250">
        <v>13102</v>
      </c>
      <c r="B4579" s="74" t="s">
        <v>3380</v>
      </c>
      <c r="C4579" s="74" t="s">
        <v>443</v>
      </c>
    </row>
    <row r="4580" spans="1:3">
      <c r="A4580" s="250">
        <v>13103</v>
      </c>
      <c r="B4580" s="74" t="s">
        <v>3381</v>
      </c>
      <c r="C4580" s="74" t="s">
        <v>443</v>
      </c>
    </row>
    <row r="4581" spans="1:3">
      <c r="A4581" s="250">
        <v>13104</v>
      </c>
      <c r="B4581" s="74" t="s">
        <v>3382</v>
      </c>
      <c r="C4581" s="74" t="s">
        <v>443</v>
      </c>
    </row>
    <row r="4582" spans="1:3">
      <c r="A4582" s="250">
        <v>13107</v>
      </c>
      <c r="B4582" s="74" t="s">
        <v>3383</v>
      </c>
      <c r="C4582" s="74" t="s">
        <v>443</v>
      </c>
    </row>
    <row r="4583" spans="1:3">
      <c r="A4583" s="250">
        <v>13108</v>
      </c>
      <c r="B4583" s="74" t="s">
        <v>3384</v>
      </c>
      <c r="C4583" s="74" t="s">
        <v>443</v>
      </c>
    </row>
    <row r="4584" spans="1:3">
      <c r="A4584" s="250">
        <v>13110</v>
      </c>
      <c r="B4584" s="74" t="s">
        <v>3385</v>
      </c>
      <c r="C4584" s="74" t="s">
        <v>443</v>
      </c>
    </row>
    <row r="4585" spans="1:3">
      <c r="A4585" s="250">
        <v>13111</v>
      </c>
      <c r="B4585" s="74" t="s">
        <v>3386</v>
      </c>
      <c r="C4585" s="74" t="s">
        <v>443</v>
      </c>
    </row>
    <row r="4586" spans="1:3">
      <c r="A4586" s="250">
        <v>13112</v>
      </c>
      <c r="B4586" s="74" t="s">
        <v>3387</v>
      </c>
      <c r="C4586" s="74" t="s">
        <v>443</v>
      </c>
    </row>
    <row r="4587" spans="1:3">
      <c r="A4587" s="250">
        <v>13113</v>
      </c>
      <c r="B4587" s="74" t="s">
        <v>3388</v>
      </c>
      <c r="C4587" s="74" t="s">
        <v>443</v>
      </c>
    </row>
    <row r="4588" spans="1:3">
      <c r="A4588" s="250">
        <v>13114</v>
      </c>
      <c r="B4588" s="74" t="s">
        <v>1450</v>
      </c>
      <c r="C4588" s="74" t="s">
        <v>443</v>
      </c>
    </row>
    <row r="4589" spans="1:3">
      <c r="A4589" s="250">
        <v>13115</v>
      </c>
      <c r="B4589" s="74" t="s">
        <v>3389</v>
      </c>
      <c r="C4589" s="74" t="s">
        <v>443</v>
      </c>
    </row>
    <row r="4590" spans="1:3">
      <c r="A4590" s="250">
        <v>13116</v>
      </c>
      <c r="B4590" s="74" t="s">
        <v>3390</v>
      </c>
      <c r="C4590" s="74" t="s">
        <v>443</v>
      </c>
    </row>
    <row r="4591" spans="1:3">
      <c r="A4591" s="250">
        <v>13117</v>
      </c>
      <c r="B4591" s="74" t="s">
        <v>3391</v>
      </c>
      <c r="C4591" s="74" t="s">
        <v>443</v>
      </c>
    </row>
    <row r="4592" spans="1:3">
      <c r="A4592" s="250">
        <v>13118</v>
      </c>
      <c r="B4592" s="74" t="s">
        <v>3392</v>
      </c>
      <c r="C4592" s="74" t="s">
        <v>443</v>
      </c>
    </row>
    <row r="4593" spans="1:3">
      <c r="A4593" s="250">
        <v>13119</v>
      </c>
      <c r="B4593" s="74" t="s">
        <v>3393</v>
      </c>
      <c r="C4593" s="74" t="s">
        <v>443</v>
      </c>
    </row>
    <row r="4594" spans="1:3">
      <c r="A4594" s="250">
        <v>13120</v>
      </c>
      <c r="B4594" s="74" t="s">
        <v>3394</v>
      </c>
      <c r="C4594" s="74" t="s">
        <v>443</v>
      </c>
    </row>
    <row r="4595" spans="1:3">
      <c r="A4595" s="250">
        <v>13121</v>
      </c>
      <c r="B4595" s="74" t="s">
        <v>1823</v>
      </c>
      <c r="C4595" s="74" t="s">
        <v>443</v>
      </c>
    </row>
    <row r="4596" spans="1:3">
      <c r="A4596" s="250">
        <v>13122</v>
      </c>
      <c r="B4596" s="74" t="s">
        <v>3395</v>
      </c>
      <c r="C4596" s="74" t="s">
        <v>443</v>
      </c>
    </row>
    <row r="4597" spans="1:3">
      <c r="A4597" s="250">
        <v>13123</v>
      </c>
      <c r="B4597" s="74" t="s">
        <v>3396</v>
      </c>
      <c r="C4597" s="74" t="s">
        <v>443</v>
      </c>
    </row>
    <row r="4598" spans="1:3">
      <c r="A4598" s="250">
        <v>13124</v>
      </c>
      <c r="B4598" s="74" t="s">
        <v>3397</v>
      </c>
      <c r="C4598" s="74" t="s">
        <v>443</v>
      </c>
    </row>
    <row r="4599" spans="1:3">
      <c r="A4599" s="250">
        <v>13126</v>
      </c>
      <c r="B4599" s="74" t="s">
        <v>3398</v>
      </c>
      <c r="C4599" s="74" t="s">
        <v>443</v>
      </c>
    </row>
    <row r="4600" spans="1:3">
      <c r="A4600" s="250">
        <v>13131</v>
      </c>
      <c r="B4600" s="74" t="s">
        <v>3399</v>
      </c>
      <c r="C4600" s="74" t="s">
        <v>443</v>
      </c>
    </row>
    <row r="4601" spans="1:3">
      <c r="A4601" s="250">
        <v>13132</v>
      </c>
      <c r="B4601" s="74" t="s">
        <v>3400</v>
      </c>
      <c r="C4601" s="74" t="s">
        <v>443</v>
      </c>
    </row>
    <row r="4602" spans="1:3">
      <c r="A4602" s="250">
        <v>13134</v>
      </c>
      <c r="B4602" s="74" t="s">
        <v>3401</v>
      </c>
      <c r="C4602" s="74" t="s">
        <v>443</v>
      </c>
    </row>
    <row r="4603" spans="1:3">
      <c r="A4603" s="250">
        <v>13135</v>
      </c>
      <c r="B4603" s="74" t="s">
        <v>3402</v>
      </c>
      <c r="C4603" s="74" t="s">
        <v>443</v>
      </c>
    </row>
    <row r="4604" spans="1:3">
      <c r="A4604" s="250">
        <v>13136</v>
      </c>
      <c r="B4604" s="74" t="s">
        <v>3403</v>
      </c>
      <c r="C4604" s="74" t="s">
        <v>443</v>
      </c>
    </row>
    <row r="4605" spans="1:3">
      <c r="A4605" s="250">
        <v>13137</v>
      </c>
      <c r="B4605" s="74" t="s">
        <v>1078</v>
      </c>
      <c r="C4605" s="74" t="s">
        <v>443</v>
      </c>
    </row>
    <row r="4606" spans="1:3">
      <c r="A4606" s="250">
        <v>13138</v>
      </c>
      <c r="B4606" s="74" t="s">
        <v>3404</v>
      </c>
      <c r="C4606" s="74" t="s">
        <v>443</v>
      </c>
    </row>
    <row r="4607" spans="1:3">
      <c r="A4607" s="250">
        <v>13139</v>
      </c>
      <c r="B4607" s="74" t="s">
        <v>3405</v>
      </c>
      <c r="C4607" s="74" t="s">
        <v>443</v>
      </c>
    </row>
    <row r="4608" spans="1:3">
      <c r="A4608" s="250">
        <v>13140</v>
      </c>
      <c r="B4608" s="74" t="s">
        <v>3406</v>
      </c>
      <c r="C4608" s="74" t="s">
        <v>443</v>
      </c>
    </row>
    <row r="4609" spans="1:3">
      <c r="A4609" s="250">
        <v>13141</v>
      </c>
      <c r="B4609" s="74" t="s">
        <v>3407</v>
      </c>
      <c r="C4609" s="74" t="s">
        <v>443</v>
      </c>
    </row>
    <row r="4610" spans="1:3">
      <c r="A4610" s="250">
        <v>13142</v>
      </c>
      <c r="B4610" s="74" t="s">
        <v>3408</v>
      </c>
      <c r="C4610" s="74" t="s">
        <v>443</v>
      </c>
    </row>
    <row r="4611" spans="1:3">
      <c r="A4611" s="250">
        <v>13143</v>
      </c>
      <c r="B4611" s="74" t="s">
        <v>3409</v>
      </c>
      <c r="C4611" s="74" t="s">
        <v>443</v>
      </c>
    </row>
    <row r="4612" spans="1:3">
      <c r="A4612" s="250">
        <v>13144</v>
      </c>
      <c r="B4612" s="74" t="s">
        <v>2499</v>
      </c>
      <c r="C4612" s="74" t="s">
        <v>443</v>
      </c>
    </row>
    <row r="4613" spans="1:3">
      <c r="A4613" s="250">
        <v>13145</v>
      </c>
      <c r="B4613" s="74" t="s">
        <v>3410</v>
      </c>
      <c r="C4613" s="74" t="s">
        <v>443</v>
      </c>
    </row>
    <row r="4614" spans="1:3">
      <c r="A4614" s="250">
        <v>13146</v>
      </c>
      <c r="B4614" s="74" t="s">
        <v>3411</v>
      </c>
      <c r="C4614" s="74" t="s">
        <v>443</v>
      </c>
    </row>
    <row r="4615" spans="1:3">
      <c r="A4615" s="250">
        <v>13147</v>
      </c>
      <c r="B4615" s="74" t="s">
        <v>3412</v>
      </c>
      <c r="C4615" s="74" t="s">
        <v>443</v>
      </c>
    </row>
    <row r="4616" spans="1:3">
      <c r="A4616" s="250">
        <v>13148</v>
      </c>
      <c r="B4616" s="74" t="s">
        <v>3413</v>
      </c>
      <c r="C4616" s="74" t="s">
        <v>443</v>
      </c>
    </row>
    <row r="4617" spans="1:3">
      <c r="A4617" s="250">
        <v>13152</v>
      </c>
      <c r="B4617" s="74" t="s">
        <v>3414</v>
      </c>
      <c r="C4617" s="74" t="s">
        <v>443</v>
      </c>
    </row>
    <row r="4618" spans="1:3">
      <c r="A4618" s="250">
        <v>13153</v>
      </c>
      <c r="B4618" s="74" t="s">
        <v>3415</v>
      </c>
      <c r="C4618" s="74" t="s">
        <v>443</v>
      </c>
    </row>
    <row r="4619" spans="1:3">
      <c r="A4619" s="250">
        <v>13154</v>
      </c>
      <c r="B4619" s="74" t="s">
        <v>3416</v>
      </c>
      <c r="C4619" s="74" t="s">
        <v>443</v>
      </c>
    </row>
    <row r="4620" spans="1:3">
      <c r="A4620" s="250">
        <v>13155</v>
      </c>
      <c r="B4620" s="74" t="s">
        <v>3417</v>
      </c>
      <c r="C4620" s="74" t="s">
        <v>443</v>
      </c>
    </row>
    <row r="4621" spans="1:3">
      <c r="A4621" s="250">
        <v>13156</v>
      </c>
      <c r="B4621" s="74" t="s">
        <v>763</v>
      </c>
      <c r="C4621" s="74" t="s">
        <v>443</v>
      </c>
    </row>
    <row r="4622" spans="1:3">
      <c r="A4622" s="250">
        <v>13157</v>
      </c>
      <c r="B4622" s="74" t="s">
        <v>3418</v>
      </c>
      <c r="C4622" s="74" t="s">
        <v>443</v>
      </c>
    </row>
    <row r="4623" spans="1:3">
      <c r="A4623" s="250">
        <v>13158</v>
      </c>
      <c r="B4623" s="74" t="s">
        <v>3419</v>
      </c>
      <c r="C4623" s="74" t="s">
        <v>443</v>
      </c>
    </row>
    <row r="4624" spans="1:3">
      <c r="A4624" s="250">
        <v>13159</v>
      </c>
      <c r="B4624" s="74" t="s">
        <v>3420</v>
      </c>
      <c r="C4624" s="74" t="s">
        <v>443</v>
      </c>
    </row>
    <row r="4625" spans="1:3">
      <c r="A4625" s="250">
        <v>13160</v>
      </c>
      <c r="B4625" s="74" t="s">
        <v>3421</v>
      </c>
      <c r="C4625" s="74" t="s">
        <v>443</v>
      </c>
    </row>
    <row r="4626" spans="1:3">
      <c r="A4626" s="250">
        <v>13162</v>
      </c>
      <c r="B4626" s="74" t="s">
        <v>3422</v>
      </c>
      <c r="C4626" s="74" t="s">
        <v>443</v>
      </c>
    </row>
    <row r="4627" spans="1:3">
      <c r="A4627" s="250">
        <v>13163</v>
      </c>
      <c r="B4627" s="74" t="s">
        <v>3423</v>
      </c>
      <c r="C4627" s="74" t="s">
        <v>443</v>
      </c>
    </row>
    <row r="4628" spans="1:3">
      <c r="A4628" s="250">
        <v>13164</v>
      </c>
      <c r="B4628" s="74" t="s">
        <v>3424</v>
      </c>
      <c r="C4628" s="74" t="s">
        <v>443</v>
      </c>
    </row>
    <row r="4629" spans="1:3">
      <c r="A4629" s="250">
        <v>13165</v>
      </c>
      <c r="B4629" s="74" t="s">
        <v>3425</v>
      </c>
      <c r="C4629" s="74" t="s">
        <v>443</v>
      </c>
    </row>
    <row r="4630" spans="1:3">
      <c r="A4630" s="250">
        <v>13166</v>
      </c>
      <c r="B4630" s="74" t="s">
        <v>3426</v>
      </c>
      <c r="C4630" s="74" t="s">
        <v>443</v>
      </c>
    </row>
    <row r="4631" spans="1:3">
      <c r="A4631" s="250">
        <v>13167</v>
      </c>
      <c r="B4631" s="74" t="s">
        <v>3427</v>
      </c>
      <c r="C4631" s="74" t="s">
        <v>443</v>
      </c>
    </row>
    <row r="4632" spans="1:3">
      <c r="A4632" s="250">
        <v>13201</v>
      </c>
      <c r="B4632" s="74" t="s">
        <v>3428</v>
      </c>
      <c r="C4632" s="74" t="s">
        <v>443</v>
      </c>
    </row>
    <row r="4633" spans="1:3">
      <c r="A4633" s="250">
        <v>13202</v>
      </c>
      <c r="B4633" s="74" t="s">
        <v>3428</v>
      </c>
      <c r="C4633" s="74" t="s">
        <v>443</v>
      </c>
    </row>
    <row r="4634" spans="1:3">
      <c r="A4634" s="250">
        <v>13203</v>
      </c>
      <c r="B4634" s="74" t="s">
        <v>3428</v>
      </c>
      <c r="C4634" s="74" t="s">
        <v>443</v>
      </c>
    </row>
    <row r="4635" spans="1:3">
      <c r="A4635" s="250">
        <v>13204</v>
      </c>
      <c r="B4635" s="74" t="s">
        <v>3428</v>
      </c>
      <c r="C4635" s="74" t="s">
        <v>443</v>
      </c>
    </row>
    <row r="4636" spans="1:3">
      <c r="A4636" s="250">
        <v>13205</v>
      </c>
      <c r="B4636" s="74" t="s">
        <v>3428</v>
      </c>
      <c r="C4636" s="74" t="s">
        <v>443</v>
      </c>
    </row>
    <row r="4637" spans="1:3">
      <c r="A4637" s="250">
        <v>13206</v>
      </c>
      <c r="B4637" s="74" t="s">
        <v>3428</v>
      </c>
      <c r="C4637" s="74" t="s">
        <v>443</v>
      </c>
    </row>
    <row r="4638" spans="1:3">
      <c r="A4638" s="250">
        <v>13207</v>
      </c>
      <c r="B4638" s="74" t="s">
        <v>3428</v>
      </c>
      <c r="C4638" s="74" t="s">
        <v>443</v>
      </c>
    </row>
    <row r="4639" spans="1:3">
      <c r="A4639" s="250">
        <v>13208</v>
      </c>
      <c r="B4639" s="74" t="s">
        <v>3428</v>
      </c>
      <c r="C4639" s="74" t="s">
        <v>443</v>
      </c>
    </row>
    <row r="4640" spans="1:3">
      <c r="A4640" s="250">
        <v>13209</v>
      </c>
      <c r="B4640" s="74" t="s">
        <v>3428</v>
      </c>
      <c r="C4640" s="74" t="s">
        <v>443</v>
      </c>
    </row>
    <row r="4641" spans="1:3">
      <c r="A4641" s="250">
        <v>13210</v>
      </c>
      <c r="B4641" s="74" t="s">
        <v>3428</v>
      </c>
      <c r="C4641" s="74" t="s">
        <v>443</v>
      </c>
    </row>
    <row r="4642" spans="1:3">
      <c r="A4642" s="250">
        <v>13211</v>
      </c>
      <c r="B4642" s="74" t="s">
        <v>3428</v>
      </c>
      <c r="C4642" s="74" t="s">
        <v>443</v>
      </c>
    </row>
    <row r="4643" spans="1:3">
      <c r="A4643" s="250">
        <v>13212</v>
      </c>
      <c r="B4643" s="74" t="s">
        <v>3428</v>
      </c>
      <c r="C4643" s="74" t="s">
        <v>443</v>
      </c>
    </row>
    <row r="4644" spans="1:3">
      <c r="A4644" s="250">
        <v>13214</v>
      </c>
      <c r="B4644" s="74" t="s">
        <v>3428</v>
      </c>
      <c r="C4644" s="74" t="s">
        <v>443</v>
      </c>
    </row>
    <row r="4645" spans="1:3">
      <c r="A4645" s="250">
        <v>13215</v>
      </c>
      <c r="B4645" s="74" t="s">
        <v>3428</v>
      </c>
      <c r="C4645" s="74" t="s">
        <v>443</v>
      </c>
    </row>
    <row r="4646" spans="1:3">
      <c r="A4646" s="250">
        <v>13217</v>
      </c>
      <c r="B4646" s="74" t="s">
        <v>3428</v>
      </c>
      <c r="C4646" s="74" t="s">
        <v>443</v>
      </c>
    </row>
    <row r="4647" spans="1:3">
      <c r="A4647" s="250">
        <v>13218</v>
      </c>
      <c r="B4647" s="74" t="s">
        <v>3428</v>
      </c>
      <c r="C4647" s="74" t="s">
        <v>443</v>
      </c>
    </row>
    <row r="4648" spans="1:3">
      <c r="A4648" s="250">
        <v>13219</v>
      </c>
      <c r="B4648" s="74" t="s">
        <v>3428</v>
      </c>
      <c r="C4648" s="74" t="s">
        <v>443</v>
      </c>
    </row>
    <row r="4649" spans="1:3">
      <c r="A4649" s="250">
        <v>13220</v>
      </c>
      <c r="B4649" s="74" t="s">
        <v>3428</v>
      </c>
      <c r="C4649" s="74" t="s">
        <v>443</v>
      </c>
    </row>
    <row r="4650" spans="1:3">
      <c r="A4650" s="250">
        <v>13221</v>
      </c>
      <c r="B4650" s="74" t="s">
        <v>3428</v>
      </c>
      <c r="C4650" s="74" t="s">
        <v>443</v>
      </c>
    </row>
    <row r="4651" spans="1:3">
      <c r="A4651" s="250">
        <v>13224</v>
      </c>
      <c r="B4651" s="74" t="s">
        <v>3428</v>
      </c>
      <c r="C4651" s="74" t="s">
        <v>443</v>
      </c>
    </row>
    <row r="4652" spans="1:3">
      <c r="A4652" s="250">
        <v>13225</v>
      </c>
      <c r="B4652" s="74" t="s">
        <v>3428</v>
      </c>
      <c r="C4652" s="74" t="s">
        <v>443</v>
      </c>
    </row>
    <row r="4653" spans="1:3">
      <c r="A4653" s="250">
        <v>13235</v>
      </c>
      <c r="B4653" s="74" t="s">
        <v>3428</v>
      </c>
      <c r="C4653" s="74" t="s">
        <v>443</v>
      </c>
    </row>
    <row r="4654" spans="1:3">
      <c r="A4654" s="250">
        <v>13244</v>
      </c>
      <c r="B4654" s="74" t="s">
        <v>3428</v>
      </c>
      <c r="C4654" s="74" t="s">
        <v>443</v>
      </c>
    </row>
    <row r="4655" spans="1:3">
      <c r="A4655" s="250">
        <v>13250</v>
      </c>
      <c r="B4655" s="74" t="s">
        <v>3428</v>
      </c>
      <c r="C4655" s="74" t="s">
        <v>443</v>
      </c>
    </row>
    <row r="4656" spans="1:3">
      <c r="A4656" s="250">
        <v>13251</v>
      </c>
      <c r="B4656" s="74" t="s">
        <v>3428</v>
      </c>
      <c r="C4656" s="74" t="s">
        <v>443</v>
      </c>
    </row>
    <row r="4657" spans="1:3">
      <c r="A4657" s="250">
        <v>13252</v>
      </c>
      <c r="B4657" s="74" t="s">
        <v>3428</v>
      </c>
      <c r="C4657" s="74" t="s">
        <v>443</v>
      </c>
    </row>
    <row r="4658" spans="1:3">
      <c r="A4658" s="250">
        <v>13261</v>
      </c>
      <c r="B4658" s="74" t="s">
        <v>3428</v>
      </c>
      <c r="C4658" s="74" t="s">
        <v>443</v>
      </c>
    </row>
    <row r="4659" spans="1:3">
      <c r="A4659" s="250">
        <v>13290</v>
      </c>
      <c r="B4659" s="74" t="s">
        <v>3428</v>
      </c>
      <c r="C4659" s="74" t="s">
        <v>443</v>
      </c>
    </row>
    <row r="4660" spans="1:3">
      <c r="A4660" s="250">
        <v>13301</v>
      </c>
      <c r="B4660" s="74" t="s">
        <v>3429</v>
      </c>
      <c r="C4660" s="74" t="s">
        <v>443</v>
      </c>
    </row>
    <row r="4661" spans="1:3">
      <c r="A4661" s="250">
        <v>13302</v>
      </c>
      <c r="B4661" s="74" t="s">
        <v>3430</v>
      </c>
      <c r="C4661" s="74" t="s">
        <v>443</v>
      </c>
    </row>
    <row r="4662" spans="1:3">
      <c r="A4662" s="250">
        <v>13303</v>
      </c>
      <c r="B4662" s="74" t="s">
        <v>3431</v>
      </c>
      <c r="C4662" s="74" t="s">
        <v>443</v>
      </c>
    </row>
    <row r="4663" spans="1:3">
      <c r="A4663" s="250">
        <v>13304</v>
      </c>
      <c r="B4663" s="74" t="s">
        <v>3432</v>
      </c>
      <c r="C4663" s="74" t="s">
        <v>443</v>
      </c>
    </row>
    <row r="4664" spans="1:3">
      <c r="A4664" s="250">
        <v>13305</v>
      </c>
      <c r="B4664" s="74" t="s">
        <v>3433</v>
      </c>
      <c r="C4664" s="74" t="s">
        <v>443</v>
      </c>
    </row>
    <row r="4665" spans="1:3">
      <c r="A4665" s="250">
        <v>13308</v>
      </c>
      <c r="B4665" s="74" t="s">
        <v>3434</v>
      </c>
      <c r="C4665" s="74" t="s">
        <v>443</v>
      </c>
    </row>
    <row r="4666" spans="1:3">
      <c r="A4666" s="250">
        <v>13309</v>
      </c>
      <c r="B4666" s="74" t="s">
        <v>3435</v>
      </c>
      <c r="C4666" s="74" t="s">
        <v>443</v>
      </c>
    </row>
    <row r="4667" spans="1:3">
      <c r="A4667" s="250">
        <v>13310</v>
      </c>
      <c r="B4667" s="74" t="s">
        <v>3436</v>
      </c>
      <c r="C4667" s="74" t="s">
        <v>443</v>
      </c>
    </row>
    <row r="4668" spans="1:3">
      <c r="A4668" s="250">
        <v>13312</v>
      </c>
      <c r="B4668" s="74" t="s">
        <v>3437</v>
      </c>
      <c r="C4668" s="74" t="s">
        <v>443</v>
      </c>
    </row>
    <row r="4669" spans="1:3">
      <c r="A4669" s="250">
        <v>13313</v>
      </c>
      <c r="B4669" s="74" t="s">
        <v>936</v>
      </c>
      <c r="C4669" s="74" t="s">
        <v>443</v>
      </c>
    </row>
    <row r="4670" spans="1:3">
      <c r="A4670" s="250">
        <v>13314</v>
      </c>
      <c r="B4670" s="74" t="s">
        <v>728</v>
      </c>
      <c r="C4670" s="74" t="s">
        <v>443</v>
      </c>
    </row>
    <row r="4671" spans="1:3">
      <c r="A4671" s="250">
        <v>13315</v>
      </c>
      <c r="B4671" s="74" t="s">
        <v>3438</v>
      </c>
      <c r="C4671" s="74" t="s">
        <v>443</v>
      </c>
    </row>
    <row r="4672" spans="1:3">
      <c r="A4672" s="250">
        <v>13316</v>
      </c>
      <c r="B4672" s="74" t="s">
        <v>1660</v>
      </c>
      <c r="C4672" s="74" t="s">
        <v>443</v>
      </c>
    </row>
    <row r="4673" spans="1:3">
      <c r="A4673" s="250">
        <v>13317</v>
      </c>
      <c r="B4673" s="74" t="s">
        <v>3439</v>
      </c>
      <c r="C4673" s="74" t="s">
        <v>443</v>
      </c>
    </row>
    <row r="4674" spans="1:3">
      <c r="A4674" s="250">
        <v>13318</v>
      </c>
      <c r="B4674" s="74" t="s">
        <v>3440</v>
      </c>
      <c r="C4674" s="74" t="s">
        <v>443</v>
      </c>
    </row>
    <row r="4675" spans="1:3">
      <c r="A4675" s="250">
        <v>13319</v>
      </c>
      <c r="B4675" s="74" t="s">
        <v>3441</v>
      </c>
      <c r="C4675" s="74" t="s">
        <v>443</v>
      </c>
    </row>
    <row r="4676" spans="1:3">
      <c r="A4676" s="250">
        <v>13320</v>
      </c>
      <c r="B4676" s="74" t="s">
        <v>776</v>
      </c>
      <c r="C4676" s="74" t="s">
        <v>443</v>
      </c>
    </row>
    <row r="4677" spans="1:3">
      <c r="A4677" s="250">
        <v>13321</v>
      </c>
      <c r="B4677" s="74" t="s">
        <v>3442</v>
      </c>
      <c r="C4677" s="74" t="s">
        <v>443</v>
      </c>
    </row>
    <row r="4678" spans="1:3">
      <c r="A4678" s="250">
        <v>13322</v>
      </c>
      <c r="B4678" s="74" t="s">
        <v>1100</v>
      </c>
      <c r="C4678" s="74" t="s">
        <v>443</v>
      </c>
    </row>
    <row r="4679" spans="1:3">
      <c r="A4679" s="250">
        <v>13323</v>
      </c>
      <c r="B4679" s="74" t="s">
        <v>732</v>
      </c>
      <c r="C4679" s="74" t="s">
        <v>443</v>
      </c>
    </row>
    <row r="4680" spans="1:3">
      <c r="A4680" s="250">
        <v>13324</v>
      </c>
      <c r="B4680" s="74" t="s">
        <v>3443</v>
      </c>
      <c r="C4680" s="74" t="s">
        <v>443</v>
      </c>
    </row>
    <row r="4681" spans="1:3">
      <c r="A4681" s="250">
        <v>13325</v>
      </c>
      <c r="B4681" s="74" t="s">
        <v>3444</v>
      </c>
      <c r="C4681" s="74" t="s">
        <v>443</v>
      </c>
    </row>
    <row r="4682" spans="1:3">
      <c r="A4682" s="250">
        <v>13326</v>
      </c>
      <c r="B4682" s="74" t="s">
        <v>3445</v>
      </c>
      <c r="C4682" s="74" t="s">
        <v>443</v>
      </c>
    </row>
    <row r="4683" spans="1:3">
      <c r="A4683" s="250">
        <v>13327</v>
      </c>
      <c r="B4683" s="74" t="s">
        <v>3446</v>
      </c>
      <c r="C4683" s="74" t="s">
        <v>443</v>
      </c>
    </row>
    <row r="4684" spans="1:3">
      <c r="A4684" s="250">
        <v>13328</v>
      </c>
      <c r="B4684" s="74" t="s">
        <v>3447</v>
      </c>
      <c r="C4684" s="74" t="s">
        <v>443</v>
      </c>
    </row>
    <row r="4685" spans="1:3">
      <c r="A4685" s="250">
        <v>13329</v>
      </c>
      <c r="B4685" s="74" t="s">
        <v>3448</v>
      </c>
      <c r="C4685" s="74" t="s">
        <v>443</v>
      </c>
    </row>
    <row r="4686" spans="1:3">
      <c r="A4686" s="250">
        <v>13331</v>
      </c>
      <c r="B4686" s="74" t="s">
        <v>3449</v>
      </c>
      <c r="C4686" s="74" t="s">
        <v>443</v>
      </c>
    </row>
    <row r="4687" spans="1:3">
      <c r="A4687" s="250">
        <v>13332</v>
      </c>
      <c r="B4687" s="74" t="s">
        <v>3450</v>
      </c>
      <c r="C4687" s="74" t="s">
        <v>443</v>
      </c>
    </row>
    <row r="4688" spans="1:3">
      <c r="A4688" s="250">
        <v>13333</v>
      </c>
      <c r="B4688" s="74" t="s">
        <v>3451</v>
      </c>
      <c r="C4688" s="74" t="s">
        <v>443</v>
      </c>
    </row>
    <row r="4689" spans="1:3">
      <c r="A4689" s="250">
        <v>13334</v>
      </c>
      <c r="B4689" s="74" t="s">
        <v>3452</v>
      </c>
      <c r="C4689" s="74" t="s">
        <v>443</v>
      </c>
    </row>
    <row r="4690" spans="1:3">
      <c r="A4690" s="250">
        <v>13335</v>
      </c>
      <c r="B4690" s="74" t="s">
        <v>3453</v>
      </c>
      <c r="C4690" s="74" t="s">
        <v>443</v>
      </c>
    </row>
    <row r="4691" spans="1:3">
      <c r="A4691" s="250">
        <v>13337</v>
      </c>
      <c r="B4691" s="74" t="s">
        <v>3454</v>
      </c>
      <c r="C4691" s="74" t="s">
        <v>443</v>
      </c>
    </row>
    <row r="4692" spans="1:3">
      <c r="A4692" s="250">
        <v>13338</v>
      </c>
      <c r="B4692" s="74" t="s">
        <v>3455</v>
      </c>
      <c r="C4692" s="74" t="s">
        <v>443</v>
      </c>
    </row>
    <row r="4693" spans="1:3">
      <c r="A4693" s="250">
        <v>13339</v>
      </c>
      <c r="B4693" s="74" t="s">
        <v>3456</v>
      </c>
      <c r="C4693" s="74" t="s">
        <v>443</v>
      </c>
    </row>
    <row r="4694" spans="1:3">
      <c r="A4694" s="250">
        <v>13340</v>
      </c>
      <c r="B4694" s="74" t="s">
        <v>1505</v>
      </c>
      <c r="C4694" s="74" t="s">
        <v>443</v>
      </c>
    </row>
    <row r="4695" spans="1:3">
      <c r="A4695" s="250">
        <v>13341</v>
      </c>
      <c r="B4695" s="74" t="s">
        <v>3457</v>
      </c>
      <c r="C4695" s="74" t="s">
        <v>443</v>
      </c>
    </row>
    <row r="4696" spans="1:3">
      <c r="A4696" s="250">
        <v>13342</v>
      </c>
      <c r="B4696" s="74" t="s">
        <v>3458</v>
      </c>
      <c r="C4696" s="74" t="s">
        <v>443</v>
      </c>
    </row>
    <row r="4697" spans="1:3">
      <c r="A4697" s="250">
        <v>13343</v>
      </c>
      <c r="B4697" s="74" t="s">
        <v>3459</v>
      </c>
      <c r="C4697" s="74" t="s">
        <v>443</v>
      </c>
    </row>
    <row r="4698" spans="1:3">
      <c r="A4698" s="250">
        <v>13345</v>
      </c>
      <c r="B4698" s="74" t="s">
        <v>3460</v>
      </c>
      <c r="C4698" s="74" t="s">
        <v>443</v>
      </c>
    </row>
    <row r="4699" spans="1:3">
      <c r="A4699" s="250">
        <v>13346</v>
      </c>
      <c r="B4699" s="74" t="s">
        <v>844</v>
      </c>
      <c r="C4699" s="74" t="s">
        <v>443</v>
      </c>
    </row>
    <row r="4700" spans="1:3">
      <c r="A4700" s="250">
        <v>13348</v>
      </c>
      <c r="B4700" s="74" t="s">
        <v>3461</v>
      </c>
      <c r="C4700" s="74" t="s">
        <v>443</v>
      </c>
    </row>
    <row r="4701" spans="1:3">
      <c r="A4701" s="250">
        <v>13350</v>
      </c>
      <c r="B4701" s="74" t="s">
        <v>3462</v>
      </c>
      <c r="C4701" s="74" t="s">
        <v>443</v>
      </c>
    </row>
    <row r="4702" spans="1:3">
      <c r="A4702" s="250">
        <v>13352</v>
      </c>
      <c r="B4702" s="74" t="s">
        <v>1698</v>
      </c>
      <c r="C4702" s="74" t="s">
        <v>443</v>
      </c>
    </row>
    <row r="4703" spans="1:3">
      <c r="A4703" s="250">
        <v>13353</v>
      </c>
      <c r="B4703" s="74" t="s">
        <v>3463</v>
      </c>
      <c r="C4703" s="74" t="s">
        <v>443</v>
      </c>
    </row>
    <row r="4704" spans="1:3">
      <c r="A4704" s="250">
        <v>13354</v>
      </c>
      <c r="B4704" s="74" t="s">
        <v>3464</v>
      </c>
      <c r="C4704" s="74" t="s">
        <v>443</v>
      </c>
    </row>
    <row r="4705" spans="1:3">
      <c r="A4705" s="250">
        <v>13355</v>
      </c>
      <c r="B4705" s="74" t="s">
        <v>3465</v>
      </c>
      <c r="C4705" s="74" t="s">
        <v>443</v>
      </c>
    </row>
    <row r="4706" spans="1:3">
      <c r="A4706" s="250">
        <v>13357</v>
      </c>
      <c r="B4706" s="74" t="s">
        <v>3466</v>
      </c>
      <c r="C4706" s="74" t="s">
        <v>443</v>
      </c>
    </row>
    <row r="4707" spans="1:3">
      <c r="A4707" s="250">
        <v>13360</v>
      </c>
      <c r="B4707" s="74" t="s">
        <v>3467</v>
      </c>
      <c r="C4707" s="74" t="s">
        <v>443</v>
      </c>
    </row>
    <row r="4708" spans="1:3">
      <c r="A4708" s="250">
        <v>13361</v>
      </c>
      <c r="B4708" s="74" t="s">
        <v>3468</v>
      </c>
      <c r="C4708" s="74" t="s">
        <v>443</v>
      </c>
    </row>
    <row r="4709" spans="1:3">
      <c r="A4709" s="250">
        <v>13362</v>
      </c>
      <c r="B4709" s="74" t="s">
        <v>3469</v>
      </c>
      <c r="C4709" s="74" t="s">
        <v>443</v>
      </c>
    </row>
    <row r="4710" spans="1:3">
      <c r="A4710" s="250">
        <v>13363</v>
      </c>
      <c r="B4710" s="74" t="s">
        <v>3470</v>
      </c>
      <c r="C4710" s="74" t="s">
        <v>443</v>
      </c>
    </row>
    <row r="4711" spans="1:3">
      <c r="A4711" s="250">
        <v>13364</v>
      </c>
      <c r="B4711" s="74" t="s">
        <v>3471</v>
      </c>
      <c r="C4711" s="74" t="s">
        <v>443</v>
      </c>
    </row>
    <row r="4712" spans="1:3">
      <c r="A4712" s="250">
        <v>13365</v>
      </c>
      <c r="B4712" s="74" t="s">
        <v>2193</v>
      </c>
      <c r="C4712" s="74" t="s">
        <v>443</v>
      </c>
    </row>
    <row r="4713" spans="1:3">
      <c r="A4713" s="250">
        <v>13367</v>
      </c>
      <c r="B4713" s="74" t="s">
        <v>3472</v>
      </c>
      <c r="C4713" s="74" t="s">
        <v>443</v>
      </c>
    </row>
    <row r="4714" spans="1:3">
      <c r="A4714" s="250">
        <v>13368</v>
      </c>
      <c r="B4714" s="74" t="s">
        <v>3473</v>
      </c>
      <c r="C4714" s="74" t="s">
        <v>443</v>
      </c>
    </row>
    <row r="4715" spans="1:3">
      <c r="A4715" s="250">
        <v>13401</v>
      </c>
      <c r="B4715" s="74" t="s">
        <v>3474</v>
      </c>
      <c r="C4715" s="74" t="s">
        <v>443</v>
      </c>
    </row>
    <row r="4716" spans="1:3">
      <c r="A4716" s="250">
        <v>13402</v>
      </c>
      <c r="B4716" s="74" t="s">
        <v>1320</v>
      </c>
      <c r="C4716" s="74" t="s">
        <v>443</v>
      </c>
    </row>
    <row r="4717" spans="1:3">
      <c r="A4717" s="250">
        <v>13403</v>
      </c>
      <c r="B4717" s="74" t="s">
        <v>3475</v>
      </c>
      <c r="C4717" s="74" t="s">
        <v>443</v>
      </c>
    </row>
    <row r="4718" spans="1:3">
      <c r="A4718" s="250">
        <v>13404</v>
      </c>
      <c r="B4718" s="74" t="s">
        <v>3476</v>
      </c>
      <c r="C4718" s="74" t="s">
        <v>443</v>
      </c>
    </row>
    <row r="4719" spans="1:3">
      <c r="A4719" s="250">
        <v>13406</v>
      </c>
      <c r="B4719" s="74" t="s">
        <v>2321</v>
      </c>
      <c r="C4719" s="74" t="s">
        <v>443</v>
      </c>
    </row>
    <row r="4720" spans="1:3">
      <c r="A4720" s="250">
        <v>13407</v>
      </c>
      <c r="B4720" s="74" t="s">
        <v>3477</v>
      </c>
      <c r="C4720" s="74" t="s">
        <v>443</v>
      </c>
    </row>
    <row r="4721" spans="1:3">
      <c r="A4721" s="250">
        <v>13408</v>
      </c>
      <c r="B4721" s="74" t="s">
        <v>1850</v>
      </c>
      <c r="C4721" s="74" t="s">
        <v>443</v>
      </c>
    </row>
    <row r="4722" spans="1:3">
      <c r="A4722" s="250">
        <v>13409</v>
      </c>
      <c r="B4722" s="74" t="s">
        <v>3478</v>
      </c>
      <c r="C4722" s="74" t="s">
        <v>443</v>
      </c>
    </row>
    <row r="4723" spans="1:3">
      <c r="A4723" s="250">
        <v>13410</v>
      </c>
      <c r="B4723" s="74" t="s">
        <v>3479</v>
      </c>
      <c r="C4723" s="74" t="s">
        <v>443</v>
      </c>
    </row>
    <row r="4724" spans="1:3">
      <c r="A4724" s="250">
        <v>13411</v>
      </c>
      <c r="B4724" s="74" t="s">
        <v>3480</v>
      </c>
      <c r="C4724" s="74" t="s">
        <v>443</v>
      </c>
    </row>
    <row r="4725" spans="1:3">
      <c r="A4725" s="250">
        <v>13413</v>
      </c>
      <c r="B4725" s="74" t="s">
        <v>1947</v>
      </c>
      <c r="C4725" s="74" t="s">
        <v>443</v>
      </c>
    </row>
    <row r="4726" spans="1:3">
      <c r="A4726" s="250">
        <v>13415</v>
      </c>
      <c r="B4726" s="74" t="s">
        <v>2410</v>
      </c>
      <c r="C4726" s="74" t="s">
        <v>443</v>
      </c>
    </row>
    <row r="4727" spans="1:3">
      <c r="A4727" s="250">
        <v>13416</v>
      </c>
      <c r="B4727" s="74" t="s">
        <v>1118</v>
      </c>
      <c r="C4727" s="74" t="s">
        <v>443</v>
      </c>
    </row>
    <row r="4728" spans="1:3">
      <c r="A4728" s="250">
        <v>13417</v>
      </c>
      <c r="B4728" s="74" t="s">
        <v>3481</v>
      </c>
      <c r="C4728" s="74" t="s">
        <v>443</v>
      </c>
    </row>
    <row r="4729" spans="1:3">
      <c r="A4729" s="250">
        <v>13418</v>
      </c>
      <c r="B4729" s="74" t="s">
        <v>750</v>
      </c>
      <c r="C4729" s="74" t="s">
        <v>443</v>
      </c>
    </row>
    <row r="4730" spans="1:3">
      <c r="A4730" s="250">
        <v>13420</v>
      </c>
      <c r="B4730" s="74" t="s">
        <v>3482</v>
      </c>
      <c r="C4730" s="74" t="s">
        <v>443</v>
      </c>
    </row>
    <row r="4731" spans="1:3">
      <c r="A4731" s="250">
        <v>13421</v>
      </c>
      <c r="B4731" s="74" t="s">
        <v>3483</v>
      </c>
      <c r="C4731" s="74" t="s">
        <v>443</v>
      </c>
    </row>
    <row r="4732" spans="1:3">
      <c r="A4732" s="250">
        <v>13424</v>
      </c>
      <c r="B4732" s="74" t="s">
        <v>3484</v>
      </c>
      <c r="C4732" s="74" t="s">
        <v>443</v>
      </c>
    </row>
    <row r="4733" spans="1:3">
      <c r="A4733" s="250">
        <v>13425</v>
      </c>
      <c r="B4733" s="74" t="s">
        <v>3485</v>
      </c>
      <c r="C4733" s="74" t="s">
        <v>443</v>
      </c>
    </row>
    <row r="4734" spans="1:3">
      <c r="A4734" s="250">
        <v>13426</v>
      </c>
      <c r="B4734" s="74" t="s">
        <v>1883</v>
      </c>
      <c r="C4734" s="74" t="s">
        <v>443</v>
      </c>
    </row>
    <row r="4735" spans="1:3">
      <c r="A4735" s="250">
        <v>13428</v>
      </c>
      <c r="B4735" s="74" t="s">
        <v>3486</v>
      </c>
      <c r="C4735" s="74" t="s">
        <v>443</v>
      </c>
    </row>
    <row r="4736" spans="1:3">
      <c r="A4736" s="250">
        <v>13431</v>
      </c>
      <c r="B4736" s="74" t="s">
        <v>1460</v>
      </c>
      <c r="C4736" s="74" t="s">
        <v>443</v>
      </c>
    </row>
    <row r="4737" spans="1:3">
      <c r="A4737" s="250">
        <v>13433</v>
      </c>
      <c r="B4737" s="74" t="s">
        <v>3487</v>
      </c>
      <c r="C4737" s="74" t="s">
        <v>443</v>
      </c>
    </row>
    <row r="4738" spans="1:3">
      <c r="A4738" s="250">
        <v>13435</v>
      </c>
      <c r="B4738" s="74" t="s">
        <v>2079</v>
      </c>
      <c r="C4738" s="74" t="s">
        <v>443</v>
      </c>
    </row>
    <row r="4739" spans="1:3">
      <c r="A4739" s="250">
        <v>13436</v>
      </c>
      <c r="B4739" s="74" t="s">
        <v>3488</v>
      </c>
      <c r="C4739" s="74" t="s">
        <v>443</v>
      </c>
    </row>
    <row r="4740" spans="1:3">
      <c r="A4740" s="250">
        <v>13437</v>
      </c>
      <c r="B4740" s="74" t="s">
        <v>3489</v>
      </c>
      <c r="C4740" s="74" t="s">
        <v>443</v>
      </c>
    </row>
    <row r="4741" spans="1:3">
      <c r="A4741" s="250">
        <v>13438</v>
      </c>
      <c r="B4741" s="74" t="s">
        <v>3490</v>
      </c>
      <c r="C4741" s="74" t="s">
        <v>443</v>
      </c>
    </row>
    <row r="4742" spans="1:3">
      <c r="A4742" s="250">
        <v>13439</v>
      </c>
      <c r="B4742" s="74" t="s">
        <v>3491</v>
      </c>
      <c r="C4742" s="74" t="s">
        <v>443</v>
      </c>
    </row>
    <row r="4743" spans="1:3">
      <c r="A4743" s="250">
        <v>13440</v>
      </c>
      <c r="B4743" s="74" t="s">
        <v>3492</v>
      </c>
      <c r="C4743" s="74" t="s">
        <v>443</v>
      </c>
    </row>
    <row r="4744" spans="1:3">
      <c r="A4744" s="250">
        <v>13441</v>
      </c>
      <c r="B4744" s="74" t="s">
        <v>3492</v>
      </c>
      <c r="C4744" s="74" t="s">
        <v>443</v>
      </c>
    </row>
    <row r="4745" spans="1:3">
      <c r="A4745" s="250">
        <v>13442</v>
      </c>
      <c r="B4745" s="74" t="s">
        <v>3492</v>
      </c>
      <c r="C4745" s="74" t="s">
        <v>443</v>
      </c>
    </row>
    <row r="4746" spans="1:3">
      <c r="A4746" s="250">
        <v>13449</v>
      </c>
      <c r="B4746" s="74" t="s">
        <v>3492</v>
      </c>
      <c r="C4746" s="74" t="s">
        <v>443</v>
      </c>
    </row>
    <row r="4747" spans="1:3">
      <c r="A4747" s="250">
        <v>13450</v>
      </c>
      <c r="B4747" s="74" t="s">
        <v>3493</v>
      </c>
      <c r="C4747" s="74" t="s">
        <v>443</v>
      </c>
    </row>
    <row r="4748" spans="1:3">
      <c r="A4748" s="250">
        <v>13452</v>
      </c>
      <c r="B4748" s="74" t="s">
        <v>3494</v>
      </c>
      <c r="C4748" s="74" t="s">
        <v>443</v>
      </c>
    </row>
    <row r="4749" spans="1:3">
      <c r="A4749" s="250">
        <v>13454</v>
      </c>
      <c r="B4749" s="74" t="s">
        <v>3495</v>
      </c>
      <c r="C4749" s="74" t="s">
        <v>443</v>
      </c>
    </row>
    <row r="4750" spans="1:3">
      <c r="A4750" s="250">
        <v>13455</v>
      </c>
      <c r="B4750" s="74" t="s">
        <v>3496</v>
      </c>
      <c r="C4750" s="74" t="s">
        <v>443</v>
      </c>
    </row>
    <row r="4751" spans="1:3">
      <c r="A4751" s="250">
        <v>13456</v>
      </c>
      <c r="B4751" s="74" t="s">
        <v>3497</v>
      </c>
      <c r="C4751" s="74" t="s">
        <v>443</v>
      </c>
    </row>
    <row r="4752" spans="1:3">
      <c r="A4752" s="250">
        <v>13457</v>
      </c>
      <c r="B4752" s="74" t="s">
        <v>3498</v>
      </c>
      <c r="C4752" s="74" t="s">
        <v>443</v>
      </c>
    </row>
    <row r="4753" spans="1:3">
      <c r="A4753" s="250">
        <v>13459</v>
      </c>
      <c r="B4753" s="74" t="s">
        <v>3499</v>
      </c>
      <c r="C4753" s="74" t="s">
        <v>443</v>
      </c>
    </row>
    <row r="4754" spans="1:3">
      <c r="A4754" s="250">
        <v>13460</v>
      </c>
      <c r="B4754" s="74" t="s">
        <v>3500</v>
      </c>
      <c r="C4754" s="74" t="s">
        <v>443</v>
      </c>
    </row>
    <row r="4755" spans="1:3">
      <c r="A4755" s="250">
        <v>13461</v>
      </c>
      <c r="B4755" s="74" t="s">
        <v>3501</v>
      </c>
      <c r="C4755" s="74" t="s">
        <v>443</v>
      </c>
    </row>
    <row r="4756" spans="1:3">
      <c r="A4756" s="250">
        <v>13464</v>
      </c>
      <c r="B4756" s="74" t="s">
        <v>3502</v>
      </c>
      <c r="C4756" s="74" t="s">
        <v>443</v>
      </c>
    </row>
    <row r="4757" spans="1:3">
      <c r="A4757" s="250">
        <v>13465</v>
      </c>
      <c r="B4757" s="74" t="s">
        <v>3503</v>
      </c>
      <c r="C4757" s="74" t="s">
        <v>443</v>
      </c>
    </row>
    <row r="4758" spans="1:3">
      <c r="A4758" s="250">
        <v>13468</v>
      </c>
      <c r="B4758" s="74" t="s">
        <v>3504</v>
      </c>
      <c r="C4758" s="74" t="s">
        <v>443</v>
      </c>
    </row>
    <row r="4759" spans="1:3">
      <c r="A4759" s="250">
        <v>13469</v>
      </c>
      <c r="B4759" s="74" t="s">
        <v>3505</v>
      </c>
      <c r="C4759" s="74" t="s">
        <v>443</v>
      </c>
    </row>
    <row r="4760" spans="1:3">
      <c r="A4760" s="250">
        <v>13470</v>
      </c>
      <c r="B4760" s="74" t="s">
        <v>2072</v>
      </c>
      <c r="C4760" s="74" t="s">
        <v>443</v>
      </c>
    </row>
    <row r="4761" spans="1:3">
      <c r="A4761" s="250">
        <v>13471</v>
      </c>
      <c r="B4761" s="74" t="s">
        <v>3506</v>
      </c>
      <c r="C4761" s="74" t="s">
        <v>443</v>
      </c>
    </row>
    <row r="4762" spans="1:3">
      <c r="A4762" s="250">
        <v>13472</v>
      </c>
      <c r="B4762" s="74" t="s">
        <v>3507</v>
      </c>
      <c r="C4762" s="74" t="s">
        <v>443</v>
      </c>
    </row>
    <row r="4763" spans="1:3">
      <c r="A4763" s="250">
        <v>13473</v>
      </c>
      <c r="B4763" s="74" t="s">
        <v>3508</v>
      </c>
      <c r="C4763" s="74" t="s">
        <v>443</v>
      </c>
    </row>
    <row r="4764" spans="1:3">
      <c r="A4764" s="250">
        <v>13475</v>
      </c>
      <c r="B4764" s="74" t="s">
        <v>3509</v>
      </c>
      <c r="C4764" s="74" t="s">
        <v>443</v>
      </c>
    </row>
    <row r="4765" spans="1:3">
      <c r="A4765" s="250">
        <v>13476</v>
      </c>
      <c r="B4765" s="74" t="s">
        <v>1791</v>
      </c>
      <c r="C4765" s="74" t="s">
        <v>443</v>
      </c>
    </row>
    <row r="4766" spans="1:3">
      <c r="A4766" s="250">
        <v>13477</v>
      </c>
      <c r="B4766" s="74" t="s">
        <v>3510</v>
      </c>
      <c r="C4766" s="74" t="s">
        <v>443</v>
      </c>
    </row>
    <row r="4767" spans="1:3">
      <c r="A4767" s="250">
        <v>13478</v>
      </c>
      <c r="B4767" s="74" t="s">
        <v>2139</v>
      </c>
      <c r="C4767" s="74" t="s">
        <v>443</v>
      </c>
    </row>
    <row r="4768" spans="1:3">
      <c r="A4768" s="250">
        <v>13479</v>
      </c>
      <c r="B4768" s="74" t="s">
        <v>3511</v>
      </c>
      <c r="C4768" s="74" t="s">
        <v>443</v>
      </c>
    </row>
    <row r="4769" spans="1:3">
      <c r="A4769" s="250">
        <v>13480</v>
      </c>
      <c r="B4769" s="74" t="s">
        <v>1676</v>
      </c>
      <c r="C4769" s="74" t="s">
        <v>443</v>
      </c>
    </row>
    <row r="4770" spans="1:3">
      <c r="A4770" s="250">
        <v>13482</v>
      </c>
      <c r="B4770" s="74" t="s">
        <v>3512</v>
      </c>
      <c r="C4770" s="74" t="s">
        <v>443</v>
      </c>
    </row>
    <row r="4771" spans="1:3">
      <c r="A4771" s="250">
        <v>13483</v>
      </c>
      <c r="B4771" s="74" t="s">
        <v>3513</v>
      </c>
      <c r="C4771" s="74" t="s">
        <v>443</v>
      </c>
    </row>
    <row r="4772" spans="1:3">
      <c r="A4772" s="250">
        <v>13484</v>
      </c>
      <c r="B4772" s="74" t="s">
        <v>3514</v>
      </c>
      <c r="C4772" s="74" t="s">
        <v>443</v>
      </c>
    </row>
    <row r="4773" spans="1:3">
      <c r="A4773" s="250">
        <v>13485</v>
      </c>
      <c r="B4773" s="74" t="s">
        <v>3515</v>
      </c>
      <c r="C4773" s="74" t="s">
        <v>443</v>
      </c>
    </row>
    <row r="4774" spans="1:3">
      <c r="A4774" s="250">
        <v>13486</v>
      </c>
      <c r="B4774" s="74" t="s">
        <v>3516</v>
      </c>
      <c r="C4774" s="74" t="s">
        <v>443</v>
      </c>
    </row>
    <row r="4775" spans="1:3">
      <c r="A4775" s="250">
        <v>13488</v>
      </c>
      <c r="B4775" s="74" t="s">
        <v>830</v>
      </c>
      <c r="C4775" s="74" t="s">
        <v>443</v>
      </c>
    </row>
    <row r="4776" spans="1:3">
      <c r="A4776" s="250">
        <v>13489</v>
      </c>
      <c r="B4776" s="74" t="s">
        <v>3517</v>
      </c>
      <c r="C4776" s="74" t="s">
        <v>443</v>
      </c>
    </row>
    <row r="4777" spans="1:3">
      <c r="A4777" s="250">
        <v>13490</v>
      </c>
      <c r="B4777" s="74" t="s">
        <v>1244</v>
      </c>
      <c r="C4777" s="74" t="s">
        <v>443</v>
      </c>
    </row>
    <row r="4778" spans="1:3">
      <c r="A4778" s="250">
        <v>13491</v>
      </c>
      <c r="B4778" s="74" t="s">
        <v>3518</v>
      </c>
      <c r="C4778" s="74" t="s">
        <v>443</v>
      </c>
    </row>
    <row r="4779" spans="1:3">
      <c r="A4779" s="250">
        <v>13492</v>
      </c>
      <c r="B4779" s="74" t="s">
        <v>2470</v>
      </c>
      <c r="C4779" s="74" t="s">
        <v>443</v>
      </c>
    </row>
    <row r="4780" spans="1:3">
      <c r="A4780" s="250">
        <v>13493</v>
      </c>
      <c r="B4780" s="74" t="s">
        <v>668</v>
      </c>
      <c r="C4780" s="74" t="s">
        <v>443</v>
      </c>
    </row>
    <row r="4781" spans="1:3">
      <c r="A4781" s="250">
        <v>13494</v>
      </c>
      <c r="B4781" s="74" t="s">
        <v>3519</v>
      </c>
      <c r="C4781" s="74" t="s">
        <v>443</v>
      </c>
    </row>
    <row r="4782" spans="1:3">
      <c r="A4782" s="250">
        <v>13495</v>
      </c>
      <c r="B4782" s="74" t="s">
        <v>3520</v>
      </c>
      <c r="C4782" s="74" t="s">
        <v>443</v>
      </c>
    </row>
    <row r="4783" spans="1:3">
      <c r="A4783" s="250">
        <v>13501</v>
      </c>
      <c r="B4783" s="74" t="s">
        <v>3521</v>
      </c>
      <c r="C4783" s="74" t="s">
        <v>443</v>
      </c>
    </row>
    <row r="4784" spans="1:3">
      <c r="A4784" s="250">
        <v>13502</v>
      </c>
      <c r="B4784" s="74" t="s">
        <v>3521</v>
      </c>
      <c r="C4784" s="74" t="s">
        <v>443</v>
      </c>
    </row>
    <row r="4785" spans="1:3">
      <c r="A4785" s="250">
        <v>13503</v>
      </c>
      <c r="B4785" s="74" t="s">
        <v>3521</v>
      </c>
      <c r="C4785" s="74" t="s">
        <v>443</v>
      </c>
    </row>
    <row r="4786" spans="1:3">
      <c r="A4786" s="250">
        <v>13504</v>
      </c>
      <c r="B4786" s="74" t="s">
        <v>3521</v>
      </c>
      <c r="C4786" s="74" t="s">
        <v>443</v>
      </c>
    </row>
    <row r="4787" spans="1:3">
      <c r="A4787" s="250">
        <v>13505</v>
      </c>
      <c r="B4787" s="74" t="s">
        <v>3521</v>
      </c>
      <c r="C4787" s="74" t="s">
        <v>443</v>
      </c>
    </row>
    <row r="4788" spans="1:3">
      <c r="A4788" s="250">
        <v>13599</v>
      </c>
      <c r="B4788" s="74" t="s">
        <v>3521</v>
      </c>
      <c r="C4788" s="74" t="s">
        <v>443</v>
      </c>
    </row>
    <row r="4789" spans="1:3">
      <c r="A4789" s="250">
        <v>13601</v>
      </c>
      <c r="B4789" s="74" t="s">
        <v>983</v>
      </c>
      <c r="C4789" s="74" t="s">
        <v>443</v>
      </c>
    </row>
    <row r="4790" spans="1:3">
      <c r="A4790" s="250">
        <v>13602</v>
      </c>
      <c r="B4790" s="74" t="s">
        <v>3522</v>
      </c>
      <c r="C4790" s="74" t="s">
        <v>443</v>
      </c>
    </row>
    <row r="4791" spans="1:3">
      <c r="A4791" s="250">
        <v>13603</v>
      </c>
      <c r="B4791" s="74" t="s">
        <v>983</v>
      </c>
      <c r="C4791" s="74" t="s">
        <v>443</v>
      </c>
    </row>
    <row r="4792" spans="1:3">
      <c r="A4792" s="250">
        <v>13605</v>
      </c>
      <c r="B4792" s="74" t="s">
        <v>638</v>
      </c>
      <c r="C4792" s="74" t="s">
        <v>443</v>
      </c>
    </row>
    <row r="4793" spans="1:3">
      <c r="A4793" s="250">
        <v>13606</v>
      </c>
      <c r="B4793" s="74" t="s">
        <v>3523</v>
      </c>
      <c r="C4793" s="74" t="s">
        <v>443</v>
      </c>
    </row>
    <row r="4794" spans="1:3">
      <c r="A4794" s="250">
        <v>13607</v>
      </c>
      <c r="B4794" s="74" t="s">
        <v>3524</v>
      </c>
      <c r="C4794" s="74" t="s">
        <v>443</v>
      </c>
    </row>
    <row r="4795" spans="1:3">
      <c r="A4795" s="250">
        <v>13608</v>
      </c>
      <c r="B4795" s="74" t="s">
        <v>3525</v>
      </c>
      <c r="C4795" s="74" t="s">
        <v>443</v>
      </c>
    </row>
    <row r="4796" spans="1:3">
      <c r="A4796" s="250">
        <v>13611</v>
      </c>
      <c r="B4796" s="74" t="s">
        <v>2173</v>
      </c>
      <c r="C4796" s="74" t="s">
        <v>443</v>
      </c>
    </row>
    <row r="4797" spans="1:3">
      <c r="A4797" s="250">
        <v>13612</v>
      </c>
      <c r="B4797" s="74" t="s">
        <v>3526</v>
      </c>
      <c r="C4797" s="74" t="s">
        <v>443</v>
      </c>
    </row>
    <row r="4798" spans="1:3">
      <c r="A4798" s="250">
        <v>13613</v>
      </c>
      <c r="B4798" s="74" t="s">
        <v>3527</v>
      </c>
      <c r="C4798" s="74" t="s">
        <v>443</v>
      </c>
    </row>
    <row r="4799" spans="1:3">
      <c r="A4799" s="250">
        <v>13614</v>
      </c>
      <c r="B4799" s="74" t="s">
        <v>3528</v>
      </c>
      <c r="C4799" s="74" t="s">
        <v>443</v>
      </c>
    </row>
    <row r="4800" spans="1:3">
      <c r="A4800" s="250">
        <v>13615</v>
      </c>
      <c r="B4800" s="74" t="s">
        <v>1493</v>
      </c>
      <c r="C4800" s="74" t="s">
        <v>443</v>
      </c>
    </row>
    <row r="4801" spans="1:3">
      <c r="A4801" s="250">
        <v>13616</v>
      </c>
      <c r="B4801" s="74" t="s">
        <v>3529</v>
      </c>
      <c r="C4801" s="74" t="s">
        <v>443</v>
      </c>
    </row>
    <row r="4802" spans="1:3">
      <c r="A4802" s="250">
        <v>13617</v>
      </c>
      <c r="B4802" s="74" t="s">
        <v>866</v>
      </c>
      <c r="C4802" s="74" t="s">
        <v>443</v>
      </c>
    </row>
    <row r="4803" spans="1:3">
      <c r="A4803" s="250">
        <v>13618</v>
      </c>
      <c r="B4803" s="74" t="s">
        <v>3530</v>
      </c>
      <c r="C4803" s="74" t="s">
        <v>443</v>
      </c>
    </row>
    <row r="4804" spans="1:3">
      <c r="A4804" s="250">
        <v>13619</v>
      </c>
      <c r="B4804" s="74" t="s">
        <v>3531</v>
      </c>
      <c r="C4804" s="74" t="s">
        <v>443</v>
      </c>
    </row>
    <row r="4805" spans="1:3">
      <c r="A4805" s="250">
        <v>13620</v>
      </c>
      <c r="B4805" s="74" t="s">
        <v>3532</v>
      </c>
      <c r="C4805" s="74" t="s">
        <v>443</v>
      </c>
    </row>
    <row r="4806" spans="1:3">
      <c r="A4806" s="250">
        <v>13621</v>
      </c>
      <c r="B4806" s="74" t="s">
        <v>3533</v>
      </c>
      <c r="C4806" s="74" t="s">
        <v>443</v>
      </c>
    </row>
    <row r="4807" spans="1:3">
      <c r="A4807" s="250">
        <v>13622</v>
      </c>
      <c r="B4807" s="74" t="s">
        <v>3534</v>
      </c>
      <c r="C4807" s="74" t="s">
        <v>443</v>
      </c>
    </row>
    <row r="4808" spans="1:3">
      <c r="A4808" s="250">
        <v>13623</v>
      </c>
      <c r="B4808" s="74" t="s">
        <v>3535</v>
      </c>
      <c r="C4808" s="74" t="s">
        <v>443</v>
      </c>
    </row>
    <row r="4809" spans="1:3">
      <c r="A4809" s="250">
        <v>13624</v>
      </c>
      <c r="B4809" s="74" t="s">
        <v>2476</v>
      </c>
      <c r="C4809" s="74" t="s">
        <v>443</v>
      </c>
    </row>
    <row r="4810" spans="1:3">
      <c r="A4810" s="250">
        <v>13625</v>
      </c>
      <c r="B4810" s="74" t="s">
        <v>3536</v>
      </c>
      <c r="C4810" s="74" t="s">
        <v>443</v>
      </c>
    </row>
    <row r="4811" spans="1:3">
      <c r="A4811" s="250">
        <v>13626</v>
      </c>
      <c r="B4811" s="74" t="s">
        <v>3537</v>
      </c>
      <c r="C4811" s="74" t="s">
        <v>443</v>
      </c>
    </row>
    <row r="4812" spans="1:3">
      <c r="A4812" s="250">
        <v>13627</v>
      </c>
      <c r="B4812" s="74" t="s">
        <v>3538</v>
      </c>
      <c r="C4812" s="74" t="s">
        <v>443</v>
      </c>
    </row>
    <row r="4813" spans="1:3">
      <c r="A4813" s="250">
        <v>13628</v>
      </c>
      <c r="B4813" s="74" t="s">
        <v>3539</v>
      </c>
      <c r="C4813" s="74" t="s">
        <v>443</v>
      </c>
    </row>
    <row r="4814" spans="1:3">
      <c r="A4814" s="250">
        <v>13630</v>
      </c>
      <c r="B4814" s="74" t="s">
        <v>3540</v>
      </c>
      <c r="C4814" s="74" t="s">
        <v>443</v>
      </c>
    </row>
    <row r="4815" spans="1:3">
      <c r="A4815" s="250">
        <v>13631</v>
      </c>
      <c r="B4815" s="74" t="s">
        <v>1378</v>
      </c>
      <c r="C4815" s="74" t="s">
        <v>443</v>
      </c>
    </row>
    <row r="4816" spans="1:3">
      <c r="A4816" s="250">
        <v>13632</v>
      </c>
      <c r="B4816" s="74" t="s">
        <v>3541</v>
      </c>
      <c r="C4816" s="74" t="s">
        <v>443</v>
      </c>
    </row>
    <row r="4817" spans="1:3">
      <c r="A4817" s="250">
        <v>13633</v>
      </c>
      <c r="B4817" s="74" t="s">
        <v>3542</v>
      </c>
      <c r="C4817" s="74" t="s">
        <v>443</v>
      </c>
    </row>
    <row r="4818" spans="1:3">
      <c r="A4818" s="250">
        <v>13634</v>
      </c>
      <c r="B4818" s="74" t="s">
        <v>1689</v>
      </c>
      <c r="C4818" s="74" t="s">
        <v>443</v>
      </c>
    </row>
    <row r="4819" spans="1:3">
      <c r="A4819" s="250">
        <v>13635</v>
      </c>
      <c r="B4819" s="74" t="s">
        <v>3543</v>
      </c>
      <c r="C4819" s="74" t="s">
        <v>443</v>
      </c>
    </row>
    <row r="4820" spans="1:3">
      <c r="A4820" s="250">
        <v>13636</v>
      </c>
      <c r="B4820" s="74" t="s">
        <v>3544</v>
      </c>
      <c r="C4820" s="74" t="s">
        <v>443</v>
      </c>
    </row>
    <row r="4821" spans="1:3">
      <c r="A4821" s="250">
        <v>13637</v>
      </c>
      <c r="B4821" s="74" t="s">
        <v>3545</v>
      </c>
      <c r="C4821" s="74" t="s">
        <v>443</v>
      </c>
    </row>
    <row r="4822" spans="1:3">
      <c r="A4822" s="250">
        <v>13638</v>
      </c>
      <c r="B4822" s="74" t="s">
        <v>3546</v>
      </c>
      <c r="C4822" s="74" t="s">
        <v>443</v>
      </c>
    </row>
    <row r="4823" spans="1:3">
      <c r="A4823" s="250">
        <v>13639</v>
      </c>
      <c r="B4823" s="74" t="s">
        <v>3547</v>
      </c>
      <c r="C4823" s="74" t="s">
        <v>443</v>
      </c>
    </row>
    <row r="4824" spans="1:3">
      <c r="A4824" s="250">
        <v>13640</v>
      </c>
      <c r="B4824" s="74" t="s">
        <v>3548</v>
      </c>
      <c r="C4824" s="74" t="s">
        <v>443</v>
      </c>
    </row>
    <row r="4825" spans="1:3">
      <c r="A4825" s="250">
        <v>13641</v>
      </c>
      <c r="B4825" s="74" t="s">
        <v>3549</v>
      </c>
      <c r="C4825" s="74" t="s">
        <v>443</v>
      </c>
    </row>
    <row r="4826" spans="1:3">
      <c r="A4826" s="250">
        <v>13642</v>
      </c>
      <c r="B4826" s="74" t="s">
        <v>3550</v>
      </c>
      <c r="C4826" s="74" t="s">
        <v>443</v>
      </c>
    </row>
    <row r="4827" spans="1:3">
      <c r="A4827" s="250">
        <v>13643</v>
      </c>
      <c r="B4827" s="74" t="s">
        <v>3551</v>
      </c>
      <c r="C4827" s="74" t="s">
        <v>443</v>
      </c>
    </row>
    <row r="4828" spans="1:3">
      <c r="A4828" s="250">
        <v>13645</v>
      </c>
      <c r="B4828" s="74" t="s">
        <v>3552</v>
      </c>
      <c r="C4828" s="74" t="s">
        <v>443</v>
      </c>
    </row>
    <row r="4829" spans="1:3">
      <c r="A4829" s="250">
        <v>13646</v>
      </c>
      <c r="B4829" s="74" t="s">
        <v>3553</v>
      </c>
      <c r="C4829" s="74" t="s">
        <v>443</v>
      </c>
    </row>
    <row r="4830" spans="1:3">
      <c r="A4830" s="250">
        <v>13647</v>
      </c>
      <c r="B4830" s="74" t="s">
        <v>3554</v>
      </c>
      <c r="C4830" s="74" t="s">
        <v>443</v>
      </c>
    </row>
    <row r="4831" spans="1:3">
      <c r="A4831" s="250">
        <v>13648</v>
      </c>
      <c r="B4831" s="74" t="s">
        <v>1110</v>
      </c>
      <c r="C4831" s="74" t="s">
        <v>443</v>
      </c>
    </row>
    <row r="4832" spans="1:3">
      <c r="A4832" s="250">
        <v>13649</v>
      </c>
      <c r="B4832" s="74" t="s">
        <v>3555</v>
      </c>
      <c r="C4832" s="74" t="s">
        <v>443</v>
      </c>
    </row>
    <row r="4833" spans="1:3">
      <c r="A4833" s="250">
        <v>13650</v>
      </c>
      <c r="B4833" s="74" t="s">
        <v>3556</v>
      </c>
      <c r="C4833" s="74" t="s">
        <v>443</v>
      </c>
    </row>
    <row r="4834" spans="1:3">
      <c r="A4834" s="250">
        <v>13651</v>
      </c>
      <c r="B4834" s="74" t="s">
        <v>3557</v>
      </c>
      <c r="C4834" s="74" t="s">
        <v>443</v>
      </c>
    </row>
    <row r="4835" spans="1:3">
      <c r="A4835" s="250">
        <v>13652</v>
      </c>
      <c r="B4835" s="74" t="s">
        <v>3558</v>
      </c>
      <c r="C4835" s="74" t="s">
        <v>443</v>
      </c>
    </row>
    <row r="4836" spans="1:3">
      <c r="A4836" s="250">
        <v>13654</v>
      </c>
      <c r="B4836" s="74" t="s">
        <v>3559</v>
      </c>
      <c r="C4836" s="74" t="s">
        <v>443</v>
      </c>
    </row>
    <row r="4837" spans="1:3">
      <c r="A4837" s="250">
        <v>13655</v>
      </c>
      <c r="B4837" s="74" t="s">
        <v>3560</v>
      </c>
      <c r="C4837" s="74" t="s">
        <v>443</v>
      </c>
    </row>
    <row r="4838" spans="1:3">
      <c r="A4838" s="250">
        <v>13656</v>
      </c>
      <c r="B4838" s="74" t="s">
        <v>3561</v>
      </c>
      <c r="C4838" s="74" t="s">
        <v>443</v>
      </c>
    </row>
    <row r="4839" spans="1:3">
      <c r="A4839" s="250">
        <v>13657</v>
      </c>
      <c r="B4839" s="74" t="s">
        <v>1392</v>
      </c>
      <c r="C4839" s="74" t="s">
        <v>443</v>
      </c>
    </row>
    <row r="4840" spans="1:3">
      <c r="A4840" s="250">
        <v>13658</v>
      </c>
      <c r="B4840" s="74" t="s">
        <v>1254</v>
      </c>
      <c r="C4840" s="74" t="s">
        <v>443</v>
      </c>
    </row>
    <row r="4841" spans="1:3">
      <c r="A4841" s="250">
        <v>13659</v>
      </c>
      <c r="B4841" s="74" t="s">
        <v>3562</v>
      </c>
      <c r="C4841" s="74" t="s">
        <v>443</v>
      </c>
    </row>
    <row r="4842" spans="1:3">
      <c r="A4842" s="250">
        <v>13660</v>
      </c>
      <c r="B4842" s="74" t="s">
        <v>3563</v>
      </c>
      <c r="C4842" s="74" t="s">
        <v>443</v>
      </c>
    </row>
    <row r="4843" spans="1:3">
      <c r="A4843" s="250">
        <v>13661</v>
      </c>
      <c r="B4843" s="74" t="s">
        <v>3564</v>
      </c>
      <c r="C4843" s="74" t="s">
        <v>443</v>
      </c>
    </row>
    <row r="4844" spans="1:3">
      <c r="A4844" s="250">
        <v>13662</v>
      </c>
      <c r="B4844" s="74" t="s">
        <v>3565</v>
      </c>
      <c r="C4844" s="74" t="s">
        <v>443</v>
      </c>
    </row>
    <row r="4845" spans="1:3">
      <c r="A4845" s="250">
        <v>13664</v>
      </c>
      <c r="B4845" s="74" t="s">
        <v>2353</v>
      </c>
      <c r="C4845" s="74" t="s">
        <v>443</v>
      </c>
    </row>
    <row r="4846" spans="1:3">
      <c r="A4846" s="250">
        <v>13665</v>
      </c>
      <c r="B4846" s="74" t="s">
        <v>3566</v>
      </c>
      <c r="C4846" s="74" t="s">
        <v>443</v>
      </c>
    </row>
    <row r="4847" spans="1:3">
      <c r="A4847" s="250">
        <v>13666</v>
      </c>
      <c r="B4847" s="74" t="s">
        <v>3567</v>
      </c>
      <c r="C4847" s="74" t="s">
        <v>443</v>
      </c>
    </row>
    <row r="4848" spans="1:3">
      <c r="A4848" s="250">
        <v>13667</v>
      </c>
      <c r="B4848" s="74" t="s">
        <v>886</v>
      </c>
      <c r="C4848" s="74" t="s">
        <v>443</v>
      </c>
    </row>
    <row r="4849" spans="1:3">
      <c r="A4849" s="250">
        <v>13668</v>
      </c>
      <c r="B4849" s="74" t="s">
        <v>890</v>
      </c>
      <c r="C4849" s="74" t="s">
        <v>443</v>
      </c>
    </row>
    <row r="4850" spans="1:3">
      <c r="A4850" s="250">
        <v>13669</v>
      </c>
      <c r="B4850" s="74" t="s">
        <v>2199</v>
      </c>
      <c r="C4850" s="74" t="s">
        <v>443</v>
      </c>
    </row>
    <row r="4851" spans="1:3">
      <c r="A4851" s="250">
        <v>13670</v>
      </c>
      <c r="B4851" s="74" t="s">
        <v>3568</v>
      </c>
      <c r="C4851" s="74" t="s">
        <v>443</v>
      </c>
    </row>
    <row r="4852" spans="1:3">
      <c r="A4852" s="250">
        <v>13671</v>
      </c>
      <c r="B4852" s="74" t="s">
        <v>1643</v>
      </c>
      <c r="C4852" s="74" t="s">
        <v>443</v>
      </c>
    </row>
    <row r="4853" spans="1:3">
      <c r="A4853" s="250">
        <v>13672</v>
      </c>
      <c r="B4853" s="74" t="s">
        <v>3569</v>
      </c>
      <c r="C4853" s="74" t="s">
        <v>443</v>
      </c>
    </row>
    <row r="4854" spans="1:3">
      <c r="A4854" s="250">
        <v>13673</v>
      </c>
      <c r="B4854" s="74" t="s">
        <v>3570</v>
      </c>
      <c r="C4854" s="74" t="s">
        <v>443</v>
      </c>
    </row>
    <row r="4855" spans="1:3">
      <c r="A4855" s="250">
        <v>13674</v>
      </c>
      <c r="B4855" s="74" t="s">
        <v>3571</v>
      </c>
      <c r="C4855" s="74" t="s">
        <v>443</v>
      </c>
    </row>
    <row r="4856" spans="1:3">
      <c r="A4856" s="250">
        <v>13675</v>
      </c>
      <c r="B4856" s="74" t="s">
        <v>3572</v>
      </c>
      <c r="C4856" s="74" t="s">
        <v>443</v>
      </c>
    </row>
    <row r="4857" spans="1:3">
      <c r="A4857" s="250">
        <v>13676</v>
      </c>
      <c r="B4857" s="74" t="s">
        <v>3573</v>
      </c>
      <c r="C4857" s="74" t="s">
        <v>443</v>
      </c>
    </row>
    <row r="4858" spans="1:3">
      <c r="A4858" s="250">
        <v>13677</v>
      </c>
      <c r="B4858" s="74" t="s">
        <v>3574</v>
      </c>
      <c r="C4858" s="74" t="s">
        <v>443</v>
      </c>
    </row>
    <row r="4859" spans="1:3">
      <c r="A4859" s="250">
        <v>13678</v>
      </c>
      <c r="B4859" s="74" t="s">
        <v>3575</v>
      </c>
      <c r="C4859" s="74" t="s">
        <v>443</v>
      </c>
    </row>
    <row r="4860" spans="1:3">
      <c r="A4860" s="250">
        <v>13679</v>
      </c>
      <c r="B4860" s="74" t="s">
        <v>3576</v>
      </c>
      <c r="C4860" s="74" t="s">
        <v>443</v>
      </c>
    </row>
    <row r="4861" spans="1:3">
      <c r="A4861" s="250">
        <v>13680</v>
      </c>
      <c r="B4861" s="74" t="s">
        <v>3577</v>
      </c>
      <c r="C4861" s="74" t="s">
        <v>443</v>
      </c>
    </row>
    <row r="4862" spans="1:3">
      <c r="A4862" s="250">
        <v>13681</v>
      </c>
      <c r="B4862" s="74" t="s">
        <v>3578</v>
      </c>
      <c r="C4862" s="74" t="s">
        <v>443</v>
      </c>
    </row>
    <row r="4863" spans="1:3">
      <c r="A4863" s="250">
        <v>13682</v>
      </c>
      <c r="B4863" s="74" t="s">
        <v>3579</v>
      </c>
      <c r="C4863" s="74" t="s">
        <v>443</v>
      </c>
    </row>
    <row r="4864" spans="1:3">
      <c r="A4864" s="250">
        <v>13683</v>
      </c>
      <c r="B4864" s="74" t="s">
        <v>3580</v>
      </c>
      <c r="C4864" s="74" t="s">
        <v>443</v>
      </c>
    </row>
    <row r="4865" spans="1:3">
      <c r="A4865" s="250">
        <v>13684</v>
      </c>
      <c r="B4865" s="74" t="s">
        <v>612</v>
      </c>
      <c r="C4865" s="74" t="s">
        <v>443</v>
      </c>
    </row>
    <row r="4866" spans="1:3">
      <c r="A4866" s="250">
        <v>13685</v>
      </c>
      <c r="B4866" s="74" t="s">
        <v>3581</v>
      </c>
      <c r="C4866" s="74" t="s">
        <v>443</v>
      </c>
    </row>
    <row r="4867" spans="1:3">
      <c r="A4867" s="250">
        <v>13687</v>
      </c>
      <c r="B4867" s="74" t="s">
        <v>3582</v>
      </c>
      <c r="C4867" s="74" t="s">
        <v>443</v>
      </c>
    </row>
    <row r="4868" spans="1:3">
      <c r="A4868" s="250">
        <v>13690</v>
      </c>
      <c r="B4868" s="74" t="s">
        <v>3583</v>
      </c>
      <c r="C4868" s="74" t="s">
        <v>443</v>
      </c>
    </row>
    <row r="4869" spans="1:3">
      <c r="A4869" s="250">
        <v>13691</v>
      </c>
      <c r="B4869" s="74" t="s">
        <v>3584</v>
      </c>
      <c r="C4869" s="74" t="s">
        <v>443</v>
      </c>
    </row>
    <row r="4870" spans="1:3">
      <c r="A4870" s="250">
        <v>13692</v>
      </c>
      <c r="B4870" s="74" t="s">
        <v>3585</v>
      </c>
      <c r="C4870" s="74" t="s">
        <v>443</v>
      </c>
    </row>
    <row r="4871" spans="1:3">
      <c r="A4871" s="250">
        <v>13693</v>
      </c>
      <c r="B4871" s="74" t="s">
        <v>3586</v>
      </c>
      <c r="C4871" s="74" t="s">
        <v>443</v>
      </c>
    </row>
    <row r="4872" spans="1:3">
      <c r="A4872" s="250">
        <v>13694</v>
      </c>
      <c r="B4872" s="74" t="s">
        <v>3587</v>
      </c>
      <c r="C4872" s="74" t="s">
        <v>443</v>
      </c>
    </row>
    <row r="4873" spans="1:3">
      <c r="A4873" s="250">
        <v>13695</v>
      </c>
      <c r="B4873" s="74" t="s">
        <v>3588</v>
      </c>
      <c r="C4873" s="74" t="s">
        <v>443</v>
      </c>
    </row>
    <row r="4874" spans="1:3">
      <c r="A4874" s="250">
        <v>13696</v>
      </c>
      <c r="B4874" s="74" t="s">
        <v>3589</v>
      </c>
      <c r="C4874" s="74" t="s">
        <v>443</v>
      </c>
    </row>
    <row r="4875" spans="1:3">
      <c r="A4875" s="250">
        <v>13697</v>
      </c>
      <c r="B4875" s="74" t="s">
        <v>920</v>
      </c>
      <c r="C4875" s="74" t="s">
        <v>443</v>
      </c>
    </row>
    <row r="4876" spans="1:3">
      <c r="A4876" s="250">
        <v>13699</v>
      </c>
      <c r="B4876" s="74" t="s">
        <v>3573</v>
      </c>
      <c r="C4876" s="74" t="s">
        <v>443</v>
      </c>
    </row>
    <row r="4877" spans="1:3">
      <c r="A4877" s="250">
        <v>13730</v>
      </c>
      <c r="B4877" s="74" t="s">
        <v>3590</v>
      </c>
      <c r="C4877" s="74" t="s">
        <v>443</v>
      </c>
    </row>
    <row r="4878" spans="1:3">
      <c r="A4878" s="250">
        <v>13731</v>
      </c>
      <c r="B4878" s="74" t="s">
        <v>3591</v>
      </c>
      <c r="C4878" s="74" t="s">
        <v>443</v>
      </c>
    </row>
    <row r="4879" spans="1:3">
      <c r="A4879" s="250">
        <v>13732</v>
      </c>
      <c r="B4879" s="74" t="s">
        <v>3592</v>
      </c>
      <c r="C4879" s="74" t="s">
        <v>443</v>
      </c>
    </row>
    <row r="4880" spans="1:3">
      <c r="A4880" s="250">
        <v>13733</v>
      </c>
      <c r="B4880" s="74" t="s">
        <v>3593</v>
      </c>
      <c r="C4880" s="74" t="s">
        <v>443</v>
      </c>
    </row>
    <row r="4881" spans="1:3">
      <c r="A4881" s="250">
        <v>13734</v>
      </c>
      <c r="B4881" s="74" t="s">
        <v>1898</v>
      </c>
      <c r="C4881" s="74" t="s">
        <v>443</v>
      </c>
    </row>
    <row r="4882" spans="1:3">
      <c r="A4882" s="250">
        <v>13736</v>
      </c>
      <c r="B4882" s="74" t="s">
        <v>641</v>
      </c>
      <c r="C4882" s="74" t="s">
        <v>443</v>
      </c>
    </row>
    <row r="4883" spans="1:3">
      <c r="A4883" s="250">
        <v>13737</v>
      </c>
      <c r="B4883" s="74" t="s">
        <v>3594</v>
      </c>
      <c r="C4883" s="74" t="s">
        <v>443</v>
      </c>
    </row>
    <row r="4884" spans="1:3">
      <c r="A4884" s="250">
        <v>13738</v>
      </c>
      <c r="B4884" s="74" t="s">
        <v>3595</v>
      </c>
      <c r="C4884" s="74" t="s">
        <v>443</v>
      </c>
    </row>
    <row r="4885" spans="1:3">
      <c r="A4885" s="250">
        <v>13739</v>
      </c>
      <c r="B4885" s="74" t="s">
        <v>3596</v>
      </c>
      <c r="C4885" s="74" t="s">
        <v>443</v>
      </c>
    </row>
    <row r="4886" spans="1:3">
      <c r="A4886" s="250">
        <v>13740</v>
      </c>
      <c r="B4886" s="74" t="s">
        <v>3597</v>
      </c>
      <c r="C4886" s="74" t="s">
        <v>443</v>
      </c>
    </row>
    <row r="4887" spans="1:3">
      <c r="A4887" s="250">
        <v>13743</v>
      </c>
      <c r="B4887" s="74" t="s">
        <v>3598</v>
      </c>
      <c r="C4887" s="74" t="s">
        <v>443</v>
      </c>
    </row>
    <row r="4888" spans="1:3">
      <c r="A4888" s="250">
        <v>13744</v>
      </c>
      <c r="B4888" s="74" t="s">
        <v>3599</v>
      </c>
      <c r="C4888" s="74" t="s">
        <v>443</v>
      </c>
    </row>
    <row r="4889" spans="1:3">
      <c r="A4889" s="250">
        <v>13745</v>
      </c>
      <c r="B4889" s="74" t="s">
        <v>3600</v>
      </c>
      <c r="C4889" s="74" t="s">
        <v>443</v>
      </c>
    </row>
    <row r="4890" spans="1:3">
      <c r="A4890" s="250">
        <v>13746</v>
      </c>
      <c r="B4890" s="74" t="s">
        <v>3601</v>
      </c>
      <c r="C4890" s="74" t="s">
        <v>443</v>
      </c>
    </row>
    <row r="4891" spans="1:3">
      <c r="A4891" s="250">
        <v>13747</v>
      </c>
      <c r="B4891" s="74" t="s">
        <v>3602</v>
      </c>
      <c r="C4891" s="74" t="s">
        <v>443</v>
      </c>
    </row>
    <row r="4892" spans="1:3">
      <c r="A4892" s="250">
        <v>13748</v>
      </c>
      <c r="B4892" s="74" t="s">
        <v>3603</v>
      </c>
      <c r="C4892" s="74" t="s">
        <v>443</v>
      </c>
    </row>
    <row r="4893" spans="1:3">
      <c r="A4893" s="250">
        <v>13749</v>
      </c>
      <c r="B4893" s="74" t="s">
        <v>3604</v>
      </c>
      <c r="C4893" s="74" t="s">
        <v>443</v>
      </c>
    </row>
    <row r="4894" spans="1:3">
      <c r="A4894" s="250">
        <v>13750</v>
      </c>
      <c r="B4894" s="74" t="s">
        <v>3605</v>
      </c>
      <c r="C4894" s="74" t="s">
        <v>443</v>
      </c>
    </row>
    <row r="4895" spans="1:3">
      <c r="A4895" s="250">
        <v>13751</v>
      </c>
      <c r="B4895" s="74" t="s">
        <v>3606</v>
      </c>
      <c r="C4895" s="74" t="s">
        <v>443</v>
      </c>
    </row>
    <row r="4896" spans="1:3">
      <c r="A4896" s="250">
        <v>13752</v>
      </c>
      <c r="B4896" s="74" t="s">
        <v>3607</v>
      </c>
      <c r="C4896" s="74" t="s">
        <v>443</v>
      </c>
    </row>
    <row r="4897" spans="1:3">
      <c r="A4897" s="250">
        <v>13753</v>
      </c>
      <c r="B4897" s="74" t="s">
        <v>3608</v>
      </c>
      <c r="C4897" s="74" t="s">
        <v>443</v>
      </c>
    </row>
    <row r="4898" spans="1:3">
      <c r="A4898" s="250">
        <v>13754</v>
      </c>
      <c r="B4898" s="74" t="s">
        <v>3609</v>
      </c>
      <c r="C4898" s="74" t="s">
        <v>443</v>
      </c>
    </row>
    <row r="4899" spans="1:3">
      <c r="A4899" s="250">
        <v>13755</v>
      </c>
      <c r="B4899" s="74" t="s">
        <v>3610</v>
      </c>
      <c r="C4899" s="74" t="s">
        <v>443</v>
      </c>
    </row>
    <row r="4900" spans="1:3">
      <c r="A4900" s="250">
        <v>13756</v>
      </c>
      <c r="B4900" s="74" t="s">
        <v>3611</v>
      </c>
      <c r="C4900" s="74" t="s">
        <v>443</v>
      </c>
    </row>
    <row r="4901" spans="1:3">
      <c r="A4901" s="250">
        <v>13757</v>
      </c>
      <c r="B4901" s="74" t="s">
        <v>3612</v>
      </c>
      <c r="C4901" s="74" t="s">
        <v>443</v>
      </c>
    </row>
    <row r="4902" spans="1:3">
      <c r="A4902" s="250">
        <v>13758</v>
      </c>
      <c r="B4902" s="74" t="s">
        <v>3613</v>
      </c>
      <c r="C4902" s="74" t="s">
        <v>443</v>
      </c>
    </row>
    <row r="4903" spans="1:3">
      <c r="A4903" s="250">
        <v>13760</v>
      </c>
      <c r="B4903" s="74" t="s">
        <v>3614</v>
      </c>
      <c r="C4903" s="74" t="s">
        <v>443</v>
      </c>
    </row>
    <row r="4904" spans="1:3">
      <c r="A4904" s="250">
        <v>13761</v>
      </c>
      <c r="B4904" s="74" t="s">
        <v>3614</v>
      </c>
      <c r="C4904" s="74" t="s">
        <v>443</v>
      </c>
    </row>
    <row r="4905" spans="1:3">
      <c r="A4905" s="250">
        <v>13762</v>
      </c>
      <c r="B4905" s="74" t="s">
        <v>3615</v>
      </c>
      <c r="C4905" s="74" t="s">
        <v>443</v>
      </c>
    </row>
    <row r="4906" spans="1:3">
      <c r="A4906" s="250">
        <v>13763</v>
      </c>
      <c r="B4906" s="74" t="s">
        <v>3614</v>
      </c>
      <c r="C4906" s="74" t="s">
        <v>443</v>
      </c>
    </row>
    <row r="4907" spans="1:3">
      <c r="A4907" s="250">
        <v>13774</v>
      </c>
      <c r="B4907" s="74" t="s">
        <v>3616</v>
      </c>
      <c r="C4907" s="74" t="s">
        <v>443</v>
      </c>
    </row>
    <row r="4908" spans="1:3">
      <c r="A4908" s="250">
        <v>13775</v>
      </c>
      <c r="B4908" s="74" t="s">
        <v>873</v>
      </c>
      <c r="C4908" s="74" t="s">
        <v>443</v>
      </c>
    </row>
    <row r="4909" spans="1:3">
      <c r="A4909" s="250">
        <v>13776</v>
      </c>
      <c r="B4909" s="74" t="s">
        <v>3617</v>
      </c>
      <c r="C4909" s="74" t="s">
        <v>443</v>
      </c>
    </row>
    <row r="4910" spans="1:3">
      <c r="A4910" s="250">
        <v>13777</v>
      </c>
      <c r="B4910" s="74" t="s">
        <v>3618</v>
      </c>
      <c r="C4910" s="74" t="s">
        <v>443</v>
      </c>
    </row>
    <row r="4911" spans="1:3">
      <c r="A4911" s="250">
        <v>13778</v>
      </c>
      <c r="B4911" s="74" t="s">
        <v>1107</v>
      </c>
      <c r="C4911" s="74" t="s">
        <v>443</v>
      </c>
    </row>
    <row r="4912" spans="1:3">
      <c r="A4912" s="250">
        <v>13780</v>
      </c>
      <c r="B4912" s="74" t="s">
        <v>1507</v>
      </c>
      <c r="C4912" s="74" t="s">
        <v>443</v>
      </c>
    </row>
    <row r="4913" spans="1:3">
      <c r="A4913" s="250">
        <v>13782</v>
      </c>
      <c r="B4913" s="74" t="s">
        <v>2073</v>
      </c>
      <c r="C4913" s="74" t="s">
        <v>443</v>
      </c>
    </row>
    <row r="4914" spans="1:3">
      <c r="A4914" s="250">
        <v>13783</v>
      </c>
      <c r="B4914" s="74" t="s">
        <v>1235</v>
      </c>
      <c r="C4914" s="74" t="s">
        <v>443</v>
      </c>
    </row>
    <row r="4915" spans="1:3">
      <c r="A4915" s="250">
        <v>13784</v>
      </c>
      <c r="B4915" s="74" t="s">
        <v>3619</v>
      </c>
      <c r="C4915" s="74" t="s">
        <v>443</v>
      </c>
    </row>
    <row r="4916" spans="1:3">
      <c r="A4916" s="250">
        <v>13786</v>
      </c>
      <c r="B4916" s="74" t="s">
        <v>3620</v>
      </c>
      <c r="C4916" s="74" t="s">
        <v>443</v>
      </c>
    </row>
    <row r="4917" spans="1:3">
      <c r="A4917" s="250">
        <v>13787</v>
      </c>
      <c r="B4917" s="74" t="s">
        <v>3621</v>
      </c>
      <c r="C4917" s="74" t="s">
        <v>443</v>
      </c>
    </row>
    <row r="4918" spans="1:3">
      <c r="A4918" s="250">
        <v>13788</v>
      </c>
      <c r="B4918" s="74" t="s">
        <v>3622</v>
      </c>
      <c r="C4918" s="74" t="s">
        <v>443</v>
      </c>
    </row>
    <row r="4919" spans="1:3">
      <c r="A4919" s="250">
        <v>13790</v>
      </c>
      <c r="B4919" s="74" t="s">
        <v>3623</v>
      </c>
      <c r="C4919" s="74" t="s">
        <v>443</v>
      </c>
    </row>
    <row r="4920" spans="1:3">
      <c r="A4920" s="250">
        <v>13794</v>
      </c>
      <c r="B4920" s="74" t="s">
        <v>3624</v>
      </c>
      <c r="C4920" s="74" t="s">
        <v>443</v>
      </c>
    </row>
    <row r="4921" spans="1:3">
      <c r="A4921" s="250">
        <v>13795</v>
      </c>
      <c r="B4921" s="74" t="s">
        <v>3625</v>
      </c>
      <c r="C4921" s="74" t="s">
        <v>443</v>
      </c>
    </row>
    <row r="4922" spans="1:3">
      <c r="A4922" s="250">
        <v>13796</v>
      </c>
      <c r="B4922" s="74" t="s">
        <v>3626</v>
      </c>
      <c r="C4922" s="74" t="s">
        <v>443</v>
      </c>
    </row>
    <row r="4923" spans="1:3">
      <c r="A4923" s="250">
        <v>13797</v>
      </c>
      <c r="B4923" s="74" t="s">
        <v>3627</v>
      </c>
      <c r="C4923" s="74" t="s">
        <v>443</v>
      </c>
    </row>
    <row r="4924" spans="1:3">
      <c r="A4924" s="250">
        <v>13801</v>
      </c>
      <c r="B4924" s="74" t="s">
        <v>3628</v>
      </c>
      <c r="C4924" s="74" t="s">
        <v>443</v>
      </c>
    </row>
    <row r="4925" spans="1:3">
      <c r="A4925" s="250">
        <v>13802</v>
      </c>
      <c r="B4925" s="74" t="s">
        <v>3629</v>
      </c>
      <c r="C4925" s="74" t="s">
        <v>443</v>
      </c>
    </row>
    <row r="4926" spans="1:3">
      <c r="A4926" s="250">
        <v>13803</v>
      </c>
      <c r="B4926" s="74" t="s">
        <v>3630</v>
      </c>
      <c r="C4926" s="74" t="s">
        <v>443</v>
      </c>
    </row>
    <row r="4927" spans="1:3">
      <c r="A4927" s="250">
        <v>13804</v>
      </c>
      <c r="B4927" s="74" t="s">
        <v>3631</v>
      </c>
      <c r="C4927" s="74" t="s">
        <v>443</v>
      </c>
    </row>
    <row r="4928" spans="1:3">
      <c r="A4928" s="250">
        <v>13806</v>
      </c>
      <c r="B4928" s="74" t="s">
        <v>3632</v>
      </c>
      <c r="C4928" s="74" t="s">
        <v>443</v>
      </c>
    </row>
    <row r="4929" spans="1:3">
      <c r="A4929" s="250">
        <v>13807</v>
      </c>
      <c r="B4929" s="74" t="s">
        <v>796</v>
      </c>
      <c r="C4929" s="74" t="s">
        <v>443</v>
      </c>
    </row>
    <row r="4930" spans="1:3">
      <c r="A4930" s="250">
        <v>13808</v>
      </c>
      <c r="B4930" s="74" t="s">
        <v>2086</v>
      </c>
      <c r="C4930" s="74" t="s">
        <v>443</v>
      </c>
    </row>
    <row r="4931" spans="1:3">
      <c r="A4931" s="250">
        <v>13809</v>
      </c>
      <c r="B4931" s="74" t="s">
        <v>3633</v>
      </c>
      <c r="C4931" s="74" t="s">
        <v>443</v>
      </c>
    </row>
    <row r="4932" spans="1:3">
      <c r="A4932" s="250">
        <v>13810</v>
      </c>
      <c r="B4932" s="74" t="s">
        <v>3634</v>
      </c>
      <c r="C4932" s="74" t="s">
        <v>443</v>
      </c>
    </row>
    <row r="4933" spans="1:3">
      <c r="A4933" s="250">
        <v>13811</v>
      </c>
      <c r="B4933" s="74" t="s">
        <v>3635</v>
      </c>
      <c r="C4933" s="74" t="s">
        <v>443</v>
      </c>
    </row>
    <row r="4934" spans="1:3">
      <c r="A4934" s="250">
        <v>13812</v>
      </c>
      <c r="B4934" s="74" t="s">
        <v>3636</v>
      </c>
      <c r="C4934" s="74" t="s">
        <v>443</v>
      </c>
    </row>
    <row r="4935" spans="1:3">
      <c r="A4935" s="250">
        <v>13813</v>
      </c>
      <c r="B4935" s="74" t="s">
        <v>3637</v>
      </c>
      <c r="C4935" s="74" t="s">
        <v>443</v>
      </c>
    </row>
    <row r="4936" spans="1:3">
      <c r="A4936" s="250">
        <v>13814</v>
      </c>
      <c r="B4936" s="74" t="s">
        <v>3638</v>
      </c>
      <c r="C4936" s="74" t="s">
        <v>443</v>
      </c>
    </row>
    <row r="4937" spans="1:3">
      <c r="A4937" s="250">
        <v>13815</v>
      </c>
      <c r="B4937" s="74" t="s">
        <v>1743</v>
      </c>
      <c r="C4937" s="74" t="s">
        <v>443</v>
      </c>
    </row>
    <row r="4938" spans="1:3">
      <c r="A4938" s="250">
        <v>13820</v>
      </c>
      <c r="B4938" s="74" t="s">
        <v>3639</v>
      </c>
      <c r="C4938" s="74" t="s">
        <v>443</v>
      </c>
    </row>
    <row r="4939" spans="1:3">
      <c r="A4939" s="250">
        <v>13825</v>
      </c>
      <c r="B4939" s="74" t="s">
        <v>3640</v>
      </c>
      <c r="C4939" s="74" t="s">
        <v>443</v>
      </c>
    </row>
    <row r="4940" spans="1:3">
      <c r="A4940" s="250">
        <v>13826</v>
      </c>
      <c r="B4940" s="74" t="s">
        <v>3641</v>
      </c>
      <c r="C4940" s="74" t="s">
        <v>443</v>
      </c>
    </row>
    <row r="4941" spans="1:3">
      <c r="A4941" s="250">
        <v>13827</v>
      </c>
      <c r="B4941" s="74" t="s">
        <v>3642</v>
      </c>
      <c r="C4941" s="74" t="s">
        <v>443</v>
      </c>
    </row>
    <row r="4942" spans="1:3">
      <c r="A4942" s="250">
        <v>13830</v>
      </c>
      <c r="B4942" s="74" t="s">
        <v>754</v>
      </c>
      <c r="C4942" s="74" t="s">
        <v>443</v>
      </c>
    </row>
    <row r="4943" spans="1:3">
      <c r="A4943" s="250">
        <v>13832</v>
      </c>
      <c r="B4943" s="74" t="s">
        <v>956</v>
      </c>
      <c r="C4943" s="74" t="s">
        <v>443</v>
      </c>
    </row>
    <row r="4944" spans="1:3">
      <c r="A4944" s="250">
        <v>13833</v>
      </c>
      <c r="B4944" s="74" t="s">
        <v>3643</v>
      </c>
      <c r="C4944" s="74" t="s">
        <v>443</v>
      </c>
    </row>
    <row r="4945" spans="1:3">
      <c r="A4945" s="250">
        <v>13834</v>
      </c>
      <c r="B4945" s="74" t="s">
        <v>3644</v>
      </c>
      <c r="C4945" s="74" t="s">
        <v>443</v>
      </c>
    </row>
    <row r="4946" spans="1:3">
      <c r="A4946" s="250">
        <v>13835</v>
      </c>
      <c r="B4946" s="74" t="s">
        <v>1826</v>
      </c>
      <c r="C4946" s="74" t="s">
        <v>443</v>
      </c>
    </row>
    <row r="4947" spans="1:3">
      <c r="A4947" s="250">
        <v>13837</v>
      </c>
      <c r="B4947" s="74" t="s">
        <v>3645</v>
      </c>
      <c r="C4947" s="74" t="s">
        <v>443</v>
      </c>
    </row>
    <row r="4948" spans="1:3">
      <c r="A4948" s="250">
        <v>13838</v>
      </c>
      <c r="B4948" s="74" t="s">
        <v>3646</v>
      </c>
      <c r="C4948" s="74" t="s">
        <v>443</v>
      </c>
    </row>
    <row r="4949" spans="1:3">
      <c r="A4949" s="250">
        <v>13839</v>
      </c>
      <c r="B4949" s="74" t="s">
        <v>3647</v>
      </c>
      <c r="C4949" s="74" t="s">
        <v>443</v>
      </c>
    </row>
    <row r="4950" spans="1:3">
      <c r="A4950" s="250">
        <v>13840</v>
      </c>
      <c r="B4950" s="74" t="s">
        <v>3648</v>
      </c>
      <c r="C4950" s="74" t="s">
        <v>443</v>
      </c>
    </row>
    <row r="4951" spans="1:3">
      <c r="A4951" s="250">
        <v>13841</v>
      </c>
      <c r="B4951" s="74" t="s">
        <v>3649</v>
      </c>
      <c r="C4951" s="74" t="s">
        <v>443</v>
      </c>
    </row>
    <row r="4952" spans="1:3">
      <c r="A4952" s="250">
        <v>13842</v>
      </c>
      <c r="B4952" s="74" t="s">
        <v>3650</v>
      </c>
      <c r="C4952" s="74" t="s">
        <v>443</v>
      </c>
    </row>
    <row r="4953" spans="1:3">
      <c r="A4953" s="250">
        <v>13843</v>
      </c>
      <c r="B4953" s="74" t="s">
        <v>3651</v>
      </c>
      <c r="C4953" s="74" t="s">
        <v>443</v>
      </c>
    </row>
    <row r="4954" spans="1:3">
      <c r="A4954" s="250">
        <v>13844</v>
      </c>
      <c r="B4954" s="74" t="s">
        <v>3652</v>
      </c>
      <c r="C4954" s="74" t="s">
        <v>443</v>
      </c>
    </row>
    <row r="4955" spans="1:3">
      <c r="A4955" s="250">
        <v>13845</v>
      </c>
      <c r="B4955" s="74" t="s">
        <v>3653</v>
      </c>
      <c r="C4955" s="74" t="s">
        <v>443</v>
      </c>
    </row>
    <row r="4956" spans="1:3">
      <c r="A4956" s="250">
        <v>13846</v>
      </c>
      <c r="B4956" s="74" t="s">
        <v>3654</v>
      </c>
      <c r="C4956" s="74" t="s">
        <v>443</v>
      </c>
    </row>
    <row r="4957" spans="1:3">
      <c r="A4957" s="250">
        <v>13847</v>
      </c>
      <c r="B4957" s="74" t="s">
        <v>3655</v>
      </c>
      <c r="C4957" s="74" t="s">
        <v>443</v>
      </c>
    </row>
    <row r="4958" spans="1:3">
      <c r="A4958" s="250">
        <v>13848</v>
      </c>
      <c r="B4958" s="74" t="s">
        <v>3656</v>
      </c>
      <c r="C4958" s="74" t="s">
        <v>443</v>
      </c>
    </row>
    <row r="4959" spans="1:3">
      <c r="A4959" s="250">
        <v>13849</v>
      </c>
      <c r="B4959" s="74" t="s">
        <v>3657</v>
      </c>
      <c r="C4959" s="74" t="s">
        <v>443</v>
      </c>
    </row>
    <row r="4960" spans="1:3">
      <c r="A4960" s="250">
        <v>13850</v>
      </c>
      <c r="B4960" s="74" t="s">
        <v>3658</v>
      </c>
      <c r="C4960" s="74" t="s">
        <v>443</v>
      </c>
    </row>
    <row r="4961" spans="1:3">
      <c r="A4961" s="250">
        <v>13851</v>
      </c>
      <c r="B4961" s="74" t="s">
        <v>3658</v>
      </c>
      <c r="C4961" s="74" t="s">
        <v>443</v>
      </c>
    </row>
    <row r="4962" spans="1:3">
      <c r="A4962" s="250">
        <v>13856</v>
      </c>
      <c r="B4962" s="74" t="s">
        <v>3659</v>
      </c>
      <c r="C4962" s="74" t="s">
        <v>443</v>
      </c>
    </row>
    <row r="4963" spans="1:3">
      <c r="A4963" s="250">
        <v>13859</v>
      </c>
      <c r="B4963" s="74" t="s">
        <v>3660</v>
      </c>
      <c r="C4963" s="74" t="s">
        <v>443</v>
      </c>
    </row>
    <row r="4964" spans="1:3">
      <c r="A4964" s="250">
        <v>13860</v>
      </c>
      <c r="B4964" s="74" t="s">
        <v>3661</v>
      </c>
      <c r="C4964" s="74" t="s">
        <v>443</v>
      </c>
    </row>
    <row r="4965" spans="1:3">
      <c r="A4965" s="250">
        <v>13861</v>
      </c>
      <c r="B4965" s="74" t="s">
        <v>3662</v>
      </c>
      <c r="C4965" s="74" t="s">
        <v>443</v>
      </c>
    </row>
    <row r="4966" spans="1:3">
      <c r="A4966" s="250">
        <v>13862</v>
      </c>
      <c r="B4966" s="74" t="s">
        <v>3663</v>
      </c>
      <c r="C4966" s="74" t="s">
        <v>443</v>
      </c>
    </row>
    <row r="4967" spans="1:3">
      <c r="A4967" s="250">
        <v>13863</v>
      </c>
      <c r="B4967" s="74" t="s">
        <v>3664</v>
      </c>
      <c r="C4967" s="74" t="s">
        <v>443</v>
      </c>
    </row>
    <row r="4968" spans="1:3">
      <c r="A4968" s="250">
        <v>13864</v>
      </c>
      <c r="B4968" s="74" t="s">
        <v>3665</v>
      </c>
      <c r="C4968" s="74" t="s">
        <v>443</v>
      </c>
    </row>
    <row r="4969" spans="1:3">
      <c r="A4969" s="250">
        <v>13865</v>
      </c>
      <c r="B4969" s="74" t="s">
        <v>669</v>
      </c>
      <c r="C4969" s="74" t="s">
        <v>443</v>
      </c>
    </row>
    <row r="4970" spans="1:3">
      <c r="A4970" s="250">
        <v>13901</v>
      </c>
      <c r="B4970" s="74" t="s">
        <v>3666</v>
      </c>
      <c r="C4970" s="74" t="s">
        <v>443</v>
      </c>
    </row>
    <row r="4971" spans="1:3">
      <c r="A4971" s="250">
        <v>13902</v>
      </c>
      <c r="B4971" s="74" t="s">
        <v>3666</v>
      </c>
      <c r="C4971" s="74" t="s">
        <v>443</v>
      </c>
    </row>
    <row r="4972" spans="1:3">
      <c r="A4972" s="250">
        <v>13903</v>
      </c>
      <c r="B4972" s="74" t="s">
        <v>3666</v>
      </c>
      <c r="C4972" s="74" t="s">
        <v>443</v>
      </c>
    </row>
    <row r="4973" spans="1:3">
      <c r="A4973" s="250">
        <v>13904</v>
      </c>
      <c r="B4973" s="74" t="s">
        <v>3666</v>
      </c>
      <c r="C4973" s="74" t="s">
        <v>443</v>
      </c>
    </row>
    <row r="4974" spans="1:3">
      <c r="A4974" s="250">
        <v>13905</v>
      </c>
      <c r="B4974" s="74" t="s">
        <v>3666</v>
      </c>
      <c r="C4974" s="74" t="s">
        <v>443</v>
      </c>
    </row>
    <row r="4975" spans="1:3">
      <c r="A4975" s="250">
        <v>14001</v>
      </c>
      <c r="B4975" s="74" t="s">
        <v>3667</v>
      </c>
      <c r="C4975" s="74" t="s">
        <v>443</v>
      </c>
    </row>
    <row r="4976" spans="1:3">
      <c r="A4976" s="250">
        <v>14004</v>
      </c>
      <c r="B4976" s="74" t="s">
        <v>3668</v>
      </c>
      <c r="C4976" s="74" t="s">
        <v>443</v>
      </c>
    </row>
    <row r="4977" spans="1:3">
      <c r="A4977" s="250">
        <v>14005</v>
      </c>
      <c r="B4977" s="74" t="s">
        <v>3669</v>
      </c>
      <c r="C4977" s="74" t="s">
        <v>443</v>
      </c>
    </row>
    <row r="4978" spans="1:3">
      <c r="A4978" s="250">
        <v>14006</v>
      </c>
      <c r="B4978" s="74" t="s">
        <v>3670</v>
      </c>
      <c r="C4978" s="74" t="s">
        <v>443</v>
      </c>
    </row>
    <row r="4979" spans="1:3">
      <c r="A4979" s="250">
        <v>14008</v>
      </c>
      <c r="B4979" s="74" t="s">
        <v>3671</v>
      </c>
      <c r="C4979" s="74" t="s">
        <v>443</v>
      </c>
    </row>
    <row r="4980" spans="1:3">
      <c r="A4980" s="250">
        <v>14009</v>
      </c>
      <c r="B4980" s="74" t="s">
        <v>3672</v>
      </c>
      <c r="C4980" s="74" t="s">
        <v>443</v>
      </c>
    </row>
    <row r="4981" spans="1:3">
      <c r="A4981" s="250">
        <v>14010</v>
      </c>
      <c r="B4981" s="74" t="s">
        <v>3673</v>
      </c>
      <c r="C4981" s="74" t="s">
        <v>443</v>
      </c>
    </row>
    <row r="4982" spans="1:3">
      <c r="A4982" s="250">
        <v>14011</v>
      </c>
      <c r="B4982" s="74" t="s">
        <v>3674</v>
      </c>
      <c r="C4982" s="74" t="s">
        <v>443</v>
      </c>
    </row>
    <row r="4983" spans="1:3">
      <c r="A4983" s="250">
        <v>14012</v>
      </c>
      <c r="B4983" s="74" t="s">
        <v>3675</v>
      </c>
      <c r="C4983" s="74" t="s">
        <v>443</v>
      </c>
    </row>
    <row r="4984" spans="1:3">
      <c r="A4984" s="250">
        <v>14013</v>
      </c>
      <c r="B4984" s="74" t="s">
        <v>3676</v>
      </c>
      <c r="C4984" s="74" t="s">
        <v>443</v>
      </c>
    </row>
    <row r="4985" spans="1:3">
      <c r="A4985" s="250">
        <v>14020</v>
      </c>
      <c r="B4985" s="74" t="s">
        <v>3677</v>
      </c>
      <c r="C4985" s="74" t="s">
        <v>443</v>
      </c>
    </row>
    <row r="4986" spans="1:3">
      <c r="A4986" s="250">
        <v>14021</v>
      </c>
      <c r="B4986" s="74" t="s">
        <v>3677</v>
      </c>
      <c r="C4986" s="74" t="s">
        <v>443</v>
      </c>
    </row>
    <row r="4987" spans="1:3">
      <c r="A4987" s="250">
        <v>14024</v>
      </c>
      <c r="B4987" s="74" t="s">
        <v>3678</v>
      </c>
      <c r="C4987" s="74" t="s">
        <v>443</v>
      </c>
    </row>
    <row r="4988" spans="1:3">
      <c r="A4988" s="250">
        <v>14025</v>
      </c>
      <c r="B4988" s="74" t="s">
        <v>900</v>
      </c>
      <c r="C4988" s="74" t="s">
        <v>443</v>
      </c>
    </row>
    <row r="4989" spans="1:3">
      <c r="A4989" s="250">
        <v>14026</v>
      </c>
      <c r="B4989" s="74" t="s">
        <v>3679</v>
      </c>
      <c r="C4989" s="74" t="s">
        <v>443</v>
      </c>
    </row>
    <row r="4990" spans="1:3">
      <c r="A4990" s="250">
        <v>14027</v>
      </c>
      <c r="B4990" s="74" t="s">
        <v>3680</v>
      </c>
      <c r="C4990" s="74" t="s">
        <v>443</v>
      </c>
    </row>
    <row r="4991" spans="1:3">
      <c r="A4991" s="250">
        <v>14028</v>
      </c>
      <c r="B4991" s="74" t="s">
        <v>3681</v>
      </c>
      <c r="C4991" s="74" t="s">
        <v>443</v>
      </c>
    </row>
    <row r="4992" spans="1:3">
      <c r="A4992" s="250">
        <v>14029</v>
      </c>
      <c r="B4992" s="74" t="s">
        <v>1024</v>
      </c>
      <c r="C4992" s="74" t="s">
        <v>443</v>
      </c>
    </row>
    <row r="4993" spans="1:3">
      <c r="A4993" s="250">
        <v>14030</v>
      </c>
      <c r="B4993" s="74" t="s">
        <v>3682</v>
      </c>
      <c r="C4993" s="74" t="s">
        <v>443</v>
      </c>
    </row>
    <row r="4994" spans="1:3">
      <c r="A4994" s="250">
        <v>14031</v>
      </c>
      <c r="B4994" s="74" t="s">
        <v>3683</v>
      </c>
      <c r="C4994" s="74" t="s">
        <v>443</v>
      </c>
    </row>
    <row r="4995" spans="1:3">
      <c r="A4995" s="250">
        <v>14032</v>
      </c>
      <c r="B4995" s="74" t="s">
        <v>3684</v>
      </c>
      <c r="C4995" s="74" t="s">
        <v>443</v>
      </c>
    </row>
    <row r="4996" spans="1:3">
      <c r="A4996" s="250">
        <v>14033</v>
      </c>
      <c r="B4996" s="74" t="s">
        <v>3685</v>
      </c>
      <c r="C4996" s="74" t="s">
        <v>443</v>
      </c>
    </row>
    <row r="4997" spans="1:3">
      <c r="A4997" s="250">
        <v>14034</v>
      </c>
      <c r="B4997" s="74" t="s">
        <v>3686</v>
      </c>
      <c r="C4997" s="74" t="s">
        <v>443</v>
      </c>
    </row>
    <row r="4998" spans="1:3">
      <c r="A4998" s="250">
        <v>14035</v>
      </c>
      <c r="B4998" s="74" t="s">
        <v>3687</v>
      </c>
      <c r="C4998" s="74" t="s">
        <v>443</v>
      </c>
    </row>
    <row r="4999" spans="1:3">
      <c r="A4999" s="250">
        <v>14036</v>
      </c>
      <c r="B4999" s="74" t="s">
        <v>3688</v>
      </c>
      <c r="C4999" s="74" t="s">
        <v>443</v>
      </c>
    </row>
    <row r="5000" spans="1:3">
      <c r="A5000" s="250">
        <v>14037</v>
      </c>
      <c r="B5000" s="74" t="s">
        <v>3689</v>
      </c>
      <c r="C5000" s="74" t="s">
        <v>443</v>
      </c>
    </row>
    <row r="5001" spans="1:3">
      <c r="A5001" s="250">
        <v>14038</v>
      </c>
      <c r="B5001" s="74" t="s">
        <v>3690</v>
      </c>
      <c r="C5001" s="74" t="s">
        <v>443</v>
      </c>
    </row>
    <row r="5002" spans="1:3">
      <c r="A5002" s="250">
        <v>14039</v>
      </c>
      <c r="B5002" s="74" t="s">
        <v>3691</v>
      </c>
      <c r="C5002" s="74" t="s">
        <v>443</v>
      </c>
    </row>
    <row r="5003" spans="1:3">
      <c r="A5003" s="250">
        <v>14040</v>
      </c>
      <c r="B5003" s="74" t="s">
        <v>3692</v>
      </c>
      <c r="C5003" s="74" t="s">
        <v>443</v>
      </c>
    </row>
    <row r="5004" spans="1:3">
      <c r="A5004" s="250">
        <v>14041</v>
      </c>
      <c r="B5004" s="74" t="s">
        <v>2564</v>
      </c>
      <c r="C5004" s="74" t="s">
        <v>443</v>
      </c>
    </row>
    <row r="5005" spans="1:3">
      <c r="A5005" s="250">
        <v>14042</v>
      </c>
      <c r="B5005" s="74" t="s">
        <v>3693</v>
      </c>
      <c r="C5005" s="74" t="s">
        <v>443</v>
      </c>
    </row>
    <row r="5006" spans="1:3">
      <c r="A5006" s="250">
        <v>14043</v>
      </c>
      <c r="B5006" s="74" t="s">
        <v>3694</v>
      </c>
      <c r="C5006" s="74" t="s">
        <v>443</v>
      </c>
    </row>
    <row r="5007" spans="1:3">
      <c r="A5007" s="250">
        <v>14047</v>
      </c>
      <c r="B5007" s="74" t="s">
        <v>1902</v>
      </c>
      <c r="C5007" s="74" t="s">
        <v>443</v>
      </c>
    </row>
    <row r="5008" spans="1:3">
      <c r="A5008" s="250">
        <v>14048</v>
      </c>
      <c r="B5008" s="74" t="s">
        <v>3695</v>
      </c>
      <c r="C5008" s="74" t="s">
        <v>443</v>
      </c>
    </row>
    <row r="5009" spans="1:3">
      <c r="A5009" s="250">
        <v>14051</v>
      </c>
      <c r="B5009" s="74" t="s">
        <v>3696</v>
      </c>
      <c r="C5009" s="74" t="s">
        <v>443</v>
      </c>
    </row>
    <row r="5010" spans="1:3">
      <c r="A5010" s="250">
        <v>14052</v>
      </c>
      <c r="B5010" s="74" t="s">
        <v>3697</v>
      </c>
      <c r="C5010" s="74" t="s">
        <v>443</v>
      </c>
    </row>
    <row r="5011" spans="1:3">
      <c r="A5011" s="250">
        <v>14054</v>
      </c>
      <c r="B5011" s="74" t="s">
        <v>3698</v>
      </c>
      <c r="C5011" s="74" t="s">
        <v>443</v>
      </c>
    </row>
    <row r="5012" spans="1:3">
      <c r="A5012" s="250">
        <v>14055</v>
      </c>
      <c r="B5012" s="74" t="s">
        <v>3699</v>
      </c>
      <c r="C5012" s="74" t="s">
        <v>443</v>
      </c>
    </row>
    <row r="5013" spans="1:3">
      <c r="A5013" s="250">
        <v>14056</v>
      </c>
      <c r="B5013" s="74" t="s">
        <v>3700</v>
      </c>
      <c r="C5013" s="74" t="s">
        <v>443</v>
      </c>
    </row>
    <row r="5014" spans="1:3">
      <c r="A5014" s="250">
        <v>14057</v>
      </c>
      <c r="B5014" s="74" t="s">
        <v>1844</v>
      </c>
      <c r="C5014" s="74" t="s">
        <v>443</v>
      </c>
    </row>
    <row r="5015" spans="1:3">
      <c r="A5015" s="250">
        <v>14058</v>
      </c>
      <c r="B5015" s="74" t="s">
        <v>3701</v>
      </c>
      <c r="C5015" s="74" t="s">
        <v>443</v>
      </c>
    </row>
    <row r="5016" spans="1:3">
      <c r="A5016" s="250">
        <v>14059</v>
      </c>
      <c r="B5016" s="74" t="s">
        <v>3702</v>
      </c>
      <c r="C5016" s="74" t="s">
        <v>443</v>
      </c>
    </row>
    <row r="5017" spans="1:3">
      <c r="A5017" s="250">
        <v>14060</v>
      </c>
      <c r="B5017" s="74" t="s">
        <v>3703</v>
      </c>
      <c r="C5017" s="74" t="s">
        <v>443</v>
      </c>
    </row>
    <row r="5018" spans="1:3">
      <c r="A5018" s="250">
        <v>14061</v>
      </c>
      <c r="B5018" s="74" t="s">
        <v>3704</v>
      </c>
      <c r="C5018" s="74" t="s">
        <v>443</v>
      </c>
    </row>
    <row r="5019" spans="1:3">
      <c r="A5019" s="250">
        <v>14062</v>
      </c>
      <c r="B5019" s="74" t="s">
        <v>3705</v>
      </c>
      <c r="C5019" s="74" t="s">
        <v>443</v>
      </c>
    </row>
    <row r="5020" spans="1:3">
      <c r="A5020" s="250">
        <v>14063</v>
      </c>
      <c r="B5020" s="74" t="s">
        <v>3706</v>
      </c>
      <c r="C5020" s="74" t="s">
        <v>443</v>
      </c>
    </row>
    <row r="5021" spans="1:3">
      <c r="A5021" s="250">
        <v>14065</v>
      </c>
      <c r="B5021" s="74" t="s">
        <v>1310</v>
      </c>
      <c r="C5021" s="74" t="s">
        <v>443</v>
      </c>
    </row>
    <row r="5022" spans="1:3">
      <c r="A5022" s="250">
        <v>14066</v>
      </c>
      <c r="B5022" s="74" t="s">
        <v>3707</v>
      </c>
      <c r="C5022" s="74" t="s">
        <v>443</v>
      </c>
    </row>
    <row r="5023" spans="1:3">
      <c r="A5023" s="250">
        <v>14067</v>
      </c>
      <c r="B5023" s="74" t="s">
        <v>3708</v>
      </c>
      <c r="C5023" s="74" t="s">
        <v>443</v>
      </c>
    </row>
    <row r="5024" spans="1:3">
      <c r="A5024" s="250">
        <v>14068</v>
      </c>
      <c r="B5024" s="74" t="s">
        <v>3709</v>
      </c>
      <c r="C5024" s="74" t="s">
        <v>443</v>
      </c>
    </row>
    <row r="5025" spans="1:3">
      <c r="A5025" s="250">
        <v>14069</v>
      </c>
      <c r="B5025" s="74" t="s">
        <v>2187</v>
      </c>
      <c r="C5025" s="74" t="s">
        <v>443</v>
      </c>
    </row>
    <row r="5026" spans="1:3">
      <c r="A5026" s="250">
        <v>14070</v>
      </c>
      <c r="B5026" s="74" t="s">
        <v>3710</v>
      </c>
      <c r="C5026" s="74" t="s">
        <v>443</v>
      </c>
    </row>
    <row r="5027" spans="1:3">
      <c r="A5027" s="250">
        <v>14072</v>
      </c>
      <c r="B5027" s="74" t="s">
        <v>3711</v>
      </c>
      <c r="C5027" s="74" t="s">
        <v>443</v>
      </c>
    </row>
    <row r="5028" spans="1:3">
      <c r="A5028" s="250">
        <v>14075</v>
      </c>
      <c r="B5028" s="74" t="s">
        <v>2188</v>
      </c>
      <c r="C5028" s="74" t="s">
        <v>443</v>
      </c>
    </row>
    <row r="5029" spans="1:3">
      <c r="A5029" s="250">
        <v>14080</v>
      </c>
      <c r="B5029" s="74" t="s">
        <v>739</v>
      </c>
      <c r="C5029" s="74" t="s">
        <v>443</v>
      </c>
    </row>
    <row r="5030" spans="1:3">
      <c r="A5030" s="250">
        <v>14081</v>
      </c>
      <c r="B5030" s="74" t="s">
        <v>3712</v>
      </c>
      <c r="C5030" s="74" t="s">
        <v>443</v>
      </c>
    </row>
    <row r="5031" spans="1:3">
      <c r="A5031" s="250">
        <v>14082</v>
      </c>
      <c r="B5031" s="74" t="s">
        <v>3713</v>
      </c>
      <c r="C5031" s="74" t="s">
        <v>443</v>
      </c>
    </row>
    <row r="5032" spans="1:3">
      <c r="A5032" s="250">
        <v>14083</v>
      </c>
      <c r="B5032" s="74" t="s">
        <v>3714</v>
      </c>
      <c r="C5032" s="74" t="s">
        <v>443</v>
      </c>
    </row>
    <row r="5033" spans="1:3">
      <c r="A5033" s="250">
        <v>14085</v>
      </c>
      <c r="B5033" s="74" t="s">
        <v>3715</v>
      </c>
      <c r="C5033" s="74" t="s">
        <v>443</v>
      </c>
    </row>
    <row r="5034" spans="1:3">
      <c r="A5034" s="250">
        <v>14086</v>
      </c>
      <c r="B5034" s="74" t="s">
        <v>741</v>
      </c>
      <c r="C5034" s="74" t="s">
        <v>443</v>
      </c>
    </row>
    <row r="5035" spans="1:3">
      <c r="A5035" s="250">
        <v>14091</v>
      </c>
      <c r="B5035" s="74" t="s">
        <v>3716</v>
      </c>
      <c r="C5035" s="74" t="s">
        <v>443</v>
      </c>
    </row>
    <row r="5036" spans="1:3">
      <c r="A5036" s="250">
        <v>14092</v>
      </c>
      <c r="B5036" s="74" t="s">
        <v>1444</v>
      </c>
      <c r="C5036" s="74" t="s">
        <v>443</v>
      </c>
    </row>
    <row r="5037" spans="1:3">
      <c r="A5037" s="250">
        <v>14094</v>
      </c>
      <c r="B5037" s="74" t="s">
        <v>3717</v>
      </c>
      <c r="C5037" s="74" t="s">
        <v>443</v>
      </c>
    </row>
    <row r="5038" spans="1:3">
      <c r="A5038" s="250">
        <v>14095</v>
      </c>
      <c r="B5038" s="74" t="s">
        <v>3717</v>
      </c>
      <c r="C5038" s="74" t="s">
        <v>443</v>
      </c>
    </row>
    <row r="5039" spans="1:3">
      <c r="A5039" s="250">
        <v>14098</v>
      </c>
      <c r="B5039" s="74" t="s">
        <v>1917</v>
      </c>
      <c r="C5039" s="74" t="s">
        <v>443</v>
      </c>
    </row>
    <row r="5040" spans="1:3">
      <c r="A5040" s="250">
        <v>14101</v>
      </c>
      <c r="B5040" s="74" t="s">
        <v>1596</v>
      </c>
      <c r="C5040" s="74" t="s">
        <v>443</v>
      </c>
    </row>
    <row r="5041" spans="1:3">
      <c r="A5041" s="250">
        <v>14102</v>
      </c>
      <c r="B5041" s="74" t="s">
        <v>3718</v>
      </c>
      <c r="C5041" s="74" t="s">
        <v>443</v>
      </c>
    </row>
    <row r="5042" spans="1:3">
      <c r="A5042" s="250">
        <v>14103</v>
      </c>
      <c r="B5042" s="74" t="s">
        <v>3719</v>
      </c>
      <c r="C5042" s="74" t="s">
        <v>443</v>
      </c>
    </row>
    <row r="5043" spans="1:3">
      <c r="A5043" s="250">
        <v>14105</v>
      </c>
      <c r="B5043" s="74" t="s">
        <v>3720</v>
      </c>
      <c r="C5043" s="74" t="s">
        <v>443</v>
      </c>
    </row>
    <row r="5044" spans="1:3">
      <c r="A5044" s="250">
        <v>14107</v>
      </c>
      <c r="B5044" s="74" t="s">
        <v>3721</v>
      </c>
      <c r="C5044" s="74" t="s">
        <v>443</v>
      </c>
    </row>
    <row r="5045" spans="1:3">
      <c r="A5045" s="250">
        <v>14108</v>
      </c>
      <c r="B5045" s="74" t="s">
        <v>1785</v>
      </c>
      <c r="C5045" s="74" t="s">
        <v>443</v>
      </c>
    </row>
    <row r="5046" spans="1:3">
      <c r="A5046" s="250">
        <v>14109</v>
      </c>
      <c r="B5046" s="74" t="s">
        <v>3722</v>
      </c>
      <c r="C5046" s="74" t="s">
        <v>443</v>
      </c>
    </row>
    <row r="5047" spans="1:3">
      <c r="A5047" s="250">
        <v>14110</v>
      </c>
      <c r="B5047" s="74" t="s">
        <v>3723</v>
      </c>
      <c r="C5047" s="74" t="s">
        <v>443</v>
      </c>
    </row>
    <row r="5048" spans="1:3">
      <c r="A5048" s="250">
        <v>14111</v>
      </c>
      <c r="B5048" s="74" t="s">
        <v>3724</v>
      </c>
      <c r="C5048" s="74" t="s">
        <v>443</v>
      </c>
    </row>
    <row r="5049" spans="1:3">
      <c r="A5049" s="250">
        <v>14112</v>
      </c>
      <c r="B5049" s="74" t="s">
        <v>3725</v>
      </c>
      <c r="C5049" s="74" t="s">
        <v>443</v>
      </c>
    </row>
    <row r="5050" spans="1:3">
      <c r="A5050" s="250">
        <v>14113</v>
      </c>
      <c r="B5050" s="74" t="s">
        <v>3726</v>
      </c>
      <c r="C5050" s="74" t="s">
        <v>443</v>
      </c>
    </row>
    <row r="5051" spans="1:3">
      <c r="A5051" s="250">
        <v>14120</v>
      </c>
      <c r="B5051" s="74" t="s">
        <v>3727</v>
      </c>
      <c r="C5051" s="74" t="s">
        <v>443</v>
      </c>
    </row>
    <row r="5052" spans="1:3">
      <c r="A5052" s="250">
        <v>14125</v>
      </c>
      <c r="B5052" s="74" t="s">
        <v>1642</v>
      </c>
      <c r="C5052" s="74" t="s">
        <v>443</v>
      </c>
    </row>
    <row r="5053" spans="1:3">
      <c r="A5053" s="250">
        <v>14126</v>
      </c>
      <c r="B5053" s="74" t="s">
        <v>3728</v>
      </c>
      <c r="C5053" s="74" t="s">
        <v>443</v>
      </c>
    </row>
    <row r="5054" spans="1:3">
      <c r="A5054" s="250">
        <v>14127</v>
      </c>
      <c r="B5054" s="74" t="s">
        <v>3729</v>
      </c>
      <c r="C5054" s="74" t="s">
        <v>443</v>
      </c>
    </row>
    <row r="5055" spans="1:3">
      <c r="A5055" s="250">
        <v>14129</v>
      </c>
      <c r="B5055" s="74" t="s">
        <v>3730</v>
      </c>
      <c r="C5055" s="74" t="s">
        <v>443</v>
      </c>
    </row>
    <row r="5056" spans="1:3">
      <c r="A5056" s="250">
        <v>14130</v>
      </c>
      <c r="B5056" s="74" t="s">
        <v>1288</v>
      </c>
      <c r="C5056" s="74" t="s">
        <v>443</v>
      </c>
    </row>
    <row r="5057" spans="1:3">
      <c r="A5057" s="250">
        <v>14131</v>
      </c>
      <c r="B5057" s="74" t="s">
        <v>3731</v>
      </c>
      <c r="C5057" s="74" t="s">
        <v>443</v>
      </c>
    </row>
    <row r="5058" spans="1:3">
      <c r="A5058" s="250">
        <v>14132</v>
      </c>
      <c r="B5058" s="74" t="s">
        <v>3732</v>
      </c>
      <c r="C5058" s="74" t="s">
        <v>443</v>
      </c>
    </row>
    <row r="5059" spans="1:3">
      <c r="A5059" s="250">
        <v>14133</v>
      </c>
      <c r="B5059" s="74" t="s">
        <v>3733</v>
      </c>
      <c r="C5059" s="74" t="s">
        <v>443</v>
      </c>
    </row>
    <row r="5060" spans="1:3">
      <c r="A5060" s="250">
        <v>14134</v>
      </c>
      <c r="B5060" s="74" t="s">
        <v>3734</v>
      </c>
      <c r="C5060" s="74" t="s">
        <v>443</v>
      </c>
    </row>
    <row r="5061" spans="1:3">
      <c r="A5061" s="250">
        <v>14135</v>
      </c>
      <c r="B5061" s="74" t="s">
        <v>1651</v>
      </c>
      <c r="C5061" s="74" t="s">
        <v>443</v>
      </c>
    </row>
    <row r="5062" spans="1:3">
      <c r="A5062" s="250">
        <v>14136</v>
      </c>
      <c r="B5062" s="74" t="s">
        <v>3735</v>
      </c>
      <c r="C5062" s="74" t="s">
        <v>443</v>
      </c>
    </row>
    <row r="5063" spans="1:3">
      <c r="A5063" s="250">
        <v>14138</v>
      </c>
      <c r="B5063" s="74" t="s">
        <v>3736</v>
      </c>
      <c r="C5063" s="74" t="s">
        <v>443</v>
      </c>
    </row>
    <row r="5064" spans="1:3">
      <c r="A5064" s="250">
        <v>14139</v>
      </c>
      <c r="B5064" s="74" t="s">
        <v>3737</v>
      </c>
      <c r="C5064" s="74" t="s">
        <v>443</v>
      </c>
    </row>
    <row r="5065" spans="1:3">
      <c r="A5065" s="250">
        <v>14140</v>
      </c>
      <c r="B5065" s="74" t="s">
        <v>3738</v>
      </c>
      <c r="C5065" s="74" t="s">
        <v>443</v>
      </c>
    </row>
    <row r="5066" spans="1:3">
      <c r="A5066" s="250">
        <v>14141</v>
      </c>
      <c r="B5066" s="74" t="s">
        <v>3739</v>
      </c>
      <c r="C5066" s="74" t="s">
        <v>443</v>
      </c>
    </row>
    <row r="5067" spans="1:3">
      <c r="A5067" s="250">
        <v>14143</v>
      </c>
      <c r="B5067" s="74" t="s">
        <v>1961</v>
      </c>
      <c r="C5067" s="74" t="s">
        <v>443</v>
      </c>
    </row>
    <row r="5068" spans="1:3">
      <c r="A5068" s="250">
        <v>14144</v>
      </c>
      <c r="B5068" s="74" t="s">
        <v>3740</v>
      </c>
      <c r="C5068" s="74" t="s">
        <v>443</v>
      </c>
    </row>
    <row r="5069" spans="1:3">
      <c r="A5069" s="250">
        <v>14145</v>
      </c>
      <c r="B5069" s="74" t="s">
        <v>3741</v>
      </c>
      <c r="C5069" s="74" t="s">
        <v>443</v>
      </c>
    </row>
    <row r="5070" spans="1:3">
      <c r="A5070" s="250">
        <v>14150</v>
      </c>
      <c r="B5070" s="74" t="s">
        <v>3742</v>
      </c>
      <c r="C5070" s="74" t="s">
        <v>443</v>
      </c>
    </row>
    <row r="5071" spans="1:3">
      <c r="A5071" s="250">
        <v>14151</v>
      </c>
      <c r="B5071" s="74" t="s">
        <v>3742</v>
      </c>
      <c r="C5071" s="74" t="s">
        <v>443</v>
      </c>
    </row>
    <row r="5072" spans="1:3">
      <c r="A5072" s="250">
        <v>14166</v>
      </c>
      <c r="B5072" s="74" t="s">
        <v>3743</v>
      </c>
      <c r="C5072" s="74" t="s">
        <v>443</v>
      </c>
    </row>
    <row r="5073" spans="1:3">
      <c r="A5073" s="250">
        <v>14167</v>
      </c>
      <c r="B5073" s="74" t="s">
        <v>3744</v>
      </c>
      <c r="C5073" s="74" t="s">
        <v>443</v>
      </c>
    </row>
    <row r="5074" spans="1:3">
      <c r="A5074" s="250">
        <v>14168</v>
      </c>
      <c r="B5074" s="74" t="s">
        <v>2033</v>
      </c>
      <c r="C5074" s="74" t="s">
        <v>443</v>
      </c>
    </row>
    <row r="5075" spans="1:3">
      <c r="A5075" s="250">
        <v>14169</v>
      </c>
      <c r="B5075" s="74" t="s">
        <v>3745</v>
      </c>
      <c r="C5075" s="74" t="s">
        <v>443</v>
      </c>
    </row>
    <row r="5076" spans="1:3">
      <c r="A5076" s="250">
        <v>14170</v>
      </c>
      <c r="B5076" s="74" t="s">
        <v>3746</v>
      </c>
      <c r="C5076" s="74" t="s">
        <v>443</v>
      </c>
    </row>
    <row r="5077" spans="1:3">
      <c r="A5077" s="250">
        <v>14171</v>
      </c>
      <c r="B5077" s="74" t="s">
        <v>3747</v>
      </c>
      <c r="C5077" s="74" t="s">
        <v>443</v>
      </c>
    </row>
    <row r="5078" spans="1:3">
      <c r="A5078" s="250">
        <v>14172</v>
      </c>
      <c r="B5078" s="74" t="s">
        <v>3748</v>
      </c>
      <c r="C5078" s="74" t="s">
        <v>443</v>
      </c>
    </row>
    <row r="5079" spans="1:3">
      <c r="A5079" s="250">
        <v>14173</v>
      </c>
      <c r="B5079" s="74" t="s">
        <v>3749</v>
      </c>
      <c r="C5079" s="74" t="s">
        <v>443</v>
      </c>
    </row>
    <row r="5080" spans="1:3">
      <c r="A5080" s="250">
        <v>14174</v>
      </c>
      <c r="B5080" s="74" t="s">
        <v>3750</v>
      </c>
      <c r="C5080" s="74" t="s">
        <v>443</v>
      </c>
    </row>
    <row r="5081" spans="1:3">
      <c r="A5081" s="250">
        <v>14201</v>
      </c>
      <c r="B5081" s="74" t="s">
        <v>3751</v>
      </c>
      <c r="C5081" s="74" t="s">
        <v>443</v>
      </c>
    </row>
    <row r="5082" spans="1:3">
      <c r="A5082" s="250">
        <v>14202</v>
      </c>
      <c r="B5082" s="74" t="s">
        <v>3751</v>
      </c>
      <c r="C5082" s="74" t="s">
        <v>443</v>
      </c>
    </row>
    <row r="5083" spans="1:3">
      <c r="A5083" s="250">
        <v>14203</v>
      </c>
      <c r="B5083" s="74" t="s">
        <v>3751</v>
      </c>
      <c r="C5083" s="74" t="s">
        <v>443</v>
      </c>
    </row>
    <row r="5084" spans="1:3">
      <c r="A5084" s="250">
        <v>14204</v>
      </c>
      <c r="B5084" s="74" t="s">
        <v>3751</v>
      </c>
      <c r="C5084" s="74" t="s">
        <v>443</v>
      </c>
    </row>
    <row r="5085" spans="1:3">
      <c r="A5085" s="250">
        <v>14205</v>
      </c>
      <c r="B5085" s="74" t="s">
        <v>3751</v>
      </c>
      <c r="C5085" s="74" t="s">
        <v>443</v>
      </c>
    </row>
    <row r="5086" spans="1:3">
      <c r="A5086" s="250">
        <v>14206</v>
      </c>
      <c r="B5086" s="74" t="s">
        <v>3751</v>
      </c>
      <c r="C5086" s="74" t="s">
        <v>443</v>
      </c>
    </row>
    <row r="5087" spans="1:3">
      <c r="A5087" s="250">
        <v>14207</v>
      </c>
      <c r="B5087" s="74" t="s">
        <v>3751</v>
      </c>
      <c r="C5087" s="74" t="s">
        <v>443</v>
      </c>
    </row>
    <row r="5088" spans="1:3">
      <c r="A5088" s="250">
        <v>14208</v>
      </c>
      <c r="B5088" s="74" t="s">
        <v>3751</v>
      </c>
      <c r="C5088" s="74" t="s">
        <v>443</v>
      </c>
    </row>
    <row r="5089" spans="1:3">
      <c r="A5089" s="250">
        <v>14209</v>
      </c>
      <c r="B5089" s="74" t="s">
        <v>3751</v>
      </c>
      <c r="C5089" s="74" t="s">
        <v>443</v>
      </c>
    </row>
    <row r="5090" spans="1:3">
      <c r="A5090" s="250">
        <v>14210</v>
      </c>
      <c r="B5090" s="74" t="s">
        <v>3751</v>
      </c>
      <c r="C5090" s="74" t="s">
        <v>443</v>
      </c>
    </row>
    <row r="5091" spans="1:3">
      <c r="A5091" s="250">
        <v>14211</v>
      </c>
      <c r="B5091" s="74" t="s">
        <v>3751</v>
      </c>
      <c r="C5091" s="74" t="s">
        <v>443</v>
      </c>
    </row>
    <row r="5092" spans="1:3">
      <c r="A5092" s="250">
        <v>14212</v>
      </c>
      <c r="B5092" s="74" t="s">
        <v>3751</v>
      </c>
      <c r="C5092" s="74" t="s">
        <v>443</v>
      </c>
    </row>
    <row r="5093" spans="1:3">
      <c r="A5093" s="250">
        <v>14213</v>
      </c>
      <c r="B5093" s="74" t="s">
        <v>3751</v>
      </c>
      <c r="C5093" s="74" t="s">
        <v>443</v>
      </c>
    </row>
    <row r="5094" spans="1:3">
      <c r="A5094" s="250">
        <v>14214</v>
      </c>
      <c r="B5094" s="74" t="s">
        <v>3751</v>
      </c>
      <c r="C5094" s="74" t="s">
        <v>443</v>
      </c>
    </row>
    <row r="5095" spans="1:3">
      <c r="A5095" s="250">
        <v>14215</v>
      </c>
      <c r="B5095" s="74" t="s">
        <v>3751</v>
      </c>
      <c r="C5095" s="74" t="s">
        <v>443</v>
      </c>
    </row>
    <row r="5096" spans="1:3">
      <c r="A5096" s="250">
        <v>14216</v>
      </c>
      <c r="B5096" s="74" t="s">
        <v>3751</v>
      </c>
      <c r="C5096" s="74" t="s">
        <v>443</v>
      </c>
    </row>
    <row r="5097" spans="1:3">
      <c r="A5097" s="250">
        <v>14217</v>
      </c>
      <c r="B5097" s="74" t="s">
        <v>3751</v>
      </c>
      <c r="C5097" s="74" t="s">
        <v>443</v>
      </c>
    </row>
    <row r="5098" spans="1:3">
      <c r="A5098" s="250">
        <v>14218</v>
      </c>
      <c r="B5098" s="74" t="s">
        <v>3751</v>
      </c>
      <c r="C5098" s="74" t="s">
        <v>443</v>
      </c>
    </row>
    <row r="5099" spans="1:3">
      <c r="A5099" s="250">
        <v>14219</v>
      </c>
      <c r="B5099" s="74" t="s">
        <v>3751</v>
      </c>
      <c r="C5099" s="74" t="s">
        <v>443</v>
      </c>
    </row>
    <row r="5100" spans="1:3">
      <c r="A5100" s="250">
        <v>14220</v>
      </c>
      <c r="B5100" s="74" t="s">
        <v>3751</v>
      </c>
      <c r="C5100" s="74" t="s">
        <v>443</v>
      </c>
    </row>
    <row r="5101" spans="1:3">
      <c r="A5101" s="250">
        <v>14221</v>
      </c>
      <c r="B5101" s="74" t="s">
        <v>3751</v>
      </c>
      <c r="C5101" s="74" t="s">
        <v>443</v>
      </c>
    </row>
    <row r="5102" spans="1:3">
      <c r="A5102" s="250">
        <v>14222</v>
      </c>
      <c r="B5102" s="74" t="s">
        <v>3751</v>
      </c>
      <c r="C5102" s="74" t="s">
        <v>443</v>
      </c>
    </row>
    <row r="5103" spans="1:3">
      <c r="A5103" s="250">
        <v>14223</v>
      </c>
      <c r="B5103" s="74" t="s">
        <v>3751</v>
      </c>
      <c r="C5103" s="74" t="s">
        <v>443</v>
      </c>
    </row>
    <row r="5104" spans="1:3">
      <c r="A5104" s="250">
        <v>14224</v>
      </c>
      <c r="B5104" s="74" t="s">
        <v>3751</v>
      </c>
      <c r="C5104" s="74" t="s">
        <v>443</v>
      </c>
    </row>
    <row r="5105" spans="1:3">
      <c r="A5105" s="250">
        <v>14225</v>
      </c>
      <c r="B5105" s="74" t="s">
        <v>3751</v>
      </c>
      <c r="C5105" s="74" t="s">
        <v>443</v>
      </c>
    </row>
    <row r="5106" spans="1:3">
      <c r="A5106" s="250">
        <v>14226</v>
      </c>
      <c r="B5106" s="74" t="s">
        <v>3751</v>
      </c>
      <c r="C5106" s="74" t="s">
        <v>443</v>
      </c>
    </row>
    <row r="5107" spans="1:3">
      <c r="A5107" s="250">
        <v>14227</v>
      </c>
      <c r="B5107" s="74" t="s">
        <v>3751</v>
      </c>
      <c r="C5107" s="74" t="s">
        <v>443</v>
      </c>
    </row>
    <row r="5108" spans="1:3">
      <c r="A5108" s="250">
        <v>14228</v>
      </c>
      <c r="B5108" s="74" t="s">
        <v>3751</v>
      </c>
      <c r="C5108" s="74" t="s">
        <v>443</v>
      </c>
    </row>
    <row r="5109" spans="1:3">
      <c r="A5109" s="250">
        <v>14231</v>
      </c>
      <c r="B5109" s="74" t="s">
        <v>3751</v>
      </c>
      <c r="C5109" s="74" t="s">
        <v>443</v>
      </c>
    </row>
    <row r="5110" spans="1:3">
      <c r="A5110" s="250">
        <v>14233</v>
      </c>
      <c r="B5110" s="74" t="s">
        <v>3751</v>
      </c>
      <c r="C5110" s="74" t="s">
        <v>443</v>
      </c>
    </row>
    <row r="5111" spans="1:3">
      <c r="A5111" s="250">
        <v>14240</v>
      </c>
      <c r="B5111" s="74" t="s">
        <v>3751</v>
      </c>
      <c r="C5111" s="74" t="s">
        <v>443</v>
      </c>
    </row>
    <row r="5112" spans="1:3">
      <c r="A5112" s="250">
        <v>14241</v>
      </c>
      <c r="B5112" s="74" t="s">
        <v>3751</v>
      </c>
      <c r="C5112" s="74" t="s">
        <v>443</v>
      </c>
    </row>
    <row r="5113" spans="1:3">
      <c r="A5113" s="250">
        <v>14260</v>
      </c>
      <c r="B5113" s="74" t="s">
        <v>3751</v>
      </c>
      <c r="C5113" s="74" t="s">
        <v>443</v>
      </c>
    </row>
    <row r="5114" spans="1:3">
      <c r="A5114" s="250">
        <v>14261</v>
      </c>
      <c r="B5114" s="74" t="s">
        <v>3751</v>
      </c>
      <c r="C5114" s="74" t="s">
        <v>443</v>
      </c>
    </row>
    <row r="5115" spans="1:3">
      <c r="A5115" s="250">
        <v>14263</v>
      </c>
      <c r="B5115" s="74" t="s">
        <v>3751</v>
      </c>
      <c r="C5115" s="74" t="s">
        <v>443</v>
      </c>
    </row>
    <row r="5116" spans="1:3">
      <c r="A5116" s="250">
        <v>14264</v>
      </c>
      <c r="B5116" s="74" t="s">
        <v>3751</v>
      </c>
      <c r="C5116" s="74" t="s">
        <v>443</v>
      </c>
    </row>
    <row r="5117" spans="1:3">
      <c r="A5117" s="250">
        <v>14265</v>
      </c>
      <c r="B5117" s="74" t="s">
        <v>3751</v>
      </c>
      <c r="C5117" s="74" t="s">
        <v>443</v>
      </c>
    </row>
    <row r="5118" spans="1:3">
      <c r="A5118" s="250">
        <v>14267</v>
      </c>
      <c r="B5118" s="74" t="s">
        <v>3751</v>
      </c>
      <c r="C5118" s="74" t="s">
        <v>443</v>
      </c>
    </row>
    <row r="5119" spans="1:3">
      <c r="A5119" s="250">
        <v>14269</v>
      </c>
      <c r="B5119" s="74" t="s">
        <v>3751</v>
      </c>
      <c r="C5119" s="74" t="s">
        <v>443</v>
      </c>
    </row>
    <row r="5120" spans="1:3">
      <c r="A5120" s="250">
        <v>14270</v>
      </c>
      <c r="B5120" s="74" t="s">
        <v>3751</v>
      </c>
      <c r="C5120" s="74" t="s">
        <v>443</v>
      </c>
    </row>
    <row r="5121" spans="1:3">
      <c r="A5121" s="250">
        <v>14272</v>
      </c>
      <c r="B5121" s="74" t="s">
        <v>3751</v>
      </c>
      <c r="C5121" s="74" t="s">
        <v>443</v>
      </c>
    </row>
    <row r="5122" spans="1:3">
      <c r="A5122" s="250">
        <v>14273</v>
      </c>
      <c r="B5122" s="74" t="s">
        <v>3751</v>
      </c>
      <c r="C5122" s="74" t="s">
        <v>443</v>
      </c>
    </row>
    <row r="5123" spans="1:3">
      <c r="A5123" s="250">
        <v>14276</v>
      </c>
      <c r="B5123" s="74" t="s">
        <v>3751</v>
      </c>
      <c r="C5123" s="74" t="s">
        <v>443</v>
      </c>
    </row>
    <row r="5124" spans="1:3">
      <c r="A5124" s="250">
        <v>14280</v>
      </c>
      <c r="B5124" s="74" t="s">
        <v>3751</v>
      </c>
      <c r="C5124" s="74" t="s">
        <v>443</v>
      </c>
    </row>
    <row r="5125" spans="1:3">
      <c r="A5125" s="250">
        <v>14301</v>
      </c>
      <c r="B5125" s="74" t="s">
        <v>3752</v>
      </c>
      <c r="C5125" s="74" t="s">
        <v>443</v>
      </c>
    </row>
    <row r="5126" spans="1:3">
      <c r="A5126" s="250">
        <v>14302</v>
      </c>
      <c r="B5126" s="74" t="s">
        <v>3752</v>
      </c>
      <c r="C5126" s="74" t="s">
        <v>443</v>
      </c>
    </row>
    <row r="5127" spans="1:3">
      <c r="A5127" s="250">
        <v>14303</v>
      </c>
      <c r="B5127" s="74" t="s">
        <v>3752</v>
      </c>
      <c r="C5127" s="74" t="s">
        <v>443</v>
      </c>
    </row>
    <row r="5128" spans="1:3">
      <c r="A5128" s="250">
        <v>14304</v>
      </c>
      <c r="B5128" s="74" t="s">
        <v>3752</v>
      </c>
      <c r="C5128" s="74" t="s">
        <v>443</v>
      </c>
    </row>
    <row r="5129" spans="1:3">
      <c r="A5129" s="250">
        <v>14305</v>
      </c>
      <c r="B5129" s="74" t="s">
        <v>3752</v>
      </c>
      <c r="C5129" s="74" t="s">
        <v>443</v>
      </c>
    </row>
    <row r="5130" spans="1:3">
      <c r="A5130" s="250">
        <v>14410</v>
      </c>
      <c r="B5130" s="74" t="s">
        <v>3753</v>
      </c>
      <c r="C5130" s="74" t="s">
        <v>443</v>
      </c>
    </row>
    <row r="5131" spans="1:3">
      <c r="A5131" s="250">
        <v>14411</v>
      </c>
      <c r="B5131" s="74" t="s">
        <v>1093</v>
      </c>
      <c r="C5131" s="74" t="s">
        <v>443</v>
      </c>
    </row>
    <row r="5132" spans="1:3">
      <c r="A5132" s="250">
        <v>14413</v>
      </c>
      <c r="B5132" s="74" t="s">
        <v>1293</v>
      </c>
      <c r="C5132" s="74" t="s">
        <v>443</v>
      </c>
    </row>
    <row r="5133" spans="1:3">
      <c r="A5133" s="250">
        <v>14414</v>
      </c>
      <c r="B5133" s="74" t="s">
        <v>935</v>
      </c>
      <c r="C5133" s="74" t="s">
        <v>443</v>
      </c>
    </row>
    <row r="5134" spans="1:3">
      <c r="A5134" s="250">
        <v>14415</v>
      </c>
      <c r="B5134" s="74" t="s">
        <v>3754</v>
      </c>
      <c r="C5134" s="74" t="s">
        <v>443</v>
      </c>
    </row>
    <row r="5135" spans="1:3">
      <c r="A5135" s="250">
        <v>14416</v>
      </c>
      <c r="B5135" s="74" t="s">
        <v>3755</v>
      </c>
      <c r="C5135" s="74" t="s">
        <v>443</v>
      </c>
    </row>
    <row r="5136" spans="1:3">
      <c r="A5136" s="250">
        <v>14418</v>
      </c>
      <c r="B5136" s="74" t="s">
        <v>3756</v>
      </c>
      <c r="C5136" s="74" t="s">
        <v>443</v>
      </c>
    </row>
    <row r="5137" spans="1:3">
      <c r="A5137" s="250">
        <v>14420</v>
      </c>
      <c r="B5137" s="74" t="s">
        <v>3757</v>
      </c>
      <c r="C5137" s="74" t="s">
        <v>443</v>
      </c>
    </row>
    <row r="5138" spans="1:3">
      <c r="A5138" s="250">
        <v>14422</v>
      </c>
      <c r="B5138" s="74" t="s">
        <v>3758</v>
      </c>
      <c r="C5138" s="74" t="s">
        <v>443</v>
      </c>
    </row>
    <row r="5139" spans="1:3">
      <c r="A5139" s="250">
        <v>14423</v>
      </c>
      <c r="B5139" s="74" t="s">
        <v>3759</v>
      </c>
      <c r="C5139" s="74" t="s">
        <v>443</v>
      </c>
    </row>
    <row r="5140" spans="1:3">
      <c r="A5140" s="250">
        <v>14424</v>
      </c>
      <c r="B5140" s="74" t="s">
        <v>3760</v>
      </c>
      <c r="C5140" s="74" t="s">
        <v>443</v>
      </c>
    </row>
    <row r="5141" spans="1:3">
      <c r="A5141" s="250">
        <v>14425</v>
      </c>
      <c r="B5141" s="74" t="s">
        <v>1309</v>
      </c>
      <c r="C5141" s="74" t="s">
        <v>443</v>
      </c>
    </row>
    <row r="5142" spans="1:3">
      <c r="A5142" s="250">
        <v>14427</v>
      </c>
      <c r="B5142" s="74" t="s">
        <v>3761</v>
      </c>
      <c r="C5142" s="74" t="s">
        <v>443</v>
      </c>
    </row>
    <row r="5143" spans="1:3">
      <c r="A5143" s="250">
        <v>14428</v>
      </c>
      <c r="B5143" s="74" t="s">
        <v>3762</v>
      </c>
      <c r="C5143" s="74" t="s">
        <v>443</v>
      </c>
    </row>
    <row r="5144" spans="1:3">
      <c r="A5144" s="250">
        <v>14429</v>
      </c>
      <c r="B5144" s="74" t="s">
        <v>3763</v>
      </c>
      <c r="C5144" s="74" t="s">
        <v>443</v>
      </c>
    </row>
    <row r="5145" spans="1:3">
      <c r="A5145" s="250">
        <v>14430</v>
      </c>
      <c r="B5145" s="74" t="s">
        <v>3764</v>
      </c>
      <c r="C5145" s="74" t="s">
        <v>443</v>
      </c>
    </row>
    <row r="5146" spans="1:3">
      <c r="A5146" s="250">
        <v>14432</v>
      </c>
      <c r="B5146" s="74" t="s">
        <v>3765</v>
      </c>
      <c r="C5146" s="74" t="s">
        <v>443</v>
      </c>
    </row>
    <row r="5147" spans="1:3">
      <c r="A5147" s="250">
        <v>14433</v>
      </c>
      <c r="B5147" s="74" t="s">
        <v>3766</v>
      </c>
      <c r="C5147" s="74" t="s">
        <v>443</v>
      </c>
    </row>
    <row r="5148" spans="1:3">
      <c r="A5148" s="250">
        <v>14435</v>
      </c>
      <c r="B5148" s="74" t="s">
        <v>3767</v>
      </c>
      <c r="C5148" s="74" t="s">
        <v>443</v>
      </c>
    </row>
    <row r="5149" spans="1:3">
      <c r="A5149" s="250">
        <v>14437</v>
      </c>
      <c r="B5149" s="74" t="s">
        <v>3768</v>
      </c>
      <c r="C5149" s="74" t="s">
        <v>443</v>
      </c>
    </row>
    <row r="5150" spans="1:3">
      <c r="A5150" s="250">
        <v>14441</v>
      </c>
      <c r="B5150" s="74" t="s">
        <v>1475</v>
      </c>
      <c r="C5150" s="74" t="s">
        <v>443</v>
      </c>
    </row>
    <row r="5151" spans="1:3">
      <c r="A5151" s="250">
        <v>14443</v>
      </c>
      <c r="B5151" s="74" t="s">
        <v>3769</v>
      </c>
      <c r="C5151" s="74" t="s">
        <v>443</v>
      </c>
    </row>
    <row r="5152" spans="1:3">
      <c r="A5152" s="250">
        <v>14445</v>
      </c>
      <c r="B5152" s="74" t="s">
        <v>3770</v>
      </c>
      <c r="C5152" s="74" t="s">
        <v>443</v>
      </c>
    </row>
    <row r="5153" spans="1:3">
      <c r="A5153" s="250">
        <v>14449</v>
      </c>
      <c r="B5153" s="74" t="s">
        <v>3771</v>
      </c>
      <c r="C5153" s="74" t="s">
        <v>443</v>
      </c>
    </row>
    <row r="5154" spans="1:3">
      <c r="A5154" s="250">
        <v>14450</v>
      </c>
      <c r="B5154" s="74" t="s">
        <v>3772</v>
      </c>
      <c r="C5154" s="74" t="s">
        <v>443</v>
      </c>
    </row>
    <row r="5155" spans="1:3">
      <c r="A5155" s="250">
        <v>14452</v>
      </c>
      <c r="B5155" s="74" t="s">
        <v>3773</v>
      </c>
      <c r="C5155" s="74" t="s">
        <v>443</v>
      </c>
    </row>
    <row r="5156" spans="1:3">
      <c r="A5156" s="250">
        <v>14453</v>
      </c>
      <c r="B5156" s="74" t="s">
        <v>3774</v>
      </c>
      <c r="C5156" s="74" t="s">
        <v>443</v>
      </c>
    </row>
    <row r="5157" spans="1:3">
      <c r="A5157" s="250">
        <v>14454</v>
      </c>
      <c r="B5157" s="74" t="s">
        <v>3775</v>
      </c>
      <c r="C5157" s="74" t="s">
        <v>443</v>
      </c>
    </row>
    <row r="5158" spans="1:3">
      <c r="A5158" s="250">
        <v>14456</v>
      </c>
      <c r="B5158" s="74" t="s">
        <v>3776</v>
      </c>
      <c r="C5158" s="74" t="s">
        <v>443</v>
      </c>
    </row>
    <row r="5159" spans="1:3">
      <c r="A5159" s="250">
        <v>14461</v>
      </c>
      <c r="B5159" s="74" t="s">
        <v>1252</v>
      </c>
      <c r="C5159" s="74" t="s">
        <v>443</v>
      </c>
    </row>
    <row r="5160" spans="1:3">
      <c r="A5160" s="250">
        <v>14462</v>
      </c>
      <c r="B5160" s="74" t="s">
        <v>814</v>
      </c>
      <c r="C5160" s="74" t="s">
        <v>443</v>
      </c>
    </row>
    <row r="5161" spans="1:3">
      <c r="A5161" s="250">
        <v>14463</v>
      </c>
      <c r="B5161" s="74" t="s">
        <v>3777</v>
      </c>
      <c r="C5161" s="74" t="s">
        <v>443</v>
      </c>
    </row>
    <row r="5162" spans="1:3">
      <c r="A5162" s="250">
        <v>14464</v>
      </c>
      <c r="B5162" s="74" t="s">
        <v>3778</v>
      </c>
      <c r="C5162" s="74" t="s">
        <v>443</v>
      </c>
    </row>
    <row r="5163" spans="1:3">
      <c r="A5163" s="250">
        <v>14466</v>
      </c>
      <c r="B5163" s="74" t="s">
        <v>3779</v>
      </c>
      <c r="C5163" s="74" t="s">
        <v>443</v>
      </c>
    </row>
    <row r="5164" spans="1:3">
      <c r="A5164" s="250">
        <v>14467</v>
      </c>
      <c r="B5164" s="74" t="s">
        <v>3780</v>
      </c>
      <c r="C5164" s="74" t="s">
        <v>443</v>
      </c>
    </row>
    <row r="5165" spans="1:3">
      <c r="A5165" s="250">
        <v>14468</v>
      </c>
      <c r="B5165" s="74" t="s">
        <v>3781</v>
      </c>
      <c r="C5165" s="74" t="s">
        <v>443</v>
      </c>
    </row>
    <row r="5166" spans="1:3">
      <c r="A5166" s="250">
        <v>14469</v>
      </c>
      <c r="B5166" s="74" t="s">
        <v>1933</v>
      </c>
      <c r="C5166" s="74" t="s">
        <v>443</v>
      </c>
    </row>
    <row r="5167" spans="1:3">
      <c r="A5167" s="250">
        <v>14470</v>
      </c>
      <c r="B5167" s="74" t="s">
        <v>3782</v>
      </c>
      <c r="C5167" s="74" t="s">
        <v>443</v>
      </c>
    </row>
    <row r="5168" spans="1:3">
      <c r="A5168" s="250">
        <v>14471</v>
      </c>
      <c r="B5168" s="74" t="s">
        <v>3783</v>
      </c>
      <c r="C5168" s="74" t="s">
        <v>443</v>
      </c>
    </row>
    <row r="5169" spans="1:3">
      <c r="A5169" s="250">
        <v>14472</v>
      </c>
      <c r="B5169" s="74" t="s">
        <v>3784</v>
      </c>
      <c r="C5169" s="74" t="s">
        <v>443</v>
      </c>
    </row>
    <row r="5170" spans="1:3">
      <c r="A5170" s="250">
        <v>14475</v>
      </c>
      <c r="B5170" s="74" t="s">
        <v>3785</v>
      </c>
      <c r="C5170" s="74" t="s">
        <v>443</v>
      </c>
    </row>
    <row r="5171" spans="1:3">
      <c r="A5171" s="250">
        <v>14476</v>
      </c>
      <c r="B5171" s="74" t="s">
        <v>3786</v>
      </c>
      <c r="C5171" s="74" t="s">
        <v>443</v>
      </c>
    </row>
    <row r="5172" spans="1:3">
      <c r="A5172" s="250">
        <v>14477</v>
      </c>
      <c r="B5172" s="74" t="s">
        <v>2084</v>
      </c>
      <c r="C5172" s="74" t="s">
        <v>443</v>
      </c>
    </row>
    <row r="5173" spans="1:3">
      <c r="A5173" s="250">
        <v>14478</v>
      </c>
      <c r="B5173" s="74" t="s">
        <v>3787</v>
      </c>
      <c r="C5173" s="74" t="s">
        <v>443</v>
      </c>
    </row>
    <row r="5174" spans="1:3">
      <c r="A5174" s="250">
        <v>14479</v>
      </c>
      <c r="B5174" s="74" t="s">
        <v>3788</v>
      </c>
      <c r="C5174" s="74" t="s">
        <v>443</v>
      </c>
    </row>
    <row r="5175" spans="1:3">
      <c r="A5175" s="250">
        <v>14480</v>
      </c>
      <c r="B5175" s="74" t="s">
        <v>949</v>
      </c>
      <c r="C5175" s="74" t="s">
        <v>443</v>
      </c>
    </row>
    <row r="5176" spans="1:3">
      <c r="A5176" s="250">
        <v>14481</v>
      </c>
      <c r="B5176" s="74" t="s">
        <v>742</v>
      </c>
      <c r="C5176" s="74" t="s">
        <v>443</v>
      </c>
    </row>
    <row r="5177" spans="1:3">
      <c r="A5177" s="250">
        <v>14482</v>
      </c>
      <c r="B5177" s="74" t="s">
        <v>3789</v>
      </c>
      <c r="C5177" s="74" t="s">
        <v>443</v>
      </c>
    </row>
    <row r="5178" spans="1:3">
      <c r="A5178" s="250">
        <v>14485</v>
      </c>
      <c r="B5178" s="74" t="s">
        <v>3790</v>
      </c>
      <c r="C5178" s="74" t="s">
        <v>443</v>
      </c>
    </row>
    <row r="5179" spans="1:3">
      <c r="A5179" s="250">
        <v>14486</v>
      </c>
      <c r="B5179" s="74" t="s">
        <v>743</v>
      </c>
      <c r="C5179" s="74" t="s">
        <v>443</v>
      </c>
    </row>
    <row r="5180" spans="1:3">
      <c r="A5180" s="250">
        <v>14487</v>
      </c>
      <c r="B5180" s="74" t="s">
        <v>3791</v>
      </c>
      <c r="C5180" s="74" t="s">
        <v>443</v>
      </c>
    </row>
    <row r="5181" spans="1:3">
      <c r="A5181" s="250">
        <v>14488</v>
      </c>
      <c r="B5181" s="74" t="s">
        <v>3792</v>
      </c>
      <c r="C5181" s="74" t="s">
        <v>443</v>
      </c>
    </row>
    <row r="5182" spans="1:3">
      <c r="A5182" s="250">
        <v>14489</v>
      </c>
      <c r="B5182" s="74" t="s">
        <v>2349</v>
      </c>
      <c r="C5182" s="74" t="s">
        <v>443</v>
      </c>
    </row>
    <row r="5183" spans="1:3">
      <c r="A5183" s="250">
        <v>14502</v>
      </c>
      <c r="B5183" s="74" t="s">
        <v>3793</v>
      </c>
      <c r="C5183" s="74" t="s">
        <v>443</v>
      </c>
    </row>
    <row r="5184" spans="1:3">
      <c r="A5184" s="250">
        <v>14504</v>
      </c>
      <c r="B5184" s="74" t="s">
        <v>848</v>
      </c>
      <c r="C5184" s="74" t="s">
        <v>443</v>
      </c>
    </row>
    <row r="5185" spans="1:3">
      <c r="A5185" s="250">
        <v>14505</v>
      </c>
      <c r="B5185" s="74" t="s">
        <v>1071</v>
      </c>
      <c r="C5185" s="74" t="s">
        <v>443</v>
      </c>
    </row>
    <row r="5186" spans="1:3">
      <c r="A5186" s="250">
        <v>14506</v>
      </c>
      <c r="B5186" s="74" t="s">
        <v>795</v>
      </c>
      <c r="C5186" s="74" t="s">
        <v>443</v>
      </c>
    </row>
    <row r="5187" spans="1:3">
      <c r="A5187" s="250">
        <v>14507</v>
      </c>
      <c r="B5187" s="74" t="s">
        <v>2582</v>
      </c>
      <c r="C5187" s="74" t="s">
        <v>443</v>
      </c>
    </row>
    <row r="5188" spans="1:3">
      <c r="A5188" s="250">
        <v>14508</v>
      </c>
      <c r="B5188" s="74" t="s">
        <v>3794</v>
      </c>
      <c r="C5188" s="74" t="s">
        <v>443</v>
      </c>
    </row>
    <row r="5189" spans="1:3">
      <c r="A5189" s="250">
        <v>14510</v>
      </c>
      <c r="B5189" s="74" t="s">
        <v>3795</v>
      </c>
      <c r="C5189" s="74" t="s">
        <v>443</v>
      </c>
    </row>
    <row r="5190" spans="1:3">
      <c r="A5190" s="250">
        <v>14511</v>
      </c>
      <c r="B5190" s="74" t="s">
        <v>3796</v>
      </c>
      <c r="C5190" s="74" t="s">
        <v>443</v>
      </c>
    </row>
    <row r="5191" spans="1:3">
      <c r="A5191" s="250">
        <v>14512</v>
      </c>
      <c r="B5191" s="74" t="s">
        <v>1397</v>
      </c>
      <c r="C5191" s="74" t="s">
        <v>443</v>
      </c>
    </row>
    <row r="5192" spans="1:3">
      <c r="A5192" s="250">
        <v>14513</v>
      </c>
      <c r="B5192" s="74" t="s">
        <v>2172</v>
      </c>
      <c r="C5192" s="74" t="s">
        <v>443</v>
      </c>
    </row>
    <row r="5193" spans="1:3">
      <c r="A5193" s="250">
        <v>14514</v>
      </c>
      <c r="B5193" s="74" t="s">
        <v>3797</v>
      </c>
      <c r="C5193" s="74" t="s">
        <v>443</v>
      </c>
    </row>
    <row r="5194" spans="1:3">
      <c r="A5194" s="250">
        <v>14515</v>
      </c>
      <c r="B5194" s="74" t="s">
        <v>3798</v>
      </c>
      <c r="C5194" s="74" t="s">
        <v>443</v>
      </c>
    </row>
    <row r="5195" spans="1:3">
      <c r="A5195" s="250">
        <v>14516</v>
      </c>
      <c r="B5195" s="74" t="s">
        <v>3799</v>
      </c>
      <c r="C5195" s="74" t="s">
        <v>443</v>
      </c>
    </row>
    <row r="5196" spans="1:3">
      <c r="A5196" s="250">
        <v>14517</v>
      </c>
      <c r="B5196" s="74" t="s">
        <v>3800</v>
      </c>
      <c r="C5196" s="74" t="s">
        <v>443</v>
      </c>
    </row>
    <row r="5197" spans="1:3">
      <c r="A5197" s="250">
        <v>14518</v>
      </c>
      <c r="B5197" s="74" t="s">
        <v>3801</v>
      </c>
      <c r="C5197" s="74" t="s">
        <v>443</v>
      </c>
    </row>
    <row r="5198" spans="1:3">
      <c r="A5198" s="250">
        <v>14519</v>
      </c>
      <c r="B5198" s="74" t="s">
        <v>3802</v>
      </c>
      <c r="C5198" s="74" t="s">
        <v>443</v>
      </c>
    </row>
    <row r="5199" spans="1:3">
      <c r="A5199" s="250">
        <v>14520</v>
      </c>
      <c r="B5199" s="74" t="s">
        <v>3803</v>
      </c>
      <c r="C5199" s="74" t="s">
        <v>443</v>
      </c>
    </row>
    <row r="5200" spans="1:3">
      <c r="A5200" s="250">
        <v>14521</v>
      </c>
      <c r="B5200" s="74" t="s">
        <v>3804</v>
      </c>
      <c r="C5200" s="74" t="s">
        <v>443</v>
      </c>
    </row>
    <row r="5201" spans="1:3">
      <c r="A5201" s="250">
        <v>14522</v>
      </c>
      <c r="B5201" s="74" t="s">
        <v>1710</v>
      </c>
      <c r="C5201" s="74" t="s">
        <v>443</v>
      </c>
    </row>
    <row r="5202" spans="1:3">
      <c r="A5202" s="250">
        <v>14525</v>
      </c>
      <c r="B5202" s="74" t="s">
        <v>3805</v>
      </c>
      <c r="C5202" s="74" t="s">
        <v>443</v>
      </c>
    </row>
    <row r="5203" spans="1:3">
      <c r="A5203" s="250">
        <v>14526</v>
      </c>
      <c r="B5203" s="74" t="s">
        <v>3806</v>
      </c>
      <c r="C5203" s="74" t="s">
        <v>443</v>
      </c>
    </row>
    <row r="5204" spans="1:3">
      <c r="A5204" s="250">
        <v>14527</v>
      </c>
      <c r="B5204" s="74" t="s">
        <v>3807</v>
      </c>
      <c r="C5204" s="74" t="s">
        <v>443</v>
      </c>
    </row>
    <row r="5205" spans="1:3">
      <c r="A5205" s="250">
        <v>14529</v>
      </c>
      <c r="B5205" s="74" t="s">
        <v>1767</v>
      </c>
      <c r="C5205" s="74" t="s">
        <v>443</v>
      </c>
    </row>
    <row r="5206" spans="1:3">
      <c r="A5206" s="250">
        <v>14530</v>
      </c>
      <c r="B5206" s="74" t="s">
        <v>1602</v>
      </c>
      <c r="C5206" s="74" t="s">
        <v>443</v>
      </c>
    </row>
    <row r="5207" spans="1:3">
      <c r="A5207" s="250">
        <v>14532</v>
      </c>
      <c r="B5207" s="74" t="s">
        <v>3808</v>
      </c>
      <c r="C5207" s="74" t="s">
        <v>443</v>
      </c>
    </row>
    <row r="5208" spans="1:3">
      <c r="A5208" s="250">
        <v>14533</v>
      </c>
      <c r="B5208" s="74" t="s">
        <v>3809</v>
      </c>
      <c r="C5208" s="74" t="s">
        <v>443</v>
      </c>
    </row>
    <row r="5209" spans="1:3">
      <c r="A5209" s="250">
        <v>14534</v>
      </c>
      <c r="B5209" s="74" t="s">
        <v>1885</v>
      </c>
      <c r="C5209" s="74" t="s">
        <v>443</v>
      </c>
    </row>
    <row r="5210" spans="1:3">
      <c r="A5210" s="250">
        <v>14536</v>
      </c>
      <c r="B5210" s="74" t="s">
        <v>3810</v>
      </c>
      <c r="C5210" s="74" t="s">
        <v>443</v>
      </c>
    </row>
    <row r="5211" spans="1:3">
      <c r="A5211" s="250">
        <v>14537</v>
      </c>
      <c r="B5211" s="74" t="s">
        <v>3811</v>
      </c>
      <c r="C5211" s="74" t="s">
        <v>443</v>
      </c>
    </row>
    <row r="5212" spans="1:3">
      <c r="A5212" s="250">
        <v>14538</v>
      </c>
      <c r="B5212" s="74" t="s">
        <v>3812</v>
      </c>
      <c r="C5212" s="74" t="s">
        <v>443</v>
      </c>
    </row>
    <row r="5213" spans="1:3">
      <c r="A5213" s="250">
        <v>14539</v>
      </c>
      <c r="B5213" s="74" t="s">
        <v>3813</v>
      </c>
      <c r="C5213" s="74" t="s">
        <v>443</v>
      </c>
    </row>
    <row r="5214" spans="1:3">
      <c r="A5214" s="250">
        <v>14541</v>
      </c>
      <c r="B5214" s="74" t="s">
        <v>3814</v>
      </c>
      <c r="C5214" s="74" t="s">
        <v>443</v>
      </c>
    </row>
    <row r="5215" spans="1:3">
      <c r="A5215" s="250">
        <v>14542</v>
      </c>
      <c r="B5215" s="74" t="s">
        <v>3815</v>
      </c>
      <c r="C5215" s="74" t="s">
        <v>443</v>
      </c>
    </row>
    <row r="5216" spans="1:3">
      <c r="A5216" s="250">
        <v>14543</v>
      </c>
      <c r="B5216" s="74" t="s">
        <v>3816</v>
      </c>
      <c r="C5216" s="74" t="s">
        <v>443</v>
      </c>
    </row>
    <row r="5217" spans="1:3">
      <c r="A5217" s="250">
        <v>14544</v>
      </c>
      <c r="B5217" s="74" t="s">
        <v>3817</v>
      </c>
      <c r="C5217" s="74" t="s">
        <v>443</v>
      </c>
    </row>
    <row r="5218" spans="1:3">
      <c r="A5218" s="250">
        <v>14545</v>
      </c>
      <c r="B5218" s="74" t="s">
        <v>3818</v>
      </c>
      <c r="C5218" s="74" t="s">
        <v>443</v>
      </c>
    </row>
    <row r="5219" spans="1:3">
      <c r="A5219" s="250">
        <v>14546</v>
      </c>
      <c r="B5219" s="74" t="s">
        <v>3819</v>
      </c>
      <c r="C5219" s="74" t="s">
        <v>443</v>
      </c>
    </row>
    <row r="5220" spans="1:3">
      <c r="A5220" s="250">
        <v>14547</v>
      </c>
      <c r="B5220" s="74" t="s">
        <v>3820</v>
      </c>
      <c r="C5220" s="74" t="s">
        <v>443</v>
      </c>
    </row>
    <row r="5221" spans="1:3">
      <c r="A5221" s="250">
        <v>14548</v>
      </c>
      <c r="B5221" s="74" t="s">
        <v>3821</v>
      </c>
      <c r="C5221" s="74" t="s">
        <v>443</v>
      </c>
    </row>
    <row r="5222" spans="1:3">
      <c r="A5222" s="250">
        <v>14549</v>
      </c>
      <c r="B5222" s="74" t="s">
        <v>1339</v>
      </c>
      <c r="C5222" s="74" t="s">
        <v>443</v>
      </c>
    </row>
    <row r="5223" spans="1:3">
      <c r="A5223" s="250">
        <v>14550</v>
      </c>
      <c r="B5223" s="74" t="s">
        <v>3822</v>
      </c>
      <c r="C5223" s="74" t="s">
        <v>443</v>
      </c>
    </row>
    <row r="5224" spans="1:3">
      <c r="A5224" s="250">
        <v>14551</v>
      </c>
      <c r="B5224" s="74" t="s">
        <v>3823</v>
      </c>
      <c r="C5224" s="74" t="s">
        <v>443</v>
      </c>
    </row>
    <row r="5225" spans="1:3">
      <c r="A5225" s="250">
        <v>14555</v>
      </c>
      <c r="B5225" s="74" t="s">
        <v>3824</v>
      </c>
      <c r="C5225" s="74" t="s">
        <v>443</v>
      </c>
    </row>
    <row r="5226" spans="1:3">
      <c r="A5226" s="250">
        <v>14556</v>
      </c>
      <c r="B5226" s="74" t="s">
        <v>3825</v>
      </c>
      <c r="C5226" s="74" t="s">
        <v>443</v>
      </c>
    </row>
    <row r="5227" spans="1:3">
      <c r="A5227" s="250">
        <v>14557</v>
      </c>
      <c r="B5227" s="74" t="s">
        <v>3826</v>
      </c>
      <c r="C5227" s="74" t="s">
        <v>443</v>
      </c>
    </row>
    <row r="5228" spans="1:3">
      <c r="A5228" s="250">
        <v>14558</v>
      </c>
      <c r="B5228" s="74" t="s">
        <v>3827</v>
      </c>
      <c r="C5228" s="74" t="s">
        <v>443</v>
      </c>
    </row>
    <row r="5229" spans="1:3">
      <c r="A5229" s="250">
        <v>14559</v>
      </c>
      <c r="B5229" s="74" t="s">
        <v>3828</v>
      </c>
      <c r="C5229" s="74" t="s">
        <v>443</v>
      </c>
    </row>
    <row r="5230" spans="1:3">
      <c r="A5230" s="250">
        <v>14560</v>
      </c>
      <c r="B5230" s="74" t="s">
        <v>3829</v>
      </c>
      <c r="C5230" s="74" t="s">
        <v>443</v>
      </c>
    </row>
    <row r="5231" spans="1:3">
      <c r="A5231" s="250">
        <v>14561</v>
      </c>
      <c r="B5231" s="74" t="s">
        <v>3830</v>
      </c>
      <c r="C5231" s="74" t="s">
        <v>443</v>
      </c>
    </row>
    <row r="5232" spans="1:3">
      <c r="A5232" s="250">
        <v>14563</v>
      </c>
      <c r="B5232" s="74" t="s">
        <v>3831</v>
      </c>
      <c r="C5232" s="74" t="s">
        <v>443</v>
      </c>
    </row>
    <row r="5233" spans="1:3">
      <c r="A5233" s="250">
        <v>14564</v>
      </c>
      <c r="B5233" s="74" t="s">
        <v>3832</v>
      </c>
      <c r="C5233" s="74" t="s">
        <v>443</v>
      </c>
    </row>
    <row r="5234" spans="1:3">
      <c r="A5234" s="250">
        <v>14568</v>
      </c>
      <c r="B5234" s="74" t="s">
        <v>3833</v>
      </c>
      <c r="C5234" s="74" t="s">
        <v>443</v>
      </c>
    </row>
    <row r="5235" spans="1:3">
      <c r="A5235" s="250">
        <v>14569</v>
      </c>
      <c r="B5235" s="74" t="s">
        <v>3834</v>
      </c>
      <c r="C5235" s="74" t="s">
        <v>443</v>
      </c>
    </row>
    <row r="5236" spans="1:3">
      <c r="A5236" s="250">
        <v>14571</v>
      </c>
      <c r="B5236" s="74" t="s">
        <v>3835</v>
      </c>
      <c r="C5236" s="74" t="s">
        <v>443</v>
      </c>
    </row>
    <row r="5237" spans="1:3">
      <c r="A5237" s="250">
        <v>14572</v>
      </c>
      <c r="B5237" s="74" t="s">
        <v>803</v>
      </c>
      <c r="C5237" s="74" t="s">
        <v>443</v>
      </c>
    </row>
    <row r="5238" spans="1:3">
      <c r="A5238" s="250">
        <v>14580</v>
      </c>
      <c r="B5238" s="74" t="s">
        <v>767</v>
      </c>
      <c r="C5238" s="74" t="s">
        <v>443</v>
      </c>
    </row>
    <row r="5239" spans="1:3">
      <c r="A5239" s="250">
        <v>14585</v>
      </c>
      <c r="B5239" s="74" t="s">
        <v>3836</v>
      </c>
      <c r="C5239" s="74" t="s">
        <v>443</v>
      </c>
    </row>
    <row r="5240" spans="1:3">
      <c r="A5240" s="250">
        <v>14586</v>
      </c>
      <c r="B5240" s="74" t="s">
        <v>3837</v>
      </c>
      <c r="C5240" s="74" t="s">
        <v>443</v>
      </c>
    </row>
    <row r="5241" spans="1:3">
      <c r="A5241" s="250">
        <v>14588</v>
      </c>
      <c r="B5241" s="74" t="s">
        <v>3838</v>
      </c>
      <c r="C5241" s="74" t="s">
        <v>443</v>
      </c>
    </row>
    <row r="5242" spans="1:3">
      <c r="A5242" s="250">
        <v>14589</v>
      </c>
      <c r="B5242" s="74" t="s">
        <v>3839</v>
      </c>
      <c r="C5242" s="74" t="s">
        <v>443</v>
      </c>
    </row>
    <row r="5243" spans="1:3">
      <c r="A5243" s="250">
        <v>14590</v>
      </c>
      <c r="B5243" s="74" t="s">
        <v>1860</v>
      </c>
      <c r="C5243" s="74" t="s">
        <v>443</v>
      </c>
    </row>
    <row r="5244" spans="1:3">
      <c r="A5244" s="250">
        <v>14591</v>
      </c>
      <c r="B5244" s="74" t="s">
        <v>1142</v>
      </c>
      <c r="C5244" s="74" t="s">
        <v>443</v>
      </c>
    </row>
    <row r="5245" spans="1:3">
      <c r="A5245" s="250">
        <v>14592</v>
      </c>
      <c r="B5245" s="74" t="s">
        <v>1359</v>
      </c>
      <c r="C5245" s="74" t="s">
        <v>443</v>
      </c>
    </row>
    <row r="5246" spans="1:3">
      <c r="A5246" s="250">
        <v>14602</v>
      </c>
      <c r="B5246" s="74" t="s">
        <v>1085</v>
      </c>
      <c r="C5246" s="74" t="s">
        <v>443</v>
      </c>
    </row>
    <row r="5247" spans="1:3">
      <c r="A5247" s="250">
        <v>14603</v>
      </c>
      <c r="B5247" s="74" t="s">
        <v>1085</v>
      </c>
      <c r="C5247" s="74" t="s">
        <v>443</v>
      </c>
    </row>
    <row r="5248" spans="1:3">
      <c r="A5248" s="250">
        <v>14604</v>
      </c>
      <c r="B5248" s="74" t="s">
        <v>1085</v>
      </c>
      <c r="C5248" s="74" t="s">
        <v>443</v>
      </c>
    </row>
    <row r="5249" spans="1:3">
      <c r="A5249" s="250">
        <v>14605</v>
      </c>
      <c r="B5249" s="74" t="s">
        <v>1085</v>
      </c>
      <c r="C5249" s="74" t="s">
        <v>443</v>
      </c>
    </row>
    <row r="5250" spans="1:3">
      <c r="A5250" s="250">
        <v>14606</v>
      </c>
      <c r="B5250" s="74" t="s">
        <v>1085</v>
      </c>
      <c r="C5250" s="74" t="s">
        <v>443</v>
      </c>
    </row>
    <row r="5251" spans="1:3">
      <c r="A5251" s="250">
        <v>14607</v>
      </c>
      <c r="B5251" s="74" t="s">
        <v>1085</v>
      </c>
      <c r="C5251" s="74" t="s">
        <v>443</v>
      </c>
    </row>
    <row r="5252" spans="1:3">
      <c r="A5252" s="250">
        <v>14608</v>
      </c>
      <c r="B5252" s="74" t="s">
        <v>1085</v>
      </c>
      <c r="C5252" s="74" t="s">
        <v>443</v>
      </c>
    </row>
    <row r="5253" spans="1:3">
      <c r="A5253" s="250">
        <v>14609</v>
      </c>
      <c r="B5253" s="74" t="s">
        <v>1085</v>
      </c>
      <c r="C5253" s="74" t="s">
        <v>443</v>
      </c>
    </row>
    <row r="5254" spans="1:3">
      <c r="A5254" s="250">
        <v>14610</v>
      </c>
      <c r="B5254" s="74" t="s">
        <v>1085</v>
      </c>
      <c r="C5254" s="74" t="s">
        <v>443</v>
      </c>
    </row>
    <row r="5255" spans="1:3">
      <c r="A5255" s="250">
        <v>14611</v>
      </c>
      <c r="B5255" s="74" t="s">
        <v>1085</v>
      </c>
      <c r="C5255" s="74" t="s">
        <v>443</v>
      </c>
    </row>
    <row r="5256" spans="1:3">
      <c r="A5256" s="250">
        <v>14612</v>
      </c>
      <c r="B5256" s="74" t="s">
        <v>1085</v>
      </c>
      <c r="C5256" s="74" t="s">
        <v>443</v>
      </c>
    </row>
    <row r="5257" spans="1:3">
      <c r="A5257" s="250">
        <v>14613</v>
      </c>
      <c r="B5257" s="74" t="s">
        <v>1085</v>
      </c>
      <c r="C5257" s="74" t="s">
        <v>443</v>
      </c>
    </row>
    <row r="5258" spans="1:3">
      <c r="A5258" s="250">
        <v>14614</v>
      </c>
      <c r="B5258" s="74" t="s">
        <v>1085</v>
      </c>
      <c r="C5258" s="74" t="s">
        <v>443</v>
      </c>
    </row>
    <row r="5259" spans="1:3">
      <c r="A5259" s="250">
        <v>14615</v>
      </c>
      <c r="B5259" s="74" t="s">
        <v>1085</v>
      </c>
      <c r="C5259" s="74" t="s">
        <v>443</v>
      </c>
    </row>
    <row r="5260" spans="1:3">
      <c r="A5260" s="250">
        <v>14616</v>
      </c>
      <c r="B5260" s="74" t="s">
        <v>1085</v>
      </c>
      <c r="C5260" s="74" t="s">
        <v>443</v>
      </c>
    </row>
    <row r="5261" spans="1:3">
      <c r="A5261" s="250">
        <v>14617</v>
      </c>
      <c r="B5261" s="74" t="s">
        <v>1085</v>
      </c>
      <c r="C5261" s="74" t="s">
        <v>443</v>
      </c>
    </row>
    <row r="5262" spans="1:3">
      <c r="A5262" s="250">
        <v>14618</v>
      </c>
      <c r="B5262" s="74" t="s">
        <v>1085</v>
      </c>
      <c r="C5262" s="74" t="s">
        <v>443</v>
      </c>
    </row>
    <row r="5263" spans="1:3">
      <c r="A5263" s="250">
        <v>14619</v>
      </c>
      <c r="B5263" s="74" t="s">
        <v>1085</v>
      </c>
      <c r="C5263" s="74" t="s">
        <v>443</v>
      </c>
    </row>
    <row r="5264" spans="1:3">
      <c r="A5264" s="250">
        <v>14620</v>
      </c>
      <c r="B5264" s="74" t="s">
        <v>1085</v>
      </c>
      <c r="C5264" s="74" t="s">
        <v>443</v>
      </c>
    </row>
    <row r="5265" spans="1:3">
      <c r="A5265" s="250">
        <v>14621</v>
      </c>
      <c r="B5265" s="74" t="s">
        <v>1085</v>
      </c>
      <c r="C5265" s="74" t="s">
        <v>443</v>
      </c>
    </row>
    <row r="5266" spans="1:3">
      <c r="A5266" s="250">
        <v>14622</v>
      </c>
      <c r="B5266" s="74" t="s">
        <v>1085</v>
      </c>
      <c r="C5266" s="74" t="s">
        <v>443</v>
      </c>
    </row>
    <row r="5267" spans="1:3">
      <c r="A5267" s="250">
        <v>14623</v>
      </c>
      <c r="B5267" s="74" t="s">
        <v>1085</v>
      </c>
      <c r="C5267" s="74" t="s">
        <v>443</v>
      </c>
    </row>
    <row r="5268" spans="1:3">
      <c r="A5268" s="250">
        <v>14624</v>
      </c>
      <c r="B5268" s="74" t="s">
        <v>1085</v>
      </c>
      <c r="C5268" s="74" t="s">
        <v>443</v>
      </c>
    </row>
    <row r="5269" spans="1:3">
      <c r="A5269" s="250">
        <v>14625</v>
      </c>
      <c r="B5269" s="74" t="s">
        <v>1085</v>
      </c>
      <c r="C5269" s="74" t="s">
        <v>443</v>
      </c>
    </row>
    <row r="5270" spans="1:3">
      <c r="A5270" s="250">
        <v>14626</v>
      </c>
      <c r="B5270" s="74" t="s">
        <v>1085</v>
      </c>
      <c r="C5270" s="74" t="s">
        <v>443</v>
      </c>
    </row>
    <row r="5271" spans="1:3">
      <c r="A5271" s="250">
        <v>14627</v>
      </c>
      <c r="B5271" s="74" t="s">
        <v>1085</v>
      </c>
      <c r="C5271" s="74" t="s">
        <v>443</v>
      </c>
    </row>
    <row r="5272" spans="1:3">
      <c r="A5272" s="250">
        <v>14638</v>
      </c>
      <c r="B5272" s="74" t="s">
        <v>1085</v>
      </c>
      <c r="C5272" s="74" t="s">
        <v>443</v>
      </c>
    </row>
    <row r="5273" spans="1:3">
      <c r="A5273" s="250">
        <v>14639</v>
      </c>
      <c r="B5273" s="74" t="s">
        <v>1085</v>
      </c>
      <c r="C5273" s="74" t="s">
        <v>443</v>
      </c>
    </row>
    <row r="5274" spans="1:3">
      <c r="A5274" s="250">
        <v>14642</v>
      </c>
      <c r="B5274" s="74" t="s">
        <v>1085</v>
      </c>
      <c r="C5274" s="74" t="s">
        <v>443</v>
      </c>
    </row>
    <row r="5275" spans="1:3">
      <c r="A5275" s="250">
        <v>14643</v>
      </c>
      <c r="B5275" s="74" t="s">
        <v>1085</v>
      </c>
      <c r="C5275" s="74" t="s">
        <v>443</v>
      </c>
    </row>
    <row r="5276" spans="1:3">
      <c r="A5276" s="250">
        <v>14644</v>
      </c>
      <c r="B5276" s="74" t="s">
        <v>1085</v>
      </c>
      <c r="C5276" s="74" t="s">
        <v>443</v>
      </c>
    </row>
    <row r="5277" spans="1:3">
      <c r="A5277" s="250">
        <v>14645</v>
      </c>
      <c r="B5277" s="74" t="s">
        <v>1085</v>
      </c>
      <c r="C5277" s="74" t="s">
        <v>443</v>
      </c>
    </row>
    <row r="5278" spans="1:3">
      <c r="A5278" s="250">
        <v>14646</v>
      </c>
      <c r="B5278" s="74" t="s">
        <v>1085</v>
      </c>
      <c r="C5278" s="74" t="s">
        <v>443</v>
      </c>
    </row>
    <row r="5279" spans="1:3">
      <c r="A5279" s="250">
        <v>14647</v>
      </c>
      <c r="B5279" s="74" t="s">
        <v>1085</v>
      </c>
      <c r="C5279" s="74" t="s">
        <v>443</v>
      </c>
    </row>
    <row r="5280" spans="1:3">
      <c r="A5280" s="250">
        <v>14649</v>
      </c>
      <c r="B5280" s="74" t="s">
        <v>1085</v>
      </c>
      <c r="C5280" s="74" t="s">
        <v>443</v>
      </c>
    </row>
    <row r="5281" spans="1:3">
      <c r="A5281" s="250">
        <v>14650</v>
      </c>
      <c r="B5281" s="74" t="s">
        <v>1085</v>
      </c>
      <c r="C5281" s="74" t="s">
        <v>443</v>
      </c>
    </row>
    <row r="5282" spans="1:3">
      <c r="A5282" s="250">
        <v>14651</v>
      </c>
      <c r="B5282" s="74" t="s">
        <v>1085</v>
      </c>
      <c r="C5282" s="74" t="s">
        <v>443</v>
      </c>
    </row>
    <row r="5283" spans="1:3">
      <c r="A5283" s="250">
        <v>14652</v>
      </c>
      <c r="B5283" s="74" t="s">
        <v>1085</v>
      </c>
      <c r="C5283" s="74" t="s">
        <v>443</v>
      </c>
    </row>
    <row r="5284" spans="1:3">
      <c r="A5284" s="250">
        <v>14653</v>
      </c>
      <c r="B5284" s="74" t="s">
        <v>1085</v>
      </c>
      <c r="C5284" s="74" t="s">
        <v>443</v>
      </c>
    </row>
    <row r="5285" spans="1:3">
      <c r="A5285" s="250">
        <v>14664</v>
      </c>
      <c r="B5285" s="74" t="s">
        <v>1085</v>
      </c>
      <c r="C5285" s="74" t="s">
        <v>443</v>
      </c>
    </row>
    <row r="5286" spans="1:3">
      <c r="A5286" s="250">
        <v>14673</v>
      </c>
      <c r="B5286" s="74" t="s">
        <v>1085</v>
      </c>
      <c r="C5286" s="74" t="s">
        <v>443</v>
      </c>
    </row>
    <row r="5287" spans="1:3">
      <c r="A5287" s="250">
        <v>14683</v>
      </c>
      <c r="B5287" s="74" t="s">
        <v>1085</v>
      </c>
      <c r="C5287" s="74" t="s">
        <v>443</v>
      </c>
    </row>
    <row r="5288" spans="1:3">
      <c r="A5288" s="250">
        <v>14692</v>
      </c>
      <c r="B5288" s="74" t="s">
        <v>1085</v>
      </c>
      <c r="C5288" s="74" t="s">
        <v>443</v>
      </c>
    </row>
    <row r="5289" spans="1:3">
      <c r="A5289" s="250">
        <v>14694</v>
      </c>
      <c r="B5289" s="74" t="s">
        <v>1085</v>
      </c>
      <c r="C5289" s="74" t="s">
        <v>443</v>
      </c>
    </row>
    <row r="5290" spans="1:3">
      <c r="A5290" s="250">
        <v>14701</v>
      </c>
      <c r="B5290" s="74" t="s">
        <v>1113</v>
      </c>
      <c r="C5290" s="74" t="s">
        <v>443</v>
      </c>
    </row>
    <row r="5291" spans="1:3">
      <c r="A5291" s="250">
        <v>14702</v>
      </c>
      <c r="B5291" s="74" t="s">
        <v>1113</v>
      </c>
      <c r="C5291" s="74" t="s">
        <v>443</v>
      </c>
    </row>
    <row r="5292" spans="1:3">
      <c r="A5292" s="250">
        <v>14706</v>
      </c>
      <c r="B5292" s="74" t="s">
        <v>3840</v>
      </c>
      <c r="C5292" s="74" t="s">
        <v>443</v>
      </c>
    </row>
    <row r="5293" spans="1:3">
      <c r="A5293" s="250">
        <v>14707</v>
      </c>
      <c r="B5293" s="74" t="s">
        <v>2507</v>
      </c>
      <c r="C5293" s="74" t="s">
        <v>443</v>
      </c>
    </row>
    <row r="5294" spans="1:3">
      <c r="A5294" s="250">
        <v>14708</v>
      </c>
      <c r="B5294" s="74" t="s">
        <v>3841</v>
      </c>
      <c r="C5294" s="74" t="s">
        <v>443</v>
      </c>
    </row>
    <row r="5295" spans="1:3">
      <c r="A5295" s="250">
        <v>14709</v>
      </c>
      <c r="B5295" s="74" t="s">
        <v>3842</v>
      </c>
      <c r="C5295" s="74" t="s">
        <v>443</v>
      </c>
    </row>
    <row r="5296" spans="1:3">
      <c r="A5296" s="250">
        <v>14710</v>
      </c>
      <c r="B5296" s="74" t="s">
        <v>3843</v>
      </c>
      <c r="C5296" s="74" t="s">
        <v>443</v>
      </c>
    </row>
    <row r="5297" spans="1:3">
      <c r="A5297" s="250">
        <v>14711</v>
      </c>
      <c r="B5297" s="74" t="s">
        <v>1679</v>
      </c>
      <c r="C5297" s="74" t="s">
        <v>443</v>
      </c>
    </row>
    <row r="5298" spans="1:3">
      <c r="A5298" s="250">
        <v>14712</v>
      </c>
      <c r="B5298" s="74" t="s">
        <v>3844</v>
      </c>
      <c r="C5298" s="74" t="s">
        <v>443</v>
      </c>
    </row>
    <row r="5299" spans="1:3">
      <c r="A5299" s="250">
        <v>14714</v>
      </c>
      <c r="B5299" s="74" t="s">
        <v>3845</v>
      </c>
      <c r="C5299" s="74" t="s">
        <v>443</v>
      </c>
    </row>
    <row r="5300" spans="1:3">
      <c r="A5300" s="250">
        <v>14715</v>
      </c>
      <c r="B5300" s="74" t="s">
        <v>3846</v>
      </c>
      <c r="C5300" s="74" t="s">
        <v>443</v>
      </c>
    </row>
    <row r="5301" spans="1:3">
      <c r="A5301" s="250">
        <v>14716</v>
      </c>
      <c r="B5301" s="74" t="s">
        <v>3847</v>
      </c>
      <c r="C5301" s="74" t="s">
        <v>443</v>
      </c>
    </row>
    <row r="5302" spans="1:3">
      <c r="A5302" s="250">
        <v>14717</v>
      </c>
      <c r="B5302" s="74" t="s">
        <v>3848</v>
      </c>
      <c r="C5302" s="74" t="s">
        <v>443</v>
      </c>
    </row>
    <row r="5303" spans="1:3">
      <c r="A5303" s="250">
        <v>14718</v>
      </c>
      <c r="B5303" s="74" t="s">
        <v>3849</v>
      </c>
      <c r="C5303" s="74" t="s">
        <v>443</v>
      </c>
    </row>
    <row r="5304" spans="1:3">
      <c r="A5304" s="250">
        <v>14719</v>
      </c>
      <c r="B5304" s="74" t="s">
        <v>3850</v>
      </c>
      <c r="C5304" s="74" t="s">
        <v>443</v>
      </c>
    </row>
    <row r="5305" spans="1:3">
      <c r="A5305" s="250">
        <v>14720</v>
      </c>
      <c r="B5305" s="74" t="s">
        <v>3851</v>
      </c>
      <c r="C5305" s="74" t="s">
        <v>443</v>
      </c>
    </row>
    <row r="5306" spans="1:3">
      <c r="A5306" s="250">
        <v>14721</v>
      </c>
      <c r="B5306" s="74" t="s">
        <v>3852</v>
      </c>
      <c r="C5306" s="74" t="s">
        <v>443</v>
      </c>
    </row>
    <row r="5307" spans="1:3">
      <c r="A5307" s="250">
        <v>14722</v>
      </c>
      <c r="B5307" s="74" t="s">
        <v>3853</v>
      </c>
      <c r="C5307" s="74" t="s">
        <v>443</v>
      </c>
    </row>
    <row r="5308" spans="1:3">
      <c r="A5308" s="250">
        <v>14723</v>
      </c>
      <c r="B5308" s="74" t="s">
        <v>3854</v>
      </c>
      <c r="C5308" s="74" t="s">
        <v>443</v>
      </c>
    </row>
    <row r="5309" spans="1:3">
      <c r="A5309" s="250">
        <v>14724</v>
      </c>
      <c r="B5309" s="74" t="s">
        <v>3855</v>
      </c>
      <c r="C5309" s="74" t="s">
        <v>443</v>
      </c>
    </row>
    <row r="5310" spans="1:3">
      <c r="A5310" s="250">
        <v>14726</v>
      </c>
      <c r="B5310" s="74" t="s">
        <v>3856</v>
      </c>
      <c r="C5310" s="74" t="s">
        <v>443</v>
      </c>
    </row>
    <row r="5311" spans="1:3">
      <c r="A5311" s="250">
        <v>14727</v>
      </c>
      <c r="B5311" s="74" t="s">
        <v>3857</v>
      </c>
      <c r="C5311" s="74" t="s">
        <v>443</v>
      </c>
    </row>
    <row r="5312" spans="1:3">
      <c r="A5312" s="250">
        <v>14728</v>
      </c>
      <c r="B5312" s="74" t="s">
        <v>3858</v>
      </c>
      <c r="C5312" s="74" t="s">
        <v>443</v>
      </c>
    </row>
    <row r="5313" spans="1:3">
      <c r="A5313" s="250">
        <v>14729</v>
      </c>
      <c r="B5313" s="74" t="s">
        <v>3859</v>
      </c>
      <c r="C5313" s="74" t="s">
        <v>443</v>
      </c>
    </row>
    <row r="5314" spans="1:3">
      <c r="A5314" s="250">
        <v>14730</v>
      </c>
      <c r="B5314" s="74" t="s">
        <v>1733</v>
      </c>
      <c r="C5314" s="74" t="s">
        <v>443</v>
      </c>
    </row>
    <row r="5315" spans="1:3">
      <c r="A5315" s="250">
        <v>14731</v>
      </c>
      <c r="B5315" s="74" t="s">
        <v>3860</v>
      </c>
      <c r="C5315" s="74" t="s">
        <v>443</v>
      </c>
    </row>
    <row r="5316" spans="1:3">
      <c r="A5316" s="250">
        <v>14732</v>
      </c>
      <c r="B5316" s="74" t="s">
        <v>1943</v>
      </c>
      <c r="C5316" s="74" t="s">
        <v>443</v>
      </c>
    </row>
    <row r="5317" spans="1:3">
      <c r="A5317" s="250">
        <v>14733</v>
      </c>
      <c r="B5317" s="74" t="s">
        <v>3861</v>
      </c>
      <c r="C5317" s="74" t="s">
        <v>443</v>
      </c>
    </row>
    <row r="5318" spans="1:3">
      <c r="A5318" s="250">
        <v>14735</v>
      </c>
      <c r="B5318" s="74" t="s">
        <v>3862</v>
      </c>
      <c r="C5318" s="74" t="s">
        <v>443</v>
      </c>
    </row>
    <row r="5319" spans="1:3">
      <c r="A5319" s="250">
        <v>14736</v>
      </c>
      <c r="B5319" s="74" t="s">
        <v>3863</v>
      </c>
      <c r="C5319" s="74" t="s">
        <v>443</v>
      </c>
    </row>
    <row r="5320" spans="1:3">
      <c r="A5320" s="250">
        <v>14737</v>
      </c>
      <c r="B5320" s="74" t="s">
        <v>2485</v>
      </c>
      <c r="C5320" s="74" t="s">
        <v>443</v>
      </c>
    </row>
    <row r="5321" spans="1:3">
      <c r="A5321" s="250">
        <v>14738</v>
      </c>
      <c r="B5321" s="74" t="s">
        <v>3864</v>
      </c>
      <c r="C5321" s="74" t="s">
        <v>443</v>
      </c>
    </row>
    <row r="5322" spans="1:3">
      <c r="A5322" s="250">
        <v>14739</v>
      </c>
      <c r="B5322" s="74" t="s">
        <v>1543</v>
      </c>
      <c r="C5322" s="74" t="s">
        <v>443</v>
      </c>
    </row>
    <row r="5323" spans="1:3">
      <c r="A5323" s="250">
        <v>14740</v>
      </c>
      <c r="B5323" s="74" t="s">
        <v>3865</v>
      </c>
      <c r="C5323" s="74" t="s">
        <v>443</v>
      </c>
    </row>
    <row r="5324" spans="1:3">
      <c r="A5324" s="250">
        <v>14741</v>
      </c>
      <c r="B5324" s="74" t="s">
        <v>3866</v>
      </c>
      <c r="C5324" s="74" t="s">
        <v>443</v>
      </c>
    </row>
    <row r="5325" spans="1:3">
      <c r="A5325" s="250">
        <v>14742</v>
      </c>
      <c r="B5325" s="74" t="s">
        <v>3867</v>
      </c>
      <c r="C5325" s="74" t="s">
        <v>443</v>
      </c>
    </row>
    <row r="5326" spans="1:3">
      <c r="A5326" s="250">
        <v>14743</v>
      </c>
      <c r="B5326" s="74" t="s">
        <v>646</v>
      </c>
      <c r="C5326" s="74" t="s">
        <v>443</v>
      </c>
    </row>
    <row r="5327" spans="1:3">
      <c r="A5327" s="250">
        <v>14744</v>
      </c>
      <c r="B5327" s="74" t="s">
        <v>3868</v>
      </c>
      <c r="C5327" s="74" t="s">
        <v>443</v>
      </c>
    </row>
    <row r="5328" spans="1:3">
      <c r="A5328" s="250">
        <v>14745</v>
      </c>
      <c r="B5328" s="74" t="s">
        <v>3869</v>
      </c>
      <c r="C5328" s="74" t="s">
        <v>443</v>
      </c>
    </row>
    <row r="5329" spans="1:3">
      <c r="A5329" s="250">
        <v>14747</v>
      </c>
      <c r="B5329" s="74" t="s">
        <v>3870</v>
      </c>
      <c r="C5329" s="74" t="s">
        <v>443</v>
      </c>
    </row>
    <row r="5330" spans="1:3">
      <c r="A5330" s="250">
        <v>14748</v>
      </c>
      <c r="B5330" s="74" t="s">
        <v>3871</v>
      </c>
      <c r="C5330" s="74" t="s">
        <v>443</v>
      </c>
    </row>
    <row r="5331" spans="1:3">
      <c r="A5331" s="250">
        <v>14750</v>
      </c>
      <c r="B5331" s="74" t="s">
        <v>2535</v>
      </c>
      <c r="C5331" s="74" t="s">
        <v>443</v>
      </c>
    </row>
    <row r="5332" spans="1:3">
      <c r="A5332" s="250">
        <v>14751</v>
      </c>
      <c r="B5332" s="74" t="s">
        <v>3872</v>
      </c>
      <c r="C5332" s="74" t="s">
        <v>443</v>
      </c>
    </row>
    <row r="5333" spans="1:3">
      <c r="A5333" s="250">
        <v>14752</v>
      </c>
      <c r="B5333" s="74" t="s">
        <v>3873</v>
      </c>
      <c r="C5333" s="74" t="s">
        <v>443</v>
      </c>
    </row>
    <row r="5334" spans="1:3">
      <c r="A5334" s="250">
        <v>14753</v>
      </c>
      <c r="B5334" s="74" t="s">
        <v>1635</v>
      </c>
      <c r="C5334" s="74" t="s">
        <v>443</v>
      </c>
    </row>
    <row r="5335" spans="1:3">
      <c r="A5335" s="250">
        <v>14754</v>
      </c>
      <c r="B5335" s="74" t="s">
        <v>3874</v>
      </c>
      <c r="C5335" s="74" t="s">
        <v>443</v>
      </c>
    </row>
    <row r="5336" spans="1:3">
      <c r="A5336" s="250">
        <v>14755</v>
      </c>
      <c r="B5336" s="74" t="s">
        <v>3875</v>
      </c>
      <c r="C5336" s="74" t="s">
        <v>443</v>
      </c>
    </row>
    <row r="5337" spans="1:3">
      <c r="A5337" s="250">
        <v>14756</v>
      </c>
      <c r="B5337" s="74" t="s">
        <v>3876</v>
      </c>
      <c r="C5337" s="74" t="s">
        <v>443</v>
      </c>
    </row>
    <row r="5338" spans="1:3">
      <c r="A5338" s="250">
        <v>14757</v>
      </c>
      <c r="B5338" s="74" t="s">
        <v>3877</v>
      </c>
      <c r="C5338" s="74" t="s">
        <v>443</v>
      </c>
    </row>
    <row r="5339" spans="1:3">
      <c r="A5339" s="250">
        <v>14758</v>
      </c>
      <c r="B5339" s="74" t="s">
        <v>3878</v>
      </c>
      <c r="C5339" s="74" t="s">
        <v>443</v>
      </c>
    </row>
    <row r="5340" spans="1:3">
      <c r="A5340" s="250">
        <v>14760</v>
      </c>
      <c r="B5340" s="74" t="s">
        <v>3879</v>
      </c>
      <c r="C5340" s="74" t="s">
        <v>443</v>
      </c>
    </row>
    <row r="5341" spans="1:3">
      <c r="A5341" s="250">
        <v>14766</v>
      </c>
      <c r="B5341" s="74" t="s">
        <v>3880</v>
      </c>
      <c r="C5341" s="74" t="s">
        <v>443</v>
      </c>
    </row>
    <row r="5342" spans="1:3">
      <c r="A5342" s="250">
        <v>14767</v>
      </c>
      <c r="B5342" s="74" t="s">
        <v>3881</v>
      </c>
      <c r="C5342" s="74" t="s">
        <v>443</v>
      </c>
    </row>
    <row r="5343" spans="1:3">
      <c r="A5343" s="250">
        <v>14769</v>
      </c>
      <c r="B5343" s="74" t="s">
        <v>1429</v>
      </c>
      <c r="C5343" s="74" t="s">
        <v>443</v>
      </c>
    </row>
    <row r="5344" spans="1:3">
      <c r="A5344" s="250">
        <v>14770</v>
      </c>
      <c r="B5344" s="74" t="s">
        <v>3882</v>
      </c>
      <c r="C5344" s="74" t="s">
        <v>443</v>
      </c>
    </row>
    <row r="5345" spans="1:3">
      <c r="A5345" s="250">
        <v>14772</v>
      </c>
      <c r="B5345" s="74" t="s">
        <v>960</v>
      </c>
      <c r="C5345" s="74" t="s">
        <v>443</v>
      </c>
    </row>
    <row r="5346" spans="1:3">
      <c r="A5346" s="250">
        <v>14774</v>
      </c>
      <c r="B5346" s="74" t="s">
        <v>3883</v>
      </c>
      <c r="C5346" s="74" t="s">
        <v>443</v>
      </c>
    </row>
    <row r="5347" spans="1:3">
      <c r="A5347" s="250">
        <v>14775</v>
      </c>
      <c r="B5347" s="74" t="s">
        <v>3884</v>
      </c>
      <c r="C5347" s="74" t="s">
        <v>443</v>
      </c>
    </row>
    <row r="5348" spans="1:3">
      <c r="A5348" s="250">
        <v>14777</v>
      </c>
      <c r="B5348" s="74" t="s">
        <v>3885</v>
      </c>
      <c r="C5348" s="74" t="s">
        <v>443</v>
      </c>
    </row>
    <row r="5349" spans="1:3">
      <c r="A5349" s="250">
        <v>14778</v>
      </c>
      <c r="B5349" s="74" t="s">
        <v>3886</v>
      </c>
      <c r="C5349" s="74" t="s">
        <v>443</v>
      </c>
    </row>
    <row r="5350" spans="1:3">
      <c r="A5350" s="250">
        <v>14779</v>
      </c>
      <c r="B5350" s="74" t="s">
        <v>3887</v>
      </c>
      <c r="C5350" s="74" t="s">
        <v>443</v>
      </c>
    </row>
    <row r="5351" spans="1:3">
      <c r="A5351" s="250">
        <v>14781</v>
      </c>
      <c r="B5351" s="74" t="s">
        <v>1652</v>
      </c>
      <c r="C5351" s="74" t="s">
        <v>443</v>
      </c>
    </row>
    <row r="5352" spans="1:3">
      <c r="A5352" s="250">
        <v>14782</v>
      </c>
      <c r="B5352" s="74" t="s">
        <v>3888</v>
      </c>
      <c r="C5352" s="74" t="s">
        <v>443</v>
      </c>
    </row>
    <row r="5353" spans="1:3">
      <c r="A5353" s="250">
        <v>14783</v>
      </c>
      <c r="B5353" s="74" t="s">
        <v>3889</v>
      </c>
      <c r="C5353" s="74" t="s">
        <v>443</v>
      </c>
    </row>
    <row r="5354" spans="1:3">
      <c r="A5354" s="250">
        <v>14784</v>
      </c>
      <c r="B5354" s="74" t="s">
        <v>2529</v>
      </c>
      <c r="C5354" s="74" t="s">
        <v>443</v>
      </c>
    </row>
    <row r="5355" spans="1:3">
      <c r="A5355" s="250">
        <v>14785</v>
      </c>
      <c r="B5355" s="74" t="s">
        <v>801</v>
      </c>
      <c r="C5355" s="74" t="s">
        <v>443</v>
      </c>
    </row>
    <row r="5356" spans="1:3">
      <c r="A5356" s="250">
        <v>14786</v>
      </c>
      <c r="B5356" s="74" t="s">
        <v>3890</v>
      </c>
      <c r="C5356" s="74" t="s">
        <v>443</v>
      </c>
    </row>
    <row r="5357" spans="1:3">
      <c r="A5357" s="250">
        <v>14787</v>
      </c>
      <c r="B5357" s="74" t="s">
        <v>624</v>
      </c>
      <c r="C5357" s="74" t="s">
        <v>443</v>
      </c>
    </row>
    <row r="5358" spans="1:3">
      <c r="A5358" s="250">
        <v>14788</v>
      </c>
      <c r="B5358" s="74" t="s">
        <v>3891</v>
      </c>
      <c r="C5358" s="74" t="s">
        <v>443</v>
      </c>
    </row>
    <row r="5359" spans="1:3">
      <c r="A5359" s="250">
        <v>14801</v>
      </c>
      <c r="B5359" s="74" t="s">
        <v>1564</v>
      </c>
      <c r="C5359" s="74" t="s">
        <v>443</v>
      </c>
    </row>
    <row r="5360" spans="1:3">
      <c r="A5360" s="250">
        <v>14802</v>
      </c>
      <c r="B5360" s="74" t="s">
        <v>1362</v>
      </c>
      <c r="C5360" s="74" t="s">
        <v>443</v>
      </c>
    </row>
    <row r="5361" spans="1:3">
      <c r="A5361" s="250">
        <v>14803</v>
      </c>
      <c r="B5361" s="74" t="s">
        <v>3892</v>
      </c>
      <c r="C5361" s="74" t="s">
        <v>443</v>
      </c>
    </row>
    <row r="5362" spans="1:3">
      <c r="A5362" s="250">
        <v>14804</v>
      </c>
      <c r="B5362" s="74" t="s">
        <v>3893</v>
      </c>
      <c r="C5362" s="74" t="s">
        <v>443</v>
      </c>
    </row>
    <row r="5363" spans="1:3">
      <c r="A5363" s="250">
        <v>14805</v>
      </c>
      <c r="B5363" s="74" t="s">
        <v>2225</v>
      </c>
      <c r="C5363" s="74" t="s">
        <v>443</v>
      </c>
    </row>
    <row r="5364" spans="1:3">
      <c r="A5364" s="250">
        <v>14806</v>
      </c>
      <c r="B5364" s="74" t="s">
        <v>807</v>
      </c>
      <c r="C5364" s="74" t="s">
        <v>443</v>
      </c>
    </row>
    <row r="5365" spans="1:3">
      <c r="A5365" s="250">
        <v>14807</v>
      </c>
      <c r="B5365" s="74" t="s">
        <v>3894</v>
      </c>
      <c r="C5365" s="74" t="s">
        <v>443</v>
      </c>
    </row>
    <row r="5366" spans="1:3">
      <c r="A5366" s="250">
        <v>14808</v>
      </c>
      <c r="B5366" s="74" t="s">
        <v>3895</v>
      </c>
      <c r="C5366" s="74" t="s">
        <v>443</v>
      </c>
    </row>
    <row r="5367" spans="1:3">
      <c r="A5367" s="250">
        <v>14809</v>
      </c>
      <c r="B5367" s="74" t="s">
        <v>3896</v>
      </c>
      <c r="C5367" s="74" t="s">
        <v>443</v>
      </c>
    </row>
    <row r="5368" spans="1:3">
      <c r="A5368" s="250">
        <v>14810</v>
      </c>
      <c r="B5368" s="74" t="s">
        <v>1269</v>
      </c>
      <c r="C5368" s="74" t="s">
        <v>443</v>
      </c>
    </row>
    <row r="5369" spans="1:3">
      <c r="A5369" s="250">
        <v>14812</v>
      </c>
      <c r="B5369" s="74" t="s">
        <v>3897</v>
      </c>
      <c r="C5369" s="74" t="s">
        <v>443</v>
      </c>
    </row>
    <row r="5370" spans="1:3">
      <c r="A5370" s="250">
        <v>14813</v>
      </c>
      <c r="B5370" s="74" t="s">
        <v>986</v>
      </c>
      <c r="C5370" s="74" t="s">
        <v>443</v>
      </c>
    </row>
    <row r="5371" spans="1:3">
      <c r="A5371" s="250">
        <v>14814</v>
      </c>
      <c r="B5371" s="74" t="s">
        <v>3898</v>
      </c>
      <c r="C5371" s="74" t="s">
        <v>443</v>
      </c>
    </row>
    <row r="5372" spans="1:3">
      <c r="A5372" s="250">
        <v>14815</v>
      </c>
      <c r="B5372" s="74" t="s">
        <v>1097</v>
      </c>
      <c r="C5372" s="74" t="s">
        <v>443</v>
      </c>
    </row>
    <row r="5373" spans="1:3">
      <c r="A5373" s="250">
        <v>14816</v>
      </c>
      <c r="B5373" s="74" t="s">
        <v>3899</v>
      </c>
      <c r="C5373" s="74" t="s">
        <v>443</v>
      </c>
    </row>
    <row r="5374" spans="1:3">
      <c r="A5374" s="250">
        <v>14817</v>
      </c>
      <c r="B5374" s="74" t="s">
        <v>3900</v>
      </c>
      <c r="C5374" s="74" t="s">
        <v>443</v>
      </c>
    </row>
    <row r="5375" spans="1:3">
      <c r="A5375" s="250">
        <v>14818</v>
      </c>
      <c r="B5375" s="74" t="s">
        <v>3901</v>
      </c>
      <c r="C5375" s="74" t="s">
        <v>443</v>
      </c>
    </row>
    <row r="5376" spans="1:3">
      <c r="A5376" s="250">
        <v>14819</v>
      </c>
      <c r="B5376" s="74" t="s">
        <v>3902</v>
      </c>
      <c r="C5376" s="74" t="s">
        <v>443</v>
      </c>
    </row>
    <row r="5377" spans="1:3">
      <c r="A5377" s="250">
        <v>14820</v>
      </c>
      <c r="B5377" s="74" t="s">
        <v>3903</v>
      </c>
      <c r="C5377" s="74" t="s">
        <v>443</v>
      </c>
    </row>
    <row r="5378" spans="1:3">
      <c r="A5378" s="250">
        <v>14821</v>
      </c>
      <c r="B5378" s="74" t="s">
        <v>3904</v>
      </c>
      <c r="C5378" s="74" t="s">
        <v>443</v>
      </c>
    </row>
    <row r="5379" spans="1:3">
      <c r="A5379" s="250">
        <v>14822</v>
      </c>
      <c r="B5379" s="74" t="s">
        <v>3905</v>
      </c>
      <c r="C5379" s="74" t="s">
        <v>443</v>
      </c>
    </row>
    <row r="5380" spans="1:3">
      <c r="A5380" s="250">
        <v>14823</v>
      </c>
      <c r="B5380" s="74" t="s">
        <v>3906</v>
      </c>
      <c r="C5380" s="74" t="s">
        <v>443</v>
      </c>
    </row>
    <row r="5381" spans="1:3">
      <c r="A5381" s="250">
        <v>14824</v>
      </c>
      <c r="B5381" s="74" t="s">
        <v>3907</v>
      </c>
      <c r="C5381" s="74" t="s">
        <v>443</v>
      </c>
    </row>
    <row r="5382" spans="1:3">
      <c r="A5382" s="250">
        <v>14825</v>
      </c>
      <c r="B5382" s="74" t="s">
        <v>3908</v>
      </c>
      <c r="C5382" s="74" t="s">
        <v>443</v>
      </c>
    </row>
    <row r="5383" spans="1:3">
      <c r="A5383" s="250">
        <v>14826</v>
      </c>
      <c r="B5383" s="74" t="s">
        <v>3909</v>
      </c>
      <c r="C5383" s="74" t="s">
        <v>443</v>
      </c>
    </row>
    <row r="5384" spans="1:3">
      <c r="A5384" s="250">
        <v>14827</v>
      </c>
      <c r="B5384" s="74" t="s">
        <v>3910</v>
      </c>
      <c r="C5384" s="74" t="s">
        <v>443</v>
      </c>
    </row>
    <row r="5385" spans="1:3">
      <c r="A5385" s="250">
        <v>14830</v>
      </c>
      <c r="B5385" s="74" t="s">
        <v>3911</v>
      </c>
      <c r="C5385" s="74" t="s">
        <v>443</v>
      </c>
    </row>
    <row r="5386" spans="1:3">
      <c r="A5386" s="250">
        <v>14831</v>
      </c>
      <c r="B5386" s="74" t="s">
        <v>3911</v>
      </c>
      <c r="C5386" s="74" t="s">
        <v>443</v>
      </c>
    </row>
    <row r="5387" spans="1:3">
      <c r="A5387" s="250">
        <v>14836</v>
      </c>
      <c r="B5387" s="74" t="s">
        <v>643</v>
      </c>
      <c r="C5387" s="74" t="s">
        <v>443</v>
      </c>
    </row>
    <row r="5388" spans="1:3">
      <c r="A5388" s="250">
        <v>14837</v>
      </c>
      <c r="B5388" s="74" t="s">
        <v>3912</v>
      </c>
      <c r="C5388" s="74" t="s">
        <v>443</v>
      </c>
    </row>
    <row r="5389" spans="1:3">
      <c r="A5389" s="250">
        <v>14838</v>
      </c>
      <c r="B5389" s="74" t="s">
        <v>3913</v>
      </c>
      <c r="C5389" s="74" t="s">
        <v>443</v>
      </c>
    </row>
    <row r="5390" spans="1:3">
      <c r="A5390" s="250">
        <v>14839</v>
      </c>
      <c r="B5390" s="74" t="s">
        <v>1448</v>
      </c>
      <c r="C5390" s="74" t="s">
        <v>443</v>
      </c>
    </row>
    <row r="5391" spans="1:3">
      <c r="A5391" s="250">
        <v>14840</v>
      </c>
      <c r="B5391" s="74" t="s">
        <v>3914</v>
      </c>
      <c r="C5391" s="74" t="s">
        <v>443</v>
      </c>
    </row>
    <row r="5392" spans="1:3">
      <c r="A5392" s="250">
        <v>14841</v>
      </c>
      <c r="B5392" s="74" t="s">
        <v>3915</v>
      </c>
      <c r="C5392" s="74" t="s">
        <v>443</v>
      </c>
    </row>
    <row r="5393" spans="1:3">
      <c r="A5393" s="250">
        <v>14842</v>
      </c>
      <c r="B5393" s="74" t="s">
        <v>3916</v>
      </c>
      <c r="C5393" s="74" t="s">
        <v>443</v>
      </c>
    </row>
    <row r="5394" spans="1:3">
      <c r="A5394" s="250">
        <v>14843</v>
      </c>
      <c r="B5394" s="74" t="s">
        <v>3917</v>
      </c>
      <c r="C5394" s="74" t="s">
        <v>443</v>
      </c>
    </row>
    <row r="5395" spans="1:3">
      <c r="A5395" s="250">
        <v>14845</v>
      </c>
      <c r="B5395" s="74" t="s">
        <v>3918</v>
      </c>
      <c r="C5395" s="74" t="s">
        <v>443</v>
      </c>
    </row>
    <row r="5396" spans="1:3">
      <c r="A5396" s="250">
        <v>14846</v>
      </c>
      <c r="B5396" s="74" t="s">
        <v>3919</v>
      </c>
      <c r="C5396" s="74" t="s">
        <v>443</v>
      </c>
    </row>
    <row r="5397" spans="1:3">
      <c r="A5397" s="250">
        <v>14847</v>
      </c>
      <c r="B5397" s="74" t="s">
        <v>3920</v>
      </c>
      <c r="C5397" s="74" t="s">
        <v>443</v>
      </c>
    </row>
    <row r="5398" spans="1:3">
      <c r="A5398" s="250">
        <v>14850</v>
      </c>
      <c r="B5398" s="74" t="s">
        <v>3921</v>
      </c>
      <c r="C5398" s="74" t="s">
        <v>443</v>
      </c>
    </row>
    <row r="5399" spans="1:3">
      <c r="A5399" s="250">
        <v>14851</v>
      </c>
      <c r="B5399" s="74" t="s">
        <v>3921</v>
      </c>
      <c r="C5399" s="74" t="s">
        <v>443</v>
      </c>
    </row>
    <row r="5400" spans="1:3">
      <c r="A5400" s="250">
        <v>14852</v>
      </c>
      <c r="B5400" s="74" t="s">
        <v>3921</v>
      </c>
      <c r="C5400" s="74" t="s">
        <v>443</v>
      </c>
    </row>
    <row r="5401" spans="1:3">
      <c r="A5401" s="250">
        <v>14853</v>
      </c>
      <c r="B5401" s="74" t="s">
        <v>3921</v>
      </c>
      <c r="C5401" s="74" t="s">
        <v>443</v>
      </c>
    </row>
    <row r="5402" spans="1:3">
      <c r="A5402" s="250">
        <v>14854</v>
      </c>
      <c r="B5402" s="74" t="s">
        <v>1782</v>
      </c>
      <c r="C5402" s="74" t="s">
        <v>443</v>
      </c>
    </row>
    <row r="5403" spans="1:3">
      <c r="A5403" s="250">
        <v>14855</v>
      </c>
      <c r="B5403" s="74" t="s">
        <v>3922</v>
      </c>
      <c r="C5403" s="74" t="s">
        <v>443</v>
      </c>
    </row>
    <row r="5404" spans="1:3">
      <c r="A5404" s="250">
        <v>14856</v>
      </c>
      <c r="B5404" s="74" t="s">
        <v>3923</v>
      </c>
      <c r="C5404" s="74" t="s">
        <v>443</v>
      </c>
    </row>
    <row r="5405" spans="1:3">
      <c r="A5405" s="250">
        <v>14857</v>
      </c>
      <c r="B5405" s="74" t="s">
        <v>3924</v>
      </c>
      <c r="C5405" s="74" t="s">
        <v>443</v>
      </c>
    </row>
    <row r="5406" spans="1:3">
      <c r="A5406" s="250">
        <v>14858</v>
      </c>
      <c r="B5406" s="74" t="s">
        <v>3925</v>
      </c>
      <c r="C5406" s="74" t="s">
        <v>443</v>
      </c>
    </row>
    <row r="5407" spans="1:3">
      <c r="A5407" s="250">
        <v>14859</v>
      </c>
      <c r="B5407" s="74" t="s">
        <v>3926</v>
      </c>
      <c r="C5407" s="74" t="s">
        <v>443</v>
      </c>
    </row>
    <row r="5408" spans="1:3">
      <c r="A5408" s="250">
        <v>14860</v>
      </c>
      <c r="B5408" s="74" t="s">
        <v>2238</v>
      </c>
      <c r="C5408" s="74" t="s">
        <v>443</v>
      </c>
    </row>
    <row r="5409" spans="1:3">
      <c r="A5409" s="250">
        <v>14861</v>
      </c>
      <c r="B5409" s="74" t="s">
        <v>3927</v>
      </c>
      <c r="C5409" s="74" t="s">
        <v>443</v>
      </c>
    </row>
    <row r="5410" spans="1:3">
      <c r="A5410" s="250">
        <v>14863</v>
      </c>
      <c r="B5410" s="74" t="s">
        <v>3928</v>
      </c>
      <c r="C5410" s="74" t="s">
        <v>443</v>
      </c>
    </row>
    <row r="5411" spans="1:3">
      <c r="A5411" s="250">
        <v>14864</v>
      </c>
      <c r="B5411" s="74" t="s">
        <v>3929</v>
      </c>
      <c r="C5411" s="74" t="s">
        <v>443</v>
      </c>
    </row>
    <row r="5412" spans="1:3">
      <c r="A5412" s="250">
        <v>14865</v>
      </c>
      <c r="B5412" s="74" t="s">
        <v>3930</v>
      </c>
      <c r="C5412" s="74" t="s">
        <v>443</v>
      </c>
    </row>
    <row r="5413" spans="1:3">
      <c r="A5413" s="250">
        <v>14867</v>
      </c>
      <c r="B5413" s="74" t="s">
        <v>1398</v>
      </c>
      <c r="C5413" s="74" t="s">
        <v>443</v>
      </c>
    </row>
    <row r="5414" spans="1:3">
      <c r="A5414" s="250">
        <v>14869</v>
      </c>
      <c r="B5414" s="74" t="s">
        <v>3931</v>
      </c>
      <c r="C5414" s="74" t="s">
        <v>443</v>
      </c>
    </row>
    <row r="5415" spans="1:3">
      <c r="A5415" s="250">
        <v>14870</v>
      </c>
      <c r="B5415" s="74" t="s">
        <v>3932</v>
      </c>
      <c r="C5415" s="74" t="s">
        <v>443</v>
      </c>
    </row>
    <row r="5416" spans="1:3">
      <c r="A5416" s="250">
        <v>14871</v>
      </c>
      <c r="B5416" s="74" t="s">
        <v>3933</v>
      </c>
      <c r="C5416" s="74" t="s">
        <v>443</v>
      </c>
    </row>
    <row r="5417" spans="1:3">
      <c r="A5417" s="250">
        <v>14872</v>
      </c>
      <c r="B5417" s="74" t="s">
        <v>3934</v>
      </c>
      <c r="C5417" s="74" t="s">
        <v>443</v>
      </c>
    </row>
    <row r="5418" spans="1:3">
      <c r="A5418" s="250">
        <v>14873</v>
      </c>
      <c r="B5418" s="74" t="s">
        <v>3935</v>
      </c>
      <c r="C5418" s="74" t="s">
        <v>443</v>
      </c>
    </row>
    <row r="5419" spans="1:3">
      <c r="A5419" s="250">
        <v>14874</v>
      </c>
      <c r="B5419" s="74" t="s">
        <v>3936</v>
      </c>
      <c r="C5419" s="74" t="s">
        <v>443</v>
      </c>
    </row>
    <row r="5420" spans="1:3">
      <c r="A5420" s="250">
        <v>14876</v>
      </c>
      <c r="B5420" s="74" t="s">
        <v>3937</v>
      </c>
      <c r="C5420" s="74" t="s">
        <v>443</v>
      </c>
    </row>
    <row r="5421" spans="1:3">
      <c r="A5421" s="250">
        <v>14877</v>
      </c>
      <c r="B5421" s="74" t="s">
        <v>3938</v>
      </c>
      <c r="C5421" s="74" t="s">
        <v>443</v>
      </c>
    </row>
    <row r="5422" spans="1:3">
      <c r="A5422" s="250">
        <v>14878</v>
      </c>
      <c r="B5422" s="74" t="s">
        <v>3939</v>
      </c>
      <c r="C5422" s="74" t="s">
        <v>443</v>
      </c>
    </row>
    <row r="5423" spans="1:3">
      <c r="A5423" s="250">
        <v>14879</v>
      </c>
      <c r="B5423" s="74" t="s">
        <v>3940</v>
      </c>
      <c r="C5423" s="74" t="s">
        <v>443</v>
      </c>
    </row>
    <row r="5424" spans="1:3">
      <c r="A5424" s="250">
        <v>14880</v>
      </c>
      <c r="B5424" s="74" t="s">
        <v>3941</v>
      </c>
      <c r="C5424" s="74" t="s">
        <v>443</v>
      </c>
    </row>
    <row r="5425" spans="1:3">
      <c r="A5425" s="250">
        <v>14881</v>
      </c>
      <c r="B5425" s="74" t="s">
        <v>3942</v>
      </c>
      <c r="C5425" s="74" t="s">
        <v>443</v>
      </c>
    </row>
    <row r="5426" spans="1:3">
      <c r="A5426" s="250">
        <v>14882</v>
      </c>
      <c r="B5426" s="74" t="s">
        <v>3943</v>
      </c>
      <c r="C5426" s="74" t="s">
        <v>443</v>
      </c>
    </row>
    <row r="5427" spans="1:3">
      <c r="A5427" s="250">
        <v>14883</v>
      </c>
      <c r="B5427" s="74" t="s">
        <v>762</v>
      </c>
      <c r="C5427" s="74" t="s">
        <v>443</v>
      </c>
    </row>
    <row r="5428" spans="1:3">
      <c r="A5428" s="250">
        <v>14884</v>
      </c>
      <c r="B5428" s="74" t="s">
        <v>3944</v>
      </c>
      <c r="C5428" s="74" t="s">
        <v>443</v>
      </c>
    </row>
    <row r="5429" spans="1:3">
      <c r="A5429" s="250">
        <v>14885</v>
      </c>
      <c r="B5429" s="74" t="s">
        <v>3945</v>
      </c>
      <c r="C5429" s="74" t="s">
        <v>443</v>
      </c>
    </row>
    <row r="5430" spans="1:3">
      <c r="A5430" s="250">
        <v>14886</v>
      </c>
      <c r="B5430" s="74" t="s">
        <v>3946</v>
      </c>
      <c r="C5430" s="74" t="s">
        <v>443</v>
      </c>
    </row>
    <row r="5431" spans="1:3">
      <c r="A5431" s="250">
        <v>14887</v>
      </c>
      <c r="B5431" s="74" t="s">
        <v>3947</v>
      </c>
      <c r="C5431" s="74" t="s">
        <v>443</v>
      </c>
    </row>
    <row r="5432" spans="1:3">
      <c r="A5432" s="250">
        <v>14889</v>
      </c>
      <c r="B5432" s="74" t="s">
        <v>3948</v>
      </c>
      <c r="C5432" s="74" t="s">
        <v>443</v>
      </c>
    </row>
    <row r="5433" spans="1:3">
      <c r="A5433" s="250">
        <v>14891</v>
      </c>
      <c r="B5433" s="74" t="s">
        <v>3949</v>
      </c>
      <c r="C5433" s="74" t="s">
        <v>443</v>
      </c>
    </row>
    <row r="5434" spans="1:3">
      <c r="A5434" s="250">
        <v>14892</v>
      </c>
      <c r="B5434" s="74" t="s">
        <v>3950</v>
      </c>
      <c r="C5434" s="74" t="s">
        <v>443</v>
      </c>
    </row>
    <row r="5435" spans="1:3">
      <c r="A5435" s="250">
        <v>14893</v>
      </c>
      <c r="B5435" s="74" t="s">
        <v>1464</v>
      </c>
      <c r="C5435" s="74" t="s">
        <v>443</v>
      </c>
    </row>
    <row r="5436" spans="1:3">
      <c r="A5436" s="250">
        <v>14894</v>
      </c>
      <c r="B5436" s="74" t="s">
        <v>3951</v>
      </c>
      <c r="C5436" s="74" t="s">
        <v>443</v>
      </c>
    </row>
    <row r="5437" spans="1:3">
      <c r="A5437" s="250">
        <v>14895</v>
      </c>
      <c r="B5437" s="74" t="s">
        <v>3952</v>
      </c>
      <c r="C5437" s="74" t="s">
        <v>443</v>
      </c>
    </row>
    <row r="5438" spans="1:3">
      <c r="A5438" s="250">
        <v>14897</v>
      </c>
      <c r="B5438" s="74" t="s">
        <v>3953</v>
      </c>
      <c r="C5438" s="74" t="s">
        <v>443</v>
      </c>
    </row>
    <row r="5439" spans="1:3">
      <c r="A5439" s="250">
        <v>14898</v>
      </c>
      <c r="B5439" s="74" t="s">
        <v>3954</v>
      </c>
      <c r="C5439" s="74" t="s">
        <v>443</v>
      </c>
    </row>
    <row r="5440" spans="1:3">
      <c r="A5440" s="250">
        <v>14901</v>
      </c>
      <c r="B5440" s="74" t="s">
        <v>3955</v>
      </c>
      <c r="C5440" s="74" t="s">
        <v>443</v>
      </c>
    </row>
    <row r="5441" spans="1:3">
      <c r="A5441" s="250">
        <v>14902</v>
      </c>
      <c r="B5441" s="74" t="s">
        <v>3955</v>
      </c>
      <c r="C5441" s="74" t="s">
        <v>443</v>
      </c>
    </row>
    <row r="5442" spans="1:3">
      <c r="A5442" s="250">
        <v>14903</v>
      </c>
      <c r="B5442" s="74" t="s">
        <v>3955</v>
      </c>
      <c r="C5442" s="74" t="s">
        <v>443</v>
      </c>
    </row>
    <row r="5443" spans="1:3">
      <c r="A5443" s="250">
        <v>14904</v>
      </c>
      <c r="B5443" s="74" t="s">
        <v>3955</v>
      </c>
      <c r="C5443" s="74" t="s">
        <v>443</v>
      </c>
    </row>
    <row r="5444" spans="1:3">
      <c r="A5444" s="250">
        <v>14905</v>
      </c>
      <c r="B5444" s="74" t="s">
        <v>3955</v>
      </c>
      <c r="C5444" s="74" t="s">
        <v>443</v>
      </c>
    </row>
    <row r="5445" spans="1:3">
      <c r="A5445" s="250">
        <v>14925</v>
      </c>
      <c r="B5445" s="74" t="s">
        <v>3955</v>
      </c>
      <c r="C5445" s="74" t="s">
        <v>443</v>
      </c>
    </row>
    <row r="5446" spans="1:3">
      <c r="A5446" s="250">
        <v>15001</v>
      </c>
      <c r="B5446" s="74" t="s">
        <v>3956</v>
      </c>
      <c r="C5446" s="74" t="s">
        <v>448</v>
      </c>
    </row>
    <row r="5447" spans="1:3">
      <c r="A5447" s="250">
        <v>15003</v>
      </c>
      <c r="B5447" s="74" t="s">
        <v>3957</v>
      </c>
      <c r="C5447" s="74" t="s">
        <v>448</v>
      </c>
    </row>
    <row r="5448" spans="1:3">
      <c r="A5448" s="250">
        <v>15004</v>
      </c>
      <c r="B5448" s="74" t="s">
        <v>3958</v>
      </c>
      <c r="C5448" s="74" t="s">
        <v>448</v>
      </c>
    </row>
    <row r="5449" spans="1:3">
      <c r="A5449" s="250">
        <v>15005</v>
      </c>
      <c r="B5449" s="74" t="s">
        <v>3959</v>
      </c>
      <c r="C5449" s="74" t="s">
        <v>448</v>
      </c>
    </row>
    <row r="5450" spans="1:3">
      <c r="A5450" s="250">
        <v>15006</v>
      </c>
      <c r="B5450" s="74" t="s">
        <v>3960</v>
      </c>
      <c r="C5450" s="74" t="s">
        <v>448</v>
      </c>
    </row>
    <row r="5451" spans="1:3">
      <c r="A5451" s="250">
        <v>15007</v>
      </c>
      <c r="B5451" s="74" t="s">
        <v>3961</v>
      </c>
      <c r="C5451" s="74" t="s">
        <v>448</v>
      </c>
    </row>
    <row r="5452" spans="1:3">
      <c r="A5452" s="250">
        <v>15009</v>
      </c>
      <c r="B5452" s="74" t="s">
        <v>3962</v>
      </c>
      <c r="C5452" s="74" t="s">
        <v>448</v>
      </c>
    </row>
    <row r="5453" spans="1:3">
      <c r="A5453" s="250">
        <v>15010</v>
      </c>
      <c r="B5453" s="74" t="s">
        <v>3433</v>
      </c>
      <c r="C5453" s="74" t="s">
        <v>448</v>
      </c>
    </row>
    <row r="5454" spans="1:3">
      <c r="A5454" s="250">
        <v>15012</v>
      </c>
      <c r="B5454" s="74" t="s">
        <v>3963</v>
      </c>
      <c r="C5454" s="74" t="s">
        <v>448</v>
      </c>
    </row>
    <row r="5455" spans="1:3">
      <c r="A5455" s="250">
        <v>15014</v>
      </c>
      <c r="B5455" s="74" t="s">
        <v>3964</v>
      </c>
      <c r="C5455" s="74" t="s">
        <v>448</v>
      </c>
    </row>
    <row r="5456" spans="1:3">
      <c r="A5456" s="250">
        <v>15015</v>
      </c>
      <c r="B5456" s="74" t="s">
        <v>3965</v>
      </c>
      <c r="C5456" s="74" t="s">
        <v>448</v>
      </c>
    </row>
    <row r="5457" spans="1:3">
      <c r="A5457" s="250">
        <v>15017</v>
      </c>
      <c r="B5457" s="74" t="s">
        <v>3966</v>
      </c>
      <c r="C5457" s="74" t="s">
        <v>448</v>
      </c>
    </row>
    <row r="5458" spans="1:3">
      <c r="A5458" s="250">
        <v>15018</v>
      </c>
      <c r="B5458" s="74" t="s">
        <v>3967</v>
      </c>
      <c r="C5458" s="74" t="s">
        <v>448</v>
      </c>
    </row>
    <row r="5459" spans="1:3">
      <c r="A5459" s="250">
        <v>15019</v>
      </c>
      <c r="B5459" s="74" t="s">
        <v>3968</v>
      </c>
      <c r="C5459" s="74" t="s">
        <v>448</v>
      </c>
    </row>
    <row r="5460" spans="1:3">
      <c r="A5460" s="250">
        <v>15020</v>
      </c>
      <c r="B5460" s="74" t="s">
        <v>3969</v>
      </c>
      <c r="C5460" s="74" t="s">
        <v>448</v>
      </c>
    </row>
    <row r="5461" spans="1:3">
      <c r="A5461" s="250">
        <v>15021</v>
      </c>
      <c r="B5461" s="74" t="s">
        <v>3970</v>
      </c>
      <c r="C5461" s="74" t="s">
        <v>448</v>
      </c>
    </row>
    <row r="5462" spans="1:3">
      <c r="A5462" s="250">
        <v>15022</v>
      </c>
      <c r="B5462" s="74" t="s">
        <v>3971</v>
      </c>
      <c r="C5462" s="74" t="s">
        <v>448</v>
      </c>
    </row>
    <row r="5463" spans="1:3">
      <c r="A5463" s="250">
        <v>15024</v>
      </c>
      <c r="B5463" s="74" t="s">
        <v>3972</v>
      </c>
      <c r="C5463" s="74" t="s">
        <v>448</v>
      </c>
    </row>
    <row r="5464" spans="1:3">
      <c r="A5464" s="250">
        <v>15025</v>
      </c>
      <c r="B5464" s="74" t="s">
        <v>3973</v>
      </c>
      <c r="C5464" s="74" t="s">
        <v>448</v>
      </c>
    </row>
    <row r="5465" spans="1:3">
      <c r="A5465" s="250">
        <v>15026</v>
      </c>
      <c r="B5465" s="74" t="s">
        <v>732</v>
      </c>
      <c r="C5465" s="74" t="s">
        <v>448</v>
      </c>
    </row>
    <row r="5466" spans="1:3">
      <c r="A5466" s="250">
        <v>15027</v>
      </c>
      <c r="B5466" s="74" t="s">
        <v>677</v>
      </c>
      <c r="C5466" s="74" t="s">
        <v>448</v>
      </c>
    </row>
    <row r="5467" spans="1:3">
      <c r="A5467" s="250">
        <v>15028</v>
      </c>
      <c r="B5467" s="74" t="s">
        <v>3974</v>
      </c>
      <c r="C5467" s="74" t="s">
        <v>448</v>
      </c>
    </row>
    <row r="5468" spans="1:3">
      <c r="A5468" s="250">
        <v>15030</v>
      </c>
      <c r="B5468" s="74" t="s">
        <v>3975</v>
      </c>
      <c r="C5468" s="74" t="s">
        <v>448</v>
      </c>
    </row>
    <row r="5469" spans="1:3">
      <c r="A5469" s="250">
        <v>15031</v>
      </c>
      <c r="B5469" s="74" t="s">
        <v>3976</v>
      </c>
      <c r="C5469" s="74" t="s">
        <v>448</v>
      </c>
    </row>
    <row r="5470" spans="1:3">
      <c r="A5470" s="250">
        <v>15032</v>
      </c>
      <c r="B5470" s="74" t="s">
        <v>3977</v>
      </c>
      <c r="C5470" s="74" t="s">
        <v>448</v>
      </c>
    </row>
    <row r="5471" spans="1:3">
      <c r="A5471" s="250">
        <v>15033</v>
      </c>
      <c r="B5471" s="74" t="s">
        <v>3978</v>
      </c>
      <c r="C5471" s="74" t="s">
        <v>448</v>
      </c>
    </row>
    <row r="5472" spans="1:3">
      <c r="A5472" s="250">
        <v>15034</v>
      </c>
      <c r="B5472" s="74" t="s">
        <v>3979</v>
      </c>
      <c r="C5472" s="74" t="s">
        <v>448</v>
      </c>
    </row>
    <row r="5473" spans="1:3">
      <c r="A5473" s="250">
        <v>15035</v>
      </c>
      <c r="B5473" s="74" t="s">
        <v>3980</v>
      </c>
      <c r="C5473" s="74" t="s">
        <v>448</v>
      </c>
    </row>
    <row r="5474" spans="1:3">
      <c r="A5474" s="250">
        <v>15037</v>
      </c>
      <c r="B5474" s="74" t="s">
        <v>2176</v>
      </c>
      <c r="C5474" s="74" t="s">
        <v>448</v>
      </c>
    </row>
    <row r="5475" spans="1:3">
      <c r="A5475" s="250">
        <v>15038</v>
      </c>
      <c r="B5475" s="74" t="s">
        <v>3981</v>
      </c>
      <c r="C5475" s="74" t="s">
        <v>448</v>
      </c>
    </row>
    <row r="5476" spans="1:3">
      <c r="A5476" s="250">
        <v>15042</v>
      </c>
      <c r="B5476" s="74" t="s">
        <v>1310</v>
      </c>
      <c r="C5476" s="74" t="s">
        <v>448</v>
      </c>
    </row>
    <row r="5477" spans="1:3">
      <c r="A5477" s="250">
        <v>15043</v>
      </c>
      <c r="B5477" s="74" t="s">
        <v>813</v>
      </c>
      <c r="C5477" s="74" t="s">
        <v>448</v>
      </c>
    </row>
    <row r="5478" spans="1:3">
      <c r="A5478" s="250">
        <v>15044</v>
      </c>
      <c r="B5478" s="74" t="s">
        <v>3982</v>
      </c>
      <c r="C5478" s="74" t="s">
        <v>448</v>
      </c>
    </row>
    <row r="5479" spans="1:3">
      <c r="A5479" s="250">
        <v>15045</v>
      </c>
      <c r="B5479" s="74" t="s">
        <v>3983</v>
      </c>
      <c r="C5479" s="74" t="s">
        <v>448</v>
      </c>
    </row>
    <row r="5480" spans="1:3">
      <c r="A5480" s="250">
        <v>15046</v>
      </c>
      <c r="B5480" s="74" t="s">
        <v>3984</v>
      </c>
      <c r="C5480" s="74" t="s">
        <v>448</v>
      </c>
    </row>
    <row r="5481" spans="1:3">
      <c r="A5481" s="250">
        <v>15047</v>
      </c>
      <c r="B5481" s="74" t="s">
        <v>3985</v>
      </c>
      <c r="C5481" s="74" t="s">
        <v>448</v>
      </c>
    </row>
    <row r="5482" spans="1:3">
      <c r="A5482" s="250">
        <v>15049</v>
      </c>
      <c r="B5482" s="74" t="s">
        <v>3986</v>
      </c>
      <c r="C5482" s="74" t="s">
        <v>448</v>
      </c>
    </row>
    <row r="5483" spans="1:3">
      <c r="A5483" s="250">
        <v>15050</v>
      </c>
      <c r="B5483" s="74" t="s">
        <v>3987</v>
      </c>
      <c r="C5483" s="74" t="s">
        <v>448</v>
      </c>
    </row>
    <row r="5484" spans="1:3">
      <c r="A5484" s="250">
        <v>15051</v>
      </c>
      <c r="B5484" s="74" t="s">
        <v>3988</v>
      </c>
      <c r="C5484" s="74" t="s">
        <v>448</v>
      </c>
    </row>
    <row r="5485" spans="1:3">
      <c r="A5485" s="250">
        <v>15052</v>
      </c>
      <c r="B5485" s="74" t="s">
        <v>3989</v>
      </c>
      <c r="C5485" s="74" t="s">
        <v>448</v>
      </c>
    </row>
    <row r="5486" spans="1:3">
      <c r="A5486" s="250">
        <v>15053</v>
      </c>
      <c r="B5486" s="74" t="s">
        <v>3990</v>
      </c>
      <c r="C5486" s="74" t="s">
        <v>448</v>
      </c>
    </row>
    <row r="5487" spans="1:3">
      <c r="A5487" s="250">
        <v>15054</v>
      </c>
      <c r="B5487" s="74" t="s">
        <v>3991</v>
      </c>
      <c r="C5487" s="74" t="s">
        <v>448</v>
      </c>
    </row>
    <row r="5488" spans="1:3">
      <c r="A5488" s="250">
        <v>15055</v>
      </c>
      <c r="B5488" s="74" t="s">
        <v>815</v>
      </c>
      <c r="C5488" s="74" t="s">
        <v>448</v>
      </c>
    </row>
    <row r="5489" spans="1:3">
      <c r="A5489" s="250">
        <v>15056</v>
      </c>
      <c r="B5489" s="74" t="s">
        <v>3992</v>
      </c>
      <c r="C5489" s="74" t="s">
        <v>448</v>
      </c>
    </row>
    <row r="5490" spans="1:3">
      <c r="A5490" s="250">
        <v>15057</v>
      </c>
      <c r="B5490" s="74" t="s">
        <v>3993</v>
      </c>
      <c r="C5490" s="74" t="s">
        <v>448</v>
      </c>
    </row>
    <row r="5491" spans="1:3">
      <c r="A5491" s="250">
        <v>15059</v>
      </c>
      <c r="B5491" s="74" t="s">
        <v>3994</v>
      </c>
      <c r="C5491" s="74" t="s">
        <v>448</v>
      </c>
    </row>
    <row r="5492" spans="1:3">
      <c r="A5492" s="250">
        <v>15060</v>
      </c>
      <c r="B5492" s="74" t="s">
        <v>3995</v>
      </c>
      <c r="C5492" s="74" t="s">
        <v>448</v>
      </c>
    </row>
    <row r="5493" spans="1:3">
      <c r="A5493" s="250">
        <v>15061</v>
      </c>
      <c r="B5493" s="74" t="s">
        <v>3996</v>
      </c>
      <c r="C5493" s="74" t="s">
        <v>448</v>
      </c>
    </row>
    <row r="5494" spans="1:3">
      <c r="A5494" s="250">
        <v>15062</v>
      </c>
      <c r="B5494" s="74" t="s">
        <v>3997</v>
      </c>
      <c r="C5494" s="74" t="s">
        <v>448</v>
      </c>
    </row>
    <row r="5495" spans="1:3">
      <c r="A5495" s="250">
        <v>15063</v>
      </c>
      <c r="B5495" s="74" t="s">
        <v>3998</v>
      </c>
      <c r="C5495" s="74" t="s">
        <v>448</v>
      </c>
    </row>
    <row r="5496" spans="1:3">
      <c r="A5496" s="250">
        <v>15064</v>
      </c>
      <c r="B5496" s="74" t="s">
        <v>1918</v>
      </c>
      <c r="C5496" s="74" t="s">
        <v>448</v>
      </c>
    </row>
    <row r="5497" spans="1:3">
      <c r="A5497" s="250">
        <v>15065</v>
      </c>
      <c r="B5497" s="74" t="s">
        <v>3999</v>
      </c>
      <c r="C5497" s="74" t="s">
        <v>448</v>
      </c>
    </row>
    <row r="5498" spans="1:3">
      <c r="A5498" s="250">
        <v>15066</v>
      </c>
      <c r="B5498" s="74" t="s">
        <v>4000</v>
      </c>
      <c r="C5498" s="74" t="s">
        <v>448</v>
      </c>
    </row>
    <row r="5499" spans="1:3">
      <c r="A5499" s="250">
        <v>15067</v>
      </c>
      <c r="B5499" s="74" t="s">
        <v>4001</v>
      </c>
      <c r="C5499" s="74" t="s">
        <v>448</v>
      </c>
    </row>
    <row r="5500" spans="1:3">
      <c r="A5500" s="250">
        <v>15068</v>
      </c>
      <c r="B5500" s="74" t="s">
        <v>4002</v>
      </c>
      <c r="C5500" s="74" t="s">
        <v>448</v>
      </c>
    </row>
    <row r="5501" spans="1:3">
      <c r="A5501" s="250">
        <v>15069</v>
      </c>
      <c r="B5501" s="74" t="s">
        <v>4002</v>
      </c>
      <c r="C5501" s="74" t="s">
        <v>448</v>
      </c>
    </row>
    <row r="5502" spans="1:3">
      <c r="A5502" s="250">
        <v>15071</v>
      </c>
      <c r="B5502" s="74" t="s">
        <v>2024</v>
      </c>
      <c r="C5502" s="74" t="s">
        <v>448</v>
      </c>
    </row>
    <row r="5503" spans="1:3">
      <c r="A5503" s="250">
        <v>15072</v>
      </c>
      <c r="B5503" s="74" t="s">
        <v>4003</v>
      </c>
      <c r="C5503" s="74" t="s">
        <v>448</v>
      </c>
    </row>
    <row r="5504" spans="1:3">
      <c r="A5504" s="250">
        <v>15074</v>
      </c>
      <c r="B5504" s="74" t="s">
        <v>1085</v>
      </c>
      <c r="C5504" s="74" t="s">
        <v>448</v>
      </c>
    </row>
    <row r="5505" spans="1:3">
      <c r="A5505" s="250">
        <v>15075</v>
      </c>
      <c r="B5505" s="74" t="s">
        <v>4004</v>
      </c>
      <c r="C5505" s="74" t="s">
        <v>448</v>
      </c>
    </row>
    <row r="5506" spans="1:3">
      <c r="A5506" s="250">
        <v>15076</v>
      </c>
      <c r="B5506" s="74" t="s">
        <v>4005</v>
      </c>
      <c r="C5506" s="74" t="s">
        <v>448</v>
      </c>
    </row>
    <row r="5507" spans="1:3">
      <c r="A5507" s="250">
        <v>15077</v>
      </c>
      <c r="B5507" s="74" t="s">
        <v>4006</v>
      </c>
      <c r="C5507" s="74" t="s">
        <v>448</v>
      </c>
    </row>
    <row r="5508" spans="1:3">
      <c r="A5508" s="250">
        <v>15078</v>
      </c>
      <c r="B5508" s="74" t="s">
        <v>4007</v>
      </c>
      <c r="C5508" s="74" t="s">
        <v>448</v>
      </c>
    </row>
    <row r="5509" spans="1:3">
      <c r="A5509" s="250">
        <v>15081</v>
      </c>
      <c r="B5509" s="74" t="s">
        <v>4008</v>
      </c>
      <c r="C5509" s="74" t="s">
        <v>448</v>
      </c>
    </row>
    <row r="5510" spans="1:3">
      <c r="A5510" s="250">
        <v>15082</v>
      </c>
      <c r="B5510" s="74" t="s">
        <v>4009</v>
      </c>
      <c r="C5510" s="74" t="s">
        <v>448</v>
      </c>
    </row>
    <row r="5511" spans="1:3">
      <c r="A5511" s="250">
        <v>15083</v>
      </c>
      <c r="B5511" s="74" t="s">
        <v>4010</v>
      </c>
      <c r="C5511" s="74" t="s">
        <v>448</v>
      </c>
    </row>
    <row r="5512" spans="1:3">
      <c r="A5512" s="250">
        <v>15084</v>
      </c>
      <c r="B5512" s="74" t="s">
        <v>4011</v>
      </c>
      <c r="C5512" s="74" t="s">
        <v>448</v>
      </c>
    </row>
    <row r="5513" spans="1:3">
      <c r="A5513" s="250">
        <v>15085</v>
      </c>
      <c r="B5513" s="74" t="s">
        <v>4012</v>
      </c>
      <c r="C5513" s="74" t="s">
        <v>448</v>
      </c>
    </row>
    <row r="5514" spans="1:3">
      <c r="A5514" s="250">
        <v>15086</v>
      </c>
      <c r="B5514" s="74" t="s">
        <v>4013</v>
      </c>
      <c r="C5514" s="74" t="s">
        <v>448</v>
      </c>
    </row>
    <row r="5515" spans="1:3">
      <c r="A5515" s="250">
        <v>15087</v>
      </c>
      <c r="B5515" s="74" t="s">
        <v>767</v>
      </c>
      <c r="C5515" s="74" t="s">
        <v>448</v>
      </c>
    </row>
    <row r="5516" spans="1:3">
      <c r="A5516" s="250">
        <v>15088</v>
      </c>
      <c r="B5516" s="74" t="s">
        <v>4014</v>
      </c>
      <c r="C5516" s="74" t="s">
        <v>448</v>
      </c>
    </row>
    <row r="5517" spans="1:3">
      <c r="A5517" s="250">
        <v>15089</v>
      </c>
      <c r="B5517" s="74" t="s">
        <v>979</v>
      </c>
      <c r="C5517" s="74" t="s">
        <v>448</v>
      </c>
    </row>
    <row r="5518" spans="1:3">
      <c r="A5518" s="250">
        <v>15090</v>
      </c>
      <c r="B5518" s="74" t="s">
        <v>4015</v>
      </c>
      <c r="C5518" s="74" t="s">
        <v>448</v>
      </c>
    </row>
    <row r="5519" spans="1:3">
      <c r="A5519" s="250">
        <v>15091</v>
      </c>
      <c r="B5519" s="74" t="s">
        <v>2471</v>
      </c>
      <c r="C5519" s="74" t="s">
        <v>448</v>
      </c>
    </row>
    <row r="5520" spans="1:3">
      <c r="A5520" s="250">
        <v>15095</v>
      </c>
      <c r="B5520" s="74" t="s">
        <v>4013</v>
      </c>
      <c r="C5520" s="74" t="s">
        <v>448</v>
      </c>
    </row>
    <row r="5521" spans="1:3">
      <c r="A5521" s="250">
        <v>15096</v>
      </c>
      <c r="B5521" s="74" t="s">
        <v>4013</v>
      </c>
      <c r="C5521" s="74" t="s">
        <v>448</v>
      </c>
    </row>
    <row r="5522" spans="1:3">
      <c r="A5522" s="250">
        <v>15101</v>
      </c>
      <c r="B5522" s="74" t="s">
        <v>4016</v>
      </c>
      <c r="C5522" s="74" t="s">
        <v>448</v>
      </c>
    </row>
    <row r="5523" spans="1:3">
      <c r="A5523" s="250">
        <v>15102</v>
      </c>
      <c r="B5523" s="74" t="s">
        <v>4017</v>
      </c>
      <c r="C5523" s="74" t="s">
        <v>448</v>
      </c>
    </row>
    <row r="5524" spans="1:3">
      <c r="A5524" s="250">
        <v>15104</v>
      </c>
      <c r="B5524" s="74" t="s">
        <v>4018</v>
      </c>
      <c r="C5524" s="74" t="s">
        <v>448</v>
      </c>
    </row>
    <row r="5525" spans="1:3">
      <c r="A5525" s="250">
        <v>15106</v>
      </c>
      <c r="B5525" s="74" t="s">
        <v>4019</v>
      </c>
      <c r="C5525" s="74" t="s">
        <v>448</v>
      </c>
    </row>
    <row r="5526" spans="1:3">
      <c r="A5526" s="250">
        <v>15108</v>
      </c>
      <c r="B5526" s="74" t="s">
        <v>4020</v>
      </c>
      <c r="C5526" s="74" t="s">
        <v>448</v>
      </c>
    </row>
    <row r="5527" spans="1:3">
      <c r="A5527" s="250">
        <v>15110</v>
      </c>
      <c r="B5527" s="74" t="s">
        <v>4021</v>
      </c>
      <c r="C5527" s="74" t="s">
        <v>448</v>
      </c>
    </row>
    <row r="5528" spans="1:3">
      <c r="A5528" s="250">
        <v>15112</v>
      </c>
      <c r="B5528" s="74" t="s">
        <v>4022</v>
      </c>
      <c r="C5528" s="74" t="s">
        <v>448</v>
      </c>
    </row>
    <row r="5529" spans="1:3">
      <c r="A5529" s="250">
        <v>15116</v>
      </c>
      <c r="B5529" s="74" t="s">
        <v>4023</v>
      </c>
      <c r="C5529" s="74" t="s">
        <v>448</v>
      </c>
    </row>
    <row r="5530" spans="1:3">
      <c r="A5530" s="250">
        <v>15120</v>
      </c>
      <c r="B5530" s="74" t="s">
        <v>4024</v>
      </c>
      <c r="C5530" s="74" t="s">
        <v>448</v>
      </c>
    </row>
    <row r="5531" spans="1:3">
      <c r="A5531" s="250">
        <v>15122</v>
      </c>
      <c r="B5531" s="74" t="s">
        <v>4025</v>
      </c>
      <c r="C5531" s="74" t="s">
        <v>448</v>
      </c>
    </row>
    <row r="5532" spans="1:3">
      <c r="A5532" s="250">
        <v>15123</v>
      </c>
      <c r="B5532" s="74" t="s">
        <v>4025</v>
      </c>
      <c r="C5532" s="74" t="s">
        <v>448</v>
      </c>
    </row>
    <row r="5533" spans="1:3">
      <c r="A5533" s="250">
        <v>15126</v>
      </c>
      <c r="B5533" s="74" t="s">
        <v>4026</v>
      </c>
      <c r="C5533" s="74" t="s">
        <v>448</v>
      </c>
    </row>
    <row r="5534" spans="1:3">
      <c r="A5534" s="250">
        <v>15127</v>
      </c>
      <c r="B5534" s="74" t="s">
        <v>4027</v>
      </c>
      <c r="C5534" s="74" t="s">
        <v>448</v>
      </c>
    </row>
    <row r="5535" spans="1:3">
      <c r="A5535" s="250">
        <v>15129</v>
      </c>
      <c r="B5535" s="74" t="s">
        <v>4028</v>
      </c>
      <c r="C5535" s="74" t="s">
        <v>448</v>
      </c>
    </row>
    <row r="5536" spans="1:3">
      <c r="A5536" s="250">
        <v>15131</v>
      </c>
      <c r="B5536" s="74" t="s">
        <v>4029</v>
      </c>
      <c r="C5536" s="74" t="s">
        <v>448</v>
      </c>
    </row>
    <row r="5537" spans="1:3">
      <c r="A5537" s="250">
        <v>15132</v>
      </c>
      <c r="B5537" s="74" t="s">
        <v>4029</v>
      </c>
      <c r="C5537" s="74" t="s">
        <v>448</v>
      </c>
    </row>
    <row r="5538" spans="1:3">
      <c r="A5538" s="250">
        <v>15133</v>
      </c>
      <c r="B5538" s="74" t="s">
        <v>4029</v>
      </c>
      <c r="C5538" s="74" t="s">
        <v>448</v>
      </c>
    </row>
    <row r="5539" spans="1:3">
      <c r="A5539" s="250">
        <v>15134</v>
      </c>
      <c r="B5539" s="74" t="s">
        <v>4029</v>
      </c>
      <c r="C5539" s="74" t="s">
        <v>448</v>
      </c>
    </row>
    <row r="5540" spans="1:3">
      <c r="A5540" s="250">
        <v>15135</v>
      </c>
      <c r="B5540" s="74" t="s">
        <v>4029</v>
      </c>
      <c r="C5540" s="74" t="s">
        <v>448</v>
      </c>
    </row>
    <row r="5541" spans="1:3">
      <c r="A5541" s="250">
        <v>15136</v>
      </c>
      <c r="B5541" s="74" t="s">
        <v>4030</v>
      </c>
      <c r="C5541" s="74" t="s">
        <v>448</v>
      </c>
    </row>
    <row r="5542" spans="1:3">
      <c r="A5542" s="250">
        <v>15137</v>
      </c>
      <c r="B5542" s="74" t="s">
        <v>4031</v>
      </c>
      <c r="C5542" s="74" t="s">
        <v>448</v>
      </c>
    </row>
    <row r="5543" spans="1:3">
      <c r="A5543" s="250">
        <v>15139</v>
      </c>
      <c r="B5543" s="74" t="s">
        <v>4032</v>
      </c>
      <c r="C5543" s="74" t="s">
        <v>448</v>
      </c>
    </row>
    <row r="5544" spans="1:3">
      <c r="A5544" s="250">
        <v>15140</v>
      </c>
      <c r="B5544" s="74" t="s">
        <v>4033</v>
      </c>
      <c r="C5544" s="74" t="s">
        <v>448</v>
      </c>
    </row>
    <row r="5545" spans="1:3">
      <c r="A5545" s="250">
        <v>15142</v>
      </c>
      <c r="B5545" s="74" t="s">
        <v>4034</v>
      </c>
      <c r="C5545" s="74" t="s">
        <v>448</v>
      </c>
    </row>
    <row r="5546" spans="1:3">
      <c r="A5546" s="250">
        <v>15143</v>
      </c>
      <c r="B5546" s="74" t="s">
        <v>4035</v>
      </c>
      <c r="C5546" s="74" t="s">
        <v>448</v>
      </c>
    </row>
    <row r="5547" spans="1:3">
      <c r="A5547" s="250">
        <v>15144</v>
      </c>
      <c r="B5547" s="74" t="s">
        <v>4036</v>
      </c>
      <c r="C5547" s="74" t="s">
        <v>448</v>
      </c>
    </row>
    <row r="5548" spans="1:3">
      <c r="A5548" s="250">
        <v>15145</v>
      </c>
      <c r="B5548" s="74" t="s">
        <v>4037</v>
      </c>
      <c r="C5548" s="74" t="s">
        <v>448</v>
      </c>
    </row>
    <row r="5549" spans="1:3">
      <c r="A5549" s="250">
        <v>15146</v>
      </c>
      <c r="B5549" s="74" t="s">
        <v>2495</v>
      </c>
      <c r="C5549" s="74" t="s">
        <v>448</v>
      </c>
    </row>
    <row r="5550" spans="1:3">
      <c r="A5550" s="250">
        <v>15147</v>
      </c>
      <c r="B5550" s="74" t="s">
        <v>2139</v>
      </c>
      <c r="C5550" s="74" t="s">
        <v>448</v>
      </c>
    </row>
    <row r="5551" spans="1:3">
      <c r="A5551" s="250">
        <v>15148</v>
      </c>
      <c r="B5551" s="74" t="s">
        <v>4038</v>
      </c>
      <c r="C5551" s="74" t="s">
        <v>448</v>
      </c>
    </row>
    <row r="5552" spans="1:3">
      <c r="A5552" s="250">
        <v>15201</v>
      </c>
      <c r="B5552" s="74" t="s">
        <v>4039</v>
      </c>
      <c r="C5552" s="74" t="s">
        <v>448</v>
      </c>
    </row>
    <row r="5553" spans="1:3">
      <c r="A5553" s="250">
        <v>15202</v>
      </c>
      <c r="B5553" s="74" t="s">
        <v>4039</v>
      </c>
      <c r="C5553" s="74" t="s">
        <v>448</v>
      </c>
    </row>
    <row r="5554" spans="1:3">
      <c r="A5554" s="250">
        <v>15203</v>
      </c>
      <c r="B5554" s="74" t="s">
        <v>4039</v>
      </c>
      <c r="C5554" s="74" t="s">
        <v>448</v>
      </c>
    </row>
    <row r="5555" spans="1:3">
      <c r="A5555" s="250">
        <v>15204</v>
      </c>
      <c r="B5555" s="74" t="s">
        <v>4039</v>
      </c>
      <c r="C5555" s="74" t="s">
        <v>448</v>
      </c>
    </row>
    <row r="5556" spans="1:3">
      <c r="A5556" s="250">
        <v>15205</v>
      </c>
      <c r="B5556" s="74" t="s">
        <v>4039</v>
      </c>
      <c r="C5556" s="74" t="s">
        <v>448</v>
      </c>
    </row>
    <row r="5557" spans="1:3">
      <c r="A5557" s="250">
        <v>15206</v>
      </c>
      <c r="B5557" s="74" t="s">
        <v>4039</v>
      </c>
      <c r="C5557" s="74" t="s">
        <v>448</v>
      </c>
    </row>
    <row r="5558" spans="1:3">
      <c r="A5558" s="250">
        <v>15207</v>
      </c>
      <c r="B5558" s="74" t="s">
        <v>4039</v>
      </c>
      <c r="C5558" s="74" t="s">
        <v>448</v>
      </c>
    </row>
    <row r="5559" spans="1:3">
      <c r="A5559" s="250">
        <v>15208</v>
      </c>
      <c r="B5559" s="74" t="s">
        <v>4039</v>
      </c>
      <c r="C5559" s="74" t="s">
        <v>448</v>
      </c>
    </row>
    <row r="5560" spans="1:3">
      <c r="A5560" s="250">
        <v>15209</v>
      </c>
      <c r="B5560" s="74" t="s">
        <v>4039</v>
      </c>
      <c r="C5560" s="74" t="s">
        <v>448</v>
      </c>
    </row>
    <row r="5561" spans="1:3">
      <c r="A5561" s="250">
        <v>15210</v>
      </c>
      <c r="B5561" s="74" t="s">
        <v>4039</v>
      </c>
      <c r="C5561" s="74" t="s">
        <v>448</v>
      </c>
    </row>
    <row r="5562" spans="1:3">
      <c r="A5562" s="250">
        <v>15211</v>
      </c>
      <c r="B5562" s="74" t="s">
        <v>4039</v>
      </c>
      <c r="C5562" s="74" t="s">
        <v>448</v>
      </c>
    </row>
    <row r="5563" spans="1:3">
      <c r="A5563" s="250">
        <v>15212</v>
      </c>
      <c r="B5563" s="74" t="s">
        <v>4039</v>
      </c>
      <c r="C5563" s="74" t="s">
        <v>448</v>
      </c>
    </row>
    <row r="5564" spans="1:3">
      <c r="A5564" s="250">
        <v>15213</v>
      </c>
      <c r="B5564" s="74" t="s">
        <v>4039</v>
      </c>
      <c r="C5564" s="74" t="s">
        <v>448</v>
      </c>
    </row>
    <row r="5565" spans="1:3">
      <c r="A5565" s="250">
        <v>15214</v>
      </c>
      <c r="B5565" s="74" t="s">
        <v>4039</v>
      </c>
      <c r="C5565" s="74" t="s">
        <v>448</v>
      </c>
    </row>
    <row r="5566" spans="1:3">
      <c r="A5566" s="250">
        <v>15215</v>
      </c>
      <c r="B5566" s="74" t="s">
        <v>4039</v>
      </c>
      <c r="C5566" s="74" t="s">
        <v>448</v>
      </c>
    </row>
    <row r="5567" spans="1:3">
      <c r="A5567" s="250">
        <v>15216</v>
      </c>
      <c r="B5567" s="74" t="s">
        <v>4039</v>
      </c>
      <c r="C5567" s="74" t="s">
        <v>448</v>
      </c>
    </row>
    <row r="5568" spans="1:3">
      <c r="A5568" s="250">
        <v>15217</v>
      </c>
      <c r="B5568" s="74" t="s">
        <v>4039</v>
      </c>
      <c r="C5568" s="74" t="s">
        <v>448</v>
      </c>
    </row>
    <row r="5569" spans="1:3">
      <c r="A5569" s="250">
        <v>15218</v>
      </c>
      <c r="B5569" s="74" t="s">
        <v>4039</v>
      </c>
      <c r="C5569" s="74" t="s">
        <v>448</v>
      </c>
    </row>
    <row r="5570" spans="1:3">
      <c r="A5570" s="250">
        <v>15219</v>
      </c>
      <c r="B5570" s="74" t="s">
        <v>4039</v>
      </c>
      <c r="C5570" s="74" t="s">
        <v>448</v>
      </c>
    </row>
    <row r="5571" spans="1:3">
      <c r="A5571" s="250">
        <v>15220</v>
      </c>
      <c r="B5571" s="74" t="s">
        <v>4039</v>
      </c>
      <c r="C5571" s="74" t="s">
        <v>448</v>
      </c>
    </row>
    <row r="5572" spans="1:3">
      <c r="A5572" s="250">
        <v>15221</v>
      </c>
      <c r="B5572" s="74" t="s">
        <v>4039</v>
      </c>
      <c r="C5572" s="74" t="s">
        <v>448</v>
      </c>
    </row>
    <row r="5573" spans="1:3">
      <c r="A5573" s="250">
        <v>15222</v>
      </c>
      <c r="B5573" s="74" t="s">
        <v>4039</v>
      </c>
      <c r="C5573" s="74" t="s">
        <v>448</v>
      </c>
    </row>
    <row r="5574" spans="1:3">
      <c r="A5574" s="250">
        <v>15223</v>
      </c>
      <c r="B5574" s="74" t="s">
        <v>4039</v>
      </c>
      <c r="C5574" s="74" t="s">
        <v>448</v>
      </c>
    </row>
    <row r="5575" spans="1:3">
      <c r="A5575" s="250">
        <v>15224</v>
      </c>
      <c r="B5575" s="74" t="s">
        <v>4039</v>
      </c>
      <c r="C5575" s="74" t="s">
        <v>448</v>
      </c>
    </row>
    <row r="5576" spans="1:3">
      <c r="A5576" s="250">
        <v>15225</v>
      </c>
      <c r="B5576" s="74" t="s">
        <v>4039</v>
      </c>
      <c r="C5576" s="74" t="s">
        <v>448</v>
      </c>
    </row>
    <row r="5577" spans="1:3">
      <c r="A5577" s="250">
        <v>15226</v>
      </c>
      <c r="B5577" s="74" t="s">
        <v>4039</v>
      </c>
      <c r="C5577" s="74" t="s">
        <v>448</v>
      </c>
    </row>
    <row r="5578" spans="1:3">
      <c r="A5578" s="250">
        <v>15227</v>
      </c>
      <c r="B5578" s="74" t="s">
        <v>4039</v>
      </c>
      <c r="C5578" s="74" t="s">
        <v>448</v>
      </c>
    </row>
    <row r="5579" spans="1:3">
      <c r="A5579" s="250">
        <v>15228</v>
      </c>
      <c r="B5579" s="74" t="s">
        <v>4039</v>
      </c>
      <c r="C5579" s="74" t="s">
        <v>448</v>
      </c>
    </row>
    <row r="5580" spans="1:3">
      <c r="A5580" s="250">
        <v>15229</v>
      </c>
      <c r="B5580" s="74" t="s">
        <v>4039</v>
      </c>
      <c r="C5580" s="74" t="s">
        <v>448</v>
      </c>
    </row>
    <row r="5581" spans="1:3">
      <c r="A5581" s="250">
        <v>15230</v>
      </c>
      <c r="B5581" s="74" t="s">
        <v>4039</v>
      </c>
      <c r="C5581" s="74" t="s">
        <v>448</v>
      </c>
    </row>
    <row r="5582" spans="1:3">
      <c r="A5582" s="250">
        <v>15231</v>
      </c>
      <c r="B5582" s="74" t="s">
        <v>4039</v>
      </c>
      <c r="C5582" s="74" t="s">
        <v>448</v>
      </c>
    </row>
    <row r="5583" spans="1:3">
      <c r="A5583" s="250">
        <v>15232</v>
      </c>
      <c r="B5583" s="74" t="s">
        <v>4039</v>
      </c>
      <c r="C5583" s="74" t="s">
        <v>448</v>
      </c>
    </row>
    <row r="5584" spans="1:3">
      <c r="A5584" s="250">
        <v>15233</v>
      </c>
      <c r="B5584" s="74" t="s">
        <v>4039</v>
      </c>
      <c r="C5584" s="74" t="s">
        <v>448</v>
      </c>
    </row>
    <row r="5585" spans="1:3">
      <c r="A5585" s="250">
        <v>15234</v>
      </c>
      <c r="B5585" s="74" t="s">
        <v>4039</v>
      </c>
      <c r="C5585" s="74" t="s">
        <v>448</v>
      </c>
    </row>
    <row r="5586" spans="1:3">
      <c r="A5586" s="250">
        <v>15235</v>
      </c>
      <c r="B5586" s="74" t="s">
        <v>4039</v>
      </c>
      <c r="C5586" s="74" t="s">
        <v>448</v>
      </c>
    </row>
    <row r="5587" spans="1:3">
      <c r="A5587" s="250">
        <v>15236</v>
      </c>
      <c r="B5587" s="74" t="s">
        <v>4039</v>
      </c>
      <c r="C5587" s="74" t="s">
        <v>448</v>
      </c>
    </row>
    <row r="5588" spans="1:3">
      <c r="A5588" s="250">
        <v>15237</v>
      </c>
      <c r="B5588" s="74" t="s">
        <v>4039</v>
      </c>
      <c r="C5588" s="74" t="s">
        <v>448</v>
      </c>
    </row>
    <row r="5589" spans="1:3">
      <c r="A5589" s="250">
        <v>15238</v>
      </c>
      <c r="B5589" s="74" t="s">
        <v>4039</v>
      </c>
      <c r="C5589" s="74" t="s">
        <v>448</v>
      </c>
    </row>
    <row r="5590" spans="1:3">
      <c r="A5590" s="250">
        <v>15239</v>
      </c>
      <c r="B5590" s="74" t="s">
        <v>4039</v>
      </c>
      <c r="C5590" s="74" t="s">
        <v>448</v>
      </c>
    </row>
    <row r="5591" spans="1:3">
      <c r="A5591" s="250">
        <v>15240</v>
      </c>
      <c r="B5591" s="74" t="s">
        <v>4039</v>
      </c>
      <c r="C5591" s="74" t="s">
        <v>448</v>
      </c>
    </row>
    <row r="5592" spans="1:3">
      <c r="A5592" s="250">
        <v>15241</v>
      </c>
      <c r="B5592" s="74" t="s">
        <v>4039</v>
      </c>
      <c r="C5592" s="74" t="s">
        <v>448</v>
      </c>
    </row>
    <row r="5593" spans="1:3">
      <c r="A5593" s="250">
        <v>15242</v>
      </c>
      <c r="B5593" s="74" t="s">
        <v>4039</v>
      </c>
      <c r="C5593" s="74" t="s">
        <v>448</v>
      </c>
    </row>
    <row r="5594" spans="1:3">
      <c r="A5594" s="250">
        <v>15243</v>
      </c>
      <c r="B5594" s="74" t="s">
        <v>4039</v>
      </c>
      <c r="C5594" s="74" t="s">
        <v>448</v>
      </c>
    </row>
    <row r="5595" spans="1:3">
      <c r="A5595" s="250">
        <v>15244</v>
      </c>
      <c r="B5595" s="74" t="s">
        <v>4039</v>
      </c>
      <c r="C5595" s="74" t="s">
        <v>448</v>
      </c>
    </row>
    <row r="5596" spans="1:3">
      <c r="A5596" s="250">
        <v>15250</v>
      </c>
      <c r="B5596" s="74" t="s">
        <v>4039</v>
      </c>
      <c r="C5596" s="74" t="s">
        <v>448</v>
      </c>
    </row>
    <row r="5597" spans="1:3">
      <c r="A5597" s="250">
        <v>15251</v>
      </c>
      <c r="B5597" s="74" t="s">
        <v>4039</v>
      </c>
      <c r="C5597" s="74" t="s">
        <v>448</v>
      </c>
    </row>
    <row r="5598" spans="1:3">
      <c r="A5598" s="250">
        <v>15252</v>
      </c>
      <c r="B5598" s="74" t="s">
        <v>4039</v>
      </c>
      <c r="C5598" s="74" t="s">
        <v>448</v>
      </c>
    </row>
    <row r="5599" spans="1:3">
      <c r="A5599" s="250">
        <v>15253</v>
      </c>
      <c r="B5599" s="74" t="s">
        <v>4039</v>
      </c>
      <c r="C5599" s="74" t="s">
        <v>448</v>
      </c>
    </row>
    <row r="5600" spans="1:3">
      <c r="A5600" s="250">
        <v>15254</v>
      </c>
      <c r="B5600" s="74" t="s">
        <v>4039</v>
      </c>
      <c r="C5600" s="74" t="s">
        <v>448</v>
      </c>
    </row>
    <row r="5601" spans="1:3">
      <c r="A5601" s="250">
        <v>15255</v>
      </c>
      <c r="B5601" s="74" t="s">
        <v>4039</v>
      </c>
      <c r="C5601" s="74" t="s">
        <v>448</v>
      </c>
    </row>
    <row r="5602" spans="1:3">
      <c r="A5602" s="250">
        <v>15257</v>
      </c>
      <c r="B5602" s="74" t="s">
        <v>4039</v>
      </c>
      <c r="C5602" s="74" t="s">
        <v>448</v>
      </c>
    </row>
    <row r="5603" spans="1:3">
      <c r="A5603" s="250">
        <v>15258</v>
      </c>
      <c r="B5603" s="74" t="s">
        <v>4039</v>
      </c>
      <c r="C5603" s="74" t="s">
        <v>448</v>
      </c>
    </row>
    <row r="5604" spans="1:3">
      <c r="A5604" s="250">
        <v>15259</v>
      </c>
      <c r="B5604" s="74" t="s">
        <v>4039</v>
      </c>
      <c r="C5604" s="74" t="s">
        <v>448</v>
      </c>
    </row>
    <row r="5605" spans="1:3">
      <c r="A5605" s="250">
        <v>15260</v>
      </c>
      <c r="B5605" s="74" t="s">
        <v>4039</v>
      </c>
      <c r="C5605" s="74" t="s">
        <v>448</v>
      </c>
    </row>
    <row r="5606" spans="1:3">
      <c r="A5606" s="250">
        <v>15261</v>
      </c>
      <c r="B5606" s="74" t="s">
        <v>4039</v>
      </c>
      <c r="C5606" s="74" t="s">
        <v>448</v>
      </c>
    </row>
    <row r="5607" spans="1:3">
      <c r="A5607" s="250">
        <v>15262</v>
      </c>
      <c r="B5607" s="74" t="s">
        <v>4039</v>
      </c>
      <c r="C5607" s="74" t="s">
        <v>448</v>
      </c>
    </row>
    <row r="5608" spans="1:3">
      <c r="A5608" s="250">
        <v>15263</v>
      </c>
      <c r="B5608" s="74" t="s">
        <v>4039</v>
      </c>
      <c r="C5608" s="74" t="s">
        <v>448</v>
      </c>
    </row>
    <row r="5609" spans="1:3">
      <c r="A5609" s="250">
        <v>15264</v>
      </c>
      <c r="B5609" s="74" t="s">
        <v>4039</v>
      </c>
      <c r="C5609" s="74" t="s">
        <v>448</v>
      </c>
    </row>
    <row r="5610" spans="1:3">
      <c r="A5610" s="250">
        <v>15265</v>
      </c>
      <c r="B5610" s="74" t="s">
        <v>4039</v>
      </c>
      <c r="C5610" s="74" t="s">
        <v>448</v>
      </c>
    </row>
    <row r="5611" spans="1:3">
      <c r="A5611" s="250">
        <v>15266</v>
      </c>
      <c r="B5611" s="74" t="s">
        <v>4039</v>
      </c>
      <c r="C5611" s="74" t="s">
        <v>448</v>
      </c>
    </row>
    <row r="5612" spans="1:3">
      <c r="A5612" s="250">
        <v>15267</v>
      </c>
      <c r="B5612" s="74" t="s">
        <v>4039</v>
      </c>
      <c r="C5612" s="74" t="s">
        <v>448</v>
      </c>
    </row>
    <row r="5613" spans="1:3">
      <c r="A5613" s="250">
        <v>15268</v>
      </c>
      <c r="B5613" s="74" t="s">
        <v>4039</v>
      </c>
      <c r="C5613" s="74" t="s">
        <v>448</v>
      </c>
    </row>
    <row r="5614" spans="1:3">
      <c r="A5614" s="250">
        <v>15270</v>
      </c>
      <c r="B5614" s="74" t="s">
        <v>4039</v>
      </c>
      <c r="C5614" s="74" t="s">
        <v>448</v>
      </c>
    </row>
    <row r="5615" spans="1:3">
      <c r="A5615" s="250">
        <v>15272</v>
      </c>
      <c r="B5615" s="74" t="s">
        <v>4039</v>
      </c>
      <c r="C5615" s="74" t="s">
        <v>448</v>
      </c>
    </row>
    <row r="5616" spans="1:3">
      <c r="A5616" s="250">
        <v>15273</v>
      </c>
      <c r="B5616" s="74" t="s">
        <v>4039</v>
      </c>
      <c r="C5616" s="74" t="s">
        <v>448</v>
      </c>
    </row>
    <row r="5617" spans="1:3">
      <c r="A5617" s="250">
        <v>15274</v>
      </c>
      <c r="B5617" s="74" t="s">
        <v>4039</v>
      </c>
      <c r="C5617" s="74" t="s">
        <v>448</v>
      </c>
    </row>
    <row r="5618" spans="1:3">
      <c r="A5618" s="250">
        <v>15275</v>
      </c>
      <c r="B5618" s="74" t="s">
        <v>4039</v>
      </c>
      <c r="C5618" s="74" t="s">
        <v>448</v>
      </c>
    </row>
    <row r="5619" spans="1:3">
      <c r="A5619" s="250">
        <v>15276</v>
      </c>
      <c r="B5619" s="74" t="s">
        <v>4039</v>
      </c>
      <c r="C5619" s="74" t="s">
        <v>448</v>
      </c>
    </row>
    <row r="5620" spans="1:3">
      <c r="A5620" s="250">
        <v>15277</v>
      </c>
      <c r="B5620" s="74" t="s">
        <v>4039</v>
      </c>
      <c r="C5620" s="74" t="s">
        <v>448</v>
      </c>
    </row>
    <row r="5621" spans="1:3">
      <c r="A5621" s="250">
        <v>15278</v>
      </c>
      <c r="B5621" s="74" t="s">
        <v>4039</v>
      </c>
      <c r="C5621" s="74" t="s">
        <v>448</v>
      </c>
    </row>
    <row r="5622" spans="1:3">
      <c r="A5622" s="250">
        <v>15279</v>
      </c>
      <c r="B5622" s="74" t="s">
        <v>4039</v>
      </c>
      <c r="C5622" s="74" t="s">
        <v>448</v>
      </c>
    </row>
    <row r="5623" spans="1:3">
      <c r="A5623" s="250">
        <v>15281</v>
      </c>
      <c r="B5623" s="74" t="s">
        <v>4039</v>
      </c>
      <c r="C5623" s="74" t="s">
        <v>448</v>
      </c>
    </row>
    <row r="5624" spans="1:3">
      <c r="A5624" s="250">
        <v>15282</v>
      </c>
      <c r="B5624" s="74" t="s">
        <v>4039</v>
      </c>
      <c r="C5624" s="74" t="s">
        <v>448</v>
      </c>
    </row>
    <row r="5625" spans="1:3">
      <c r="A5625" s="250">
        <v>15283</v>
      </c>
      <c r="B5625" s="74" t="s">
        <v>4039</v>
      </c>
      <c r="C5625" s="74" t="s">
        <v>448</v>
      </c>
    </row>
    <row r="5626" spans="1:3">
      <c r="A5626" s="250">
        <v>15285</v>
      </c>
      <c r="B5626" s="74" t="s">
        <v>4039</v>
      </c>
      <c r="C5626" s="74" t="s">
        <v>448</v>
      </c>
    </row>
    <row r="5627" spans="1:3">
      <c r="A5627" s="250">
        <v>15286</v>
      </c>
      <c r="B5627" s="74" t="s">
        <v>4039</v>
      </c>
      <c r="C5627" s="74" t="s">
        <v>448</v>
      </c>
    </row>
    <row r="5628" spans="1:3">
      <c r="A5628" s="250">
        <v>15288</v>
      </c>
      <c r="B5628" s="74" t="s">
        <v>4039</v>
      </c>
      <c r="C5628" s="74" t="s">
        <v>448</v>
      </c>
    </row>
    <row r="5629" spans="1:3">
      <c r="A5629" s="250">
        <v>15289</v>
      </c>
      <c r="B5629" s="74" t="s">
        <v>4039</v>
      </c>
      <c r="C5629" s="74" t="s">
        <v>448</v>
      </c>
    </row>
    <row r="5630" spans="1:3">
      <c r="A5630" s="250">
        <v>15290</v>
      </c>
      <c r="B5630" s="74" t="s">
        <v>4039</v>
      </c>
      <c r="C5630" s="74" t="s">
        <v>448</v>
      </c>
    </row>
    <row r="5631" spans="1:3">
      <c r="A5631" s="250">
        <v>15295</v>
      </c>
      <c r="B5631" s="74" t="s">
        <v>4039</v>
      </c>
      <c r="C5631" s="74" t="s">
        <v>448</v>
      </c>
    </row>
    <row r="5632" spans="1:3">
      <c r="A5632" s="250">
        <v>15301</v>
      </c>
      <c r="B5632" s="74" t="s">
        <v>1215</v>
      </c>
      <c r="C5632" s="74" t="s">
        <v>448</v>
      </c>
    </row>
    <row r="5633" spans="1:3">
      <c r="A5633" s="250">
        <v>15310</v>
      </c>
      <c r="B5633" s="74" t="s">
        <v>4040</v>
      </c>
      <c r="C5633" s="74" t="s">
        <v>448</v>
      </c>
    </row>
    <row r="5634" spans="1:3">
      <c r="A5634" s="250">
        <v>15311</v>
      </c>
      <c r="B5634" s="74" t="s">
        <v>4041</v>
      </c>
      <c r="C5634" s="74" t="s">
        <v>448</v>
      </c>
    </row>
    <row r="5635" spans="1:3">
      <c r="A5635" s="250">
        <v>15312</v>
      </c>
      <c r="B5635" s="74" t="s">
        <v>4042</v>
      </c>
      <c r="C5635" s="74" t="s">
        <v>448</v>
      </c>
    </row>
    <row r="5636" spans="1:3">
      <c r="A5636" s="250">
        <v>15313</v>
      </c>
      <c r="B5636" s="74" t="s">
        <v>4043</v>
      </c>
      <c r="C5636" s="74" t="s">
        <v>448</v>
      </c>
    </row>
    <row r="5637" spans="1:3">
      <c r="A5637" s="250">
        <v>15314</v>
      </c>
      <c r="B5637" s="74" t="s">
        <v>4044</v>
      </c>
      <c r="C5637" s="74" t="s">
        <v>448</v>
      </c>
    </row>
    <row r="5638" spans="1:3">
      <c r="A5638" s="250">
        <v>15315</v>
      </c>
      <c r="B5638" s="74" t="s">
        <v>4045</v>
      </c>
      <c r="C5638" s="74" t="s">
        <v>448</v>
      </c>
    </row>
    <row r="5639" spans="1:3">
      <c r="A5639" s="250">
        <v>15316</v>
      </c>
      <c r="B5639" s="74" t="s">
        <v>4046</v>
      </c>
      <c r="C5639" s="74" t="s">
        <v>448</v>
      </c>
    </row>
    <row r="5640" spans="1:3">
      <c r="A5640" s="250">
        <v>15317</v>
      </c>
      <c r="B5640" s="74" t="s">
        <v>4047</v>
      </c>
      <c r="C5640" s="74" t="s">
        <v>448</v>
      </c>
    </row>
    <row r="5641" spans="1:3">
      <c r="A5641" s="250">
        <v>15320</v>
      </c>
      <c r="B5641" s="74" t="s">
        <v>4048</v>
      </c>
      <c r="C5641" s="74" t="s">
        <v>448</v>
      </c>
    </row>
    <row r="5642" spans="1:3">
      <c r="A5642" s="250">
        <v>15321</v>
      </c>
      <c r="B5642" s="74" t="s">
        <v>4049</v>
      </c>
      <c r="C5642" s="74" t="s">
        <v>448</v>
      </c>
    </row>
    <row r="5643" spans="1:3">
      <c r="A5643" s="250">
        <v>15322</v>
      </c>
      <c r="B5643" s="74" t="s">
        <v>2926</v>
      </c>
      <c r="C5643" s="74" t="s">
        <v>448</v>
      </c>
    </row>
    <row r="5644" spans="1:3">
      <c r="A5644" s="250">
        <v>15323</v>
      </c>
      <c r="B5644" s="74" t="s">
        <v>4050</v>
      </c>
      <c r="C5644" s="74" t="s">
        <v>448</v>
      </c>
    </row>
    <row r="5645" spans="1:3">
      <c r="A5645" s="250">
        <v>15324</v>
      </c>
      <c r="B5645" s="74" t="s">
        <v>4051</v>
      </c>
      <c r="C5645" s="74" t="s">
        <v>448</v>
      </c>
    </row>
    <row r="5646" spans="1:3">
      <c r="A5646" s="250">
        <v>15325</v>
      </c>
      <c r="B5646" s="74" t="s">
        <v>4052</v>
      </c>
      <c r="C5646" s="74" t="s">
        <v>448</v>
      </c>
    </row>
    <row r="5647" spans="1:3">
      <c r="A5647" s="250">
        <v>15327</v>
      </c>
      <c r="B5647" s="74" t="s">
        <v>4053</v>
      </c>
      <c r="C5647" s="74" t="s">
        <v>448</v>
      </c>
    </row>
    <row r="5648" spans="1:3">
      <c r="A5648" s="250">
        <v>15329</v>
      </c>
      <c r="B5648" s="74" t="s">
        <v>4054</v>
      </c>
      <c r="C5648" s="74" t="s">
        <v>448</v>
      </c>
    </row>
    <row r="5649" spans="1:3">
      <c r="A5649" s="250">
        <v>15330</v>
      </c>
      <c r="B5649" s="74" t="s">
        <v>4055</v>
      </c>
      <c r="C5649" s="74" t="s">
        <v>448</v>
      </c>
    </row>
    <row r="5650" spans="1:3">
      <c r="A5650" s="250">
        <v>15331</v>
      </c>
      <c r="B5650" s="74" t="s">
        <v>1563</v>
      </c>
      <c r="C5650" s="74" t="s">
        <v>448</v>
      </c>
    </row>
    <row r="5651" spans="1:3">
      <c r="A5651" s="250">
        <v>15332</v>
      </c>
      <c r="B5651" s="74" t="s">
        <v>4056</v>
      </c>
      <c r="C5651" s="74" t="s">
        <v>448</v>
      </c>
    </row>
    <row r="5652" spans="1:3">
      <c r="A5652" s="250">
        <v>15333</v>
      </c>
      <c r="B5652" s="74" t="s">
        <v>4057</v>
      </c>
      <c r="C5652" s="74" t="s">
        <v>448</v>
      </c>
    </row>
    <row r="5653" spans="1:3">
      <c r="A5653" s="250">
        <v>15334</v>
      </c>
      <c r="B5653" s="74" t="s">
        <v>4058</v>
      </c>
      <c r="C5653" s="74" t="s">
        <v>448</v>
      </c>
    </row>
    <row r="5654" spans="1:3">
      <c r="A5654" s="250">
        <v>15336</v>
      </c>
      <c r="B5654" s="74" t="s">
        <v>4059</v>
      </c>
      <c r="C5654" s="74" t="s">
        <v>448</v>
      </c>
    </row>
    <row r="5655" spans="1:3">
      <c r="A5655" s="250">
        <v>15337</v>
      </c>
      <c r="B5655" s="74" t="s">
        <v>4060</v>
      </c>
      <c r="C5655" s="74" t="s">
        <v>448</v>
      </c>
    </row>
    <row r="5656" spans="1:3">
      <c r="A5656" s="250">
        <v>15338</v>
      </c>
      <c r="B5656" s="74" t="s">
        <v>1910</v>
      </c>
      <c r="C5656" s="74" t="s">
        <v>448</v>
      </c>
    </row>
    <row r="5657" spans="1:3">
      <c r="A5657" s="250">
        <v>15339</v>
      </c>
      <c r="B5657" s="74" t="s">
        <v>4061</v>
      </c>
      <c r="C5657" s="74" t="s">
        <v>448</v>
      </c>
    </row>
    <row r="5658" spans="1:3">
      <c r="A5658" s="250">
        <v>15340</v>
      </c>
      <c r="B5658" s="74" t="s">
        <v>4062</v>
      </c>
      <c r="C5658" s="74" t="s">
        <v>448</v>
      </c>
    </row>
    <row r="5659" spans="1:3">
      <c r="A5659" s="250">
        <v>15341</v>
      </c>
      <c r="B5659" s="74" t="s">
        <v>946</v>
      </c>
      <c r="C5659" s="74" t="s">
        <v>448</v>
      </c>
    </row>
    <row r="5660" spans="1:3">
      <c r="A5660" s="250">
        <v>15342</v>
      </c>
      <c r="B5660" s="74" t="s">
        <v>4063</v>
      </c>
      <c r="C5660" s="74" t="s">
        <v>448</v>
      </c>
    </row>
    <row r="5661" spans="1:3">
      <c r="A5661" s="250">
        <v>15344</v>
      </c>
      <c r="B5661" s="74" t="s">
        <v>740</v>
      </c>
      <c r="C5661" s="74" t="s">
        <v>448</v>
      </c>
    </row>
    <row r="5662" spans="1:3">
      <c r="A5662" s="250">
        <v>15345</v>
      </c>
      <c r="B5662" s="74" t="s">
        <v>4064</v>
      </c>
      <c r="C5662" s="74" t="s">
        <v>448</v>
      </c>
    </row>
    <row r="5663" spans="1:3">
      <c r="A5663" s="250">
        <v>15346</v>
      </c>
      <c r="B5663" s="74" t="s">
        <v>4065</v>
      </c>
      <c r="C5663" s="74" t="s">
        <v>448</v>
      </c>
    </row>
    <row r="5664" spans="1:3">
      <c r="A5664" s="250">
        <v>15347</v>
      </c>
      <c r="B5664" s="74" t="s">
        <v>4066</v>
      </c>
      <c r="C5664" s="74" t="s">
        <v>448</v>
      </c>
    </row>
    <row r="5665" spans="1:3">
      <c r="A5665" s="250">
        <v>15348</v>
      </c>
      <c r="B5665" s="74" t="s">
        <v>4067</v>
      </c>
      <c r="C5665" s="74" t="s">
        <v>448</v>
      </c>
    </row>
    <row r="5666" spans="1:3">
      <c r="A5666" s="250">
        <v>15349</v>
      </c>
      <c r="B5666" s="74" t="s">
        <v>3795</v>
      </c>
      <c r="C5666" s="74" t="s">
        <v>448</v>
      </c>
    </row>
    <row r="5667" spans="1:3">
      <c r="A5667" s="250">
        <v>15350</v>
      </c>
      <c r="B5667" s="74" t="s">
        <v>4068</v>
      </c>
      <c r="C5667" s="74" t="s">
        <v>448</v>
      </c>
    </row>
    <row r="5668" spans="1:3">
      <c r="A5668" s="250">
        <v>15351</v>
      </c>
      <c r="B5668" s="74" t="s">
        <v>4069</v>
      </c>
      <c r="C5668" s="74" t="s">
        <v>448</v>
      </c>
    </row>
    <row r="5669" spans="1:3">
      <c r="A5669" s="250">
        <v>15352</v>
      </c>
      <c r="B5669" s="74" t="s">
        <v>4070</v>
      </c>
      <c r="C5669" s="74" t="s">
        <v>448</v>
      </c>
    </row>
    <row r="5670" spans="1:3">
      <c r="A5670" s="250">
        <v>15353</v>
      </c>
      <c r="B5670" s="74" t="s">
        <v>3637</v>
      </c>
      <c r="C5670" s="74" t="s">
        <v>448</v>
      </c>
    </row>
    <row r="5671" spans="1:3">
      <c r="A5671" s="250">
        <v>15357</v>
      </c>
      <c r="B5671" s="74" t="s">
        <v>4071</v>
      </c>
      <c r="C5671" s="74" t="s">
        <v>448</v>
      </c>
    </row>
    <row r="5672" spans="1:3">
      <c r="A5672" s="250">
        <v>15358</v>
      </c>
      <c r="B5672" s="74" t="s">
        <v>4072</v>
      </c>
      <c r="C5672" s="74" t="s">
        <v>448</v>
      </c>
    </row>
    <row r="5673" spans="1:3">
      <c r="A5673" s="250">
        <v>15359</v>
      </c>
      <c r="B5673" s="74" t="s">
        <v>4073</v>
      </c>
      <c r="C5673" s="74" t="s">
        <v>448</v>
      </c>
    </row>
    <row r="5674" spans="1:3">
      <c r="A5674" s="250">
        <v>15360</v>
      </c>
      <c r="B5674" s="74" t="s">
        <v>4074</v>
      </c>
      <c r="C5674" s="74" t="s">
        <v>448</v>
      </c>
    </row>
    <row r="5675" spans="1:3">
      <c r="A5675" s="250">
        <v>15361</v>
      </c>
      <c r="B5675" s="74" t="s">
        <v>4075</v>
      </c>
      <c r="C5675" s="74" t="s">
        <v>448</v>
      </c>
    </row>
    <row r="5676" spans="1:3">
      <c r="A5676" s="250">
        <v>15362</v>
      </c>
      <c r="B5676" s="74" t="s">
        <v>4076</v>
      </c>
      <c r="C5676" s="74" t="s">
        <v>448</v>
      </c>
    </row>
    <row r="5677" spans="1:3">
      <c r="A5677" s="250">
        <v>15363</v>
      </c>
      <c r="B5677" s="74" t="s">
        <v>4077</v>
      </c>
      <c r="C5677" s="74" t="s">
        <v>448</v>
      </c>
    </row>
    <row r="5678" spans="1:3">
      <c r="A5678" s="250">
        <v>15364</v>
      </c>
      <c r="B5678" s="74" t="s">
        <v>4078</v>
      </c>
      <c r="C5678" s="74" t="s">
        <v>448</v>
      </c>
    </row>
    <row r="5679" spans="1:3">
      <c r="A5679" s="250">
        <v>15365</v>
      </c>
      <c r="B5679" s="74" t="s">
        <v>4079</v>
      </c>
      <c r="C5679" s="74" t="s">
        <v>448</v>
      </c>
    </row>
    <row r="5680" spans="1:3">
      <c r="A5680" s="250">
        <v>15366</v>
      </c>
      <c r="B5680" s="74" t="s">
        <v>4080</v>
      </c>
      <c r="C5680" s="74" t="s">
        <v>448</v>
      </c>
    </row>
    <row r="5681" spans="1:3">
      <c r="A5681" s="250">
        <v>15367</v>
      </c>
      <c r="B5681" s="74" t="s">
        <v>4081</v>
      </c>
      <c r="C5681" s="74" t="s">
        <v>448</v>
      </c>
    </row>
    <row r="5682" spans="1:3">
      <c r="A5682" s="250">
        <v>15368</v>
      </c>
      <c r="B5682" s="74" t="s">
        <v>4082</v>
      </c>
      <c r="C5682" s="74" t="s">
        <v>448</v>
      </c>
    </row>
    <row r="5683" spans="1:3">
      <c r="A5683" s="250">
        <v>15370</v>
      </c>
      <c r="B5683" s="74" t="s">
        <v>4083</v>
      </c>
      <c r="C5683" s="74" t="s">
        <v>448</v>
      </c>
    </row>
    <row r="5684" spans="1:3">
      <c r="A5684" s="250">
        <v>15376</v>
      </c>
      <c r="B5684" s="74" t="s">
        <v>4084</v>
      </c>
      <c r="C5684" s="74" t="s">
        <v>448</v>
      </c>
    </row>
    <row r="5685" spans="1:3">
      <c r="A5685" s="250">
        <v>15377</v>
      </c>
      <c r="B5685" s="74" t="s">
        <v>4085</v>
      </c>
      <c r="C5685" s="74" t="s">
        <v>448</v>
      </c>
    </row>
    <row r="5686" spans="1:3">
      <c r="A5686" s="250">
        <v>15378</v>
      </c>
      <c r="B5686" s="74" t="s">
        <v>4086</v>
      </c>
      <c r="C5686" s="74" t="s">
        <v>448</v>
      </c>
    </row>
    <row r="5687" spans="1:3">
      <c r="A5687" s="250">
        <v>15379</v>
      </c>
      <c r="B5687" s="74" t="s">
        <v>4087</v>
      </c>
      <c r="C5687" s="74" t="s">
        <v>448</v>
      </c>
    </row>
    <row r="5688" spans="1:3">
      <c r="A5688" s="250">
        <v>15380</v>
      </c>
      <c r="B5688" s="74" t="s">
        <v>4088</v>
      </c>
      <c r="C5688" s="74" t="s">
        <v>448</v>
      </c>
    </row>
    <row r="5689" spans="1:3">
      <c r="A5689" s="250">
        <v>15401</v>
      </c>
      <c r="B5689" s="74" t="s">
        <v>4089</v>
      </c>
      <c r="C5689" s="74" t="s">
        <v>448</v>
      </c>
    </row>
    <row r="5690" spans="1:3">
      <c r="A5690" s="250">
        <v>15410</v>
      </c>
      <c r="B5690" s="74" t="s">
        <v>4090</v>
      </c>
      <c r="C5690" s="74" t="s">
        <v>448</v>
      </c>
    </row>
    <row r="5691" spans="1:3">
      <c r="A5691" s="250">
        <v>15411</v>
      </c>
      <c r="B5691" s="74" t="s">
        <v>1564</v>
      </c>
      <c r="C5691" s="74" t="s">
        <v>448</v>
      </c>
    </row>
    <row r="5692" spans="1:3">
      <c r="A5692" s="250">
        <v>15412</v>
      </c>
      <c r="B5692" s="74" t="s">
        <v>4091</v>
      </c>
      <c r="C5692" s="74" t="s">
        <v>448</v>
      </c>
    </row>
    <row r="5693" spans="1:3">
      <c r="A5693" s="250">
        <v>15413</v>
      </c>
      <c r="B5693" s="74" t="s">
        <v>4092</v>
      </c>
      <c r="C5693" s="74" t="s">
        <v>448</v>
      </c>
    </row>
    <row r="5694" spans="1:3">
      <c r="A5694" s="250">
        <v>15415</v>
      </c>
      <c r="B5694" s="74" t="s">
        <v>3528</v>
      </c>
      <c r="C5694" s="74" t="s">
        <v>448</v>
      </c>
    </row>
    <row r="5695" spans="1:3">
      <c r="A5695" s="250">
        <v>15416</v>
      </c>
      <c r="B5695" s="74" t="s">
        <v>1369</v>
      </c>
      <c r="C5695" s="74" t="s">
        <v>448</v>
      </c>
    </row>
    <row r="5696" spans="1:3">
      <c r="A5696" s="250">
        <v>15417</v>
      </c>
      <c r="B5696" s="74" t="s">
        <v>1731</v>
      </c>
      <c r="C5696" s="74" t="s">
        <v>448</v>
      </c>
    </row>
    <row r="5697" spans="1:3">
      <c r="A5697" s="250">
        <v>15419</v>
      </c>
      <c r="B5697" s="74" t="s">
        <v>4093</v>
      </c>
      <c r="C5697" s="74" t="s">
        <v>448</v>
      </c>
    </row>
    <row r="5698" spans="1:3">
      <c r="A5698" s="250">
        <v>15420</v>
      </c>
      <c r="B5698" s="74" t="s">
        <v>4094</v>
      </c>
      <c r="C5698" s="74" t="s">
        <v>448</v>
      </c>
    </row>
    <row r="5699" spans="1:3">
      <c r="A5699" s="250">
        <v>15421</v>
      </c>
      <c r="B5699" s="74" t="s">
        <v>4095</v>
      </c>
      <c r="C5699" s="74" t="s">
        <v>448</v>
      </c>
    </row>
    <row r="5700" spans="1:3">
      <c r="A5700" s="250">
        <v>15422</v>
      </c>
      <c r="B5700" s="74" t="s">
        <v>4096</v>
      </c>
      <c r="C5700" s="74" t="s">
        <v>448</v>
      </c>
    </row>
    <row r="5701" spans="1:3">
      <c r="A5701" s="250">
        <v>15423</v>
      </c>
      <c r="B5701" s="74" t="s">
        <v>4097</v>
      </c>
      <c r="C5701" s="74" t="s">
        <v>448</v>
      </c>
    </row>
    <row r="5702" spans="1:3">
      <c r="A5702" s="250">
        <v>15424</v>
      </c>
      <c r="B5702" s="74" t="s">
        <v>4098</v>
      </c>
      <c r="C5702" s="74" t="s">
        <v>448</v>
      </c>
    </row>
    <row r="5703" spans="1:3">
      <c r="A5703" s="250">
        <v>15425</v>
      </c>
      <c r="B5703" s="74" t="s">
        <v>4099</v>
      </c>
      <c r="C5703" s="74" t="s">
        <v>448</v>
      </c>
    </row>
    <row r="5704" spans="1:3">
      <c r="A5704" s="250">
        <v>15427</v>
      </c>
      <c r="B5704" s="74" t="s">
        <v>4100</v>
      </c>
      <c r="C5704" s="74" t="s">
        <v>448</v>
      </c>
    </row>
    <row r="5705" spans="1:3">
      <c r="A5705" s="250">
        <v>15428</v>
      </c>
      <c r="B5705" s="74" t="s">
        <v>4101</v>
      </c>
      <c r="C5705" s="74" t="s">
        <v>448</v>
      </c>
    </row>
    <row r="5706" spans="1:3">
      <c r="A5706" s="250">
        <v>15429</v>
      </c>
      <c r="B5706" s="74" t="s">
        <v>4102</v>
      </c>
      <c r="C5706" s="74" t="s">
        <v>448</v>
      </c>
    </row>
    <row r="5707" spans="1:3">
      <c r="A5707" s="250">
        <v>15430</v>
      </c>
      <c r="B5707" s="74" t="s">
        <v>4103</v>
      </c>
      <c r="C5707" s="74" t="s">
        <v>448</v>
      </c>
    </row>
    <row r="5708" spans="1:3">
      <c r="A5708" s="250">
        <v>15431</v>
      </c>
      <c r="B5708" s="74" t="s">
        <v>4104</v>
      </c>
      <c r="C5708" s="74" t="s">
        <v>448</v>
      </c>
    </row>
    <row r="5709" spans="1:3">
      <c r="A5709" s="250">
        <v>15432</v>
      </c>
      <c r="B5709" s="74" t="s">
        <v>4105</v>
      </c>
      <c r="C5709" s="74" t="s">
        <v>448</v>
      </c>
    </row>
    <row r="5710" spans="1:3">
      <c r="A5710" s="250">
        <v>15433</v>
      </c>
      <c r="B5710" s="74" t="s">
        <v>4106</v>
      </c>
      <c r="C5710" s="74" t="s">
        <v>448</v>
      </c>
    </row>
    <row r="5711" spans="1:3">
      <c r="A5711" s="250">
        <v>15434</v>
      </c>
      <c r="B5711" s="74" t="s">
        <v>4107</v>
      </c>
      <c r="C5711" s="74" t="s">
        <v>448</v>
      </c>
    </row>
    <row r="5712" spans="1:3">
      <c r="A5712" s="250">
        <v>15435</v>
      </c>
      <c r="B5712" s="74" t="s">
        <v>4108</v>
      </c>
      <c r="C5712" s="74" t="s">
        <v>448</v>
      </c>
    </row>
    <row r="5713" spans="1:3">
      <c r="A5713" s="250">
        <v>15436</v>
      </c>
      <c r="B5713" s="74" t="s">
        <v>4109</v>
      </c>
      <c r="C5713" s="74" t="s">
        <v>448</v>
      </c>
    </row>
    <row r="5714" spans="1:3">
      <c r="A5714" s="250">
        <v>15437</v>
      </c>
      <c r="B5714" s="74" t="s">
        <v>1309</v>
      </c>
      <c r="C5714" s="74" t="s">
        <v>448</v>
      </c>
    </row>
    <row r="5715" spans="1:3">
      <c r="A5715" s="250">
        <v>15438</v>
      </c>
      <c r="B5715" s="74" t="s">
        <v>4110</v>
      </c>
      <c r="C5715" s="74" t="s">
        <v>448</v>
      </c>
    </row>
    <row r="5716" spans="1:3">
      <c r="A5716" s="250">
        <v>15439</v>
      </c>
      <c r="B5716" s="74" t="s">
        <v>4111</v>
      </c>
      <c r="C5716" s="74" t="s">
        <v>448</v>
      </c>
    </row>
    <row r="5717" spans="1:3">
      <c r="A5717" s="250">
        <v>15440</v>
      </c>
      <c r="B5717" s="74" t="s">
        <v>4112</v>
      </c>
      <c r="C5717" s="74" t="s">
        <v>448</v>
      </c>
    </row>
    <row r="5718" spans="1:3">
      <c r="A5718" s="250">
        <v>15442</v>
      </c>
      <c r="B5718" s="74" t="s">
        <v>4113</v>
      </c>
      <c r="C5718" s="74" t="s">
        <v>448</v>
      </c>
    </row>
    <row r="5719" spans="1:3">
      <c r="A5719" s="250">
        <v>15443</v>
      </c>
      <c r="B5719" s="74" t="s">
        <v>4114</v>
      </c>
      <c r="C5719" s="74" t="s">
        <v>448</v>
      </c>
    </row>
    <row r="5720" spans="1:3">
      <c r="A5720" s="250">
        <v>15444</v>
      </c>
      <c r="B5720" s="74" t="s">
        <v>4115</v>
      </c>
      <c r="C5720" s="74" t="s">
        <v>448</v>
      </c>
    </row>
    <row r="5721" spans="1:3">
      <c r="A5721" s="250">
        <v>15445</v>
      </c>
      <c r="B5721" s="74" t="s">
        <v>4116</v>
      </c>
      <c r="C5721" s="74" t="s">
        <v>448</v>
      </c>
    </row>
    <row r="5722" spans="1:3">
      <c r="A5722" s="250">
        <v>15446</v>
      </c>
      <c r="B5722" s="74" t="s">
        <v>4117</v>
      </c>
      <c r="C5722" s="74" t="s">
        <v>448</v>
      </c>
    </row>
    <row r="5723" spans="1:3">
      <c r="A5723" s="250">
        <v>15447</v>
      </c>
      <c r="B5723" s="74" t="s">
        <v>4118</v>
      </c>
      <c r="C5723" s="74" t="s">
        <v>448</v>
      </c>
    </row>
    <row r="5724" spans="1:3">
      <c r="A5724" s="250">
        <v>15448</v>
      </c>
      <c r="B5724" s="74" t="s">
        <v>4119</v>
      </c>
      <c r="C5724" s="74" t="s">
        <v>448</v>
      </c>
    </row>
    <row r="5725" spans="1:3">
      <c r="A5725" s="250">
        <v>15449</v>
      </c>
      <c r="B5725" s="74" t="s">
        <v>4120</v>
      </c>
      <c r="C5725" s="74" t="s">
        <v>448</v>
      </c>
    </row>
    <row r="5726" spans="1:3">
      <c r="A5726" s="250">
        <v>15450</v>
      </c>
      <c r="B5726" s="74" t="s">
        <v>4121</v>
      </c>
      <c r="C5726" s="74" t="s">
        <v>448</v>
      </c>
    </row>
    <row r="5727" spans="1:3">
      <c r="A5727" s="250">
        <v>15451</v>
      </c>
      <c r="B5727" s="74" t="s">
        <v>4122</v>
      </c>
      <c r="C5727" s="74" t="s">
        <v>448</v>
      </c>
    </row>
    <row r="5728" spans="1:3">
      <c r="A5728" s="250">
        <v>15454</v>
      </c>
      <c r="B5728" s="74" t="s">
        <v>4123</v>
      </c>
      <c r="C5728" s="74" t="s">
        <v>448</v>
      </c>
    </row>
    <row r="5729" spans="1:3">
      <c r="A5729" s="250">
        <v>15455</v>
      </c>
      <c r="B5729" s="74" t="s">
        <v>4124</v>
      </c>
      <c r="C5729" s="74" t="s">
        <v>448</v>
      </c>
    </row>
    <row r="5730" spans="1:3">
      <c r="A5730" s="250">
        <v>15456</v>
      </c>
      <c r="B5730" s="74" t="s">
        <v>4125</v>
      </c>
      <c r="C5730" s="74" t="s">
        <v>448</v>
      </c>
    </row>
    <row r="5731" spans="1:3">
      <c r="A5731" s="250">
        <v>15458</v>
      </c>
      <c r="B5731" s="74" t="s">
        <v>4126</v>
      </c>
      <c r="C5731" s="74" t="s">
        <v>448</v>
      </c>
    </row>
    <row r="5732" spans="1:3">
      <c r="A5732" s="250">
        <v>15459</v>
      </c>
      <c r="B5732" s="74" t="s">
        <v>4127</v>
      </c>
      <c r="C5732" s="74" t="s">
        <v>448</v>
      </c>
    </row>
    <row r="5733" spans="1:3">
      <c r="A5733" s="250">
        <v>15460</v>
      </c>
      <c r="B5733" s="74" t="s">
        <v>4128</v>
      </c>
      <c r="C5733" s="74" t="s">
        <v>448</v>
      </c>
    </row>
    <row r="5734" spans="1:3">
      <c r="A5734" s="250">
        <v>15461</v>
      </c>
      <c r="B5734" s="74" t="s">
        <v>4129</v>
      </c>
      <c r="C5734" s="74" t="s">
        <v>448</v>
      </c>
    </row>
    <row r="5735" spans="1:3">
      <c r="A5735" s="250">
        <v>15462</v>
      </c>
      <c r="B5735" s="74" t="s">
        <v>4130</v>
      </c>
      <c r="C5735" s="74" t="s">
        <v>448</v>
      </c>
    </row>
    <row r="5736" spans="1:3">
      <c r="A5736" s="250">
        <v>15463</v>
      </c>
      <c r="B5736" s="74" t="s">
        <v>4131</v>
      </c>
      <c r="C5736" s="74" t="s">
        <v>448</v>
      </c>
    </row>
    <row r="5737" spans="1:3">
      <c r="A5737" s="250">
        <v>15464</v>
      </c>
      <c r="B5737" s="74" t="s">
        <v>4132</v>
      </c>
      <c r="C5737" s="74" t="s">
        <v>448</v>
      </c>
    </row>
    <row r="5738" spans="1:3">
      <c r="A5738" s="250">
        <v>15465</v>
      </c>
      <c r="B5738" s="74" t="s">
        <v>4133</v>
      </c>
      <c r="C5738" s="74" t="s">
        <v>448</v>
      </c>
    </row>
    <row r="5739" spans="1:3">
      <c r="A5739" s="250">
        <v>15466</v>
      </c>
      <c r="B5739" s="74" t="s">
        <v>4134</v>
      </c>
      <c r="C5739" s="74" t="s">
        <v>448</v>
      </c>
    </row>
    <row r="5740" spans="1:3">
      <c r="A5740" s="250">
        <v>15467</v>
      </c>
      <c r="B5740" s="74" t="s">
        <v>4135</v>
      </c>
      <c r="C5740" s="74" t="s">
        <v>448</v>
      </c>
    </row>
    <row r="5741" spans="1:3">
      <c r="A5741" s="250">
        <v>15468</v>
      </c>
      <c r="B5741" s="74" t="s">
        <v>687</v>
      </c>
      <c r="C5741" s="74" t="s">
        <v>448</v>
      </c>
    </row>
    <row r="5742" spans="1:3">
      <c r="A5742" s="250">
        <v>15469</v>
      </c>
      <c r="B5742" s="74" t="s">
        <v>4136</v>
      </c>
      <c r="C5742" s="74" t="s">
        <v>448</v>
      </c>
    </row>
    <row r="5743" spans="1:3">
      <c r="A5743" s="250">
        <v>15470</v>
      </c>
      <c r="B5743" s="74" t="s">
        <v>4137</v>
      </c>
      <c r="C5743" s="74" t="s">
        <v>448</v>
      </c>
    </row>
    <row r="5744" spans="1:3">
      <c r="A5744" s="250">
        <v>15472</v>
      </c>
      <c r="B5744" s="74" t="s">
        <v>4138</v>
      </c>
      <c r="C5744" s="74" t="s">
        <v>448</v>
      </c>
    </row>
    <row r="5745" spans="1:3">
      <c r="A5745" s="250">
        <v>15473</v>
      </c>
      <c r="B5745" s="74" t="s">
        <v>4139</v>
      </c>
      <c r="C5745" s="74" t="s">
        <v>448</v>
      </c>
    </row>
    <row r="5746" spans="1:3">
      <c r="A5746" s="250">
        <v>15474</v>
      </c>
      <c r="B5746" s="74" t="s">
        <v>4140</v>
      </c>
      <c r="C5746" s="74" t="s">
        <v>448</v>
      </c>
    </row>
    <row r="5747" spans="1:3">
      <c r="A5747" s="250">
        <v>15475</v>
      </c>
      <c r="B5747" s="74" t="s">
        <v>4141</v>
      </c>
      <c r="C5747" s="74" t="s">
        <v>448</v>
      </c>
    </row>
    <row r="5748" spans="1:3">
      <c r="A5748" s="250">
        <v>15476</v>
      </c>
      <c r="B5748" s="74" t="s">
        <v>4142</v>
      </c>
      <c r="C5748" s="74" t="s">
        <v>448</v>
      </c>
    </row>
    <row r="5749" spans="1:3">
      <c r="A5749" s="250">
        <v>15477</v>
      </c>
      <c r="B5749" s="74" t="s">
        <v>3202</v>
      </c>
      <c r="C5749" s="74" t="s">
        <v>448</v>
      </c>
    </row>
    <row r="5750" spans="1:3">
      <c r="A5750" s="250">
        <v>15478</v>
      </c>
      <c r="B5750" s="74" t="s">
        <v>1149</v>
      </c>
      <c r="C5750" s="74" t="s">
        <v>448</v>
      </c>
    </row>
    <row r="5751" spans="1:3">
      <c r="A5751" s="250">
        <v>15479</v>
      </c>
      <c r="B5751" s="74" t="s">
        <v>4143</v>
      </c>
      <c r="C5751" s="74" t="s">
        <v>448</v>
      </c>
    </row>
    <row r="5752" spans="1:3">
      <c r="A5752" s="250">
        <v>15480</v>
      </c>
      <c r="B5752" s="74" t="s">
        <v>4144</v>
      </c>
      <c r="C5752" s="74" t="s">
        <v>448</v>
      </c>
    </row>
    <row r="5753" spans="1:3">
      <c r="A5753" s="250">
        <v>15482</v>
      </c>
      <c r="B5753" s="74" t="s">
        <v>4145</v>
      </c>
      <c r="C5753" s="74" t="s">
        <v>448</v>
      </c>
    </row>
    <row r="5754" spans="1:3">
      <c r="A5754" s="250">
        <v>15483</v>
      </c>
      <c r="B5754" s="74" t="s">
        <v>4146</v>
      </c>
      <c r="C5754" s="74" t="s">
        <v>448</v>
      </c>
    </row>
    <row r="5755" spans="1:3">
      <c r="A5755" s="250">
        <v>15484</v>
      </c>
      <c r="B5755" s="74" t="s">
        <v>4147</v>
      </c>
      <c r="C5755" s="74" t="s">
        <v>448</v>
      </c>
    </row>
    <row r="5756" spans="1:3">
      <c r="A5756" s="250">
        <v>15485</v>
      </c>
      <c r="B5756" s="74" t="s">
        <v>4148</v>
      </c>
      <c r="C5756" s="74" t="s">
        <v>448</v>
      </c>
    </row>
    <row r="5757" spans="1:3">
      <c r="A5757" s="250">
        <v>15486</v>
      </c>
      <c r="B5757" s="74" t="s">
        <v>4149</v>
      </c>
      <c r="C5757" s="74" t="s">
        <v>448</v>
      </c>
    </row>
    <row r="5758" spans="1:3">
      <c r="A5758" s="250">
        <v>15488</v>
      </c>
      <c r="B5758" s="74" t="s">
        <v>4150</v>
      </c>
      <c r="C5758" s="74" t="s">
        <v>448</v>
      </c>
    </row>
    <row r="5759" spans="1:3">
      <c r="A5759" s="250">
        <v>15489</v>
      </c>
      <c r="B5759" s="74" t="s">
        <v>4151</v>
      </c>
      <c r="C5759" s="74" t="s">
        <v>448</v>
      </c>
    </row>
    <row r="5760" spans="1:3">
      <c r="A5760" s="250">
        <v>15490</v>
      </c>
      <c r="B5760" s="74" t="s">
        <v>4152</v>
      </c>
      <c r="C5760" s="74" t="s">
        <v>448</v>
      </c>
    </row>
    <row r="5761" spans="1:3">
      <c r="A5761" s="250">
        <v>15492</v>
      </c>
      <c r="B5761" s="74" t="s">
        <v>4153</v>
      </c>
      <c r="C5761" s="74" t="s">
        <v>448</v>
      </c>
    </row>
    <row r="5762" spans="1:3">
      <c r="A5762" s="250">
        <v>15501</v>
      </c>
      <c r="B5762" s="74" t="s">
        <v>1070</v>
      </c>
      <c r="C5762" s="74" t="s">
        <v>448</v>
      </c>
    </row>
    <row r="5763" spans="1:3">
      <c r="A5763" s="250">
        <v>15502</v>
      </c>
      <c r="B5763" s="74" t="s">
        <v>4154</v>
      </c>
      <c r="C5763" s="74" t="s">
        <v>448</v>
      </c>
    </row>
    <row r="5764" spans="1:3">
      <c r="A5764" s="250">
        <v>15510</v>
      </c>
      <c r="B5764" s="74" t="s">
        <v>1070</v>
      </c>
      <c r="C5764" s="74" t="s">
        <v>448</v>
      </c>
    </row>
    <row r="5765" spans="1:3">
      <c r="A5765" s="250">
        <v>15520</v>
      </c>
      <c r="B5765" s="74" t="s">
        <v>4155</v>
      </c>
      <c r="C5765" s="74" t="s">
        <v>448</v>
      </c>
    </row>
    <row r="5766" spans="1:3">
      <c r="A5766" s="250">
        <v>15521</v>
      </c>
      <c r="B5766" s="74" t="s">
        <v>4156</v>
      </c>
      <c r="C5766" s="74" t="s">
        <v>448</v>
      </c>
    </row>
    <row r="5767" spans="1:3">
      <c r="A5767" s="250">
        <v>15522</v>
      </c>
      <c r="B5767" s="74" t="s">
        <v>783</v>
      </c>
      <c r="C5767" s="74" t="s">
        <v>448</v>
      </c>
    </row>
    <row r="5768" spans="1:3">
      <c r="A5768" s="250">
        <v>15530</v>
      </c>
      <c r="B5768" s="74" t="s">
        <v>725</v>
      </c>
      <c r="C5768" s="74" t="s">
        <v>448</v>
      </c>
    </row>
    <row r="5769" spans="1:3">
      <c r="A5769" s="250">
        <v>15531</v>
      </c>
      <c r="B5769" s="74" t="s">
        <v>4157</v>
      </c>
      <c r="C5769" s="74" t="s">
        <v>448</v>
      </c>
    </row>
    <row r="5770" spans="1:3">
      <c r="A5770" s="250">
        <v>15532</v>
      </c>
      <c r="B5770" s="74" t="s">
        <v>4158</v>
      </c>
      <c r="C5770" s="74" t="s">
        <v>448</v>
      </c>
    </row>
    <row r="5771" spans="1:3">
      <c r="A5771" s="250">
        <v>15533</v>
      </c>
      <c r="B5771" s="74" t="s">
        <v>4159</v>
      </c>
      <c r="C5771" s="74" t="s">
        <v>448</v>
      </c>
    </row>
    <row r="5772" spans="1:3">
      <c r="A5772" s="250">
        <v>15534</v>
      </c>
      <c r="B5772" s="74" t="s">
        <v>4160</v>
      </c>
      <c r="C5772" s="74" t="s">
        <v>448</v>
      </c>
    </row>
    <row r="5773" spans="1:3">
      <c r="A5773" s="250">
        <v>15535</v>
      </c>
      <c r="B5773" s="74" t="s">
        <v>4161</v>
      </c>
      <c r="C5773" s="74" t="s">
        <v>448</v>
      </c>
    </row>
    <row r="5774" spans="1:3">
      <c r="A5774" s="250">
        <v>15536</v>
      </c>
      <c r="B5774" s="74" t="s">
        <v>4162</v>
      </c>
      <c r="C5774" s="74" t="s">
        <v>448</v>
      </c>
    </row>
    <row r="5775" spans="1:3">
      <c r="A5775" s="250">
        <v>15537</v>
      </c>
      <c r="B5775" s="74" t="s">
        <v>917</v>
      </c>
      <c r="C5775" s="74" t="s">
        <v>448</v>
      </c>
    </row>
    <row r="5776" spans="1:3">
      <c r="A5776" s="250">
        <v>15538</v>
      </c>
      <c r="B5776" s="74" t="s">
        <v>4163</v>
      </c>
      <c r="C5776" s="74" t="s">
        <v>448</v>
      </c>
    </row>
    <row r="5777" spans="1:3">
      <c r="A5777" s="250">
        <v>15539</v>
      </c>
      <c r="B5777" s="74" t="s">
        <v>4164</v>
      </c>
      <c r="C5777" s="74" t="s">
        <v>448</v>
      </c>
    </row>
    <row r="5778" spans="1:3">
      <c r="A5778" s="250">
        <v>15540</v>
      </c>
      <c r="B5778" s="74" t="s">
        <v>4165</v>
      </c>
      <c r="C5778" s="74" t="s">
        <v>448</v>
      </c>
    </row>
    <row r="5779" spans="1:3">
      <c r="A5779" s="250">
        <v>15541</v>
      </c>
      <c r="B5779" s="74" t="s">
        <v>4166</v>
      </c>
      <c r="C5779" s="74" t="s">
        <v>448</v>
      </c>
    </row>
    <row r="5780" spans="1:3">
      <c r="A5780" s="250">
        <v>15542</v>
      </c>
      <c r="B5780" s="74" t="s">
        <v>4167</v>
      </c>
      <c r="C5780" s="74" t="s">
        <v>448</v>
      </c>
    </row>
    <row r="5781" spans="1:3">
      <c r="A5781" s="250">
        <v>15544</v>
      </c>
      <c r="B5781" s="74" t="s">
        <v>1385</v>
      </c>
      <c r="C5781" s="74" t="s">
        <v>448</v>
      </c>
    </row>
    <row r="5782" spans="1:3">
      <c r="A5782" s="250">
        <v>15545</v>
      </c>
      <c r="B5782" s="74" t="s">
        <v>4168</v>
      </c>
      <c r="C5782" s="74" t="s">
        <v>448</v>
      </c>
    </row>
    <row r="5783" spans="1:3">
      <c r="A5783" s="250">
        <v>15546</v>
      </c>
      <c r="B5783" s="74" t="s">
        <v>4169</v>
      </c>
      <c r="C5783" s="74" t="s">
        <v>448</v>
      </c>
    </row>
    <row r="5784" spans="1:3">
      <c r="A5784" s="250">
        <v>15547</v>
      </c>
      <c r="B5784" s="74" t="s">
        <v>4170</v>
      </c>
      <c r="C5784" s="74" t="s">
        <v>448</v>
      </c>
    </row>
    <row r="5785" spans="1:3">
      <c r="A5785" s="250">
        <v>15548</v>
      </c>
      <c r="B5785" s="74" t="s">
        <v>4171</v>
      </c>
      <c r="C5785" s="74" t="s">
        <v>448</v>
      </c>
    </row>
    <row r="5786" spans="1:3">
      <c r="A5786" s="250">
        <v>15549</v>
      </c>
      <c r="B5786" s="74" t="s">
        <v>4172</v>
      </c>
      <c r="C5786" s="74" t="s">
        <v>448</v>
      </c>
    </row>
    <row r="5787" spans="1:3">
      <c r="A5787" s="250">
        <v>15550</v>
      </c>
      <c r="B5787" s="74" t="s">
        <v>4173</v>
      </c>
      <c r="C5787" s="74" t="s">
        <v>448</v>
      </c>
    </row>
    <row r="5788" spans="1:3">
      <c r="A5788" s="250">
        <v>15551</v>
      </c>
      <c r="B5788" s="74" t="s">
        <v>4174</v>
      </c>
      <c r="C5788" s="74" t="s">
        <v>448</v>
      </c>
    </row>
    <row r="5789" spans="1:3">
      <c r="A5789" s="250">
        <v>15552</v>
      </c>
      <c r="B5789" s="74" t="s">
        <v>4175</v>
      </c>
      <c r="C5789" s="74" t="s">
        <v>448</v>
      </c>
    </row>
    <row r="5790" spans="1:3">
      <c r="A5790" s="250">
        <v>15553</v>
      </c>
      <c r="B5790" s="74" t="s">
        <v>2980</v>
      </c>
      <c r="C5790" s="74" t="s">
        <v>448</v>
      </c>
    </row>
    <row r="5791" spans="1:3">
      <c r="A5791" s="250">
        <v>15554</v>
      </c>
      <c r="B5791" s="74" t="s">
        <v>4176</v>
      </c>
      <c r="C5791" s="74" t="s">
        <v>448</v>
      </c>
    </row>
    <row r="5792" spans="1:3">
      <c r="A5792" s="250">
        <v>15555</v>
      </c>
      <c r="B5792" s="74" t="s">
        <v>4177</v>
      </c>
      <c r="C5792" s="74" t="s">
        <v>448</v>
      </c>
    </row>
    <row r="5793" spans="1:3">
      <c r="A5793" s="250">
        <v>15557</v>
      </c>
      <c r="B5793" s="74" t="s">
        <v>1525</v>
      </c>
      <c r="C5793" s="74" t="s">
        <v>448</v>
      </c>
    </row>
    <row r="5794" spans="1:3">
      <c r="A5794" s="250">
        <v>15558</v>
      </c>
      <c r="B5794" s="74" t="s">
        <v>853</v>
      </c>
      <c r="C5794" s="74" t="s">
        <v>448</v>
      </c>
    </row>
    <row r="5795" spans="1:3">
      <c r="A5795" s="250">
        <v>15559</v>
      </c>
      <c r="B5795" s="74" t="s">
        <v>4178</v>
      </c>
      <c r="C5795" s="74" t="s">
        <v>448</v>
      </c>
    </row>
    <row r="5796" spans="1:3">
      <c r="A5796" s="250">
        <v>15560</v>
      </c>
      <c r="B5796" s="74" t="s">
        <v>4179</v>
      </c>
      <c r="C5796" s="74" t="s">
        <v>448</v>
      </c>
    </row>
    <row r="5797" spans="1:3">
      <c r="A5797" s="250">
        <v>15561</v>
      </c>
      <c r="B5797" s="74" t="s">
        <v>4180</v>
      </c>
      <c r="C5797" s="74" t="s">
        <v>448</v>
      </c>
    </row>
    <row r="5798" spans="1:3">
      <c r="A5798" s="250">
        <v>15562</v>
      </c>
      <c r="B5798" s="74" t="s">
        <v>4181</v>
      </c>
      <c r="C5798" s="74" t="s">
        <v>448</v>
      </c>
    </row>
    <row r="5799" spans="1:3">
      <c r="A5799" s="250">
        <v>15563</v>
      </c>
      <c r="B5799" s="74" t="s">
        <v>4182</v>
      </c>
      <c r="C5799" s="74" t="s">
        <v>448</v>
      </c>
    </row>
    <row r="5800" spans="1:3">
      <c r="A5800" s="250">
        <v>15564</v>
      </c>
      <c r="B5800" s="74" t="s">
        <v>4183</v>
      </c>
      <c r="C5800" s="74" t="s">
        <v>448</v>
      </c>
    </row>
    <row r="5801" spans="1:3">
      <c r="A5801" s="250">
        <v>15565</v>
      </c>
      <c r="B5801" s="74" t="s">
        <v>4184</v>
      </c>
      <c r="C5801" s="74" t="s">
        <v>448</v>
      </c>
    </row>
    <row r="5802" spans="1:3">
      <c r="A5802" s="250">
        <v>15601</v>
      </c>
      <c r="B5802" s="74" t="s">
        <v>4185</v>
      </c>
      <c r="C5802" s="74" t="s">
        <v>448</v>
      </c>
    </row>
    <row r="5803" spans="1:3">
      <c r="A5803" s="250">
        <v>15605</v>
      </c>
      <c r="B5803" s="74" t="s">
        <v>4185</v>
      </c>
      <c r="C5803" s="74" t="s">
        <v>448</v>
      </c>
    </row>
    <row r="5804" spans="1:3">
      <c r="A5804" s="250">
        <v>15606</v>
      </c>
      <c r="B5804" s="74" t="s">
        <v>4185</v>
      </c>
      <c r="C5804" s="74" t="s">
        <v>448</v>
      </c>
    </row>
    <row r="5805" spans="1:3">
      <c r="A5805" s="250">
        <v>15610</v>
      </c>
      <c r="B5805" s="74" t="s">
        <v>4186</v>
      </c>
      <c r="C5805" s="74" t="s">
        <v>448</v>
      </c>
    </row>
    <row r="5806" spans="1:3">
      <c r="A5806" s="250">
        <v>15611</v>
      </c>
      <c r="B5806" s="74" t="s">
        <v>4187</v>
      </c>
      <c r="C5806" s="74" t="s">
        <v>448</v>
      </c>
    </row>
    <row r="5807" spans="1:3">
      <c r="A5807" s="250">
        <v>15612</v>
      </c>
      <c r="B5807" s="74" t="s">
        <v>4188</v>
      </c>
      <c r="C5807" s="74" t="s">
        <v>448</v>
      </c>
    </row>
    <row r="5808" spans="1:3">
      <c r="A5808" s="250">
        <v>15613</v>
      </c>
      <c r="B5808" s="74" t="s">
        <v>4189</v>
      </c>
      <c r="C5808" s="74" t="s">
        <v>448</v>
      </c>
    </row>
    <row r="5809" spans="1:3">
      <c r="A5809" s="250">
        <v>15615</v>
      </c>
      <c r="B5809" s="74" t="s">
        <v>4190</v>
      </c>
      <c r="C5809" s="74" t="s">
        <v>448</v>
      </c>
    </row>
    <row r="5810" spans="1:3">
      <c r="A5810" s="250">
        <v>15616</v>
      </c>
      <c r="B5810" s="74" t="s">
        <v>4191</v>
      </c>
      <c r="C5810" s="74" t="s">
        <v>448</v>
      </c>
    </row>
    <row r="5811" spans="1:3">
      <c r="A5811" s="250">
        <v>15617</v>
      </c>
      <c r="B5811" s="74" t="s">
        <v>4192</v>
      </c>
      <c r="C5811" s="74" t="s">
        <v>448</v>
      </c>
    </row>
    <row r="5812" spans="1:3">
      <c r="A5812" s="250">
        <v>15618</v>
      </c>
      <c r="B5812" s="74" t="s">
        <v>4193</v>
      </c>
      <c r="C5812" s="74" t="s">
        <v>448</v>
      </c>
    </row>
    <row r="5813" spans="1:3">
      <c r="A5813" s="250">
        <v>15619</v>
      </c>
      <c r="B5813" s="74" t="s">
        <v>4194</v>
      </c>
      <c r="C5813" s="74" t="s">
        <v>448</v>
      </c>
    </row>
    <row r="5814" spans="1:3">
      <c r="A5814" s="250">
        <v>15620</v>
      </c>
      <c r="B5814" s="74" t="s">
        <v>4195</v>
      </c>
      <c r="C5814" s="74" t="s">
        <v>448</v>
      </c>
    </row>
    <row r="5815" spans="1:3">
      <c r="A5815" s="250">
        <v>15621</v>
      </c>
      <c r="B5815" s="74" t="s">
        <v>4196</v>
      </c>
      <c r="C5815" s="74" t="s">
        <v>448</v>
      </c>
    </row>
    <row r="5816" spans="1:3">
      <c r="A5816" s="250">
        <v>15622</v>
      </c>
      <c r="B5816" s="74" t="s">
        <v>4197</v>
      </c>
      <c r="C5816" s="74" t="s">
        <v>448</v>
      </c>
    </row>
    <row r="5817" spans="1:3">
      <c r="A5817" s="250">
        <v>15623</v>
      </c>
      <c r="B5817" s="74" t="s">
        <v>4198</v>
      </c>
      <c r="C5817" s="74" t="s">
        <v>448</v>
      </c>
    </row>
    <row r="5818" spans="1:3">
      <c r="A5818" s="250">
        <v>15624</v>
      </c>
      <c r="B5818" s="74" t="s">
        <v>4199</v>
      </c>
      <c r="C5818" s="74" t="s">
        <v>448</v>
      </c>
    </row>
    <row r="5819" spans="1:3">
      <c r="A5819" s="250">
        <v>15625</v>
      </c>
      <c r="B5819" s="74" t="s">
        <v>4200</v>
      </c>
      <c r="C5819" s="74" t="s">
        <v>448</v>
      </c>
    </row>
    <row r="5820" spans="1:3">
      <c r="A5820" s="250">
        <v>15626</v>
      </c>
      <c r="B5820" s="74" t="s">
        <v>2478</v>
      </c>
      <c r="C5820" s="74" t="s">
        <v>448</v>
      </c>
    </row>
    <row r="5821" spans="1:3">
      <c r="A5821" s="250">
        <v>15627</v>
      </c>
      <c r="B5821" s="74" t="s">
        <v>1152</v>
      </c>
      <c r="C5821" s="74" t="s">
        <v>448</v>
      </c>
    </row>
    <row r="5822" spans="1:3">
      <c r="A5822" s="250">
        <v>15628</v>
      </c>
      <c r="B5822" s="74" t="s">
        <v>4201</v>
      </c>
      <c r="C5822" s="74" t="s">
        <v>448</v>
      </c>
    </row>
    <row r="5823" spans="1:3">
      <c r="A5823" s="250">
        <v>15629</v>
      </c>
      <c r="B5823" s="74" t="s">
        <v>4202</v>
      </c>
      <c r="C5823" s="74" t="s">
        <v>448</v>
      </c>
    </row>
    <row r="5824" spans="1:3">
      <c r="A5824" s="250">
        <v>15631</v>
      </c>
      <c r="B5824" s="74" t="s">
        <v>4203</v>
      </c>
      <c r="C5824" s="74" t="s">
        <v>448</v>
      </c>
    </row>
    <row r="5825" spans="1:3">
      <c r="A5825" s="250">
        <v>15632</v>
      </c>
      <c r="B5825" s="74" t="s">
        <v>4204</v>
      </c>
      <c r="C5825" s="74" t="s">
        <v>448</v>
      </c>
    </row>
    <row r="5826" spans="1:3">
      <c r="A5826" s="250">
        <v>15633</v>
      </c>
      <c r="B5826" s="74" t="s">
        <v>4205</v>
      </c>
      <c r="C5826" s="74" t="s">
        <v>448</v>
      </c>
    </row>
    <row r="5827" spans="1:3">
      <c r="A5827" s="250">
        <v>15634</v>
      </c>
      <c r="B5827" s="74" t="s">
        <v>4206</v>
      </c>
      <c r="C5827" s="74" t="s">
        <v>448</v>
      </c>
    </row>
    <row r="5828" spans="1:3">
      <c r="A5828" s="250">
        <v>15635</v>
      </c>
      <c r="B5828" s="74" t="s">
        <v>4207</v>
      </c>
      <c r="C5828" s="74" t="s">
        <v>448</v>
      </c>
    </row>
    <row r="5829" spans="1:3">
      <c r="A5829" s="250">
        <v>15636</v>
      </c>
      <c r="B5829" s="74" t="s">
        <v>4208</v>
      </c>
      <c r="C5829" s="74" t="s">
        <v>448</v>
      </c>
    </row>
    <row r="5830" spans="1:3">
      <c r="A5830" s="250">
        <v>15637</v>
      </c>
      <c r="B5830" s="74" t="s">
        <v>4209</v>
      </c>
      <c r="C5830" s="74" t="s">
        <v>448</v>
      </c>
    </row>
    <row r="5831" spans="1:3">
      <c r="A5831" s="250">
        <v>15638</v>
      </c>
      <c r="B5831" s="74" t="s">
        <v>4210</v>
      </c>
      <c r="C5831" s="74" t="s">
        <v>448</v>
      </c>
    </row>
    <row r="5832" spans="1:3">
      <c r="A5832" s="250">
        <v>15639</v>
      </c>
      <c r="B5832" s="74" t="s">
        <v>4211</v>
      </c>
      <c r="C5832" s="74" t="s">
        <v>448</v>
      </c>
    </row>
    <row r="5833" spans="1:3">
      <c r="A5833" s="250">
        <v>15640</v>
      </c>
      <c r="B5833" s="74" t="s">
        <v>4212</v>
      </c>
      <c r="C5833" s="74" t="s">
        <v>448</v>
      </c>
    </row>
    <row r="5834" spans="1:3">
      <c r="A5834" s="250">
        <v>15641</v>
      </c>
      <c r="B5834" s="74" t="s">
        <v>912</v>
      </c>
      <c r="C5834" s="74" t="s">
        <v>448</v>
      </c>
    </row>
    <row r="5835" spans="1:3">
      <c r="A5835" s="250">
        <v>15642</v>
      </c>
      <c r="B5835" s="74" t="s">
        <v>4213</v>
      </c>
      <c r="C5835" s="74" t="s">
        <v>448</v>
      </c>
    </row>
    <row r="5836" spans="1:3">
      <c r="A5836" s="250">
        <v>15644</v>
      </c>
      <c r="B5836" s="74" t="s">
        <v>4214</v>
      </c>
      <c r="C5836" s="74" t="s">
        <v>448</v>
      </c>
    </row>
    <row r="5837" spans="1:3">
      <c r="A5837" s="250">
        <v>15646</v>
      </c>
      <c r="B5837" s="74" t="s">
        <v>4215</v>
      </c>
      <c r="C5837" s="74" t="s">
        <v>448</v>
      </c>
    </row>
    <row r="5838" spans="1:3">
      <c r="A5838" s="250">
        <v>15647</v>
      </c>
      <c r="B5838" s="74" t="s">
        <v>4216</v>
      </c>
      <c r="C5838" s="74" t="s">
        <v>448</v>
      </c>
    </row>
    <row r="5839" spans="1:3">
      <c r="A5839" s="250">
        <v>15650</v>
      </c>
      <c r="B5839" s="74" t="s">
        <v>4217</v>
      </c>
      <c r="C5839" s="74" t="s">
        <v>448</v>
      </c>
    </row>
    <row r="5840" spans="1:3">
      <c r="A5840" s="250">
        <v>15655</v>
      </c>
      <c r="B5840" s="74" t="s">
        <v>4218</v>
      </c>
      <c r="C5840" s="74" t="s">
        <v>448</v>
      </c>
    </row>
    <row r="5841" spans="1:3">
      <c r="A5841" s="250">
        <v>15656</v>
      </c>
      <c r="B5841" s="74" t="s">
        <v>4219</v>
      </c>
      <c r="C5841" s="74" t="s">
        <v>448</v>
      </c>
    </row>
    <row r="5842" spans="1:3">
      <c r="A5842" s="250">
        <v>15658</v>
      </c>
      <c r="B5842" s="74" t="s">
        <v>4220</v>
      </c>
      <c r="C5842" s="74" t="s">
        <v>448</v>
      </c>
    </row>
    <row r="5843" spans="1:3">
      <c r="A5843" s="250">
        <v>15660</v>
      </c>
      <c r="B5843" s="74" t="s">
        <v>4221</v>
      </c>
      <c r="C5843" s="74" t="s">
        <v>448</v>
      </c>
    </row>
    <row r="5844" spans="1:3">
      <c r="A5844" s="250">
        <v>15661</v>
      </c>
      <c r="B5844" s="74" t="s">
        <v>4222</v>
      </c>
      <c r="C5844" s="74" t="s">
        <v>448</v>
      </c>
    </row>
    <row r="5845" spans="1:3">
      <c r="A5845" s="250">
        <v>15662</v>
      </c>
      <c r="B5845" s="74" t="s">
        <v>4223</v>
      </c>
      <c r="C5845" s="74" t="s">
        <v>448</v>
      </c>
    </row>
    <row r="5846" spans="1:3">
      <c r="A5846" s="250">
        <v>15663</v>
      </c>
      <c r="B5846" s="74" t="s">
        <v>1320</v>
      </c>
      <c r="C5846" s="74" t="s">
        <v>448</v>
      </c>
    </row>
    <row r="5847" spans="1:3">
      <c r="A5847" s="250">
        <v>15664</v>
      </c>
      <c r="B5847" s="74" t="s">
        <v>4224</v>
      </c>
      <c r="C5847" s="74" t="s">
        <v>448</v>
      </c>
    </row>
    <row r="5848" spans="1:3">
      <c r="A5848" s="250">
        <v>15665</v>
      </c>
      <c r="B5848" s="74" t="s">
        <v>4225</v>
      </c>
      <c r="C5848" s="74" t="s">
        <v>448</v>
      </c>
    </row>
    <row r="5849" spans="1:3">
      <c r="A5849" s="250">
        <v>15666</v>
      </c>
      <c r="B5849" s="74" t="s">
        <v>4226</v>
      </c>
      <c r="C5849" s="74" t="s">
        <v>448</v>
      </c>
    </row>
    <row r="5850" spans="1:3">
      <c r="A5850" s="250">
        <v>15668</v>
      </c>
      <c r="B5850" s="74" t="s">
        <v>4227</v>
      </c>
      <c r="C5850" s="74" t="s">
        <v>448</v>
      </c>
    </row>
    <row r="5851" spans="1:3">
      <c r="A5851" s="250">
        <v>15670</v>
      </c>
      <c r="B5851" s="74" t="s">
        <v>4228</v>
      </c>
      <c r="C5851" s="74" t="s">
        <v>448</v>
      </c>
    </row>
    <row r="5852" spans="1:3">
      <c r="A5852" s="250">
        <v>15671</v>
      </c>
      <c r="B5852" s="74" t="s">
        <v>4229</v>
      </c>
      <c r="C5852" s="74" t="s">
        <v>448</v>
      </c>
    </row>
    <row r="5853" spans="1:3">
      <c r="A5853" s="250">
        <v>15672</v>
      </c>
      <c r="B5853" s="74" t="s">
        <v>4230</v>
      </c>
      <c r="C5853" s="74" t="s">
        <v>448</v>
      </c>
    </row>
    <row r="5854" spans="1:3">
      <c r="A5854" s="250">
        <v>15673</v>
      </c>
      <c r="B5854" s="74" t="s">
        <v>4231</v>
      </c>
      <c r="C5854" s="74" t="s">
        <v>448</v>
      </c>
    </row>
    <row r="5855" spans="1:3">
      <c r="A5855" s="250">
        <v>15674</v>
      </c>
      <c r="B5855" s="74" t="s">
        <v>4232</v>
      </c>
      <c r="C5855" s="74" t="s">
        <v>448</v>
      </c>
    </row>
    <row r="5856" spans="1:3">
      <c r="A5856" s="250">
        <v>15675</v>
      </c>
      <c r="B5856" s="74" t="s">
        <v>4233</v>
      </c>
      <c r="C5856" s="74" t="s">
        <v>448</v>
      </c>
    </row>
    <row r="5857" spans="1:3">
      <c r="A5857" s="250">
        <v>15676</v>
      </c>
      <c r="B5857" s="74" t="s">
        <v>4234</v>
      </c>
      <c r="C5857" s="74" t="s">
        <v>448</v>
      </c>
    </row>
    <row r="5858" spans="1:3">
      <c r="A5858" s="250">
        <v>15677</v>
      </c>
      <c r="B5858" s="74" t="s">
        <v>4235</v>
      </c>
      <c r="C5858" s="74" t="s">
        <v>448</v>
      </c>
    </row>
    <row r="5859" spans="1:3">
      <c r="A5859" s="250">
        <v>15678</v>
      </c>
      <c r="B5859" s="74" t="s">
        <v>4236</v>
      </c>
      <c r="C5859" s="74" t="s">
        <v>448</v>
      </c>
    </row>
    <row r="5860" spans="1:3">
      <c r="A5860" s="250">
        <v>15679</v>
      </c>
      <c r="B5860" s="74" t="s">
        <v>4237</v>
      </c>
      <c r="C5860" s="74" t="s">
        <v>448</v>
      </c>
    </row>
    <row r="5861" spans="1:3">
      <c r="A5861" s="250">
        <v>15680</v>
      </c>
      <c r="B5861" s="74" t="s">
        <v>4238</v>
      </c>
      <c r="C5861" s="74" t="s">
        <v>448</v>
      </c>
    </row>
    <row r="5862" spans="1:3">
      <c r="A5862" s="250">
        <v>15681</v>
      </c>
      <c r="B5862" s="74" t="s">
        <v>4239</v>
      </c>
      <c r="C5862" s="74" t="s">
        <v>448</v>
      </c>
    </row>
    <row r="5863" spans="1:3">
      <c r="A5863" s="250">
        <v>15682</v>
      </c>
      <c r="B5863" s="74" t="s">
        <v>4240</v>
      </c>
      <c r="C5863" s="74" t="s">
        <v>448</v>
      </c>
    </row>
    <row r="5864" spans="1:3">
      <c r="A5864" s="250">
        <v>15683</v>
      </c>
      <c r="B5864" s="74" t="s">
        <v>4241</v>
      </c>
      <c r="C5864" s="74" t="s">
        <v>448</v>
      </c>
    </row>
    <row r="5865" spans="1:3">
      <c r="A5865" s="250">
        <v>15684</v>
      </c>
      <c r="B5865" s="74" t="s">
        <v>4242</v>
      </c>
      <c r="C5865" s="74" t="s">
        <v>448</v>
      </c>
    </row>
    <row r="5866" spans="1:3">
      <c r="A5866" s="250">
        <v>15685</v>
      </c>
      <c r="B5866" s="74" t="s">
        <v>4243</v>
      </c>
      <c r="C5866" s="74" t="s">
        <v>448</v>
      </c>
    </row>
    <row r="5867" spans="1:3">
      <c r="A5867" s="250">
        <v>15686</v>
      </c>
      <c r="B5867" s="74" t="s">
        <v>4244</v>
      </c>
      <c r="C5867" s="74" t="s">
        <v>448</v>
      </c>
    </row>
    <row r="5868" spans="1:3">
      <c r="A5868" s="250">
        <v>15687</v>
      </c>
      <c r="B5868" s="74" t="s">
        <v>4245</v>
      </c>
      <c r="C5868" s="74" t="s">
        <v>448</v>
      </c>
    </row>
    <row r="5869" spans="1:3">
      <c r="A5869" s="250">
        <v>15688</v>
      </c>
      <c r="B5869" s="74" t="s">
        <v>4246</v>
      </c>
      <c r="C5869" s="74" t="s">
        <v>448</v>
      </c>
    </row>
    <row r="5870" spans="1:3">
      <c r="A5870" s="250">
        <v>15689</v>
      </c>
      <c r="B5870" s="74" t="s">
        <v>4247</v>
      </c>
      <c r="C5870" s="74" t="s">
        <v>448</v>
      </c>
    </row>
    <row r="5871" spans="1:3">
      <c r="A5871" s="250">
        <v>15690</v>
      </c>
      <c r="B5871" s="74" t="s">
        <v>4248</v>
      </c>
      <c r="C5871" s="74" t="s">
        <v>448</v>
      </c>
    </row>
    <row r="5872" spans="1:3">
      <c r="A5872" s="250">
        <v>15691</v>
      </c>
      <c r="B5872" s="74" t="s">
        <v>4249</v>
      </c>
      <c r="C5872" s="74" t="s">
        <v>448</v>
      </c>
    </row>
    <row r="5873" spans="1:3">
      <c r="A5873" s="250">
        <v>15692</v>
      </c>
      <c r="B5873" s="74" t="s">
        <v>4250</v>
      </c>
      <c r="C5873" s="74" t="s">
        <v>448</v>
      </c>
    </row>
    <row r="5874" spans="1:3">
      <c r="A5874" s="250">
        <v>15693</v>
      </c>
      <c r="B5874" s="74" t="s">
        <v>4251</v>
      </c>
      <c r="C5874" s="74" t="s">
        <v>448</v>
      </c>
    </row>
    <row r="5875" spans="1:3">
      <c r="A5875" s="250">
        <v>15695</v>
      </c>
      <c r="B5875" s="74" t="s">
        <v>4252</v>
      </c>
      <c r="C5875" s="74" t="s">
        <v>448</v>
      </c>
    </row>
    <row r="5876" spans="1:3">
      <c r="A5876" s="250">
        <v>15696</v>
      </c>
      <c r="B5876" s="74" t="s">
        <v>3750</v>
      </c>
      <c r="C5876" s="74" t="s">
        <v>448</v>
      </c>
    </row>
    <row r="5877" spans="1:3">
      <c r="A5877" s="250">
        <v>15697</v>
      </c>
      <c r="B5877" s="74" t="s">
        <v>4253</v>
      </c>
      <c r="C5877" s="74" t="s">
        <v>448</v>
      </c>
    </row>
    <row r="5878" spans="1:3">
      <c r="A5878" s="250">
        <v>15698</v>
      </c>
      <c r="B5878" s="74" t="s">
        <v>4254</v>
      </c>
      <c r="C5878" s="74" t="s">
        <v>448</v>
      </c>
    </row>
    <row r="5879" spans="1:3">
      <c r="A5879" s="250">
        <v>15701</v>
      </c>
      <c r="B5879" s="74" t="s">
        <v>4255</v>
      </c>
      <c r="C5879" s="74" t="s">
        <v>448</v>
      </c>
    </row>
    <row r="5880" spans="1:3">
      <c r="A5880" s="250">
        <v>15705</v>
      </c>
      <c r="B5880" s="74" t="s">
        <v>4255</v>
      </c>
      <c r="C5880" s="74" t="s">
        <v>448</v>
      </c>
    </row>
    <row r="5881" spans="1:3">
      <c r="A5881" s="250">
        <v>15710</v>
      </c>
      <c r="B5881" s="74" t="s">
        <v>4256</v>
      </c>
      <c r="C5881" s="74" t="s">
        <v>448</v>
      </c>
    </row>
    <row r="5882" spans="1:3">
      <c r="A5882" s="250">
        <v>15711</v>
      </c>
      <c r="B5882" s="74" t="s">
        <v>4257</v>
      </c>
      <c r="C5882" s="74" t="s">
        <v>448</v>
      </c>
    </row>
    <row r="5883" spans="1:3">
      <c r="A5883" s="250">
        <v>15712</v>
      </c>
      <c r="B5883" s="74" t="s">
        <v>4258</v>
      </c>
      <c r="C5883" s="74" t="s">
        <v>448</v>
      </c>
    </row>
    <row r="5884" spans="1:3">
      <c r="A5884" s="250">
        <v>15713</v>
      </c>
      <c r="B5884" s="74" t="s">
        <v>4259</v>
      </c>
      <c r="C5884" s="74" t="s">
        <v>448</v>
      </c>
    </row>
    <row r="5885" spans="1:3">
      <c r="A5885" s="250">
        <v>15714</v>
      </c>
      <c r="B5885" s="74" t="s">
        <v>4260</v>
      </c>
      <c r="C5885" s="74" t="s">
        <v>448</v>
      </c>
    </row>
    <row r="5886" spans="1:3">
      <c r="A5886" s="250">
        <v>15715</v>
      </c>
      <c r="B5886" s="74" t="s">
        <v>4261</v>
      </c>
      <c r="C5886" s="74" t="s">
        <v>448</v>
      </c>
    </row>
    <row r="5887" spans="1:3">
      <c r="A5887" s="250">
        <v>15716</v>
      </c>
      <c r="B5887" s="74" t="s">
        <v>4262</v>
      </c>
      <c r="C5887" s="74" t="s">
        <v>448</v>
      </c>
    </row>
    <row r="5888" spans="1:3">
      <c r="A5888" s="250">
        <v>15717</v>
      </c>
      <c r="B5888" s="74" t="s">
        <v>4263</v>
      </c>
      <c r="C5888" s="74" t="s">
        <v>448</v>
      </c>
    </row>
    <row r="5889" spans="1:3">
      <c r="A5889" s="250">
        <v>15720</v>
      </c>
      <c r="B5889" s="74" t="s">
        <v>4264</v>
      </c>
      <c r="C5889" s="74" t="s">
        <v>448</v>
      </c>
    </row>
    <row r="5890" spans="1:3">
      <c r="A5890" s="250">
        <v>15721</v>
      </c>
      <c r="B5890" s="74" t="s">
        <v>4265</v>
      </c>
      <c r="C5890" s="74" t="s">
        <v>448</v>
      </c>
    </row>
    <row r="5891" spans="1:3">
      <c r="A5891" s="250">
        <v>15722</v>
      </c>
      <c r="B5891" s="74" t="s">
        <v>4266</v>
      </c>
      <c r="C5891" s="74" t="s">
        <v>448</v>
      </c>
    </row>
    <row r="5892" spans="1:3">
      <c r="A5892" s="250">
        <v>15723</v>
      </c>
      <c r="B5892" s="74" t="s">
        <v>4267</v>
      </c>
      <c r="C5892" s="74" t="s">
        <v>448</v>
      </c>
    </row>
    <row r="5893" spans="1:3">
      <c r="A5893" s="250">
        <v>15724</v>
      </c>
      <c r="B5893" s="74" t="s">
        <v>4268</v>
      </c>
      <c r="C5893" s="74" t="s">
        <v>448</v>
      </c>
    </row>
    <row r="5894" spans="1:3">
      <c r="A5894" s="250">
        <v>15725</v>
      </c>
      <c r="B5894" s="74" t="s">
        <v>4269</v>
      </c>
      <c r="C5894" s="74" t="s">
        <v>448</v>
      </c>
    </row>
    <row r="5895" spans="1:3">
      <c r="A5895" s="250">
        <v>15727</v>
      </c>
      <c r="B5895" s="74" t="s">
        <v>4270</v>
      </c>
      <c r="C5895" s="74" t="s">
        <v>448</v>
      </c>
    </row>
    <row r="5896" spans="1:3">
      <c r="A5896" s="250">
        <v>15728</v>
      </c>
      <c r="B5896" s="74" t="s">
        <v>3855</v>
      </c>
      <c r="C5896" s="74" t="s">
        <v>448</v>
      </c>
    </row>
    <row r="5897" spans="1:3">
      <c r="A5897" s="250">
        <v>15729</v>
      </c>
      <c r="B5897" s="74" t="s">
        <v>4271</v>
      </c>
      <c r="C5897" s="74" t="s">
        <v>448</v>
      </c>
    </row>
    <row r="5898" spans="1:3">
      <c r="A5898" s="250">
        <v>15730</v>
      </c>
      <c r="B5898" s="74" t="s">
        <v>4272</v>
      </c>
      <c r="C5898" s="74" t="s">
        <v>448</v>
      </c>
    </row>
    <row r="5899" spans="1:3">
      <c r="A5899" s="250">
        <v>15731</v>
      </c>
      <c r="B5899" s="74" t="s">
        <v>4273</v>
      </c>
      <c r="C5899" s="74" t="s">
        <v>448</v>
      </c>
    </row>
    <row r="5900" spans="1:3">
      <c r="A5900" s="250">
        <v>15732</v>
      </c>
      <c r="B5900" s="74" t="s">
        <v>4274</v>
      </c>
      <c r="C5900" s="74" t="s">
        <v>448</v>
      </c>
    </row>
    <row r="5901" spans="1:3">
      <c r="A5901" s="250">
        <v>15733</v>
      </c>
      <c r="B5901" s="74" t="s">
        <v>4275</v>
      </c>
      <c r="C5901" s="74" t="s">
        <v>448</v>
      </c>
    </row>
    <row r="5902" spans="1:3">
      <c r="A5902" s="250">
        <v>15734</v>
      </c>
      <c r="B5902" s="74" t="s">
        <v>4276</v>
      </c>
      <c r="C5902" s="74" t="s">
        <v>448</v>
      </c>
    </row>
    <row r="5903" spans="1:3">
      <c r="A5903" s="250">
        <v>15736</v>
      </c>
      <c r="B5903" s="74" t="s">
        <v>4277</v>
      </c>
      <c r="C5903" s="74" t="s">
        <v>448</v>
      </c>
    </row>
    <row r="5904" spans="1:3">
      <c r="A5904" s="250">
        <v>15737</v>
      </c>
      <c r="B5904" s="74" t="s">
        <v>4278</v>
      </c>
      <c r="C5904" s="74" t="s">
        <v>448</v>
      </c>
    </row>
    <row r="5905" spans="1:3">
      <c r="A5905" s="250">
        <v>15738</v>
      </c>
      <c r="B5905" s="74" t="s">
        <v>4279</v>
      </c>
      <c r="C5905" s="74" t="s">
        <v>448</v>
      </c>
    </row>
    <row r="5906" spans="1:3">
      <c r="A5906" s="250">
        <v>15739</v>
      </c>
      <c r="B5906" s="74" t="s">
        <v>4280</v>
      </c>
      <c r="C5906" s="74" t="s">
        <v>448</v>
      </c>
    </row>
    <row r="5907" spans="1:3">
      <c r="A5907" s="250">
        <v>15740</v>
      </c>
      <c r="B5907" s="74" t="s">
        <v>4281</v>
      </c>
      <c r="C5907" s="74" t="s">
        <v>448</v>
      </c>
    </row>
    <row r="5908" spans="1:3">
      <c r="A5908" s="250">
        <v>15741</v>
      </c>
      <c r="B5908" s="74" t="s">
        <v>4282</v>
      </c>
      <c r="C5908" s="74" t="s">
        <v>448</v>
      </c>
    </row>
    <row r="5909" spans="1:3">
      <c r="A5909" s="250">
        <v>15742</v>
      </c>
      <c r="B5909" s="74" t="s">
        <v>4283</v>
      </c>
      <c r="C5909" s="74" t="s">
        <v>448</v>
      </c>
    </row>
    <row r="5910" spans="1:3">
      <c r="A5910" s="250">
        <v>15744</v>
      </c>
      <c r="B5910" s="74" t="s">
        <v>844</v>
      </c>
      <c r="C5910" s="74" t="s">
        <v>448</v>
      </c>
    </row>
    <row r="5911" spans="1:3">
      <c r="A5911" s="250">
        <v>15745</v>
      </c>
      <c r="B5911" s="74" t="s">
        <v>4284</v>
      </c>
      <c r="C5911" s="74" t="s">
        <v>448</v>
      </c>
    </row>
    <row r="5912" spans="1:3">
      <c r="A5912" s="250">
        <v>15746</v>
      </c>
      <c r="B5912" s="74" t="s">
        <v>2236</v>
      </c>
      <c r="C5912" s="74" t="s">
        <v>448</v>
      </c>
    </row>
    <row r="5913" spans="1:3">
      <c r="A5913" s="250">
        <v>15747</v>
      </c>
      <c r="B5913" s="74" t="s">
        <v>4285</v>
      </c>
      <c r="C5913" s="74" t="s">
        <v>448</v>
      </c>
    </row>
    <row r="5914" spans="1:3">
      <c r="A5914" s="250">
        <v>15748</v>
      </c>
      <c r="B5914" s="74" t="s">
        <v>4286</v>
      </c>
      <c r="C5914" s="74" t="s">
        <v>448</v>
      </c>
    </row>
    <row r="5915" spans="1:3">
      <c r="A5915" s="250">
        <v>15750</v>
      </c>
      <c r="B5915" s="74" t="s">
        <v>4287</v>
      </c>
      <c r="C5915" s="74" t="s">
        <v>448</v>
      </c>
    </row>
    <row r="5916" spans="1:3">
      <c r="A5916" s="250">
        <v>15752</v>
      </c>
      <c r="B5916" s="74" t="s">
        <v>2084</v>
      </c>
      <c r="C5916" s="74" t="s">
        <v>448</v>
      </c>
    </row>
    <row r="5917" spans="1:3">
      <c r="A5917" s="250">
        <v>15753</v>
      </c>
      <c r="B5917" s="74" t="s">
        <v>4288</v>
      </c>
      <c r="C5917" s="74" t="s">
        <v>448</v>
      </c>
    </row>
    <row r="5918" spans="1:3">
      <c r="A5918" s="250">
        <v>15754</v>
      </c>
      <c r="B5918" s="74" t="s">
        <v>4289</v>
      </c>
      <c r="C5918" s="74" t="s">
        <v>448</v>
      </c>
    </row>
    <row r="5919" spans="1:3">
      <c r="A5919" s="250">
        <v>15756</v>
      </c>
      <c r="B5919" s="74" t="s">
        <v>4290</v>
      </c>
      <c r="C5919" s="74" t="s">
        <v>448</v>
      </c>
    </row>
    <row r="5920" spans="1:3">
      <c r="A5920" s="250">
        <v>15757</v>
      </c>
      <c r="B5920" s="74" t="s">
        <v>4291</v>
      </c>
      <c r="C5920" s="74" t="s">
        <v>448</v>
      </c>
    </row>
    <row r="5921" spans="1:3">
      <c r="A5921" s="250">
        <v>15758</v>
      </c>
      <c r="B5921" s="74" t="s">
        <v>4292</v>
      </c>
      <c r="C5921" s="74" t="s">
        <v>448</v>
      </c>
    </row>
    <row r="5922" spans="1:3">
      <c r="A5922" s="250">
        <v>15759</v>
      </c>
      <c r="B5922" s="74" t="s">
        <v>4293</v>
      </c>
      <c r="C5922" s="74" t="s">
        <v>448</v>
      </c>
    </row>
    <row r="5923" spans="1:3">
      <c r="A5923" s="250">
        <v>15760</v>
      </c>
      <c r="B5923" s="74" t="s">
        <v>4294</v>
      </c>
      <c r="C5923" s="74" t="s">
        <v>448</v>
      </c>
    </row>
    <row r="5924" spans="1:3">
      <c r="A5924" s="250">
        <v>15761</v>
      </c>
      <c r="B5924" s="74" t="s">
        <v>4295</v>
      </c>
      <c r="C5924" s="74" t="s">
        <v>448</v>
      </c>
    </row>
    <row r="5925" spans="1:3">
      <c r="A5925" s="250">
        <v>15762</v>
      </c>
      <c r="B5925" s="74" t="s">
        <v>4296</v>
      </c>
      <c r="C5925" s="74" t="s">
        <v>448</v>
      </c>
    </row>
    <row r="5926" spans="1:3">
      <c r="A5926" s="250">
        <v>15763</v>
      </c>
      <c r="B5926" s="74" t="s">
        <v>4297</v>
      </c>
      <c r="C5926" s="74" t="s">
        <v>448</v>
      </c>
    </row>
    <row r="5927" spans="1:3">
      <c r="A5927" s="250">
        <v>15764</v>
      </c>
      <c r="B5927" s="74" t="s">
        <v>4298</v>
      </c>
      <c r="C5927" s="74" t="s">
        <v>448</v>
      </c>
    </row>
    <row r="5928" spans="1:3">
      <c r="A5928" s="250">
        <v>15765</v>
      </c>
      <c r="B5928" s="74" t="s">
        <v>4299</v>
      </c>
      <c r="C5928" s="74" t="s">
        <v>448</v>
      </c>
    </row>
    <row r="5929" spans="1:3">
      <c r="A5929" s="250">
        <v>15767</v>
      </c>
      <c r="B5929" s="74" t="s">
        <v>4300</v>
      </c>
      <c r="C5929" s="74" t="s">
        <v>448</v>
      </c>
    </row>
    <row r="5930" spans="1:3">
      <c r="A5930" s="250">
        <v>15770</v>
      </c>
      <c r="B5930" s="74" t="s">
        <v>4301</v>
      </c>
      <c r="C5930" s="74" t="s">
        <v>448</v>
      </c>
    </row>
    <row r="5931" spans="1:3">
      <c r="A5931" s="250">
        <v>15771</v>
      </c>
      <c r="B5931" s="74" t="s">
        <v>4302</v>
      </c>
      <c r="C5931" s="74" t="s">
        <v>448</v>
      </c>
    </row>
    <row r="5932" spans="1:3">
      <c r="A5932" s="250">
        <v>15772</v>
      </c>
      <c r="B5932" s="74" t="s">
        <v>4303</v>
      </c>
      <c r="C5932" s="74" t="s">
        <v>448</v>
      </c>
    </row>
    <row r="5933" spans="1:3">
      <c r="A5933" s="250">
        <v>15773</v>
      </c>
      <c r="B5933" s="74" t="s">
        <v>4304</v>
      </c>
      <c r="C5933" s="74" t="s">
        <v>448</v>
      </c>
    </row>
    <row r="5934" spans="1:3">
      <c r="A5934" s="250">
        <v>15774</v>
      </c>
      <c r="B5934" s="74" t="s">
        <v>4305</v>
      </c>
      <c r="C5934" s="74" t="s">
        <v>448</v>
      </c>
    </row>
    <row r="5935" spans="1:3">
      <c r="A5935" s="250">
        <v>15775</v>
      </c>
      <c r="B5935" s="74" t="s">
        <v>4306</v>
      </c>
      <c r="C5935" s="74" t="s">
        <v>448</v>
      </c>
    </row>
    <row r="5936" spans="1:3">
      <c r="A5936" s="250">
        <v>15776</v>
      </c>
      <c r="B5936" s="74" t="s">
        <v>4307</v>
      </c>
      <c r="C5936" s="74" t="s">
        <v>448</v>
      </c>
    </row>
    <row r="5937" spans="1:3">
      <c r="A5937" s="250">
        <v>15777</v>
      </c>
      <c r="B5937" s="74" t="s">
        <v>4308</v>
      </c>
      <c r="C5937" s="74" t="s">
        <v>448</v>
      </c>
    </row>
    <row r="5938" spans="1:3">
      <c r="A5938" s="250">
        <v>15778</v>
      </c>
      <c r="B5938" s="74" t="s">
        <v>4309</v>
      </c>
      <c r="C5938" s="74" t="s">
        <v>448</v>
      </c>
    </row>
    <row r="5939" spans="1:3">
      <c r="A5939" s="250">
        <v>15779</v>
      </c>
      <c r="B5939" s="74" t="s">
        <v>4310</v>
      </c>
      <c r="C5939" s="74" t="s">
        <v>448</v>
      </c>
    </row>
    <row r="5940" spans="1:3">
      <c r="A5940" s="250">
        <v>15780</v>
      </c>
      <c r="B5940" s="74" t="s">
        <v>4311</v>
      </c>
      <c r="C5940" s="74" t="s">
        <v>448</v>
      </c>
    </row>
    <row r="5941" spans="1:3">
      <c r="A5941" s="250">
        <v>15781</v>
      </c>
      <c r="B5941" s="74" t="s">
        <v>4312</v>
      </c>
      <c r="C5941" s="74" t="s">
        <v>448</v>
      </c>
    </row>
    <row r="5942" spans="1:3">
      <c r="A5942" s="250">
        <v>15783</v>
      </c>
      <c r="B5942" s="74" t="s">
        <v>1290</v>
      </c>
      <c r="C5942" s="74" t="s">
        <v>448</v>
      </c>
    </row>
    <row r="5943" spans="1:3">
      <c r="A5943" s="250">
        <v>15784</v>
      </c>
      <c r="B5943" s="74" t="s">
        <v>4313</v>
      </c>
      <c r="C5943" s="74" t="s">
        <v>448</v>
      </c>
    </row>
    <row r="5944" spans="1:3">
      <c r="A5944" s="250">
        <v>15801</v>
      </c>
      <c r="B5944" s="74" t="s">
        <v>4314</v>
      </c>
      <c r="C5944" s="74" t="s">
        <v>448</v>
      </c>
    </row>
    <row r="5945" spans="1:3">
      <c r="A5945" s="250">
        <v>15821</v>
      </c>
      <c r="B5945" s="74" t="s">
        <v>4315</v>
      </c>
      <c r="C5945" s="74" t="s">
        <v>448</v>
      </c>
    </row>
    <row r="5946" spans="1:3">
      <c r="A5946" s="250">
        <v>15822</v>
      </c>
      <c r="B5946" s="74" t="s">
        <v>4316</v>
      </c>
      <c r="C5946" s="74" t="s">
        <v>448</v>
      </c>
    </row>
    <row r="5947" spans="1:3">
      <c r="A5947" s="250">
        <v>15823</v>
      </c>
      <c r="B5947" s="74" t="s">
        <v>3757</v>
      </c>
      <c r="C5947" s="74" t="s">
        <v>448</v>
      </c>
    </row>
    <row r="5948" spans="1:3">
      <c r="A5948" s="250">
        <v>15824</v>
      </c>
      <c r="B5948" s="74" t="s">
        <v>4317</v>
      </c>
      <c r="C5948" s="74" t="s">
        <v>448</v>
      </c>
    </row>
    <row r="5949" spans="1:3">
      <c r="A5949" s="250">
        <v>15825</v>
      </c>
      <c r="B5949" s="74" t="s">
        <v>4318</v>
      </c>
      <c r="C5949" s="74" t="s">
        <v>448</v>
      </c>
    </row>
    <row r="5950" spans="1:3">
      <c r="A5950" s="250">
        <v>15827</v>
      </c>
      <c r="B5950" s="74" t="s">
        <v>4319</v>
      </c>
      <c r="C5950" s="74" t="s">
        <v>448</v>
      </c>
    </row>
    <row r="5951" spans="1:3">
      <c r="A5951" s="250">
        <v>15828</v>
      </c>
      <c r="B5951" s="74" t="s">
        <v>4320</v>
      </c>
      <c r="C5951" s="74" t="s">
        <v>448</v>
      </c>
    </row>
    <row r="5952" spans="1:3">
      <c r="A5952" s="250">
        <v>15829</v>
      </c>
      <c r="B5952" s="74" t="s">
        <v>4321</v>
      </c>
      <c r="C5952" s="74" t="s">
        <v>448</v>
      </c>
    </row>
    <row r="5953" spans="1:3">
      <c r="A5953" s="250">
        <v>15831</v>
      </c>
      <c r="B5953" s="74" t="s">
        <v>4322</v>
      </c>
      <c r="C5953" s="74" t="s">
        <v>448</v>
      </c>
    </row>
    <row r="5954" spans="1:3">
      <c r="A5954" s="250">
        <v>15832</v>
      </c>
      <c r="B5954" s="74" t="s">
        <v>4323</v>
      </c>
      <c r="C5954" s="74" t="s">
        <v>448</v>
      </c>
    </row>
    <row r="5955" spans="1:3">
      <c r="A5955" s="250">
        <v>15834</v>
      </c>
      <c r="B5955" s="74" t="s">
        <v>4324</v>
      </c>
      <c r="C5955" s="74" t="s">
        <v>448</v>
      </c>
    </row>
    <row r="5956" spans="1:3">
      <c r="A5956" s="250">
        <v>15840</v>
      </c>
      <c r="B5956" s="74" t="s">
        <v>4325</v>
      </c>
      <c r="C5956" s="74" t="s">
        <v>448</v>
      </c>
    </row>
    <row r="5957" spans="1:3">
      <c r="A5957" s="250">
        <v>15841</v>
      </c>
      <c r="B5957" s="74" t="s">
        <v>4326</v>
      </c>
      <c r="C5957" s="74" t="s">
        <v>448</v>
      </c>
    </row>
    <row r="5958" spans="1:3">
      <c r="A5958" s="250">
        <v>15845</v>
      </c>
      <c r="B5958" s="74" t="s">
        <v>2313</v>
      </c>
      <c r="C5958" s="74" t="s">
        <v>448</v>
      </c>
    </row>
    <row r="5959" spans="1:3">
      <c r="A5959" s="250">
        <v>15846</v>
      </c>
      <c r="B5959" s="74" t="s">
        <v>4327</v>
      </c>
      <c r="C5959" s="74" t="s">
        <v>448</v>
      </c>
    </row>
    <row r="5960" spans="1:3">
      <c r="A5960" s="250">
        <v>15847</v>
      </c>
      <c r="B5960" s="74" t="s">
        <v>4328</v>
      </c>
      <c r="C5960" s="74" t="s">
        <v>448</v>
      </c>
    </row>
    <row r="5961" spans="1:3">
      <c r="A5961" s="250">
        <v>15848</v>
      </c>
      <c r="B5961" s="74" t="s">
        <v>4329</v>
      </c>
      <c r="C5961" s="74" t="s">
        <v>448</v>
      </c>
    </row>
    <row r="5962" spans="1:3">
      <c r="A5962" s="250">
        <v>15849</v>
      </c>
      <c r="B5962" s="74" t="s">
        <v>3806</v>
      </c>
      <c r="C5962" s="74" t="s">
        <v>448</v>
      </c>
    </row>
    <row r="5963" spans="1:3">
      <c r="A5963" s="250">
        <v>15851</v>
      </c>
      <c r="B5963" s="74" t="s">
        <v>4330</v>
      </c>
      <c r="C5963" s="74" t="s">
        <v>448</v>
      </c>
    </row>
    <row r="5964" spans="1:3">
      <c r="A5964" s="250">
        <v>15853</v>
      </c>
      <c r="B5964" s="74" t="s">
        <v>4331</v>
      </c>
      <c r="C5964" s="74" t="s">
        <v>448</v>
      </c>
    </row>
    <row r="5965" spans="1:3">
      <c r="A5965" s="250">
        <v>15856</v>
      </c>
      <c r="B5965" s="74" t="s">
        <v>4332</v>
      </c>
      <c r="C5965" s="74" t="s">
        <v>448</v>
      </c>
    </row>
    <row r="5966" spans="1:3">
      <c r="A5966" s="250">
        <v>15857</v>
      </c>
      <c r="B5966" s="74" t="s">
        <v>4333</v>
      </c>
      <c r="C5966" s="74" t="s">
        <v>448</v>
      </c>
    </row>
    <row r="5967" spans="1:3">
      <c r="A5967" s="250">
        <v>15860</v>
      </c>
      <c r="B5967" s="74" t="s">
        <v>4334</v>
      </c>
      <c r="C5967" s="74" t="s">
        <v>448</v>
      </c>
    </row>
    <row r="5968" spans="1:3">
      <c r="A5968" s="250">
        <v>15861</v>
      </c>
      <c r="B5968" s="74" t="s">
        <v>4335</v>
      </c>
      <c r="C5968" s="74" t="s">
        <v>448</v>
      </c>
    </row>
    <row r="5969" spans="1:3">
      <c r="A5969" s="250">
        <v>15863</v>
      </c>
      <c r="B5969" s="74" t="s">
        <v>4336</v>
      </c>
      <c r="C5969" s="74" t="s">
        <v>448</v>
      </c>
    </row>
    <row r="5970" spans="1:3">
      <c r="A5970" s="250">
        <v>15864</v>
      </c>
      <c r="B5970" s="74" t="s">
        <v>4337</v>
      </c>
      <c r="C5970" s="74" t="s">
        <v>448</v>
      </c>
    </row>
    <row r="5971" spans="1:3">
      <c r="A5971" s="250">
        <v>15865</v>
      </c>
      <c r="B5971" s="74" t="s">
        <v>4338</v>
      </c>
      <c r="C5971" s="74" t="s">
        <v>448</v>
      </c>
    </row>
    <row r="5972" spans="1:3">
      <c r="A5972" s="250">
        <v>15866</v>
      </c>
      <c r="B5972" s="74" t="s">
        <v>4339</v>
      </c>
      <c r="C5972" s="74" t="s">
        <v>448</v>
      </c>
    </row>
    <row r="5973" spans="1:3">
      <c r="A5973" s="250">
        <v>15868</v>
      </c>
      <c r="B5973" s="74" t="s">
        <v>4340</v>
      </c>
      <c r="C5973" s="74" t="s">
        <v>448</v>
      </c>
    </row>
    <row r="5974" spans="1:3">
      <c r="A5974" s="250">
        <v>15870</v>
      </c>
      <c r="B5974" s="74" t="s">
        <v>4341</v>
      </c>
      <c r="C5974" s="74" t="s">
        <v>448</v>
      </c>
    </row>
    <row r="5975" spans="1:3">
      <c r="A5975" s="250">
        <v>15901</v>
      </c>
      <c r="B5975" s="74" t="s">
        <v>2969</v>
      </c>
      <c r="C5975" s="74" t="s">
        <v>448</v>
      </c>
    </row>
    <row r="5976" spans="1:3">
      <c r="A5976" s="250">
        <v>15902</v>
      </c>
      <c r="B5976" s="74" t="s">
        <v>2969</v>
      </c>
      <c r="C5976" s="74" t="s">
        <v>448</v>
      </c>
    </row>
    <row r="5977" spans="1:3">
      <c r="A5977" s="250">
        <v>15904</v>
      </c>
      <c r="B5977" s="74" t="s">
        <v>2969</v>
      </c>
      <c r="C5977" s="74" t="s">
        <v>448</v>
      </c>
    </row>
    <row r="5978" spans="1:3">
      <c r="A5978" s="250">
        <v>15905</v>
      </c>
      <c r="B5978" s="74" t="s">
        <v>2969</v>
      </c>
      <c r="C5978" s="74" t="s">
        <v>448</v>
      </c>
    </row>
    <row r="5979" spans="1:3">
      <c r="A5979" s="250">
        <v>15906</v>
      </c>
      <c r="B5979" s="74" t="s">
        <v>2969</v>
      </c>
      <c r="C5979" s="74" t="s">
        <v>448</v>
      </c>
    </row>
    <row r="5980" spans="1:3">
      <c r="A5980" s="250">
        <v>15907</v>
      </c>
      <c r="B5980" s="74" t="s">
        <v>2969</v>
      </c>
      <c r="C5980" s="74" t="s">
        <v>448</v>
      </c>
    </row>
    <row r="5981" spans="1:3">
      <c r="A5981" s="250">
        <v>15909</v>
      </c>
      <c r="B5981" s="74" t="s">
        <v>2969</v>
      </c>
      <c r="C5981" s="74" t="s">
        <v>448</v>
      </c>
    </row>
    <row r="5982" spans="1:3">
      <c r="A5982" s="250">
        <v>15915</v>
      </c>
      <c r="B5982" s="74" t="s">
        <v>2969</v>
      </c>
      <c r="C5982" s="74" t="s">
        <v>448</v>
      </c>
    </row>
    <row r="5983" spans="1:3">
      <c r="A5983" s="250">
        <v>15920</v>
      </c>
      <c r="B5983" s="74" t="s">
        <v>4342</v>
      </c>
      <c r="C5983" s="74" t="s">
        <v>448</v>
      </c>
    </row>
    <row r="5984" spans="1:3">
      <c r="A5984" s="250">
        <v>15921</v>
      </c>
      <c r="B5984" s="74" t="s">
        <v>4343</v>
      </c>
      <c r="C5984" s="74" t="s">
        <v>448</v>
      </c>
    </row>
    <row r="5985" spans="1:3">
      <c r="A5985" s="250">
        <v>15922</v>
      </c>
      <c r="B5985" s="74" t="s">
        <v>4344</v>
      </c>
      <c r="C5985" s="74" t="s">
        <v>448</v>
      </c>
    </row>
    <row r="5986" spans="1:3">
      <c r="A5986" s="250">
        <v>15923</v>
      </c>
      <c r="B5986" s="74" t="s">
        <v>3846</v>
      </c>
      <c r="C5986" s="74" t="s">
        <v>448</v>
      </c>
    </row>
    <row r="5987" spans="1:3">
      <c r="A5987" s="250">
        <v>15924</v>
      </c>
      <c r="B5987" s="74" t="s">
        <v>4345</v>
      </c>
      <c r="C5987" s="74" t="s">
        <v>448</v>
      </c>
    </row>
    <row r="5988" spans="1:3">
      <c r="A5988" s="250">
        <v>15925</v>
      </c>
      <c r="B5988" s="74" t="s">
        <v>4346</v>
      </c>
      <c r="C5988" s="74" t="s">
        <v>448</v>
      </c>
    </row>
    <row r="5989" spans="1:3">
      <c r="A5989" s="250">
        <v>15926</v>
      </c>
      <c r="B5989" s="74" t="s">
        <v>4347</v>
      </c>
      <c r="C5989" s="74" t="s">
        <v>448</v>
      </c>
    </row>
    <row r="5990" spans="1:3">
      <c r="A5990" s="250">
        <v>15927</v>
      </c>
      <c r="B5990" s="74" t="s">
        <v>4348</v>
      </c>
      <c r="C5990" s="74" t="s">
        <v>448</v>
      </c>
    </row>
    <row r="5991" spans="1:3">
      <c r="A5991" s="250">
        <v>15928</v>
      </c>
      <c r="B5991" s="74" t="s">
        <v>4349</v>
      </c>
      <c r="C5991" s="74" t="s">
        <v>448</v>
      </c>
    </row>
    <row r="5992" spans="1:3">
      <c r="A5992" s="250">
        <v>15929</v>
      </c>
      <c r="B5992" s="74" t="s">
        <v>4350</v>
      </c>
      <c r="C5992" s="74" t="s">
        <v>448</v>
      </c>
    </row>
    <row r="5993" spans="1:3">
      <c r="A5993" s="250">
        <v>15930</v>
      </c>
      <c r="B5993" s="74" t="s">
        <v>4351</v>
      </c>
      <c r="C5993" s="74" t="s">
        <v>448</v>
      </c>
    </row>
    <row r="5994" spans="1:3">
      <c r="A5994" s="250">
        <v>15931</v>
      </c>
      <c r="B5994" s="74" t="s">
        <v>4352</v>
      </c>
      <c r="C5994" s="74" t="s">
        <v>448</v>
      </c>
    </row>
    <row r="5995" spans="1:3">
      <c r="A5995" s="250">
        <v>15934</v>
      </c>
      <c r="B5995" s="74" t="s">
        <v>4353</v>
      </c>
      <c r="C5995" s="74" t="s">
        <v>448</v>
      </c>
    </row>
    <row r="5996" spans="1:3">
      <c r="A5996" s="250">
        <v>15935</v>
      </c>
      <c r="B5996" s="74" t="s">
        <v>4354</v>
      </c>
      <c r="C5996" s="74" t="s">
        <v>448</v>
      </c>
    </row>
    <row r="5997" spans="1:3">
      <c r="A5997" s="250">
        <v>15936</v>
      </c>
      <c r="B5997" s="74" t="s">
        <v>4355</v>
      </c>
      <c r="C5997" s="74" t="s">
        <v>448</v>
      </c>
    </row>
    <row r="5998" spans="1:3">
      <c r="A5998" s="250">
        <v>15937</v>
      </c>
      <c r="B5998" s="74" t="s">
        <v>4356</v>
      </c>
      <c r="C5998" s="74" t="s">
        <v>448</v>
      </c>
    </row>
    <row r="5999" spans="1:3">
      <c r="A5999" s="250">
        <v>15938</v>
      </c>
      <c r="B5999" s="74" t="s">
        <v>4357</v>
      </c>
      <c r="C5999" s="74" t="s">
        <v>448</v>
      </c>
    </row>
    <row r="6000" spans="1:3">
      <c r="A6000" s="250">
        <v>15940</v>
      </c>
      <c r="B6000" s="74" t="s">
        <v>4358</v>
      </c>
      <c r="C6000" s="74" t="s">
        <v>448</v>
      </c>
    </row>
    <row r="6001" spans="1:3">
      <c r="A6001" s="250">
        <v>15942</v>
      </c>
      <c r="B6001" s="74" t="s">
        <v>4359</v>
      </c>
      <c r="C6001" s="74" t="s">
        <v>448</v>
      </c>
    </row>
    <row r="6002" spans="1:3">
      <c r="A6002" s="250">
        <v>15943</v>
      </c>
      <c r="B6002" s="74" t="s">
        <v>4360</v>
      </c>
      <c r="C6002" s="74" t="s">
        <v>448</v>
      </c>
    </row>
    <row r="6003" spans="1:3">
      <c r="A6003" s="250">
        <v>15944</v>
      </c>
      <c r="B6003" s="74" t="s">
        <v>4361</v>
      </c>
      <c r="C6003" s="74" t="s">
        <v>448</v>
      </c>
    </row>
    <row r="6004" spans="1:3">
      <c r="A6004" s="250">
        <v>15945</v>
      </c>
      <c r="B6004" s="74" t="s">
        <v>4362</v>
      </c>
      <c r="C6004" s="74" t="s">
        <v>448</v>
      </c>
    </row>
    <row r="6005" spans="1:3">
      <c r="A6005" s="250">
        <v>15946</v>
      </c>
      <c r="B6005" s="74" t="s">
        <v>1646</v>
      </c>
      <c r="C6005" s="74" t="s">
        <v>448</v>
      </c>
    </row>
    <row r="6006" spans="1:3">
      <c r="A6006" s="250">
        <v>15948</v>
      </c>
      <c r="B6006" s="74" t="s">
        <v>4363</v>
      </c>
      <c r="C6006" s="74" t="s">
        <v>448</v>
      </c>
    </row>
    <row r="6007" spans="1:3">
      <c r="A6007" s="250">
        <v>15949</v>
      </c>
      <c r="B6007" s="74" t="s">
        <v>4364</v>
      </c>
      <c r="C6007" s="74" t="s">
        <v>448</v>
      </c>
    </row>
    <row r="6008" spans="1:3">
      <c r="A6008" s="250">
        <v>15951</v>
      </c>
      <c r="B6008" s="74" t="s">
        <v>4365</v>
      </c>
      <c r="C6008" s="74" t="s">
        <v>448</v>
      </c>
    </row>
    <row r="6009" spans="1:3">
      <c r="A6009" s="250">
        <v>15952</v>
      </c>
      <c r="B6009" s="74" t="s">
        <v>4366</v>
      </c>
      <c r="C6009" s="74" t="s">
        <v>448</v>
      </c>
    </row>
    <row r="6010" spans="1:3">
      <c r="A6010" s="250">
        <v>15953</v>
      </c>
      <c r="B6010" s="74" t="s">
        <v>4367</v>
      </c>
      <c r="C6010" s="74" t="s">
        <v>448</v>
      </c>
    </row>
    <row r="6011" spans="1:3">
      <c r="A6011" s="250">
        <v>15954</v>
      </c>
      <c r="B6011" s="74" t="s">
        <v>4368</v>
      </c>
      <c r="C6011" s="74" t="s">
        <v>448</v>
      </c>
    </row>
    <row r="6012" spans="1:3">
      <c r="A6012" s="250">
        <v>15955</v>
      </c>
      <c r="B6012" s="74" t="s">
        <v>4369</v>
      </c>
      <c r="C6012" s="74" t="s">
        <v>448</v>
      </c>
    </row>
    <row r="6013" spans="1:3">
      <c r="A6013" s="250">
        <v>15956</v>
      </c>
      <c r="B6013" s="74" t="s">
        <v>4370</v>
      </c>
      <c r="C6013" s="74" t="s">
        <v>448</v>
      </c>
    </row>
    <row r="6014" spans="1:3">
      <c r="A6014" s="250">
        <v>15957</v>
      </c>
      <c r="B6014" s="74" t="s">
        <v>4371</v>
      </c>
      <c r="C6014" s="74" t="s">
        <v>448</v>
      </c>
    </row>
    <row r="6015" spans="1:3">
      <c r="A6015" s="250">
        <v>15958</v>
      </c>
      <c r="B6015" s="74" t="s">
        <v>4372</v>
      </c>
      <c r="C6015" s="74" t="s">
        <v>448</v>
      </c>
    </row>
    <row r="6016" spans="1:3">
      <c r="A6016" s="250">
        <v>15959</v>
      </c>
      <c r="B6016" s="74" t="s">
        <v>4373</v>
      </c>
      <c r="C6016" s="74" t="s">
        <v>448</v>
      </c>
    </row>
    <row r="6017" spans="1:3">
      <c r="A6017" s="250">
        <v>15960</v>
      </c>
      <c r="B6017" s="74" t="s">
        <v>4374</v>
      </c>
      <c r="C6017" s="74" t="s">
        <v>448</v>
      </c>
    </row>
    <row r="6018" spans="1:3">
      <c r="A6018" s="250">
        <v>15961</v>
      </c>
      <c r="B6018" s="74" t="s">
        <v>4375</v>
      </c>
      <c r="C6018" s="74" t="s">
        <v>448</v>
      </c>
    </row>
    <row r="6019" spans="1:3">
      <c r="A6019" s="250">
        <v>15962</v>
      </c>
      <c r="B6019" s="74" t="s">
        <v>4376</v>
      </c>
      <c r="C6019" s="74" t="s">
        <v>448</v>
      </c>
    </row>
    <row r="6020" spans="1:3">
      <c r="A6020" s="250">
        <v>15963</v>
      </c>
      <c r="B6020" s="74" t="s">
        <v>4377</v>
      </c>
      <c r="C6020" s="74" t="s">
        <v>448</v>
      </c>
    </row>
    <row r="6021" spans="1:3">
      <c r="A6021" s="250">
        <v>16001</v>
      </c>
      <c r="B6021" s="74" t="s">
        <v>2183</v>
      </c>
      <c r="C6021" s="74" t="s">
        <v>448</v>
      </c>
    </row>
    <row r="6022" spans="1:3">
      <c r="A6022" s="250">
        <v>16002</v>
      </c>
      <c r="B6022" s="74" t="s">
        <v>2183</v>
      </c>
      <c r="C6022" s="74" t="s">
        <v>448</v>
      </c>
    </row>
    <row r="6023" spans="1:3">
      <c r="A6023" s="250">
        <v>16003</v>
      </c>
      <c r="B6023" s="74" t="s">
        <v>2183</v>
      </c>
      <c r="C6023" s="74" t="s">
        <v>448</v>
      </c>
    </row>
    <row r="6024" spans="1:3">
      <c r="A6024" s="250">
        <v>16016</v>
      </c>
      <c r="B6024" s="74" t="s">
        <v>4378</v>
      </c>
      <c r="C6024" s="74" t="s">
        <v>448</v>
      </c>
    </row>
    <row r="6025" spans="1:3">
      <c r="A6025" s="250">
        <v>16017</v>
      </c>
      <c r="B6025" s="74" t="s">
        <v>4378</v>
      </c>
      <c r="C6025" s="74" t="s">
        <v>448</v>
      </c>
    </row>
    <row r="6026" spans="1:3">
      <c r="A6026" s="250">
        <v>16018</v>
      </c>
      <c r="B6026" s="74" t="s">
        <v>4378</v>
      </c>
      <c r="C6026" s="74" t="s">
        <v>448</v>
      </c>
    </row>
    <row r="6027" spans="1:3">
      <c r="A6027" s="250">
        <v>16020</v>
      </c>
      <c r="B6027" s="74" t="s">
        <v>4378</v>
      </c>
      <c r="C6027" s="74" t="s">
        <v>448</v>
      </c>
    </row>
    <row r="6028" spans="1:3">
      <c r="A6028" s="250">
        <v>16021</v>
      </c>
      <c r="B6028" s="74" t="s">
        <v>4379</v>
      </c>
      <c r="C6028" s="74" t="s">
        <v>448</v>
      </c>
    </row>
    <row r="6029" spans="1:3">
      <c r="A6029" s="250">
        <v>16022</v>
      </c>
      <c r="B6029" s="74" t="s">
        <v>4380</v>
      </c>
      <c r="C6029" s="74" t="s">
        <v>448</v>
      </c>
    </row>
    <row r="6030" spans="1:3">
      <c r="A6030" s="250">
        <v>16023</v>
      </c>
      <c r="B6030" s="74" t="s">
        <v>1840</v>
      </c>
      <c r="C6030" s="74" t="s">
        <v>448</v>
      </c>
    </row>
    <row r="6031" spans="1:3">
      <c r="A6031" s="250">
        <v>16024</v>
      </c>
      <c r="B6031" s="74" t="s">
        <v>4381</v>
      </c>
      <c r="C6031" s="74" t="s">
        <v>448</v>
      </c>
    </row>
    <row r="6032" spans="1:3">
      <c r="A6032" s="250">
        <v>16025</v>
      </c>
      <c r="B6032" s="74" t="s">
        <v>4382</v>
      </c>
      <c r="C6032" s="74" t="s">
        <v>448</v>
      </c>
    </row>
    <row r="6033" spans="1:3">
      <c r="A6033" s="250">
        <v>16027</v>
      </c>
      <c r="B6033" s="74" t="s">
        <v>4383</v>
      </c>
      <c r="C6033" s="74" t="s">
        <v>448</v>
      </c>
    </row>
    <row r="6034" spans="1:3">
      <c r="A6034" s="250">
        <v>16028</v>
      </c>
      <c r="B6034" s="74" t="s">
        <v>4384</v>
      </c>
      <c r="C6034" s="74" t="s">
        <v>448</v>
      </c>
    </row>
    <row r="6035" spans="1:3">
      <c r="A6035" s="250">
        <v>16029</v>
      </c>
      <c r="B6035" s="74" t="s">
        <v>4385</v>
      </c>
      <c r="C6035" s="74" t="s">
        <v>448</v>
      </c>
    </row>
    <row r="6036" spans="1:3">
      <c r="A6036" s="250">
        <v>16030</v>
      </c>
      <c r="B6036" s="74" t="s">
        <v>4386</v>
      </c>
      <c r="C6036" s="74" t="s">
        <v>448</v>
      </c>
    </row>
    <row r="6037" spans="1:3">
      <c r="A6037" s="250">
        <v>16033</v>
      </c>
      <c r="B6037" s="74" t="s">
        <v>4387</v>
      </c>
      <c r="C6037" s="74" t="s">
        <v>448</v>
      </c>
    </row>
    <row r="6038" spans="1:3">
      <c r="A6038" s="250">
        <v>16034</v>
      </c>
      <c r="B6038" s="74" t="s">
        <v>4388</v>
      </c>
      <c r="C6038" s="74" t="s">
        <v>448</v>
      </c>
    </row>
    <row r="6039" spans="1:3">
      <c r="A6039" s="250">
        <v>16035</v>
      </c>
      <c r="B6039" s="74" t="s">
        <v>3705</v>
      </c>
      <c r="C6039" s="74" t="s">
        <v>448</v>
      </c>
    </row>
    <row r="6040" spans="1:3">
      <c r="A6040" s="250">
        <v>16036</v>
      </c>
      <c r="B6040" s="74" t="s">
        <v>4389</v>
      </c>
      <c r="C6040" s="74" t="s">
        <v>448</v>
      </c>
    </row>
    <row r="6041" spans="1:3">
      <c r="A6041" s="250">
        <v>16037</v>
      </c>
      <c r="B6041" s="74" t="s">
        <v>1109</v>
      </c>
      <c r="C6041" s="74" t="s">
        <v>448</v>
      </c>
    </row>
    <row r="6042" spans="1:3">
      <c r="A6042" s="250">
        <v>16038</v>
      </c>
      <c r="B6042" s="74" t="s">
        <v>1110</v>
      </c>
      <c r="C6042" s="74" t="s">
        <v>448</v>
      </c>
    </row>
    <row r="6043" spans="1:3">
      <c r="A6043" s="250">
        <v>16039</v>
      </c>
      <c r="B6043" s="74" t="s">
        <v>4390</v>
      </c>
      <c r="C6043" s="74" t="s">
        <v>448</v>
      </c>
    </row>
    <row r="6044" spans="1:3">
      <c r="A6044" s="250">
        <v>16040</v>
      </c>
      <c r="B6044" s="74" t="s">
        <v>4391</v>
      </c>
      <c r="C6044" s="74" t="s">
        <v>448</v>
      </c>
    </row>
    <row r="6045" spans="1:3">
      <c r="A6045" s="250">
        <v>16041</v>
      </c>
      <c r="B6045" s="74" t="s">
        <v>4392</v>
      </c>
      <c r="C6045" s="74" t="s">
        <v>448</v>
      </c>
    </row>
    <row r="6046" spans="1:3">
      <c r="A6046" s="250">
        <v>16045</v>
      </c>
      <c r="B6046" s="74" t="s">
        <v>4393</v>
      </c>
      <c r="C6046" s="74" t="s">
        <v>448</v>
      </c>
    </row>
    <row r="6047" spans="1:3">
      <c r="A6047" s="250">
        <v>16046</v>
      </c>
      <c r="B6047" s="74" t="s">
        <v>4394</v>
      </c>
      <c r="C6047" s="74" t="s">
        <v>448</v>
      </c>
    </row>
    <row r="6048" spans="1:3">
      <c r="A6048" s="250">
        <v>16048</v>
      </c>
      <c r="B6048" s="74" t="s">
        <v>4395</v>
      </c>
      <c r="C6048" s="74" t="s">
        <v>448</v>
      </c>
    </row>
    <row r="6049" spans="1:3">
      <c r="A6049" s="250">
        <v>16049</v>
      </c>
      <c r="B6049" s="74" t="s">
        <v>4396</v>
      </c>
      <c r="C6049" s="74" t="s">
        <v>448</v>
      </c>
    </row>
    <row r="6050" spans="1:3">
      <c r="A6050" s="250">
        <v>16050</v>
      </c>
      <c r="B6050" s="74" t="s">
        <v>4397</v>
      </c>
      <c r="C6050" s="74" t="s">
        <v>448</v>
      </c>
    </row>
    <row r="6051" spans="1:3">
      <c r="A6051" s="250">
        <v>16051</v>
      </c>
      <c r="B6051" s="74" t="s">
        <v>4398</v>
      </c>
      <c r="C6051" s="74" t="s">
        <v>448</v>
      </c>
    </row>
    <row r="6052" spans="1:3">
      <c r="A6052" s="250">
        <v>16052</v>
      </c>
      <c r="B6052" s="74" t="s">
        <v>2079</v>
      </c>
      <c r="C6052" s="74" t="s">
        <v>448</v>
      </c>
    </row>
    <row r="6053" spans="1:3">
      <c r="A6053" s="250">
        <v>16053</v>
      </c>
      <c r="B6053" s="74" t="s">
        <v>4399</v>
      </c>
      <c r="C6053" s="74" t="s">
        <v>448</v>
      </c>
    </row>
    <row r="6054" spans="1:3">
      <c r="A6054" s="250">
        <v>16054</v>
      </c>
      <c r="B6054" s="74" t="s">
        <v>4400</v>
      </c>
      <c r="C6054" s="74" t="s">
        <v>448</v>
      </c>
    </row>
    <row r="6055" spans="1:3">
      <c r="A6055" s="250">
        <v>16055</v>
      </c>
      <c r="B6055" s="74" t="s">
        <v>4401</v>
      </c>
      <c r="C6055" s="74" t="s">
        <v>448</v>
      </c>
    </row>
    <row r="6056" spans="1:3">
      <c r="A6056" s="250">
        <v>16056</v>
      </c>
      <c r="B6056" s="74" t="s">
        <v>4402</v>
      </c>
      <c r="C6056" s="74" t="s">
        <v>448</v>
      </c>
    </row>
    <row r="6057" spans="1:3">
      <c r="A6057" s="250">
        <v>16057</v>
      </c>
      <c r="B6057" s="74" t="s">
        <v>4403</v>
      </c>
      <c r="C6057" s="74" t="s">
        <v>448</v>
      </c>
    </row>
    <row r="6058" spans="1:3">
      <c r="A6058" s="250">
        <v>16058</v>
      </c>
      <c r="B6058" s="74" t="s">
        <v>4404</v>
      </c>
      <c r="C6058" s="74" t="s">
        <v>448</v>
      </c>
    </row>
    <row r="6059" spans="1:3">
      <c r="A6059" s="250">
        <v>16059</v>
      </c>
      <c r="B6059" s="74" t="s">
        <v>4405</v>
      </c>
      <c r="C6059" s="74" t="s">
        <v>448</v>
      </c>
    </row>
    <row r="6060" spans="1:3">
      <c r="A6060" s="250">
        <v>16061</v>
      </c>
      <c r="B6060" s="74" t="s">
        <v>4406</v>
      </c>
      <c r="C6060" s="74" t="s">
        <v>448</v>
      </c>
    </row>
    <row r="6061" spans="1:3">
      <c r="A6061" s="250">
        <v>16063</v>
      </c>
      <c r="B6061" s="74" t="s">
        <v>4407</v>
      </c>
      <c r="C6061" s="74" t="s">
        <v>448</v>
      </c>
    </row>
    <row r="6062" spans="1:3">
      <c r="A6062" s="250">
        <v>16066</v>
      </c>
      <c r="B6062" s="74" t="s">
        <v>4408</v>
      </c>
      <c r="C6062" s="74" t="s">
        <v>448</v>
      </c>
    </row>
    <row r="6063" spans="1:3">
      <c r="A6063" s="250">
        <v>16101</v>
      </c>
      <c r="B6063" s="74" t="s">
        <v>1324</v>
      </c>
      <c r="C6063" s="74" t="s">
        <v>448</v>
      </c>
    </row>
    <row r="6064" spans="1:3">
      <c r="A6064" s="250">
        <v>16102</v>
      </c>
      <c r="B6064" s="74" t="s">
        <v>1324</v>
      </c>
      <c r="C6064" s="74" t="s">
        <v>448</v>
      </c>
    </row>
    <row r="6065" spans="1:3">
      <c r="A6065" s="250">
        <v>16103</v>
      </c>
      <c r="B6065" s="74" t="s">
        <v>1324</v>
      </c>
      <c r="C6065" s="74" t="s">
        <v>448</v>
      </c>
    </row>
    <row r="6066" spans="1:3">
      <c r="A6066" s="250">
        <v>16105</v>
      </c>
      <c r="B6066" s="74" t="s">
        <v>1324</v>
      </c>
      <c r="C6066" s="74" t="s">
        <v>448</v>
      </c>
    </row>
    <row r="6067" spans="1:3">
      <c r="A6067" s="250">
        <v>16107</v>
      </c>
      <c r="B6067" s="74" t="s">
        <v>1324</v>
      </c>
      <c r="C6067" s="74" t="s">
        <v>448</v>
      </c>
    </row>
    <row r="6068" spans="1:3">
      <c r="A6068" s="250">
        <v>16108</v>
      </c>
      <c r="B6068" s="74" t="s">
        <v>1324</v>
      </c>
      <c r="C6068" s="74" t="s">
        <v>448</v>
      </c>
    </row>
    <row r="6069" spans="1:3">
      <c r="A6069" s="250">
        <v>16110</v>
      </c>
      <c r="B6069" s="74" t="s">
        <v>1092</v>
      </c>
      <c r="C6069" s="74" t="s">
        <v>448</v>
      </c>
    </row>
    <row r="6070" spans="1:3">
      <c r="A6070" s="250">
        <v>16111</v>
      </c>
      <c r="B6070" s="74" t="s">
        <v>4409</v>
      </c>
      <c r="C6070" s="74" t="s">
        <v>448</v>
      </c>
    </row>
    <row r="6071" spans="1:3">
      <c r="A6071" s="250">
        <v>16112</v>
      </c>
      <c r="B6071" s="74" t="s">
        <v>4410</v>
      </c>
      <c r="C6071" s="74" t="s">
        <v>448</v>
      </c>
    </row>
    <row r="6072" spans="1:3">
      <c r="A6072" s="250">
        <v>16113</v>
      </c>
      <c r="B6072" s="74" t="s">
        <v>2149</v>
      </c>
      <c r="C6072" s="74" t="s">
        <v>448</v>
      </c>
    </row>
    <row r="6073" spans="1:3">
      <c r="A6073" s="250">
        <v>16114</v>
      </c>
      <c r="B6073" s="74" t="s">
        <v>4411</v>
      </c>
      <c r="C6073" s="74" t="s">
        <v>448</v>
      </c>
    </row>
    <row r="6074" spans="1:3">
      <c r="A6074" s="250">
        <v>16115</v>
      </c>
      <c r="B6074" s="74" t="s">
        <v>4412</v>
      </c>
      <c r="C6074" s="74" t="s">
        <v>448</v>
      </c>
    </row>
    <row r="6075" spans="1:3">
      <c r="A6075" s="250">
        <v>16116</v>
      </c>
      <c r="B6075" s="74" t="s">
        <v>4413</v>
      </c>
      <c r="C6075" s="74" t="s">
        <v>448</v>
      </c>
    </row>
    <row r="6076" spans="1:3">
      <c r="A6076" s="250">
        <v>16117</v>
      </c>
      <c r="B6076" s="74" t="s">
        <v>4414</v>
      </c>
      <c r="C6076" s="74" t="s">
        <v>448</v>
      </c>
    </row>
    <row r="6077" spans="1:3">
      <c r="A6077" s="250">
        <v>16120</v>
      </c>
      <c r="B6077" s="74" t="s">
        <v>4415</v>
      </c>
      <c r="C6077" s="74" t="s">
        <v>448</v>
      </c>
    </row>
    <row r="6078" spans="1:3">
      <c r="A6078" s="250">
        <v>16121</v>
      </c>
      <c r="B6078" s="74" t="s">
        <v>4416</v>
      </c>
      <c r="C6078" s="74" t="s">
        <v>448</v>
      </c>
    </row>
    <row r="6079" spans="1:3">
      <c r="A6079" s="250">
        <v>16123</v>
      </c>
      <c r="B6079" s="74" t="s">
        <v>4417</v>
      </c>
      <c r="C6079" s="74" t="s">
        <v>448</v>
      </c>
    </row>
    <row r="6080" spans="1:3">
      <c r="A6080" s="250">
        <v>16124</v>
      </c>
      <c r="B6080" s="74" t="s">
        <v>3706</v>
      </c>
      <c r="C6080" s="74" t="s">
        <v>448</v>
      </c>
    </row>
    <row r="6081" spans="1:3">
      <c r="A6081" s="250">
        <v>16125</v>
      </c>
      <c r="B6081" s="74" t="s">
        <v>1108</v>
      </c>
      <c r="C6081" s="74" t="s">
        <v>448</v>
      </c>
    </row>
    <row r="6082" spans="1:3">
      <c r="A6082" s="250">
        <v>16127</v>
      </c>
      <c r="B6082" s="74" t="s">
        <v>4418</v>
      </c>
      <c r="C6082" s="74" t="s">
        <v>448</v>
      </c>
    </row>
    <row r="6083" spans="1:3">
      <c r="A6083" s="250">
        <v>16130</v>
      </c>
      <c r="B6083" s="74" t="s">
        <v>595</v>
      </c>
      <c r="C6083" s="74" t="s">
        <v>448</v>
      </c>
    </row>
    <row r="6084" spans="1:3">
      <c r="A6084" s="250">
        <v>16131</v>
      </c>
      <c r="B6084" s="74" t="s">
        <v>4419</v>
      </c>
      <c r="C6084" s="74" t="s">
        <v>448</v>
      </c>
    </row>
    <row r="6085" spans="1:3">
      <c r="A6085" s="250">
        <v>16132</v>
      </c>
      <c r="B6085" s="74" t="s">
        <v>4420</v>
      </c>
      <c r="C6085" s="74" t="s">
        <v>448</v>
      </c>
    </row>
    <row r="6086" spans="1:3">
      <c r="A6086" s="250">
        <v>16133</v>
      </c>
      <c r="B6086" s="74" t="s">
        <v>4421</v>
      </c>
      <c r="C6086" s="74" t="s">
        <v>448</v>
      </c>
    </row>
    <row r="6087" spans="1:3">
      <c r="A6087" s="250">
        <v>16134</v>
      </c>
      <c r="B6087" s="74" t="s">
        <v>1113</v>
      </c>
      <c r="C6087" s="74" t="s">
        <v>448</v>
      </c>
    </row>
    <row r="6088" spans="1:3">
      <c r="A6088" s="250">
        <v>16136</v>
      </c>
      <c r="B6088" s="74" t="s">
        <v>4422</v>
      </c>
      <c r="C6088" s="74" t="s">
        <v>448</v>
      </c>
    </row>
    <row r="6089" spans="1:3">
      <c r="A6089" s="250">
        <v>16137</v>
      </c>
      <c r="B6089" s="74" t="s">
        <v>4423</v>
      </c>
      <c r="C6089" s="74" t="s">
        <v>448</v>
      </c>
    </row>
    <row r="6090" spans="1:3">
      <c r="A6090" s="250">
        <v>16140</v>
      </c>
      <c r="B6090" s="74" t="s">
        <v>1073</v>
      </c>
      <c r="C6090" s="74" t="s">
        <v>448</v>
      </c>
    </row>
    <row r="6091" spans="1:3">
      <c r="A6091" s="250">
        <v>16141</v>
      </c>
      <c r="B6091" s="74" t="s">
        <v>4424</v>
      </c>
      <c r="C6091" s="74" t="s">
        <v>448</v>
      </c>
    </row>
    <row r="6092" spans="1:3">
      <c r="A6092" s="250">
        <v>16142</v>
      </c>
      <c r="B6092" s="74" t="s">
        <v>4425</v>
      </c>
      <c r="C6092" s="74" t="s">
        <v>448</v>
      </c>
    </row>
    <row r="6093" spans="1:3">
      <c r="A6093" s="250">
        <v>16143</v>
      </c>
      <c r="B6093" s="74" t="s">
        <v>3408</v>
      </c>
      <c r="C6093" s="74" t="s">
        <v>448</v>
      </c>
    </row>
    <row r="6094" spans="1:3">
      <c r="A6094" s="250">
        <v>16145</v>
      </c>
      <c r="B6094" s="74" t="s">
        <v>4426</v>
      </c>
      <c r="C6094" s="74" t="s">
        <v>448</v>
      </c>
    </row>
    <row r="6095" spans="1:3">
      <c r="A6095" s="250">
        <v>16146</v>
      </c>
      <c r="B6095" s="74" t="s">
        <v>893</v>
      </c>
      <c r="C6095" s="74" t="s">
        <v>448</v>
      </c>
    </row>
    <row r="6096" spans="1:3">
      <c r="A6096" s="250">
        <v>16148</v>
      </c>
      <c r="B6096" s="74" t="s">
        <v>4427</v>
      </c>
      <c r="C6096" s="74" t="s">
        <v>448</v>
      </c>
    </row>
    <row r="6097" spans="1:3">
      <c r="A6097" s="250">
        <v>16150</v>
      </c>
      <c r="B6097" s="74" t="s">
        <v>4428</v>
      </c>
      <c r="C6097" s="74" t="s">
        <v>448</v>
      </c>
    </row>
    <row r="6098" spans="1:3">
      <c r="A6098" s="250">
        <v>16151</v>
      </c>
      <c r="B6098" s="74" t="s">
        <v>4429</v>
      </c>
      <c r="C6098" s="74" t="s">
        <v>448</v>
      </c>
    </row>
    <row r="6099" spans="1:3">
      <c r="A6099" s="250">
        <v>16153</v>
      </c>
      <c r="B6099" s="74" t="s">
        <v>4430</v>
      </c>
      <c r="C6099" s="74" t="s">
        <v>448</v>
      </c>
    </row>
    <row r="6100" spans="1:3">
      <c r="A6100" s="250">
        <v>16154</v>
      </c>
      <c r="B6100" s="74" t="s">
        <v>4431</v>
      </c>
      <c r="C6100" s="74" t="s">
        <v>448</v>
      </c>
    </row>
    <row r="6101" spans="1:3">
      <c r="A6101" s="250">
        <v>16155</v>
      </c>
      <c r="B6101" s="74" t="s">
        <v>4432</v>
      </c>
      <c r="C6101" s="74" t="s">
        <v>448</v>
      </c>
    </row>
    <row r="6102" spans="1:3">
      <c r="A6102" s="250">
        <v>16156</v>
      </c>
      <c r="B6102" s="74" t="s">
        <v>4433</v>
      </c>
      <c r="C6102" s="74" t="s">
        <v>448</v>
      </c>
    </row>
    <row r="6103" spans="1:3">
      <c r="A6103" s="250">
        <v>16157</v>
      </c>
      <c r="B6103" s="74" t="s">
        <v>4434</v>
      </c>
      <c r="C6103" s="74" t="s">
        <v>448</v>
      </c>
    </row>
    <row r="6104" spans="1:3">
      <c r="A6104" s="250">
        <v>16159</v>
      </c>
      <c r="B6104" s="74" t="s">
        <v>4435</v>
      </c>
      <c r="C6104" s="74" t="s">
        <v>448</v>
      </c>
    </row>
    <row r="6105" spans="1:3">
      <c r="A6105" s="250">
        <v>16160</v>
      </c>
      <c r="B6105" s="74" t="s">
        <v>4436</v>
      </c>
      <c r="C6105" s="74" t="s">
        <v>448</v>
      </c>
    </row>
    <row r="6106" spans="1:3">
      <c r="A6106" s="250">
        <v>16161</v>
      </c>
      <c r="B6106" s="74" t="s">
        <v>4437</v>
      </c>
      <c r="C6106" s="74" t="s">
        <v>448</v>
      </c>
    </row>
    <row r="6107" spans="1:3">
      <c r="A6107" s="250">
        <v>16172</v>
      </c>
      <c r="B6107" s="74" t="s">
        <v>4425</v>
      </c>
      <c r="C6107" s="74" t="s">
        <v>448</v>
      </c>
    </row>
    <row r="6108" spans="1:3">
      <c r="A6108" s="250">
        <v>16201</v>
      </c>
      <c r="B6108" s="74" t="s">
        <v>4438</v>
      </c>
      <c r="C6108" s="74" t="s">
        <v>448</v>
      </c>
    </row>
    <row r="6109" spans="1:3">
      <c r="A6109" s="250">
        <v>16210</v>
      </c>
      <c r="B6109" s="74" t="s">
        <v>4439</v>
      </c>
      <c r="C6109" s="74" t="s">
        <v>448</v>
      </c>
    </row>
    <row r="6110" spans="1:3">
      <c r="A6110" s="250">
        <v>16211</v>
      </c>
      <c r="B6110" s="74" t="s">
        <v>4440</v>
      </c>
      <c r="C6110" s="74" t="s">
        <v>448</v>
      </c>
    </row>
    <row r="6111" spans="1:3">
      <c r="A6111" s="250">
        <v>16212</v>
      </c>
      <c r="B6111" s="74" t="s">
        <v>4441</v>
      </c>
      <c r="C6111" s="74" t="s">
        <v>448</v>
      </c>
    </row>
    <row r="6112" spans="1:3">
      <c r="A6112" s="250">
        <v>16213</v>
      </c>
      <c r="B6112" s="74" t="s">
        <v>4442</v>
      </c>
      <c r="C6112" s="74" t="s">
        <v>448</v>
      </c>
    </row>
    <row r="6113" spans="1:3">
      <c r="A6113" s="250">
        <v>16214</v>
      </c>
      <c r="B6113" s="74" t="s">
        <v>4443</v>
      </c>
      <c r="C6113" s="74" t="s">
        <v>448</v>
      </c>
    </row>
    <row r="6114" spans="1:3">
      <c r="A6114" s="250">
        <v>16215</v>
      </c>
      <c r="B6114" s="74" t="s">
        <v>4438</v>
      </c>
      <c r="C6114" s="74" t="s">
        <v>448</v>
      </c>
    </row>
    <row r="6115" spans="1:3">
      <c r="A6115" s="250">
        <v>16217</v>
      </c>
      <c r="B6115" s="74" t="s">
        <v>4444</v>
      </c>
      <c r="C6115" s="74" t="s">
        <v>448</v>
      </c>
    </row>
    <row r="6116" spans="1:3">
      <c r="A6116" s="250">
        <v>16218</v>
      </c>
      <c r="B6116" s="74" t="s">
        <v>4445</v>
      </c>
      <c r="C6116" s="74" t="s">
        <v>448</v>
      </c>
    </row>
    <row r="6117" spans="1:3">
      <c r="A6117" s="250">
        <v>16220</v>
      </c>
      <c r="B6117" s="74" t="s">
        <v>4446</v>
      </c>
      <c r="C6117" s="74" t="s">
        <v>448</v>
      </c>
    </row>
    <row r="6118" spans="1:3">
      <c r="A6118" s="250">
        <v>16221</v>
      </c>
      <c r="B6118" s="74" t="s">
        <v>4447</v>
      </c>
      <c r="C6118" s="74" t="s">
        <v>448</v>
      </c>
    </row>
    <row r="6119" spans="1:3">
      <c r="A6119" s="250">
        <v>16222</v>
      </c>
      <c r="B6119" s="74" t="s">
        <v>2564</v>
      </c>
      <c r="C6119" s="74" t="s">
        <v>448</v>
      </c>
    </row>
    <row r="6120" spans="1:3">
      <c r="A6120" s="250">
        <v>16223</v>
      </c>
      <c r="B6120" s="74" t="s">
        <v>4448</v>
      </c>
      <c r="C6120" s="74" t="s">
        <v>448</v>
      </c>
    </row>
    <row r="6121" spans="1:3">
      <c r="A6121" s="250">
        <v>16224</v>
      </c>
      <c r="B6121" s="74" t="s">
        <v>4449</v>
      </c>
      <c r="C6121" s="74" t="s">
        <v>448</v>
      </c>
    </row>
    <row r="6122" spans="1:3">
      <c r="A6122" s="250">
        <v>16225</v>
      </c>
      <c r="B6122" s="74" t="s">
        <v>4450</v>
      </c>
      <c r="C6122" s="74" t="s">
        <v>448</v>
      </c>
    </row>
    <row r="6123" spans="1:3">
      <c r="A6123" s="250">
        <v>16226</v>
      </c>
      <c r="B6123" s="74" t="s">
        <v>4451</v>
      </c>
      <c r="C6123" s="74" t="s">
        <v>448</v>
      </c>
    </row>
    <row r="6124" spans="1:3">
      <c r="A6124" s="250">
        <v>16228</v>
      </c>
      <c r="B6124" s="74" t="s">
        <v>4452</v>
      </c>
      <c r="C6124" s="74" t="s">
        <v>448</v>
      </c>
    </row>
    <row r="6125" spans="1:3">
      <c r="A6125" s="250">
        <v>16229</v>
      </c>
      <c r="B6125" s="74" t="s">
        <v>1383</v>
      </c>
      <c r="C6125" s="74" t="s">
        <v>448</v>
      </c>
    </row>
    <row r="6126" spans="1:3">
      <c r="A6126" s="250">
        <v>16230</v>
      </c>
      <c r="B6126" s="74" t="s">
        <v>4453</v>
      </c>
      <c r="C6126" s="74" t="s">
        <v>448</v>
      </c>
    </row>
    <row r="6127" spans="1:3">
      <c r="A6127" s="250">
        <v>16232</v>
      </c>
      <c r="B6127" s="74" t="s">
        <v>2971</v>
      </c>
      <c r="C6127" s="74" t="s">
        <v>448</v>
      </c>
    </row>
    <row r="6128" spans="1:3">
      <c r="A6128" s="250">
        <v>16233</v>
      </c>
      <c r="B6128" s="74" t="s">
        <v>4454</v>
      </c>
      <c r="C6128" s="74" t="s">
        <v>448</v>
      </c>
    </row>
    <row r="6129" spans="1:3">
      <c r="A6129" s="250">
        <v>16234</v>
      </c>
      <c r="B6129" s="74" t="s">
        <v>1635</v>
      </c>
      <c r="C6129" s="74" t="s">
        <v>448</v>
      </c>
    </row>
    <row r="6130" spans="1:3">
      <c r="A6130" s="250">
        <v>16235</v>
      </c>
      <c r="B6130" s="74" t="s">
        <v>4455</v>
      </c>
      <c r="C6130" s="74" t="s">
        <v>448</v>
      </c>
    </row>
    <row r="6131" spans="1:3">
      <c r="A6131" s="250">
        <v>16236</v>
      </c>
      <c r="B6131" s="74" t="s">
        <v>4456</v>
      </c>
      <c r="C6131" s="74" t="s">
        <v>448</v>
      </c>
    </row>
    <row r="6132" spans="1:3">
      <c r="A6132" s="250">
        <v>16238</v>
      </c>
      <c r="B6132" s="74" t="s">
        <v>2883</v>
      </c>
      <c r="C6132" s="74" t="s">
        <v>448</v>
      </c>
    </row>
    <row r="6133" spans="1:3">
      <c r="A6133" s="250">
        <v>16239</v>
      </c>
      <c r="B6133" s="74" t="s">
        <v>4457</v>
      </c>
      <c r="C6133" s="74" t="s">
        <v>448</v>
      </c>
    </row>
    <row r="6134" spans="1:3">
      <c r="A6134" s="250">
        <v>16240</v>
      </c>
      <c r="B6134" s="74" t="s">
        <v>4458</v>
      </c>
      <c r="C6134" s="74" t="s">
        <v>448</v>
      </c>
    </row>
    <row r="6135" spans="1:3">
      <c r="A6135" s="250">
        <v>16242</v>
      </c>
      <c r="B6135" s="74" t="s">
        <v>4459</v>
      </c>
      <c r="C6135" s="74" t="s">
        <v>448</v>
      </c>
    </row>
    <row r="6136" spans="1:3">
      <c r="A6136" s="250">
        <v>16244</v>
      </c>
      <c r="B6136" s="74" t="s">
        <v>4460</v>
      </c>
      <c r="C6136" s="74" t="s">
        <v>448</v>
      </c>
    </row>
    <row r="6137" spans="1:3">
      <c r="A6137" s="250">
        <v>16245</v>
      </c>
      <c r="B6137" s="74" t="s">
        <v>2198</v>
      </c>
      <c r="C6137" s="74" t="s">
        <v>448</v>
      </c>
    </row>
    <row r="6138" spans="1:3">
      <c r="A6138" s="250">
        <v>16246</v>
      </c>
      <c r="B6138" s="74" t="s">
        <v>4461</v>
      </c>
      <c r="C6138" s="74" t="s">
        <v>448</v>
      </c>
    </row>
    <row r="6139" spans="1:3">
      <c r="A6139" s="250">
        <v>16248</v>
      </c>
      <c r="B6139" s="74" t="s">
        <v>4462</v>
      </c>
      <c r="C6139" s="74" t="s">
        <v>448</v>
      </c>
    </row>
    <row r="6140" spans="1:3">
      <c r="A6140" s="250">
        <v>16249</v>
      </c>
      <c r="B6140" s="74" t="s">
        <v>4463</v>
      </c>
      <c r="C6140" s="74" t="s">
        <v>448</v>
      </c>
    </row>
    <row r="6141" spans="1:3">
      <c r="A6141" s="250">
        <v>16250</v>
      </c>
      <c r="B6141" s="74" t="s">
        <v>1010</v>
      </c>
      <c r="C6141" s="74" t="s">
        <v>448</v>
      </c>
    </row>
    <row r="6142" spans="1:3">
      <c r="A6142" s="250">
        <v>16253</v>
      </c>
      <c r="B6142" s="74" t="s">
        <v>4464</v>
      </c>
      <c r="C6142" s="74" t="s">
        <v>448</v>
      </c>
    </row>
    <row r="6143" spans="1:3">
      <c r="A6143" s="250">
        <v>16254</v>
      </c>
      <c r="B6143" s="74" t="s">
        <v>4465</v>
      </c>
      <c r="C6143" s="74" t="s">
        <v>448</v>
      </c>
    </row>
    <row r="6144" spans="1:3">
      <c r="A6144" s="250">
        <v>16255</v>
      </c>
      <c r="B6144" s="74" t="s">
        <v>4466</v>
      </c>
      <c r="C6144" s="74" t="s">
        <v>448</v>
      </c>
    </row>
    <row r="6145" spans="1:3">
      <c r="A6145" s="250">
        <v>16256</v>
      </c>
      <c r="B6145" s="74" t="s">
        <v>4467</v>
      </c>
      <c r="C6145" s="74" t="s">
        <v>448</v>
      </c>
    </row>
    <row r="6146" spans="1:3">
      <c r="A6146" s="250">
        <v>16257</v>
      </c>
      <c r="B6146" s="74" t="s">
        <v>4468</v>
      </c>
      <c r="C6146" s="74" t="s">
        <v>448</v>
      </c>
    </row>
    <row r="6147" spans="1:3">
      <c r="A6147" s="250">
        <v>16258</v>
      </c>
      <c r="B6147" s="74" t="s">
        <v>4469</v>
      </c>
      <c r="C6147" s="74" t="s">
        <v>448</v>
      </c>
    </row>
    <row r="6148" spans="1:3">
      <c r="A6148" s="250">
        <v>16259</v>
      </c>
      <c r="B6148" s="74" t="s">
        <v>718</v>
      </c>
      <c r="C6148" s="74" t="s">
        <v>448</v>
      </c>
    </row>
    <row r="6149" spans="1:3">
      <c r="A6149" s="250">
        <v>16260</v>
      </c>
      <c r="B6149" s="74" t="s">
        <v>4470</v>
      </c>
      <c r="C6149" s="74" t="s">
        <v>448</v>
      </c>
    </row>
    <row r="6150" spans="1:3">
      <c r="A6150" s="250">
        <v>16261</v>
      </c>
      <c r="B6150" s="74" t="s">
        <v>4471</v>
      </c>
      <c r="C6150" s="74" t="s">
        <v>448</v>
      </c>
    </row>
    <row r="6151" spans="1:3">
      <c r="A6151" s="250">
        <v>16262</v>
      </c>
      <c r="B6151" s="74" t="s">
        <v>633</v>
      </c>
      <c r="C6151" s="74" t="s">
        <v>448</v>
      </c>
    </row>
    <row r="6152" spans="1:3">
      <c r="A6152" s="250">
        <v>16263</v>
      </c>
      <c r="B6152" s="74" t="s">
        <v>4472</v>
      </c>
      <c r="C6152" s="74" t="s">
        <v>448</v>
      </c>
    </row>
    <row r="6153" spans="1:3">
      <c r="A6153" s="250">
        <v>16301</v>
      </c>
      <c r="B6153" s="74" t="s">
        <v>4473</v>
      </c>
      <c r="C6153" s="74" t="s">
        <v>448</v>
      </c>
    </row>
    <row r="6154" spans="1:3">
      <c r="A6154" s="250">
        <v>16311</v>
      </c>
      <c r="B6154" s="74" t="s">
        <v>4474</v>
      </c>
      <c r="C6154" s="74" t="s">
        <v>448</v>
      </c>
    </row>
    <row r="6155" spans="1:3">
      <c r="A6155" s="250">
        <v>16312</v>
      </c>
      <c r="B6155" s="74" t="s">
        <v>4475</v>
      </c>
      <c r="C6155" s="74" t="s">
        <v>448</v>
      </c>
    </row>
    <row r="6156" spans="1:3">
      <c r="A6156" s="250">
        <v>16313</v>
      </c>
      <c r="B6156" s="74" t="s">
        <v>3763</v>
      </c>
      <c r="C6156" s="74" t="s">
        <v>448</v>
      </c>
    </row>
    <row r="6157" spans="1:3">
      <c r="A6157" s="250">
        <v>16314</v>
      </c>
      <c r="B6157" s="74" t="s">
        <v>4476</v>
      </c>
      <c r="C6157" s="74" t="s">
        <v>448</v>
      </c>
    </row>
    <row r="6158" spans="1:3">
      <c r="A6158" s="250">
        <v>16316</v>
      </c>
      <c r="B6158" s="74" t="s">
        <v>4477</v>
      </c>
      <c r="C6158" s="74" t="s">
        <v>448</v>
      </c>
    </row>
    <row r="6159" spans="1:3">
      <c r="A6159" s="250">
        <v>16317</v>
      </c>
      <c r="B6159" s="74" t="s">
        <v>3445</v>
      </c>
      <c r="C6159" s="74" t="s">
        <v>448</v>
      </c>
    </row>
    <row r="6160" spans="1:3">
      <c r="A6160" s="250">
        <v>16319</v>
      </c>
      <c r="B6160" s="74" t="s">
        <v>4478</v>
      </c>
      <c r="C6160" s="74" t="s">
        <v>448</v>
      </c>
    </row>
    <row r="6161" spans="1:3">
      <c r="A6161" s="250">
        <v>16321</v>
      </c>
      <c r="B6161" s="74" t="s">
        <v>4479</v>
      </c>
      <c r="C6161" s="74" t="s">
        <v>448</v>
      </c>
    </row>
    <row r="6162" spans="1:3">
      <c r="A6162" s="250">
        <v>16322</v>
      </c>
      <c r="B6162" s="74" t="s">
        <v>4480</v>
      </c>
      <c r="C6162" s="74" t="s">
        <v>448</v>
      </c>
    </row>
    <row r="6163" spans="1:3">
      <c r="A6163" s="250">
        <v>16323</v>
      </c>
      <c r="B6163" s="74" t="s">
        <v>873</v>
      </c>
      <c r="C6163" s="74" t="s">
        <v>448</v>
      </c>
    </row>
    <row r="6164" spans="1:3">
      <c r="A6164" s="250">
        <v>16326</v>
      </c>
      <c r="B6164" s="74" t="s">
        <v>4481</v>
      </c>
      <c r="C6164" s="74" t="s">
        <v>448</v>
      </c>
    </row>
    <row r="6165" spans="1:3">
      <c r="A6165" s="250">
        <v>16327</v>
      </c>
      <c r="B6165" s="74" t="s">
        <v>4482</v>
      </c>
      <c r="C6165" s="74" t="s">
        <v>448</v>
      </c>
    </row>
    <row r="6166" spans="1:3">
      <c r="A6166" s="250">
        <v>16328</v>
      </c>
      <c r="B6166" s="74" t="s">
        <v>4483</v>
      </c>
      <c r="C6166" s="74" t="s">
        <v>448</v>
      </c>
    </row>
    <row r="6167" spans="1:3">
      <c r="A6167" s="250">
        <v>16329</v>
      </c>
      <c r="B6167" s="74" t="s">
        <v>4484</v>
      </c>
      <c r="C6167" s="74" t="s">
        <v>448</v>
      </c>
    </row>
    <row r="6168" spans="1:3">
      <c r="A6168" s="250">
        <v>16331</v>
      </c>
      <c r="B6168" s="74" t="s">
        <v>4485</v>
      </c>
      <c r="C6168" s="74" t="s">
        <v>448</v>
      </c>
    </row>
    <row r="6169" spans="1:3">
      <c r="A6169" s="250">
        <v>16332</v>
      </c>
      <c r="B6169" s="74" t="s">
        <v>4486</v>
      </c>
      <c r="C6169" s="74" t="s">
        <v>448</v>
      </c>
    </row>
    <row r="6170" spans="1:3">
      <c r="A6170" s="250">
        <v>16333</v>
      </c>
      <c r="B6170" s="74" t="s">
        <v>604</v>
      </c>
      <c r="C6170" s="74" t="s">
        <v>448</v>
      </c>
    </row>
    <row r="6171" spans="1:3">
      <c r="A6171" s="250">
        <v>16334</v>
      </c>
      <c r="B6171" s="74" t="s">
        <v>4487</v>
      </c>
      <c r="C6171" s="74" t="s">
        <v>448</v>
      </c>
    </row>
    <row r="6172" spans="1:3">
      <c r="A6172" s="250">
        <v>16335</v>
      </c>
      <c r="B6172" s="74" t="s">
        <v>4488</v>
      </c>
      <c r="C6172" s="74" t="s">
        <v>448</v>
      </c>
    </row>
    <row r="6173" spans="1:3">
      <c r="A6173" s="250">
        <v>16340</v>
      </c>
      <c r="B6173" s="74" t="s">
        <v>637</v>
      </c>
      <c r="C6173" s="74" t="s">
        <v>448</v>
      </c>
    </row>
    <row r="6174" spans="1:3">
      <c r="A6174" s="250">
        <v>16341</v>
      </c>
      <c r="B6174" s="74" t="s">
        <v>2459</v>
      </c>
      <c r="C6174" s="74" t="s">
        <v>448</v>
      </c>
    </row>
    <row r="6175" spans="1:3">
      <c r="A6175" s="250">
        <v>16342</v>
      </c>
      <c r="B6175" s="74" t="s">
        <v>4489</v>
      </c>
      <c r="C6175" s="74" t="s">
        <v>448</v>
      </c>
    </row>
    <row r="6176" spans="1:3">
      <c r="A6176" s="250">
        <v>16343</v>
      </c>
      <c r="B6176" s="74" t="s">
        <v>4490</v>
      </c>
      <c r="C6176" s="74" t="s">
        <v>448</v>
      </c>
    </row>
    <row r="6177" spans="1:3">
      <c r="A6177" s="250">
        <v>16344</v>
      </c>
      <c r="B6177" s="74" t="s">
        <v>4491</v>
      </c>
      <c r="C6177" s="74" t="s">
        <v>448</v>
      </c>
    </row>
    <row r="6178" spans="1:3">
      <c r="A6178" s="250">
        <v>16345</v>
      </c>
      <c r="B6178" s="74" t="s">
        <v>612</v>
      </c>
      <c r="C6178" s="74" t="s">
        <v>448</v>
      </c>
    </row>
    <row r="6179" spans="1:3">
      <c r="A6179" s="250">
        <v>16346</v>
      </c>
      <c r="B6179" s="74" t="s">
        <v>4492</v>
      </c>
      <c r="C6179" s="74" t="s">
        <v>448</v>
      </c>
    </row>
    <row r="6180" spans="1:3">
      <c r="A6180" s="250">
        <v>16347</v>
      </c>
      <c r="B6180" s="74" t="s">
        <v>661</v>
      </c>
      <c r="C6180" s="74" t="s">
        <v>448</v>
      </c>
    </row>
    <row r="6181" spans="1:3">
      <c r="A6181" s="250">
        <v>16350</v>
      </c>
      <c r="B6181" s="74" t="s">
        <v>4493</v>
      </c>
      <c r="C6181" s="74" t="s">
        <v>448</v>
      </c>
    </row>
    <row r="6182" spans="1:3">
      <c r="A6182" s="250">
        <v>16351</v>
      </c>
      <c r="B6182" s="74" t="s">
        <v>4494</v>
      </c>
      <c r="C6182" s="74" t="s">
        <v>448</v>
      </c>
    </row>
    <row r="6183" spans="1:3">
      <c r="A6183" s="250">
        <v>16352</v>
      </c>
      <c r="B6183" s="74" t="s">
        <v>4495</v>
      </c>
      <c r="C6183" s="74" t="s">
        <v>448</v>
      </c>
    </row>
    <row r="6184" spans="1:3">
      <c r="A6184" s="250">
        <v>16353</v>
      </c>
      <c r="B6184" s="74" t="s">
        <v>4496</v>
      </c>
      <c r="C6184" s="74" t="s">
        <v>448</v>
      </c>
    </row>
    <row r="6185" spans="1:3">
      <c r="A6185" s="250">
        <v>16354</v>
      </c>
      <c r="B6185" s="74" t="s">
        <v>2530</v>
      </c>
      <c r="C6185" s="74" t="s">
        <v>448</v>
      </c>
    </row>
    <row r="6186" spans="1:3">
      <c r="A6186" s="250">
        <v>16360</v>
      </c>
      <c r="B6186" s="74" t="s">
        <v>4497</v>
      </c>
      <c r="C6186" s="74" t="s">
        <v>448</v>
      </c>
    </row>
    <row r="6187" spans="1:3">
      <c r="A6187" s="250">
        <v>16361</v>
      </c>
      <c r="B6187" s="74" t="s">
        <v>4498</v>
      </c>
      <c r="C6187" s="74" t="s">
        <v>448</v>
      </c>
    </row>
    <row r="6188" spans="1:3">
      <c r="A6188" s="250">
        <v>16362</v>
      </c>
      <c r="B6188" s="74" t="s">
        <v>3521</v>
      </c>
      <c r="C6188" s="74" t="s">
        <v>448</v>
      </c>
    </row>
    <row r="6189" spans="1:3">
      <c r="A6189" s="250">
        <v>16364</v>
      </c>
      <c r="B6189" s="74" t="s">
        <v>4499</v>
      </c>
      <c r="C6189" s="74" t="s">
        <v>448</v>
      </c>
    </row>
    <row r="6190" spans="1:3">
      <c r="A6190" s="250">
        <v>16365</v>
      </c>
      <c r="B6190" s="74" t="s">
        <v>622</v>
      </c>
      <c r="C6190" s="74" t="s">
        <v>448</v>
      </c>
    </row>
    <row r="6191" spans="1:3">
      <c r="A6191" s="250">
        <v>16366</v>
      </c>
      <c r="B6191" s="74" t="s">
        <v>622</v>
      </c>
      <c r="C6191" s="74" t="s">
        <v>448</v>
      </c>
    </row>
    <row r="6192" spans="1:3">
      <c r="A6192" s="250">
        <v>16367</v>
      </c>
      <c r="B6192" s="74" t="s">
        <v>622</v>
      </c>
      <c r="C6192" s="74" t="s">
        <v>448</v>
      </c>
    </row>
    <row r="6193" spans="1:3">
      <c r="A6193" s="250">
        <v>16368</v>
      </c>
      <c r="B6193" s="74" t="s">
        <v>622</v>
      </c>
      <c r="C6193" s="74" t="s">
        <v>448</v>
      </c>
    </row>
    <row r="6194" spans="1:3">
      <c r="A6194" s="250">
        <v>16369</v>
      </c>
      <c r="B6194" s="74" t="s">
        <v>622</v>
      </c>
      <c r="C6194" s="74" t="s">
        <v>448</v>
      </c>
    </row>
    <row r="6195" spans="1:3">
      <c r="A6195" s="250">
        <v>16370</v>
      </c>
      <c r="B6195" s="74" t="s">
        <v>4500</v>
      </c>
      <c r="C6195" s="74" t="s">
        <v>448</v>
      </c>
    </row>
    <row r="6196" spans="1:3">
      <c r="A6196" s="250">
        <v>16371</v>
      </c>
      <c r="B6196" s="74" t="s">
        <v>3216</v>
      </c>
      <c r="C6196" s="74" t="s">
        <v>448</v>
      </c>
    </row>
    <row r="6197" spans="1:3">
      <c r="A6197" s="250">
        <v>16372</v>
      </c>
      <c r="B6197" s="74" t="s">
        <v>4501</v>
      </c>
      <c r="C6197" s="74" t="s">
        <v>448</v>
      </c>
    </row>
    <row r="6198" spans="1:3">
      <c r="A6198" s="250">
        <v>16373</v>
      </c>
      <c r="B6198" s="74" t="s">
        <v>4502</v>
      </c>
      <c r="C6198" s="74" t="s">
        <v>448</v>
      </c>
    </row>
    <row r="6199" spans="1:3">
      <c r="A6199" s="250">
        <v>16374</v>
      </c>
      <c r="B6199" s="74" t="s">
        <v>4503</v>
      </c>
      <c r="C6199" s="74" t="s">
        <v>448</v>
      </c>
    </row>
    <row r="6200" spans="1:3">
      <c r="A6200" s="250">
        <v>16375</v>
      </c>
      <c r="B6200" s="74" t="s">
        <v>4504</v>
      </c>
      <c r="C6200" s="74" t="s">
        <v>448</v>
      </c>
    </row>
    <row r="6201" spans="1:3">
      <c r="A6201" s="250">
        <v>16388</v>
      </c>
      <c r="B6201" s="74" t="s">
        <v>4488</v>
      </c>
      <c r="C6201" s="74" t="s">
        <v>448</v>
      </c>
    </row>
    <row r="6202" spans="1:3">
      <c r="A6202" s="250">
        <v>16401</v>
      </c>
      <c r="B6202" s="74" t="s">
        <v>1093</v>
      </c>
      <c r="C6202" s="74" t="s">
        <v>448</v>
      </c>
    </row>
    <row r="6203" spans="1:3">
      <c r="A6203" s="250">
        <v>16402</v>
      </c>
      <c r="B6203" s="74" t="s">
        <v>4505</v>
      </c>
      <c r="C6203" s="74" t="s">
        <v>448</v>
      </c>
    </row>
    <row r="6204" spans="1:3">
      <c r="A6204" s="250">
        <v>16403</v>
      </c>
      <c r="B6204" s="74" t="s">
        <v>4506</v>
      </c>
      <c r="C6204" s="74" t="s">
        <v>448</v>
      </c>
    </row>
    <row r="6205" spans="1:3">
      <c r="A6205" s="250">
        <v>16404</v>
      </c>
      <c r="B6205" s="74" t="s">
        <v>1024</v>
      </c>
      <c r="C6205" s="74" t="s">
        <v>448</v>
      </c>
    </row>
    <row r="6206" spans="1:3">
      <c r="A6206" s="250">
        <v>16405</v>
      </c>
      <c r="B6206" s="74" t="s">
        <v>2376</v>
      </c>
      <c r="C6206" s="74" t="s">
        <v>448</v>
      </c>
    </row>
    <row r="6207" spans="1:3">
      <c r="A6207" s="250">
        <v>16406</v>
      </c>
      <c r="B6207" s="74" t="s">
        <v>4507</v>
      </c>
      <c r="C6207" s="74" t="s">
        <v>448</v>
      </c>
    </row>
    <row r="6208" spans="1:3">
      <c r="A6208" s="250">
        <v>16407</v>
      </c>
      <c r="B6208" s="74" t="s">
        <v>4508</v>
      </c>
      <c r="C6208" s="74" t="s">
        <v>448</v>
      </c>
    </row>
    <row r="6209" spans="1:3">
      <c r="A6209" s="250">
        <v>16410</v>
      </c>
      <c r="B6209" s="74" t="s">
        <v>4509</v>
      </c>
      <c r="C6209" s="74" t="s">
        <v>448</v>
      </c>
    </row>
    <row r="6210" spans="1:3">
      <c r="A6210" s="250">
        <v>16411</v>
      </c>
      <c r="B6210" s="74" t="s">
        <v>3451</v>
      </c>
      <c r="C6210" s="74" t="s">
        <v>448</v>
      </c>
    </row>
    <row r="6211" spans="1:3">
      <c r="A6211" s="250">
        <v>16412</v>
      </c>
      <c r="B6211" s="74" t="s">
        <v>4510</v>
      </c>
      <c r="C6211" s="74" t="s">
        <v>448</v>
      </c>
    </row>
    <row r="6212" spans="1:3">
      <c r="A6212" s="250">
        <v>16413</v>
      </c>
      <c r="B6212" s="74" t="s">
        <v>4511</v>
      </c>
      <c r="C6212" s="74" t="s">
        <v>448</v>
      </c>
    </row>
    <row r="6213" spans="1:3">
      <c r="A6213" s="250">
        <v>16415</v>
      </c>
      <c r="B6213" s="74" t="s">
        <v>2122</v>
      </c>
      <c r="C6213" s="74" t="s">
        <v>448</v>
      </c>
    </row>
    <row r="6214" spans="1:3">
      <c r="A6214" s="250">
        <v>16416</v>
      </c>
      <c r="B6214" s="74" t="s">
        <v>1695</v>
      </c>
      <c r="C6214" s="74" t="s">
        <v>448</v>
      </c>
    </row>
    <row r="6215" spans="1:3">
      <c r="A6215" s="250">
        <v>16417</v>
      </c>
      <c r="B6215" s="74" t="s">
        <v>4512</v>
      </c>
      <c r="C6215" s="74" t="s">
        <v>448</v>
      </c>
    </row>
    <row r="6216" spans="1:3">
      <c r="A6216" s="250">
        <v>16420</v>
      </c>
      <c r="B6216" s="74" t="s">
        <v>4513</v>
      </c>
      <c r="C6216" s="74" t="s">
        <v>448</v>
      </c>
    </row>
    <row r="6217" spans="1:3">
      <c r="A6217" s="250">
        <v>16421</v>
      </c>
      <c r="B6217" s="74" t="s">
        <v>4514</v>
      </c>
      <c r="C6217" s="74" t="s">
        <v>448</v>
      </c>
    </row>
    <row r="6218" spans="1:3">
      <c r="A6218" s="250">
        <v>16422</v>
      </c>
      <c r="B6218" s="74" t="s">
        <v>4515</v>
      </c>
      <c r="C6218" s="74" t="s">
        <v>448</v>
      </c>
    </row>
    <row r="6219" spans="1:3">
      <c r="A6219" s="250">
        <v>16423</v>
      </c>
      <c r="B6219" s="74" t="s">
        <v>4516</v>
      </c>
      <c r="C6219" s="74" t="s">
        <v>448</v>
      </c>
    </row>
    <row r="6220" spans="1:3">
      <c r="A6220" s="250">
        <v>16424</v>
      </c>
      <c r="B6220" s="74" t="s">
        <v>4517</v>
      </c>
      <c r="C6220" s="74" t="s">
        <v>448</v>
      </c>
    </row>
    <row r="6221" spans="1:3">
      <c r="A6221" s="250">
        <v>16426</v>
      </c>
      <c r="B6221" s="74" t="s">
        <v>4518</v>
      </c>
      <c r="C6221" s="74" t="s">
        <v>448</v>
      </c>
    </row>
    <row r="6222" spans="1:3">
      <c r="A6222" s="250">
        <v>16427</v>
      </c>
      <c r="B6222" s="74" t="s">
        <v>4519</v>
      </c>
      <c r="C6222" s="74" t="s">
        <v>448</v>
      </c>
    </row>
    <row r="6223" spans="1:3">
      <c r="A6223" s="250">
        <v>16428</v>
      </c>
      <c r="B6223" s="74" t="s">
        <v>4520</v>
      </c>
      <c r="C6223" s="74" t="s">
        <v>448</v>
      </c>
    </row>
    <row r="6224" spans="1:3">
      <c r="A6224" s="250">
        <v>16430</v>
      </c>
      <c r="B6224" s="74" t="s">
        <v>1766</v>
      </c>
      <c r="C6224" s="74" t="s">
        <v>448</v>
      </c>
    </row>
    <row r="6225" spans="1:3">
      <c r="A6225" s="250">
        <v>16432</v>
      </c>
      <c r="B6225" s="74" t="s">
        <v>4521</v>
      </c>
      <c r="C6225" s="74" t="s">
        <v>448</v>
      </c>
    </row>
    <row r="6226" spans="1:3">
      <c r="A6226" s="250">
        <v>16433</v>
      </c>
      <c r="B6226" s="74" t="s">
        <v>4522</v>
      </c>
      <c r="C6226" s="74" t="s">
        <v>448</v>
      </c>
    </row>
    <row r="6227" spans="1:3">
      <c r="A6227" s="250">
        <v>16434</v>
      </c>
      <c r="B6227" s="74" t="s">
        <v>4523</v>
      </c>
      <c r="C6227" s="74" t="s">
        <v>448</v>
      </c>
    </row>
    <row r="6228" spans="1:3">
      <c r="A6228" s="250">
        <v>16435</v>
      </c>
      <c r="B6228" s="74" t="s">
        <v>4524</v>
      </c>
      <c r="C6228" s="74" t="s">
        <v>448</v>
      </c>
    </row>
    <row r="6229" spans="1:3">
      <c r="A6229" s="250">
        <v>16436</v>
      </c>
      <c r="B6229" s="74" t="s">
        <v>4525</v>
      </c>
      <c r="C6229" s="74" t="s">
        <v>448</v>
      </c>
    </row>
    <row r="6230" spans="1:3">
      <c r="A6230" s="250">
        <v>16438</v>
      </c>
      <c r="B6230" s="74" t="s">
        <v>2166</v>
      </c>
      <c r="C6230" s="74" t="s">
        <v>448</v>
      </c>
    </row>
    <row r="6231" spans="1:3">
      <c r="A6231" s="250">
        <v>16440</v>
      </c>
      <c r="B6231" s="74" t="s">
        <v>4526</v>
      </c>
      <c r="C6231" s="74" t="s">
        <v>448</v>
      </c>
    </row>
    <row r="6232" spans="1:3">
      <c r="A6232" s="250">
        <v>16441</v>
      </c>
      <c r="B6232" s="74" t="s">
        <v>1420</v>
      </c>
      <c r="C6232" s="74" t="s">
        <v>448</v>
      </c>
    </row>
    <row r="6233" spans="1:3">
      <c r="A6233" s="250">
        <v>16442</v>
      </c>
      <c r="B6233" s="74" t="s">
        <v>4527</v>
      </c>
      <c r="C6233" s="74" t="s">
        <v>448</v>
      </c>
    </row>
    <row r="6234" spans="1:3">
      <c r="A6234" s="250">
        <v>16443</v>
      </c>
      <c r="B6234" s="74" t="s">
        <v>626</v>
      </c>
      <c r="C6234" s="74" t="s">
        <v>448</v>
      </c>
    </row>
    <row r="6235" spans="1:3">
      <c r="A6235" s="250">
        <v>16444</v>
      </c>
      <c r="B6235" s="74" t="s">
        <v>4510</v>
      </c>
      <c r="C6235" s="74" t="s">
        <v>448</v>
      </c>
    </row>
    <row r="6236" spans="1:3">
      <c r="A6236" s="250">
        <v>16475</v>
      </c>
      <c r="B6236" s="74" t="s">
        <v>1093</v>
      </c>
      <c r="C6236" s="74" t="s">
        <v>448</v>
      </c>
    </row>
    <row r="6237" spans="1:3">
      <c r="A6237" s="250">
        <v>16501</v>
      </c>
      <c r="B6237" s="74" t="s">
        <v>4528</v>
      </c>
      <c r="C6237" s="74" t="s">
        <v>448</v>
      </c>
    </row>
    <row r="6238" spans="1:3">
      <c r="A6238" s="250">
        <v>16502</v>
      </c>
      <c r="B6238" s="74" t="s">
        <v>4528</v>
      </c>
      <c r="C6238" s="74" t="s">
        <v>448</v>
      </c>
    </row>
    <row r="6239" spans="1:3">
      <c r="A6239" s="250">
        <v>16503</v>
      </c>
      <c r="B6239" s="74" t="s">
        <v>4528</v>
      </c>
      <c r="C6239" s="74" t="s">
        <v>448</v>
      </c>
    </row>
    <row r="6240" spans="1:3">
      <c r="A6240" s="250">
        <v>16504</v>
      </c>
      <c r="B6240" s="74" t="s">
        <v>4528</v>
      </c>
      <c r="C6240" s="74" t="s">
        <v>448</v>
      </c>
    </row>
    <row r="6241" spans="1:3">
      <c r="A6241" s="250">
        <v>16505</v>
      </c>
      <c r="B6241" s="74" t="s">
        <v>4528</v>
      </c>
      <c r="C6241" s="74" t="s">
        <v>448</v>
      </c>
    </row>
    <row r="6242" spans="1:3">
      <c r="A6242" s="250">
        <v>16506</v>
      </c>
      <c r="B6242" s="74" t="s">
        <v>4528</v>
      </c>
      <c r="C6242" s="74" t="s">
        <v>448</v>
      </c>
    </row>
    <row r="6243" spans="1:3">
      <c r="A6243" s="250">
        <v>16507</v>
      </c>
      <c r="B6243" s="74" t="s">
        <v>4528</v>
      </c>
      <c r="C6243" s="74" t="s">
        <v>448</v>
      </c>
    </row>
    <row r="6244" spans="1:3">
      <c r="A6244" s="250">
        <v>16508</v>
      </c>
      <c r="B6244" s="74" t="s">
        <v>4528</v>
      </c>
      <c r="C6244" s="74" t="s">
        <v>448</v>
      </c>
    </row>
    <row r="6245" spans="1:3">
      <c r="A6245" s="250">
        <v>16509</v>
      </c>
      <c r="B6245" s="74" t="s">
        <v>4528</v>
      </c>
      <c r="C6245" s="74" t="s">
        <v>448</v>
      </c>
    </row>
    <row r="6246" spans="1:3">
      <c r="A6246" s="250">
        <v>16510</v>
      </c>
      <c r="B6246" s="74" t="s">
        <v>4528</v>
      </c>
      <c r="C6246" s="74" t="s">
        <v>448</v>
      </c>
    </row>
    <row r="6247" spans="1:3">
      <c r="A6247" s="250">
        <v>16511</v>
      </c>
      <c r="B6247" s="74" t="s">
        <v>4528</v>
      </c>
      <c r="C6247" s="74" t="s">
        <v>448</v>
      </c>
    </row>
    <row r="6248" spans="1:3">
      <c r="A6248" s="250">
        <v>16512</v>
      </c>
      <c r="B6248" s="74" t="s">
        <v>4528</v>
      </c>
      <c r="C6248" s="74" t="s">
        <v>448</v>
      </c>
    </row>
    <row r="6249" spans="1:3">
      <c r="A6249" s="250">
        <v>16514</v>
      </c>
      <c r="B6249" s="74" t="s">
        <v>4528</v>
      </c>
      <c r="C6249" s="74" t="s">
        <v>448</v>
      </c>
    </row>
    <row r="6250" spans="1:3">
      <c r="A6250" s="250">
        <v>16515</v>
      </c>
      <c r="B6250" s="74" t="s">
        <v>4528</v>
      </c>
      <c r="C6250" s="74" t="s">
        <v>448</v>
      </c>
    </row>
    <row r="6251" spans="1:3">
      <c r="A6251" s="250">
        <v>16522</v>
      </c>
      <c r="B6251" s="74" t="s">
        <v>4528</v>
      </c>
      <c r="C6251" s="74" t="s">
        <v>448</v>
      </c>
    </row>
    <row r="6252" spans="1:3">
      <c r="A6252" s="250">
        <v>16530</v>
      </c>
      <c r="B6252" s="74" t="s">
        <v>4528</v>
      </c>
      <c r="C6252" s="74" t="s">
        <v>448</v>
      </c>
    </row>
    <row r="6253" spans="1:3">
      <c r="A6253" s="250">
        <v>16531</v>
      </c>
      <c r="B6253" s="74" t="s">
        <v>4528</v>
      </c>
      <c r="C6253" s="74" t="s">
        <v>448</v>
      </c>
    </row>
    <row r="6254" spans="1:3">
      <c r="A6254" s="250">
        <v>16532</v>
      </c>
      <c r="B6254" s="74" t="s">
        <v>4528</v>
      </c>
      <c r="C6254" s="74" t="s">
        <v>448</v>
      </c>
    </row>
    <row r="6255" spans="1:3">
      <c r="A6255" s="250">
        <v>16533</v>
      </c>
      <c r="B6255" s="74" t="s">
        <v>4528</v>
      </c>
      <c r="C6255" s="74" t="s">
        <v>448</v>
      </c>
    </row>
    <row r="6256" spans="1:3">
      <c r="A6256" s="250">
        <v>16534</v>
      </c>
      <c r="B6256" s="74" t="s">
        <v>4528</v>
      </c>
      <c r="C6256" s="74" t="s">
        <v>448</v>
      </c>
    </row>
    <row r="6257" spans="1:3">
      <c r="A6257" s="250">
        <v>16538</v>
      </c>
      <c r="B6257" s="74" t="s">
        <v>4528</v>
      </c>
      <c r="C6257" s="74" t="s">
        <v>448</v>
      </c>
    </row>
    <row r="6258" spans="1:3">
      <c r="A6258" s="250">
        <v>16541</v>
      </c>
      <c r="B6258" s="74" t="s">
        <v>4528</v>
      </c>
      <c r="C6258" s="74" t="s">
        <v>448</v>
      </c>
    </row>
    <row r="6259" spans="1:3">
      <c r="A6259" s="250">
        <v>16544</v>
      </c>
      <c r="B6259" s="74" t="s">
        <v>4528</v>
      </c>
      <c r="C6259" s="74" t="s">
        <v>448</v>
      </c>
    </row>
    <row r="6260" spans="1:3">
      <c r="A6260" s="250">
        <v>16546</v>
      </c>
      <c r="B6260" s="74" t="s">
        <v>4528</v>
      </c>
      <c r="C6260" s="74" t="s">
        <v>448</v>
      </c>
    </row>
    <row r="6261" spans="1:3">
      <c r="A6261" s="250">
        <v>16550</v>
      </c>
      <c r="B6261" s="74" t="s">
        <v>4528</v>
      </c>
      <c r="C6261" s="74" t="s">
        <v>448</v>
      </c>
    </row>
    <row r="6262" spans="1:3">
      <c r="A6262" s="250">
        <v>16553</v>
      </c>
      <c r="B6262" s="74" t="s">
        <v>4528</v>
      </c>
      <c r="C6262" s="74" t="s">
        <v>448</v>
      </c>
    </row>
    <row r="6263" spans="1:3">
      <c r="A6263" s="250">
        <v>16554</v>
      </c>
      <c r="B6263" s="74" t="s">
        <v>4528</v>
      </c>
      <c r="C6263" s="74" t="s">
        <v>448</v>
      </c>
    </row>
    <row r="6264" spans="1:3">
      <c r="A6264" s="250">
        <v>16563</v>
      </c>
      <c r="B6264" s="74" t="s">
        <v>4528</v>
      </c>
      <c r="C6264" s="74" t="s">
        <v>448</v>
      </c>
    </row>
    <row r="6265" spans="1:3">
      <c r="A6265" s="250">
        <v>16565</v>
      </c>
      <c r="B6265" s="74" t="s">
        <v>4528</v>
      </c>
      <c r="C6265" s="74" t="s">
        <v>448</v>
      </c>
    </row>
    <row r="6266" spans="1:3">
      <c r="A6266" s="250">
        <v>16601</v>
      </c>
      <c r="B6266" s="74" t="s">
        <v>4529</v>
      </c>
      <c r="C6266" s="74" t="s">
        <v>448</v>
      </c>
    </row>
    <row r="6267" spans="1:3">
      <c r="A6267" s="250">
        <v>16602</v>
      </c>
      <c r="B6267" s="74" t="s">
        <v>4529</v>
      </c>
      <c r="C6267" s="74" t="s">
        <v>448</v>
      </c>
    </row>
    <row r="6268" spans="1:3">
      <c r="A6268" s="250">
        <v>16603</v>
      </c>
      <c r="B6268" s="74" t="s">
        <v>4529</v>
      </c>
      <c r="C6268" s="74" t="s">
        <v>448</v>
      </c>
    </row>
    <row r="6269" spans="1:3">
      <c r="A6269" s="250">
        <v>16611</v>
      </c>
      <c r="B6269" s="74" t="s">
        <v>4530</v>
      </c>
      <c r="C6269" s="74" t="s">
        <v>448</v>
      </c>
    </row>
    <row r="6270" spans="1:3">
      <c r="A6270" s="250">
        <v>16613</v>
      </c>
      <c r="B6270" s="74" t="s">
        <v>3843</v>
      </c>
      <c r="C6270" s="74" t="s">
        <v>448</v>
      </c>
    </row>
    <row r="6271" spans="1:3">
      <c r="A6271" s="250">
        <v>16616</v>
      </c>
      <c r="B6271" s="74" t="s">
        <v>4531</v>
      </c>
      <c r="C6271" s="74" t="s">
        <v>448</v>
      </c>
    </row>
    <row r="6272" spans="1:3">
      <c r="A6272" s="250">
        <v>16617</v>
      </c>
      <c r="B6272" s="74" t="s">
        <v>4532</v>
      </c>
      <c r="C6272" s="74" t="s">
        <v>448</v>
      </c>
    </row>
    <row r="6273" spans="1:3">
      <c r="A6273" s="250">
        <v>16619</v>
      </c>
      <c r="B6273" s="74" t="s">
        <v>4533</v>
      </c>
      <c r="C6273" s="74" t="s">
        <v>448</v>
      </c>
    </row>
    <row r="6274" spans="1:3">
      <c r="A6274" s="250">
        <v>16620</v>
      </c>
      <c r="B6274" s="74" t="s">
        <v>4534</v>
      </c>
      <c r="C6274" s="74" t="s">
        <v>448</v>
      </c>
    </row>
    <row r="6275" spans="1:3">
      <c r="A6275" s="250">
        <v>16621</v>
      </c>
      <c r="B6275" s="74" t="s">
        <v>4535</v>
      </c>
      <c r="C6275" s="74" t="s">
        <v>448</v>
      </c>
    </row>
    <row r="6276" spans="1:3">
      <c r="A6276" s="250">
        <v>16622</v>
      </c>
      <c r="B6276" s="74" t="s">
        <v>4536</v>
      </c>
      <c r="C6276" s="74" t="s">
        <v>448</v>
      </c>
    </row>
    <row r="6277" spans="1:3">
      <c r="A6277" s="250">
        <v>16623</v>
      </c>
      <c r="B6277" s="74" t="s">
        <v>3440</v>
      </c>
      <c r="C6277" s="74" t="s">
        <v>448</v>
      </c>
    </row>
    <row r="6278" spans="1:3">
      <c r="A6278" s="250">
        <v>16624</v>
      </c>
      <c r="B6278" s="74" t="s">
        <v>4537</v>
      </c>
      <c r="C6278" s="74" t="s">
        <v>448</v>
      </c>
    </row>
    <row r="6279" spans="1:3">
      <c r="A6279" s="250">
        <v>16625</v>
      </c>
      <c r="B6279" s="74" t="s">
        <v>4538</v>
      </c>
      <c r="C6279" s="74" t="s">
        <v>448</v>
      </c>
    </row>
    <row r="6280" spans="1:3">
      <c r="A6280" s="250">
        <v>16627</v>
      </c>
      <c r="B6280" s="74" t="s">
        <v>4539</v>
      </c>
      <c r="C6280" s="74" t="s">
        <v>448</v>
      </c>
    </row>
    <row r="6281" spans="1:3">
      <c r="A6281" s="250">
        <v>16629</v>
      </c>
      <c r="B6281" s="74" t="s">
        <v>4540</v>
      </c>
      <c r="C6281" s="74" t="s">
        <v>448</v>
      </c>
    </row>
    <row r="6282" spans="1:3">
      <c r="A6282" s="250">
        <v>16630</v>
      </c>
      <c r="B6282" s="74" t="s">
        <v>4541</v>
      </c>
      <c r="C6282" s="74" t="s">
        <v>448</v>
      </c>
    </row>
    <row r="6283" spans="1:3">
      <c r="A6283" s="250">
        <v>16631</v>
      </c>
      <c r="B6283" s="74" t="s">
        <v>4542</v>
      </c>
      <c r="C6283" s="74" t="s">
        <v>448</v>
      </c>
    </row>
    <row r="6284" spans="1:3">
      <c r="A6284" s="250">
        <v>16633</v>
      </c>
      <c r="B6284" s="74" t="s">
        <v>4543</v>
      </c>
      <c r="C6284" s="74" t="s">
        <v>448</v>
      </c>
    </row>
    <row r="6285" spans="1:3">
      <c r="A6285" s="250">
        <v>16634</v>
      </c>
      <c r="B6285" s="74" t="s">
        <v>768</v>
      </c>
      <c r="C6285" s="74" t="s">
        <v>448</v>
      </c>
    </row>
    <row r="6286" spans="1:3">
      <c r="A6286" s="250">
        <v>16635</v>
      </c>
      <c r="B6286" s="74" t="s">
        <v>4544</v>
      </c>
      <c r="C6286" s="74" t="s">
        <v>448</v>
      </c>
    </row>
    <row r="6287" spans="1:3">
      <c r="A6287" s="250">
        <v>16636</v>
      </c>
      <c r="B6287" s="74" t="s">
        <v>4545</v>
      </c>
      <c r="C6287" s="74" t="s">
        <v>448</v>
      </c>
    </row>
    <row r="6288" spans="1:3">
      <c r="A6288" s="250">
        <v>16637</v>
      </c>
      <c r="B6288" s="74" t="s">
        <v>4546</v>
      </c>
      <c r="C6288" s="74" t="s">
        <v>448</v>
      </c>
    </row>
    <row r="6289" spans="1:3">
      <c r="A6289" s="250">
        <v>16638</v>
      </c>
      <c r="B6289" s="74" t="s">
        <v>4547</v>
      </c>
      <c r="C6289" s="74" t="s">
        <v>448</v>
      </c>
    </row>
    <row r="6290" spans="1:3">
      <c r="A6290" s="250">
        <v>16639</v>
      </c>
      <c r="B6290" s="74" t="s">
        <v>4548</v>
      </c>
      <c r="C6290" s="74" t="s">
        <v>448</v>
      </c>
    </row>
    <row r="6291" spans="1:3">
      <c r="A6291" s="250">
        <v>16640</v>
      </c>
      <c r="B6291" s="74" t="s">
        <v>4549</v>
      </c>
      <c r="C6291" s="74" t="s">
        <v>448</v>
      </c>
    </row>
    <row r="6292" spans="1:3">
      <c r="A6292" s="250">
        <v>16641</v>
      </c>
      <c r="B6292" s="74" t="s">
        <v>4550</v>
      </c>
      <c r="C6292" s="74" t="s">
        <v>448</v>
      </c>
    </row>
    <row r="6293" spans="1:3">
      <c r="A6293" s="250">
        <v>16644</v>
      </c>
      <c r="B6293" s="74" t="s">
        <v>4551</v>
      </c>
      <c r="C6293" s="74" t="s">
        <v>448</v>
      </c>
    </row>
    <row r="6294" spans="1:3">
      <c r="A6294" s="250">
        <v>16645</v>
      </c>
      <c r="B6294" s="74" t="s">
        <v>4552</v>
      </c>
      <c r="C6294" s="74" t="s">
        <v>448</v>
      </c>
    </row>
    <row r="6295" spans="1:3">
      <c r="A6295" s="250">
        <v>16646</v>
      </c>
      <c r="B6295" s="74" t="s">
        <v>3368</v>
      </c>
      <c r="C6295" s="74" t="s">
        <v>448</v>
      </c>
    </row>
    <row r="6296" spans="1:3">
      <c r="A6296" s="250">
        <v>16647</v>
      </c>
      <c r="B6296" s="74" t="s">
        <v>4553</v>
      </c>
      <c r="C6296" s="74" t="s">
        <v>448</v>
      </c>
    </row>
    <row r="6297" spans="1:3">
      <c r="A6297" s="250">
        <v>16648</v>
      </c>
      <c r="B6297" s="74" t="s">
        <v>4554</v>
      </c>
      <c r="C6297" s="74" t="s">
        <v>448</v>
      </c>
    </row>
    <row r="6298" spans="1:3">
      <c r="A6298" s="250">
        <v>16650</v>
      </c>
      <c r="B6298" s="74" t="s">
        <v>2516</v>
      </c>
      <c r="C6298" s="74" t="s">
        <v>448</v>
      </c>
    </row>
    <row r="6299" spans="1:3">
      <c r="A6299" s="250">
        <v>16651</v>
      </c>
      <c r="B6299" s="74" t="s">
        <v>4555</v>
      </c>
      <c r="C6299" s="74" t="s">
        <v>448</v>
      </c>
    </row>
    <row r="6300" spans="1:3">
      <c r="A6300" s="250">
        <v>16652</v>
      </c>
      <c r="B6300" s="74" t="s">
        <v>4556</v>
      </c>
      <c r="C6300" s="74" t="s">
        <v>448</v>
      </c>
    </row>
    <row r="6301" spans="1:3">
      <c r="A6301" s="250">
        <v>16654</v>
      </c>
      <c r="B6301" s="74" t="s">
        <v>4556</v>
      </c>
      <c r="C6301" s="74" t="s">
        <v>448</v>
      </c>
    </row>
    <row r="6302" spans="1:3">
      <c r="A6302" s="250">
        <v>16655</v>
      </c>
      <c r="B6302" s="74" t="s">
        <v>4557</v>
      </c>
      <c r="C6302" s="74" t="s">
        <v>448</v>
      </c>
    </row>
    <row r="6303" spans="1:3">
      <c r="A6303" s="250">
        <v>16656</v>
      </c>
      <c r="B6303" s="74" t="s">
        <v>4558</v>
      </c>
      <c r="C6303" s="74" t="s">
        <v>448</v>
      </c>
    </row>
    <row r="6304" spans="1:3">
      <c r="A6304" s="250">
        <v>16657</v>
      </c>
      <c r="B6304" s="74" t="s">
        <v>4559</v>
      </c>
      <c r="C6304" s="74" t="s">
        <v>448</v>
      </c>
    </row>
    <row r="6305" spans="1:3">
      <c r="A6305" s="250">
        <v>16659</v>
      </c>
      <c r="B6305" s="74" t="s">
        <v>4560</v>
      </c>
      <c r="C6305" s="74" t="s">
        <v>448</v>
      </c>
    </row>
    <row r="6306" spans="1:3">
      <c r="A6306" s="250">
        <v>16660</v>
      </c>
      <c r="B6306" s="74" t="s">
        <v>4561</v>
      </c>
      <c r="C6306" s="74" t="s">
        <v>448</v>
      </c>
    </row>
    <row r="6307" spans="1:3">
      <c r="A6307" s="250">
        <v>16661</v>
      </c>
      <c r="B6307" s="74" t="s">
        <v>4562</v>
      </c>
      <c r="C6307" s="74" t="s">
        <v>448</v>
      </c>
    </row>
    <row r="6308" spans="1:3">
      <c r="A6308" s="250">
        <v>16662</v>
      </c>
      <c r="B6308" s="74" t="s">
        <v>3476</v>
      </c>
      <c r="C6308" s="74" t="s">
        <v>448</v>
      </c>
    </row>
    <row r="6309" spans="1:3">
      <c r="A6309" s="250">
        <v>16663</v>
      </c>
      <c r="B6309" s="74" t="s">
        <v>4563</v>
      </c>
      <c r="C6309" s="74" t="s">
        <v>448</v>
      </c>
    </row>
    <row r="6310" spans="1:3">
      <c r="A6310" s="250">
        <v>16664</v>
      </c>
      <c r="B6310" s="74" t="s">
        <v>4564</v>
      </c>
      <c r="C6310" s="74" t="s">
        <v>448</v>
      </c>
    </row>
    <row r="6311" spans="1:3">
      <c r="A6311" s="250">
        <v>16665</v>
      </c>
      <c r="B6311" s="74" t="s">
        <v>1453</v>
      </c>
      <c r="C6311" s="74" t="s">
        <v>448</v>
      </c>
    </row>
    <row r="6312" spans="1:3">
      <c r="A6312" s="250">
        <v>16666</v>
      </c>
      <c r="B6312" s="74" t="s">
        <v>4565</v>
      </c>
      <c r="C6312" s="74" t="s">
        <v>448</v>
      </c>
    </row>
    <row r="6313" spans="1:3">
      <c r="A6313" s="250">
        <v>16667</v>
      </c>
      <c r="B6313" s="74" t="s">
        <v>4566</v>
      </c>
      <c r="C6313" s="74" t="s">
        <v>448</v>
      </c>
    </row>
    <row r="6314" spans="1:3">
      <c r="A6314" s="250">
        <v>16668</v>
      </c>
      <c r="B6314" s="74" t="s">
        <v>4567</v>
      </c>
      <c r="C6314" s="74" t="s">
        <v>448</v>
      </c>
    </row>
    <row r="6315" spans="1:3">
      <c r="A6315" s="250">
        <v>16669</v>
      </c>
      <c r="B6315" s="74" t="s">
        <v>2988</v>
      </c>
      <c r="C6315" s="74" t="s">
        <v>448</v>
      </c>
    </row>
    <row r="6316" spans="1:3">
      <c r="A6316" s="250">
        <v>16670</v>
      </c>
      <c r="B6316" s="74" t="s">
        <v>4568</v>
      </c>
      <c r="C6316" s="74" t="s">
        <v>448</v>
      </c>
    </row>
    <row r="6317" spans="1:3">
      <c r="A6317" s="250">
        <v>16671</v>
      </c>
      <c r="B6317" s="74" t="s">
        <v>4569</v>
      </c>
      <c r="C6317" s="74" t="s">
        <v>448</v>
      </c>
    </row>
    <row r="6318" spans="1:3">
      <c r="A6318" s="250">
        <v>16672</v>
      </c>
      <c r="B6318" s="74" t="s">
        <v>4570</v>
      </c>
      <c r="C6318" s="74" t="s">
        <v>448</v>
      </c>
    </row>
    <row r="6319" spans="1:3">
      <c r="A6319" s="250">
        <v>16673</v>
      </c>
      <c r="B6319" s="74" t="s">
        <v>4571</v>
      </c>
      <c r="C6319" s="74" t="s">
        <v>448</v>
      </c>
    </row>
    <row r="6320" spans="1:3">
      <c r="A6320" s="250">
        <v>16674</v>
      </c>
      <c r="B6320" s="74" t="s">
        <v>4572</v>
      </c>
      <c r="C6320" s="74" t="s">
        <v>448</v>
      </c>
    </row>
    <row r="6321" spans="1:3">
      <c r="A6321" s="250">
        <v>16675</v>
      </c>
      <c r="B6321" s="74" t="s">
        <v>4573</v>
      </c>
      <c r="C6321" s="74" t="s">
        <v>448</v>
      </c>
    </row>
    <row r="6322" spans="1:3">
      <c r="A6322" s="250">
        <v>16677</v>
      </c>
      <c r="B6322" s="74" t="s">
        <v>4574</v>
      </c>
      <c r="C6322" s="74" t="s">
        <v>448</v>
      </c>
    </row>
    <row r="6323" spans="1:3">
      <c r="A6323" s="250">
        <v>16678</v>
      </c>
      <c r="B6323" s="74" t="s">
        <v>4575</v>
      </c>
      <c r="C6323" s="74" t="s">
        <v>448</v>
      </c>
    </row>
    <row r="6324" spans="1:3">
      <c r="A6324" s="250">
        <v>16679</v>
      </c>
      <c r="B6324" s="74" t="s">
        <v>4576</v>
      </c>
      <c r="C6324" s="74" t="s">
        <v>448</v>
      </c>
    </row>
    <row r="6325" spans="1:3">
      <c r="A6325" s="250">
        <v>16680</v>
      </c>
      <c r="B6325" s="74" t="s">
        <v>4577</v>
      </c>
      <c r="C6325" s="74" t="s">
        <v>448</v>
      </c>
    </row>
    <row r="6326" spans="1:3">
      <c r="A6326" s="250">
        <v>16681</v>
      </c>
      <c r="B6326" s="74" t="s">
        <v>4578</v>
      </c>
      <c r="C6326" s="74" t="s">
        <v>448</v>
      </c>
    </row>
    <row r="6327" spans="1:3">
      <c r="A6327" s="250">
        <v>16682</v>
      </c>
      <c r="B6327" s="74" t="s">
        <v>4579</v>
      </c>
      <c r="C6327" s="74" t="s">
        <v>448</v>
      </c>
    </row>
    <row r="6328" spans="1:3">
      <c r="A6328" s="250">
        <v>16683</v>
      </c>
      <c r="B6328" s="74" t="s">
        <v>4580</v>
      </c>
      <c r="C6328" s="74" t="s">
        <v>448</v>
      </c>
    </row>
    <row r="6329" spans="1:3">
      <c r="A6329" s="250">
        <v>16684</v>
      </c>
      <c r="B6329" s="74" t="s">
        <v>4581</v>
      </c>
      <c r="C6329" s="74" t="s">
        <v>448</v>
      </c>
    </row>
    <row r="6330" spans="1:3">
      <c r="A6330" s="250">
        <v>16685</v>
      </c>
      <c r="B6330" s="74" t="s">
        <v>4582</v>
      </c>
      <c r="C6330" s="74" t="s">
        <v>448</v>
      </c>
    </row>
    <row r="6331" spans="1:3">
      <c r="A6331" s="250">
        <v>16686</v>
      </c>
      <c r="B6331" s="74" t="s">
        <v>3947</v>
      </c>
      <c r="C6331" s="74" t="s">
        <v>448</v>
      </c>
    </row>
    <row r="6332" spans="1:3">
      <c r="A6332" s="250">
        <v>16689</v>
      </c>
      <c r="B6332" s="74" t="s">
        <v>4583</v>
      </c>
      <c r="C6332" s="74" t="s">
        <v>448</v>
      </c>
    </row>
    <row r="6333" spans="1:3">
      <c r="A6333" s="250">
        <v>16691</v>
      </c>
      <c r="B6333" s="74" t="s">
        <v>4584</v>
      </c>
      <c r="C6333" s="74" t="s">
        <v>448</v>
      </c>
    </row>
    <row r="6334" spans="1:3">
      <c r="A6334" s="250">
        <v>16692</v>
      </c>
      <c r="B6334" s="74" t="s">
        <v>4585</v>
      </c>
      <c r="C6334" s="74" t="s">
        <v>448</v>
      </c>
    </row>
    <row r="6335" spans="1:3">
      <c r="A6335" s="250">
        <v>16693</v>
      </c>
      <c r="B6335" s="74" t="s">
        <v>631</v>
      </c>
      <c r="C6335" s="74" t="s">
        <v>448</v>
      </c>
    </row>
    <row r="6336" spans="1:3">
      <c r="A6336" s="250">
        <v>16694</v>
      </c>
      <c r="B6336" s="74" t="s">
        <v>4586</v>
      </c>
      <c r="C6336" s="74" t="s">
        <v>448</v>
      </c>
    </row>
    <row r="6337" spans="1:3">
      <c r="A6337" s="250">
        <v>16695</v>
      </c>
      <c r="B6337" s="74" t="s">
        <v>1861</v>
      </c>
      <c r="C6337" s="74" t="s">
        <v>448</v>
      </c>
    </row>
    <row r="6338" spans="1:3">
      <c r="A6338" s="250">
        <v>16698</v>
      </c>
      <c r="B6338" s="74" t="s">
        <v>4555</v>
      </c>
      <c r="C6338" s="74" t="s">
        <v>448</v>
      </c>
    </row>
    <row r="6339" spans="1:3">
      <c r="A6339" s="250">
        <v>16699</v>
      </c>
      <c r="B6339" s="74" t="s">
        <v>4541</v>
      </c>
      <c r="C6339" s="74" t="s">
        <v>448</v>
      </c>
    </row>
    <row r="6340" spans="1:3">
      <c r="A6340" s="250">
        <v>16701</v>
      </c>
      <c r="B6340" s="74" t="s">
        <v>1097</v>
      </c>
      <c r="C6340" s="74" t="s">
        <v>448</v>
      </c>
    </row>
    <row r="6341" spans="1:3">
      <c r="A6341" s="250">
        <v>16720</v>
      </c>
      <c r="B6341" s="74" t="s">
        <v>4587</v>
      </c>
      <c r="C6341" s="74" t="s">
        <v>448</v>
      </c>
    </row>
    <row r="6342" spans="1:3">
      <c r="A6342" s="250">
        <v>16724</v>
      </c>
      <c r="B6342" s="74" t="s">
        <v>4588</v>
      </c>
      <c r="C6342" s="74" t="s">
        <v>448</v>
      </c>
    </row>
    <row r="6343" spans="1:3">
      <c r="A6343" s="250">
        <v>16725</v>
      </c>
      <c r="B6343" s="74" t="s">
        <v>4589</v>
      </c>
      <c r="C6343" s="74" t="s">
        <v>448</v>
      </c>
    </row>
    <row r="6344" spans="1:3">
      <c r="A6344" s="250">
        <v>16726</v>
      </c>
      <c r="B6344" s="74" t="s">
        <v>4590</v>
      </c>
      <c r="C6344" s="74" t="s">
        <v>448</v>
      </c>
    </row>
    <row r="6345" spans="1:3">
      <c r="A6345" s="250">
        <v>16727</v>
      </c>
      <c r="B6345" s="74" t="s">
        <v>4591</v>
      </c>
      <c r="C6345" s="74" t="s">
        <v>448</v>
      </c>
    </row>
    <row r="6346" spans="1:3">
      <c r="A6346" s="250">
        <v>16728</v>
      </c>
      <c r="B6346" s="74" t="s">
        <v>4592</v>
      </c>
      <c r="C6346" s="74" t="s">
        <v>448</v>
      </c>
    </row>
    <row r="6347" spans="1:3">
      <c r="A6347" s="250">
        <v>16729</v>
      </c>
      <c r="B6347" s="74" t="s">
        <v>4593</v>
      </c>
      <c r="C6347" s="74" t="s">
        <v>448</v>
      </c>
    </row>
    <row r="6348" spans="1:3">
      <c r="A6348" s="250">
        <v>16730</v>
      </c>
      <c r="B6348" s="74" t="s">
        <v>4594</v>
      </c>
      <c r="C6348" s="74" t="s">
        <v>448</v>
      </c>
    </row>
    <row r="6349" spans="1:3">
      <c r="A6349" s="250">
        <v>16731</v>
      </c>
      <c r="B6349" s="74" t="s">
        <v>3171</v>
      </c>
      <c r="C6349" s="74" t="s">
        <v>448</v>
      </c>
    </row>
    <row r="6350" spans="1:3">
      <c r="A6350" s="250">
        <v>16732</v>
      </c>
      <c r="B6350" s="74" t="s">
        <v>4595</v>
      </c>
      <c r="C6350" s="74" t="s">
        <v>448</v>
      </c>
    </row>
    <row r="6351" spans="1:3">
      <c r="A6351" s="250">
        <v>16733</v>
      </c>
      <c r="B6351" s="74" t="s">
        <v>4596</v>
      </c>
      <c r="C6351" s="74" t="s">
        <v>448</v>
      </c>
    </row>
    <row r="6352" spans="1:3">
      <c r="A6352" s="250">
        <v>16734</v>
      </c>
      <c r="B6352" s="74" t="s">
        <v>4597</v>
      </c>
      <c r="C6352" s="74" t="s">
        <v>448</v>
      </c>
    </row>
    <row r="6353" spans="1:3">
      <c r="A6353" s="250">
        <v>16735</v>
      </c>
      <c r="B6353" s="74" t="s">
        <v>4598</v>
      </c>
      <c r="C6353" s="74" t="s">
        <v>448</v>
      </c>
    </row>
    <row r="6354" spans="1:3">
      <c r="A6354" s="250">
        <v>16738</v>
      </c>
      <c r="B6354" s="74" t="s">
        <v>4599</v>
      </c>
      <c r="C6354" s="74" t="s">
        <v>448</v>
      </c>
    </row>
    <row r="6355" spans="1:3">
      <c r="A6355" s="250">
        <v>16740</v>
      </c>
      <c r="B6355" s="74" t="s">
        <v>4600</v>
      </c>
      <c r="C6355" s="74" t="s">
        <v>448</v>
      </c>
    </row>
    <row r="6356" spans="1:3">
      <c r="A6356" s="250">
        <v>16743</v>
      </c>
      <c r="B6356" s="74" t="s">
        <v>4601</v>
      </c>
      <c r="C6356" s="74" t="s">
        <v>448</v>
      </c>
    </row>
    <row r="6357" spans="1:3">
      <c r="A6357" s="250">
        <v>16744</v>
      </c>
      <c r="B6357" s="74" t="s">
        <v>4602</v>
      </c>
      <c r="C6357" s="74" t="s">
        <v>448</v>
      </c>
    </row>
    <row r="6358" spans="1:3">
      <c r="A6358" s="250">
        <v>16745</v>
      </c>
      <c r="B6358" s="74" t="s">
        <v>4603</v>
      </c>
      <c r="C6358" s="74" t="s">
        <v>448</v>
      </c>
    </row>
    <row r="6359" spans="1:3">
      <c r="A6359" s="250">
        <v>16746</v>
      </c>
      <c r="B6359" s="74" t="s">
        <v>4604</v>
      </c>
      <c r="C6359" s="74" t="s">
        <v>448</v>
      </c>
    </row>
    <row r="6360" spans="1:3">
      <c r="A6360" s="250">
        <v>16748</v>
      </c>
      <c r="B6360" s="74" t="s">
        <v>4605</v>
      </c>
      <c r="C6360" s="74" t="s">
        <v>448</v>
      </c>
    </row>
    <row r="6361" spans="1:3">
      <c r="A6361" s="250">
        <v>16749</v>
      </c>
      <c r="B6361" s="74" t="s">
        <v>4606</v>
      </c>
      <c r="C6361" s="74" t="s">
        <v>448</v>
      </c>
    </row>
    <row r="6362" spans="1:3">
      <c r="A6362" s="250">
        <v>16750</v>
      </c>
      <c r="B6362" s="74" t="s">
        <v>4607</v>
      </c>
      <c r="C6362" s="74" t="s">
        <v>448</v>
      </c>
    </row>
    <row r="6363" spans="1:3">
      <c r="A6363" s="250">
        <v>16801</v>
      </c>
      <c r="B6363" s="74" t="s">
        <v>4608</v>
      </c>
      <c r="C6363" s="74" t="s">
        <v>448</v>
      </c>
    </row>
    <row r="6364" spans="1:3">
      <c r="A6364" s="250">
        <v>16802</v>
      </c>
      <c r="B6364" s="74" t="s">
        <v>4609</v>
      </c>
      <c r="C6364" s="74" t="s">
        <v>448</v>
      </c>
    </row>
    <row r="6365" spans="1:3">
      <c r="A6365" s="250">
        <v>16803</v>
      </c>
      <c r="B6365" s="74" t="s">
        <v>4608</v>
      </c>
      <c r="C6365" s="74" t="s">
        <v>448</v>
      </c>
    </row>
    <row r="6366" spans="1:3">
      <c r="A6366" s="250">
        <v>16804</v>
      </c>
      <c r="B6366" s="74" t="s">
        <v>4608</v>
      </c>
      <c r="C6366" s="74" t="s">
        <v>448</v>
      </c>
    </row>
    <row r="6367" spans="1:3">
      <c r="A6367" s="250">
        <v>16805</v>
      </c>
      <c r="B6367" s="74" t="s">
        <v>4608</v>
      </c>
      <c r="C6367" s="74" t="s">
        <v>448</v>
      </c>
    </row>
    <row r="6368" spans="1:3">
      <c r="A6368" s="250">
        <v>16820</v>
      </c>
      <c r="B6368" s="74" t="s">
        <v>4610</v>
      </c>
      <c r="C6368" s="74" t="s">
        <v>448</v>
      </c>
    </row>
    <row r="6369" spans="1:3">
      <c r="A6369" s="250">
        <v>16821</v>
      </c>
      <c r="B6369" s="74" t="s">
        <v>4611</v>
      </c>
      <c r="C6369" s="74" t="s">
        <v>448</v>
      </c>
    </row>
    <row r="6370" spans="1:3">
      <c r="A6370" s="250">
        <v>16822</v>
      </c>
      <c r="B6370" s="74" t="s">
        <v>4612</v>
      </c>
      <c r="C6370" s="74" t="s">
        <v>448</v>
      </c>
    </row>
    <row r="6371" spans="1:3">
      <c r="A6371" s="250">
        <v>16823</v>
      </c>
      <c r="B6371" s="74" t="s">
        <v>4613</v>
      </c>
      <c r="C6371" s="74" t="s">
        <v>448</v>
      </c>
    </row>
    <row r="6372" spans="1:3">
      <c r="A6372" s="250">
        <v>16825</v>
      </c>
      <c r="B6372" s="74" t="s">
        <v>4614</v>
      </c>
      <c r="C6372" s="74" t="s">
        <v>448</v>
      </c>
    </row>
    <row r="6373" spans="1:3">
      <c r="A6373" s="250">
        <v>16826</v>
      </c>
      <c r="B6373" s="74" t="s">
        <v>4615</v>
      </c>
      <c r="C6373" s="74" t="s">
        <v>448</v>
      </c>
    </row>
    <row r="6374" spans="1:3">
      <c r="A6374" s="250">
        <v>16827</v>
      </c>
      <c r="B6374" s="74" t="s">
        <v>4616</v>
      </c>
      <c r="C6374" s="74" t="s">
        <v>448</v>
      </c>
    </row>
    <row r="6375" spans="1:3">
      <c r="A6375" s="250">
        <v>16828</v>
      </c>
      <c r="B6375" s="74" t="s">
        <v>4617</v>
      </c>
      <c r="C6375" s="74" t="s">
        <v>448</v>
      </c>
    </row>
    <row r="6376" spans="1:3">
      <c r="A6376" s="250">
        <v>16829</v>
      </c>
      <c r="B6376" s="74" t="s">
        <v>3683</v>
      </c>
      <c r="C6376" s="74" t="s">
        <v>448</v>
      </c>
    </row>
    <row r="6377" spans="1:3">
      <c r="A6377" s="250">
        <v>16830</v>
      </c>
      <c r="B6377" s="74" t="s">
        <v>4618</v>
      </c>
      <c r="C6377" s="74" t="s">
        <v>448</v>
      </c>
    </row>
    <row r="6378" spans="1:3">
      <c r="A6378" s="250">
        <v>16832</v>
      </c>
      <c r="B6378" s="74" t="s">
        <v>4619</v>
      </c>
      <c r="C6378" s="74" t="s">
        <v>448</v>
      </c>
    </row>
    <row r="6379" spans="1:3">
      <c r="A6379" s="250">
        <v>16833</v>
      </c>
      <c r="B6379" s="74" t="s">
        <v>4620</v>
      </c>
      <c r="C6379" s="74" t="s">
        <v>448</v>
      </c>
    </row>
    <row r="6380" spans="1:3">
      <c r="A6380" s="250">
        <v>16834</v>
      </c>
      <c r="B6380" s="74" t="s">
        <v>4621</v>
      </c>
      <c r="C6380" s="74" t="s">
        <v>448</v>
      </c>
    </row>
    <row r="6381" spans="1:3">
      <c r="A6381" s="250">
        <v>16835</v>
      </c>
      <c r="B6381" s="74" t="s">
        <v>4622</v>
      </c>
      <c r="C6381" s="74" t="s">
        <v>448</v>
      </c>
    </row>
    <row r="6382" spans="1:3">
      <c r="A6382" s="250">
        <v>16836</v>
      </c>
      <c r="B6382" s="74" t="s">
        <v>1632</v>
      </c>
      <c r="C6382" s="74" t="s">
        <v>448</v>
      </c>
    </row>
    <row r="6383" spans="1:3">
      <c r="A6383" s="250">
        <v>16837</v>
      </c>
      <c r="B6383" s="74" t="s">
        <v>4623</v>
      </c>
      <c r="C6383" s="74" t="s">
        <v>448</v>
      </c>
    </row>
    <row r="6384" spans="1:3">
      <c r="A6384" s="250">
        <v>16838</v>
      </c>
      <c r="B6384" s="74" t="s">
        <v>4624</v>
      </c>
      <c r="C6384" s="74" t="s">
        <v>448</v>
      </c>
    </row>
    <row r="6385" spans="1:3">
      <c r="A6385" s="250">
        <v>16839</v>
      </c>
      <c r="B6385" s="74" t="s">
        <v>4625</v>
      </c>
      <c r="C6385" s="74" t="s">
        <v>448</v>
      </c>
    </row>
    <row r="6386" spans="1:3">
      <c r="A6386" s="250">
        <v>16840</v>
      </c>
      <c r="B6386" s="74" t="s">
        <v>4626</v>
      </c>
      <c r="C6386" s="74" t="s">
        <v>448</v>
      </c>
    </row>
    <row r="6387" spans="1:3">
      <c r="A6387" s="250">
        <v>16841</v>
      </c>
      <c r="B6387" s="74" t="s">
        <v>4627</v>
      </c>
      <c r="C6387" s="74" t="s">
        <v>448</v>
      </c>
    </row>
    <row r="6388" spans="1:3">
      <c r="A6388" s="250">
        <v>16843</v>
      </c>
      <c r="B6388" s="74" t="s">
        <v>4628</v>
      </c>
      <c r="C6388" s="74" t="s">
        <v>448</v>
      </c>
    </row>
    <row r="6389" spans="1:3">
      <c r="A6389" s="250">
        <v>16844</v>
      </c>
      <c r="B6389" s="74" t="s">
        <v>4629</v>
      </c>
      <c r="C6389" s="74" t="s">
        <v>448</v>
      </c>
    </row>
    <row r="6390" spans="1:3">
      <c r="A6390" s="250">
        <v>16845</v>
      </c>
      <c r="B6390" s="74" t="s">
        <v>4630</v>
      </c>
      <c r="C6390" s="74" t="s">
        <v>448</v>
      </c>
    </row>
    <row r="6391" spans="1:3">
      <c r="A6391" s="250">
        <v>16847</v>
      </c>
      <c r="B6391" s="74" t="s">
        <v>4631</v>
      </c>
      <c r="C6391" s="74" t="s">
        <v>448</v>
      </c>
    </row>
    <row r="6392" spans="1:3">
      <c r="A6392" s="250">
        <v>16848</v>
      </c>
      <c r="B6392" s="74" t="s">
        <v>4632</v>
      </c>
      <c r="C6392" s="74" t="s">
        <v>448</v>
      </c>
    </row>
    <row r="6393" spans="1:3">
      <c r="A6393" s="250">
        <v>16849</v>
      </c>
      <c r="B6393" s="74" t="s">
        <v>4633</v>
      </c>
      <c r="C6393" s="74" t="s">
        <v>448</v>
      </c>
    </row>
    <row r="6394" spans="1:3">
      <c r="A6394" s="250">
        <v>16850</v>
      </c>
      <c r="B6394" s="74" t="s">
        <v>4634</v>
      </c>
      <c r="C6394" s="74" t="s">
        <v>448</v>
      </c>
    </row>
    <row r="6395" spans="1:3">
      <c r="A6395" s="250">
        <v>16851</v>
      </c>
      <c r="B6395" s="74" t="s">
        <v>4635</v>
      </c>
      <c r="C6395" s="74" t="s">
        <v>448</v>
      </c>
    </row>
    <row r="6396" spans="1:3">
      <c r="A6396" s="250">
        <v>16852</v>
      </c>
      <c r="B6396" s="74" t="s">
        <v>4636</v>
      </c>
      <c r="C6396" s="74" t="s">
        <v>448</v>
      </c>
    </row>
    <row r="6397" spans="1:3">
      <c r="A6397" s="250">
        <v>16853</v>
      </c>
      <c r="B6397" s="74" t="s">
        <v>4637</v>
      </c>
      <c r="C6397" s="74" t="s">
        <v>448</v>
      </c>
    </row>
    <row r="6398" spans="1:3">
      <c r="A6398" s="250">
        <v>16854</v>
      </c>
      <c r="B6398" s="74" t="s">
        <v>4638</v>
      </c>
      <c r="C6398" s="74" t="s">
        <v>448</v>
      </c>
    </row>
    <row r="6399" spans="1:3">
      <c r="A6399" s="250">
        <v>16855</v>
      </c>
      <c r="B6399" s="74" t="s">
        <v>4639</v>
      </c>
      <c r="C6399" s="74" t="s">
        <v>448</v>
      </c>
    </row>
    <row r="6400" spans="1:3">
      <c r="A6400" s="250">
        <v>16856</v>
      </c>
      <c r="B6400" s="74" t="s">
        <v>4640</v>
      </c>
      <c r="C6400" s="74" t="s">
        <v>448</v>
      </c>
    </row>
    <row r="6401" spans="1:3">
      <c r="A6401" s="250">
        <v>16858</v>
      </c>
      <c r="B6401" s="74" t="s">
        <v>4641</v>
      </c>
      <c r="C6401" s="74" t="s">
        <v>448</v>
      </c>
    </row>
    <row r="6402" spans="1:3">
      <c r="A6402" s="250">
        <v>16859</v>
      </c>
      <c r="B6402" s="74" t="s">
        <v>4642</v>
      </c>
      <c r="C6402" s="74" t="s">
        <v>448</v>
      </c>
    </row>
    <row r="6403" spans="1:3">
      <c r="A6403" s="250">
        <v>16860</v>
      </c>
      <c r="B6403" s="74" t="s">
        <v>4643</v>
      </c>
      <c r="C6403" s="74" t="s">
        <v>448</v>
      </c>
    </row>
    <row r="6404" spans="1:3">
      <c r="A6404" s="250">
        <v>16861</v>
      </c>
      <c r="B6404" s="74" t="s">
        <v>4644</v>
      </c>
      <c r="C6404" s="74" t="s">
        <v>448</v>
      </c>
    </row>
    <row r="6405" spans="1:3">
      <c r="A6405" s="250">
        <v>16863</v>
      </c>
      <c r="B6405" s="74" t="s">
        <v>4645</v>
      </c>
      <c r="C6405" s="74" t="s">
        <v>448</v>
      </c>
    </row>
    <row r="6406" spans="1:3">
      <c r="A6406" s="250">
        <v>16864</v>
      </c>
      <c r="B6406" s="74" t="s">
        <v>4646</v>
      </c>
      <c r="C6406" s="74" t="s">
        <v>448</v>
      </c>
    </row>
    <row r="6407" spans="1:3">
      <c r="A6407" s="250">
        <v>16865</v>
      </c>
      <c r="B6407" s="74" t="s">
        <v>4647</v>
      </c>
      <c r="C6407" s="74" t="s">
        <v>448</v>
      </c>
    </row>
    <row r="6408" spans="1:3">
      <c r="A6408" s="250">
        <v>16866</v>
      </c>
      <c r="B6408" s="74" t="s">
        <v>4648</v>
      </c>
      <c r="C6408" s="74" t="s">
        <v>448</v>
      </c>
    </row>
    <row r="6409" spans="1:3">
      <c r="A6409" s="250">
        <v>16868</v>
      </c>
      <c r="B6409" s="74" t="s">
        <v>4649</v>
      </c>
      <c r="C6409" s="74" t="s">
        <v>448</v>
      </c>
    </row>
    <row r="6410" spans="1:3">
      <c r="A6410" s="250">
        <v>16870</v>
      </c>
      <c r="B6410" s="74" t="s">
        <v>4650</v>
      </c>
      <c r="C6410" s="74" t="s">
        <v>448</v>
      </c>
    </row>
    <row r="6411" spans="1:3">
      <c r="A6411" s="250">
        <v>16871</v>
      </c>
      <c r="B6411" s="74" t="s">
        <v>4651</v>
      </c>
      <c r="C6411" s="74" t="s">
        <v>448</v>
      </c>
    </row>
    <row r="6412" spans="1:3">
      <c r="A6412" s="250">
        <v>16872</v>
      </c>
      <c r="B6412" s="74" t="s">
        <v>4652</v>
      </c>
      <c r="C6412" s="74" t="s">
        <v>448</v>
      </c>
    </row>
    <row r="6413" spans="1:3">
      <c r="A6413" s="250">
        <v>16873</v>
      </c>
      <c r="B6413" s="74" t="s">
        <v>4653</v>
      </c>
      <c r="C6413" s="74" t="s">
        <v>448</v>
      </c>
    </row>
    <row r="6414" spans="1:3">
      <c r="A6414" s="250">
        <v>16874</v>
      </c>
      <c r="B6414" s="74" t="s">
        <v>4654</v>
      </c>
      <c r="C6414" s="74" t="s">
        <v>448</v>
      </c>
    </row>
    <row r="6415" spans="1:3">
      <c r="A6415" s="250">
        <v>16875</v>
      </c>
      <c r="B6415" s="74" t="s">
        <v>4655</v>
      </c>
      <c r="C6415" s="74" t="s">
        <v>448</v>
      </c>
    </row>
    <row r="6416" spans="1:3">
      <c r="A6416" s="250">
        <v>16876</v>
      </c>
      <c r="B6416" s="74" t="s">
        <v>4656</v>
      </c>
      <c r="C6416" s="74" t="s">
        <v>448</v>
      </c>
    </row>
    <row r="6417" spans="1:3">
      <c r="A6417" s="250">
        <v>16877</v>
      </c>
      <c r="B6417" s="74" t="s">
        <v>4657</v>
      </c>
      <c r="C6417" s="74" t="s">
        <v>448</v>
      </c>
    </row>
    <row r="6418" spans="1:3">
      <c r="A6418" s="250">
        <v>16878</v>
      </c>
      <c r="B6418" s="74" t="s">
        <v>4658</v>
      </c>
      <c r="C6418" s="74" t="s">
        <v>448</v>
      </c>
    </row>
    <row r="6419" spans="1:3">
      <c r="A6419" s="250">
        <v>16879</v>
      </c>
      <c r="B6419" s="74" t="s">
        <v>4659</v>
      </c>
      <c r="C6419" s="74" t="s">
        <v>448</v>
      </c>
    </row>
    <row r="6420" spans="1:3">
      <c r="A6420" s="250">
        <v>16881</v>
      </c>
      <c r="B6420" s="74" t="s">
        <v>4660</v>
      </c>
      <c r="C6420" s="74" t="s">
        <v>448</v>
      </c>
    </row>
    <row r="6421" spans="1:3">
      <c r="A6421" s="250">
        <v>16882</v>
      </c>
      <c r="B6421" s="74" t="s">
        <v>4661</v>
      </c>
      <c r="C6421" s="74" t="s">
        <v>448</v>
      </c>
    </row>
    <row r="6422" spans="1:3">
      <c r="A6422" s="250">
        <v>16901</v>
      </c>
      <c r="B6422" s="74" t="s">
        <v>4662</v>
      </c>
      <c r="C6422" s="74" t="s">
        <v>448</v>
      </c>
    </row>
    <row r="6423" spans="1:3">
      <c r="A6423" s="250">
        <v>16910</v>
      </c>
      <c r="B6423" s="74" t="s">
        <v>4663</v>
      </c>
      <c r="C6423" s="74" t="s">
        <v>448</v>
      </c>
    </row>
    <row r="6424" spans="1:3">
      <c r="A6424" s="250">
        <v>16911</v>
      </c>
      <c r="B6424" s="74" t="s">
        <v>4664</v>
      </c>
      <c r="C6424" s="74" t="s">
        <v>448</v>
      </c>
    </row>
    <row r="6425" spans="1:3">
      <c r="A6425" s="250">
        <v>16912</v>
      </c>
      <c r="B6425" s="74" t="s">
        <v>4665</v>
      </c>
      <c r="C6425" s="74" t="s">
        <v>448</v>
      </c>
    </row>
    <row r="6426" spans="1:3">
      <c r="A6426" s="250">
        <v>16914</v>
      </c>
      <c r="B6426" s="74" t="s">
        <v>4666</v>
      </c>
      <c r="C6426" s="74" t="s">
        <v>448</v>
      </c>
    </row>
    <row r="6427" spans="1:3">
      <c r="A6427" s="250">
        <v>16915</v>
      </c>
      <c r="B6427" s="74" t="s">
        <v>4667</v>
      </c>
      <c r="C6427" s="74" t="s">
        <v>448</v>
      </c>
    </row>
    <row r="6428" spans="1:3">
      <c r="A6428" s="250">
        <v>16917</v>
      </c>
      <c r="B6428" s="74" t="s">
        <v>4668</v>
      </c>
      <c r="C6428" s="74" t="s">
        <v>448</v>
      </c>
    </row>
    <row r="6429" spans="1:3">
      <c r="A6429" s="250">
        <v>16918</v>
      </c>
      <c r="B6429" s="74" t="s">
        <v>4669</v>
      </c>
      <c r="C6429" s="74" t="s">
        <v>448</v>
      </c>
    </row>
    <row r="6430" spans="1:3">
      <c r="A6430" s="250">
        <v>16920</v>
      </c>
      <c r="B6430" s="74" t="s">
        <v>4670</v>
      </c>
      <c r="C6430" s="74" t="s">
        <v>448</v>
      </c>
    </row>
    <row r="6431" spans="1:3">
      <c r="A6431" s="250">
        <v>16921</v>
      </c>
      <c r="B6431" s="74" t="s">
        <v>4671</v>
      </c>
      <c r="C6431" s="74" t="s">
        <v>448</v>
      </c>
    </row>
    <row r="6432" spans="1:3">
      <c r="A6432" s="250">
        <v>16922</v>
      </c>
      <c r="B6432" s="74" t="s">
        <v>4672</v>
      </c>
      <c r="C6432" s="74" t="s">
        <v>448</v>
      </c>
    </row>
    <row r="6433" spans="1:3">
      <c r="A6433" s="250">
        <v>16923</v>
      </c>
      <c r="B6433" s="74" t="s">
        <v>4673</v>
      </c>
      <c r="C6433" s="74" t="s">
        <v>448</v>
      </c>
    </row>
    <row r="6434" spans="1:3">
      <c r="A6434" s="250">
        <v>16925</v>
      </c>
      <c r="B6434" s="74" t="s">
        <v>4674</v>
      </c>
      <c r="C6434" s="74" t="s">
        <v>448</v>
      </c>
    </row>
    <row r="6435" spans="1:3">
      <c r="A6435" s="250">
        <v>16926</v>
      </c>
      <c r="B6435" s="74" t="s">
        <v>4675</v>
      </c>
      <c r="C6435" s="74" t="s">
        <v>448</v>
      </c>
    </row>
    <row r="6436" spans="1:3">
      <c r="A6436" s="250">
        <v>16927</v>
      </c>
      <c r="B6436" s="74" t="s">
        <v>4676</v>
      </c>
      <c r="C6436" s="74" t="s">
        <v>448</v>
      </c>
    </row>
    <row r="6437" spans="1:3">
      <c r="A6437" s="250">
        <v>16928</v>
      </c>
      <c r="B6437" s="74" t="s">
        <v>4677</v>
      </c>
      <c r="C6437" s="74" t="s">
        <v>448</v>
      </c>
    </row>
    <row r="6438" spans="1:3">
      <c r="A6438" s="250">
        <v>16929</v>
      </c>
      <c r="B6438" s="74" t="s">
        <v>3302</v>
      </c>
      <c r="C6438" s="74" t="s">
        <v>448</v>
      </c>
    </row>
    <row r="6439" spans="1:3">
      <c r="A6439" s="250">
        <v>16930</v>
      </c>
      <c r="B6439" s="74" t="s">
        <v>1701</v>
      </c>
      <c r="C6439" s="74" t="s">
        <v>448</v>
      </c>
    </row>
    <row r="6440" spans="1:3">
      <c r="A6440" s="250">
        <v>16932</v>
      </c>
      <c r="B6440" s="74" t="s">
        <v>4678</v>
      </c>
      <c r="C6440" s="74" t="s">
        <v>448</v>
      </c>
    </row>
    <row r="6441" spans="1:3">
      <c r="A6441" s="250">
        <v>16933</v>
      </c>
      <c r="B6441" s="74" t="s">
        <v>879</v>
      </c>
      <c r="C6441" s="74" t="s">
        <v>448</v>
      </c>
    </row>
    <row r="6442" spans="1:3">
      <c r="A6442" s="250">
        <v>16935</v>
      </c>
      <c r="B6442" s="74" t="s">
        <v>4679</v>
      </c>
      <c r="C6442" s="74" t="s">
        <v>448</v>
      </c>
    </row>
    <row r="6443" spans="1:3">
      <c r="A6443" s="250">
        <v>16936</v>
      </c>
      <c r="B6443" s="74" t="s">
        <v>3129</v>
      </c>
      <c r="C6443" s="74" t="s">
        <v>448</v>
      </c>
    </row>
    <row r="6444" spans="1:3">
      <c r="A6444" s="250">
        <v>16937</v>
      </c>
      <c r="B6444" s="74" t="s">
        <v>4680</v>
      </c>
      <c r="C6444" s="74" t="s">
        <v>448</v>
      </c>
    </row>
    <row r="6445" spans="1:3">
      <c r="A6445" s="250">
        <v>16938</v>
      </c>
      <c r="B6445" s="74" t="s">
        <v>2086</v>
      </c>
      <c r="C6445" s="74" t="s">
        <v>448</v>
      </c>
    </row>
    <row r="6446" spans="1:3">
      <c r="A6446" s="250">
        <v>16939</v>
      </c>
      <c r="B6446" s="74" t="s">
        <v>4681</v>
      </c>
      <c r="C6446" s="74" t="s">
        <v>448</v>
      </c>
    </row>
    <row r="6447" spans="1:3">
      <c r="A6447" s="250">
        <v>16940</v>
      </c>
      <c r="B6447" s="74" t="s">
        <v>1238</v>
      </c>
      <c r="C6447" s="74" t="s">
        <v>448</v>
      </c>
    </row>
    <row r="6448" spans="1:3">
      <c r="A6448" s="250">
        <v>16941</v>
      </c>
      <c r="B6448" s="74" t="s">
        <v>4673</v>
      </c>
      <c r="C6448" s="74" t="s">
        <v>448</v>
      </c>
    </row>
    <row r="6449" spans="1:3">
      <c r="A6449" s="250">
        <v>16942</v>
      </c>
      <c r="B6449" s="74" t="s">
        <v>4682</v>
      </c>
      <c r="C6449" s="74" t="s">
        <v>448</v>
      </c>
    </row>
    <row r="6450" spans="1:3">
      <c r="A6450" s="250">
        <v>16943</v>
      </c>
      <c r="B6450" s="74" t="s">
        <v>4683</v>
      </c>
      <c r="C6450" s="74" t="s">
        <v>448</v>
      </c>
    </row>
    <row r="6451" spans="1:3">
      <c r="A6451" s="250">
        <v>16945</v>
      </c>
      <c r="B6451" s="74" t="s">
        <v>4684</v>
      </c>
      <c r="C6451" s="74" t="s">
        <v>448</v>
      </c>
    </row>
    <row r="6452" spans="1:3">
      <c r="A6452" s="250">
        <v>16946</v>
      </c>
      <c r="B6452" s="74" t="s">
        <v>4685</v>
      </c>
      <c r="C6452" s="74" t="s">
        <v>448</v>
      </c>
    </row>
    <row r="6453" spans="1:3">
      <c r="A6453" s="250">
        <v>16947</v>
      </c>
      <c r="B6453" s="74" t="s">
        <v>1243</v>
      </c>
      <c r="C6453" s="74" t="s">
        <v>448</v>
      </c>
    </row>
    <row r="6454" spans="1:3">
      <c r="A6454" s="250">
        <v>16948</v>
      </c>
      <c r="B6454" s="74" t="s">
        <v>4686</v>
      </c>
      <c r="C6454" s="74" t="s">
        <v>448</v>
      </c>
    </row>
    <row r="6455" spans="1:3">
      <c r="A6455" s="250">
        <v>16950</v>
      </c>
      <c r="B6455" s="74" t="s">
        <v>624</v>
      </c>
      <c r="C6455" s="74" t="s">
        <v>448</v>
      </c>
    </row>
    <row r="6456" spans="1:3">
      <c r="A6456" s="250">
        <v>17001</v>
      </c>
      <c r="B6456" s="74" t="s">
        <v>4687</v>
      </c>
      <c r="C6456" s="74" t="s">
        <v>448</v>
      </c>
    </row>
    <row r="6457" spans="1:3">
      <c r="A6457" s="250">
        <v>17002</v>
      </c>
      <c r="B6457" s="74" t="s">
        <v>4688</v>
      </c>
      <c r="C6457" s="74" t="s">
        <v>448</v>
      </c>
    </row>
    <row r="6458" spans="1:3">
      <c r="A6458" s="250">
        <v>17003</v>
      </c>
      <c r="B6458" s="74" t="s">
        <v>4689</v>
      </c>
      <c r="C6458" s="74" t="s">
        <v>448</v>
      </c>
    </row>
    <row r="6459" spans="1:3">
      <c r="A6459" s="250">
        <v>17004</v>
      </c>
      <c r="B6459" s="74" t="s">
        <v>2173</v>
      </c>
      <c r="C6459" s="74" t="s">
        <v>448</v>
      </c>
    </row>
    <row r="6460" spans="1:3">
      <c r="A6460" s="250">
        <v>17005</v>
      </c>
      <c r="B6460" s="74" t="s">
        <v>4690</v>
      </c>
      <c r="C6460" s="74" t="s">
        <v>448</v>
      </c>
    </row>
    <row r="6461" spans="1:3">
      <c r="A6461" s="250">
        <v>17006</v>
      </c>
      <c r="B6461" s="74" t="s">
        <v>4691</v>
      </c>
      <c r="C6461" s="74" t="s">
        <v>448</v>
      </c>
    </row>
    <row r="6462" spans="1:3">
      <c r="A6462" s="250">
        <v>17007</v>
      </c>
      <c r="B6462" s="74" t="s">
        <v>4692</v>
      </c>
      <c r="C6462" s="74" t="s">
        <v>448</v>
      </c>
    </row>
    <row r="6463" spans="1:3">
      <c r="A6463" s="250">
        <v>17008</v>
      </c>
      <c r="B6463" s="74" t="s">
        <v>4693</v>
      </c>
      <c r="C6463" s="74" t="s">
        <v>448</v>
      </c>
    </row>
    <row r="6464" spans="1:3">
      <c r="A6464" s="250">
        <v>17009</v>
      </c>
      <c r="B6464" s="74" t="s">
        <v>1684</v>
      </c>
      <c r="C6464" s="74" t="s">
        <v>448</v>
      </c>
    </row>
    <row r="6465" spans="1:3">
      <c r="A6465" s="250">
        <v>17010</v>
      </c>
      <c r="B6465" s="74" t="s">
        <v>4694</v>
      </c>
      <c r="C6465" s="74" t="s">
        <v>448</v>
      </c>
    </row>
    <row r="6466" spans="1:3">
      <c r="A6466" s="250">
        <v>17011</v>
      </c>
      <c r="B6466" s="74" t="s">
        <v>4687</v>
      </c>
      <c r="C6466" s="74" t="s">
        <v>448</v>
      </c>
    </row>
    <row r="6467" spans="1:3">
      <c r="A6467" s="250">
        <v>17012</v>
      </c>
      <c r="B6467" s="74" t="s">
        <v>4687</v>
      </c>
      <c r="C6467" s="74" t="s">
        <v>448</v>
      </c>
    </row>
    <row r="6468" spans="1:3">
      <c r="A6468" s="250">
        <v>17013</v>
      </c>
      <c r="B6468" s="74" t="s">
        <v>786</v>
      </c>
      <c r="C6468" s="74" t="s">
        <v>448</v>
      </c>
    </row>
    <row r="6469" spans="1:3">
      <c r="A6469" s="250">
        <v>17014</v>
      </c>
      <c r="B6469" s="74" t="s">
        <v>4695</v>
      </c>
      <c r="C6469" s="74" t="s">
        <v>448</v>
      </c>
    </row>
    <row r="6470" spans="1:3">
      <c r="A6470" s="250">
        <v>17015</v>
      </c>
      <c r="B6470" s="74" t="s">
        <v>786</v>
      </c>
      <c r="C6470" s="74" t="s">
        <v>448</v>
      </c>
    </row>
    <row r="6471" spans="1:3">
      <c r="A6471" s="250">
        <v>17016</v>
      </c>
      <c r="B6471" s="74" t="s">
        <v>2081</v>
      </c>
      <c r="C6471" s="74" t="s">
        <v>448</v>
      </c>
    </row>
    <row r="6472" spans="1:3">
      <c r="A6472" s="250">
        <v>17017</v>
      </c>
      <c r="B6472" s="74" t="s">
        <v>4696</v>
      </c>
      <c r="C6472" s="74" t="s">
        <v>448</v>
      </c>
    </row>
    <row r="6473" spans="1:3">
      <c r="A6473" s="250">
        <v>17018</v>
      </c>
      <c r="B6473" s="74" t="s">
        <v>4697</v>
      </c>
      <c r="C6473" s="74" t="s">
        <v>448</v>
      </c>
    </row>
    <row r="6474" spans="1:3">
      <c r="A6474" s="250">
        <v>17019</v>
      </c>
      <c r="B6474" s="74" t="s">
        <v>4698</v>
      </c>
      <c r="C6474" s="74" t="s">
        <v>448</v>
      </c>
    </row>
    <row r="6475" spans="1:3">
      <c r="A6475" s="250">
        <v>17020</v>
      </c>
      <c r="B6475" s="74" t="s">
        <v>4699</v>
      </c>
      <c r="C6475" s="74" t="s">
        <v>448</v>
      </c>
    </row>
    <row r="6476" spans="1:3">
      <c r="A6476" s="250">
        <v>17021</v>
      </c>
      <c r="B6476" s="74" t="s">
        <v>4700</v>
      </c>
      <c r="C6476" s="74" t="s">
        <v>448</v>
      </c>
    </row>
    <row r="6477" spans="1:3">
      <c r="A6477" s="250">
        <v>17022</v>
      </c>
      <c r="B6477" s="74" t="s">
        <v>3293</v>
      </c>
      <c r="C6477" s="74" t="s">
        <v>448</v>
      </c>
    </row>
    <row r="6478" spans="1:3">
      <c r="A6478" s="250">
        <v>17023</v>
      </c>
      <c r="B6478" s="74" t="s">
        <v>4701</v>
      </c>
      <c r="C6478" s="74" t="s">
        <v>448</v>
      </c>
    </row>
    <row r="6479" spans="1:3">
      <c r="A6479" s="250">
        <v>17024</v>
      </c>
      <c r="B6479" s="74" t="s">
        <v>4702</v>
      </c>
      <c r="C6479" s="74" t="s">
        <v>448</v>
      </c>
    </row>
    <row r="6480" spans="1:3">
      <c r="A6480" s="250">
        <v>17025</v>
      </c>
      <c r="B6480" s="74" t="s">
        <v>4703</v>
      </c>
      <c r="C6480" s="74" t="s">
        <v>448</v>
      </c>
    </row>
    <row r="6481" spans="1:3">
      <c r="A6481" s="250">
        <v>17026</v>
      </c>
      <c r="B6481" s="74" t="s">
        <v>4704</v>
      </c>
      <c r="C6481" s="74" t="s">
        <v>448</v>
      </c>
    </row>
    <row r="6482" spans="1:3">
      <c r="A6482" s="250">
        <v>17027</v>
      </c>
      <c r="B6482" s="74" t="s">
        <v>1278</v>
      </c>
      <c r="C6482" s="74" t="s">
        <v>448</v>
      </c>
    </row>
    <row r="6483" spans="1:3">
      <c r="A6483" s="250">
        <v>17028</v>
      </c>
      <c r="B6483" s="74" t="s">
        <v>4705</v>
      </c>
      <c r="C6483" s="74" t="s">
        <v>448</v>
      </c>
    </row>
    <row r="6484" spans="1:3">
      <c r="A6484" s="250">
        <v>17029</v>
      </c>
      <c r="B6484" s="74" t="s">
        <v>594</v>
      </c>
      <c r="C6484" s="74" t="s">
        <v>448</v>
      </c>
    </row>
    <row r="6485" spans="1:3">
      <c r="A6485" s="250">
        <v>17030</v>
      </c>
      <c r="B6485" s="74" t="s">
        <v>4706</v>
      </c>
      <c r="C6485" s="74" t="s">
        <v>448</v>
      </c>
    </row>
    <row r="6486" spans="1:3">
      <c r="A6486" s="250">
        <v>17032</v>
      </c>
      <c r="B6486" s="74" t="s">
        <v>943</v>
      </c>
      <c r="C6486" s="74" t="s">
        <v>448</v>
      </c>
    </row>
    <row r="6487" spans="1:3">
      <c r="A6487" s="250">
        <v>17033</v>
      </c>
      <c r="B6487" s="74" t="s">
        <v>4707</v>
      </c>
      <c r="C6487" s="74" t="s">
        <v>448</v>
      </c>
    </row>
    <row r="6488" spans="1:3">
      <c r="A6488" s="250">
        <v>17034</v>
      </c>
      <c r="B6488" s="74" t="s">
        <v>4708</v>
      </c>
      <c r="C6488" s="74" t="s">
        <v>448</v>
      </c>
    </row>
    <row r="6489" spans="1:3">
      <c r="A6489" s="250">
        <v>17035</v>
      </c>
      <c r="B6489" s="74" t="s">
        <v>4709</v>
      </c>
      <c r="C6489" s="74" t="s">
        <v>448</v>
      </c>
    </row>
    <row r="6490" spans="1:3">
      <c r="A6490" s="250">
        <v>17036</v>
      </c>
      <c r="B6490" s="74" t="s">
        <v>4710</v>
      </c>
      <c r="C6490" s="74" t="s">
        <v>448</v>
      </c>
    </row>
    <row r="6491" spans="1:3">
      <c r="A6491" s="250">
        <v>17037</v>
      </c>
      <c r="B6491" s="74" t="s">
        <v>4711</v>
      </c>
      <c r="C6491" s="74" t="s">
        <v>448</v>
      </c>
    </row>
    <row r="6492" spans="1:3">
      <c r="A6492" s="250">
        <v>17038</v>
      </c>
      <c r="B6492" s="74" t="s">
        <v>4712</v>
      </c>
      <c r="C6492" s="74" t="s">
        <v>448</v>
      </c>
    </row>
    <row r="6493" spans="1:3">
      <c r="A6493" s="250">
        <v>17039</v>
      </c>
      <c r="B6493" s="74" t="s">
        <v>4713</v>
      </c>
      <c r="C6493" s="74" t="s">
        <v>448</v>
      </c>
    </row>
    <row r="6494" spans="1:3">
      <c r="A6494" s="250">
        <v>17040</v>
      </c>
      <c r="B6494" s="74" t="s">
        <v>4714</v>
      </c>
      <c r="C6494" s="74" t="s">
        <v>448</v>
      </c>
    </row>
    <row r="6495" spans="1:3">
      <c r="A6495" s="250">
        <v>17041</v>
      </c>
      <c r="B6495" s="74" t="s">
        <v>4715</v>
      </c>
      <c r="C6495" s="74" t="s">
        <v>448</v>
      </c>
    </row>
    <row r="6496" spans="1:3">
      <c r="A6496" s="250">
        <v>17042</v>
      </c>
      <c r="B6496" s="74" t="s">
        <v>1280</v>
      </c>
      <c r="C6496" s="74" t="s">
        <v>448</v>
      </c>
    </row>
    <row r="6497" spans="1:3">
      <c r="A6497" s="250">
        <v>17043</v>
      </c>
      <c r="B6497" s="74" t="s">
        <v>4716</v>
      </c>
      <c r="C6497" s="74" t="s">
        <v>448</v>
      </c>
    </row>
    <row r="6498" spans="1:3">
      <c r="A6498" s="250">
        <v>17044</v>
      </c>
      <c r="B6498" s="74" t="s">
        <v>4717</v>
      </c>
      <c r="C6498" s="74" t="s">
        <v>448</v>
      </c>
    </row>
    <row r="6499" spans="1:3">
      <c r="A6499" s="250">
        <v>17045</v>
      </c>
      <c r="B6499" s="74" t="s">
        <v>3376</v>
      </c>
      <c r="C6499" s="74" t="s">
        <v>448</v>
      </c>
    </row>
    <row r="6500" spans="1:3">
      <c r="A6500" s="250">
        <v>17046</v>
      </c>
      <c r="B6500" s="74" t="s">
        <v>1280</v>
      </c>
      <c r="C6500" s="74" t="s">
        <v>448</v>
      </c>
    </row>
    <row r="6501" spans="1:3">
      <c r="A6501" s="250">
        <v>17047</v>
      </c>
      <c r="B6501" s="74" t="s">
        <v>4718</v>
      </c>
      <c r="C6501" s="74" t="s">
        <v>448</v>
      </c>
    </row>
    <row r="6502" spans="1:3">
      <c r="A6502" s="250">
        <v>17048</v>
      </c>
      <c r="B6502" s="74" t="s">
        <v>4719</v>
      </c>
      <c r="C6502" s="74" t="s">
        <v>448</v>
      </c>
    </row>
    <row r="6503" spans="1:3">
      <c r="A6503" s="250">
        <v>17049</v>
      </c>
      <c r="B6503" s="74" t="s">
        <v>4720</v>
      </c>
      <c r="C6503" s="74" t="s">
        <v>448</v>
      </c>
    </row>
    <row r="6504" spans="1:3">
      <c r="A6504" s="250">
        <v>17050</v>
      </c>
      <c r="B6504" s="74" t="s">
        <v>4721</v>
      </c>
      <c r="C6504" s="74" t="s">
        <v>448</v>
      </c>
    </row>
    <row r="6505" spans="1:3">
      <c r="A6505" s="250">
        <v>17051</v>
      </c>
      <c r="B6505" s="74" t="s">
        <v>4722</v>
      </c>
      <c r="C6505" s="74" t="s">
        <v>448</v>
      </c>
    </row>
    <row r="6506" spans="1:3">
      <c r="A6506" s="250">
        <v>17052</v>
      </c>
      <c r="B6506" s="74" t="s">
        <v>4723</v>
      </c>
      <c r="C6506" s="74" t="s">
        <v>448</v>
      </c>
    </row>
    <row r="6507" spans="1:3">
      <c r="A6507" s="250">
        <v>17053</v>
      </c>
      <c r="B6507" s="74" t="s">
        <v>4724</v>
      </c>
      <c r="C6507" s="74" t="s">
        <v>448</v>
      </c>
    </row>
    <row r="6508" spans="1:3">
      <c r="A6508" s="250">
        <v>17054</v>
      </c>
      <c r="B6508" s="74" t="s">
        <v>4725</v>
      </c>
      <c r="C6508" s="74" t="s">
        <v>448</v>
      </c>
    </row>
    <row r="6509" spans="1:3">
      <c r="A6509" s="250">
        <v>17055</v>
      </c>
      <c r="B6509" s="74" t="s">
        <v>4721</v>
      </c>
      <c r="C6509" s="74" t="s">
        <v>448</v>
      </c>
    </row>
    <row r="6510" spans="1:3">
      <c r="A6510" s="250">
        <v>17056</v>
      </c>
      <c r="B6510" s="74" t="s">
        <v>1450</v>
      </c>
      <c r="C6510" s="74" t="s">
        <v>448</v>
      </c>
    </row>
    <row r="6511" spans="1:3">
      <c r="A6511" s="250">
        <v>17057</v>
      </c>
      <c r="B6511" s="74" t="s">
        <v>1119</v>
      </c>
      <c r="C6511" s="74" t="s">
        <v>448</v>
      </c>
    </row>
    <row r="6512" spans="1:3">
      <c r="A6512" s="250">
        <v>17058</v>
      </c>
      <c r="B6512" s="74" t="s">
        <v>4726</v>
      </c>
      <c r="C6512" s="74" t="s">
        <v>448</v>
      </c>
    </row>
    <row r="6513" spans="1:3">
      <c r="A6513" s="250">
        <v>17059</v>
      </c>
      <c r="B6513" s="74" t="s">
        <v>4727</v>
      </c>
      <c r="C6513" s="74" t="s">
        <v>448</v>
      </c>
    </row>
    <row r="6514" spans="1:3">
      <c r="A6514" s="250">
        <v>17060</v>
      </c>
      <c r="B6514" s="74" t="s">
        <v>4728</v>
      </c>
      <c r="C6514" s="74" t="s">
        <v>448</v>
      </c>
    </row>
    <row r="6515" spans="1:3">
      <c r="A6515" s="250">
        <v>17061</v>
      </c>
      <c r="B6515" s="74" t="s">
        <v>4729</v>
      </c>
      <c r="C6515" s="74" t="s">
        <v>448</v>
      </c>
    </row>
    <row r="6516" spans="1:3">
      <c r="A6516" s="250">
        <v>17062</v>
      </c>
      <c r="B6516" s="74" t="s">
        <v>4730</v>
      </c>
      <c r="C6516" s="74" t="s">
        <v>448</v>
      </c>
    </row>
    <row r="6517" spans="1:3">
      <c r="A6517" s="250">
        <v>17063</v>
      </c>
      <c r="B6517" s="74" t="s">
        <v>4731</v>
      </c>
      <c r="C6517" s="74" t="s">
        <v>448</v>
      </c>
    </row>
    <row r="6518" spans="1:3">
      <c r="A6518" s="250">
        <v>17064</v>
      </c>
      <c r="B6518" s="74" t="s">
        <v>4732</v>
      </c>
      <c r="C6518" s="74" t="s">
        <v>448</v>
      </c>
    </row>
    <row r="6519" spans="1:3">
      <c r="A6519" s="250">
        <v>17065</v>
      </c>
      <c r="B6519" s="74" t="s">
        <v>4733</v>
      </c>
      <c r="C6519" s="74" t="s">
        <v>448</v>
      </c>
    </row>
    <row r="6520" spans="1:3">
      <c r="A6520" s="250">
        <v>17066</v>
      </c>
      <c r="B6520" s="74" t="s">
        <v>4734</v>
      </c>
      <c r="C6520" s="74" t="s">
        <v>448</v>
      </c>
    </row>
    <row r="6521" spans="1:3">
      <c r="A6521" s="250">
        <v>17067</v>
      </c>
      <c r="B6521" s="74" t="s">
        <v>4735</v>
      </c>
      <c r="C6521" s="74" t="s">
        <v>448</v>
      </c>
    </row>
    <row r="6522" spans="1:3">
      <c r="A6522" s="250">
        <v>17068</v>
      </c>
      <c r="B6522" s="74" t="s">
        <v>4736</v>
      </c>
      <c r="C6522" s="74" t="s">
        <v>448</v>
      </c>
    </row>
    <row r="6523" spans="1:3">
      <c r="A6523" s="250">
        <v>17069</v>
      </c>
      <c r="B6523" s="74" t="s">
        <v>4737</v>
      </c>
      <c r="C6523" s="74" t="s">
        <v>448</v>
      </c>
    </row>
    <row r="6524" spans="1:3">
      <c r="A6524" s="250">
        <v>17070</v>
      </c>
      <c r="B6524" s="74" t="s">
        <v>4738</v>
      </c>
      <c r="C6524" s="74" t="s">
        <v>448</v>
      </c>
    </row>
    <row r="6525" spans="1:3">
      <c r="A6525" s="250">
        <v>17071</v>
      </c>
      <c r="B6525" s="74" t="s">
        <v>4739</v>
      </c>
      <c r="C6525" s="74" t="s">
        <v>448</v>
      </c>
    </row>
    <row r="6526" spans="1:3">
      <c r="A6526" s="250">
        <v>17072</v>
      </c>
      <c r="B6526" s="74" t="s">
        <v>4740</v>
      </c>
      <c r="C6526" s="74" t="s">
        <v>448</v>
      </c>
    </row>
    <row r="6527" spans="1:3">
      <c r="A6527" s="250">
        <v>17073</v>
      </c>
      <c r="B6527" s="74" t="s">
        <v>4741</v>
      </c>
      <c r="C6527" s="74" t="s">
        <v>448</v>
      </c>
    </row>
    <row r="6528" spans="1:3">
      <c r="A6528" s="250">
        <v>17074</v>
      </c>
      <c r="B6528" s="74" t="s">
        <v>1118</v>
      </c>
      <c r="C6528" s="74" t="s">
        <v>448</v>
      </c>
    </row>
    <row r="6529" spans="1:3">
      <c r="A6529" s="250">
        <v>17075</v>
      </c>
      <c r="B6529" s="74" t="s">
        <v>4742</v>
      </c>
      <c r="C6529" s="74" t="s">
        <v>448</v>
      </c>
    </row>
    <row r="6530" spans="1:3">
      <c r="A6530" s="250">
        <v>17076</v>
      </c>
      <c r="B6530" s="74" t="s">
        <v>4743</v>
      </c>
      <c r="C6530" s="74" t="s">
        <v>448</v>
      </c>
    </row>
    <row r="6531" spans="1:3">
      <c r="A6531" s="250">
        <v>17077</v>
      </c>
      <c r="B6531" s="74" t="s">
        <v>4744</v>
      </c>
      <c r="C6531" s="74" t="s">
        <v>448</v>
      </c>
    </row>
    <row r="6532" spans="1:3">
      <c r="A6532" s="250">
        <v>17078</v>
      </c>
      <c r="B6532" s="74" t="s">
        <v>1710</v>
      </c>
      <c r="C6532" s="74" t="s">
        <v>448</v>
      </c>
    </row>
    <row r="6533" spans="1:3">
      <c r="A6533" s="250">
        <v>17080</v>
      </c>
      <c r="B6533" s="74" t="s">
        <v>4745</v>
      </c>
      <c r="C6533" s="74" t="s">
        <v>448</v>
      </c>
    </row>
    <row r="6534" spans="1:3">
      <c r="A6534" s="250">
        <v>17081</v>
      </c>
      <c r="B6534" s="74" t="s">
        <v>611</v>
      </c>
      <c r="C6534" s="74" t="s">
        <v>448</v>
      </c>
    </row>
    <row r="6535" spans="1:3">
      <c r="A6535" s="250">
        <v>17082</v>
      </c>
      <c r="B6535" s="74" t="s">
        <v>4746</v>
      </c>
      <c r="C6535" s="74" t="s">
        <v>448</v>
      </c>
    </row>
    <row r="6536" spans="1:3">
      <c r="A6536" s="250">
        <v>17083</v>
      </c>
      <c r="B6536" s="74" t="s">
        <v>4747</v>
      </c>
      <c r="C6536" s="74" t="s">
        <v>448</v>
      </c>
    </row>
    <row r="6537" spans="1:3">
      <c r="A6537" s="250">
        <v>17084</v>
      </c>
      <c r="B6537" s="74" t="s">
        <v>4748</v>
      </c>
      <c r="C6537" s="74" t="s">
        <v>448</v>
      </c>
    </row>
    <row r="6538" spans="1:3">
      <c r="A6538" s="250">
        <v>17085</v>
      </c>
      <c r="B6538" s="74" t="s">
        <v>4749</v>
      </c>
      <c r="C6538" s="74" t="s">
        <v>448</v>
      </c>
    </row>
    <row r="6539" spans="1:3">
      <c r="A6539" s="250">
        <v>17086</v>
      </c>
      <c r="B6539" s="74" t="s">
        <v>4750</v>
      </c>
      <c r="C6539" s="74" t="s">
        <v>448</v>
      </c>
    </row>
    <row r="6540" spans="1:3">
      <c r="A6540" s="250">
        <v>17087</v>
      </c>
      <c r="B6540" s="74" t="s">
        <v>2499</v>
      </c>
      <c r="C6540" s="74" t="s">
        <v>448</v>
      </c>
    </row>
    <row r="6541" spans="1:3">
      <c r="A6541" s="250">
        <v>17088</v>
      </c>
      <c r="B6541" s="74" t="s">
        <v>4751</v>
      </c>
      <c r="C6541" s="74" t="s">
        <v>448</v>
      </c>
    </row>
    <row r="6542" spans="1:3">
      <c r="A6542" s="250">
        <v>17089</v>
      </c>
      <c r="B6542" s="74" t="s">
        <v>4687</v>
      </c>
      <c r="C6542" s="74" t="s">
        <v>448</v>
      </c>
    </row>
    <row r="6543" spans="1:3">
      <c r="A6543" s="250">
        <v>17090</v>
      </c>
      <c r="B6543" s="74" t="s">
        <v>4752</v>
      </c>
      <c r="C6543" s="74" t="s">
        <v>448</v>
      </c>
    </row>
    <row r="6544" spans="1:3">
      <c r="A6544" s="250">
        <v>17091</v>
      </c>
      <c r="B6544" s="74" t="s">
        <v>1280</v>
      </c>
      <c r="C6544" s="74" t="s">
        <v>448</v>
      </c>
    </row>
    <row r="6545" spans="1:3">
      <c r="A6545" s="250">
        <v>17093</v>
      </c>
      <c r="B6545" s="74" t="s">
        <v>4753</v>
      </c>
      <c r="C6545" s="74" t="s">
        <v>448</v>
      </c>
    </row>
    <row r="6546" spans="1:3">
      <c r="A6546" s="250">
        <v>17094</v>
      </c>
      <c r="B6546" s="74" t="s">
        <v>4754</v>
      </c>
      <c r="C6546" s="74" t="s">
        <v>448</v>
      </c>
    </row>
    <row r="6547" spans="1:3">
      <c r="A6547" s="250">
        <v>17097</v>
      </c>
      <c r="B6547" s="74" t="s">
        <v>4755</v>
      </c>
      <c r="C6547" s="74" t="s">
        <v>448</v>
      </c>
    </row>
    <row r="6548" spans="1:3">
      <c r="A6548" s="250">
        <v>17098</v>
      </c>
      <c r="B6548" s="74" t="s">
        <v>668</v>
      </c>
      <c r="C6548" s="74" t="s">
        <v>448</v>
      </c>
    </row>
    <row r="6549" spans="1:3">
      <c r="A6549" s="250">
        <v>17099</v>
      </c>
      <c r="B6549" s="74" t="s">
        <v>4756</v>
      </c>
      <c r="C6549" s="74" t="s">
        <v>448</v>
      </c>
    </row>
    <row r="6550" spans="1:3">
      <c r="A6550" s="250">
        <v>17101</v>
      </c>
      <c r="B6550" s="74" t="s">
        <v>4757</v>
      </c>
      <c r="C6550" s="74" t="s">
        <v>448</v>
      </c>
    </row>
    <row r="6551" spans="1:3">
      <c r="A6551" s="250">
        <v>17102</v>
      </c>
      <c r="B6551" s="74" t="s">
        <v>4757</v>
      </c>
      <c r="C6551" s="74" t="s">
        <v>448</v>
      </c>
    </row>
    <row r="6552" spans="1:3">
      <c r="A6552" s="250">
        <v>17103</v>
      </c>
      <c r="B6552" s="74" t="s">
        <v>4757</v>
      </c>
      <c r="C6552" s="74" t="s">
        <v>448</v>
      </c>
    </row>
    <row r="6553" spans="1:3">
      <c r="A6553" s="250">
        <v>17104</v>
      </c>
      <c r="B6553" s="74" t="s">
        <v>4757</v>
      </c>
      <c r="C6553" s="74" t="s">
        <v>448</v>
      </c>
    </row>
    <row r="6554" spans="1:3">
      <c r="A6554" s="250">
        <v>17105</v>
      </c>
      <c r="B6554" s="74" t="s">
        <v>4757</v>
      </c>
      <c r="C6554" s="74" t="s">
        <v>448</v>
      </c>
    </row>
    <row r="6555" spans="1:3">
      <c r="A6555" s="250">
        <v>17106</v>
      </c>
      <c r="B6555" s="74" t="s">
        <v>4757</v>
      </c>
      <c r="C6555" s="74" t="s">
        <v>448</v>
      </c>
    </row>
    <row r="6556" spans="1:3">
      <c r="A6556" s="250">
        <v>17107</v>
      </c>
      <c r="B6556" s="74" t="s">
        <v>4757</v>
      </c>
      <c r="C6556" s="74" t="s">
        <v>448</v>
      </c>
    </row>
    <row r="6557" spans="1:3">
      <c r="A6557" s="250">
        <v>17108</v>
      </c>
      <c r="B6557" s="74" t="s">
        <v>4757</v>
      </c>
      <c r="C6557" s="74" t="s">
        <v>448</v>
      </c>
    </row>
    <row r="6558" spans="1:3">
      <c r="A6558" s="250">
        <v>17109</v>
      </c>
      <c r="B6558" s="74" t="s">
        <v>4757</v>
      </c>
      <c r="C6558" s="74" t="s">
        <v>448</v>
      </c>
    </row>
    <row r="6559" spans="1:3">
      <c r="A6559" s="250">
        <v>17110</v>
      </c>
      <c r="B6559" s="74" t="s">
        <v>4757</v>
      </c>
      <c r="C6559" s="74" t="s">
        <v>448</v>
      </c>
    </row>
    <row r="6560" spans="1:3">
      <c r="A6560" s="250">
        <v>17111</v>
      </c>
      <c r="B6560" s="74" t="s">
        <v>4757</v>
      </c>
      <c r="C6560" s="74" t="s">
        <v>448</v>
      </c>
    </row>
    <row r="6561" spans="1:3">
      <c r="A6561" s="250">
        <v>17112</v>
      </c>
      <c r="B6561" s="74" t="s">
        <v>4757</v>
      </c>
      <c r="C6561" s="74" t="s">
        <v>448</v>
      </c>
    </row>
    <row r="6562" spans="1:3">
      <c r="A6562" s="250">
        <v>17113</v>
      </c>
      <c r="B6562" s="74" t="s">
        <v>4757</v>
      </c>
      <c r="C6562" s="74" t="s">
        <v>448</v>
      </c>
    </row>
    <row r="6563" spans="1:3">
      <c r="A6563" s="250">
        <v>17120</v>
      </c>
      <c r="B6563" s="74" t="s">
        <v>4757</v>
      </c>
      <c r="C6563" s="74" t="s">
        <v>448</v>
      </c>
    </row>
    <row r="6564" spans="1:3">
      <c r="A6564" s="250">
        <v>17121</v>
      </c>
      <c r="B6564" s="74" t="s">
        <v>4757</v>
      </c>
      <c r="C6564" s="74" t="s">
        <v>448</v>
      </c>
    </row>
    <row r="6565" spans="1:3">
      <c r="A6565" s="250">
        <v>17122</v>
      </c>
      <c r="B6565" s="74" t="s">
        <v>4757</v>
      </c>
      <c r="C6565" s="74" t="s">
        <v>448</v>
      </c>
    </row>
    <row r="6566" spans="1:3">
      <c r="A6566" s="250">
        <v>17123</v>
      </c>
      <c r="B6566" s="74" t="s">
        <v>4757</v>
      </c>
      <c r="C6566" s="74" t="s">
        <v>448</v>
      </c>
    </row>
    <row r="6567" spans="1:3">
      <c r="A6567" s="250">
        <v>17124</v>
      </c>
      <c r="B6567" s="74" t="s">
        <v>4757</v>
      </c>
      <c r="C6567" s="74" t="s">
        <v>448</v>
      </c>
    </row>
    <row r="6568" spans="1:3">
      <c r="A6568" s="250">
        <v>17125</v>
      </c>
      <c r="B6568" s="74" t="s">
        <v>4757</v>
      </c>
      <c r="C6568" s="74" t="s">
        <v>448</v>
      </c>
    </row>
    <row r="6569" spans="1:3">
      <c r="A6569" s="250">
        <v>17126</v>
      </c>
      <c r="B6569" s="74" t="s">
        <v>4757</v>
      </c>
      <c r="C6569" s="74" t="s">
        <v>448</v>
      </c>
    </row>
    <row r="6570" spans="1:3">
      <c r="A6570" s="250">
        <v>17127</v>
      </c>
      <c r="B6570" s="74" t="s">
        <v>4757</v>
      </c>
      <c r="C6570" s="74" t="s">
        <v>448</v>
      </c>
    </row>
    <row r="6571" spans="1:3">
      <c r="A6571" s="250">
        <v>17128</v>
      </c>
      <c r="B6571" s="74" t="s">
        <v>4757</v>
      </c>
      <c r="C6571" s="74" t="s">
        <v>448</v>
      </c>
    </row>
    <row r="6572" spans="1:3">
      <c r="A6572" s="250">
        <v>17129</v>
      </c>
      <c r="B6572" s="74" t="s">
        <v>4757</v>
      </c>
      <c r="C6572" s="74" t="s">
        <v>448</v>
      </c>
    </row>
    <row r="6573" spans="1:3">
      <c r="A6573" s="250">
        <v>17130</v>
      </c>
      <c r="B6573" s="74" t="s">
        <v>4757</v>
      </c>
      <c r="C6573" s="74" t="s">
        <v>448</v>
      </c>
    </row>
    <row r="6574" spans="1:3">
      <c r="A6574" s="250">
        <v>17140</v>
      </c>
      <c r="B6574" s="74" t="s">
        <v>4757</v>
      </c>
      <c r="C6574" s="74" t="s">
        <v>448</v>
      </c>
    </row>
    <row r="6575" spans="1:3">
      <c r="A6575" s="250">
        <v>17177</v>
      </c>
      <c r="B6575" s="74" t="s">
        <v>4757</v>
      </c>
      <c r="C6575" s="74" t="s">
        <v>448</v>
      </c>
    </row>
    <row r="6576" spans="1:3">
      <c r="A6576" s="250">
        <v>17201</v>
      </c>
      <c r="B6576" s="74" t="s">
        <v>4758</v>
      </c>
      <c r="C6576" s="74" t="s">
        <v>448</v>
      </c>
    </row>
    <row r="6577" spans="1:3">
      <c r="A6577" s="250">
        <v>17202</v>
      </c>
      <c r="B6577" s="74" t="s">
        <v>4758</v>
      </c>
      <c r="C6577" s="74" t="s">
        <v>448</v>
      </c>
    </row>
    <row r="6578" spans="1:3">
      <c r="A6578" s="250">
        <v>17210</v>
      </c>
      <c r="B6578" s="74" t="s">
        <v>4759</v>
      </c>
      <c r="C6578" s="74" t="s">
        <v>448</v>
      </c>
    </row>
    <row r="6579" spans="1:3">
      <c r="A6579" s="250">
        <v>17211</v>
      </c>
      <c r="B6579" s="74" t="s">
        <v>4760</v>
      </c>
      <c r="C6579" s="74" t="s">
        <v>448</v>
      </c>
    </row>
    <row r="6580" spans="1:3">
      <c r="A6580" s="250">
        <v>17212</v>
      </c>
      <c r="B6580" s="74" t="s">
        <v>4761</v>
      </c>
      <c r="C6580" s="74" t="s">
        <v>448</v>
      </c>
    </row>
    <row r="6581" spans="1:3">
      <c r="A6581" s="250">
        <v>17213</v>
      </c>
      <c r="B6581" s="74" t="s">
        <v>4762</v>
      </c>
      <c r="C6581" s="74" t="s">
        <v>448</v>
      </c>
    </row>
    <row r="6582" spans="1:3">
      <c r="A6582" s="250">
        <v>17214</v>
      </c>
      <c r="B6582" s="74" t="s">
        <v>4763</v>
      </c>
      <c r="C6582" s="74" t="s">
        <v>448</v>
      </c>
    </row>
    <row r="6583" spans="1:3">
      <c r="A6583" s="250">
        <v>17215</v>
      </c>
      <c r="B6583" s="74" t="s">
        <v>4764</v>
      </c>
      <c r="C6583" s="74" t="s">
        <v>448</v>
      </c>
    </row>
    <row r="6584" spans="1:3">
      <c r="A6584" s="250">
        <v>17217</v>
      </c>
      <c r="B6584" s="74" t="s">
        <v>787</v>
      </c>
      <c r="C6584" s="74" t="s">
        <v>448</v>
      </c>
    </row>
    <row r="6585" spans="1:3">
      <c r="A6585" s="250">
        <v>17219</v>
      </c>
      <c r="B6585" s="74" t="s">
        <v>4765</v>
      </c>
      <c r="C6585" s="74" t="s">
        <v>448</v>
      </c>
    </row>
    <row r="6586" spans="1:3">
      <c r="A6586" s="250">
        <v>17220</v>
      </c>
      <c r="B6586" s="74" t="s">
        <v>4766</v>
      </c>
      <c r="C6586" s="74" t="s">
        <v>448</v>
      </c>
    </row>
    <row r="6587" spans="1:3">
      <c r="A6587" s="250">
        <v>17221</v>
      </c>
      <c r="B6587" s="74" t="s">
        <v>4767</v>
      </c>
      <c r="C6587" s="74" t="s">
        <v>448</v>
      </c>
    </row>
    <row r="6588" spans="1:3">
      <c r="A6588" s="250">
        <v>17222</v>
      </c>
      <c r="B6588" s="74" t="s">
        <v>3363</v>
      </c>
      <c r="C6588" s="74" t="s">
        <v>448</v>
      </c>
    </row>
    <row r="6589" spans="1:3">
      <c r="A6589" s="250">
        <v>17223</v>
      </c>
      <c r="B6589" s="74" t="s">
        <v>4768</v>
      </c>
      <c r="C6589" s="74" t="s">
        <v>448</v>
      </c>
    </row>
    <row r="6590" spans="1:3">
      <c r="A6590" s="250">
        <v>17224</v>
      </c>
      <c r="B6590" s="74" t="s">
        <v>4769</v>
      </c>
      <c r="C6590" s="74" t="s">
        <v>448</v>
      </c>
    </row>
    <row r="6591" spans="1:3">
      <c r="A6591" s="250">
        <v>17225</v>
      </c>
      <c r="B6591" s="74" t="s">
        <v>4770</v>
      </c>
      <c r="C6591" s="74" t="s">
        <v>448</v>
      </c>
    </row>
    <row r="6592" spans="1:3">
      <c r="A6592" s="250">
        <v>17228</v>
      </c>
      <c r="B6592" s="74" t="s">
        <v>2391</v>
      </c>
      <c r="C6592" s="74" t="s">
        <v>448</v>
      </c>
    </row>
    <row r="6593" spans="1:3">
      <c r="A6593" s="250">
        <v>17229</v>
      </c>
      <c r="B6593" s="74" t="s">
        <v>4771</v>
      </c>
      <c r="C6593" s="74" t="s">
        <v>448</v>
      </c>
    </row>
    <row r="6594" spans="1:3">
      <c r="A6594" s="250">
        <v>17231</v>
      </c>
      <c r="B6594" s="74" t="s">
        <v>4772</v>
      </c>
      <c r="C6594" s="74" t="s">
        <v>448</v>
      </c>
    </row>
    <row r="6595" spans="1:3">
      <c r="A6595" s="250">
        <v>17232</v>
      </c>
      <c r="B6595" s="74" t="s">
        <v>4773</v>
      </c>
      <c r="C6595" s="74" t="s">
        <v>448</v>
      </c>
    </row>
    <row r="6596" spans="1:3">
      <c r="A6596" s="250">
        <v>17233</v>
      </c>
      <c r="B6596" s="74" t="s">
        <v>4774</v>
      </c>
      <c r="C6596" s="74" t="s">
        <v>448</v>
      </c>
    </row>
    <row r="6597" spans="1:3">
      <c r="A6597" s="250">
        <v>17235</v>
      </c>
      <c r="B6597" s="74" t="s">
        <v>1071</v>
      </c>
      <c r="C6597" s="74" t="s">
        <v>448</v>
      </c>
    </row>
    <row r="6598" spans="1:3">
      <c r="A6598" s="250">
        <v>17236</v>
      </c>
      <c r="B6598" s="74" t="s">
        <v>4775</v>
      </c>
      <c r="C6598" s="74" t="s">
        <v>448</v>
      </c>
    </row>
    <row r="6599" spans="1:3">
      <c r="A6599" s="250">
        <v>17237</v>
      </c>
      <c r="B6599" s="74" t="s">
        <v>4776</v>
      </c>
      <c r="C6599" s="74" t="s">
        <v>448</v>
      </c>
    </row>
    <row r="6600" spans="1:3">
      <c r="A6600" s="250">
        <v>17238</v>
      </c>
      <c r="B6600" s="74" t="s">
        <v>4777</v>
      </c>
      <c r="C6600" s="74" t="s">
        <v>448</v>
      </c>
    </row>
    <row r="6601" spans="1:3">
      <c r="A6601" s="250">
        <v>17239</v>
      </c>
      <c r="B6601" s="74" t="s">
        <v>4778</v>
      </c>
      <c r="C6601" s="74" t="s">
        <v>448</v>
      </c>
    </row>
    <row r="6602" spans="1:3">
      <c r="A6602" s="250">
        <v>17240</v>
      </c>
      <c r="B6602" s="74" t="s">
        <v>4779</v>
      </c>
      <c r="C6602" s="74" t="s">
        <v>448</v>
      </c>
    </row>
    <row r="6603" spans="1:3">
      <c r="A6603" s="250">
        <v>17241</v>
      </c>
      <c r="B6603" s="74" t="s">
        <v>4780</v>
      </c>
      <c r="C6603" s="74" t="s">
        <v>448</v>
      </c>
    </row>
    <row r="6604" spans="1:3">
      <c r="A6604" s="250">
        <v>17243</v>
      </c>
      <c r="B6604" s="74" t="s">
        <v>4781</v>
      </c>
      <c r="C6604" s="74" t="s">
        <v>448</v>
      </c>
    </row>
    <row r="6605" spans="1:3">
      <c r="A6605" s="250">
        <v>17244</v>
      </c>
      <c r="B6605" s="74" t="s">
        <v>4782</v>
      </c>
      <c r="C6605" s="74" t="s">
        <v>448</v>
      </c>
    </row>
    <row r="6606" spans="1:3">
      <c r="A6606" s="250">
        <v>17246</v>
      </c>
      <c r="B6606" s="74" t="s">
        <v>4783</v>
      </c>
      <c r="C6606" s="74" t="s">
        <v>448</v>
      </c>
    </row>
    <row r="6607" spans="1:3">
      <c r="A6607" s="250">
        <v>17247</v>
      </c>
      <c r="B6607" s="74" t="s">
        <v>923</v>
      </c>
      <c r="C6607" s="74" t="s">
        <v>448</v>
      </c>
    </row>
    <row r="6608" spans="1:3">
      <c r="A6608" s="250">
        <v>17249</v>
      </c>
      <c r="B6608" s="74" t="s">
        <v>4784</v>
      </c>
      <c r="C6608" s="74" t="s">
        <v>448</v>
      </c>
    </row>
    <row r="6609" spans="1:3">
      <c r="A6609" s="250">
        <v>17250</v>
      </c>
      <c r="B6609" s="74" t="s">
        <v>4785</v>
      </c>
      <c r="C6609" s="74" t="s">
        <v>448</v>
      </c>
    </row>
    <row r="6610" spans="1:3">
      <c r="A6610" s="250">
        <v>17251</v>
      </c>
      <c r="B6610" s="74" t="s">
        <v>901</v>
      </c>
      <c r="C6610" s="74" t="s">
        <v>448</v>
      </c>
    </row>
    <row r="6611" spans="1:3">
      <c r="A6611" s="250">
        <v>17252</v>
      </c>
      <c r="B6611" s="74" t="s">
        <v>4786</v>
      </c>
      <c r="C6611" s="74" t="s">
        <v>448</v>
      </c>
    </row>
    <row r="6612" spans="1:3">
      <c r="A6612" s="250">
        <v>17253</v>
      </c>
      <c r="B6612" s="74" t="s">
        <v>4787</v>
      </c>
      <c r="C6612" s="74" t="s">
        <v>448</v>
      </c>
    </row>
    <row r="6613" spans="1:3">
      <c r="A6613" s="250">
        <v>17254</v>
      </c>
      <c r="B6613" s="74" t="s">
        <v>2003</v>
      </c>
      <c r="C6613" s="74" t="s">
        <v>448</v>
      </c>
    </row>
    <row r="6614" spans="1:3">
      <c r="A6614" s="250">
        <v>17255</v>
      </c>
      <c r="B6614" s="74" t="s">
        <v>4788</v>
      </c>
      <c r="C6614" s="74" t="s">
        <v>448</v>
      </c>
    </row>
    <row r="6615" spans="1:3">
      <c r="A6615" s="250">
        <v>17256</v>
      </c>
      <c r="B6615" s="74" t="s">
        <v>4789</v>
      </c>
      <c r="C6615" s="74" t="s">
        <v>448</v>
      </c>
    </row>
    <row r="6616" spans="1:3">
      <c r="A6616" s="250">
        <v>17257</v>
      </c>
      <c r="B6616" s="74" t="s">
        <v>4790</v>
      </c>
      <c r="C6616" s="74" t="s">
        <v>448</v>
      </c>
    </row>
    <row r="6617" spans="1:3">
      <c r="A6617" s="250">
        <v>17260</v>
      </c>
      <c r="B6617" s="74" t="s">
        <v>4791</v>
      </c>
      <c r="C6617" s="74" t="s">
        <v>448</v>
      </c>
    </row>
    <row r="6618" spans="1:3">
      <c r="A6618" s="250">
        <v>17261</v>
      </c>
      <c r="B6618" s="74" t="s">
        <v>4792</v>
      </c>
      <c r="C6618" s="74" t="s">
        <v>448</v>
      </c>
    </row>
    <row r="6619" spans="1:3">
      <c r="A6619" s="250">
        <v>17262</v>
      </c>
      <c r="B6619" s="74" t="s">
        <v>4793</v>
      </c>
      <c r="C6619" s="74" t="s">
        <v>448</v>
      </c>
    </row>
    <row r="6620" spans="1:3">
      <c r="A6620" s="250">
        <v>17263</v>
      </c>
      <c r="B6620" s="74" t="s">
        <v>4794</v>
      </c>
      <c r="C6620" s="74" t="s">
        <v>448</v>
      </c>
    </row>
    <row r="6621" spans="1:3">
      <c r="A6621" s="250">
        <v>17264</v>
      </c>
      <c r="B6621" s="74" t="s">
        <v>4795</v>
      </c>
      <c r="C6621" s="74" t="s">
        <v>448</v>
      </c>
    </row>
    <row r="6622" spans="1:3">
      <c r="A6622" s="250">
        <v>17265</v>
      </c>
      <c r="B6622" s="74" t="s">
        <v>4796</v>
      </c>
      <c r="C6622" s="74" t="s">
        <v>448</v>
      </c>
    </row>
    <row r="6623" spans="1:3">
      <c r="A6623" s="250">
        <v>17266</v>
      </c>
      <c r="B6623" s="74" t="s">
        <v>4797</v>
      </c>
      <c r="C6623" s="74" t="s">
        <v>448</v>
      </c>
    </row>
    <row r="6624" spans="1:3">
      <c r="A6624" s="250">
        <v>17267</v>
      </c>
      <c r="B6624" s="74" t="s">
        <v>4798</v>
      </c>
      <c r="C6624" s="74" t="s">
        <v>448</v>
      </c>
    </row>
    <row r="6625" spans="1:3">
      <c r="A6625" s="250">
        <v>17268</v>
      </c>
      <c r="B6625" s="74" t="s">
        <v>4799</v>
      </c>
      <c r="C6625" s="74" t="s">
        <v>448</v>
      </c>
    </row>
    <row r="6626" spans="1:3">
      <c r="A6626" s="250">
        <v>17270</v>
      </c>
      <c r="B6626" s="74" t="s">
        <v>3839</v>
      </c>
      <c r="C6626" s="74" t="s">
        <v>448</v>
      </c>
    </row>
    <row r="6627" spans="1:3">
      <c r="A6627" s="250">
        <v>17271</v>
      </c>
      <c r="B6627" s="74" t="s">
        <v>4800</v>
      </c>
      <c r="C6627" s="74" t="s">
        <v>448</v>
      </c>
    </row>
    <row r="6628" spans="1:3">
      <c r="A6628" s="250">
        <v>17272</v>
      </c>
      <c r="B6628" s="74" t="s">
        <v>4801</v>
      </c>
      <c r="C6628" s="74" t="s">
        <v>448</v>
      </c>
    </row>
    <row r="6629" spans="1:3">
      <c r="A6629" s="250">
        <v>17301</v>
      </c>
      <c r="B6629" s="74" t="s">
        <v>4802</v>
      </c>
      <c r="C6629" s="74" t="s">
        <v>448</v>
      </c>
    </row>
    <row r="6630" spans="1:3">
      <c r="A6630" s="250">
        <v>17302</v>
      </c>
      <c r="B6630" s="74" t="s">
        <v>4803</v>
      </c>
      <c r="C6630" s="74" t="s">
        <v>448</v>
      </c>
    </row>
    <row r="6631" spans="1:3">
      <c r="A6631" s="250">
        <v>17303</v>
      </c>
      <c r="B6631" s="74" t="s">
        <v>4804</v>
      </c>
      <c r="C6631" s="74" t="s">
        <v>448</v>
      </c>
    </row>
    <row r="6632" spans="1:3">
      <c r="A6632" s="250">
        <v>17304</v>
      </c>
      <c r="B6632" s="74" t="s">
        <v>4805</v>
      </c>
      <c r="C6632" s="74" t="s">
        <v>448</v>
      </c>
    </row>
    <row r="6633" spans="1:3">
      <c r="A6633" s="250">
        <v>17306</v>
      </c>
      <c r="B6633" s="74" t="s">
        <v>4806</v>
      </c>
      <c r="C6633" s="74" t="s">
        <v>448</v>
      </c>
    </row>
    <row r="6634" spans="1:3">
      <c r="A6634" s="250">
        <v>17307</v>
      </c>
      <c r="B6634" s="74" t="s">
        <v>4807</v>
      </c>
      <c r="C6634" s="74" t="s">
        <v>448</v>
      </c>
    </row>
    <row r="6635" spans="1:3">
      <c r="A6635" s="250">
        <v>17309</v>
      </c>
      <c r="B6635" s="74" t="s">
        <v>4808</v>
      </c>
      <c r="C6635" s="74" t="s">
        <v>448</v>
      </c>
    </row>
    <row r="6636" spans="1:3">
      <c r="A6636" s="250">
        <v>17310</v>
      </c>
      <c r="B6636" s="74" t="s">
        <v>4809</v>
      </c>
      <c r="C6636" s="74" t="s">
        <v>448</v>
      </c>
    </row>
    <row r="6637" spans="1:3">
      <c r="A6637" s="250">
        <v>17311</v>
      </c>
      <c r="B6637" s="74" t="s">
        <v>4810</v>
      </c>
      <c r="C6637" s="74" t="s">
        <v>448</v>
      </c>
    </row>
    <row r="6638" spans="1:3">
      <c r="A6638" s="250">
        <v>17312</v>
      </c>
      <c r="B6638" s="74" t="s">
        <v>4811</v>
      </c>
      <c r="C6638" s="74" t="s">
        <v>448</v>
      </c>
    </row>
    <row r="6639" spans="1:3">
      <c r="A6639" s="250">
        <v>17313</v>
      </c>
      <c r="B6639" s="74" t="s">
        <v>4812</v>
      </c>
      <c r="C6639" s="74" t="s">
        <v>448</v>
      </c>
    </row>
    <row r="6640" spans="1:3">
      <c r="A6640" s="250">
        <v>17314</v>
      </c>
      <c r="B6640" s="74" t="s">
        <v>4813</v>
      </c>
      <c r="C6640" s="74" t="s">
        <v>448</v>
      </c>
    </row>
    <row r="6641" spans="1:3">
      <c r="A6641" s="250">
        <v>17315</v>
      </c>
      <c r="B6641" s="74" t="s">
        <v>869</v>
      </c>
      <c r="C6641" s="74" t="s">
        <v>448</v>
      </c>
    </row>
    <row r="6642" spans="1:3">
      <c r="A6642" s="250">
        <v>17316</v>
      </c>
      <c r="B6642" s="74" t="s">
        <v>1937</v>
      </c>
      <c r="C6642" s="74" t="s">
        <v>448</v>
      </c>
    </row>
    <row r="6643" spans="1:3">
      <c r="A6643" s="250">
        <v>17317</v>
      </c>
      <c r="B6643" s="74" t="s">
        <v>4814</v>
      </c>
      <c r="C6643" s="74" t="s">
        <v>448</v>
      </c>
    </row>
    <row r="6644" spans="1:3">
      <c r="A6644" s="250">
        <v>17318</v>
      </c>
      <c r="B6644" s="74" t="s">
        <v>4815</v>
      </c>
      <c r="C6644" s="74" t="s">
        <v>448</v>
      </c>
    </row>
    <row r="6645" spans="1:3">
      <c r="A6645" s="250">
        <v>17319</v>
      </c>
      <c r="B6645" s="74" t="s">
        <v>4816</v>
      </c>
      <c r="C6645" s="74" t="s">
        <v>448</v>
      </c>
    </row>
    <row r="6646" spans="1:3">
      <c r="A6646" s="250">
        <v>17320</v>
      </c>
      <c r="B6646" s="74" t="s">
        <v>1694</v>
      </c>
      <c r="C6646" s="74" t="s">
        <v>448</v>
      </c>
    </row>
    <row r="6647" spans="1:3">
      <c r="A6647" s="250">
        <v>17321</v>
      </c>
      <c r="B6647" s="74" t="s">
        <v>4817</v>
      </c>
      <c r="C6647" s="74" t="s">
        <v>448</v>
      </c>
    </row>
    <row r="6648" spans="1:3">
      <c r="A6648" s="250">
        <v>17322</v>
      </c>
      <c r="B6648" s="74" t="s">
        <v>4818</v>
      </c>
      <c r="C6648" s="74" t="s">
        <v>448</v>
      </c>
    </row>
    <row r="6649" spans="1:3">
      <c r="A6649" s="250">
        <v>17323</v>
      </c>
      <c r="B6649" s="74" t="s">
        <v>4819</v>
      </c>
      <c r="C6649" s="74" t="s">
        <v>448</v>
      </c>
    </row>
    <row r="6650" spans="1:3">
      <c r="A6650" s="250">
        <v>17324</v>
      </c>
      <c r="B6650" s="74" t="s">
        <v>4820</v>
      </c>
      <c r="C6650" s="74" t="s">
        <v>448</v>
      </c>
    </row>
    <row r="6651" spans="1:3">
      <c r="A6651" s="250">
        <v>17325</v>
      </c>
      <c r="B6651" s="74" t="s">
        <v>4821</v>
      </c>
      <c r="C6651" s="74" t="s">
        <v>448</v>
      </c>
    </row>
    <row r="6652" spans="1:3">
      <c r="A6652" s="250">
        <v>17326</v>
      </c>
      <c r="B6652" s="74" t="s">
        <v>4821</v>
      </c>
      <c r="C6652" s="74" t="s">
        <v>448</v>
      </c>
    </row>
    <row r="6653" spans="1:3">
      <c r="A6653" s="250">
        <v>17327</v>
      </c>
      <c r="B6653" s="74" t="s">
        <v>2205</v>
      </c>
      <c r="C6653" s="74" t="s">
        <v>448</v>
      </c>
    </row>
    <row r="6654" spans="1:3">
      <c r="A6654" s="250">
        <v>17329</v>
      </c>
      <c r="B6654" s="74" t="s">
        <v>4822</v>
      </c>
      <c r="C6654" s="74" t="s">
        <v>448</v>
      </c>
    </row>
    <row r="6655" spans="1:3">
      <c r="A6655" s="250">
        <v>17331</v>
      </c>
      <c r="B6655" s="74" t="s">
        <v>944</v>
      </c>
      <c r="C6655" s="74" t="s">
        <v>448</v>
      </c>
    </row>
    <row r="6656" spans="1:3">
      <c r="A6656" s="250">
        <v>17332</v>
      </c>
      <c r="B6656" s="74" t="s">
        <v>944</v>
      </c>
      <c r="C6656" s="74" t="s">
        <v>448</v>
      </c>
    </row>
    <row r="6657" spans="1:3">
      <c r="A6657" s="250">
        <v>17333</v>
      </c>
      <c r="B6657" s="74" t="s">
        <v>944</v>
      </c>
      <c r="C6657" s="74" t="s">
        <v>448</v>
      </c>
    </row>
    <row r="6658" spans="1:3">
      <c r="A6658" s="250">
        <v>17334</v>
      </c>
      <c r="B6658" s="74" t="s">
        <v>944</v>
      </c>
      <c r="C6658" s="74" t="s">
        <v>448</v>
      </c>
    </row>
    <row r="6659" spans="1:3">
      <c r="A6659" s="250">
        <v>17335</v>
      </c>
      <c r="B6659" s="74" t="s">
        <v>944</v>
      </c>
      <c r="C6659" s="74" t="s">
        <v>448</v>
      </c>
    </row>
    <row r="6660" spans="1:3">
      <c r="A6660" s="250">
        <v>17337</v>
      </c>
      <c r="B6660" s="74" t="s">
        <v>4823</v>
      </c>
      <c r="C6660" s="74" t="s">
        <v>448</v>
      </c>
    </row>
    <row r="6661" spans="1:3">
      <c r="A6661" s="250">
        <v>17339</v>
      </c>
      <c r="B6661" s="74" t="s">
        <v>4824</v>
      </c>
      <c r="C6661" s="74" t="s">
        <v>448</v>
      </c>
    </row>
    <row r="6662" spans="1:3">
      <c r="A6662" s="250">
        <v>17340</v>
      </c>
      <c r="B6662" s="74" t="s">
        <v>4825</v>
      </c>
      <c r="C6662" s="74" t="s">
        <v>448</v>
      </c>
    </row>
    <row r="6663" spans="1:3">
      <c r="A6663" s="250">
        <v>17342</v>
      </c>
      <c r="B6663" s="74" t="s">
        <v>4826</v>
      </c>
      <c r="C6663" s="74" t="s">
        <v>448</v>
      </c>
    </row>
    <row r="6664" spans="1:3">
      <c r="A6664" s="250">
        <v>17343</v>
      </c>
      <c r="B6664" s="74" t="s">
        <v>4827</v>
      </c>
      <c r="C6664" s="74" t="s">
        <v>448</v>
      </c>
    </row>
    <row r="6665" spans="1:3">
      <c r="A6665" s="250">
        <v>17344</v>
      </c>
      <c r="B6665" s="74" t="s">
        <v>4828</v>
      </c>
      <c r="C6665" s="74" t="s">
        <v>448</v>
      </c>
    </row>
    <row r="6666" spans="1:3">
      <c r="A6666" s="250">
        <v>17345</v>
      </c>
      <c r="B6666" s="74" t="s">
        <v>848</v>
      </c>
      <c r="C6666" s="74" t="s">
        <v>448</v>
      </c>
    </row>
    <row r="6667" spans="1:3">
      <c r="A6667" s="250">
        <v>17347</v>
      </c>
      <c r="B6667" s="74" t="s">
        <v>4829</v>
      </c>
      <c r="C6667" s="74" t="s">
        <v>448</v>
      </c>
    </row>
    <row r="6668" spans="1:3">
      <c r="A6668" s="250">
        <v>17349</v>
      </c>
      <c r="B6668" s="74" t="s">
        <v>4830</v>
      </c>
      <c r="C6668" s="74" t="s">
        <v>448</v>
      </c>
    </row>
    <row r="6669" spans="1:3">
      <c r="A6669" s="250">
        <v>17350</v>
      </c>
      <c r="B6669" s="74" t="s">
        <v>4831</v>
      </c>
      <c r="C6669" s="74" t="s">
        <v>448</v>
      </c>
    </row>
    <row r="6670" spans="1:3">
      <c r="A6670" s="250">
        <v>17352</v>
      </c>
      <c r="B6670" s="74" t="s">
        <v>4832</v>
      </c>
      <c r="C6670" s="74" t="s">
        <v>448</v>
      </c>
    </row>
    <row r="6671" spans="1:3">
      <c r="A6671" s="250">
        <v>17353</v>
      </c>
      <c r="B6671" s="74" t="s">
        <v>4833</v>
      </c>
      <c r="C6671" s="74" t="s">
        <v>448</v>
      </c>
    </row>
    <row r="6672" spans="1:3">
      <c r="A6672" s="250">
        <v>17354</v>
      </c>
      <c r="B6672" s="74" t="s">
        <v>4834</v>
      </c>
      <c r="C6672" s="74" t="s">
        <v>448</v>
      </c>
    </row>
    <row r="6673" spans="1:3">
      <c r="A6673" s="250">
        <v>17355</v>
      </c>
      <c r="B6673" s="74" t="s">
        <v>4835</v>
      </c>
      <c r="C6673" s="74" t="s">
        <v>448</v>
      </c>
    </row>
    <row r="6674" spans="1:3">
      <c r="A6674" s="250">
        <v>17356</v>
      </c>
      <c r="B6674" s="74" t="s">
        <v>4836</v>
      </c>
      <c r="C6674" s="74" t="s">
        <v>448</v>
      </c>
    </row>
    <row r="6675" spans="1:3">
      <c r="A6675" s="250">
        <v>17358</v>
      </c>
      <c r="B6675" s="74" t="s">
        <v>4837</v>
      </c>
      <c r="C6675" s="74" t="s">
        <v>448</v>
      </c>
    </row>
    <row r="6676" spans="1:3">
      <c r="A6676" s="250">
        <v>17360</v>
      </c>
      <c r="B6676" s="74" t="s">
        <v>4838</v>
      </c>
      <c r="C6676" s="74" t="s">
        <v>448</v>
      </c>
    </row>
    <row r="6677" spans="1:3">
      <c r="A6677" s="250">
        <v>17361</v>
      </c>
      <c r="B6677" s="74" t="s">
        <v>758</v>
      </c>
      <c r="C6677" s="74" t="s">
        <v>448</v>
      </c>
    </row>
    <row r="6678" spans="1:3">
      <c r="A6678" s="250">
        <v>17362</v>
      </c>
      <c r="B6678" s="74" t="s">
        <v>4839</v>
      </c>
      <c r="C6678" s="74" t="s">
        <v>448</v>
      </c>
    </row>
    <row r="6679" spans="1:3">
      <c r="A6679" s="250">
        <v>17363</v>
      </c>
      <c r="B6679" s="74" t="s">
        <v>4840</v>
      </c>
      <c r="C6679" s="74" t="s">
        <v>448</v>
      </c>
    </row>
    <row r="6680" spans="1:3">
      <c r="A6680" s="250">
        <v>17364</v>
      </c>
      <c r="B6680" s="74" t="s">
        <v>4841</v>
      </c>
      <c r="C6680" s="74" t="s">
        <v>448</v>
      </c>
    </row>
    <row r="6681" spans="1:3">
      <c r="A6681" s="250">
        <v>17365</v>
      </c>
      <c r="B6681" s="74" t="s">
        <v>3952</v>
      </c>
      <c r="C6681" s="74" t="s">
        <v>448</v>
      </c>
    </row>
    <row r="6682" spans="1:3">
      <c r="A6682" s="250">
        <v>17366</v>
      </c>
      <c r="B6682" s="74" t="s">
        <v>669</v>
      </c>
      <c r="C6682" s="74" t="s">
        <v>448</v>
      </c>
    </row>
    <row r="6683" spans="1:3">
      <c r="A6683" s="250">
        <v>17368</v>
      </c>
      <c r="B6683" s="74" t="s">
        <v>4842</v>
      </c>
      <c r="C6683" s="74" t="s">
        <v>448</v>
      </c>
    </row>
    <row r="6684" spans="1:3">
      <c r="A6684" s="250">
        <v>17370</v>
      </c>
      <c r="B6684" s="74" t="s">
        <v>4843</v>
      </c>
      <c r="C6684" s="74" t="s">
        <v>448</v>
      </c>
    </row>
    <row r="6685" spans="1:3">
      <c r="A6685" s="250">
        <v>17371</v>
      </c>
      <c r="B6685" s="74" t="s">
        <v>4844</v>
      </c>
      <c r="C6685" s="74" t="s">
        <v>448</v>
      </c>
    </row>
    <row r="6686" spans="1:3">
      <c r="A6686" s="250">
        <v>17372</v>
      </c>
      <c r="B6686" s="74" t="s">
        <v>4845</v>
      </c>
      <c r="C6686" s="74" t="s">
        <v>448</v>
      </c>
    </row>
    <row r="6687" spans="1:3">
      <c r="A6687" s="250">
        <v>17375</v>
      </c>
      <c r="B6687" s="74" t="s">
        <v>4846</v>
      </c>
      <c r="C6687" s="74" t="s">
        <v>448</v>
      </c>
    </row>
    <row r="6688" spans="1:3">
      <c r="A6688" s="250">
        <v>17401</v>
      </c>
      <c r="B6688" s="74" t="s">
        <v>1359</v>
      </c>
      <c r="C6688" s="74" t="s">
        <v>448</v>
      </c>
    </row>
    <row r="6689" spans="1:3">
      <c r="A6689" s="250">
        <v>17402</v>
      </c>
      <c r="B6689" s="74" t="s">
        <v>1359</v>
      </c>
      <c r="C6689" s="74" t="s">
        <v>448</v>
      </c>
    </row>
    <row r="6690" spans="1:3">
      <c r="A6690" s="250">
        <v>17403</v>
      </c>
      <c r="B6690" s="74" t="s">
        <v>1359</v>
      </c>
      <c r="C6690" s="74" t="s">
        <v>448</v>
      </c>
    </row>
    <row r="6691" spans="1:3">
      <c r="A6691" s="250">
        <v>17404</v>
      </c>
      <c r="B6691" s="74" t="s">
        <v>1359</v>
      </c>
      <c r="C6691" s="74" t="s">
        <v>448</v>
      </c>
    </row>
    <row r="6692" spans="1:3">
      <c r="A6692" s="250">
        <v>17405</v>
      </c>
      <c r="B6692" s="74" t="s">
        <v>1359</v>
      </c>
      <c r="C6692" s="74" t="s">
        <v>448</v>
      </c>
    </row>
    <row r="6693" spans="1:3">
      <c r="A6693" s="250">
        <v>17406</v>
      </c>
      <c r="B6693" s="74" t="s">
        <v>1359</v>
      </c>
      <c r="C6693" s="74" t="s">
        <v>448</v>
      </c>
    </row>
    <row r="6694" spans="1:3">
      <c r="A6694" s="250">
        <v>17407</v>
      </c>
      <c r="B6694" s="74" t="s">
        <v>1359</v>
      </c>
      <c r="C6694" s="74" t="s">
        <v>448</v>
      </c>
    </row>
    <row r="6695" spans="1:3">
      <c r="A6695" s="250">
        <v>17408</v>
      </c>
      <c r="B6695" s="74" t="s">
        <v>1359</v>
      </c>
      <c r="C6695" s="74" t="s">
        <v>448</v>
      </c>
    </row>
    <row r="6696" spans="1:3">
      <c r="A6696" s="250">
        <v>17415</v>
      </c>
      <c r="B6696" s="74" t="s">
        <v>1359</v>
      </c>
      <c r="C6696" s="74" t="s">
        <v>448</v>
      </c>
    </row>
    <row r="6697" spans="1:3">
      <c r="A6697" s="250">
        <v>17501</v>
      </c>
      <c r="B6697" s="74" t="s">
        <v>3667</v>
      </c>
      <c r="C6697" s="74" t="s">
        <v>448</v>
      </c>
    </row>
    <row r="6698" spans="1:3">
      <c r="A6698" s="250">
        <v>17502</v>
      </c>
      <c r="B6698" s="74" t="s">
        <v>3593</v>
      </c>
      <c r="C6698" s="74" t="s">
        <v>448</v>
      </c>
    </row>
    <row r="6699" spans="1:3">
      <c r="A6699" s="250">
        <v>17503</v>
      </c>
      <c r="B6699" s="74" t="s">
        <v>4847</v>
      </c>
      <c r="C6699" s="74" t="s">
        <v>448</v>
      </c>
    </row>
    <row r="6700" spans="1:3">
      <c r="A6700" s="250">
        <v>17504</v>
      </c>
      <c r="B6700" s="74" t="s">
        <v>4848</v>
      </c>
      <c r="C6700" s="74" t="s">
        <v>448</v>
      </c>
    </row>
    <row r="6701" spans="1:3">
      <c r="A6701" s="250">
        <v>17505</v>
      </c>
      <c r="B6701" s="74" t="s">
        <v>4849</v>
      </c>
      <c r="C6701" s="74" t="s">
        <v>448</v>
      </c>
    </row>
    <row r="6702" spans="1:3">
      <c r="A6702" s="250">
        <v>17506</v>
      </c>
      <c r="B6702" s="74" t="s">
        <v>4850</v>
      </c>
      <c r="C6702" s="74" t="s">
        <v>448</v>
      </c>
    </row>
    <row r="6703" spans="1:3">
      <c r="A6703" s="250">
        <v>17507</v>
      </c>
      <c r="B6703" s="74" t="s">
        <v>3679</v>
      </c>
      <c r="C6703" s="74" t="s">
        <v>448</v>
      </c>
    </row>
    <row r="6704" spans="1:3">
      <c r="A6704" s="250">
        <v>17508</v>
      </c>
      <c r="B6704" s="74" t="s">
        <v>4851</v>
      </c>
      <c r="C6704" s="74" t="s">
        <v>448</v>
      </c>
    </row>
    <row r="6705" spans="1:3">
      <c r="A6705" s="250">
        <v>17509</v>
      </c>
      <c r="B6705" s="74" t="s">
        <v>4852</v>
      </c>
      <c r="C6705" s="74" t="s">
        <v>448</v>
      </c>
    </row>
    <row r="6706" spans="1:3">
      <c r="A6706" s="250">
        <v>17512</v>
      </c>
      <c r="B6706" s="74" t="s">
        <v>1985</v>
      </c>
      <c r="C6706" s="74" t="s">
        <v>448</v>
      </c>
    </row>
    <row r="6707" spans="1:3">
      <c r="A6707" s="250">
        <v>17516</v>
      </c>
      <c r="B6707" s="74" t="s">
        <v>4853</v>
      </c>
      <c r="C6707" s="74" t="s">
        <v>448</v>
      </c>
    </row>
    <row r="6708" spans="1:3">
      <c r="A6708" s="250">
        <v>17517</v>
      </c>
      <c r="B6708" s="74" t="s">
        <v>3040</v>
      </c>
      <c r="C6708" s="74" t="s">
        <v>448</v>
      </c>
    </row>
    <row r="6709" spans="1:3">
      <c r="A6709" s="250">
        <v>17518</v>
      </c>
      <c r="B6709" s="74" t="s">
        <v>4854</v>
      </c>
      <c r="C6709" s="74" t="s">
        <v>448</v>
      </c>
    </row>
    <row r="6710" spans="1:3">
      <c r="A6710" s="250">
        <v>17519</v>
      </c>
      <c r="B6710" s="74" t="s">
        <v>4855</v>
      </c>
      <c r="C6710" s="74" t="s">
        <v>448</v>
      </c>
    </row>
    <row r="6711" spans="1:3">
      <c r="A6711" s="250">
        <v>17520</v>
      </c>
      <c r="B6711" s="74" t="s">
        <v>4856</v>
      </c>
      <c r="C6711" s="74" t="s">
        <v>448</v>
      </c>
    </row>
    <row r="6712" spans="1:3">
      <c r="A6712" s="250">
        <v>17521</v>
      </c>
      <c r="B6712" s="74" t="s">
        <v>4857</v>
      </c>
      <c r="C6712" s="74" t="s">
        <v>448</v>
      </c>
    </row>
    <row r="6713" spans="1:3">
      <c r="A6713" s="250">
        <v>17522</v>
      </c>
      <c r="B6713" s="74" t="s">
        <v>4858</v>
      </c>
      <c r="C6713" s="74" t="s">
        <v>448</v>
      </c>
    </row>
    <row r="6714" spans="1:3">
      <c r="A6714" s="250">
        <v>17527</v>
      </c>
      <c r="B6714" s="74" t="s">
        <v>4859</v>
      </c>
      <c r="C6714" s="74" t="s">
        <v>448</v>
      </c>
    </row>
    <row r="6715" spans="1:3">
      <c r="A6715" s="250">
        <v>17528</v>
      </c>
      <c r="B6715" s="74" t="s">
        <v>4860</v>
      </c>
      <c r="C6715" s="74" t="s">
        <v>448</v>
      </c>
    </row>
    <row r="6716" spans="1:3">
      <c r="A6716" s="250">
        <v>17529</v>
      </c>
      <c r="B6716" s="74" t="s">
        <v>4861</v>
      </c>
      <c r="C6716" s="74" t="s">
        <v>448</v>
      </c>
    </row>
    <row r="6717" spans="1:3">
      <c r="A6717" s="250">
        <v>17532</v>
      </c>
      <c r="B6717" s="74" t="s">
        <v>4862</v>
      </c>
      <c r="C6717" s="74" t="s">
        <v>448</v>
      </c>
    </row>
    <row r="6718" spans="1:3">
      <c r="A6718" s="250">
        <v>17533</v>
      </c>
      <c r="B6718" s="74" t="s">
        <v>4863</v>
      </c>
      <c r="C6718" s="74" t="s">
        <v>448</v>
      </c>
    </row>
    <row r="6719" spans="1:3">
      <c r="A6719" s="250">
        <v>17534</v>
      </c>
      <c r="B6719" s="74" t="s">
        <v>4864</v>
      </c>
      <c r="C6719" s="74" t="s">
        <v>448</v>
      </c>
    </row>
    <row r="6720" spans="1:3">
      <c r="A6720" s="250">
        <v>17535</v>
      </c>
      <c r="B6720" s="74" t="s">
        <v>4865</v>
      </c>
      <c r="C6720" s="74" t="s">
        <v>448</v>
      </c>
    </row>
    <row r="6721" spans="1:3">
      <c r="A6721" s="250">
        <v>17536</v>
      </c>
      <c r="B6721" s="74" t="s">
        <v>3625</v>
      </c>
      <c r="C6721" s="74" t="s">
        <v>448</v>
      </c>
    </row>
    <row r="6722" spans="1:3">
      <c r="A6722" s="250">
        <v>17537</v>
      </c>
      <c r="B6722" s="74" t="s">
        <v>4866</v>
      </c>
      <c r="C6722" s="74" t="s">
        <v>448</v>
      </c>
    </row>
    <row r="6723" spans="1:3">
      <c r="A6723" s="250">
        <v>17538</v>
      </c>
      <c r="B6723" s="74" t="s">
        <v>2487</v>
      </c>
      <c r="C6723" s="74" t="s">
        <v>448</v>
      </c>
    </row>
    <row r="6724" spans="1:3">
      <c r="A6724" s="250">
        <v>17540</v>
      </c>
      <c r="B6724" s="74" t="s">
        <v>4867</v>
      </c>
      <c r="C6724" s="74" t="s">
        <v>448</v>
      </c>
    </row>
    <row r="6725" spans="1:3">
      <c r="A6725" s="250">
        <v>17543</v>
      </c>
      <c r="B6725" s="74" t="s">
        <v>4868</v>
      </c>
      <c r="C6725" s="74" t="s">
        <v>448</v>
      </c>
    </row>
    <row r="6726" spans="1:3">
      <c r="A6726" s="250">
        <v>17545</v>
      </c>
      <c r="B6726" s="74" t="s">
        <v>4869</v>
      </c>
      <c r="C6726" s="74" t="s">
        <v>448</v>
      </c>
    </row>
    <row r="6727" spans="1:3">
      <c r="A6727" s="250">
        <v>17547</v>
      </c>
      <c r="B6727" s="74" t="s">
        <v>3385</v>
      </c>
      <c r="C6727" s="74" t="s">
        <v>448</v>
      </c>
    </row>
    <row r="6728" spans="1:3">
      <c r="A6728" s="250">
        <v>17549</v>
      </c>
      <c r="B6728" s="74" t="s">
        <v>4870</v>
      </c>
      <c r="C6728" s="74" t="s">
        <v>448</v>
      </c>
    </row>
    <row r="6729" spans="1:3">
      <c r="A6729" s="250">
        <v>17550</v>
      </c>
      <c r="B6729" s="74" t="s">
        <v>4871</v>
      </c>
      <c r="C6729" s="74" t="s">
        <v>448</v>
      </c>
    </row>
    <row r="6730" spans="1:3">
      <c r="A6730" s="250">
        <v>17551</v>
      </c>
      <c r="B6730" s="74" t="s">
        <v>4872</v>
      </c>
      <c r="C6730" s="74" t="s">
        <v>448</v>
      </c>
    </row>
    <row r="6731" spans="1:3">
      <c r="A6731" s="250">
        <v>17552</v>
      </c>
      <c r="B6731" s="74" t="s">
        <v>4873</v>
      </c>
      <c r="C6731" s="74" t="s">
        <v>448</v>
      </c>
    </row>
    <row r="6732" spans="1:3">
      <c r="A6732" s="250">
        <v>17554</v>
      </c>
      <c r="B6732" s="74" t="s">
        <v>4874</v>
      </c>
      <c r="C6732" s="74" t="s">
        <v>448</v>
      </c>
    </row>
    <row r="6733" spans="1:3">
      <c r="A6733" s="250">
        <v>17555</v>
      </c>
      <c r="B6733" s="74" t="s">
        <v>4875</v>
      </c>
      <c r="C6733" s="74" t="s">
        <v>448</v>
      </c>
    </row>
    <row r="6734" spans="1:3">
      <c r="A6734" s="250">
        <v>17557</v>
      </c>
      <c r="B6734" s="74" t="s">
        <v>4876</v>
      </c>
      <c r="C6734" s="74" t="s">
        <v>448</v>
      </c>
    </row>
    <row r="6735" spans="1:3">
      <c r="A6735" s="250">
        <v>17560</v>
      </c>
      <c r="B6735" s="74" t="s">
        <v>2356</v>
      </c>
      <c r="C6735" s="74" t="s">
        <v>448</v>
      </c>
    </row>
    <row r="6736" spans="1:3">
      <c r="A6736" s="250">
        <v>17562</v>
      </c>
      <c r="B6736" s="74" t="s">
        <v>4877</v>
      </c>
      <c r="C6736" s="74" t="s">
        <v>448</v>
      </c>
    </row>
    <row r="6737" spans="1:3">
      <c r="A6737" s="250">
        <v>17563</v>
      </c>
      <c r="B6737" s="74" t="s">
        <v>4878</v>
      </c>
      <c r="C6737" s="74" t="s">
        <v>448</v>
      </c>
    </row>
    <row r="6738" spans="1:3">
      <c r="A6738" s="250">
        <v>17564</v>
      </c>
      <c r="B6738" s="74" t="s">
        <v>4879</v>
      </c>
      <c r="C6738" s="74" t="s">
        <v>448</v>
      </c>
    </row>
    <row r="6739" spans="1:3">
      <c r="A6739" s="250">
        <v>17565</v>
      </c>
      <c r="B6739" s="74" t="s">
        <v>4880</v>
      </c>
      <c r="C6739" s="74" t="s">
        <v>448</v>
      </c>
    </row>
    <row r="6740" spans="1:3">
      <c r="A6740" s="250">
        <v>17566</v>
      </c>
      <c r="B6740" s="74" t="s">
        <v>4881</v>
      </c>
      <c r="C6740" s="74" t="s">
        <v>448</v>
      </c>
    </row>
    <row r="6741" spans="1:3">
      <c r="A6741" s="250">
        <v>17567</v>
      </c>
      <c r="B6741" s="74" t="s">
        <v>4882</v>
      </c>
      <c r="C6741" s="74" t="s">
        <v>448</v>
      </c>
    </row>
    <row r="6742" spans="1:3">
      <c r="A6742" s="250">
        <v>17568</v>
      </c>
      <c r="B6742" s="74" t="s">
        <v>4883</v>
      </c>
      <c r="C6742" s="74" t="s">
        <v>448</v>
      </c>
    </row>
    <row r="6743" spans="1:3">
      <c r="A6743" s="250">
        <v>17569</v>
      </c>
      <c r="B6743" s="74" t="s">
        <v>4884</v>
      </c>
      <c r="C6743" s="74" t="s">
        <v>448</v>
      </c>
    </row>
    <row r="6744" spans="1:3">
      <c r="A6744" s="250">
        <v>17570</v>
      </c>
      <c r="B6744" s="74" t="s">
        <v>4885</v>
      </c>
      <c r="C6744" s="74" t="s">
        <v>448</v>
      </c>
    </row>
    <row r="6745" spans="1:3">
      <c r="A6745" s="250">
        <v>17572</v>
      </c>
      <c r="B6745" s="74" t="s">
        <v>4886</v>
      </c>
      <c r="C6745" s="74" t="s">
        <v>448</v>
      </c>
    </row>
    <row r="6746" spans="1:3">
      <c r="A6746" s="250">
        <v>17573</v>
      </c>
      <c r="B6746" s="74" t="s">
        <v>741</v>
      </c>
      <c r="C6746" s="74" t="s">
        <v>448</v>
      </c>
    </row>
    <row r="6747" spans="1:3">
      <c r="A6747" s="250">
        <v>17575</v>
      </c>
      <c r="B6747" s="74" t="s">
        <v>4887</v>
      </c>
      <c r="C6747" s="74" t="s">
        <v>448</v>
      </c>
    </row>
    <row r="6748" spans="1:3">
      <c r="A6748" s="250">
        <v>17576</v>
      </c>
      <c r="B6748" s="74" t="s">
        <v>4888</v>
      </c>
      <c r="C6748" s="74" t="s">
        <v>448</v>
      </c>
    </row>
    <row r="6749" spans="1:3">
      <c r="A6749" s="250">
        <v>17578</v>
      </c>
      <c r="B6749" s="74" t="s">
        <v>4889</v>
      </c>
      <c r="C6749" s="74" t="s">
        <v>448</v>
      </c>
    </row>
    <row r="6750" spans="1:3">
      <c r="A6750" s="250">
        <v>17579</v>
      </c>
      <c r="B6750" s="74" t="s">
        <v>4890</v>
      </c>
      <c r="C6750" s="74" t="s">
        <v>448</v>
      </c>
    </row>
    <row r="6751" spans="1:3">
      <c r="A6751" s="250">
        <v>17580</v>
      </c>
      <c r="B6751" s="74" t="s">
        <v>4891</v>
      </c>
      <c r="C6751" s="74" t="s">
        <v>448</v>
      </c>
    </row>
    <row r="6752" spans="1:3">
      <c r="A6752" s="250">
        <v>17581</v>
      </c>
      <c r="B6752" s="74" t="s">
        <v>4892</v>
      </c>
      <c r="C6752" s="74" t="s">
        <v>448</v>
      </c>
    </row>
    <row r="6753" spans="1:3">
      <c r="A6753" s="250">
        <v>17582</v>
      </c>
      <c r="B6753" s="74" t="s">
        <v>4893</v>
      </c>
      <c r="C6753" s="74" t="s">
        <v>448</v>
      </c>
    </row>
    <row r="6754" spans="1:3">
      <c r="A6754" s="250">
        <v>17583</v>
      </c>
      <c r="B6754" s="74" t="s">
        <v>4894</v>
      </c>
      <c r="C6754" s="74" t="s">
        <v>448</v>
      </c>
    </row>
    <row r="6755" spans="1:3">
      <c r="A6755" s="250">
        <v>17584</v>
      </c>
      <c r="B6755" s="74" t="s">
        <v>4895</v>
      </c>
      <c r="C6755" s="74" t="s">
        <v>448</v>
      </c>
    </row>
    <row r="6756" spans="1:3">
      <c r="A6756" s="250">
        <v>17585</v>
      </c>
      <c r="B6756" s="74" t="s">
        <v>4896</v>
      </c>
      <c r="C6756" s="74" t="s">
        <v>448</v>
      </c>
    </row>
    <row r="6757" spans="1:3">
      <c r="A6757" s="250">
        <v>17601</v>
      </c>
      <c r="B6757" s="74" t="s">
        <v>741</v>
      </c>
      <c r="C6757" s="74" t="s">
        <v>448</v>
      </c>
    </row>
    <row r="6758" spans="1:3">
      <c r="A6758" s="250">
        <v>17602</v>
      </c>
      <c r="B6758" s="74" t="s">
        <v>741</v>
      </c>
      <c r="C6758" s="74" t="s">
        <v>448</v>
      </c>
    </row>
    <row r="6759" spans="1:3">
      <c r="A6759" s="250">
        <v>17603</v>
      </c>
      <c r="B6759" s="74" t="s">
        <v>741</v>
      </c>
      <c r="C6759" s="74" t="s">
        <v>448</v>
      </c>
    </row>
    <row r="6760" spans="1:3">
      <c r="A6760" s="250">
        <v>17604</v>
      </c>
      <c r="B6760" s="74" t="s">
        <v>741</v>
      </c>
      <c r="C6760" s="74" t="s">
        <v>448</v>
      </c>
    </row>
    <row r="6761" spans="1:3">
      <c r="A6761" s="250">
        <v>17605</v>
      </c>
      <c r="B6761" s="74" t="s">
        <v>741</v>
      </c>
      <c r="C6761" s="74" t="s">
        <v>448</v>
      </c>
    </row>
    <row r="6762" spans="1:3">
      <c r="A6762" s="250">
        <v>17606</v>
      </c>
      <c r="B6762" s="74" t="s">
        <v>741</v>
      </c>
      <c r="C6762" s="74" t="s">
        <v>448</v>
      </c>
    </row>
    <row r="6763" spans="1:3">
      <c r="A6763" s="250">
        <v>17607</v>
      </c>
      <c r="B6763" s="74" t="s">
        <v>741</v>
      </c>
      <c r="C6763" s="74" t="s">
        <v>448</v>
      </c>
    </row>
    <row r="6764" spans="1:3">
      <c r="A6764" s="250">
        <v>17608</v>
      </c>
      <c r="B6764" s="74" t="s">
        <v>741</v>
      </c>
      <c r="C6764" s="74" t="s">
        <v>448</v>
      </c>
    </row>
    <row r="6765" spans="1:3">
      <c r="A6765" s="250">
        <v>17611</v>
      </c>
      <c r="B6765" s="74" t="s">
        <v>741</v>
      </c>
      <c r="C6765" s="74" t="s">
        <v>448</v>
      </c>
    </row>
    <row r="6766" spans="1:3">
      <c r="A6766" s="250">
        <v>17622</v>
      </c>
      <c r="B6766" s="74" t="s">
        <v>741</v>
      </c>
      <c r="C6766" s="74" t="s">
        <v>448</v>
      </c>
    </row>
    <row r="6767" spans="1:3">
      <c r="A6767" s="250">
        <v>17699</v>
      </c>
      <c r="B6767" s="74" t="s">
        <v>741</v>
      </c>
      <c r="C6767" s="74" t="s">
        <v>448</v>
      </c>
    </row>
    <row r="6768" spans="1:3">
      <c r="A6768" s="250">
        <v>17701</v>
      </c>
      <c r="B6768" s="74" t="s">
        <v>4897</v>
      </c>
      <c r="C6768" s="74" t="s">
        <v>448</v>
      </c>
    </row>
    <row r="6769" spans="1:3">
      <c r="A6769" s="250">
        <v>17702</v>
      </c>
      <c r="B6769" s="74" t="s">
        <v>4897</v>
      </c>
      <c r="C6769" s="74" t="s">
        <v>448</v>
      </c>
    </row>
    <row r="6770" spans="1:3">
      <c r="A6770" s="250">
        <v>17703</v>
      </c>
      <c r="B6770" s="74" t="s">
        <v>4897</v>
      </c>
      <c r="C6770" s="74" t="s">
        <v>448</v>
      </c>
    </row>
    <row r="6771" spans="1:3">
      <c r="A6771" s="250">
        <v>17705</v>
      </c>
      <c r="B6771" s="74" t="s">
        <v>4897</v>
      </c>
      <c r="C6771" s="74" t="s">
        <v>448</v>
      </c>
    </row>
    <row r="6772" spans="1:3">
      <c r="A6772" s="250">
        <v>17720</v>
      </c>
      <c r="B6772" s="74" t="s">
        <v>4898</v>
      </c>
      <c r="C6772" s="74" t="s">
        <v>448</v>
      </c>
    </row>
    <row r="6773" spans="1:3">
      <c r="A6773" s="250">
        <v>17721</v>
      </c>
      <c r="B6773" s="74" t="s">
        <v>4899</v>
      </c>
      <c r="C6773" s="74" t="s">
        <v>448</v>
      </c>
    </row>
    <row r="6774" spans="1:3">
      <c r="A6774" s="250">
        <v>17723</v>
      </c>
      <c r="B6774" s="74" t="s">
        <v>4900</v>
      </c>
      <c r="C6774" s="74" t="s">
        <v>448</v>
      </c>
    </row>
    <row r="6775" spans="1:3">
      <c r="A6775" s="250">
        <v>17724</v>
      </c>
      <c r="B6775" s="74" t="s">
        <v>866</v>
      </c>
      <c r="C6775" s="74" t="s">
        <v>448</v>
      </c>
    </row>
    <row r="6776" spans="1:3">
      <c r="A6776" s="250">
        <v>17726</v>
      </c>
      <c r="B6776" s="74" t="s">
        <v>4901</v>
      </c>
      <c r="C6776" s="74" t="s">
        <v>448</v>
      </c>
    </row>
    <row r="6777" spans="1:3">
      <c r="A6777" s="250">
        <v>17727</v>
      </c>
      <c r="B6777" s="74" t="s">
        <v>4902</v>
      </c>
      <c r="C6777" s="74" t="s">
        <v>448</v>
      </c>
    </row>
    <row r="6778" spans="1:3">
      <c r="A6778" s="250">
        <v>17728</v>
      </c>
      <c r="B6778" s="74" t="s">
        <v>4903</v>
      </c>
      <c r="C6778" s="74" t="s">
        <v>448</v>
      </c>
    </row>
    <row r="6779" spans="1:3">
      <c r="A6779" s="250">
        <v>17729</v>
      </c>
      <c r="B6779" s="74" t="s">
        <v>4904</v>
      </c>
      <c r="C6779" s="74" t="s">
        <v>448</v>
      </c>
    </row>
    <row r="6780" spans="1:3">
      <c r="A6780" s="250">
        <v>17730</v>
      </c>
      <c r="B6780" s="74" t="s">
        <v>4905</v>
      </c>
      <c r="C6780" s="74" t="s">
        <v>448</v>
      </c>
    </row>
    <row r="6781" spans="1:3">
      <c r="A6781" s="250">
        <v>17731</v>
      </c>
      <c r="B6781" s="74" t="s">
        <v>4906</v>
      </c>
      <c r="C6781" s="74" t="s">
        <v>448</v>
      </c>
    </row>
    <row r="6782" spans="1:3">
      <c r="A6782" s="250">
        <v>17735</v>
      </c>
      <c r="B6782" s="74" t="s">
        <v>4907</v>
      </c>
      <c r="C6782" s="74" t="s">
        <v>448</v>
      </c>
    </row>
    <row r="6783" spans="1:3">
      <c r="A6783" s="250">
        <v>17737</v>
      </c>
      <c r="B6783" s="74" t="s">
        <v>4908</v>
      </c>
      <c r="C6783" s="74" t="s">
        <v>448</v>
      </c>
    </row>
    <row r="6784" spans="1:3">
      <c r="A6784" s="250">
        <v>17738</v>
      </c>
      <c r="B6784" s="74" t="s">
        <v>4909</v>
      </c>
      <c r="C6784" s="74" t="s">
        <v>448</v>
      </c>
    </row>
    <row r="6785" spans="1:3">
      <c r="A6785" s="250">
        <v>17739</v>
      </c>
      <c r="B6785" s="74" t="s">
        <v>4910</v>
      </c>
      <c r="C6785" s="74" t="s">
        <v>448</v>
      </c>
    </row>
    <row r="6786" spans="1:3">
      <c r="A6786" s="250">
        <v>17740</v>
      </c>
      <c r="B6786" s="74" t="s">
        <v>4911</v>
      </c>
      <c r="C6786" s="74" t="s">
        <v>448</v>
      </c>
    </row>
    <row r="6787" spans="1:3">
      <c r="A6787" s="250">
        <v>17742</v>
      </c>
      <c r="B6787" s="74" t="s">
        <v>4912</v>
      </c>
      <c r="C6787" s="74" t="s">
        <v>448</v>
      </c>
    </row>
    <row r="6788" spans="1:3">
      <c r="A6788" s="250">
        <v>17744</v>
      </c>
      <c r="B6788" s="74" t="s">
        <v>2134</v>
      </c>
      <c r="C6788" s="74" t="s">
        <v>448</v>
      </c>
    </row>
    <row r="6789" spans="1:3">
      <c r="A6789" s="250">
        <v>17745</v>
      </c>
      <c r="B6789" s="74" t="s">
        <v>4913</v>
      </c>
      <c r="C6789" s="74" t="s">
        <v>448</v>
      </c>
    </row>
    <row r="6790" spans="1:3">
      <c r="A6790" s="250">
        <v>17747</v>
      </c>
      <c r="B6790" s="74" t="s">
        <v>4914</v>
      </c>
      <c r="C6790" s="74" t="s">
        <v>448</v>
      </c>
    </row>
    <row r="6791" spans="1:3">
      <c r="A6791" s="250">
        <v>17748</v>
      </c>
      <c r="B6791" s="74" t="s">
        <v>4915</v>
      </c>
      <c r="C6791" s="74" t="s">
        <v>448</v>
      </c>
    </row>
    <row r="6792" spans="1:3">
      <c r="A6792" s="250">
        <v>17749</v>
      </c>
      <c r="B6792" s="74" t="s">
        <v>4916</v>
      </c>
      <c r="C6792" s="74" t="s">
        <v>448</v>
      </c>
    </row>
    <row r="6793" spans="1:3">
      <c r="A6793" s="250">
        <v>17750</v>
      </c>
      <c r="B6793" s="74" t="s">
        <v>4917</v>
      </c>
      <c r="C6793" s="74" t="s">
        <v>448</v>
      </c>
    </row>
    <row r="6794" spans="1:3">
      <c r="A6794" s="250">
        <v>17751</v>
      </c>
      <c r="B6794" s="74" t="s">
        <v>4918</v>
      </c>
      <c r="C6794" s="74" t="s">
        <v>448</v>
      </c>
    </row>
    <row r="6795" spans="1:3">
      <c r="A6795" s="250">
        <v>17752</v>
      </c>
      <c r="B6795" s="74" t="s">
        <v>1821</v>
      </c>
      <c r="C6795" s="74" t="s">
        <v>448</v>
      </c>
    </row>
    <row r="6796" spans="1:3">
      <c r="A6796" s="250">
        <v>17754</v>
      </c>
      <c r="B6796" s="74" t="s">
        <v>4919</v>
      </c>
      <c r="C6796" s="74" t="s">
        <v>448</v>
      </c>
    </row>
    <row r="6797" spans="1:3">
      <c r="A6797" s="250">
        <v>17756</v>
      </c>
      <c r="B6797" s="74" t="s">
        <v>4920</v>
      </c>
      <c r="C6797" s="74" t="s">
        <v>448</v>
      </c>
    </row>
    <row r="6798" spans="1:3">
      <c r="A6798" s="250">
        <v>17758</v>
      </c>
      <c r="B6798" s="74" t="s">
        <v>4921</v>
      </c>
      <c r="C6798" s="74" t="s">
        <v>448</v>
      </c>
    </row>
    <row r="6799" spans="1:3">
      <c r="A6799" s="250">
        <v>17760</v>
      </c>
      <c r="B6799" s="74" t="s">
        <v>4909</v>
      </c>
      <c r="C6799" s="74" t="s">
        <v>448</v>
      </c>
    </row>
    <row r="6800" spans="1:3">
      <c r="A6800" s="250">
        <v>17762</v>
      </c>
      <c r="B6800" s="74" t="s">
        <v>4922</v>
      </c>
      <c r="C6800" s="74" t="s">
        <v>448</v>
      </c>
    </row>
    <row r="6801" spans="1:3">
      <c r="A6801" s="250">
        <v>17763</v>
      </c>
      <c r="B6801" s="74" t="s">
        <v>4923</v>
      </c>
      <c r="C6801" s="74" t="s">
        <v>448</v>
      </c>
    </row>
    <row r="6802" spans="1:3">
      <c r="A6802" s="250">
        <v>17764</v>
      </c>
      <c r="B6802" s="74" t="s">
        <v>4924</v>
      </c>
      <c r="C6802" s="74" t="s">
        <v>448</v>
      </c>
    </row>
    <row r="6803" spans="1:3">
      <c r="A6803" s="250">
        <v>17765</v>
      </c>
      <c r="B6803" s="74" t="s">
        <v>4925</v>
      </c>
      <c r="C6803" s="74" t="s">
        <v>448</v>
      </c>
    </row>
    <row r="6804" spans="1:3">
      <c r="A6804" s="250">
        <v>17767</v>
      </c>
      <c r="B6804" s="74" t="s">
        <v>4926</v>
      </c>
      <c r="C6804" s="74" t="s">
        <v>448</v>
      </c>
    </row>
    <row r="6805" spans="1:3">
      <c r="A6805" s="250">
        <v>17768</v>
      </c>
      <c r="B6805" s="74" t="s">
        <v>4927</v>
      </c>
      <c r="C6805" s="74" t="s">
        <v>448</v>
      </c>
    </row>
    <row r="6806" spans="1:3">
      <c r="A6806" s="250">
        <v>17769</v>
      </c>
      <c r="B6806" s="74" t="s">
        <v>4928</v>
      </c>
      <c r="C6806" s="74" t="s">
        <v>448</v>
      </c>
    </row>
    <row r="6807" spans="1:3">
      <c r="A6807" s="250">
        <v>17771</v>
      </c>
      <c r="B6807" s="74" t="s">
        <v>4929</v>
      </c>
      <c r="C6807" s="74" t="s">
        <v>448</v>
      </c>
    </row>
    <row r="6808" spans="1:3">
      <c r="A6808" s="250">
        <v>17772</v>
      </c>
      <c r="B6808" s="74" t="s">
        <v>4930</v>
      </c>
      <c r="C6808" s="74" t="s">
        <v>448</v>
      </c>
    </row>
    <row r="6809" spans="1:3">
      <c r="A6809" s="250">
        <v>17773</v>
      </c>
      <c r="B6809" s="74" t="s">
        <v>4931</v>
      </c>
      <c r="C6809" s="74" t="s">
        <v>448</v>
      </c>
    </row>
    <row r="6810" spans="1:3">
      <c r="A6810" s="250">
        <v>17774</v>
      </c>
      <c r="B6810" s="74" t="s">
        <v>4932</v>
      </c>
      <c r="C6810" s="74" t="s">
        <v>448</v>
      </c>
    </row>
    <row r="6811" spans="1:3">
      <c r="A6811" s="250">
        <v>17776</v>
      </c>
      <c r="B6811" s="74" t="s">
        <v>1676</v>
      </c>
      <c r="C6811" s="74" t="s">
        <v>448</v>
      </c>
    </row>
    <row r="6812" spans="1:3">
      <c r="A6812" s="250">
        <v>17777</v>
      </c>
      <c r="B6812" s="74" t="s">
        <v>4933</v>
      </c>
      <c r="C6812" s="74" t="s">
        <v>448</v>
      </c>
    </row>
    <row r="6813" spans="1:3">
      <c r="A6813" s="250">
        <v>17778</v>
      </c>
      <c r="B6813" s="74" t="s">
        <v>1090</v>
      </c>
      <c r="C6813" s="74" t="s">
        <v>448</v>
      </c>
    </row>
    <row r="6814" spans="1:3">
      <c r="A6814" s="250">
        <v>17779</v>
      </c>
      <c r="B6814" s="74" t="s">
        <v>4934</v>
      </c>
      <c r="C6814" s="74" t="s">
        <v>448</v>
      </c>
    </row>
    <row r="6815" spans="1:3">
      <c r="A6815" s="250">
        <v>17801</v>
      </c>
      <c r="B6815" s="74" t="s">
        <v>4935</v>
      </c>
      <c r="C6815" s="74" t="s">
        <v>448</v>
      </c>
    </row>
    <row r="6816" spans="1:3">
      <c r="A6816" s="250">
        <v>17810</v>
      </c>
      <c r="B6816" s="74" t="s">
        <v>2536</v>
      </c>
      <c r="C6816" s="74" t="s">
        <v>448</v>
      </c>
    </row>
    <row r="6817" spans="1:3">
      <c r="A6817" s="250">
        <v>17812</v>
      </c>
      <c r="B6817" s="74" t="s">
        <v>4936</v>
      </c>
      <c r="C6817" s="74" t="s">
        <v>448</v>
      </c>
    </row>
    <row r="6818" spans="1:3">
      <c r="A6818" s="250">
        <v>17813</v>
      </c>
      <c r="B6818" s="74" t="s">
        <v>4937</v>
      </c>
      <c r="C6818" s="74" t="s">
        <v>448</v>
      </c>
    </row>
    <row r="6819" spans="1:3">
      <c r="A6819" s="250">
        <v>17814</v>
      </c>
      <c r="B6819" s="74" t="s">
        <v>4938</v>
      </c>
      <c r="C6819" s="74" t="s">
        <v>448</v>
      </c>
    </row>
    <row r="6820" spans="1:3">
      <c r="A6820" s="250">
        <v>17815</v>
      </c>
      <c r="B6820" s="74" t="s">
        <v>4939</v>
      </c>
      <c r="C6820" s="74" t="s">
        <v>448</v>
      </c>
    </row>
    <row r="6821" spans="1:3">
      <c r="A6821" s="250">
        <v>17820</v>
      </c>
      <c r="B6821" s="74" t="s">
        <v>4940</v>
      </c>
      <c r="C6821" s="74" t="s">
        <v>448</v>
      </c>
    </row>
    <row r="6822" spans="1:3">
      <c r="A6822" s="250">
        <v>17821</v>
      </c>
      <c r="B6822" s="74" t="s">
        <v>1302</v>
      </c>
      <c r="C6822" s="74" t="s">
        <v>448</v>
      </c>
    </row>
    <row r="6823" spans="1:3">
      <c r="A6823" s="250">
        <v>17822</v>
      </c>
      <c r="B6823" s="74" t="s">
        <v>1302</v>
      </c>
      <c r="C6823" s="74" t="s">
        <v>448</v>
      </c>
    </row>
    <row r="6824" spans="1:3">
      <c r="A6824" s="250">
        <v>17823</v>
      </c>
      <c r="B6824" s="74" t="s">
        <v>4941</v>
      </c>
      <c r="C6824" s="74" t="s">
        <v>448</v>
      </c>
    </row>
    <row r="6825" spans="1:3">
      <c r="A6825" s="250">
        <v>17824</v>
      </c>
      <c r="B6825" s="74" t="s">
        <v>4942</v>
      </c>
      <c r="C6825" s="74" t="s">
        <v>448</v>
      </c>
    </row>
    <row r="6826" spans="1:3">
      <c r="A6826" s="250">
        <v>17827</v>
      </c>
      <c r="B6826" s="74" t="s">
        <v>4943</v>
      </c>
      <c r="C6826" s="74" t="s">
        <v>448</v>
      </c>
    </row>
    <row r="6827" spans="1:3">
      <c r="A6827" s="250">
        <v>17829</v>
      </c>
      <c r="B6827" s="74" t="s">
        <v>4944</v>
      </c>
      <c r="C6827" s="74" t="s">
        <v>448</v>
      </c>
    </row>
    <row r="6828" spans="1:3">
      <c r="A6828" s="250">
        <v>17830</v>
      </c>
      <c r="B6828" s="74" t="s">
        <v>4945</v>
      </c>
      <c r="C6828" s="74" t="s">
        <v>448</v>
      </c>
    </row>
    <row r="6829" spans="1:3">
      <c r="A6829" s="250">
        <v>17831</v>
      </c>
      <c r="B6829" s="74" t="s">
        <v>4946</v>
      </c>
      <c r="C6829" s="74" t="s">
        <v>448</v>
      </c>
    </row>
    <row r="6830" spans="1:3">
      <c r="A6830" s="250">
        <v>17832</v>
      </c>
      <c r="B6830" s="74" t="s">
        <v>4947</v>
      </c>
      <c r="C6830" s="74" t="s">
        <v>448</v>
      </c>
    </row>
    <row r="6831" spans="1:3">
      <c r="A6831" s="250">
        <v>17833</v>
      </c>
      <c r="B6831" s="74" t="s">
        <v>4948</v>
      </c>
      <c r="C6831" s="74" t="s">
        <v>448</v>
      </c>
    </row>
    <row r="6832" spans="1:3">
      <c r="A6832" s="250">
        <v>17834</v>
      </c>
      <c r="B6832" s="74" t="s">
        <v>4949</v>
      </c>
      <c r="C6832" s="74" t="s">
        <v>448</v>
      </c>
    </row>
    <row r="6833" spans="1:3">
      <c r="A6833" s="250">
        <v>17835</v>
      </c>
      <c r="B6833" s="74" t="s">
        <v>4950</v>
      </c>
      <c r="C6833" s="74" t="s">
        <v>448</v>
      </c>
    </row>
    <row r="6834" spans="1:3">
      <c r="A6834" s="250">
        <v>17836</v>
      </c>
      <c r="B6834" s="74" t="s">
        <v>4951</v>
      </c>
      <c r="C6834" s="74" t="s">
        <v>448</v>
      </c>
    </row>
    <row r="6835" spans="1:3">
      <c r="A6835" s="250">
        <v>17837</v>
      </c>
      <c r="B6835" s="74" t="s">
        <v>4952</v>
      </c>
      <c r="C6835" s="74" t="s">
        <v>448</v>
      </c>
    </row>
    <row r="6836" spans="1:3">
      <c r="A6836" s="250">
        <v>17839</v>
      </c>
      <c r="B6836" s="74" t="s">
        <v>4953</v>
      </c>
      <c r="C6836" s="74" t="s">
        <v>448</v>
      </c>
    </row>
    <row r="6837" spans="1:3">
      <c r="A6837" s="250">
        <v>17840</v>
      </c>
      <c r="B6837" s="74" t="s">
        <v>4954</v>
      </c>
      <c r="C6837" s="74" t="s">
        <v>448</v>
      </c>
    </row>
    <row r="6838" spans="1:3">
      <c r="A6838" s="250">
        <v>17841</v>
      </c>
      <c r="B6838" s="74" t="s">
        <v>4955</v>
      </c>
      <c r="C6838" s="74" t="s">
        <v>448</v>
      </c>
    </row>
    <row r="6839" spans="1:3">
      <c r="A6839" s="250">
        <v>17842</v>
      </c>
      <c r="B6839" s="74" t="s">
        <v>4956</v>
      </c>
      <c r="C6839" s="74" t="s">
        <v>448</v>
      </c>
    </row>
    <row r="6840" spans="1:3">
      <c r="A6840" s="250">
        <v>17843</v>
      </c>
      <c r="B6840" s="74" t="s">
        <v>4936</v>
      </c>
      <c r="C6840" s="74" t="s">
        <v>448</v>
      </c>
    </row>
    <row r="6841" spans="1:3">
      <c r="A6841" s="250">
        <v>17844</v>
      </c>
      <c r="B6841" s="74" t="s">
        <v>4957</v>
      </c>
      <c r="C6841" s="74" t="s">
        <v>448</v>
      </c>
    </row>
    <row r="6842" spans="1:3">
      <c r="A6842" s="250">
        <v>17845</v>
      </c>
      <c r="B6842" s="74" t="s">
        <v>4958</v>
      </c>
      <c r="C6842" s="74" t="s">
        <v>448</v>
      </c>
    </row>
    <row r="6843" spans="1:3">
      <c r="A6843" s="250">
        <v>17846</v>
      </c>
      <c r="B6843" s="74" t="s">
        <v>746</v>
      </c>
      <c r="C6843" s="74" t="s">
        <v>448</v>
      </c>
    </row>
    <row r="6844" spans="1:3">
      <c r="A6844" s="250">
        <v>17847</v>
      </c>
      <c r="B6844" s="74" t="s">
        <v>927</v>
      </c>
      <c r="C6844" s="74" t="s">
        <v>448</v>
      </c>
    </row>
    <row r="6845" spans="1:3">
      <c r="A6845" s="250">
        <v>17850</v>
      </c>
      <c r="B6845" s="74" t="s">
        <v>4959</v>
      </c>
      <c r="C6845" s="74" t="s">
        <v>448</v>
      </c>
    </row>
    <row r="6846" spans="1:3">
      <c r="A6846" s="250">
        <v>17851</v>
      </c>
      <c r="B6846" s="74" t="s">
        <v>4960</v>
      </c>
      <c r="C6846" s="74" t="s">
        <v>448</v>
      </c>
    </row>
    <row r="6847" spans="1:3">
      <c r="A6847" s="250">
        <v>17853</v>
      </c>
      <c r="B6847" s="74" t="s">
        <v>4961</v>
      </c>
      <c r="C6847" s="74" t="s">
        <v>448</v>
      </c>
    </row>
    <row r="6848" spans="1:3">
      <c r="A6848" s="250">
        <v>17855</v>
      </c>
      <c r="B6848" s="74" t="s">
        <v>3480</v>
      </c>
      <c r="C6848" s="74" t="s">
        <v>448</v>
      </c>
    </row>
    <row r="6849" spans="1:3">
      <c r="A6849" s="250">
        <v>17856</v>
      </c>
      <c r="B6849" s="74" t="s">
        <v>4962</v>
      </c>
      <c r="C6849" s="74" t="s">
        <v>448</v>
      </c>
    </row>
    <row r="6850" spans="1:3">
      <c r="A6850" s="250">
        <v>17857</v>
      </c>
      <c r="B6850" s="74" t="s">
        <v>4963</v>
      </c>
      <c r="C6850" s="74" t="s">
        <v>448</v>
      </c>
    </row>
    <row r="6851" spans="1:3">
      <c r="A6851" s="250">
        <v>17858</v>
      </c>
      <c r="B6851" s="74" t="s">
        <v>4964</v>
      </c>
      <c r="C6851" s="74" t="s">
        <v>448</v>
      </c>
    </row>
    <row r="6852" spans="1:3">
      <c r="A6852" s="250">
        <v>17859</v>
      </c>
      <c r="B6852" s="74" t="s">
        <v>4965</v>
      </c>
      <c r="C6852" s="74" t="s">
        <v>448</v>
      </c>
    </row>
    <row r="6853" spans="1:3">
      <c r="A6853" s="250">
        <v>17860</v>
      </c>
      <c r="B6853" s="74" t="s">
        <v>4966</v>
      </c>
      <c r="C6853" s="74" t="s">
        <v>448</v>
      </c>
    </row>
    <row r="6854" spans="1:3">
      <c r="A6854" s="250">
        <v>17861</v>
      </c>
      <c r="B6854" s="74" t="s">
        <v>4967</v>
      </c>
      <c r="C6854" s="74" t="s">
        <v>448</v>
      </c>
    </row>
    <row r="6855" spans="1:3">
      <c r="A6855" s="250">
        <v>17862</v>
      </c>
      <c r="B6855" s="74" t="s">
        <v>4968</v>
      </c>
      <c r="C6855" s="74" t="s">
        <v>448</v>
      </c>
    </row>
    <row r="6856" spans="1:3">
      <c r="A6856" s="250">
        <v>17864</v>
      </c>
      <c r="B6856" s="74" t="s">
        <v>4969</v>
      </c>
      <c r="C6856" s="74" t="s">
        <v>448</v>
      </c>
    </row>
    <row r="6857" spans="1:3">
      <c r="A6857" s="250">
        <v>17865</v>
      </c>
      <c r="B6857" s="74" t="s">
        <v>4970</v>
      </c>
      <c r="C6857" s="74" t="s">
        <v>448</v>
      </c>
    </row>
    <row r="6858" spans="1:3">
      <c r="A6858" s="250">
        <v>17866</v>
      </c>
      <c r="B6858" s="74" t="s">
        <v>4971</v>
      </c>
      <c r="C6858" s="74" t="s">
        <v>448</v>
      </c>
    </row>
    <row r="6859" spans="1:3">
      <c r="A6859" s="250">
        <v>17867</v>
      </c>
      <c r="B6859" s="74" t="s">
        <v>4972</v>
      </c>
      <c r="C6859" s="74" t="s">
        <v>448</v>
      </c>
    </row>
    <row r="6860" spans="1:3">
      <c r="A6860" s="250">
        <v>17868</v>
      </c>
      <c r="B6860" s="74" t="s">
        <v>1147</v>
      </c>
      <c r="C6860" s="74" t="s">
        <v>448</v>
      </c>
    </row>
    <row r="6861" spans="1:3">
      <c r="A6861" s="250">
        <v>17870</v>
      </c>
      <c r="B6861" s="74" t="s">
        <v>4973</v>
      </c>
      <c r="C6861" s="74" t="s">
        <v>448</v>
      </c>
    </row>
    <row r="6862" spans="1:3">
      <c r="A6862" s="250">
        <v>17872</v>
      </c>
      <c r="B6862" s="74" t="s">
        <v>4974</v>
      </c>
      <c r="C6862" s="74" t="s">
        <v>448</v>
      </c>
    </row>
    <row r="6863" spans="1:3">
      <c r="A6863" s="250">
        <v>17876</v>
      </c>
      <c r="B6863" s="74" t="s">
        <v>4975</v>
      </c>
      <c r="C6863" s="74" t="s">
        <v>448</v>
      </c>
    </row>
    <row r="6864" spans="1:3">
      <c r="A6864" s="250">
        <v>17877</v>
      </c>
      <c r="B6864" s="74" t="s">
        <v>4976</v>
      </c>
      <c r="C6864" s="74" t="s">
        <v>448</v>
      </c>
    </row>
    <row r="6865" spans="1:3">
      <c r="A6865" s="250">
        <v>17878</v>
      </c>
      <c r="B6865" s="74" t="s">
        <v>1530</v>
      </c>
      <c r="C6865" s="74" t="s">
        <v>448</v>
      </c>
    </row>
    <row r="6866" spans="1:3">
      <c r="A6866" s="250">
        <v>17880</v>
      </c>
      <c r="B6866" s="74" t="s">
        <v>4977</v>
      </c>
      <c r="C6866" s="74" t="s">
        <v>448</v>
      </c>
    </row>
    <row r="6867" spans="1:3">
      <c r="A6867" s="250">
        <v>17881</v>
      </c>
      <c r="B6867" s="74" t="s">
        <v>4978</v>
      </c>
      <c r="C6867" s="74" t="s">
        <v>448</v>
      </c>
    </row>
    <row r="6868" spans="1:3">
      <c r="A6868" s="250">
        <v>17882</v>
      </c>
      <c r="B6868" s="74" t="s">
        <v>4979</v>
      </c>
      <c r="C6868" s="74" t="s">
        <v>448</v>
      </c>
    </row>
    <row r="6869" spans="1:3">
      <c r="A6869" s="250">
        <v>17883</v>
      </c>
      <c r="B6869" s="74" t="s">
        <v>4980</v>
      </c>
      <c r="C6869" s="74" t="s">
        <v>448</v>
      </c>
    </row>
    <row r="6870" spans="1:3">
      <c r="A6870" s="250">
        <v>17884</v>
      </c>
      <c r="B6870" s="74" t="s">
        <v>2717</v>
      </c>
      <c r="C6870" s="74" t="s">
        <v>448</v>
      </c>
    </row>
    <row r="6871" spans="1:3">
      <c r="A6871" s="250">
        <v>17885</v>
      </c>
      <c r="B6871" s="74" t="s">
        <v>4981</v>
      </c>
      <c r="C6871" s="74" t="s">
        <v>448</v>
      </c>
    </row>
    <row r="6872" spans="1:3">
      <c r="A6872" s="250">
        <v>17886</v>
      </c>
      <c r="B6872" s="74" t="s">
        <v>4982</v>
      </c>
      <c r="C6872" s="74" t="s">
        <v>448</v>
      </c>
    </row>
    <row r="6873" spans="1:3">
      <c r="A6873" s="250">
        <v>17887</v>
      </c>
      <c r="B6873" s="74" t="s">
        <v>4983</v>
      </c>
      <c r="C6873" s="74" t="s">
        <v>448</v>
      </c>
    </row>
    <row r="6874" spans="1:3">
      <c r="A6874" s="250">
        <v>17888</v>
      </c>
      <c r="B6874" s="74" t="s">
        <v>4984</v>
      </c>
      <c r="C6874" s="74" t="s">
        <v>448</v>
      </c>
    </row>
    <row r="6875" spans="1:3">
      <c r="A6875" s="250">
        <v>17889</v>
      </c>
      <c r="B6875" s="74" t="s">
        <v>4985</v>
      </c>
      <c r="C6875" s="74" t="s">
        <v>448</v>
      </c>
    </row>
    <row r="6876" spans="1:3">
      <c r="A6876" s="250">
        <v>17901</v>
      </c>
      <c r="B6876" s="74" t="s">
        <v>4986</v>
      </c>
      <c r="C6876" s="74" t="s">
        <v>448</v>
      </c>
    </row>
    <row r="6877" spans="1:3">
      <c r="A6877" s="250">
        <v>17920</v>
      </c>
      <c r="B6877" s="74" t="s">
        <v>4987</v>
      </c>
      <c r="C6877" s="74" t="s">
        <v>448</v>
      </c>
    </row>
    <row r="6878" spans="1:3">
      <c r="A6878" s="250">
        <v>17921</v>
      </c>
      <c r="B6878" s="74" t="s">
        <v>782</v>
      </c>
      <c r="C6878" s="74" t="s">
        <v>448</v>
      </c>
    </row>
    <row r="6879" spans="1:3">
      <c r="A6879" s="250">
        <v>17922</v>
      </c>
      <c r="B6879" s="74" t="s">
        <v>724</v>
      </c>
      <c r="C6879" s="74" t="s">
        <v>448</v>
      </c>
    </row>
    <row r="6880" spans="1:3">
      <c r="A6880" s="250">
        <v>17923</v>
      </c>
      <c r="B6880" s="74" t="s">
        <v>4988</v>
      </c>
      <c r="C6880" s="74" t="s">
        <v>448</v>
      </c>
    </row>
    <row r="6881" spans="1:3">
      <c r="A6881" s="250">
        <v>17925</v>
      </c>
      <c r="B6881" s="74" t="s">
        <v>934</v>
      </c>
      <c r="C6881" s="74" t="s">
        <v>448</v>
      </c>
    </row>
    <row r="6882" spans="1:3">
      <c r="A6882" s="250">
        <v>17929</v>
      </c>
      <c r="B6882" s="74" t="s">
        <v>4989</v>
      </c>
      <c r="C6882" s="74" t="s">
        <v>448</v>
      </c>
    </row>
    <row r="6883" spans="1:3">
      <c r="A6883" s="250">
        <v>17930</v>
      </c>
      <c r="B6883" s="74" t="s">
        <v>4990</v>
      </c>
      <c r="C6883" s="74" t="s">
        <v>448</v>
      </c>
    </row>
    <row r="6884" spans="1:3">
      <c r="A6884" s="250">
        <v>17931</v>
      </c>
      <c r="B6884" s="74" t="s">
        <v>4991</v>
      </c>
      <c r="C6884" s="74" t="s">
        <v>448</v>
      </c>
    </row>
    <row r="6885" spans="1:3">
      <c r="A6885" s="250">
        <v>17932</v>
      </c>
      <c r="B6885" s="74" t="s">
        <v>4991</v>
      </c>
      <c r="C6885" s="74" t="s">
        <v>448</v>
      </c>
    </row>
    <row r="6886" spans="1:3">
      <c r="A6886" s="250">
        <v>17933</v>
      </c>
      <c r="B6886" s="74" t="s">
        <v>4992</v>
      </c>
      <c r="C6886" s="74" t="s">
        <v>448</v>
      </c>
    </row>
    <row r="6887" spans="1:3">
      <c r="A6887" s="250">
        <v>17934</v>
      </c>
      <c r="B6887" s="74" t="s">
        <v>4993</v>
      </c>
      <c r="C6887" s="74" t="s">
        <v>448</v>
      </c>
    </row>
    <row r="6888" spans="1:3">
      <c r="A6888" s="250">
        <v>17935</v>
      </c>
      <c r="B6888" s="74" t="s">
        <v>4994</v>
      </c>
      <c r="C6888" s="74" t="s">
        <v>448</v>
      </c>
    </row>
    <row r="6889" spans="1:3">
      <c r="A6889" s="250">
        <v>17936</v>
      </c>
      <c r="B6889" s="74" t="s">
        <v>4995</v>
      </c>
      <c r="C6889" s="74" t="s">
        <v>448</v>
      </c>
    </row>
    <row r="6890" spans="1:3">
      <c r="A6890" s="250">
        <v>17938</v>
      </c>
      <c r="B6890" s="74" t="s">
        <v>4996</v>
      </c>
      <c r="C6890" s="74" t="s">
        <v>448</v>
      </c>
    </row>
    <row r="6891" spans="1:3">
      <c r="A6891" s="250">
        <v>17941</v>
      </c>
      <c r="B6891" s="74" t="s">
        <v>4997</v>
      </c>
      <c r="C6891" s="74" t="s">
        <v>448</v>
      </c>
    </row>
    <row r="6892" spans="1:3">
      <c r="A6892" s="250">
        <v>17942</v>
      </c>
      <c r="B6892" s="74" t="s">
        <v>4998</v>
      </c>
      <c r="C6892" s="74" t="s">
        <v>448</v>
      </c>
    </row>
    <row r="6893" spans="1:3">
      <c r="A6893" s="250">
        <v>17943</v>
      </c>
      <c r="B6893" s="74" t="s">
        <v>4999</v>
      </c>
      <c r="C6893" s="74" t="s">
        <v>448</v>
      </c>
    </row>
    <row r="6894" spans="1:3">
      <c r="A6894" s="250">
        <v>17944</v>
      </c>
      <c r="B6894" s="74" t="s">
        <v>5000</v>
      </c>
      <c r="C6894" s="74" t="s">
        <v>448</v>
      </c>
    </row>
    <row r="6895" spans="1:3">
      <c r="A6895" s="250">
        <v>17945</v>
      </c>
      <c r="B6895" s="74" t="s">
        <v>5001</v>
      </c>
      <c r="C6895" s="74" t="s">
        <v>448</v>
      </c>
    </row>
    <row r="6896" spans="1:3">
      <c r="A6896" s="250">
        <v>17946</v>
      </c>
      <c r="B6896" s="74" t="s">
        <v>5002</v>
      </c>
      <c r="C6896" s="74" t="s">
        <v>448</v>
      </c>
    </row>
    <row r="6897" spans="1:3">
      <c r="A6897" s="250">
        <v>17948</v>
      </c>
      <c r="B6897" s="74" t="s">
        <v>5003</v>
      </c>
      <c r="C6897" s="74" t="s">
        <v>448</v>
      </c>
    </row>
    <row r="6898" spans="1:3">
      <c r="A6898" s="250">
        <v>17949</v>
      </c>
      <c r="B6898" s="74" t="s">
        <v>5004</v>
      </c>
      <c r="C6898" s="74" t="s">
        <v>448</v>
      </c>
    </row>
    <row r="6899" spans="1:3">
      <c r="A6899" s="250">
        <v>17951</v>
      </c>
      <c r="B6899" s="74" t="s">
        <v>5005</v>
      </c>
      <c r="C6899" s="74" t="s">
        <v>448</v>
      </c>
    </row>
    <row r="6900" spans="1:3">
      <c r="A6900" s="250">
        <v>17952</v>
      </c>
      <c r="B6900" s="74" t="s">
        <v>5006</v>
      </c>
      <c r="C6900" s="74" t="s">
        <v>448</v>
      </c>
    </row>
    <row r="6901" spans="1:3">
      <c r="A6901" s="250">
        <v>17953</v>
      </c>
      <c r="B6901" s="74" t="s">
        <v>3720</v>
      </c>
      <c r="C6901" s="74" t="s">
        <v>448</v>
      </c>
    </row>
    <row r="6902" spans="1:3">
      <c r="A6902" s="250">
        <v>17954</v>
      </c>
      <c r="B6902" s="74" t="s">
        <v>5007</v>
      </c>
      <c r="C6902" s="74" t="s">
        <v>448</v>
      </c>
    </row>
    <row r="6903" spans="1:3">
      <c r="A6903" s="250">
        <v>17957</v>
      </c>
      <c r="B6903" s="74" t="s">
        <v>5008</v>
      </c>
      <c r="C6903" s="74" t="s">
        <v>448</v>
      </c>
    </row>
    <row r="6904" spans="1:3">
      <c r="A6904" s="250">
        <v>17959</v>
      </c>
      <c r="B6904" s="74" t="s">
        <v>5009</v>
      </c>
      <c r="C6904" s="74" t="s">
        <v>448</v>
      </c>
    </row>
    <row r="6905" spans="1:3">
      <c r="A6905" s="250">
        <v>17960</v>
      </c>
      <c r="B6905" s="74" t="s">
        <v>5010</v>
      </c>
      <c r="C6905" s="74" t="s">
        <v>448</v>
      </c>
    </row>
    <row r="6906" spans="1:3">
      <c r="A6906" s="250">
        <v>17961</v>
      </c>
      <c r="B6906" s="74" t="s">
        <v>5011</v>
      </c>
      <c r="C6906" s="74" t="s">
        <v>448</v>
      </c>
    </row>
    <row r="6907" spans="1:3">
      <c r="A6907" s="250">
        <v>17963</v>
      </c>
      <c r="B6907" s="74" t="s">
        <v>5012</v>
      </c>
      <c r="C6907" s="74" t="s">
        <v>448</v>
      </c>
    </row>
    <row r="6908" spans="1:3">
      <c r="A6908" s="250">
        <v>17964</v>
      </c>
      <c r="B6908" s="74" t="s">
        <v>2416</v>
      </c>
      <c r="C6908" s="74" t="s">
        <v>448</v>
      </c>
    </row>
    <row r="6909" spans="1:3">
      <c r="A6909" s="250">
        <v>17965</v>
      </c>
      <c r="B6909" s="74" t="s">
        <v>5013</v>
      </c>
      <c r="C6909" s="74" t="s">
        <v>448</v>
      </c>
    </row>
    <row r="6910" spans="1:3">
      <c r="A6910" s="250">
        <v>17966</v>
      </c>
      <c r="B6910" s="74" t="s">
        <v>5014</v>
      </c>
      <c r="C6910" s="74" t="s">
        <v>448</v>
      </c>
    </row>
    <row r="6911" spans="1:3">
      <c r="A6911" s="250">
        <v>17967</v>
      </c>
      <c r="B6911" s="74" t="s">
        <v>5015</v>
      </c>
      <c r="C6911" s="74" t="s">
        <v>448</v>
      </c>
    </row>
    <row r="6912" spans="1:3">
      <c r="A6912" s="250">
        <v>17968</v>
      </c>
      <c r="B6912" s="74" t="s">
        <v>5016</v>
      </c>
      <c r="C6912" s="74" t="s">
        <v>448</v>
      </c>
    </row>
    <row r="6913" spans="1:3">
      <c r="A6913" s="250">
        <v>17970</v>
      </c>
      <c r="B6913" s="74" t="s">
        <v>5017</v>
      </c>
      <c r="C6913" s="74" t="s">
        <v>448</v>
      </c>
    </row>
    <row r="6914" spans="1:3">
      <c r="A6914" s="250">
        <v>17972</v>
      </c>
      <c r="B6914" s="74" t="s">
        <v>5018</v>
      </c>
      <c r="C6914" s="74" t="s">
        <v>448</v>
      </c>
    </row>
    <row r="6915" spans="1:3">
      <c r="A6915" s="250">
        <v>17974</v>
      </c>
      <c r="B6915" s="74" t="s">
        <v>5019</v>
      </c>
      <c r="C6915" s="74" t="s">
        <v>448</v>
      </c>
    </row>
    <row r="6916" spans="1:3">
      <c r="A6916" s="250">
        <v>17976</v>
      </c>
      <c r="B6916" s="74" t="s">
        <v>5020</v>
      </c>
      <c r="C6916" s="74" t="s">
        <v>448</v>
      </c>
    </row>
    <row r="6917" spans="1:3">
      <c r="A6917" s="250">
        <v>17978</v>
      </c>
      <c r="B6917" s="74" t="s">
        <v>3087</v>
      </c>
      <c r="C6917" s="74" t="s">
        <v>448</v>
      </c>
    </row>
    <row r="6918" spans="1:3">
      <c r="A6918" s="250">
        <v>17979</v>
      </c>
      <c r="B6918" s="74" t="s">
        <v>5021</v>
      </c>
      <c r="C6918" s="74" t="s">
        <v>448</v>
      </c>
    </row>
    <row r="6919" spans="1:3">
      <c r="A6919" s="250">
        <v>17980</v>
      </c>
      <c r="B6919" s="74" t="s">
        <v>5022</v>
      </c>
      <c r="C6919" s="74" t="s">
        <v>448</v>
      </c>
    </row>
    <row r="6920" spans="1:3">
      <c r="A6920" s="250">
        <v>17981</v>
      </c>
      <c r="B6920" s="74" t="s">
        <v>5023</v>
      </c>
      <c r="C6920" s="74" t="s">
        <v>448</v>
      </c>
    </row>
    <row r="6921" spans="1:3">
      <c r="A6921" s="250">
        <v>17982</v>
      </c>
      <c r="B6921" s="74" t="s">
        <v>5024</v>
      </c>
      <c r="C6921" s="74" t="s">
        <v>448</v>
      </c>
    </row>
    <row r="6922" spans="1:3">
      <c r="A6922" s="250">
        <v>17983</v>
      </c>
      <c r="B6922" s="74" t="s">
        <v>5025</v>
      </c>
      <c r="C6922" s="74" t="s">
        <v>448</v>
      </c>
    </row>
    <row r="6923" spans="1:3">
      <c r="A6923" s="250">
        <v>17985</v>
      </c>
      <c r="B6923" s="74" t="s">
        <v>5026</v>
      </c>
      <c r="C6923" s="74" t="s">
        <v>448</v>
      </c>
    </row>
    <row r="6924" spans="1:3">
      <c r="A6924" s="250">
        <v>18001</v>
      </c>
      <c r="B6924" s="74" t="s">
        <v>5027</v>
      </c>
      <c r="C6924" s="74" t="s">
        <v>448</v>
      </c>
    </row>
    <row r="6925" spans="1:3">
      <c r="A6925" s="250">
        <v>18002</v>
      </c>
      <c r="B6925" s="74" t="s">
        <v>5027</v>
      </c>
      <c r="C6925" s="74" t="s">
        <v>448</v>
      </c>
    </row>
    <row r="6926" spans="1:3">
      <c r="A6926" s="250">
        <v>18003</v>
      </c>
      <c r="B6926" s="74" t="s">
        <v>5027</v>
      </c>
      <c r="C6926" s="74" t="s">
        <v>448</v>
      </c>
    </row>
    <row r="6927" spans="1:3">
      <c r="A6927" s="250">
        <v>18010</v>
      </c>
      <c r="B6927" s="74" t="s">
        <v>5028</v>
      </c>
      <c r="C6927" s="74" t="s">
        <v>448</v>
      </c>
    </row>
    <row r="6928" spans="1:3">
      <c r="A6928" s="250">
        <v>18011</v>
      </c>
      <c r="B6928" s="74" t="s">
        <v>5029</v>
      </c>
      <c r="C6928" s="74" t="s">
        <v>448</v>
      </c>
    </row>
    <row r="6929" spans="1:3">
      <c r="A6929" s="250">
        <v>18012</v>
      </c>
      <c r="B6929" s="74" t="s">
        <v>5030</v>
      </c>
      <c r="C6929" s="74" t="s">
        <v>448</v>
      </c>
    </row>
    <row r="6930" spans="1:3">
      <c r="A6930" s="250">
        <v>18013</v>
      </c>
      <c r="B6930" s="74" t="s">
        <v>1487</v>
      </c>
      <c r="C6930" s="74" t="s">
        <v>448</v>
      </c>
    </row>
    <row r="6931" spans="1:3">
      <c r="A6931" s="250">
        <v>18014</v>
      </c>
      <c r="B6931" s="74" t="s">
        <v>1269</v>
      </c>
      <c r="C6931" s="74" t="s">
        <v>448</v>
      </c>
    </row>
    <row r="6932" spans="1:3">
      <c r="A6932" s="250">
        <v>18015</v>
      </c>
      <c r="B6932" s="74" t="s">
        <v>1247</v>
      </c>
      <c r="C6932" s="74" t="s">
        <v>448</v>
      </c>
    </row>
    <row r="6933" spans="1:3">
      <c r="A6933" s="250">
        <v>18016</v>
      </c>
      <c r="B6933" s="74" t="s">
        <v>1247</v>
      </c>
      <c r="C6933" s="74" t="s">
        <v>448</v>
      </c>
    </row>
    <row r="6934" spans="1:3">
      <c r="A6934" s="250">
        <v>18017</v>
      </c>
      <c r="B6934" s="74" t="s">
        <v>1247</v>
      </c>
      <c r="C6934" s="74" t="s">
        <v>448</v>
      </c>
    </row>
    <row r="6935" spans="1:3">
      <c r="A6935" s="250">
        <v>18018</v>
      </c>
      <c r="B6935" s="74" t="s">
        <v>1247</v>
      </c>
      <c r="C6935" s="74" t="s">
        <v>448</v>
      </c>
    </row>
    <row r="6936" spans="1:3">
      <c r="A6936" s="250">
        <v>18020</v>
      </c>
      <c r="B6936" s="74" t="s">
        <v>1247</v>
      </c>
      <c r="C6936" s="74" t="s">
        <v>448</v>
      </c>
    </row>
    <row r="6937" spans="1:3">
      <c r="A6937" s="250">
        <v>18025</v>
      </c>
      <c r="B6937" s="74" t="s">
        <v>1247</v>
      </c>
      <c r="C6937" s="74" t="s">
        <v>448</v>
      </c>
    </row>
    <row r="6938" spans="1:3">
      <c r="A6938" s="250">
        <v>18030</v>
      </c>
      <c r="B6938" s="74" t="s">
        <v>5031</v>
      </c>
      <c r="C6938" s="74" t="s">
        <v>448</v>
      </c>
    </row>
    <row r="6939" spans="1:3">
      <c r="A6939" s="250">
        <v>18031</v>
      </c>
      <c r="B6939" s="74" t="s">
        <v>5032</v>
      </c>
      <c r="C6939" s="74" t="s">
        <v>448</v>
      </c>
    </row>
    <row r="6940" spans="1:3">
      <c r="A6940" s="250">
        <v>18032</v>
      </c>
      <c r="B6940" s="74" t="s">
        <v>5033</v>
      </c>
      <c r="C6940" s="74" t="s">
        <v>448</v>
      </c>
    </row>
    <row r="6941" spans="1:3">
      <c r="A6941" s="250">
        <v>18034</v>
      </c>
      <c r="B6941" s="74" t="s">
        <v>5034</v>
      </c>
      <c r="C6941" s="74" t="s">
        <v>448</v>
      </c>
    </row>
    <row r="6942" spans="1:3">
      <c r="A6942" s="250">
        <v>18035</v>
      </c>
      <c r="B6942" s="74" t="s">
        <v>5035</v>
      </c>
      <c r="C6942" s="74" t="s">
        <v>448</v>
      </c>
    </row>
    <row r="6943" spans="1:3">
      <c r="A6943" s="250">
        <v>18036</v>
      </c>
      <c r="B6943" s="74" t="s">
        <v>5036</v>
      </c>
      <c r="C6943" s="74" t="s">
        <v>448</v>
      </c>
    </row>
    <row r="6944" spans="1:3">
      <c r="A6944" s="250">
        <v>18037</v>
      </c>
      <c r="B6944" s="74" t="s">
        <v>5037</v>
      </c>
      <c r="C6944" s="74" t="s">
        <v>448</v>
      </c>
    </row>
    <row r="6945" spans="1:3">
      <c r="A6945" s="250">
        <v>18038</v>
      </c>
      <c r="B6945" s="74" t="s">
        <v>5038</v>
      </c>
      <c r="C6945" s="74" t="s">
        <v>448</v>
      </c>
    </row>
    <row r="6946" spans="1:3">
      <c r="A6946" s="250">
        <v>18039</v>
      </c>
      <c r="B6946" s="74" t="s">
        <v>1304</v>
      </c>
      <c r="C6946" s="74" t="s">
        <v>448</v>
      </c>
    </row>
    <row r="6947" spans="1:3">
      <c r="A6947" s="250">
        <v>18040</v>
      </c>
      <c r="B6947" s="74" t="s">
        <v>941</v>
      </c>
      <c r="C6947" s="74" t="s">
        <v>448</v>
      </c>
    </row>
    <row r="6948" spans="1:3">
      <c r="A6948" s="250">
        <v>18041</v>
      </c>
      <c r="B6948" s="74" t="s">
        <v>5039</v>
      </c>
      <c r="C6948" s="74" t="s">
        <v>448</v>
      </c>
    </row>
    <row r="6949" spans="1:3">
      <c r="A6949" s="250">
        <v>18042</v>
      </c>
      <c r="B6949" s="74" t="s">
        <v>941</v>
      </c>
      <c r="C6949" s="74" t="s">
        <v>448</v>
      </c>
    </row>
    <row r="6950" spans="1:3">
      <c r="A6950" s="250">
        <v>18043</v>
      </c>
      <c r="B6950" s="74" t="s">
        <v>941</v>
      </c>
      <c r="C6950" s="74" t="s">
        <v>448</v>
      </c>
    </row>
    <row r="6951" spans="1:3">
      <c r="A6951" s="250">
        <v>18044</v>
      </c>
      <c r="B6951" s="74" t="s">
        <v>941</v>
      </c>
      <c r="C6951" s="74" t="s">
        <v>448</v>
      </c>
    </row>
    <row r="6952" spans="1:3">
      <c r="A6952" s="250">
        <v>18045</v>
      </c>
      <c r="B6952" s="74" t="s">
        <v>941</v>
      </c>
      <c r="C6952" s="74" t="s">
        <v>448</v>
      </c>
    </row>
    <row r="6953" spans="1:3">
      <c r="A6953" s="250">
        <v>18046</v>
      </c>
      <c r="B6953" s="74" t="s">
        <v>5040</v>
      </c>
      <c r="C6953" s="74" t="s">
        <v>448</v>
      </c>
    </row>
    <row r="6954" spans="1:3">
      <c r="A6954" s="250">
        <v>18049</v>
      </c>
      <c r="B6954" s="74" t="s">
        <v>5041</v>
      </c>
      <c r="C6954" s="74" t="s">
        <v>448</v>
      </c>
    </row>
    <row r="6955" spans="1:3">
      <c r="A6955" s="250">
        <v>18050</v>
      </c>
      <c r="B6955" s="74" t="s">
        <v>5042</v>
      </c>
      <c r="C6955" s="74" t="s">
        <v>448</v>
      </c>
    </row>
    <row r="6956" spans="1:3">
      <c r="A6956" s="250">
        <v>18051</v>
      </c>
      <c r="B6956" s="74" t="s">
        <v>5043</v>
      </c>
      <c r="C6956" s="74" t="s">
        <v>448</v>
      </c>
    </row>
    <row r="6957" spans="1:3">
      <c r="A6957" s="250">
        <v>18052</v>
      </c>
      <c r="B6957" s="74" t="s">
        <v>3273</v>
      </c>
      <c r="C6957" s="74" t="s">
        <v>448</v>
      </c>
    </row>
    <row r="6958" spans="1:3">
      <c r="A6958" s="250">
        <v>18053</v>
      </c>
      <c r="B6958" s="74" t="s">
        <v>5044</v>
      </c>
      <c r="C6958" s="74" t="s">
        <v>448</v>
      </c>
    </row>
    <row r="6959" spans="1:3">
      <c r="A6959" s="250">
        <v>18054</v>
      </c>
      <c r="B6959" s="74" t="s">
        <v>5045</v>
      </c>
      <c r="C6959" s="74" t="s">
        <v>448</v>
      </c>
    </row>
    <row r="6960" spans="1:3">
      <c r="A6960" s="250">
        <v>18055</v>
      </c>
      <c r="B6960" s="74" t="s">
        <v>5046</v>
      </c>
      <c r="C6960" s="74" t="s">
        <v>448</v>
      </c>
    </row>
    <row r="6961" spans="1:3">
      <c r="A6961" s="250">
        <v>18056</v>
      </c>
      <c r="B6961" s="74" t="s">
        <v>5047</v>
      </c>
      <c r="C6961" s="74" t="s">
        <v>448</v>
      </c>
    </row>
    <row r="6962" spans="1:3">
      <c r="A6962" s="250">
        <v>18058</v>
      </c>
      <c r="B6962" s="74" t="s">
        <v>5048</v>
      </c>
      <c r="C6962" s="74" t="s">
        <v>448</v>
      </c>
    </row>
    <row r="6963" spans="1:3">
      <c r="A6963" s="250">
        <v>18059</v>
      </c>
      <c r="B6963" s="74" t="s">
        <v>5049</v>
      </c>
      <c r="C6963" s="74" t="s">
        <v>448</v>
      </c>
    </row>
    <row r="6964" spans="1:3">
      <c r="A6964" s="250">
        <v>18060</v>
      </c>
      <c r="B6964" s="74" t="s">
        <v>5050</v>
      </c>
      <c r="C6964" s="74" t="s">
        <v>448</v>
      </c>
    </row>
    <row r="6965" spans="1:3">
      <c r="A6965" s="250">
        <v>18062</v>
      </c>
      <c r="B6965" s="74" t="s">
        <v>5051</v>
      </c>
      <c r="C6965" s="74" t="s">
        <v>448</v>
      </c>
    </row>
    <row r="6966" spans="1:3">
      <c r="A6966" s="250">
        <v>18063</v>
      </c>
      <c r="B6966" s="74" t="s">
        <v>5052</v>
      </c>
      <c r="C6966" s="74" t="s">
        <v>448</v>
      </c>
    </row>
    <row r="6967" spans="1:3">
      <c r="A6967" s="250">
        <v>18064</v>
      </c>
      <c r="B6967" s="74" t="s">
        <v>5053</v>
      </c>
      <c r="C6967" s="74" t="s">
        <v>448</v>
      </c>
    </row>
    <row r="6968" spans="1:3">
      <c r="A6968" s="250">
        <v>18065</v>
      </c>
      <c r="B6968" s="74" t="s">
        <v>5054</v>
      </c>
      <c r="C6968" s="74" t="s">
        <v>448</v>
      </c>
    </row>
    <row r="6969" spans="1:3">
      <c r="A6969" s="250">
        <v>18066</v>
      </c>
      <c r="B6969" s="74" t="s">
        <v>5055</v>
      </c>
      <c r="C6969" s="74" t="s">
        <v>448</v>
      </c>
    </row>
    <row r="6970" spans="1:3">
      <c r="A6970" s="250">
        <v>18067</v>
      </c>
      <c r="B6970" s="74" t="s">
        <v>607</v>
      </c>
      <c r="C6970" s="74" t="s">
        <v>448</v>
      </c>
    </row>
    <row r="6971" spans="1:3">
      <c r="A6971" s="250">
        <v>18068</v>
      </c>
      <c r="B6971" s="74" t="s">
        <v>5056</v>
      </c>
      <c r="C6971" s="74" t="s">
        <v>448</v>
      </c>
    </row>
    <row r="6972" spans="1:3">
      <c r="A6972" s="250">
        <v>18069</v>
      </c>
      <c r="B6972" s="74" t="s">
        <v>5057</v>
      </c>
      <c r="C6972" s="74" t="s">
        <v>448</v>
      </c>
    </row>
    <row r="6973" spans="1:3">
      <c r="A6973" s="250">
        <v>18070</v>
      </c>
      <c r="B6973" s="74" t="s">
        <v>5058</v>
      </c>
      <c r="C6973" s="74" t="s">
        <v>448</v>
      </c>
    </row>
    <row r="6974" spans="1:3">
      <c r="A6974" s="250">
        <v>18071</v>
      </c>
      <c r="B6974" s="74" t="s">
        <v>5059</v>
      </c>
      <c r="C6974" s="74" t="s">
        <v>448</v>
      </c>
    </row>
    <row r="6975" spans="1:3">
      <c r="A6975" s="250">
        <v>18072</v>
      </c>
      <c r="B6975" s="74" t="s">
        <v>5060</v>
      </c>
      <c r="C6975" s="74" t="s">
        <v>448</v>
      </c>
    </row>
    <row r="6976" spans="1:3">
      <c r="A6976" s="250">
        <v>18073</v>
      </c>
      <c r="B6976" s="74" t="s">
        <v>5061</v>
      </c>
      <c r="C6976" s="74" t="s">
        <v>448</v>
      </c>
    </row>
    <row r="6977" spans="1:3">
      <c r="A6977" s="250">
        <v>18074</v>
      </c>
      <c r="B6977" s="74" t="s">
        <v>5062</v>
      </c>
      <c r="C6977" s="74" t="s">
        <v>448</v>
      </c>
    </row>
    <row r="6978" spans="1:3">
      <c r="A6978" s="250">
        <v>18076</v>
      </c>
      <c r="B6978" s="74" t="s">
        <v>5063</v>
      </c>
      <c r="C6978" s="74" t="s">
        <v>448</v>
      </c>
    </row>
    <row r="6979" spans="1:3">
      <c r="A6979" s="250">
        <v>18077</v>
      </c>
      <c r="B6979" s="74" t="s">
        <v>5064</v>
      </c>
      <c r="C6979" s="74" t="s">
        <v>448</v>
      </c>
    </row>
    <row r="6980" spans="1:3">
      <c r="A6980" s="250">
        <v>18078</v>
      </c>
      <c r="B6980" s="74" t="s">
        <v>5065</v>
      </c>
      <c r="C6980" s="74" t="s">
        <v>448</v>
      </c>
    </row>
    <row r="6981" spans="1:3">
      <c r="A6981" s="250">
        <v>18079</v>
      </c>
      <c r="B6981" s="74" t="s">
        <v>5066</v>
      </c>
      <c r="C6981" s="74" t="s">
        <v>448</v>
      </c>
    </row>
    <row r="6982" spans="1:3">
      <c r="A6982" s="250">
        <v>18080</v>
      </c>
      <c r="B6982" s="74" t="s">
        <v>5067</v>
      </c>
      <c r="C6982" s="74" t="s">
        <v>448</v>
      </c>
    </row>
    <row r="6983" spans="1:3">
      <c r="A6983" s="250">
        <v>18081</v>
      </c>
      <c r="B6983" s="74" t="s">
        <v>5068</v>
      </c>
      <c r="C6983" s="74" t="s">
        <v>448</v>
      </c>
    </row>
    <row r="6984" spans="1:3">
      <c r="A6984" s="250">
        <v>18083</v>
      </c>
      <c r="B6984" s="74" t="s">
        <v>5069</v>
      </c>
      <c r="C6984" s="74" t="s">
        <v>448</v>
      </c>
    </row>
    <row r="6985" spans="1:3">
      <c r="A6985" s="250">
        <v>18084</v>
      </c>
      <c r="B6985" s="74" t="s">
        <v>5070</v>
      </c>
      <c r="C6985" s="74" t="s">
        <v>448</v>
      </c>
    </row>
    <row r="6986" spans="1:3">
      <c r="A6986" s="250">
        <v>18085</v>
      </c>
      <c r="B6986" s="74" t="s">
        <v>5071</v>
      </c>
      <c r="C6986" s="74" t="s">
        <v>448</v>
      </c>
    </row>
    <row r="6987" spans="1:3">
      <c r="A6987" s="250">
        <v>18086</v>
      </c>
      <c r="B6987" s="74" t="s">
        <v>5072</v>
      </c>
      <c r="C6987" s="74" t="s">
        <v>448</v>
      </c>
    </row>
    <row r="6988" spans="1:3">
      <c r="A6988" s="250">
        <v>18087</v>
      </c>
      <c r="B6988" s="74" t="s">
        <v>5073</v>
      </c>
      <c r="C6988" s="74" t="s">
        <v>448</v>
      </c>
    </row>
    <row r="6989" spans="1:3">
      <c r="A6989" s="250">
        <v>18088</v>
      </c>
      <c r="B6989" s="74" t="s">
        <v>5074</v>
      </c>
      <c r="C6989" s="74" t="s">
        <v>448</v>
      </c>
    </row>
    <row r="6990" spans="1:3">
      <c r="A6990" s="250">
        <v>18091</v>
      </c>
      <c r="B6990" s="74" t="s">
        <v>5075</v>
      </c>
      <c r="C6990" s="74" t="s">
        <v>448</v>
      </c>
    </row>
    <row r="6991" spans="1:3">
      <c r="A6991" s="250">
        <v>18092</v>
      </c>
      <c r="B6991" s="74" t="s">
        <v>5076</v>
      </c>
      <c r="C6991" s="74" t="s">
        <v>448</v>
      </c>
    </row>
    <row r="6992" spans="1:3">
      <c r="A6992" s="250">
        <v>18098</v>
      </c>
      <c r="B6992" s="74" t="s">
        <v>5041</v>
      </c>
      <c r="C6992" s="74" t="s">
        <v>448</v>
      </c>
    </row>
    <row r="6993" spans="1:3">
      <c r="A6993" s="250">
        <v>18099</v>
      </c>
      <c r="B6993" s="74" t="s">
        <v>5041</v>
      </c>
      <c r="C6993" s="74" t="s">
        <v>448</v>
      </c>
    </row>
    <row r="6994" spans="1:3">
      <c r="A6994" s="250">
        <v>18101</v>
      </c>
      <c r="B6994" s="74" t="s">
        <v>2507</v>
      </c>
      <c r="C6994" s="74" t="s">
        <v>448</v>
      </c>
    </row>
    <row r="6995" spans="1:3">
      <c r="A6995" s="250">
        <v>18102</v>
      </c>
      <c r="B6995" s="74" t="s">
        <v>2507</v>
      </c>
      <c r="C6995" s="74" t="s">
        <v>448</v>
      </c>
    </row>
    <row r="6996" spans="1:3">
      <c r="A6996" s="250">
        <v>18103</v>
      </c>
      <c r="B6996" s="74" t="s">
        <v>2507</v>
      </c>
      <c r="C6996" s="74" t="s">
        <v>448</v>
      </c>
    </row>
    <row r="6997" spans="1:3">
      <c r="A6997" s="250">
        <v>18104</v>
      </c>
      <c r="B6997" s="74" t="s">
        <v>2507</v>
      </c>
      <c r="C6997" s="74" t="s">
        <v>448</v>
      </c>
    </row>
    <row r="6998" spans="1:3">
      <c r="A6998" s="250">
        <v>18105</v>
      </c>
      <c r="B6998" s="74" t="s">
        <v>2507</v>
      </c>
      <c r="C6998" s="74" t="s">
        <v>448</v>
      </c>
    </row>
    <row r="6999" spans="1:3">
      <c r="A6999" s="250">
        <v>18106</v>
      </c>
      <c r="B6999" s="74" t="s">
        <v>2507</v>
      </c>
      <c r="C6999" s="74" t="s">
        <v>448</v>
      </c>
    </row>
    <row r="7000" spans="1:3">
      <c r="A7000" s="250">
        <v>18109</v>
      </c>
      <c r="B7000" s="74" t="s">
        <v>2507</v>
      </c>
      <c r="C7000" s="74" t="s">
        <v>448</v>
      </c>
    </row>
    <row r="7001" spans="1:3">
      <c r="A7001" s="250">
        <v>18175</v>
      </c>
      <c r="B7001" s="74" t="s">
        <v>2507</v>
      </c>
      <c r="C7001" s="74" t="s">
        <v>448</v>
      </c>
    </row>
    <row r="7002" spans="1:3">
      <c r="A7002" s="250">
        <v>18195</v>
      </c>
      <c r="B7002" s="74" t="s">
        <v>2507</v>
      </c>
      <c r="C7002" s="74" t="s">
        <v>448</v>
      </c>
    </row>
    <row r="7003" spans="1:3">
      <c r="A7003" s="250">
        <v>18201</v>
      </c>
      <c r="B7003" s="74" t="s">
        <v>5077</v>
      </c>
      <c r="C7003" s="74" t="s">
        <v>448</v>
      </c>
    </row>
    <row r="7004" spans="1:3">
      <c r="A7004" s="250">
        <v>18202</v>
      </c>
      <c r="B7004" s="74" t="s">
        <v>5077</v>
      </c>
      <c r="C7004" s="74" t="s">
        <v>448</v>
      </c>
    </row>
    <row r="7005" spans="1:3">
      <c r="A7005" s="250">
        <v>18210</v>
      </c>
      <c r="B7005" s="74" t="s">
        <v>5078</v>
      </c>
      <c r="C7005" s="74" t="s">
        <v>448</v>
      </c>
    </row>
    <row r="7006" spans="1:3">
      <c r="A7006" s="250">
        <v>18211</v>
      </c>
      <c r="B7006" s="74" t="s">
        <v>5079</v>
      </c>
      <c r="C7006" s="74" t="s">
        <v>448</v>
      </c>
    </row>
    <row r="7007" spans="1:3">
      <c r="A7007" s="250">
        <v>18212</v>
      </c>
      <c r="B7007" s="74" t="s">
        <v>671</v>
      </c>
      <c r="C7007" s="74" t="s">
        <v>448</v>
      </c>
    </row>
    <row r="7008" spans="1:3">
      <c r="A7008" s="250">
        <v>18214</v>
      </c>
      <c r="B7008" s="74" t="s">
        <v>5080</v>
      </c>
      <c r="C7008" s="74" t="s">
        <v>448</v>
      </c>
    </row>
    <row r="7009" spans="1:3">
      <c r="A7009" s="250">
        <v>18216</v>
      </c>
      <c r="B7009" s="74" t="s">
        <v>5081</v>
      </c>
      <c r="C7009" s="74" t="s">
        <v>448</v>
      </c>
    </row>
    <row r="7010" spans="1:3">
      <c r="A7010" s="250">
        <v>18218</v>
      </c>
      <c r="B7010" s="74" t="s">
        <v>5082</v>
      </c>
      <c r="C7010" s="74" t="s">
        <v>448</v>
      </c>
    </row>
    <row r="7011" spans="1:3">
      <c r="A7011" s="250">
        <v>18219</v>
      </c>
      <c r="B7011" s="74" t="s">
        <v>5083</v>
      </c>
      <c r="C7011" s="74" t="s">
        <v>448</v>
      </c>
    </row>
    <row r="7012" spans="1:3">
      <c r="A7012" s="250">
        <v>18220</v>
      </c>
      <c r="B7012" s="74" t="s">
        <v>5084</v>
      </c>
      <c r="C7012" s="74" t="s">
        <v>448</v>
      </c>
    </row>
    <row r="7013" spans="1:3">
      <c r="A7013" s="250">
        <v>18221</v>
      </c>
      <c r="B7013" s="74" t="s">
        <v>5085</v>
      </c>
      <c r="C7013" s="74" t="s">
        <v>448</v>
      </c>
    </row>
    <row r="7014" spans="1:3">
      <c r="A7014" s="250">
        <v>18222</v>
      </c>
      <c r="B7014" s="74" t="s">
        <v>5086</v>
      </c>
      <c r="C7014" s="74" t="s">
        <v>448</v>
      </c>
    </row>
    <row r="7015" spans="1:3">
      <c r="A7015" s="250">
        <v>18223</v>
      </c>
      <c r="B7015" s="74" t="s">
        <v>5087</v>
      </c>
      <c r="C7015" s="74" t="s">
        <v>448</v>
      </c>
    </row>
    <row r="7016" spans="1:3">
      <c r="A7016" s="250">
        <v>18224</v>
      </c>
      <c r="B7016" s="74" t="s">
        <v>5088</v>
      </c>
      <c r="C7016" s="74" t="s">
        <v>448</v>
      </c>
    </row>
    <row r="7017" spans="1:3">
      <c r="A7017" s="250">
        <v>18225</v>
      </c>
      <c r="B7017" s="74" t="s">
        <v>5089</v>
      </c>
      <c r="C7017" s="74" t="s">
        <v>448</v>
      </c>
    </row>
    <row r="7018" spans="1:3">
      <c r="A7018" s="250">
        <v>18229</v>
      </c>
      <c r="B7018" s="74" t="s">
        <v>5090</v>
      </c>
      <c r="C7018" s="74" t="s">
        <v>448</v>
      </c>
    </row>
    <row r="7019" spans="1:3">
      <c r="A7019" s="250">
        <v>18230</v>
      </c>
      <c r="B7019" s="74" t="s">
        <v>5091</v>
      </c>
      <c r="C7019" s="74" t="s">
        <v>448</v>
      </c>
    </row>
    <row r="7020" spans="1:3">
      <c r="A7020" s="250">
        <v>18231</v>
      </c>
      <c r="B7020" s="74" t="s">
        <v>5092</v>
      </c>
      <c r="C7020" s="74" t="s">
        <v>448</v>
      </c>
    </row>
    <row r="7021" spans="1:3">
      <c r="A7021" s="250">
        <v>18232</v>
      </c>
      <c r="B7021" s="74" t="s">
        <v>5093</v>
      </c>
      <c r="C7021" s="74" t="s">
        <v>448</v>
      </c>
    </row>
    <row r="7022" spans="1:3">
      <c r="A7022" s="250">
        <v>18234</v>
      </c>
      <c r="B7022" s="74" t="s">
        <v>5094</v>
      </c>
      <c r="C7022" s="74" t="s">
        <v>448</v>
      </c>
    </row>
    <row r="7023" spans="1:3">
      <c r="A7023" s="250">
        <v>18235</v>
      </c>
      <c r="B7023" s="74" t="s">
        <v>5095</v>
      </c>
      <c r="C7023" s="74" t="s">
        <v>448</v>
      </c>
    </row>
    <row r="7024" spans="1:3">
      <c r="A7024" s="250">
        <v>18237</v>
      </c>
      <c r="B7024" s="74" t="s">
        <v>5096</v>
      </c>
      <c r="C7024" s="74" t="s">
        <v>448</v>
      </c>
    </row>
    <row r="7025" spans="1:3">
      <c r="A7025" s="250">
        <v>18239</v>
      </c>
      <c r="B7025" s="74" t="s">
        <v>5097</v>
      </c>
      <c r="C7025" s="74" t="s">
        <v>448</v>
      </c>
    </row>
    <row r="7026" spans="1:3">
      <c r="A7026" s="250">
        <v>18240</v>
      </c>
      <c r="B7026" s="74" t="s">
        <v>5098</v>
      </c>
      <c r="C7026" s="74" t="s">
        <v>448</v>
      </c>
    </row>
    <row r="7027" spans="1:3">
      <c r="A7027" s="250">
        <v>18241</v>
      </c>
      <c r="B7027" s="74" t="s">
        <v>5099</v>
      </c>
      <c r="C7027" s="74" t="s">
        <v>448</v>
      </c>
    </row>
    <row r="7028" spans="1:3">
      <c r="A7028" s="250">
        <v>18242</v>
      </c>
      <c r="B7028" s="74" t="s">
        <v>3483</v>
      </c>
      <c r="C7028" s="74" t="s">
        <v>448</v>
      </c>
    </row>
    <row r="7029" spans="1:3">
      <c r="A7029" s="250">
        <v>18244</v>
      </c>
      <c r="B7029" s="74" t="s">
        <v>5100</v>
      </c>
      <c r="C7029" s="74" t="s">
        <v>448</v>
      </c>
    </row>
    <row r="7030" spans="1:3">
      <c r="A7030" s="250">
        <v>18245</v>
      </c>
      <c r="B7030" s="74" t="s">
        <v>5101</v>
      </c>
      <c r="C7030" s="74" t="s">
        <v>448</v>
      </c>
    </row>
    <row r="7031" spans="1:3">
      <c r="A7031" s="250">
        <v>18246</v>
      </c>
      <c r="B7031" s="74" t="s">
        <v>5102</v>
      </c>
      <c r="C7031" s="74" t="s">
        <v>448</v>
      </c>
    </row>
    <row r="7032" spans="1:3">
      <c r="A7032" s="250">
        <v>18247</v>
      </c>
      <c r="B7032" s="74" t="s">
        <v>5103</v>
      </c>
      <c r="C7032" s="74" t="s">
        <v>448</v>
      </c>
    </row>
    <row r="7033" spans="1:3">
      <c r="A7033" s="250">
        <v>18248</v>
      </c>
      <c r="B7033" s="74" t="s">
        <v>5104</v>
      </c>
      <c r="C7033" s="74" t="s">
        <v>448</v>
      </c>
    </row>
    <row r="7034" spans="1:3">
      <c r="A7034" s="250">
        <v>18249</v>
      </c>
      <c r="B7034" s="74" t="s">
        <v>5105</v>
      </c>
      <c r="C7034" s="74" t="s">
        <v>448</v>
      </c>
    </row>
    <row r="7035" spans="1:3">
      <c r="A7035" s="250">
        <v>18250</v>
      </c>
      <c r="B7035" s="74" t="s">
        <v>5106</v>
      </c>
      <c r="C7035" s="74" t="s">
        <v>448</v>
      </c>
    </row>
    <row r="7036" spans="1:3">
      <c r="A7036" s="250">
        <v>18251</v>
      </c>
      <c r="B7036" s="74" t="s">
        <v>5107</v>
      </c>
      <c r="C7036" s="74" t="s">
        <v>448</v>
      </c>
    </row>
    <row r="7037" spans="1:3">
      <c r="A7037" s="250">
        <v>18252</v>
      </c>
      <c r="B7037" s="74" t="s">
        <v>5108</v>
      </c>
      <c r="C7037" s="74" t="s">
        <v>448</v>
      </c>
    </row>
    <row r="7038" spans="1:3">
      <c r="A7038" s="250">
        <v>18254</v>
      </c>
      <c r="B7038" s="74" t="s">
        <v>5109</v>
      </c>
      <c r="C7038" s="74" t="s">
        <v>448</v>
      </c>
    </row>
    <row r="7039" spans="1:3">
      <c r="A7039" s="250">
        <v>18255</v>
      </c>
      <c r="B7039" s="74" t="s">
        <v>5110</v>
      </c>
      <c r="C7039" s="74" t="s">
        <v>448</v>
      </c>
    </row>
    <row r="7040" spans="1:3">
      <c r="A7040" s="250">
        <v>18256</v>
      </c>
      <c r="B7040" s="74" t="s">
        <v>991</v>
      </c>
      <c r="C7040" s="74" t="s">
        <v>448</v>
      </c>
    </row>
    <row r="7041" spans="1:3">
      <c r="A7041" s="250">
        <v>18301</v>
      </c>
      <c r="B7041" s="74" t="s">
        <v>5111</v>
      </c>
      <c r="C7041" s="74" t="s">
        <v>448</v>
      </c>
    </row>
    <row r="7042" spans="1:3">
      <c r="A7042" s="250">
        <v>18302</v>
      </c>
      <c r="B7042" s="74" t="s">
        <v>5111</v>
      </c>
      <c r="C7042" s="74" t="s">
        <v>448</v>
      </c>
    </row>
    <row r="7043" spans="1:3">
      <c r="A7043" s="250">
        <v>18320</v>
      </c>
      <c r="B7043" s="74" t="s">
        <v>5112</v>
      </c>
      <c r="C7043" s="74" t="s">
        <v>448</v>
      </c>
    </row>
    <row r="7044" spans="1:3">
      <c r="A7044" s="250">
        <v>18321</v>
      </c>
      <c r="B7044" s="74" t="s">
        <v>5113</v>
      </c>
      <c r="C7044" s="74" t="s">
        <v>448</v>
      </c>
    </row>
    <row r="7045" spans="1:3">
      <c r="A7045" s="250">
        <v>18322</v>
      </c>
      <c r="B7045" s="74" t="s">
        <v>5114</v>
      </c>
      <c r="C7045" s="74" t="s">
        <v>448</v>
      </c>
    </row>
    <row r="7046" spans="1:3">
      <c r="A7046" s="250">
        <v>18323</v>
      </c>
      <c r="B7046" s="74" t="s">
        <v>5115</v>
      </c>
      <c r="C7046" s="74" t="s">
        <v>448</v>
      </c>
    </row>
    <row r="7047" spans="1:3">
      <c r="A7047" s="250">
        <v>18324</v>
      </c>
      <c r="B7047" s="74" t="s">
        <v>5116</v>
      </c>
      <c r="C7047" s="74" t="s">
        <v>448</v>
      </c>
    </row>
    <row r="7048" spans="1:3">
      <c r="A7048" s="250">
        <v>18325</v>
      </c>
      <c r="B7048" s="74" t="s">
        <v>5117</v>
      </c>
      <c r="C7048" s="74" t="s">
        <v>448</v>
      </c>
    </row>
    <row r="7049" spans="1:3">
      <c r="A7049" s="250">
        <v>18326</v>
      </c>
      <c r="B7049" s="74" t="s">
        <v>5118</v>
      </c>
      <c r="C7049" s="74" t="s">
        <v>448</v>
      </c>
    </row>
    <row r="7050" spans="1:3">
      <c r="A7050" s="250">
        <v>18327</v>
      </c>
      <c r="B7050" s="74" t="s">
        <v>5119</v>
      </c>
      <c r="C7050" s="74" t="s">
        <v>448</v>
      </c>
    </row>
    <row r="7051" spans="1:3">
      <c r="A7051" s="250">
        <v>18328</v>
      </c>
      <c r="B7051" s="74" t="s">
        <v>5120</v>
      </c>
      <c r="C7051" s="74" t="s">
        <v>448</v>
      </c>
    </row>
    <row r="7052" spans="1:3">
      <c r="A7052" s="250">
        <v>18330</v>
      </c>
      <c r="B7052" s="74" t="s">
        <v>5121</v>
      </c>
      <c r="C7052" s="74" t="s">
        <v>448</v>
      </c>
    </row>
    <row r="7053" spans="1:3">
      <c r="A7053" s="250">
        <v>18331</v>
      </c>
      <c r="B7053" s="74" t="s">
        <v>5122</v>
      </c>
      <c r="C7053" s="74" t="s">
        <v>448</v>
      </c>
    </row>
    <row r="7054" spans="1:3">
      <c r="A7054" s="250">
        <v>18332</v>
      </c>
      <c r="B7054" s="74" t="s">
        <v>5123</v>
      </c>
      <c r="C7054" s="74" t="s">
        <v>448</v>
      </c>
    </row>
    <row r="7055" spans="1:3">
      <c r="A7055" s="250">
        <v>18333</v>
      </c>
      <c r="B7055" s="74" t="s">
        <v>5124</v>
      </c>
      <c r="C7055" s="74" t="s">
        <v>448</v>
      </c>
    </row>
    <row r="7056" spans="1:3">
      <c r="A7056" s="250">
        <v>18334</v>
      </c>
      <c r="B7056" s="74" t="s">
        <v>5125</v>
      </c>
      <c r="C7056" s="74" t="s">
        <v>448</v>
      </c>
    </row>
    <row r="7057" spans="1:3">
      <c r="A7057" s="250">
        <v>18335</v>
      </c>
      <c r="B7057" s="74" t="s">
        <v>5126</v>
      </c>
      <c r="C7057" s="74" t="s">
        <v>448</v>
      </c>
    </row>
    <row r="7058" spans="1:3">
      <c r="A7058" s="250">
        <v>18336</v>
      </c>
      <c r="B7058" s="74" t="s">
        <v>5127</v>
      </c>
      <c r="C7058" s="74" t="s">
        <v>448</v>
      </c>
    </row>
    <row r="7059" spans="1:3">
      <c r="A7059" s="250">
        <v>18337</v>
      </c>
      <c r="B7059" s="74" t="s">
        <v>796</v>
      </c>
      <c r="C7059" s="74" t="s">
        <v>448</v>
      </c>
    </row>
    <row r="7060" spans="1:3">
      <c r="A7060" s="250">
        <v>18340</v>
      </c>
      <c r="B7060" s="74" t="s">
        <v>5128</v>
      </c>
      <c r="C7060" s="74" t="s">
        <v>448</v>
      </c>
    </row>
    <row r="7061" spans="1:3">
      <c r="A7061" s="250">
        <v>18341</v>
      </c>
      <c r="B7061" s="74" t="s">
        <v>5129</v>
      </c>
      <c r="C7061" s="74" t="s">
        <v>448</v>
      </c>
    </row>
    <row r="7062" spans="1:3">
      <c r="A7062" s="250">
        <v>18342</v>
      </c>
      <c r="B7062" s="74" t="s">
        <v>5130</v>
      </c>
      <c r="C7062" s="74" t="s">
        <v>448</v>
      </c>
    </row>
    <row r="7063" spans="1:3">
      <c r="A7063" s="250">
        <v>18343</v>
      </c>
      <c r="B7063" s="74" t="s">
        <v>5131</v>
      </c>
      <c r="C7063" s="74" t="s">
        <v>448</v>
      </c>
    </row>
    <row r="7064" spans="1:3">
      <c r="A7064" s="250">
        <v>18344</v>
      </c>
      <c r="B7064" s="74" t="s">
        <v>5132</v>
      </c>
      <c r="C7064" s="74" t="s">
        <v>448</v>
      </c>
    </row>
    <row r="7065" spans="1:3">
      <c r="A7065" s="250">
        <v>18346</v>
      </c>
      <c r="B7065" s="74" t="s">
        <v>5133</v>
      </c>
      <c r="C7065" s="74" t="s">
        <v>448</v>
      </c>
    </row>
    <row r="7066" spans="1:3">
      <c r="A7066" s="250">
        <v>18347</v>
      </c>
      <c r="B7066" s="74" t="s">
        <v>5134</v>
      </c>
      <c r="C7066" s="74" t="s">
        <v>448</v>
      </c>
    </row>
    <row r="7067" spans="1:3">
      <c r="A7067" s="250">
        <v>18348</v>
      </c>
      <c r="B7067" s="74" t="s">
        <v>5135</v>
      </c>
      <c r="C7067" s="74" t="s">
        <v>448</v>
      </c>
    </row>
    <row r="7068" spans="1:3">
      <c r="A7068" s="250">
        <v>18349</v>
      </c>
      <c r="B7068" s="74" t="s">
        <v>5136</v>
      </c>
      <c r="C7068" s="74" t="s">
        <v>448</v>
      </c>
    </row>
    <row r="7069" spans="1:3">
      <c r="A7069" s="250">
        <v>18350</v>
      </c>
      <c r="B7069" s="74" t="s">
        <v>5137</v>
      </c>
      <c r="C7069" s="74" t="s">
        <v>448</v>
      </c>
    </row>
    <row r="7070" spans="1:3">
      <c r="A7070" s="250">
        <v>18351</v>
      </c>
      <c r="B7070" s="74" t="s">
        <v>1429</v>
      </c>
      <c r="C7070" s="74" t="s">
        <v>448</v>
      </c>
    </row>
    <row r="7071" spans="1:3">
      <c r="A7071" s="250">
        <v>18352</v>
      </c>
      <c r="B7071" s="74" t="s">
        <v>5138</v>
      </c>
      <c r="C7071" s="74" t="s">
        <v>448</v>
      </c>
    </row>
    <row r="7072" spans="1:3">
      <c r="A7072" s="250">
        <v>18353</v>
      </c>
      <c r="B7072" s="74" t="s">
        <v>5139</v>
      </c>
      <c r="C7072" s="74" t="s">
        <v>448</v>
      </c>
    </row>
    <row r="7073" spans="1:3">
      <c r="A7073" s="250">
        <v>18354</v>
      </c>
      <c r="B7073" s="74" t="s">
        <v>5140</v>
      </c>
      <c r="C7073" s="74" t="s">
        <v>448</v>
      </c>
    </row>
    <row r="7074" spans="1:3">
      <c r="A7074" s="250">
        <v>18355</v>
      </c>
      <c r="B7074" s="74" t="s">
        <v>5141</v>
      </c>
      <c r="C7074" s="74" t="s">
        <v>448</v>
      </c>
    </row>
    <row r="7075" spans="1:3">
      <c r="A7075" s="250">
        <v>18356</v>
      </c>
      <c r="B7075" s="74" t="s">
        <v>5142</v>
      </c>
      <c r="C7075" s="74" t="s">
        <v>448</v>
      </c>
    </row>
    <row r="7076" spans="1:3">
      <c r="A7076" s="250">
        <v>18357</v>
      </c>
      <c r="B7076" s="74" t="s">
        <v>5143</v>
      </c>
      <c r="C7076" s="74" t="s">
        <v>448</v>
      </c>
    </row>
    <row r="7077" spans="1:3">
      <c r="A7077" s="250">
        <v>18360</v>
      </c>
      <c r="B7077" s="74" t="s">
        <v>5144</v>
      </c>
      <c r="C7077" s="74" t="s">
        <v>448</v>
      </c>
    </row>
    <row r="7078" spans="1:3">
      <c r="A7078" s="250">
        <v>18370</v>
      </c>
      <c r="B7078" s="74" t="s">
        <v>5145</v>
      </c>
      <c r="C7078" s="74" t="s">
        <v>448</v>
      </c>
    </row>
    <row r="7079" spans="1:3">
      <c r="A7079" s="250">
        <v>18371</v>
      </c>
      <c r="B7079" s="74" t="s">
        <v>5146</v>
      </c>
      <c r="C7079" s="74" t="s">
        <v>448</v>
      </c>
    </row>
    <row r="7080" spans="1:3">
      <c r="A7080" s="250">
        <v>18372</v>
      </c>
      <c r="B7080" s="74" t="s">
        <v>3089</v>
      </c>
      <c r="C7080" s="74" t="s">
        <v>448</v>
      </c>
    </row>
    <row r="7081" spans="1:3">
      <c r="A7081" s="250">
        <v>18373</v>
      </c>
      <c r="B7081" s="74" t="s">
        <v>5147</v>
      </c>
      <c r="C7081" s="74" t="s">
        <v>448</v>
      </c>
    </row>
    <row r="7082" spans="1:3">
      <c r="A7082" s="250">
        <v>18403</v>
      </c>
      <c r="B7082" s="74" t="s">
        <v>5148</v>
      </c>
      <c r="C7082" s="74" t="s">
        <v>448</v>
      </c>
    </row>
    <row r="7083" spans="1:3">
      <c r="A7083" s="250">
        <v>18405</v>
      </c>
      <c r="B7083" s="74" t="s">
        <v>5149</v>
      </c>
      <c r="C7083" s="74" t="s">
        <v>448</v>
      </c>
    </row>
    <row r="7084" spans="1:3">
      <c r="A7084" s="250">
        <v>18407</v>
      </c>
      <c r="B7084" s="74" t="s">
        <v>5150</v>
      </c>
      <c r="C7084" s="74" t="s">
        <v>448</v>
      </c>
    </row>
    <row r="7085" spans="1:3">
      <c r="A7085" s="250">
        <v>18410</v>
      </c>
      <c r="B7085" s="74" t="s">
        <v>5151</v>
      </c>
      <c r="C7085" s="74" t="s">
        <v>448</v>
      </c>
    </row>
    <row r="7086" spans="1:3">
      <c r="A7086" s="250">
        <v>18411</v>
      </c>
      <c r="B7086" s="74" t="s">
        <v>5152</v>
      </c>
      <c r="C7086" s="74" t="s">
        <v>448</v>
      </c>
    </row>
    <row r="7087" spans="1:3">
      <c r="A7087" s="250">
        <v>18413</v>
      </c>
      <c r="B7087" s="74" t="s">
        <v>5153</v>
      </c>
      <c r="C7087" s="74" t="s">
        <v>448</v>
      </c>
    </row>
    <row r="7088" spans="1:3">
      <c r="A7088" s="250">
        <v>18414</v>
      </c>
      <c r="B7088" s="74" t="s">
        <v>643</v>
      </c>
      <c r="C7088" s="74" t="s">
        <v>448</v>
      </c>
    </row>
    <row r="7089" spans="1:3">
      <c r="A7089" s="250">
        <v>18415</v>
      </c>
      <c r="B7089" s="74" t="s">
        <v>5154</v>
      </c>
      <c r="C7089" s="74" t="s">
        <v>448</v>
      </c>
    </row>
    <row r="7090" spans="1:3">
      <c r="A7090" s="250">
        <v>18416</v>
      </c>
      <c r="B7090" s="74" t="s">
        <v>2744</v>
      </c>
      <c r="C7090" s="74" t="s">
        <v>448</v>
      </c>
    </row>
    <row r="7091" spans="1:3">
      <c r="A7091" s="250">
        <v>18417</v>
      </c>
      <c r="B7091" s="74" t="s">
        <v>5155</v>
      </c>
      <c r="C7091" s="74" t="s">
        <v>448</v>
      </c>
    </row>
    <row r="7092" spans="1:3">
      <c r="A7092" s="250">
        <v>18419</v>
      </c>
      <c r="B7092" s="74" t="s">
        <v>5156</v>
      </c>
      <c r="C7092" s="74" t="s">
        <v>448</v>
      </c>
    </row>
    <row r="7093" spans="1:3">
      <c r="A7093" s="250">
        <v>18420</v>
      </c>
      <c r="B7093" s="74" t="s">
        <v>5157</v>
      </c>
      <c r="C7093" s="74" t="s">
        <v>448</v>
      </c>
    </row>
    <row r="7094" spans="1:3">
      <c r="A7094" s="250">
        <v>18421</v>
      </c>
      <c r="B7094" s="74" t="s">
        <v>5158</v>
      </c>
      <c r="C7094" s="74" t="s">
        <v>448</v>
      </c>
    </row>
    <row r="7095" spans="1:3">
      <c r="A7095" s="250">
        <v>18424</v>
      </c>
      <c r="B7095" s="74" t="s">
        <v>1565</v>
      </c>
      <c r="C7095" s="74" t="s">
        <v>448</v>
      </c>
    </row>
    <row r="7096" spans="1:3">
      <c r="A7096" s="250">
        <v>18425</v>
      </c>
      <c r="B7096" s="74" t="s">
        <v>5159</v>
      </c>
      <c r="C7096" s="74" t="s">
        <v>448</v>
      </c>
    </row>
    <row r="7097" spans="1:3">
      <c r="A7097" s="250">
        <v>18426</v>
      </c>
      <c r="B7097" s="74" t="s">
        <v>5160</v>
      </c>
      <c r="C7097" s="74" t="s">
        <v>448</v>
      </c>
    </row>
    <row r="7098" spans="1:3">
      <c r="A7098" s="250">
        <v>18427</v>
      </c>
      <c r="B7098" s="74" t="s">
        <v>3778</v>
      </c>
      <c r="C7098" s="74" t="s">
        <v>448</v>
      </c>
    </row>
    <row r="7099" spans="1:3">
      <c r="A7099" s="250">
        <v>18428</v>
      </c>
      <c r="B7099" s="74" t="s">
        <v>5161</v>
      </c>
      <c r="C7099" s="74" t="s">
        <v>448</v>
      </c>
    </row>
    <row r="7100" spans="1:3">
      <c r="A7100" s="250">
        <v>18430</v>
      </c>
      <c r="B7100" s="74" t="s">
        <v>5162</v>
      </c>
      <c r="C7100" s="74" t="s">
        <v>448</v>
      </c>
    </row>
    <row r="7101" spans="1:3">
      <c r="A7101" s="250">
        <v>18431</v>
      </c>
      <c r="B7101" s="74" t="s">
        <v>5163</v>
      </c>
      <c r="C7101" s="74" t="s">
        <v>448</v>
      </c>
    </row>
    <row r="7102" spans="1:3">
      <c r="A7102" s="250">
        <v>18433</v>
      </c>
      <c r="B7102" s="74" t="s">
        <v>5164</v>
      </c>
      <c r="C7102" s="74" t="s">
        <v>448</v>
      </c>
    </row>
    <row r="7103" spans="1:3">
      <c r="A7103" s="250">
        <v>18434</v>
      </c>
      <c r="B7103" s="74" t="s">
        <v>5165</v>
      </c>
      <c r="C7103" s="74" t="s">
        <v>448</v>
      </c>
    </row>
    <row r="7104" spans="1:3">
      <c r="A7104" s="250">
        <v>18435</v>
      </c>
      <c r="B7104" s="74" t="s">
        <v>5166</v>
      </c>
      <c r="C7104" s="74" t="s">
        <v>448</v>
      </c>
    </row>
    <row r="7105" spans="1:3">
      <c r="A7105" s="250">
        <v>18436</v>
      </c>
      <c r="B7105" s="74" t="s">
        <v>5167</v>
      </c>
      <c r="C7105" s="74" t="s">
        <v>448</v>
      </c>
    </row>
    <row r="7106" spans="1:3">
      <c r="A7106" s="250">
        <v>18437</v>
      </c>
      <c r="B7106" s="74" t="s">
        <v>5168</v>
      </c>
      <c r="C7106" s="74" t="s">
        <v>448</v>
      </c>
    </row>
    <row r="7107" spans="1:3">
      <c r="A7107" s="250">
        <v>18438</v>
      </c>
      <c r="B7107" s="74" t="s">
        <v>949</v>
      </c>
      <c r="C7107" s="74" t="s">
        <v>448</v>
      </c>
    </row>
    <row r="7108" spans="1:3">
      <c r="A7108" s="250">
        <v>18439</v>
      </c>
      <c r="B7108" s="74" t="s">
        <v>2535</v>
      </c>
      <c r="C7108" s="74" t="s">
        <v>448</v>
      </c>
    </row>
    <row r="7109" spans="1:3">
      <c r="A7109" s="250">
        <v>18440</v>
      </c>
      <c r="B7109" s="74" t="s">
        <v>5169</v>
      </c>
      <c r="C7109" s="74" t="s">
        <v>448</v>
      </c>
    </row>
    <row r="7110" spans="1:3">
      <c r="A7110" s="250">
        <v>18441</v>
      </c>
      <c r="B7110" s="74" t="s">
        <v>5170</v>
      </c>
      <c r="C7110" s="74" t="s">
        <v>448</v>
      </c>
    </row>
    <row r="7111" spans="1:3">
      <c r="A7111" s="250">
        <v>18443</v>
      </c>
      <c r="B7111" s="74" t="s">
        <v>5171</v>
      </c>
      <c r="C7111" s="74" t="s">
        <v>448</v>
      </c>
    </row>
    <row r="7112" spans="1:3">
      <c r="A7112" s="250">
        <v>18444</v>
      </c>
      <c r="B7112" s="74" t="s">
        <v>1851</v>
      </c>
      <c r="C7112" s="74" t="s">
        <v>448</v>
      </c>
    </row>
    <row r="7113" spans="1:3">
      <c r="A7113" s="250">
        <v>18445</v>
      </c>
      <c r="B7113" s="74" t="s">
        <v>2197</v>
      </c>
      <c r="C7113" s="74" t="s">
        <v>448</v>
      </c>
    </row>
    <row r="7114" spans="1:3">
      <c r="A7114" s="250">
        <v>18446</v>
      </c>
      <c r="B7114" s="74" t="s">
        <v>5172</v>
      </c>
      <c r="C7114" s="74" t="s">
        <v>448</v>
      </c>
    </row>
    <row r="7115" spans="1:3">
      <c r="A7115" s="250">
        <v>18447</v>
      </c>
      <c r="B7115" s="74" t="s">
        <v>5173</v>
      </c>
      <c r="C7115" s="74" t="s">
        <v>448</v>
      </c>
    </row>
    <row r="7116" spans="1:3">
      <c r="A7116" s="250">
        <v>18448</v>
      </c>
      <c r="B7116" s="74" t="s">
        <v>5173</v>
      </c>
      <c r="C7116" s="74" t="s">
        <v>448</v>
      </c>
    </row>
    <row r="7117" spans="1:3">
      <c r="A7117" s="250">
        <v>18449</v>
      </c>
      <c r="B7117" s="74" t="s">
        <v>5174</v>
      </c>
      <c r="C7117" s="74" t="s">
        <v>448</v>
      </c>
    </row>
    <row r="7118" spans="1:3">
      <c r="A7118" s="250">
        <v>18451</v>
      </c>
      <c r="B7118" s="74" t="s">
        <v>5175</v>
      </c>
      <c r="C7118" s="74" t="s">
        <v>448</v>
      </c>
    </row>
    <row r="7119" spans="1:3">
      <c r="A7119" s="250">
        <v>18452</v>
      </c>
      <c r="B7119" s="74" t="s">
        <v>5176</v>
      </c>
      <c r="C7119" s="74" t="s">
        <v>448</v>
      </c>
    </row>
    <row r="7120" spans="1:3">
      <c r="A7120" s="250">
        <v>18453</v>
      </c>
      <c r="B7120" s="74" t="s">
        <v>5177</v>
      </c>
      <c r="C7120" s="74" t="s">
        <v>448</v>
      </c>
    </row>
    <row r="7121" spans="1:3">
      <c r="A7121" s="250">
        <v>18454</v>
      </c>
      <c r="B7121" s="74" t="s">
        <v>5178</v>
      </c>
      <c r="C7121" s="74" t="s">
        <v>448</v>
      </c>
    </row>
    <row r="7122" spans="1:3">
      <c r="A7122" s="250">
        <v>18455</v>
      </c>
      <c r="B7122" s="74" t="s">
        <v>5179</v>
      </c>
      <c r="C7122" s="74" t="s">
        <v>448</v>
      </c>
    </row>
    <row r="7123" spans="1:3">
      <c r="A7123" s="250">
        <v>18456</v>
      </c>
      <c r="B7123" s="74" t="s">
        <v>5180</v>
      </c>
      <c r="C7123" s="74" t="s">
        <v>448</v>
      </c>
    </row>
    <row r="7124" spans="1:3">
      <c r="A7124" s="250">
        <v>18457</v>
      </c>
      <c r="B7124" s="74" t="s">
        <v>5181</v>
      </c>
      <c r="C7124" s="74" t="s">
        <v>448</v>
      </c>
    </row>
    <row r="7125" spans="1:3">
      <c r="A7125" s="250">
        <v>18458</v>
      </c>
      <c r="B7125" s="74" t="s">
        <v>5182</v>
      </c>
      <c r="C7125" s="74" t="s">
        <v>448</v>
      </c>
    </row>
    <row r="7126" spans="1:3">
      <c r="A7126" s="250">
        <v>18459</v>
      </c>
      <c r="B7126" s="74" t="s">
        <v>5183</v>
      </c>
      <c r="C7126" s="74" t="s">
        <v>448</v>
      </c>
    </row>
    <row r="7127" spans="1:3">
      <c r="A7127" s="250">
        <v>18460</v>
      </c>
      <c r="B7127" s="74" t="s">
        <v>5184</v>
      </c>
      <c r="C7127" s="74" t="s">
        <v>448</v>
      </c>
    </row>
    <row r="7128" spans="1:3">
      <c r="A7128" s="250">
        <v>18461</v>
      </c>
      <c r="B7128" s="74" t="s">
        <v>5185</v>
      </c>
      <c r="C7128" s="74" t="s">
        <v>448</v>
      </c>
    </row>
    <row r="7129" spans="1:3">
      <c r="A7129" s="250">
        <v>18462</v>
      </c>
      <c r="B7129" s="74" t="s">
        <v>5186</v>
      </c>
      <c r="C7129" s="74" t="s">
        <v>448</v>
      </c>
    </row>
    <row r="7130" spans="1:3">
      <c r="A7130" s="250">
        <v>18463</v>
      </c>
      <c r="B7130" s="74" t="s">
        <v>763</v>
      </c>
      <c r="C7130" s="74" t="s">
        <v>448</v>
      </c>
    </row>
    <row r="7131" spans="1:3">
      <c r="A7131" s="250">
        <v>18464</v>
      </c>
      <c r="B7131" s="74" t="s">
        <v>5187</v>
      </c>
      <c r="C7131" s="74" t="s">
        <v>448</v>
      </c>
    </row>
    <row r="7132" spans="1:3">
      <c r="A7132" s="250">
        <v>18465</v>
      </c>
      <c r="B7132" s="74" t="s">
        <v>2006</v>
      </c>
      <c r="C7132" s="74" t="s">
        <v>448</v>
      </c>
    </row>
    <row r="7133" spans="1:3">
      <c r="A7133" s="250">
        <v>18466</v>
      </c>
      <c r="B7133" s="74" t="s">
        <v>5188</v>
      </c>
      <c r="C7133" s="74" t="s">
        <v>448</v>
      </c>
    </row>
    <row r="7134" spans="1:3">
      <c r="A7134" s="250">
        <v>18469</v>
      </c>
      <c r="B7134" s="74" t="s">
        <v>5189</v>
      </c>
      <c r="C7134" s="74" t="s">
        <v>448</v>
      </c>
    </row>
    <row r="7135" spans="1:3">
      <c r="A7135" s="250">
        <v>18470</v>
      </c>
      <c r="B7135" s="74" t="s">
        <v>5190</v>
      </c>
      <c r="C7135" s="74" t="s">
        <v>448</v>
      </c>
    </row>
    <row r="7136" spans="1:3">
      <c r="A7136" s="250">
        <v>18471</v>
      </c>
      <c r="B7136" s="74" t="s">
        <v>3950</v>
      </c>
      <c r="C7136" s="74" t="s">
        <v>448</v>
      </c>
    </row>
    <row r="7137" spans="1:3">
      <c r="A7137" s="250">
        <v>18472</v>
      </c>
      <c r="B7137" s="74" t="s">
        <v>5191</v>
      </c>
      <c r="C7137" s="74" t="s">
        <v>448</v>
      </c>
    </row>
    <row r="7138" spans="1:3">
      <c r="A7138" s="250">
        <v>18473</v>
      </c>
      <c r="B7138" s="74" t="s">
        <v>5192</v>
      </c>
      <c r="C7138" s="74" t="s">
        <v>448</v>
      </c>
    </row>
    <row r="7139" spans="1:3">
      <c r="A7139" s="250">
        <v>18501</v>
      </c>
      <c r="B7139" s="74" t="s">
        <v>5193</v>
      </c>
      <c r="C7139" s="74" t="s">
        <v>448</v>
      </c>
    </row>
    <row r="7140" spans="1:3">
      <c r="A7140" s="250">
        <v>18502</v>
      </c>
      <c r="B7140" s="74" t="s">
        <v>5193</v>
      </c>
      <c r="C7140" s="74" t="s">
        <v>448</v>
      </c>
    </row>
    <row r="7141" spans="1:3">
      <c r="A7141" s="250">
        <v>18503</v>
      </c>
      <c r="B7141" s="74" t="s">
        <v>5193</v>
      </c>
      <c r="C7141" s="74" t="s">
        <v>448</v>
      </c>
    </row>
    <row r="7142" spans="1:3">
      <c r="A7142" s="250">
        <v>18504</v>
      </c>
      <c r="B7142" s="74" t="s">
        <v>5193</v>
      </c>
      <c r="C7142" s="74" t="s">
        <v>448</v>
      </c>
    </row>
    <row r="7143" spans="1:3">
      <c r="A7143" s="250">
        <v>18505</v>
      </c>
      <c r="B7143" s="74" t="s">
        <v>5193</v>
      </c>
      <c r="C7143" s="74" t="s">
        <v>448</v>
      </c>
    </row>
    <row r="7144" spans="1:3">
      <c r="A7144" s="250">
        <v>18507</v>
      </c>
      <c r="B7144" s="74" t="s">
        <v>5194</v>
      </c>
      <c r="C7144" s="74" t="s">
        <v>448</v>
      </c>
    </row>
    <row r="7145" spans="1:3">
      <c r="A7145" s="250">
        <v>18508</v>
      </c>
      <c r="B7145" s="74" t="s">
        <v>5193</v>
      </c>
      <c r="C7145" s="74" t="s">
        <v>448</v>
      </c>
    </row>
    <row r="7146" spans="1:3">
      <c r="A7146" s="250">
        <v>18509</v>
      </c>
      <c r="B7146" s="74" t="s">
        <v>5193</v>
      </c>
      <c r="C7146" s="74" t="s">
        <v>448</v>
      </c>
    </row>
    <row r="7147" spans="1:3">
      <c r="A7147" s="250">
        <v>18510</v>
      </c>
      <c r="B7147" s="74" t="s">
        <v>5193</v>
      </c>
      <c r="C7147" s="74" t="s">
        <v>448</v>
      </c>
    </row>
    <row r="7148" spans="1:3">
      <c r="A7148" s="250">
        <v>18512</v>
      </c>
      <c r="B7148" s="74" t="s">
        <v>5193</v>
      </c>
      <c r="C7148" s="74" t="s">
        <v>448</v>
      </c>
    </row>
    <row r="7149" spans="1:3">
      <c r="A7149" s="250">
        <v>18514</v>
      </c>
      <c r="B7149" s="74" t="s">
        <v>5193</v>
      </c>
      <c r="C7149" s="74" t="s">
        <v>448</v>
      </c>
    </row>
    <row r="7150" spans="1:3">
      <c r="A7150" s="250">
        <v>18515</v>
      </c>
      <c r="B7150" s="74" t="s">
        <v>5193</v>
      </c>
      <c r="C7150" s="74" t="s">
        <v>448</v>
      </c>
    </row>
    <row r="7151" spans="1:3">
      <c r="A7151" s="250">
        <v>18517</v>
      </c>
      <c r="B7151" s="74" t="s">
        <v>5195</v>
      </c>
      <c r="C7151" s="74" t="s">
        <v>448</v>
      </c>
    </row>
    <row r="7152" spans="1:3">
      <c r="A7152" s="250">
        <v>18518</v>
      </c>
      <c r="B7152" s="74" t="s">
        <v>3482</v>
      </c>
      <c r="C7152" s="74" t="s">
        <v>448</v>
      </c>
    </row>
    <row r="7153" spans="1:3">
      <c r="A7153" s="250">
        <v>18519</v>
      </c>
      <c r="B7153" s="74" t="s">
        <v>5193</v>
      </c>
      <c r="C7153" s="74" t="s">
        <v>448</v>
      </c>
    </row>
    <row r="7154" spans="1:3">
      <c r="A7154" s="250">
        <v>18522</v>
      </c>
      <c r="B7154" s="74" t="s">
        <v>5193</v>
      </c>
      <c r="C7154" s="74" t="s">
        <v>448</v>
      </c>
    </row>
    <row r="7155" spans="1:3">
      <c r="A7155" s="250">
        <v>18540</v>
      </c>
      <c r="B7155" s="74" t="s">
        <v>5193</v>
      </c>
      <c r="C7155" s="74" t="s">
        <v>448</v>
      </c>
    </row>
    <row r="7156" spans="1:3">
      <c r="A7156" s="250">
        <v>18577</v>
      </c>
      <c r="B7156" s="74" t="s">
        <v>5193</v>
      </c>
      <c r="C7156" s="74" t="s">
        <v>448</v>
      </c>
    </row>
    <row r="7157" spans="1:3">
      <c r="A7157" s="250">
        <v>18601</v>
      </c>
      <c r="B7157" s="74" t="s">
        <v>2368</v>
      </c>
      <c r="C7157" s="74" t="s">
        <v>448</v>
      </c>
    </row>
    <row r="7158" spans="1:3">
      <c r="A7158" s="250">
        <v>18602</v>
      </c>
      <c r="B7158" s="74" t="s">
        <v>5196</v>
      </c>
      <c r="C7158" s="74" t="s">
        <v>448</v>
      </c>
    </row>
    <row r="7159" spans="1:3">
      <c r="A7159" s="250">
        <v>18603</v>
      </c>
      <c r="B7159" s="74" t="s">
        <v>1351</v>
      </c>
      <c r="C7159" s="74" t="s">
        <v>448</v>
      </c>
    </row>
    <row r="7160" spans="1:3">
      <c r="A7160" s="250">
        <v>18610</v>
      </c>
      <c r="B7160" s="74" t="s">
        <v>5197</v>
      </c>
      <c r="C7160" s="74" t="s">
        <v>448</v>
      </c>
    </row>
    <row r="7161" spans="1:3">
      <c r="A7161" s="250">
        <v>18611</v>
      </c>
      <c r="B7161" s="74" t="s">
        <v>5198</v>
      </c>
      <c r="C7161" s="74" t="s">
        <v>448</v>
      </c>
    </row>
    <row r="7162" spans="1:3">
      <c r="A7162" s="250">
        <v>18612</v>
      </c>
      <c r="B7162" s="74" t="s">
        <v>5199</v>
      </c>
      <c r="C7162" s="74" t="s">
        <v>448</v>
      </c>
    </row>
    <row r="7163" spans="1:3">
      <c r="A7163" s="250">
        <v>18614</v>
      </c>
      <c r="B7163" s="74" t="s">
        <v>5200</v>
      </c>
      <c r="C7163" s="74" t="s">
        <v>448</v>
      </c>
    </row>
    <row r="7164" spans="1:3">
      <c r="A7164" s="250">
        <v>18615</v>
      </c>
      <c r="B7164" s="74" t="s">
        <v>5201</v>
      </c>
      <c r="C7164" s="74" t="s">
        <v>448</v>
      </c>
    </row>
    <row r="7165" spans="1:3">
      <c r="A7165" s="250">
        <v>18616</v>
      </c>
      <c r="B7165" s="74" t="s">
        <v>5202</v>
      </c>
      <c r="C7165" s="74" t="s">
        <v>448</v>
      </c>
    </row>
    <row r="7166" spans="1:3">
      <c r="A7166" s="250">
        <v>18617</v>
      </c>
      <c r="B7166" s="74" t="s">
        <v>5203</v>
      </c>
      <c r="C7166" s="74" t="s">
        <v>448</v>
      </c>
    </row>
    <row r="7167" spans="1:3">
      <c r="A7167" s="250">
        <v>18618</v>
      </c>
      <c r="B7167" s="74" t="s">
        <v>5204</v>
      </c>
      <c r="C7167" s="74" t="s">
        <v>448</v>
      </c>
    </row>
    <row r="7168" spans="1:3">
      <c r="A7168" s="250">
        <v>18619</v>
      </c>
      <c r="B7168" s="74" t="s">
        <v>5205</v>
      </c>
      <c r="C7168" s="74" t="s">
        <v>448</v>
      </c>
    </row>
    <row r="7169" spans="1:3">
      <c r="A7169" s="250">
        <v>18621</v>
      </c>
      <c r="B7169" s="74" t="s">
        <v>5206</v>
      </c>
      <c r="C7169" s="74" t="s">
        <v>448</v>
      </c>
    </row>
    <row r="7170" spans="1:3">
      <c r="A7170" s="250">
        <v>18622</v>
      </c>
      <c r="B7170" s="74" t="s">
        <v>5207</v>
      </c>
      <c r="C7170" s="74" t="s">
        <v>448</v>
      </c>
    </row>
    <row r="7171" spans="1:3">
      <c r="A7171" s="250">
        <v>18623</v>
      </c>
      <c r="B7171" s="74" t="s">
        <v>5208</v>
      </c>
      <c r="C7171" s="74" t="s">
        <v>448</v>
      </c>
    </row>
    <row r="7172" spans="1:3">
      <c r="A7172" s="250">
        <v>18624</v>
      </c>
      <c r="B7172" s="74" t="s">
        <v>5209</v>
      </c>
      <c r="C7172" s="74" t="s">
        <v>448</v>
      </c>
    </row>
    <row r="7173" spans="1:3">
      <c r="A7173" s="250">
        <v>18625</v>
      </c>
      <c r="B7173" s="74" t="s">
        <v>5210</v>
      </c>
      <c r="C7173" s="74" t="s">
        <v>448</v>
      </c>
    </row>
    <row r="7174" spans="1:3">
      <c r="A7174" s="250">
        <v>18626</v>
      </c>
      <c r="B7174" s="74" t="s">
        <v>5211</v>
      </c>
      <c r="C7174" s="74" t="s">
        <v>448</v>
      </c>
    </row>
    <row r="7175" spans="1:3">
      <c r="A7175" s="250">
        <v>18627</v>
      </c>
      <c r="B7175" s="74" t="s">
        <v>5212</v>
      </c>
      <c r="C7175" s="74" t="s">
        <v>448</v>
      </c>
    </row>
    <row r="7176" spans="1:3">
      <c r="A7176" s="250">
        <v>18628</v>
      </c>
      <c r="B7176" s="74" t="s">
        <v>5213</v>
      </c>
      <c r="C7176" s="74" t="s">
        <v>448</v>
      </c>
    </row>
    <row r="7177" spans="1:3">
      <c r="A7177" s="250">
        <v>18629</v>
      </c>
      <c r="B7177" s="74" t="s">
        <v>5214</v>
      </c>
      <c r="C7177" s="74" t="s">
        <v>448</v>
      </c>
    </row>
    <row r="7178" spans="1:3">
      <c r="A7178" s="250">
        <v>18630</v>
      </c>
      <c r="B7178" s="74" t="s">
        <v>5215</v>
      </c>
      <c r="C7178" s="74" t="s">
        <v>448</v>
      </c>
    </row>
    <row r="7179" spans="1:3">
      <c r="A7179" s="250">
        <v>18631</v>
      </c>
      <c r="B7179" s="74" t="s">
        <v>5216</v>
      </c>
      <c r="C7179" s="74" t="s">
        <v>448</v>
      </c>
    </row>
    <row r="7180" spans="1:3">
      <c r="A7180" s="250">
        <v>18632</v>
      </c>
      <c r="B7180" s="74" t="s">
        <v>5217</v>
      </c>
      <c r="C7180" s="74" t="s">
        <v>448</v>
      </c>
    </row>
    <row r="7181" spans="1:3">
      <c r="A7181" s="250">
        <v>18634</v>
      </c>
      <c r="B7181" s="74" t="s">
        <v>5218</v>
      </c>
      <c r="C7181" s="74" t="s">
        <v>448</v>
      </c>
    </row>
    <row r="7182" spans="1:3">
      <c r="A7182" s="250">
        <v>18635</v>
      </c>
      <c r="B7182" s="74" t="s">
        <v>5219</v>
      </c>
      <c r="C7182" s="74" t="s">
        <v>448</v>
      </c>
    </row>
    <row r="7183" spans="1:3">
      <c r="A7183" s="250">
        <v>18636</v>
      </c>
      <c r="B7183" s="74" t="s">
        <v>5220</v>
      </c>
      <c r="C7183" s="74" t="s">
        <v>448</v>
      </c>
    </row>
    <row r="7184" spans="1:3">
      <c r="A7184" s="250">
        <v>18640</v>
      </c>
      <c r="B7184" s="74" t="s">
        <v>5221</v>
      </c>
      <c r="C7184" s="74" t="s">
        <v>448</v>
      </c>
    </row>
    <row r="7185" spans="1:3">
      <c r="A7185" s="250">
        <v>18641</v>
      </c>
      <c r="B7185" s="74" t="s">
        <v>5221</v>
      </c>
      <c r="C7185" s="74" t="s">
        <v>448</v>
      </c>
    </row>
    <row r="7186" spans="1:3">
      <c r="A7186" s="250">
        <v>18642</v>
      </c>
      <c r="B7186" s="74" t="s">
        <v>5222</v>
      </c>
      <c r="C7186" s="74" t="s">
        <v>448</v>
      </c>
    </row>
    <row r="7187" spans="1:3">
      <c r="A7187" s="250">
        <v>18643</v>
      </c>
      <c r="B7187" s="74" t="s">
        <v>5221</v>
      </c>
      <c r="C7187" s="74" t="s">
        <v>448</v>
      </c>
    </row>
    <row r="7188" spans="1:3">
      <c r="A7188" s="250">
        <v>18644</v>
      </c>
      <c r="B7188" s="74" t="s">
        <v>1142</v>
      </c>
      <c r="C7188" s="74" t="s">
        <v>448</v>
      </c>
    </row>
    <row r="7189" spans="1:3">
      <c r="A7189" s="250">
        <v>18651</v>
      </c>
      <c r="B7189" s="74" t="s">
        <v>956</v>
      </c>
      <c r="C7189" s="74" t="s">
        <v>448</v>
      </c>
    </row>
    <row r="7190" spans="1:3">
      <c r="A7190" s="250">
        <v>18653</v>
      </c>
      <c r="B7190" s="74" t="s">
        <v>5223</v>
      </c>
      <c r="C7190" s="74" t="s">
        <v>448</v>
      </c>
    </row>
    <row r="7191" spans="1:3">
      <c r="A7191" s="250">
        <v>18654</v>
      </c>
      <c r="B7191" s="74" t="s">
        <v>5224</v>
      </c>
      <c r="C7191" s="74" t="s">
        <v>448</v>
      </c>
    </row>
    <row r="7192" spans="1:3">
      <c r="A7192" s="250">
        <v>18655</v>
      </c>
      <c r="B7192" s="74" t="s">
        <v>5225</v>
      </c>
      <c r="C7192" s="74" t="s">
        <v>448</v>
      </c>
    </row>
    <row r="7193" spans="1:3">
      <c r="A7193" s="250">
        <v>18656</v>
      </c>
      <c r="B7193" s="74" t="s">
        <v>5226</v>
      </c>
      <c r="C7193" s="74" t="s">
        <v>448</v>
      </c>
    </row>
    <row r="7194" spans="1:3">
      <c r="A7194" s="250">
        <v>18657</v>
      </c>
      <c r="B7194" s="74" t="s">
        <v>5227</v>
      </c>
      <c r="C7194" s="74" t="s">
        <v>448</v>
      </c>
    </row>
    <row r="7195" spans="1:3">
      <c r="A7195" s="250">
        <v>18660</v>
      </c>
      <c r="B7195" s="74" t="s">
        <v>5228</v>
      </c>
      <c r="C7195" s="74" t="s">
        <v>448</v>
      </c>
    </row>
    <row r="7196" spans="1:3">
      <c r="A7196" s="250">
        <v>18661</v>
      </c>
      <c r="B7196" s="74" t="s">
        <v>5229</v>
      </c>
      <c r="C7196" s="74" t="s">
        <v>448</v>
      </c>
    </row>
    <row r="7197" spans="1:3">
      <c r="A7197" s="250">
        <v>18690</v>
      </c>
      <c r="B7197" s="74" t="s">
        <v>5199</v>
      </c>
      <c r="C7197" s="74" t="s">
        <v>448</v>
      </c>
    </row>
    <row r="7198" spans="1:3">
      <c r="A7198" s="250">
        <v>18701</v>
      </c>
      <c r="B7198" s="74" t="s">
        <v>5230</v>
      </c>
      <c r="C7198" s="74" t="s">
        <v>448</v>
      </c>
    </row>
    <row r="7199" spans="1:3">
      <c r="A7199" s="250">
        <v>18702</v>
      </c>
      <c r="B7199" s="74" t="s">
        <v>5230</v>
      </c>
      <c r="C7199" s="74" t="s">
        <v>448</v>
      </c>
    </row>
    <row r="7200" spans="1:3">
      <c r="A7200" s="250">
        <v>18703</v>
      </c>
      <c r="B7200" s="74" t="s">
        <v>5230</v>
      </c>
      <c r="C7200" s="74" t="s">
        <v>448</v>
      </c>
    </row>
    <row r="7201" spans="1:3">
      <c r="A7201" s="250">
        <v>18704</v>
      </c>
      <c r="B7201" s="74" t="s">
        <v>957</v>
      </c>
      <c r="C7201" s="74" t="s">
        <v>448</v>
      </c>
    </row>
    <row r="7202" spans="1:3">
      <c r="A7202" s="250">
        <v>18705</v>
      </c>
      <c r="B7202" s="74" t="s">
        <v>5230</v>
      </c>
      <c r="C7202" s="74" t="s">
        <v>448</v>
      </c>
    </row>
    <row r="7203" spans="1:3">
      <c r="A7203" s="250">
        <v>18706</v>
      </c>
      <c r="B7203" s="74" t="s">
        <v>5230</v>
      </c>
      <c r="C7203" s="74" t="s">
        <v>448</v>
      </c>
    </row>
    <row r="7204" spans="1:3">
      <c r="A7204" s="250">
        <v>18707</v>
      </c>
      <c r="B7204" s="74" t="s">
        <v>5231</v>
      </c>
      <c r="C7204" s="74" t="s">
        <v>448</v>
      </c>
    </row>
    <row r="7205" spans="1:3">
      <c r="A7205" s="250">
        <v>18708</v>
      </c>
      <c r="B7205" s="74" t="s">
        <v>5232</v>
      </c>
      <c r="C7205" s="74" t="s">
        <v>448</v>
      </c>
    </row>
    <row r="7206" spans="1:3">
      <c r="A7206" s="250">
        <v>18709</v>
      </c>
      <c r="B7206" s="74" t="s">
        <v>5233</v>
      </c>
      <c r="C7206" s="74" t="s">
        <v>448</v>
      </c>
    </row>
    <row r="7207" spans="1:3">
      <c r="A7207" s="250">
        <v>18710</v>
      </c>
      <c r="B7207" s="74" t="s">
        <v>5230</v>
      </c>
      <c r="C7207" s="74" t="s">
        <v>448</v>
      </c>
    </row>
    <row r="7208" spans="1:3">
      <c r="A7208" s="250">
        <v>18711</v>
      </c>
      <c r="B7208" s="74" t="s">
        <v>5230</v>
      </c>
      <c r="C7208" s="74" t="s">
        <v>448</v>
      </c>
    </row>
    <row r="7209" spans="1:3">
      <c r="A7209" s="250">
        <v>18762</v>
      </c>
      <c r="B7209" s="74" t="s">
        <v>5230</v>
      </c>
      <c r="C7209" s="74" t="s">
        <v>448</v>
      </c>
    </row>
    <row r="7210" spans="1:3">
      <c r="A7210" s="250">
        <v>18764</v>
      </c>
      <c r="B7210" s="74" t="s">
        <v>5230</v>
      </c>
      <c r="C7210" s="74" t="s">
        <v>448</v>
      </c>
    </row>
    <row r="7211" spans="1:3">
      <c r="A7211" s="250">
        <v>18765</v>
      </c>
      <c r="B7211" s="74" t="s">
        <v>5230</v>
      </c>
      <c r="C7211" s="74" t="s">
        <v>448</v>
      </c>
    </row>
    <row r="7212" spans="1:3">
      <c r="A7212" s="250">
        <v>18766</v>
      </c>
      <c r="B7212" s="74" t="s">
        <v>5230</v>
      </c>
      <c r="C7212" s="74" t="s">
        <v>448</v>
      </c>
    </row>
    <row r="7213" spans="1:3">
      <c r="A7213" s="250">
        <v>18767</v>
      </c>
      <c r="B7213" s="74" t="s">
        <v>5230</v>
      </c>
      <c r="C7213" s="74" t="s">
        <v>448</v>
      </c>
    </row>
    <row r="7214" spans="1:3">
      <c r="A7214" s="250">
        <v>18769</v>
      </c>
      <c r="B7214" s="74" t="s">
        <v>5230</v>
      </c>
      <c r="C7214" s="74" t="s">
        <v>448</v>
      </c>
    </row>
    <row r="7215" spans="1:3">
      <c r="A7215" s="250">
        <v>18773</v>
      </c>
      <c r="B7215" s="74" t="s">
        <v>5230</v>
      </c>
      <c r="C7215" s="74" t="s">
        <v>448</v>
      </c>
    </row>
    <row r="7216" spans="1:3">
      <c r="A7216" s="250">
        <v>18801</v>
      </c>
      <c r="B7216" s="74" t="s">
        <v>2645</v>
      </c>
      <c r="C7216" s="74" t="s">
        <v>448</v>
      </c>
    </row>
    <row r="7217" spans="1:3">
      <c r="A7217" s="250">
        <v>18810</v>
      </c>
      <c r="B7217" s="74" t="s">
        <v>1678</v>
      </c>
      <c r="C7217" s="74" t="s">
        <v>448</v>
      </c>
    </row>
    <row r="7218" spans="1:3">
      <c r="A7218" s="250">
        <v>18812</v>
      </c>
      <c r="B7218" s="74" t="s">
        <v>5234</v>
      </c>
      <c r="C7218" s="74" t="s">
        <v>448</v>
      </c>
    </row>
    <row r="7219" spans="1:3">
      <c r="A7219" s="250">
        <v>18813</v>
      </c>
      <c r="B7219" s="74" t="s">
        <v>1983</v>
      </c>
      <c r="C7219" s="74" t="s">
        <v>448</v>
      </c>
    </row>
    <row r="7220" spans="1:3">
      <c r="A7220" s="250">
        <v>18814</v>
      </c>
      <c r="B7220" s="74" t="s">
        <v>806</v>
      </c>
      <c r="C7220" s="74" t="s">
        <v>448</v>
      </c>
    </row>
    <row r="7221" spans="1:3">
      <c r="A7221" s="250">
        <v>18815</v>
      </c>
      <c r="B7221" s="74" t="s">
        <v>5235</v>
      </c>
      <c r="C7221" s="74" t="s">
        <v>448</v>
      </c>
    </row>
    <row r="7222" spans="1:3">
      <c r="A7222" s="250">
        <v>18816</v>
      </c>
      <c r="B7222" s="74" t="s">
        <v>5236</v>
      </c>
      <c r="C7222" s="74" t="s">
        <v>448</v>
      </c>
    </row>
    <row r="7223" spans="1:3">
      <c r="A7223" s="250">
        <v>18817</v>
      </c>
      <c r="B7223" s="74" t="s">
        <v>5237</v>
      </c>
      <c r="C7223" s="74" t="s">
        <v>448</v>
      </c>
    </row>
    <row r="7224" spans="1:3">
      <c r="A7224" s="250">
        <v>18818</v>
      </c>
      <c r="B7224" s="74" t="s">
        <v>5238</v>
      </c>
      <c r="C7224" s="74" t="s">
        <v>448</v>
      </c>
    </row>
    <row r="7225" spans="1:3">
      <c r="A7225" s="250">
        <v>18820</v>
      </c>
      <c r="B7225" s="74" t="s">
        <v>5239</v>
      </c>
      <c r="C7225" s="74" t="s">
        <v>448</v>
      </c>
    </row>
    <row r="7226" spans="1:3">
      <c r="A7226" s="250">
        <v>18821</v>
      </c>
      <c r="B7226" s="74" t="s">
        <v>3551</v>
      </c>
      <c r="C7226" s="74" t="s">
        <v>448</v>
      </c>
    </row>
    <row r="7227" spans="1:3">
      <c r="A7227" s="250">
        <v>18822</v>
      </c>
      <c r="B7227" s="74" t="s">
        <v>5240</v>
      </c>
      <c r="C7227" s="74" t="s">
        <v>448</v>
      </c>
    </row>
    <row r="7228" spans="1:3">
      <c r="A7228" s="250">
        <v>18823</v>
      </c>
      <c r="B7228" s="74" t="s">
        <v>3619</v>
      </c>
      <c r="C7228" s="74" t="s">
        <v>448</v>
      </c>
    </row>
    <row r="7229" spans="1:3">
      <c r="A7229" s="250">
        <v>18824</v>
      </c>
      <c r="B7229" s="74" t="s">
        <v>5241</v>
      </c>
      <c r="C7229" s="74" t="s">
        <v>448</v>
      </c>
    </row>
    <row r="7230" spans="1:3">
      <c r="A7230" s="250">
        <v>18825</v>
      </c>
      <c r="B7230" s="74" t="s">
        <v>1318</v>
      </c>
      <c r="C7230" s="74" t="s">
        <v>448</v>
      </c>
    </row>
    <row r="7231" spans="1:3">
      <c r="A7231" s="250">
        <v>18826</v>
      </c>
      <c r="B7231" s="74" t="s">
        <v>5242</v>
      </c>
      <c r="C7231" s="74" t="s">
        <v>448</v>
      </c>
    </row>
    <row r="7232" spans="1:3">
      <c r="A7232" s="250">
        <v>18827</v>
      </c>
      <c r="B7232" s="74" t="s">
        <v>648</v>
      </c>
      <c r="C7232" s="74" t="s">
        <v>448</v>
      </c>
    </row>
    <row r="7233" spans="1:3">
      <c r="A7233" s="250">
        <v>18828</v>
      </c>
      <c r="B7233" s="74" t="s">
        <v>5243</v>
      </c>
      <c r="C7233" s="74" t="s">
        <v>448</v>
      </c>
    </row>
    <row r="7234" spans="1:3">
      <c r="A7234" s="250">
        <v>18829</v>
      </c>
      <c r="B7234" s="74" t="s">
        <v>5244</v>
      </c>
      <c r="C7234" s="74" t="s">
        <v>448</v>
      </c>
    </row>
    <row r="7235" spans="1:3">
      <c r="A7235" s="250">
        <v>18830</v>
      </c>
      <c r="B7235" s="74" t="s">
        <v>5245</v>
      </c>
      <c r="C7235" s="74" t="s">
        <v>448</v>
      </c>
    </row>
    <row r="7236" spans="1:3">
      <c r="A7236" s="250">
        <v>18831</v>
      </c>
      <c r="B7236" s="74" t="s">
        <v>1256</v>
      </c>
      <c r="C7236" s="74" t="s">
        <v>448</v>
      </c>
    </row>
    <row r="7237" spans="1:3">
      <c r="A7237" s="250">
        <v>18832</v>
      </c>
      <c r="B7237" s="74" t="s">
        <v>5246</v>
      </c>
      <c r="C7237" s="74" t="s">
        <v>448</v>
      </c>
    </row>
    <row r="7238" spans="1:3">
      <c r="A7238" s="250">
        <v>18833</v>
      </c>
      <c r="B7238" s="74" t="s">
        <v>5247</v>
      </c>
      <c r="C7238" s="74" t="s">
        <v>448</v>
      </c>
    </row>
    <row r="7239" spans="1:3">
      <c r="A7239" s="250">
        <v>18834</v>
      </c>
      <c r="B7239" s="74" t="s">
        <v>2088</v>
      </c>
      <c r="C7239" s="74" t="s">
        <v>448</v>
      </c>
    </row>
    <row r="7240" spans="1:3">
      <c r="A7240" s="250">
        <v>18837</v>
      </c>
      <c r="B7240" s="74" t="s">
        <v>3492</v>
      </c>
      <c r="C7240" s="74" t="s">
        <v>448</v>
      </c>
    </row>
    <row r="7241" spans="1:3">
      <c r="A7241" s="250">
        <v>18840</v>
      </c>
      <c r="B7241" s="74" t="s">
        <v>5248</v>
      </c>
      <c r="C7241" s="74" t="s">
        <v>448</v>
      </c>
    </row>
    <row r="7242" spans="1:3">
      <c r="A7242" s="250">
        <v>18842</v>
      </c>
      <c r="B7242" s="74" t="s">
        <v>5249</v>
      </c>
      <c r="C7242" s="74" t="s">
        <v>448</v>
      </c>
    </row>
    <row r="7243" spans="1:3">
      <c r="A7243" s="250">
        <v>18843</v>
      </c>
      <c r="B7243" s="74" t="s">
        <v>5250</v>
      </c>
      <c r="C7243" s="74" t="s">
        <v>448</v>
      </c>
    </row>
    <row r="7244" spans="1:3">
      <c r="A7244" s="250">
        <v>18844</v>
      </c>
      <c r="B7244" s="74" t="s">
        <v>3739</v>
      </c>
      <c r="C7244" s="74" t="s">
        <v>448</v>
      </c>
    </row>
    <row r="7245" spans="1:3">
      <c r="A7245" s="250">
        <v>18845</v>
      </c>
      <c r="B7245" s="74" t="s">
        <v>5251</v>
      </c>
      <c r="C7245" s="74" t="s">
        <v>448</v>
      </c>
    </row>
    <row r="7246" spans="1:3">
      <c r="A7246" s="250">
        <v>18846</v>
      </c>
      <c r="B7246" s="74" t="s">
        <v>5252</v>
      </c>
      <c r="C7246" s="74" t="s">
        <v>448</v>
      </c>
    </row>
    <row r="7247" spans="1:3">
      <c r="A7247" s="250">
        <v>18847</v>
      </c>
      <c r="B7247" s="74" t="s">
        <v>5253</v>
      </c>
      <c r="C7247" s="74" t="s">
        <v>448</v>
      </c>
    </row>
    <row r="7248" spans="1:3">
      <c r="A7248" s="250">
        <v>18848</v>
      </c>
      <c r="B7248" s="74" t="s">
        <v>5254</v>
      </c>
      <c r="C7248" s="74" t="s">
        <v>448</v>
      </c>
    </row>
    <row r="7249" spans="1:3">
      <c r="A7249" s="250">
        <v>18850</v>
      </c>
      <c r="B7249" s="74" t="s">
        <v>5255</v>
      </c>
      <c r="C7249" s="74" t="s">
        <v>448</v>
      </c>
    </row>
    <row r="7250" spans="1:3">
      <c r="A7250" s="250">
        <v>18851</v>
      </c>
      <c r="B7250" s="74" t="s">
        <v>5256</v>
      </c>
      <c r="C7250" s="74" t="s">
        <v>448</v>
      </c>
    </row>
    <row r="7251" spans="1:3">
      <c r="A7251" s="250">
        <v>18853</v>
      </c>
      <c r="B7251" s="74" t="s">
        <v>5257</v>
      </c>
      <c r="C7251" s="74" t="s">
        <v>448</v>
      </c>
    </row>
    <row r="7252" spans="1:3">
      <c r="A7252" s="250">
        <v>18854</v>
      </c>
      <c r="B7252" s="74" t="s">
        <v>5258</v>
      </c>
      <c r="C7252" s="74" t="s">
        <v>448</v>
      </c>
    </row>
    <row r="7253" spans="1:3">
      <c r="A7253" s="250">
        <v>18901</v>
      </c>
      <c r="B7253" s="74" t="s">
        <v>5259</v>
      </c>
      <c r="C7253" s="74" t="s">
        <v>448</v>
      </c>
    </row>
    <row r="7254" spans="1:3">
      <c r="A7254" s="250">
        <v>18902</v>
      </c>
      <c r="B7254" s="74" t="s">
        <v>5259</v>
      </c>
      <c r="C7254" s="74" t="s">
        <v>448</v>
      </c>
    </row>
    <row r="7255" spans="1:3">
      <c r="A7255" s="250">
        <v>18910</v>
      </c>
      <c r="B7255" s="74" t="s">
        <v>2337</v>
      </c>
      <c r="C7255" s="74" t="s">
        <v>448</v>
      </c>
    </row>
    <row r="7256" spans="1:3">
      <c r="A7256" s="250">
        <v>18911</v>
      </c>
      <c r="B7256" s="74" t="s">
        <v>5260</v>
      </c>
      <c r="C7256" s="74" t="s">
        <v>448</v>
      </c>
    </row>
    <row r="7257" spans="1:3">
      <c r="A7257" s="250">
        <v>18912</v>
      </c>
      <c r="B7257" s="74" t="s">
        <v>5261</v>
      </c>
      <c r="C7257" s="74" t="s">
        <v>448</v>
      </c>
    </row>
    <row r="7258" spans="1:3">
      <c r="A7258" s="250">
        <v>18913</v>
      </c>
      <c r="B7258" s="74" t="s">
        <v>5262</v>
      </c>
      <c r="C7258" s="74" t="s">
        <v>448</v>
      </c>
    </row>
    <row r="7259" spans="1:3">
      <c r="A7259" s="250">
        <v>18914</v>
      </c>
      <c r="B7259" s="74" t="s">
        <v>5263</v>
      </c>
      <c r="C7259" s="74" t="s">
        <v>448</v>
      </c>
    </row>
    <row r="7260" spans="1:3">
      <c r="A7260" s="250">
        <v>18915</v>
      </c>
      <c r="B7260" s="74" t="s">
        <v>5264</v>
      </c>
      <c r="C7260" s="74" t="s">
        <v>448</v>
      </c>
    </row>
    <row r="7261" spans="1:3">
      <c r="A7261" s="250">
        <v>18916</v>
      </c>
      <c r="B7261" s="74" t="s">
        <v>5265</v>
      </c>
      <c r="C7261" s="74" t="s">
        <v>448</v>
      </c>
    </row>
    <row r="7262" spans="1:3">
      <c r="A7262" s="250">
        <v>18917</v>
      </c>
      <c r="B7262" s="74" t="s">
        <v>1230</v>
      </c>
      <c r="C7262" s="74" t="s">
        <v>448</v>
      </c>
    </row>
    <row r="7263" spans="1:3">
      <c r="A7263" s="250">
        <v>18918</v>
      </c>
      <c r="B7263" s="74" t="s">
        <v>5266</v>
      </c>
      <c r="C7263" s="74" t="s">
        <v>448</v>
      </c>
    </row>
    <row r="7264" spans="1:3">
      <c r="A7264" s="250">
        <v>18920</v>
      </c>
      <c r="B7264" s="74" t="s">
        <v>5267</v>
      </c>
      <c r="C7264" s="74" t="s">
        <v>448</v>
      </c>
    </row>
    <row r="7265" spans="1:3">
      <c r="A7265" s="250">
        <v>18921</v>
      </c>
      <c r="B7265" s="74" t="s">
        <v>3173</v>
      </c>
      <c r="C7265" s="74" t="s">
        <v>448</v>
      </c>
    </row>
    <row r="7266" spans="1:3">
      <c r="A7266" s="250">
        <v>18922</v>
      </c>
      <c r="B7266" s="74" t="s">
        <v>5268</v>
      </c>
      <c r="C7266" s="74" t="s">
        <v>448</v>
      </c>
    </row>
    <row r="7267" spans="1:3">
      <c r="A7267" s="250">
        <v>18923</v>
      </c>
      <c r="B7267" s="74" t="s">
        <v>5269</v>
      </c>
      <c r="C7267" s="74" t="s">
        <v>448</v>
      </c>
    </row>
    <row r="7268" spans="1:3">
      <c r="A7268" s="250">
        <v>18924</v>
      </c>
      <c r="B7268" s="74" t="s">
        <v>1251</v>
      </c>
      <c r="C7268" s="74" t="s">
        <v>448</v>
      </c>
    </row>
    <row r="7269" spans="1:3">
      <c r="A7269" s="250">
        <v>18925</v>
      </c>
      <c r="B7269" s="74" t="s">
        <v>5270</v>
      </c>
      <c r="C7269" s="74" t="s">
        <v>448</v>
      </c>
    </row>
    <row r="7270" spans="1:3">
      <c r="A7270" s="250">
        <v>18926</v>
      </c>
      <c r="B7270" s="74" t="s">
        <v>5271</v>
      </c>
      <c r="C7270" s="74" t="s">
        <v>448</v>
      </c>
    </row>
    <row r="7271" spans="1:3">
      <c r="A7271" s="250">
        <v>18927</v>
      </c>
      <c r="B7271" s="74" t="s">
        <v>5272</v>
      </c>
      <c r="C7271" s="74" t="s">
        <v>448</v>
      </c>
    </row>
    <row r="7272" spans="1:3">
      <c r="A7272" s="250">
        <v>18928</v>
      </c>
      <c r="B7272" s="74" t="s">
        <v>5273</v>
      </c>
      <c r="C7272" s="74" t="s">
        <v>448</v>
      </c>
    </row>
    <row r="7273" spans="1:3">
      <c r="A7273" s="250">
        <v>18929</v>
      </c>
      <c r="B7273" s="74" t="s">
        <v>5274</v>
      </c>
      <c r="C7273" s="74" t="s">
        <v>448</v>
      </c>
    </row>
    <row r="7274" spans="1:3">
      <c r="A7274" s="250">
        <v>18930</v>
      </c>
      <c r="B7274" s="74" t="s">
        <v>5275</v>
      </c>
      <c r="C7274" s="74" t="s">
        <v>448</v>
      </c>
    </row>
    <row r="7275" spans="1:3">
      <c r="A7275" s="250">
        <v>18931</v>
      </c>
      <c r="B7275" s="74" t="s">
        <v>5276</v>
      </c>
      <c r="C7275" s="74" t="s">
        <v>448</v>
      </c>
    </row>
    <row r="7276" spans="1:3">
      <c r="A7276" s="250">
        <v>18932</v>
      </c>
      <c r="B7276" s="74" t="s">
        <v>5277</v>
      </c>
      <c r="C7276" s="74" t="s">
        <v>448</v>
      </c>
    </row>
    <row r="7277" spans="1:3">
      <c r="A7277" s="250">
        <v>18933</v>
      </c>
      <c r="B7277" s="74" t="s">
        <v>5278</v>
      </c>
      <c r="C7277" s="74" t="s">
        <v>448</v>
      </c>
    </row>
    <row r="7278" spans="1:3">
      <c r="A7278" s="250">
        <v>18934</v>
      </c>
      <c r="B7278" s="74" t="s">
        <v>5279</v>
      </c>
      <c r="C7278" s="74" t="s">
        <v>448</v>
      </c>
    </row>
    <row r="7279" spans="1:3">
      <c r="A7279" s="250">
        <v>18935</v>
      </c>
      <c r="B7279" s="74" t="s">
        <v>5280</v>
      </c>
      <c r="C7279" s="74" t="s">
        <v>448</v>
      </c>
    </row>
    <row r="7280" spans="1:3">
      <c r="A7280" s="250">
        <v>18936</v>
      </c>
      <c r="B7280" s="74" t="s">
        <v>5281</v>
      </c>
      <c r="C7280" s="74" t="s">
        <v>448</v>
      </c>
    </row>
    <row r="7281" spans="1:3">
      <c r="A7281" s="250">
        <v>18938</v>
      </c>
      <c r="B7281" s="74" t="s">
        <v>5282</v>
      </c>
      <c r="C7281" s="74" t="s">
        <v>448</v>
      </c>
    </row>
    <row r="7282" spans="1:3">
      <c r="A7282" s="250">
        <v>18940</v>
      </c>
      <c r="B7282" s="74" t="s">
        <v>2058</v>
      </c>
      <c r="C7282" s="74" t="s">
        <v>448</v>
      </c>
    </row>
    <row r="7283" spans="1:3">
      <c r="A7283" s="250">
        <v>18942</v>
      </c>
      <c r="B7283" s="74" t="s">
        <v>5283</v>
      </c>
      <c r="C7283" s="74" t="s">
        <v>448</v>
      </c>
    </row>
    <row r="7284" spans="1:3">
      <c r="A7284" s="250">
        <v>18943</v>
      </c>
      <c r="B7284" s="74" t="s">
        <v>5284</v>
      </c>
      <c r="C7284" s="74" t="s">
        <v>448</v>
      </c>
    </row>
    <row r="7285" spans="1:3">
      <c r="A7285" s="250">
        <v>18944</v>
      </c>
      <c r="B7285" s="74" t="s">
        <v>5285</v>
      </c>
      <c r="C7285" s="74" t="s">
        <v>448</v>
      </c>
    </row>
    <row r="7286" spans="1:3">
      <c r="A7286" s="250">
        <v>18946</v>
      </c>
      <c r="B7286" s="74" t="s">
        <v>5286</v>
      </c>
      <c r="C7286" s="74" t="s">
        <v>448</v>
      </c>
    </row>
    <row r="7287" spans="1:3">
      <c r="A7287" s="250">
        <v>18947</v>
      </c>
      <c r="B7287" s="74" t="s">
        <v>5287</v>
      </c>
      <c r="C7287" s="74" t="s">
        <v>448</v>
      </c>
    </row>
    <row r="7288" spans="1:3">
      <c r="A7288" s="250">
        <v>18949</v>
      </c>
      <c r="B7288" s="74" t="s">
        <v>5288</v>
      </c>
      <c r="C7288" s="74" t="s">
        <v>448</v>
      </c>
    </row>
    <row r="7289" spans="1:3">
      <c r="A7289" s="250">
        <v>18950</v>
      </c>
      <c r="B7289" s="74" t="s">
        <v>5289</v>
      </c>
      <c r="C7289" s="74" t="s">
        <v>448</v>
      </c>
    </row>
    <row r="7290" spans="1:3">
      <c r="A7290" s="250">
        <v>18951</v>
      </c>
      <c r="B7290" s="74" t="s">
        <v>2594</v>
      </c>
      <c r="C7290" s="74" t="s">
        <v>448</v>
      </c>
    </row>
    <row r="7291" spans="1:3">
      <c r="A7291" s="250">
        <v>18953</v>
      </c>
      <c r="B7291" s="74" t="s">
        <v>919</v>
      </c>
      <c r="C7291" s="74" t="s">
        <v>448</v>
      </c>
    </row>
    <row r="7292" spans="1:3">
      <c r="A7292" s="250">
        <v>18954</v>
      </c>
      <c r="B7292" s="74" t="s">
        <v>5290</v>
      </c>
      <c r="C7292" s="74" t="s">
        <v>448</v>
      </c>
    </row>
    <row r="7293" spans="1:3">
      <c r="A7293" s="250">
        <v>18955</v>
      </c>
      <c r="B7293" s="74" t="s">
        <v>5291</v>
      </c>
      <c r="C7293" s="74" t="s">
        <v>448</v>
      </c>
    </row>
    <row r="7294" spans="1:3">
      <c r="A7294" s="250">
        <v>18956</v>
      </c>
      <c r="B7294" s="74" t="s">
        <v>5292</v>
      </c>
      <c r="C7294" s="74" t="s">
        <v>448</v>
      </c>
    </row>
    <row r="7295" spans="1:3">
      <c r="A7295" s="250">
        <v>18957</v>
      </c>
      <c r="B7295" s="74" t="s">
        <v>5293</v>
      </c>
      <c r="C7295" s="74" t="s">
        <v>448</v>
      </c>
    </row>
    <row r="7296" spans="1:3">
      <c r="A7296" s="250">
        <v>18958</v>
      </c>
      <c r="B7296" s="74" t="s">
        <v>5294</v>
      </c>
      <c r="C7296" s="74" t="s">
        <v>448</v>
      </c>
    </row>
    <row r="7297" spans="1:3">
      <c r="A7297" s="250">
        <v>18960</v>
      </c>
      <c r="B7297" s="74" t="s">
        <v>5295</v>
      </c>
      <c r="C7297" s="74" t="s">
        <v>448</v>
      </c>
    </row>
    <row r="7298" spans="1:3">
      <c r="A7298" s="250">
        <v>18962</v>
      </c>
      <c r="B7298" s="74" t="s">
        <v>5296</v>
      </c>
      <c r="C7298" s="74" t="s">
        <v>448</v>
      </c>
    </row>
    <row r="7299" spans="1:3">
      <c r="A7299" s="250">
        <v>18963</v>
      </c>
      <c r="B7299" s="74" t="s">
        <v>5297</v>
      </c>
      <c r="C7299" s="74" t="s">
        <v>448</v>
      </c>
    </row>
    <row r="7300" spans="1:3">
      <c r="A7300" s="250">
        <v>18964</v>
      </c>
      <c r="B7300" s="74" t="s">
        <v>5298</v>
      </c>
      <c r="C7300" s="74" t="s">
        <v>448</v>
      </c>
    </row>
    <row r="7301" spans="1:3">
      <c r="A7301" s="250">
        <v>18966</v>
      </c>
      <c r="B7301" s="74" t="s">
        <v>614</v>
      </c>
      <c r="C7301" s="74" t="s">
        <v>448</v>
      </c>
    </row>
    <row r="7302" spans="1:3">
      <c r="A7302" s="250">
        <v>18968</v>
      </c>
      <c r="B7302" s="74" t="s">
        <v>5299</v>
      </c>
      <c r="C7302" s="74" t="s">
        <v>448</v>
      </c>
    </row>
    <row r="7303" spans="1:3">
      <c r="A7303" s="250">
        <v>18969</v>
      </c>
      <c r="B7303" s="74" t="s">
        <v>5300</v>
      </c>
      <c r="C7303" s="74" t="s">
        <v>448</v>
      </c>
    </row>
    <row r="7304" spans="1:3">
      <c r="A7304" s="250">
        <v>18970</v>
      </c>
      <c r="B7304" s="74" t="s">
        <v>5301</v>
      </c>
      <c r="C7304" s="74" t="s">
        <v>448</v>
      </c>
    </row>
    <row r="7305" spans="1:3">
      <c r="A7305" s="250">
        <v>18971</v>
      </c>
      <c r="B7305" s="74" t="s">
        <v>5302</v>
      </c>
      <c r="C7305" s="74" t="s">
        <v>448</v>
      </c>
    </row>
    <row r="7306" spans="1:3">
      <c r="A7306" s="250">
        <v>18972</v>
      </c>
      <c r="B7306" s="74" t="s">
        <v>5303</v>
      </c>
      <c r="C7306" s="74" t="s">
        <v>448</v>
      </c>
    </row>
    <row r="7307" spans="1:3">
      <c r="A7307" s="250">
        <v>18974</v>
      </c>
      <c r="B7307" s="74" t="s">
        <v>5304</v>
      </c>
      <c r="C7307" s="74" t="s">
        <v>448</v>
      </c>
    </row>
    <row r="7308" spans="1:3">
      <c r="A7308" s="250">
        <v>18976</v>
      </c>
      <c r="B7308" s="74" t="s">
        <v>5305</v>
      </c>
      <c r="C7308" s="74" t="s">
        <v>448</v>
      </c>
    </row>
    <row r="7309" spans="1:3">
      <c r="A7309" s="250">
        <v>18977</v>
      </c>
      <c r="B7309" s="74" t="s">
        <v>5306</v>
      </c>
      <c r="C7309" s="74" t="s">
        <v>448</v>
      </c>
    </row>
    <row r="7310" spans="1:3">
      <c r="A7310" s="250">
        <v>18979</v>
      </c>
      <c r="B7310" s="74" t="s">
        <v>5307</v>
      </c>
      <c r="C7310" s="74" t="s">
        <v>448</v>
      </c>
    </row>
    <row r="7311" spans="1:3">
      <c r="A7311" s="250">
        <v>18980</v>
      </c>
      <c r="B7311" s="74" t="s">
        <v>5308</v>
      </c>
      <c r="C7311" s="74" t="s">
        <v>448</v>
      </c>
    </row>
    <row r="7312" spans="1:3">
      <c r="A7312" s="250">
        <v>18981</v>
      </c>
      <c r="B7312" s="74" t="s">
        <v>5309</v>
      </c>
      <c r="C7312" s="74" t="s">
        <v>448</v>
      </c>
    </row>
    <row r="7313" spans="1:3">
      <c r="A7313" s="250">
        <v>18991</v>
      </c>
      <c r="B7313" s="74" t="s">
        <v>5304</v>
      </c>
      <c r="C7313" s="74" t="s">
        <v>448</v>
      </c>
    </row>
    <row r="7314" spans="1:3">
      <c r="A7314" s="250">
        <v>19001</v>
      </c>
      <c r="B7314" s="74" t="s">
        <v>951</v>
      </c>
      <c r="C7314" s="74" t="s">
        <v>448</v>
      </c>
    </row>
    <row r="7315" spans="1:3">
      <c r="A7315" s="250">
        <v>19002</v>
      </c>
      <c r="B7315" s="74" t="s">
        <v>5310</v>
      </c>
      <c r="C7315" s="74" t="s">
        <v>448</v>
      </c>
    </row>
    <row r="7316" spans="1:3">
      <c r="A7316" s="250">
        <v>19003</v>
      </c>
      <c r="B7316" s="74" t="s">
        <v>5311</v>
      </c>
      <c r="C7316" s="74" t="s">
        <v>448</v>
      </c>
    </row>
    <row r="7317" spans="1:3">
      <c r="A7317" s="250">
        <v>19004</v>
      </c>
      <c r="B7317" s="74" t="s">
        <v>5312</v>
      </c>
      <c r="C7317" s="74" t="s">
        <v>448</v>
      </c>
    </row>
    <row r="7318" spans="1:3">
      <c r="A7318" s="250">
        <v>19006</v>
      </c>
      <c r="B7318" s="74" t="s">
        <v>5313</v>
      </c>
      <c r="C7318" s="74" t="s">
        <v>448</v>
      </c>
    </row>
    <row r="7319" spans="1:3">
      <c r="A7319" s="250">
        <v>19007</v>
      </c>
      <c r="B7319" s="74" t="s">
        <v>1098</v>
      </c>
      <c r="C7319" s="74" t="s">
        <v>448</v>
      </c>
    </row>
    <row r="7320" spans="1:3">
      <c r="A7320" s="250">
        <v>19008</v>
      </c>
      <c r="B7320" s="74" t="s">
        <v>5314</v>
      </c>
      <c r="C7320" s="74" t="s">
        <v>448</v>
      </c>
    </row>
    <row r="7321" spans="1:3">
      <c r="A7321" s="250">
        <v>19009</v>
      </c>
      <c r="B7321" s="74" t="s">
        <v>5315</v>
      </c>
      <c r="C7321" s="74" t="s">
        <v>448</v>
      </c>
    </row>
    <row r="7322" spans="1:3">
      <c r="A7322" s="250">
        <v>19010</v>
      </c>
      <c r="B7322" s="74" t="s">
        <v>5316</v>
      </c>
      <c r="C7322" s="74" t="s">
        <v>448</v>
      </c>
    </row>
    <row r="7323" spans="1:3">
      <c r="A7323" s="250">
        <v>19012</v>
      </c>
      <c r="B7323" s="74" t="s">
        <v>5317</v>
      </c>
      <c r="C7323" s="74" t="s">
        <v>448</v>
      </c>
    </row>
    <row r="7324" spans="1:3">
      <c r="A7324" s="250">
        <v>19013</v>
      </c>
      <c r="B7324" s="74" t="s">
        <v>583</v>
      </c>
      <c r="C7324" s="74" t="s">
        <v>448</v>
      </c>
    </row>
    <row r="7325" spans="1:3">
      <c r="A7325" s="250">
        <v>19014</v>
      </c>
      <c r="B7325" s="74" t="s">
        <v>5318</v>
      </c>
      <c r="C7325" s="74" t="s">
        <v>448</v>
      </c>
    </row>
    <row r="7326" spans="1:3">
      <c r="A7326" s="250">
        <v>19015</v>
      </c>
      <c r="B7326" s="74" t="s">
        <v>2813</v>
      </c>
      <c r="C7326" s="74" t="s">
        <v>448</v>
      </c>
    </row>
    <row r="7327" spans="1:3">
      <c r="A7327" s="250">
        <v>19016</v>
      </c>
      <c r="B7327" s="74" t="s">
        <v>583</v>
      </c>
      <c r="C7327" s="74" t="s">
        <v>448</v>
      </c>
    </row>
    <row r="7328" spans="1:3">
      <c r="A7328" s="250">
        <v>19017</v>
      </c>
      <c r="B7328" s="74" t="s">
        <v>5319</v>
      </c>
      <c r="C7328" s="74" t="s">
        <v>448</v>
      </c>
    </row>
    <row r="7329" spans="1:3">
      <c r="A7329" s="250">
        <v>19018</v>
      </c>
      <c r="B7329" s="74" t="s">
        <v>5320</v>
      </c>
      <c r="C7329" s="74" t="s">
        <v>448</v>
      </c>
    </row>
    <row r="7330" spans="1:3">
      <c r="A7330" s="250">
        <v>19019</v>
      </c>
      <c r="B7330" s="74" t="s">
        <v>3570</v>
      </c>
      <c r="C7330" s="74" t="s">
        <v>448</v>
      </c>
    </row>
    <row r="7331" spans="1:3">
      <c r="A7331" s="250">
        <v>19020</v>
      </c>
      <c r="B7331" s="74" t="s">
        <v>5321</v>
      </c>
      <c r="C7331" s="74" t="s">
        <v>448</v>
      </c>
    </row>
    <row r="7332" spans="1:3">
      <c r="A7332" s="250">
        <v>19021</v>
      </c>
      <c r="B7332" s="74" t="s">
        <v>5322</v>
      </c>
      <c r="C7332" s="74" t="s">
        <v>448</v>
      </c>
    </row>
    <row r="7333" spans="1:3">
      <c r="A7333" s="250">
        <v>19022</v>
      </c>
      <c r="B7333" s="74" t="s">
        <v>5323</v>
      </c>
      <c r="C7333" s="74" t="s">
        <v>448</v>
      </c>
    </row>
    <row r="7334" spans="1:3">
      <c r="A7334" s="250">
        <v>19023</v>
      </c>
      <c r="B7334" s="74" t="s">
        <v>5324</v>
      </c>
      <c r="C7334" s="74" t="s">
        <v>448</v>
      </c>
    </row>
    <row r="7335" spans="1:3">
      <c r="A7335" s="250">
        <v>19025</v>
      </c>
      <c r="B7335" s="74" t="s">
        <v>5325</v>
      </c>
      <c r="C7335" s="74" t="s">
        <v>448</v>
      </c>
    </row>
    <row r="7336" spans="1:3">
      <c r="A7336" s="250">
        <v>19026</v>
      </c>
      <c r="B7336" s="74" t="s">
        <v>5326</v>
      </c>
      <c r="C7336" s="74" t="s">
        <v>448</v>
      </c>
    </row>
    <row r="7337" spans="1:3">
      <c r="A7337" s="250">
        <v>19027</v>
      </c>
      <c r="B7337" s="74" t="s">
        <v>5327</v>
      </c>
      <c r="C7337" s="74" t="s">
        <v>448</v>
      </c>
    </row>
    <row r="7338" spans="1:3">
      <c r="A7338" s="250">
        <v>19028</v>
      </c>
      <c r="B7338" s="74" t="s">
        <v>5328</v>
      </c>
      <c r="C7338" s="74" t="s">
        <v>448</v>
      </c>
    </row>
    <row r="7339" spans="1:3">
      <c r="A7339" s="250">
        <v>19029</v>
      </c>
      <c r="B7339" s="74" t="s">
        <v>5329</v>
      </c>
      <c r="C7339" s="74" t="s">
        <v>448</v>
      </c>
    </row>
    <row r="7340" spans="1:3">
      <c r="A7340" s="250">
        <v>19030</v>
      </c>
      <c r="B7340" s="74" t="s">
        <v>5330</v>
      </c>
      <c r="C7340" s="74" t="s">
        <v>448</v>
      </c>
    </row>
    <row r="7341" spans="1:3">
      <c r="A7341" s="250">
        <v>19031</v>
      </c>
      <c r="B7341" s="74" t="s">
        <v>5331</v>
      </c>
      <c r="C7341" s="74" t="s">
        <v>448</v>
      </c>
    </row>
    <row r="7342" spans="1:3">
      <c r="A7342" s="250">
        <v>19032</v>
      </c>
      <c r="B7342" s="74" t="s">
        <v>5332</v>
      </c>
      <c r="C7342" s="74" t="s">
        <v>448</v>
      </c>
    </row>
    <row r="7343" spans="1:3">
      <c r="A7343" s="250">
        <v>19033</v>
      </c>
      <c r="B7343" s="74" t="s">
        <v>5333</v>
      </c>
      <c r="C7343" s="74" t="s">
        <v>448</v>
      </c>
    </row>
    <row r="7344" spans="1:3">
      <c r="A7344" s="250">
        <v>19034</v>
      </c>
      <c r="B7344" s="74" t="s">
        <v>5334</v>
      </c>
      <c r="C7344" s="74" t="s">
        <v>448</v>
      </c>
    </row>
    <row r="7345" spans="1:3">
      <c r="A7345" s="250">
        <v>19035</v>
      </c>
      <c r="B7345" s="74" t="s">
        <v>5335</v>
      </c>
      <c r="C7345" s="74" t="s">
        <v>448</v>
      </c>
    </row>
    <row r="7346" spans="1:3">
      <c r="A7346" s="250">
        <v>19036</v>
      </c>
      <c r="B7346" s="74" t="s">
        <v>5336</v>
      </c>
      <c r="C7346" s="74" t="s">
        <v>448</v>
      </c>
    </row>
    <row r="7347" spans="1:3">
      <c r="A7347" s="250">
        <v>19037</v>
      </c>
      <c r="B7347" s="74" t="s">
        <v>5337</v>
      </c>
      <c r="C7347" s="74" t="s">
        <v>448</v>
      </c>
    </row>
    <row r="7348" spans="1:3">
      <c r="A7348" s="250">
        <v>19038</v>
      </c>
      <c r="B7348" s="74" t="s">
        <v>5338</v>
      </c>
      <c r="C7348" s="74" t="s">
        <v>448</v>
      </c>
    </row>
    <row r="7349" spans="1:3">
      <c r="A7349" s="250">
        <v>19039</v>
      </c>
      <c r="B7349" s="74" t="s">
        <v>5339</v>
      </c>
      <c r="C7349" s="74" t="s">
        <v>448</v>
      </c>
    </row>
    <row r="7350" spans="1:3">
      <c r="A7350" s="250">
        <v>19040</v>
      </c>
      <c r="B7350" s="74" t="s">
        <v>5340</v>
      </c>
      <c r="C7350" s="74" t="s">
        <v>448</v>
      </c>
    </row>
    <row r="7351" spans="1:3">
      <c r="A7351" s="250">
        <v>19041</v>
      </c>
      <c r="B7351" s="74" t="s">
        <v>5341</v>
      </c>
      <c r="C7351" s="74" t="s">
        <v>448</v>
      </c>
    </row>
    <row r="7352" spans="1:3">
      <c r="A7352" s="250">
        <v>19043</v>
      </c>
      <c r="B7352" s="74" t="s">
        <v>3122</v>
      </c>
      <c r="C7352" s="74" t="s">
        <v>448</v>
      </c>
    </row>
    <row r="7353" spans="1:3">
      <c r="A7353" s="250">
        <v>19044</v>
      </c>
      <c r="B7353" s="74" t="s">
        <v>5342</v>
      </c>
      <c r="C7353" s="74" t="s">
        <v>448</v>
      </c>
    </row>
    <row r="7354" spans="1:3">
      <c r="A7354" s="250">
        <v>19046</v>
      </c>
      <c r="B7354" s="74" t="s">
        <v>5343</v>
      </c>
      <c r="C7354" s="74" t="s">
        <v>448</v>
      </c>
    </row>
    <row r="7355" spans="1:3">
      <c r="A7355" s="250">
        <v>19047</v>
      </c>
      <c r="B7355" s="74" t="s">
        <v>5344</v>
      </c>
      <c r="C7355" s="74" t="s">
        <v>448</v>
      </c>
    </row>
    <row r="7356" spans="1:3">
      <c r="A7356" s="250">
        <v>19048</v>
      </c>
      <c r="B7356" s="74" t="s">
        <v>5334</v>
      </c>
      <c r="C7356" s="74" t="s">
        <v>448</v>
      </c>
    </row>
    <row r="7357" spans="1:3">
      <c r="A7357" s="250">
        <v>19049</v>
      </c>
      <c r="B7357" s="74" t="s">
        <v>5334</v>
      </c>
      <c r="C7357" s="74" t="s">
        <v>448</v>
      </c>
    </row>
    <row r="7358" spans="1:3">
      <c r="A7358" s="250">
        <v>19050</v>
      </c>
      <c r="B7358" s="74" t="s">
        <v>5345</v>
      </c>
      <c r="C7358" s="74" t="s">
        <v>448</v>
      </c>
    </row>
    <row r="7359" spans="1:3">
      <c r="A7359" s="250">
        <v>19052</v>
      </c>
      <c r="B7359" s="74" t="s">
        <v>5346</v>
      </c>
      <c r="C7359" s="74" t="s">
        <v>448</v>
      </c>
    </row>
    <row r="7360" spans="1:3">
      <c r="A7360" s="250">
        <v>19053</v>
      </c>
      <c r="B7360" s="74" t="s">
        <v>5347</v>
      </c>
      <c r="C7360" s="74" t="s">
        <v>448</v>
      </c>
    </row>
    <row r="7361" spans="1:3">
      <c r="A7361" s="250">
        <v>19054</v>
      </c>
      <c r="B7361" s="74" t="s">
        <v>2836</v>
      </c>
      <c r="C7361" s="74" t="s">
        <v>448</v>
      </c>
    </row>
    <row r="7362" spans="1:3">
      <c r="A7362" s="250">
        <v>19055</v>
      </c>
      <c r="B7362" s="74" t="s">
        <v>2836</v>
      </c>
      <c r="C7362" s="74" t="s">
        <v>448</v>
      </c>
    </row>
    <row r="7363" spans="1:3">
      <c r="A7363" s="250">
        <v>19056</v>
      </c>
      <c r="B7363" s="74" t="s">
        <v>2836</v>
      </c>
      <c r="C7363" s="74" t="s">
        <v>448</v>
      </c>
    </row>
    <row r="7364" spans="1:3">
      <c r="A7364" s="250">
        <v>19057</v>
      </c>
      <c r="B7364" s="74" t="s">
        <v>2836</v>
      </c>
      <c r="C7364" s="74" t="s">
        <v>448</v>
      </c>
    </row>
    <row r="7365" spans="1:3">
      <c r="A7365" s="250">
        <v>19058</v>
      </c>
      <c r="B7365" s="74" t="s">
        <v>2836</v>
      </c>
      <c r="C7365" s="74" t="s">
        <v>448</v>
      </c>
    </row>
    <row r="7366" spans="1:3">
      <c r="A7366" s="250">
        <v>19060</v>
      </c>
      <c r="B7366" s="74" t="s">
        <v>5348</v>
      </c>
      <c r="C7366" s="74" t="s">
        <v>448</v>
      </c>
    </row>
    <row r="7367" spans="1:3">
      <c r="A7367" s="250">
        <v>19061</v>
      </c>
      <c r="B7367" s="74" t="s">
        <v>5349</v>
      </c>
      <c r="C7367" s="74" t="s">
        <v>448</v>
      </c>
    </row>
    <row r="7368" spans="1:3">
      <c r="A7368" s="250">
        <v>19063</v>
      </c>
      <c r="B7368" s="74" t="s">
        <v>5350</v>
      </c>
      <c r="C7368" s="74" t="s">
        <v>448</v>
      </c>
    </row>
    <row r="7369" spans="1:3">
      <c r="A7369" s="250">
        <v>19064</v>
      </c>
      <c r="B7369" s="74" t="s">
        <v>634</v>
      </c>
      <c r="C7369" s="74" t="s">
        <v>448</v>
      </c>
    </row>
    <row r="7370" spans="1:3">
      <c r="A7370" s="250">
        <v>19065</v>
      </c>
      <c r="B7370" s="74" t="s">
        <v>5350</v>
      </c>
      <c r="C7370" s="74" t="s">
        <v>448</v>
      </c>
    </row>
    <row r="7371" spans="1:3">
      <c r="A7371" s="250">
        <v>19066</v>
      </c>
      <c r="B7371" s="74" t="s">
        <v>5351</v>
      </c>
      <c r="C7371" s="74" t="s">
        <v>448</v>
      </c>
    </row>
    <row r="7372" spans="1:3">
      <c r="A7372" s="250">
        <v>19067</v>
      </c>
      <c r="B7372" s="74" t="s">
        <v>1850</v>
      </c>
      <c r="C7372" s="74" t="s">
        <v>448</v>
      </c>
    </row>
    <row r="7373" spans="1:3">
      <c r="A7373" s="250">
        <v>19070</v>
      </c>
      <c r="B7373" s="74" t="s">
        <v>3794</v>
      </c>
      <c r="C7373" s="74" t="s">
        <v>448</v>
      </c>
    </row>
    <row r="7374" spans="1:3">
      <c r="A7374" s="250">
        <v>19072</v>
      </c>
      <c r="B7374" s="74" t="s">
        <v>5352</v>
      </c>
      <c r="C7374" s="74" t="s">
        <v>448</v>
      </c>
    </row>
    <row r="7375" spans="1:3">
      <c r="A7375" s="250">
        <v>19073</v>
      </c>
      <c r="B7375" s="74" t="s">
        <v>5353</v>
      </c>
      <c r="C7375" s="74" t="s">
        <v>448</v>
      </c>
    </row>
    <row r="7376" spans="1:3">
      <c r="A7376" s="250">
        <v>19074</v>
      </c>
      <c r="B7376" s="74" t="s">
        <v>890</v>
      </c>
      <c r="C7376" s="74" t="s">
        <v>448</v>
      </c>
    </row>
    <row r="7377" spans="1:3">
      <c r="A7377" s="250">
        <v>19075</v>
      </c>
      <c r="B7377" s="74" t="s">
        <v>5354</v>
      </c>
      <c r="C7377" s="74" t="s">
        <v>448</v>
      </c>
    </row>
    <row r="7378" spans="1:3">
      <c r="A7378" s="250">
        <v>19076</v>
      </c>
      <c r="B7378" s="74" t="s">
        <v>5355</v>
      </c>
      <c r="C7378" s="74" t="s">
        <v>448</v>
      </c>
    </row>
    <row r="7379" spans="1:3">
      <c r="A7379" s="250">
        <v>19078</v>
      </c>
      <c r="B7379" s="74" t="s">
        <v>5356</v>
      </c>
      <c r="C7379" s="74" t="s">
        <v>448</v>
      </c>
    </row>
    <row r="7380" spans="1:3">
      <c r="A7380" s="250">
        <v>19079</v>
      </c>
      <c r="B7380" s="74" t="s">
        <v>5357</v>
      </c>
      <c r="C7380" s="74" t="s">
        <v>448</v>
      </c>
    </row>
    <row r="7381" spans="1:3">
      <c r="A7381" s="250">
        <v>19080</v>
      </c>
      <c r="B7381" s="74" t="s">
        <v>1464</v>
      </c>
      <c r="C7381" s="74" t="s">
        <v>448</v>
      </c>
    </row>
    <row r="7382" spans="1:3">
      <c r="A7382" s="250">
        <v>19081</v>
      </c>
      <c r="B7382" s="74" t="s">
        <v>5358</v>
      </c>
      <c r="C7382" s="74" t="s">
        <v>448</v>
      </c>
    </row>
    <row r="7383" spans="1:3">
      <c r="A7383" s="250">
        <v>19082</v>
      </c>
      <c r="B7383" s="74" t="s">
        <v>5359</v>
      </c>
      <c r="C7383" s="74" t="s">
        <v>448</v>
      </c>
    </row>
    <row r="7384" spans="1:3">
      <c r="A7384" s="250">
        <v>19083</v>
      </c>
      <c r="B7384" s="74" t="s">
        <v>5360</v>
      </c>
      <c r="C7384" s="74" t="s">
        <v>448</v>
      </c>
    </row>
    <row r="7385" spans="1:3">
      <c r="A7385" s="250">
        <v>19085</v>
      </c>
      <c r="B7385" s="74" t="s">
        <v>5361</v>
      </c>
      <c r="C7385" s="74" t="s">
        <v>448</v>
      </c>
    </row>
    <row r="7386" spans="1:3">
      <c r="A7386" s="250">
        <v>19086</v>
      </c>
      <c r="B7386" s="74" t="s">
        <v>1891</v>
      </c>
      <c r="C7386" s="74" t="s">
        <v>448</v>
      </c>
    </row>
    <row r="7387" spans="1:3">
      <c r="A7387" s="250">
        <v>19087</v>
      </c>
      <c r="B7387" s="74" t="s">
        <v>1464</v>
      </c>
      <c r="C7387" s="74" t="s">
        <v>448</v>
      </c>
    </row>
    <row r="7388" spans="1:3">
      <c r="A7388" s="250">
        <v>19088</v>
      </c>
      <c r="B7388" s="74" t="s">
        <v>1464</v>
      </c>
      <c r="C7388" s="74" t="s">
        <v>448</v>
      </c>
    </row>
    <row r="7389" spans="1:3">
      <c r="A7389" s="250">
        <v>19089</v>
      </c>
      <c r="B7389" s="74" t="s">
        <v>1464</v>
      </c>
      <c r="C7389" s="74" t="s">
        <v>448</v>
      </c>
    </row>
    <row r="7390" spans="1:3">
      <c r="A7390" s="250">
        <v>19090</v>
      </c>
      <c r="B7390" s="74" t="s">
        <v>5362</v>
      </c>
      <c r="C7390" s="74" t="s">
        <v>448</v>
      </c>
    </row>
    <row r="7391" spans="1:3">
      <c r="A7391" s="250">
        <v>19091</v>
      </c>
      <c r="B7391" s="74" t="s">
        <v>5350</v>
      </c>
      <c r="C7391" s="74" t="s">
        <v>448</v>
      </c>
    </row>
    <row r="7392" spans="1:3">
      <c r="A7392" s="250">
        <v>19092</v>
      </c>
      <c r="B7392" s="74" t="s">
        <v>3570</v>
      </c>
      <c r="C7392" s="74" t="s">
        <v>448</v>
      </c>
    </row>
    <row r="7393" spans="1:3">
      <c r="A7393" s="250">
        <v>19093</v>
      </c>
      <c r="B7393" s="74" t="s">
        <v>3570</v>
      </c>
      <c r="C7393" s="74" t="s">
        <v>448</v>
      </c>
    </row>
    <row r="7394" spans="1:3">
      <c r="A7394" s="250">
        <v>19094</v>
      </c>
      <c r="B7394" s="74" t="s">
        <v>5363</v>
      </c>
      <c r="C7394" s="74" t="s">
        <v>448</v>
      </c>
    </row>
    <row r="7395" spans="1:3">
      <c r="A7395" s="250">
        <v>19095</v>
      </c>
      <c r="B7395" s="74" t="s">
        <v>5364</v>
      </c>
      <c r="C7395" s="74" t="s">
        <v>448</v>
      </c>
    </row>
    <row r="7396" spans="1:3">
      <c r="A7396" s="250">
        <v>19096</v>
      </c>
      <c r="B7396" s="74" t="s">
        <v>5365</v>
      </c>
      <c r="C7396" s="74" t="s">
        <v>448</v>
      </c>
    </row>
    <row r="7397" spans="1:3">
      <c r="A7397" s="250">
        <v>19098</v>
      </c>
      <c r="B7397" s="74" t="s">
        <v>3122</v>
      </c>
      <c r="C7397" s="74" t="s">
        <v>448</v>
      </c>
    </row>
    <row r="7398" spans="1:3">
      <c r="A7398" s="250">
        <v>19099</v>
      </c>
      <c r="B7398" s="74" t="s">
        <v>3570</v>
      </c>
      <c r="C7398" s="74" t="s">
        <v>448</v>
      </c>
    </row>
    <row r="7399" spans="1:3">
      <c r="A7399" s="250">
        <v>19101</v>
      </c>
      <c r="B7399" s="74" t="s">
        <v>3570</v>
      </c>
      <c r="C7399" s="74" t="s">
        <v>448</v>
      </c>
    </row>
    <row r="7400" spans="1:3">
      <c r="A7400" s="250">
        <v>19102</v>
      </c>
      <c r="B7400" s="74" t="s">
        <v>3570</v>
      </c>
      <c r="C7400" s="74" t="s">
        <v>448</v>
      </c>
    </row>
    <row r="7401" spans="1:3">
      <c r="A7401" s="250">
        <v>19103</v>
      </c>
      <c r="B7401" s="74" t="s">
        <v>3570</v>
      </c>
      <c r="C7401" s="74" t="s">
        <v>448</v>
      </c>
    </row>
    <row r="7402" spans="1:3">
      <c r="A7402" s="250">
        <v>19104</v>
      </c>
      <c r="B7402" s="74" t="s">
        <v>3570</v>
      </c>
      <c r="C7402" s="74" t="s">
        <v>448</v>
      </c>
    </row>
    <row r="7403" spans="1:3">
      <c r="A7403" s="250">
        <v>19105</v>
      </c>
      <c r="B7403" s="74" t="s">
        <v>3570</v>
      </c>
      <c r="C7403" s="74" t="s">
        <v>448</v>
      </c>
    </row>
    <row r="7404" spans="1:3">
      <c r="A7404" s="250">
        <v>19106</v>
      </c>
      <c r="B7404" s="74" t="s">
        <v>3570</v>
      </c>
      <c r="C7404" s="74" t="s">
        <v>448</v>
      </c>
    </row>
    <row r="7405" spans="1:3">
      <c r="A7405" s="250">
        <v>19107</v>
      </c>
      <c r="B7405" s="74" t="s">
        <v>3570</v>
      </c>
      <c r="C7405" s="74" t="s">
        <v>448</v>
      </c>
    </row>
    <row r="7406" spans="1:3">
      <c r="A7406" s="250">
        <v>19108</v>
      </c>
      <c r="B7406" s="74" t="s">
        <v>3570</v>
      </c>
      <c r="C7406" s="74" t="s">
        <v>448</v>
      </c>
    </row>
    <row r="7407" spans="1:3">
      <c r="A7407" s="250">
        <v>19109</v>
      </c>
      <c r="B7407" s="74" t="s">
        <v>3570</v>
      </c>
      <c r="C7407" s="74" t="s">
        <v>448</v>
      </c>
    </row>
    <row r="7408" spans="1:3">
      <c r="A7408" s="250">
        <v>19110</v>
      </c>
      <c r="B7408" s="74" t="s">
        <v>3570</v>
      </c>
      <c r="C7408" s="74" t="s">
        <v>448</v>
      </c>
    </row>
    <row r="7409" spans="1:3">
      <c r="A7409" s="250">
        <v>19111</v>
      </c>
      <c r="B7409" s="74" t="s">
        <v>3570</v>
      </c>
      <c r="C7409" s="74" t="s">
        <v>448</v>
      </c>
    </row>
    <row r="7410" spans="1:3">
      <c r="A7410" s="250">
        <v>19112</v>
      </c>
      <c r="B7410" s="74" t="s">
        <v>3570</v>
      </c>
      <c r="C7410" s="74" t="s">
        <v>448</v>
      </c>
    </row>
    <row r="7411" spans="1:3">
      <c r="A7411" s="250">
        <v>19113</v>
      </c>
      <c r="B7411" s="74" t="s">
        <v>3570</v>
      </c>
      <c r="C7411" s="74" t="s">
        <v>448</v>
      </c>
    </row>
    <row r="7412" spans="1:3">
      <c r="A7412" s="250">
        <v>19114</v>
      </c>
      <c r="B7412" s="74" t="s">
        <v>3570</v>
      </c>
      <c r="C7412" s="74" t="s">
        <v>448</v>
      </c>
    </row>
    <row r="7413" spans="1:3">
      <c r="A7413" s="250">
        <v>19115</v>
      </c>
      <c r="B7413" s="74" t="s">
        <v>3570</v>
      </c>
      <c r="C7413" s="74" t="s">
        <v>448</v>
      </c>
    </row>
    <row r="7414" spans="1:3">
      <c r="A7414" s="250">
        <v>19116</v>
      </c>
      <c r="B7414" s="74" t="s">
        <v>3570</v>
      </c>
      <c r="C7414" s="74" t="s">
        <v>448</v>
      </c>
    </row>
    <row r="7415" spans="1:3">
      <c r="A7415" s="250">
        <v>19118</v>
      </c>
      <c r="B7415" s="74" t="s">
        <v>3570</v>
      </c>
      <c r="C7415" s="74" t="s">
        <v>448</v>
      </c>
    </row>
    <row r="7416" spans="1:3">
      <c r="A7416" s="250">
        <v>19119</v>
      </c>
      <c r="B7416" s="74" t="s">
        <v>3570</v>
      </c>
      <c r="C7416" s="74" t="s">
        <v>448</v>
      </c>
    </row>
    <row r="7417" spans="1:3">
      <c r="A7417" s="250">
        <v>19120</v>
      </c>
      <c r="B7417" s="74" t="s">
        <v>3570</v>
      </c>
      <c r="C7417" s="74" t="s">
        <v>448</v>
      </c>
    </row>
    <row r="7418" spans="1:3">
      <c r="A7418" s="250">
        <v>19121</v>
      </c>
      <c r="B7418" s="74" t="s">
        <v>3570</v>
      </c>
      <c r="C7418" s="74" t="s">
        <v>448</v>
      </c>
    </row>
    <row r="7419" spans="1:3">
      <c r="A7419" s="250">
        <v>19122</v>
      </c>
      <c r="B7419" s="74" t="s">
        <v>3570</v>
      </c>
      <c r="C7419" s="74" t="s">
        <v>448</v>
      </c>
    </row>
    <row r="7420" spans="1:3">
      <c r="A7420" s="250">
        <v>19123</v>
      </c>
      <c r="B7420" s="74" t="s">
        <v>3570</v>
      </c>
      <c r="C7420" s="74" t="s">
        <v>448</v>
      </c>
    </row>
    <row r="7421" spans="1:3">
      <c r="A7421" s="250">
        <v>19124</v>
      </c>
      <c r="B7421" s="74" t="s">
        <v>3570</v>
      </c>
      <c r="C7421" s="74" t="s">
        <v>448</v>
      </c>
    </row>
    <row r="7422" spans="1:3">
      <c r="A7422" s="250">
        <v>19125</v>
      </c>
      <c r="B7422" s="74" t="s">
        <v>3570</v>
      </c>
      <c r="C7422" s="74" t="s">
        <v>448</v>
      </c>
    </row>
    <row r="7423" spans="1:3">
      <c r="A7423" s="250">
        <v>19126</v>
      </c>
      <c r="B7423" s="74" t="s">
        <v>3570</v>
      </c>
      <c r="C7423" s="74" t="s">
        <v>448</v>
      </c>
    </row>
    <row r="7424" spans="1:3">
      <c r="A7424" s="250">
        <v>19127</v>
      </c>
      <c r="B7424" s="74" t="s">
        <v>3570</v>
      </c>
      <c r="C7424" s="74" t="s">
        <v>448</v>
      </c>
    </row>
    <row r="7425" spans="1:3">
      <c r="A7425" s="250">
        <v>19128</v>
      </c>
      <c r="B7425" s="74" t="s">
        <v>3570</v>
      </c>
      <c r="C7425" s="74" t="s">
        <v>448</v>
      </c>
    </row>
    <row r="7426" spans="1:3">
      <c r="A7426" s="250">
        <v>19129</v>
      </c>
      <c r="B7426" s="74" t="s">
        <v>3570</v>
      </c>
      <c r="C7426" s="74" t="s">
        <v>448</v>
      </c>
    </row>
    <row r="7427" spans="1:3">
      <c r="A7427" s="250">
        <v>19130</v>
      </c>
      <c r="B7427" s="74" t="s">
        <v>3570</v>
      </c>
      <c r="C7427" s="74" t="s">
        <v>448</v>
      </c>
    </row>
    <row r="7428" spans="1:3">
      <c r="A7428" s="250">
        <v>19131</v>
      </c>
      <c r="B7428" s="74" t="s">
        <v>3570</v>
      </c>
      <c r="C7428" s="74" t="s">
        <v>448</v>
      </c>
    </row>
    <row r="7429" spans="1:3">
      <c r="A7429" s="250">
        <v>19132</v>
      </c>
      <c r="B7429" s="74" t="s">
        <v>3570</v>
      </c>
      <c r="C7429" s="74" t="s">
        <v>448</v>
      </c>
    </row>
    <row r="7430" spans="1:3">
      <c r="A7430" s="250">
        <v>19133</v>
      </c>
      <c r="B7430" s="74" t="s">
        <v>3570</v>
      </c>
      <c r="C7430" s="74" t="s">
        <v>448</v>
      </c>
    </row>
    <row r="7431" spans="1:3">
      <c r="A7431" s="250">
        <v>19134</v>
      </c>
      <c r="B7431" s="74" t="s">
        <v>3570</v>
      </c>
      <c r="C7431" s="74" t="s">
        <v>448</v>
      </c>
    </row>
    <row r="7432" spans="1:3">
      <c r="A7432" s="250">
        <v>19135</v>
      </c>
      <c r="B7432" s="74" t="s">
        <v>3570</v>
      </c>
      <c r="C7432" s="74" t="s">
        <v>448</v>
      </c>
    </row>
    <row r="7433" spans="1:3">
      <c r="A7433" s="250">
        <v>19136</v>
      </c>
      <c r="B7433" s="74" t="s">
        <v>3570</v>
      </c>
      <c r="C7433" s="74" t="s">
        <v>448</v>
      </c>
    </row>
    <row r="7434" spans="1:3">
      <c r="A7434" s="250">
        <v>19137</v>
      </c>
      <c r="B7434" s="74" t="s">
        <v>3570</v>
      </c>
      <c r="C7434" s="74" t="s">
        <v>448</v>
      </c>
    </row>
    <row r="7435" spans="1:3">
      <c r="A7435" s="250">
        <v>19138</v>
      </c>
      <c r="B7435" s="74" t="s">
        <v>3570</v>
      </c>
      <c r="C7435" s="74" t="s">
        <v>448</v>
      </c>
    </row>
    <row r="7436" spans="1:3">
      <c r="A7436" s="250">
        <v>19139</v>
      </c>
      <c r="B7436" s="74" t="s">
        <v>3570</v>
      </c>
      <c r="C7436" s="74" t="s">
        <v>448</v>
      </c>
    </row>
    <row r="7437" spans="1:3">
      <c r="A7437" s="250">
        <v>19140</v>
      </c>
      <c r="B7437" s="74" t="s">
        <v>3570</v>
      </c>
      <c r="C7437" s="74" t="s">
        <v>448</v>
      </c>
    </row>
    <row r="7438" spans="1:3">
      <c r="A7438" s="250">
        <v>19141</v>
      </c>
      <c r="B7438" s="74" t="s">
        <v>3570</v>
      </c>
      <c r="C7438" s="74" t="s">
        <v>448</v>
      </c>
    </row>
    <row r="7439" spans="1:3">
      <c r="A7439" s="250">
        <v>19142</v>
      </c>
      <c r="B7439" s="74" t="s">
        <v>3570</v>
      </c>
      <c r="C7439" s="74" t="s">
        <v>448</v>
      </c>
    </row>
    <row r="7440" spans="1:3">
      <c r="A7440" s="250">
        <v>19143</v>
      </c>
      <c r="B7440" s="74" t="s">
        <v>3570</v>
      </c>
      <c r="C7440" s="74" t="s">
        <v>448</v>
      </c>
    </row>
    <row r="7441" spans="1:3">
      <c r="A7441" s="250">
        <v>19144</v>
      </c>
      <c r="B7441" s="74" t="s">
        <v>3570</v>
      </c>
      <c r="C7441" s="74" t="s">
        <v>448</v>
      </c>
    </row>
    <row r="7442" spans="1:3">
      <c r="A7442" s="250">
        <v>19145</v>
      </c>
      <c r="B7442" s="74" t="s">
        <v>3570</v>
      </c>
      <c r="C7442" s="74" t="s">
        <v>448</v>
      </c>
    </row>
    <row r="7443" spans="1:3">
      <c r="A7443" s="250">
        <v>19146</v>
      </c>
      <c r="B7443" s="74" t="s">
        <v>3570</v>
      </c>
      <c r="C7443" s="74" t="s">
        <v>448</v>
      </c>
    </row>
    <row r="7444" spans="1:3">
      <c r="A7444" s="250">
        <v>19147</v>
      </c>
      <c r="B7444" s="74" t="s">
        <v>3570</v>
      </c>
      <c r="C7444" s="74" t="s">
        <v>448</v>
      </c>
    </row>
    <row r="7445" spans="1:3">
      <c r="A7445" s="250">
        <v>19148</v>
      </c>
      <c r="B7445" s="74" t="s">
        <v>3570</v>
      </c>
      <c r="C7445" s="74" t="s">
        <v>448</v>
      </c>
    </row>
    <row r="7446" spans="1:3">
      <c r="A7446" s="250">
        <v>19149</v>
      </c>
      <c r="B7446" s="74" t="s">
        <v>3570</v>
      </c>
      <c r="C7446" s="74" t="s">
        <v>448</v>
      </c>
    </row>
    <row r="7447" spans="1:3">
      <c r="A7447" s="250">
        <v>19150</v>
      </c>
      <c r="B7447" s="74" t="s">
        <v>3570</v>
      </c>
      <c r="C7447" s="74" t="s">
        <v>448</v>
      </c>
    </row>
    <row r="7448" spans="1:3">
      <c r="A7448" s="250">
        <v>19151</v>
      </c>
      <c r="B7448" s="74" t="s">
        <v>3570</v>
      </c>
      <c r="C7448" s="74" t="s">
        <v>448</v>
      </c>
    </row>
    <row r="7449" spans="1:3">
      <c r="A7449" s="250">
        <v>19152</v>
      </c>
      <c r="B7449" s="74" t="s">
        <v>3570</v>
      </c>
      <c r="C7449" s="74" t="s">
        <v>448</v>
      </c>
    </row>
    <row r="7450" spans="1:3">
      <c r="A7450" s="250">
        <v>19153</v>
      </c>
      <c r="B7450" s="74" t="s">
        <v>3570</v>
      </c>
      <c r="C7450" s="74" t="s">
        <v>448</v>
      </c>
    </row>
    <row r="7451" spans="1:3">
      <c r="A7451" s="250">
        <v>19154</v>
      </c>
      <c r="B7451" s="74" t="s">
        <v>3570</v>
      </c>
      <c r="C7451" s="74" t="s">
        <v>448</v>
      </c>
    </row>
    <row r="7452" spans="1:3">
      <c r="A7452" s="250">
        <v>19155</v>
      </c>
      <c r="B7452" s="74" t="s">
        <v>3570</v>
      </c>
      <c r="C7452" s="74" t="s">
        <v>448</v>
      </c>
    </row>
    <row r="7453" spans="1:3">
      <c r="A7453" s="250">
        <v>19160</v>
      </c>
      <c r="B7453" s="74" t="s">
        <v>3570</v>
      </c>
      <c r="C7453" s="74" t="s">
        <v>448</v>
      </c>
    </row>
    <row r="7454" spans="1:3">
      <c r="A7454" s="250">
        <v>19161</v>
      </c>
      <c r="B7454" s="74" t="s">
        <v>3570</v>
      </c>
      <c r="C7454" s="74" t="s">
        <v>448</v>
      </c>
    </row>
    <row r="7455" spans="1:3">
      <c r="A7455" s="250">
        <v>19162</v>
      </c>
      <c r="B7455" s="74" t="s">
        <v>3570</v>
      </c>
      <c r="C7455" s="74" t="s">
        <v>448</v>
      </c>
    </row>
    <row r="7456" spans="1:3">
      <c r="A7456" s="250">
        <v>19170</v>
      </c>
      <c r="B7456" s="74" t="s">
        <v>3570</v>
      </c>
      <c r="C7456" s="74" t="s">
        <v>448</v>
      </c>
    </row>
    <row r="7457" spans="1:3">
      <c r="A7457" s="250">
        <v>19171</v>
      </c>
      <c r="B7457" s="74" t="s">
        <v>3570</v>
      </c>
      <c r="C7457" s="74" t="s">
        <v>448</v>
      </c>
    </row>
    <row r="7458" spans="1:3">
      <c r="A7458" s="250">
        <v>19172</v>
      </c>
      <c r="B7458" s="74" t="s">
        <v>3570</v>
      </c>
      <c r="C7458" s="74" t="s">
        <v>448</v>
      </c>
    </row>
    <row r="7459" spans="1:3">
      <c r="A7459" s="250">
        <v>19173</v>
      </c>
      <c r="B7459" s="74" t="s">
        <v>3570</v>
      </c>
      <c r="C7459" s="74" t="s">
        <v>448</v>
      </c>
    </row>
    <row r="7460" spans="1:3">
      <c r="A7460" s="250">
        <v>19175</v>
      </c>
      <c r="B7460" s="74" t="s">
        <v>3570</v>
      </c>
      <c r="C7460" s="74" t="s">
        <v>448</v>
      </c>
    </row>
    <row r="7461" spans="1:3">
      <c r="A7461" s="250">
        <v>19176</v>
      </c>
      <c r="B7461" s="74" t="s">
        <v>3570</v>
      </c>
      <c r="C7461" s="74" t="s">
        <v>448</v>
      </c>
    </row>
    <row r="7462" spans="1:3">
      <c r="A7462" s="250">
        <v>19177</v>
      </c>
      <c r="B7462" s="74" t="s">
        <v>3570</v>
      </c>
      <c r="C7462" s="74" t="s">
        <v>448</v>
      </c>
    </row>
    <row r="7463" spans="1:3">
      <c r="A7463" s="250">
        <v>19178</v>
      </c>
      <c r="B7463" s="74" t="s">
        <v>3570</v>
      </c>
      <c r="C7463" s="74" t="s">
        <v>448</v>
      </c>
    </row>
    <row r="7464" spans="1:3">
      <c r="A7464" s="250">
        <v>19179</v>
      </c>
      <c r="B7464" s="74" t="s">
        <v>3570</v>
      </c>
      <c r="C7464" s="74" t="s">
        <v>448</v>
      </c>
    </row>
    <row r="7465" spans="1:3">
      <c r="A7465" s="250">
        <v>19181</v>
      </c>
      <c r="B7465" s="74" t="s">
        <v>3570</v>
      </c>
      <c r="C7465" s="74" t="s">
        <v>448</v>
      </c>
    </row>
    <row r="7466" spans="1:3">
      <c r="A7466" s="250">
        <v>19182</v>
      </c>
      <c r="B7466" s="74" t="s">
        <v>3570</v>
      </c>
      <c r="C7466" s="74" t="s">
        <v>448</v>
      </c>
    </row>
    <row r="7467" spans="1:3">
      <c r="A7467" s="250">
        <v>19183</v>
      </c>
      <c r="B7467" s="74" t="s">
        <v>3570</v>
      </c>
      <c r="C7467" s="74" t="s">
        <v>448</v>
      </c>
    </row>
    <row r="7468" spans="1:3">
      <c r="A7468" s="250">
        <v>19184</v>
      </c>
      <c r="B7468" s="74" t="s">
        <v>3570</v>
      </c>
      <c r="C7468" s="74" t="s">
        <v>448</v>
      </c>
    </row>
    <row r="7469" spans="1:3">
      <c r="A7469" s="250">
        <v>19185</v>
      </c>
      <c r="B7469" s="74" t="s">
        <v>3570</v>
      </c>
      <c r="C7469" s="74" t="s">
        <v>448</v>
      </c>
    </row>
    <row r="7470" spans="1:3">
      <c r="A7470" s="250">
        <v>19187</v>
      </c>
      <c r="B7470" s="74" t="s">
        <v>3570</v>
      </c>
      <c r="C7470" s="74" t="s">
        <v>448</v>
      </c>
    </row>
    <row r="7471" spans="1:3">
      <c r="A7471" s="250">
        <v>19188</v>
      </c>
      <c r="B7471" s="74" t="s">
        <v>3570</v>
      </c>
      <c r="C7471" s="74" t="s">
        <v>448</v>
      </c>
    </row>
    <row r="7472" spans="1:3">
      <c r="A7472" s="250">
        <v>19190</v>
      </c>
      <c r="B7472" s="74" t="s">
        <v>3570</v>
      </c>
      <c r="C7472" s="74" t="s">
        <v>448</v>
      </c>
    </row>
    <row r="7473" spans="1:3">
      <c r="A7473" s="250">
        <v>19191</v>
      </c>
      <c r="B7473" s="74" t="s">
        <v>3570</v>
      </c>
      <c r="C7473" s="74" t="s">
        <v>448</v>
      </c>
    </row>
    <row r="7474" spans="1:3">
      <c r="A7474" s="250">
        <v>19192</v>
      </c>
      <c r="B7474" s="74" t="s">
        <v>3570</v>
      </c>
      <c r="C7474" s="74" t="s">
        <v>448</v>
      </c>
    </row>
    <row r="7475" spans="1:3">
      <c r="A7475" s="250">
        <v>19193</v>
      </c>
      <c r="B7475" s="74" t="s">
        <v>3570</v>
      </c>
      <c r="C7475" s="74" t="s">
        <v>448</v>
      </c>
    </row>
    <row r="7476" spans="1:3">
      <c r="A7476" s="250">
        <v>19194</v>
      </c>
      <c r="B7476" s="74" t="s">
        <v>3570</v>
      </c>
      <c r="C7476" s="74" t="s">
        <v>448</v>
      </c>
    </row>
    <row r="7477" spans="1:3">
      <c r="A7477" s="250">
        <v>19195</v>
      </c>
      <c r="B7477" s="74" t="s">
        <v>3570</v>
      </c>
      <c r="C7477" s="74" t="s">
        <v>448</v>
      </c>
    </row>
    <row r="7478" spans="1:3">
      <c r="A7478" s="250">
        <v>19196</v>
      </c>
      <c r="B7478" s="74" t="s">
        <v>3570</v>
      </c>
      <c r="C7478" s="74" t="s">
        <v>448</v>
      </c>
    </row>
    <row r="7479" spans="1:3">
      <c r="A7479" s="250">
        <v>19197</v>
      </c>
      <c r="B7479" s="74" t="s">
        <v>3570</v>
      </c>
      <c r="C7479" s="74" t="s">
        <v>448</v>
      </c>
    </row>
    <row r="7480" spans="1:3">
      <c r="A7480" s="250">
        <v>19244</v>
      </c>
      <c r="B7480" s="74" t="s">
        <v>3570</v>
      </c>
      <c r="C7480" s="74" t="s">
        <v>448</v>
      </c>
    </row>
    <row r="7481" spans="1:3">
      <c r="A7481" s="250">
        <v>19255</v>
      </c>
      <c r="B7481" s="74" t="s">
        <v>3570</v>
      </c>
      <c r="C7481" s="74" t="s">
        <v>448</v>
      </c>
    </row>
    <row r="7482" spans="1:3">
      <c r="A7482" s="250">
        <v>19301</v>
      </c>
      <c r="B7482" s="74" t="s">
        <v>5366</v>
      </c>
      <c r="C7482" s="74" t="s">
        <v>448</v>
      </c>
    </row>
    <row r="7483" spans="1:3">
      <c r="A7483" s="250">
        <v>19310</v>
      </c>
      <c r="B7483" s="74" t="s">
        <v>5367</v>
      </c>
      <c r="C7483" s="74" t="s">
        <v>448</v>
      </c>
    </row>
    <row r="7484" spans="1:3">
      <c r="A7484" s="250">
        <v>19311</v>
      </c>
      <c r="B7484" s="74" t="s">
        <v>5368</v>
      </c>
      <c r="C7484" s="74" t="s">
        <v>448</v>
      </c>
    </row>
    <row r="7485" spans="1:3">
      <c r="A7485" s="250">
        <v>19312</v>
      </c>
      <c r="B7485" s="74" t="s">
        <v>5369</v>
      </c>
      <c r="C7485" s="74" t="s">
        <v>448</v>
      </c>
    </row>
    <row r="7486" spans="1:3">
      <c r="A7486" s="250">
        <v>19316</v>
      </c>
      <c r="B7486" s="74" t="s">
        <v>5370</v>
      </c>
      <c r="C7486" s="74" t="s">
        <v>448</v>
      </c>
    </row>
    <row r="7487" spans="1:3">
      <c r="A7487" s="250">
        <v>19317</v>
      </c>
      <c r="B7487" s="74" t="s">
        <v>5371</v>
      </c>
      <c r="C7487" s="74" t="s">
        <v>448</v>
      </c>
    </row>
    <row r="7488" spans="1:3">
      <c r="A7488" s="250">
        <v>19318</v>
      </c>
      <c r="B7488" s="74" t="s">
        <v>1025</v>
      </c>
      <c r="C7488" s="74" t="s">
        <v>448</v>
      </c>
    </row>
    <row r="7489" spans="1:3">
      <c r="A7489" s="250">
        <v>19319</v>
      </c>
      <c r="B7489" s="74" t="s">
        <v>5372</v>
      </c>
      <c r="C7489" s="74" t="s">
        <v>448</v>
      </c>
    </row>
    <row r="7490" spans="1:3">
      <c r="A7490" s="250">
        <v>19320</v>
      </c>
      <c r="B7490" s="74" t="s">
        <v>5373</v>
      </c>
      <c r="C7490" s="74" t="s">
        <v>448</v>
      </c>
    </row>
    <row r="7491" spans="1:3">
      <c r="A7491" s="250">
        <v>19330</v>
      </c>
      <c r="B7491" s="74" t="s">
        <v>5374</v>
      </c>
      <c r="C7491" s="74" t="s">
        <v>448</v>
      </c>
    </row>
    <row r="7492" spans="1:3">
      <c r="A7492" s="250">
        <v>19331</v>
      </c>
      <c r="B7492" s="74" t="s">
        <v>5375</v>
      </c>
      <c r="C7492" s="74" t="s">
        <v>448</v>
      </c>
    </row>
    <row r="7493" spans="1:3">
      <c r="A7493" s="250">
        <v>19333</v>
      </c>
      <c r="B7493" s="74" t="s">
        <v>5376</v>
      </c>
      <c r="C7493" s="74" t="s">
        <v>448</v>
      </c>
    </row>
    <row r="7494" spans="1:3">
      <c r="A7494" s="250">
        <v>19335</v>
      </c>
      <c r="B7494" s="74" t="s">
        <v>5377</v>
      </c>
      <c r="C7494" s="74" t="s">
        <v>448</v>
      </c>
    </row>
    <row r="7495" spans="1:3">
      <c r="A7495" s="250">
        <v>19339</v>
      </c>
      <c r="B7495" s="74" t="s">
        <v>5375</v>
      </c>
      <c r="C7495" s="74" t="s">
        <v>448</v>
      </c>
    </row>
    <row r="7496" spans="1:3">
      <c r="A7496" s="250">
        <v>19340</v>
      </c>
      <c r="B7496" s="74" t="s">
        <v>5375</v>
      </c>
      <c r="C7496" s="74" t="s">
        <v>448</v>
      </c>
    </row>
    <row r="7497" spans="1:3">
      <c r="A7497" s="250">
        <v>19341</v>
      </c>
      <c r="B7497" s="74" t="s">
        <v>5378</v>
      </c>
      <c r="C7497" s="74" t="s">
        <v>448</v>
      </c>
    </row>
    <row r="7498" spans="1:3">
      <c r="A7498" s="250">
        <v>19342</v>
      </c>
      <c r="B7498" s="74" t="s">
        <v>5379</v>
      </c>
      <c r="C7498" s="74" t="s">
        <v>448</v>
      </c>
    </row>
    <row r="7499" spans="1:3">
      <c r="A7499" s="250">
        <v>19343</v>
      </c>
      <c r="B7499" s="74" t="s">
        <v>5380</v>
      </c>
      <c r="C7499" s="74" t="s">
        <v>448</v>
      </c>
    </row>
    <row r="7500" spans="1:3">
      <c r="A7500" s="250">
        <v>19344</v>
      </c>
      <c r="B7500" s="74" t="s">
        <v>5381</v>
      </c>
      <c r="C7500" s="74" t="s">
        <v>448</v>
      </c>
    </row>
    <row r="7501" spans="1:3">
      <c r="A7501" s="250">
        <v>19345</v>
      </c>
      <c r="B7501" s="74" t="s">
        <v>5382</v>
      </c>
      <c r="C7501" s="74" t="s">
        <v>448</v>
      </c>
    </row>
    <row r="7502" spans="1:3">
      <c r="A7502" s="250">
        <v>19346</v>
      </c>
      <c r="B7502" s="74" t="s">
        <v>5383</v>
      </c>
      <c r="C7502" s="74" t="s">
        <v>448</v>
      </c>
    </row>
    <row r="7503" spans="1:3">
      <c r="A7503" s="250">
        <v>19347</v>
      </c>
      <c r="B7503" s="74" t="s">
        <v>5384</v>
      </c>
      <c r="C7503" s="74" t="s">
        <v>448</v>
      </c>
    </row>
    <row r="7504" spans="1:3">
      <c r="A7504" s="250">
        <v>19348</v>
      </c>
      <c r="B7504" s="74" t="s">
        <v>5385</v>
      </c>
      <c r="C7504" s="74" t="s">
        <v>448</v>
      </c>
    </row>
    <row r="7505" spans="1:3">
      <c r="A7505" s="250">
        <v>19350</v>
      </c>
      <c r="B7505" s="74" t="s">
        <v>5386</v>
      </c>
      <c r="C7505" s="74" t="s">
        <v>448</v>
      </c>
    </row>
    <row r="7506" spans="1:3">
      <c r="A7506" s="250">
        <v>19351</v>
      </c>
      <c r="B7506" s="74" t="s">
        <v>5387</v>
      </c>
      <c r="C7506" s="74" t="s">
        <v>448</v>
      </c>
    </row>
    <row r="7507" spans="1:3">
      <c r="A7507" s="250">
        <v>19352</v>
      </c>
      <c r="B7507" s="74" t="s">
        <v>5388</v>
      </c>
      <c r="C7507" s="74" t="s">
        <v>448</v>
      </c>
    </row>
    <row r="7508" spans="1:3">
      <c r="A7508" s="250">
        <v>19353</v>
      </c>
      <c r="B7508" s="74" t="s">
        <v>5389</v>
      </c>
      <c r="C7508" s="74" t="s">
        <v>448</v>
      </c>
    </row>
    <row r="7509" spans="1:3">
      <c r="A7509" s="250">
        <v>19354</v>
      </c>
      <c r="B7509" s="74" t="s">
        <v>5390</v>
      </c>
      <c r="C7509" s="74" t="s">
        <v>448</v>
      </c>
    </row>
    <row r="7510" spans="1:3">
      <c r="A7510" s="250">
        <v>19355</v>
      </c>
      <c r="B7510" s="74" t="s">
        <v>5391</v>
      </c>
      <c r="C7510" s="74" t="s">
        <v>448</v>
      </c>
    </row>
    <row r="7511" spans="1:3">
      <c r="A7511" s="250">
        <v>19357</v>
      </c>
      <c r="B7511" s="74" t="s">
        <v>5392</v>
      </c>
      <c r="C7511" s="74" t="s">
        <v>448</v>
      </c>
    </row>
    <row r="7512" spans="1:3">
      <c r="A7512" s="250">
        <v>19358</v>
      </c>
      <c r="B7512" s="74" t="s">
        <v>3130</v>
      </c>
      <c r="C7512" s="74" t="s">
        <v>448</v>
      </c>
    </row>
    <row r="7513" spans="1:3">
      <c r="A7513" s="250">
        <v>19360</v>
      </c>
      <c r="B7513" s="74" t="s">
        <v>1201</v>
      </c>
      <c r="C7513" s="74" t="s">
        <v>448</v>
      </c>
    </row>
    <row r="7514" spans="1:3">
      <c r="A7514" s="250">
        <v>19362</v>
      </c>
      <c r="B7514" s="74" t="s">
        <v>1221</v>
      </c>
      <c r="C7514" s="74" t="s">
        <v>448</v>
      </c>
    </row>
    <row r="7515" spans="1:3">
      <c r="A7515" s="250">
        <v>19363</v>
      </c>
      <c r="B7515" s="74" t="s">
        <v>754</v>
      </c>
      <c r="C7515" s="74" t="s">
        <v>448</v>
      </c>
    </row>
    <row r="7516" spans="1:3">
      <c r="A7516" s="250">
        <v>19365</v>
      </c>
      <c r="B7516" s="74" t="s">
        <v>5393</v>
      </c>
      <c r="C7516" s="74" t="s">
        <v>448</v>
      </c>
    </row>
    <row r="7517" spans="1:3">
      <c r="A7517" s="250">
        <v>19366</v>
      </c>
      <c r="B7517" s="74" t="s">
        <v>5394</v>
      </c>
      <c r="C7517" s="74" t="s">
        <v>448</v>
      </c>
    </row>
    <row r="7518" spans="1:3">
      <c r="A7518" s="250">
        <v>19367</v>
      </c>
      <c r="B7518" s="74" t="s">
        <v>5395</v>
      </c>
      <c r="C7518" s="74" t="s">
        <v>448</v>
      </c>
    </row>
    <row r="7519" spans="1:3">
      <c r="A7519" s="250">
        <v>19369</v>
      </c>
      <c r="B7519" s="74" t="s">
        <v>5396</v>
      </c>
      <c r="C7519" s="74" t="s">
        <v>448</v>
      </c>
    </row>
    <row r="7520" spans="1:3">
      <c r="A7520" s="250">
        <v>19371</v>
      </c>
      <c r="B7520" s="74" t="s">
        <v>5397</v>
      </c>
      <c r="C7520" s="74" t="s">
        <v>448</v>
      </c>
    </row>
    <row r="7521" spans="1:3">
      <c r="A7521" s="250">
        <v>19372</v>
      </c>
      <c r="B7521" s="74" t="s">
        <v>5398</v>
      </c>
      <c r="C7521" s="74" t="s">
        <v>448</v>
      </c>
    </row>
    <row r="7522" spans="1:3">
      <c r="A7522" s="250">
        <v>19373</v>
      </c>
      <c r="B7522" s="74" t="s">
        <v>1218</v>
      </c>
      <c r="C7522" s="74" t="s">
        <v>448</v>
      </c>
    </row>
    <row r="7523" spans="1:3">
      <c r="A7523" s="250">
        <v>19374</v>
      </c>
      <c r="B7523" s="74" t="s">
        <v>5399</v>
      </c>
      <c r="C7523" s="74" t="s">
        <v>448</v>
      </c>
    </row>
    <row r="7524" spans="1:3">
      <c r="A7524" s="250">
        <v>19375</v>
      </c>
      <c r="B7524" s="74" t="s">
        <v>1968</v>
      </c>
      <c r="C7524" s="74" t="s">
        <v>448</v>
      </c>
    </row>
    <row r="7525" spans="1:3">
      <c r="A7525" s="250">
        <v>19376</v>
      </c>
      <c r="B7525" s="74" t="s">
        <v>5400</v>
      </c>
      <c r="C7525" s="74" t="s">
        <v>448</v>
      </c>
    </row>
    <row r="7526" spans="1:3">
      <c r="A7526" s="250">
        <v>19380</v>
      </c>
      <c r="B7526" s="74" t="s">
        <v>5401</v>
      </c>
      <c r="C7526" s="74" t="s">
        <v>448</v>
      </c>
    </row>
    <row r="7527" spans="1:3">
      <c r="A7527" s="250">
        <v>19381</v>
      </c>
      <c r="B7527" s="74" t="s">
        <v>5401</v>
      </c>
      <c r="C7527" s="74" t="s">
        <v>448</v>
      </c>
    </row>
    <row r="7528" spans="1:3">
      <c r="A7528" s="250">
        <v>19382</v>
      </c>
      <c r="B7528" s="74" t="s">
        <v>5401</v>
      </c>
      <c r="C7528" s="74" t="s">
        <v>448</v>
      </c>
    </row>
    <row r="7529" spans="1:3">
      <c r="A7529" s="250">
        <v>19383</v>
      </c>
      <c r="B7529" s="74" t="s">
        <v>5401</v>
      </c>
      <c r="C7529" s="74" t="s">
        <v>448</v>
      </c>
    </row>
    <row r="7530" spans="1:3">
      <c r="A7530" s="250">
        <v>19388</v>
      </c>
      <c r="B7530" s="74" t="s">
        <v>5401</v>
      </c>
      <c r="C7530" s="74" t="s">
        <v>448</v>
      </c>
    </row>
    <row r="7531" spans="1:3">
      <c r="A7531" s="250">
        <v>19390</v>
      </c>
      <c r="B7531" s="74" t="s">
        <v>5402</v>
      </c>
      <c r="C7531" s="74" t="s">
        <v>448</v>
      </c>
    </row>
    <row r="7532" spans="1:3">
      <c r="A7532" s="250">
        <v>19395</v>
      </c>
      <c r="B7532" s="74" t="s">
        <v>2721</v>
      </c>
      <c r="C7532" s="74" t="s">
        <v>448</v>
      </c>
    </row>
    <row r="7533" spans="1:3">
      <c r="A7533" s="250">
        <v>19397</v>
      </c>
      <c r="B7533" s="74" t="s">
        <v>5403</v>
      </c>
      <c r="C7533" s="74" t="s">
        <v>448</v>
      </c>
    </row>
    <row r="7534" spans="1:3">
      <c r="A7534" s="250">
        <v>19398</v>
      </c>
      <c r="B7534" s="74" t="s">
        <v>5403</v>
      </c>
      <c r="C7534" s="74" t="s">
        <v>448</v>
      </c>
    </row>
    <row r="7535" spans="1:3">
      <c r="A7535" s="250">
        <v>19399</v>
      </c>
      <c r="B7535" s="74" t="s">
        <v>5403</v>
      </c>
      <c r="C7535" s="74" t="s">
        <v>448</v>
      </c>
    </row>
    <row r="7536" spans="1:3">
      <c r="A7536" s="250">
        <v>19401</v>
      </c>
      <c r="B7536" s="74" t="s">
        <v>5404</v>
      </c>
      <c r="C7536" s="74" t="s">
        <v>448</v>
      </c>
    </row>
    <row r="7537" spans="1:3">
      <c r="A7537" s="250">
        <v>19403</v>
      </c>
      <c r="B7537" s="74" t="s">
        <v>5404</v>
      </c>
      <c r="C7537" s="74" t="s">
        <v>448</v>
      </c>
    </row>
    <row r="7538" spans="1:3">
      <c r="A7538" s="250">
        <v>19404</v>
      </c>
      <c r="B7538" s="74" t="s">
        <v>5404</v>
      </c>
      <c r="C7538" s="74" t="s">
        <v>448</v>
      </c>
    </row>
    <row r="7539" spans="1:3">
      <c r="A7539" s="250">
        <v>19405</v>
      </c>
      <c r="B7539" s="74" t="s">
        <v>2077</v>
      </c>
      <c r="C7539" s="74" t="s">
        <v>448</v>
      </c>
    </row>
    <row r="7540" spans="1:3">
      <c r="A7540" s="250">
        <v>19406</v>
      </c>
      <c r="B7540" s="74" t="s">
        <v>5405</v>
      </c>
      <c r="C7540" s="74" t="s">
        <v>448</v>
      </c>
    </row>
    <row r="7541" spans="1:3">
      <c r="A7541" s="250">
        <v>19407</v>
      </c>
      <c r="B7541" s="74" t="s">
        <v>2437</v>
      </c>
      <c r="C7541" s="74" t="s">
        <v>448</v>
      </c>
    </row>
    <row r="7542" spans="1:3">
      <c r="A7542" s="250">
        <v>19408</v>
      </c>
      <c r="B7542" s="74" t="s">
        <v>5406</v>
      </c>
      <c r="C7542" s="74" t="s">
        <v>448</v>
      </c>
    </row>
    <row r="7543" spans="1:3">
      <c r="A7543" s="250">
        <v>19409</v>
      </c>
      <c r="B7543" s="74" t="s">
        <v>5407</v>
      </c>
      <c r="C7543" s="74" t="s">
        <v>448</v>
      </c>
    </row>
    <row r="7544" spans="1:3">
      <c r="A7544" s="250">
        <v>19415</v>
      </c>
      <c r="B7544" s="74" t="s">
        <v>5406</v>
      </c>
      <c r="C7544" s="74" t="s">
        <v>448</v>
      </c>
    </row>
    <row r="7545" spans="1:3">
      <c r="A7545" s="250">
        <v>19420</v>
      </c>
      <c r="B7545" s="74" t="s">
        <v>5408</v>
      </c>
      <c r="C7545" s="74" t="s">
        <v>448</v>
      </c>
    </row>
    <row r="7546" spans="1:3">
      <c r="A7546" s="250">
        <v>19421</v>
      </c>
      <c r="B7546" s="74" t="s">
        <v>5409</v>
      </c>
      <c r="C7546" s="74" t="s">
        <v>448</v>
      </c>
    </row>
    <row r="7547" spans="1:3">
      <c r="A7547" s="250">
        <v>19422</v>
      </c>
      <c r="B7547" s="74" t="s">
        <v>5410</v>
      </c>
      <c r="C7547" s="74" t="s">
        <v>448</v>
      </c>
    </row>
    <row r="7548" spans="1:3">
      <c r="A7548" s="250">
        <v>19423</v>
      </c>
      <c r="B7548" s="74" t="s">
        <v>5411</v>
      </c>
      <c r="C7548" s="74" t="s">
        <v>448</v>
      </c>
    </row>
    <row r="7549" spans="1:3">
      <c r="A7549" s="250">
        <v>19424</v>
      </c>
      <c r="B7549" s="74" t="s">
        <v>5410</v>
      </c>
      <c r="C7549" s="74" t="s">
        <v>448</v>
      </c>
    </row>
    <row r="7550" spans="1:3">
      <c r="A7550" s="250">
        <v>19425</v>
      </c>
      <c r="B7550" s="74" t="s">
        <v>5412</v>
      </c>
      <c r="C7550" s="74" t="s">
        <v>448</v>
      </c>
    </row>
    <row r="7551" spans="1:3">
      <c r="A7551" s="250">
        <v>19426</v>
      </c>
      <c r="B7551" s="74" t="s">
        <v>5413</v>
      </c>
      <c r="C7551" s="74" t="s">
        <v>448</v>
      </c>
    </row>
    <row r="7552" spans="1:3">
      <c r="A7552" s="250">
        <v>19428</v>
      </c>
      <c r="B7552" s="74" t="s">
        <v>5414</v>
      </c>
      <c r="C7552" s="74" t="s">
        <v>448</v>
      </c>
    </row>
    <row r="7553" spans="1:3">
      <c r="A7553" s="250">
        <v>19429</v>
      </c>
      <c r="B7553" s="74" t="s">
        <v>5414</v>
      </c>
      <c r="C7553" s="74" t="s">
        <v>448</v>
      </c>
    </row>
    <row r="7554" spans="1:3">
      <c r="A7554" s="250">
        <v>19430</v>
      </c>
      <c r="B7554" s="74" t="s">
        <v>5415</v>
      </c>
      <c r="C7554" s="74" t="s">
        <v>448</v>
      </c>
    </row>
    <row r="7555" spans="1:3">
      <c r="A7555" s="250">
        <v>19432</v>
      </c>
      <c r="B7555" s="74" t="s">
        <v>5416</v>
      </c>
      <c r="C7555" s="74" t="s">
        <v>448</v>
      </c>
    </row>
    <row r="7556" spans="1:3">
      <c r="A7556" s="250">
        <v>19435</v>
      </c>
      <c r="B7556" s="74" t="s">
        <v>5417</v>
      </c>
      <c r="C7556" s="74" t="s">
        <v>448</v>
      </c>
    </row>
    <row r="7557" spans="1:3">
      <c r="A7557" s="250">
        <v>19436</v>
      </c>
      <c r="B7557" s="74" t="s">
        <v>5418</v>
      </c>
      <c r="C7557" s="74" t="s">
        <v>448</v>
      </c>
    </row>
    <row r="7558" spans="1:3">
      <c r="A7558" s="250">
        <v>19437</v>
      </c>
      <c r="B7558" s="74" t="s">
        <v>5419</v>
      </c>
      <c r="C7558" s="74" t="s">
        <v>448</v>
      </c>
    </row>
    <row r="7559" spans="1:3">
      <c r="A7559" s="250">
        <v>19438</v>
      </c>
      <c r="B7559" s="74" t="s">
        <v>5420</v>
      </c>
      <c r="C7559" s="74" t="s">
        <v>448</v>
      </c>
    </row>
    <row r="7560" spans="1:3">
      <c r="A7560" s="250">
        <v>19440</v>
      </c>
      <c r="B7560" s="74" t="s">
        <v>598</v>
      </c>
      <c r="C7560" s="74" t="s">
        <v>448</v>
      </c>
    </row>
    <row r="7561" spans="1:3">
      <c r="A7561" s="250">
        <v>19441</v>
      </c>
      <c r="B7561" s="74" t="s">
        <v>5420</v>
      </c>
      <c r="C7561" s="74" t="s">
        <v>448</v>
      </c>
    </row>
    <row r="7562" spans="1:3">
      <c r="A7562" s="250">
        <v>19442</v>
      </c>
      <c r="B7562" s="74" t="s">
        <v>5421</v>
      </c>
      <c r="C7562" s="74" t="s">
        <v>448</v>
      </c>
    </row>
    <row r="7563" spans="1:3">
      <c r="A7563" s="250">
        <v>19443</v>
      </c>
      <c r="B7563" s="74" t="s">
        <v>5422</v>
      </c>
      <c r="C7563" s="74" t="s">
        <v>448</v>
      </c>
    </row>
    <row r="7564" spans="1:3">
      <c r="A7564" s="250">
        <v>19444</v>
      </c>
      <c r="B7564" s="74" t="s">
        <v>5423</v>
      </c>
      <c r="C7564" s="74" t="s">
        <v>448</v>
      </c>
    </row>
    <row r="7565" spans="1:3">
      <c r="A7565" s="250">
        <v>19446</v>
      </c>
      <c r="B7565" s="74" t="s">
        <v>5424</v>
      </c>
      <c r="C7565" s="74" t="s">
        <v>448</v>
      </c>
    </row>
    <row r="7566" spans="1:3">
      <c r="A7566" s="250">
        <v>19450</v>
      </c>
      <c r="B7566" s="74" t="s">
        <v>5425</v>
      </c>
      <c r="C7566" s="74" t="s">
        <v>448</v>
      </c>
    </row>
    <row r="7567" spans="1:3">
      <c r="A7567" s="250">
        <v>19451</v>
      </c>
      <c r="B7567" s="74" t="s">
        <v>5426</v>
      </c>
      <c r="C7567" s="74" t="s">
        <v>448</v>
      </c>
    </row>
    <row r="7568" spans="1:3">
      <c r="A7568" s="250">
        <v>19453</v>
      </c>
      <c r="B7568" s="74" t="s">
        <v>5427</v>
      </c>
      <c r="C7568" s="74" t="s">
        <v>448</v>
      </c>
    </row>
    <row r="7569" spans="1:3">
      <c r="A7569" s="250">
        <v>19454</v>
      </c>
      <c r="B7569" s="74" t="s">
        <v>5428</v>
      </c>
      <c r="C7569" s="74" t="s">
        <v>448</v>
      </c>
    </row>
    <row r="7570" spans="1:3">
      <c r="A7570" s="250">
        <v>19455</v>
      </c>
      <c r="B7570" s="74" t="s">
        <v>5428</v>
      </c>
      <c r="C7570" s="74" t="s">
        <v>448</v>
      </c>
    </row>
    <row r="7571" spans="1:3">
      <c r="A7571" s="250">
        <v>19456</v>
      </c>
      <c r="B7571" s="74" t="s">
        <v>5429</v>
      </c>
      <c r="C7571" s="74" t="s">
        <v>448</v>
      </c>
    </row>
    <row r="7572" spans="1:3">
      <c r="A7572" s="250">
        <v>19457</v>
      </c>
      <c r="B7572" s="74" t="s">
        <v>5430</v>
      </c>
      <c r="C7572" s="74" t="s">
        <v>448</v>
      </c>
    </row>
    <row r="7573" spans="1:3">
      <c r="A7573" s="250">
        <v>19460</v>
      </c>
      <c r="B7573" s="74" t="s">
        <v>5431</v>
      </c>
      <c r="C7573" s="74" t="s">
        <v>448</v>
      </c>
    </row>
    <row r="7574" spans="1:3">
      <c r="A7574" s="250">
        <v>19462</v>
      </c>
      <c r="B7574" s="74" t="s">
        <v>5432</v>
      </c>
      <c r="C7574" s="74" t="s">
        <v>448</v>
      </c>
    </row>
    <row r="7575" spans="1:3">
      <c r="A7575" s="250">
        <v>19464</v>
      </c>
      <c r="B7575" s="74" t="s">
        <v>5433</v>
      </c>
      <c r="C7575" s="74" t="s">
        <v>448</v>
      </c>
    </row>
    <row r="7576" spans="1:3">
      <c r="A7576" s="250">
        <v>19465</v>
      </c>
      <c r="B7576" s="74" t="s">
        <v>5433</v>
      </c>
      <c r="C7576" s="74" t="s">
        <v>448</v>
      </c>
    </row>
    <row r="7577" spans="1:3">
      <c r="A7577" s="250">
        <v>19468</v>
      </c>
      <c r="B7577" s="74" t="s">
        <v>5434</v>
      </c>
      <c r="C7577" s="74" t="s">
        <v>448</v>
      </c>
    </row>
    <row r="7578" spans="1:3">
      <c r="A7578" s="250">
        <v>19470</v>
      </c>
      <c r="B7578" s="74" t="s">
        <v>5435</v>
      </c>
      <c r="C7578" s="74" t="s">
        <v>448</v>
      </c>
    </row>
    <row r="7579" spans="1:3">
      <c r="A7579" s="250">
        <v>19472</v>
      </c>
      <c r="B7579" s="74" t="s">
        <v>5436</v>
      </c>
      <c r="C7579" s="74" t="s">
        <v>448</v>
      </c>
    </row>
    <row r="7580" spans="1:3">
      <c r="A7580" s="250">
        <v>19473</v>
      </c>
      <c r="B7580" s="74" t="s">
        <v>5437</v>
      </c>
      <c r="C7580" s="74" t="s">
        <v>448</v>
      </c>
    </row>
    <row r="7581" spans="1:3">
      <c r="A7581" s="250">
        <v>19474</v>
      </c>
      <c r="B7581" s="74" t="s">
        <v>5438</v>
      </c>
      <c r="C7581" s="74" t="s">
        <v>448</v>
      </c>
    </row>
    <row r="7582" spans="1:3">
      <c r="A7582" s="250">
        <v>19475</v>
      </c>
      <c r="B7582" s="74" t="s">
        <v>5439</v>
      </c>
      <c r="C7582" s="74" t="s">
        <v>448</v>
      </c>
    </row>
    <row r="7583" spans="1:3">
      <c r="A7583" s="250">
        <v>19477</v>
      </c>
      <c r="B7583" s="74" t="s">
        <v>5440</v>
      </c>
      <c r="C7583" s="74" t="s">
        <v>448</v>
      </c>
    </row>
    <row r="7584" spans="1:3">
      <c r="A7584" s="250">
        <v>19478</v>
      </c>
      <c r="B7584" s="74" t="s">
        <v>5441</v>
      </c>
      <c r="C7584" s="74" t="s">
        <v>448</v>
      </c>
    </row>
    <row r="7585" spans="1:3">
      <c r="A7585" s="250">
        <v>19480</v>
      </c>
      <c r="B7585" s="74" t="s">
        <v>5442</v>
      </c>
      <c r="C7585" s="74" t="s">
        <v>448</v>
      </c>
    </row>
    <row r="7586" spans="1:3">
      <c r="A7586" s="250">
        <v>19481</v>
      </c>
      <c r="B7586" s="74" t="s">
        <v>5443</v>
      </c>
      <c r="C7586" s="74" t="s">
        <v>448</v>
      </c>
    </row>
    <row r="7587" spans="1:3">
      <c r="A7587" s="250">
        <v>19482</v>
      </c>
      <c r="B7587" s="74" t="s">
        <v>5443</v>
      </c>
      <c r="C7587" s="74" t="s">
        <v>448</v>
      </c>
    </row>
    <row r="7588" spans="1:3">
      <c r="A7588" s="250">
        <v>19483</v>
      </c>
      <c r="B7588" s="74" t="s">
        <v>5443</v>
      </c>
      <c r="C7588" s="74" t="s">
        <v>448</v>
      </c>
    </row>
    <row r="7589" spans="1:3">
      <c r="A7589" s="250">
        <v>19484</v>
      </c>
      <c r="B7589" s="74" t="s">
        <v>5443</v>
      </c>
      <c r="C7589" s="74" t="s">
        <v>448</v>
      </c>
    </row>
    <row r="7590" spans="1:3">
      <c r="A7590" s="250">
        <v>19485</v>
      </c>
      <c r="B7590" s="74" t="s">
        <v>5443</v>
      </c>
      <c r="C7590" s="74" t="s">
        <v>448</v>
      </c>
    </row>
    <row r="7591" spans="1:3">
      <c r="A7591" s="250">
        <v>19486</v>
      </c>
      <c r="B7591" s="74" t="s">
        <v>2720</v>
      </c>
      <c r="C7591" s="74" t="s">
        <v>448</v>
      </c>
    </row>
    <row r="7592" spans="1:3">
      <c r="A7592" s="250">
        <v>19487</v>
      </c>
      <c r="B7592" s="74" t="s">
        <v>5405</v>
      </c>
      <c r="C7592" s="74" t="s">
        <v>448</v>
      </c>
    </row>
    <row r="7593" spans="1:3">
      <c r="A7593" s="250">
        <v>19488</v>
      </c>
      <c r="B7593" s="74" t="s">
        <v>5404</v>
      </c>
      <c r="C7593" s="74" t="s">
        <v>448</v>
      </c>
    </row>
    <row r="7594" spans="1:3">
      <c r="A7594" s="250">
        <v>19489</v>
      </c>
      <c r="B7594" s="74" t="s">
        <v>5404</v>
      </c>
      <c r="C7594" s="74" t="s">
        <v>448</v>
      </c>
    </row>
    <row r="7595" spans="1:3">
      <c r="A7595" s="250">
        <v>19490</v>
      </c>
      <c r="B7595" s="74" t="s">
        <v>775</v>
      </c>
      <c r="C7595" s="74" t="s">
        <v>448</v>
      </c>
    </row>
    <row r="7596" spans="1:3">
      <c r="A7596" s="250">
        <v>19492</v>
      </c>
      <c r="B7596" s="74" t="s">
        <v>5444</v>
      </c>
      <c r="C7596" s="74" t="s">
        <v>448</v>
      </c>
    </row>
    <row r="7597" spans="1:3">
      <c r="A7597" s="250">
        <v>19493</v>
      </c>
      <c r="B7597" s="74" t="s">
        <v>5443</v>
      </c>
      <c r="C7597" s="74" t="s">
        <v>448</v>
      </c>
    </row>
    <row r="7598" spans="1:3">
      <c r="A7598" s="250">
        <v>19494</v>
      </c>
      <c r="B7598" s="74" t="s">
        <v>5443</v>
      </c>
      <c r="C7598" s="74" t="s">
        <v>448</v>
      </c>
    </row>
    <row r="7599" spans="1:3">
      <c r="A7599" s="250">
        <v>19495</v>
      </c>
      <c r="B7599" s="74" t="s">
        <v>5443</v>
      </c>
      <c r="C7599" s="74" t="s">
        <v>448</v>
      </c>
    </row>
    <row r="7600" spans="1:3">
      <c r="A7600" s="250">
        <v>19496</v>
      </c>
      <c r="B7600" s="74" t="s">
        <v>5443</v>
      </c>
      <c r="C7600" s="74" t="s">
        <v>448</v>
      </c>
    </row>
    <row r="7601" spans="1:3">
      <c r="A7601" s="250">
        <v>19501</v>
      </c>
      <c r="B7601" s="74" t="s">
        <v>5445</v>
      </c>
      <c r="C7601" s="74" t="s">
        <v>448</v>
      </c>
    </row>
    <row r="7602" spans="1:3">
      <c r="A7602" s="250">
        <v>19503</v>
      </c>
      <c r="B7602" s="74" t="s">
        <v>5446</v>
      </c>
      <c r="C7602" s="74" t="s">
        <v>448</v>
      </c>
    </row>
    <row r="7603" spans="1:3">
      <c r="A7603" s="250">
        <v>19504</v>
      </c>
      <c r="B7603" s="74" t="s">
        <v>5447</v>
      </c>
      <c r="C7603" s="74" t="s">
        <v>448</v>
      </c>
    </row>
    <row r="7604" spans="1:3">
      <c r="A7604" s="250">
        <v>19505</v>
      </c>
      <c r="B7604" s="74" t="s">
        <v>5448</v>
      </c>
      <c r="C7604" s="74" t="s">
        <v>448</v>
      </c>
    </row>
    <row r="7605" spans="1:3">
      <c r="A7605" s="250">
        <v>19506</v>
      </c>
      <c r="B7605" s="74" t="s">
        <v>5449</v>
      </c>
      <c r="C7605" s="74" t="s">
        <v>448</v>
      </c>
    </row>
    <row r="7606" spans="1:3">
      <c r="A7606" s="250">
        <v>19507</v>
      </c>
      <c r="B7606" s="74" t="s">
        <v>1434</v>
      </c>
      <c r="C7606" s="74" t="s">
        <v>448</v>
      </c>
    </row>
    <row r="7607" spans="1:3">
      <c r="A7607" s="250">
        <v>19508</v>
      </c>
      <c r="B7607" s="74" t="s">
        <v>5450</v>
      </c>
      <c r="C7607" s="74" t="s">
        <v>448</v>
      </c>
    </row>
    <row r="7608" spans="1:3">
      <c r="A7608" s="250">
        <v>19510</v>
      </c>
      <c r="B7608" s="74" t="s">
        <v>5451</v>
      </c>
      <c r="C7608" s="74" t="s">
        <v>448</v>
      </c>
    </row>
    <row r="7609" spans="1:3">
      <c r="A7609" s="250">
        <v>19511</v>
      </c>
      <c r="B7609" s="74" t="s">
        <v>5452</v>
      </c>
      <c r="C7609" s="74" t="s">
        <v>448</v>
      </c>
    </row>
    <row r="7610" spans="1:3">
      <c r="A7610" s="250">
        <v>19512</v>
      </c>
      <c r="B7610" s="74" t="s">
        <v>5453</v>
      </c>
      <c r="C7610" s="74" t="s">
        <v>448</v>
      </c>
    </row>
    <row r="7611" spans="1:3">
      <c r="A7611" s="250">
        <v>19516</v>
      </c>
      <c r="B7611" s="74" t="s">
        <v>2815</v>
      </c>
      <c r="C7611" s="74" t="s">
        <v>448</v>
      </c>
    </row>
    <row r="7612" spans="1:3">
      <c r="A7612" s="250">
        <v>19518</v>
      </c>
      <c r="B7612" s="74" t="s">
        <v>5454</v>
      </c>
      <c r="C7612" s="74" t="s">
        <v>448</v>
      </c>
    </row>
    <row r="7613" spans="1:3">
      <c r="A7613" s="250">
        <v>19519</v>
      </c>
      <c r="B7613" s="74" t="s">
        <v>3450</v>
      </c>
      <c r="C7613" s="74" t="s">
        <v>448</v>
      </c>
    </row>
    <row r="7614" spans="1:3">
      <c r="A7614" s="250">
        <v>19520</v>
      </c>
      <c r="B7614" s="74" t="s">
        <v>5455</v>
      </c>
      <c r="C7614" s="74" t="s">
        <v>448</v>
      </c>
    </row>
    <row r="7615" spans="1:3">
      <c r="A7615" s="250">
        <v>19522</v>
      </c>
      <c r="B7615" s="74" t="s">
        <v>5456</v>
      </c>
      <c r="C7615" s="74" t="s">
        <v>448</v>
      </c>
    </row>
    <row r="7616" spans="1:3">
      <c r="A7616" s="250">
        <v>19523</v>
      </c>
      <c r="B7616" s="74" t="s">
        <v>5457</v>
      </c>
      <c r="C7616" s="74" t="s">
        <v>448</v>
      </c>
    </row>
    <row r="7617" spans="1:3">
      <c r="A7617" s="250">
        <v>19525</v>
      </c>
      <c r="B7617" s="74" t="s">
        <v>3617</v>
      </c>
      <c r="C7617" s="74" t="s">
        <v>448</v>
      </c>
    </row>
    <row r="7618" spans="1:3">
      <c r="A7618" s="250">
        <v>19526</v>
      </c>
      <c r="B7618" s="74" t="s">
        <v>2188</v>
      </c>
      <c r="C7618" s="74" t="s">
        <v>448</v>
      </c>
    </row>
    <row r="7619" spans="1:3">
      <c r="A7619" s="250">
        <v>19529</v>
      </c>
      <c r="B7619" s="74" t="s">
        <v>5458</v>
      </c>
      <c r="C7619" s="74" t="s">
        <v>448</v>
      </c>
    </row>
    <row r="7620" spans="1:3">
      <c r="A7620" s="250">
        <v>19530</v>
      </c>
      <c r="B7620" s="74" t="s">
        <v>5459</v>
      </c>
      <c r="C7620" s="74" t="s">
        <v>448</v>
      </c>
    </row>
    <row r="7621" spans="1:3">
      <c r="A7621" s="250">
        <v>19533</v>
      </c>
      <c r="B7621" s="74" t="s">
        <v>5460</v>
      </c>
      <c r="C7621" s="74" t="s">
        <v>448</v>
      </c>
    </row>
    <row r="7622" spans="1:3">
      <c r="A7622" s="250">
        <v>19534</v>
      </c>
      <c r="B7622" s="74" t="s">
        <v>5461</v>
      </c>
      <c r="C7622" s="74" t="s">
        <v>448</v>
      </c>
    </row>
    <row r="7623" spans="1:3">
      <c r="A7623" s="250">
        <v>19535</v>
      </c>
      <c r="B7623" s="74" t="s">
        <v>5462</v>
      </c>
      <c r="C7623" s="74" t="s">
        <v>448</v>
      </c>
    </row>
    <row r="7624" spans="1:3">
      <c r="A7624" s="250">
        <v>19536</v>
      </c>
      <c r="B7624" s="74" t="s">
        <v>5463</v>
      </c>
      <c r="C7624" s="74" t="s">
        <v>448</v>
      </c>
    </row>
    <row r="7625" spans="1:3">
      <c r="A7625" s="250">
        <v>19538</v>
      </c>
      <c r="B7625" s="74" t="s">
        <v>5464</v>
      </c>
      <c r="C7625" s="74" t="s">
        <v>448</v>
      </c>
    </row>
    <row r="7626" spans="1:3">
      <c r="A7626" s="250">
        <v>19539</v>
      </c>
      <c r="B7626" s="74" t="s">
        <v>5465</v>
      </c>
      <c r="C7626" s="74" t="s">
        <v>448</v>
      </c>
    </row>
    <row r="7627" spans="1:3">
      <c r="A7627" s="250">
        <v>19540</v>
      </c>
      <c r="B7627" s="74" t="s">
        <v>5466</v>
      </c>
      <c r="C7627" s="74" t="s">
        <v>448</v>
      </c>
    </row>
    <row r="7628" spans="1:3">
      <c r="A7628" s="250">
        <v>19541</v>
      </c>
      <c r="B7628" s="74" t="s">
        <v>5467</v>
      </c>
      <c r="C7628" s="74" t="s">
        <v>448</v>
      </c>
    </row>
    <row r="7629" spans="1:3">
      <c r="A7629" s="250">
        <v>19542</v>
      </c>
      <c r="B7629" s="74" t="s">
        <v>5468</v>
      </c>
      <c r="C7629" s="74" t="s">
        <v>448</v>
      </c>
    </row>
    <row r="7630" spans="1:3">
      <c r="A7630" s="250">
        <v>19543</v>
      </c>
      <c r="B7630" s="74" t="s">
        <v>5469</v>
      </c>
      <c r="C7630" s="74" t="s">
        <v>448</v>
      </c>
    </row>
    <row r="7631" spans="1:3">
      <c r="A7631" s="250">
        <v>19544</v>
      </c>
      <c r="B7631" s="74" t="s">
        <v>5470</v>
      </c>
      <c r="C7631" s="74" t="s">
        <v>448</v>
      </c>
    </row>
    <row r="7632" spans="1:3">
      <c r="A7632" s="250">
        <v>19545</v>
      </c>
      <c r="B7632" s="74" t="s">
        <v>5471</v>
      </c>
      <c r="C7632" s="74" t="s">
        <v>448</v>
      </c>
    </row>
    <row r="7633" spans="1:3">
      <c r="A7633" s="250">
        <v>19547</v>
      </c>
      <c r="B7633" s="74" t="s">
        <v>5472</v>
      </c>
      <c r="C7633" s="74" t="s">
        <v>448</v>
      </c>
    </row>
    <row r="7634" spans="1:3">
      <c r="A7634" s="250">
        <v>19548</v>
      </c>
      <c r="B7634" s="74" t="s">
        <v>5473</v>
      </c>
      <c r="C7634" s="74" t="s">
        <v>448</v>
      </c>
    </row>
    <row r="7635" spans="1:3">
      <c r="A7635" s="250">
        <v>19549</v>
      </c>
      <c r="B7635" s="74" t="s">
        <v>5474</v>
      </c>
      <c r="C7635" s="74" t="s">
        <v>448</v>
      </c>
    </row>
    <row r="7636" spans="1:3">
      <c r="A7636" s="250">
        <v>19550</v>
      </c>
      <c r="B7636" s="74" t="s">
        <v>5475</v>
      </c>
      <c r="C7636" s="74" t="s">
        <v>448</v>
      </c>
    </row>
    <row r="7637" spans="1:3">
      <c r="A7637" s="250">
        <v>19551</v>
      </c>
      <c r="B7637" s="74" t="s">
        <v>5476</v>
      </c>
      <c r="C7637" s="74" t="s">
        <v>448</v>
      </c>
    </row>
    <row r="7638" spans="1:3">
      <c r="A7638" s="250">
        <v>19554</v>
      </c>
      <c r="B7638" s="74" t="s">
        <v>5477</v>
      </c>
      <c r="C7638" s="74" t="s">
        <v>448</v>
      </c>
    </row>
    <row r="7639" spans="1:3">
      <c r="A7639" s="250">
        <v>19555</v>
      </c>
      <c r="B7639" s="74" t="s">
        <v>5478</v>
      </c>
      <c r="C7639" s="74" t="s">
        <v>448</v>
      </c>
    </row>
    <row r="7640" spans="1:3">
      <c r="A7640" s="250">
        <v>19559</v>
      </c>
      <c r="B7640" s="74" t="s">
        <v>5479</v>
      </c>
      <c r="C7640" s="74" t="s">
        <v>448</v>
      </c>
    </row>
    <row r="7641" spans="1:3">
      <c r="A7641" s="250">
        <v>19560</v>
      </c>
      <c r="B7641" s="74" t="s">
        <v>1172</v>
      </c>
      <c r="C7641" s="74" t="s">
        <v>448</v>
      </c>
    </row>
    <row r="7642" spans="1:3">
      <c r="A7642" s="250">
        <v>19562</v>
      </c>
      <c r="B7642" s="74" t="s">
        <v>5480</v>
      </c>
      <c r="C7642" s="74" t="s">
        <v>448</v>
      </c>
    </row>
    <row r="7643" spans="1:3">
      <c r="A7643" s="250">
        <v>19564</v>
      </c>
      <c r="B7643" s="74" t="s">
        <v>5481</v>
      </c>
      <c r="C7643" s="74" t="s">
        <v>448</v>
      </c>
    </row>
    <row r="7644" spans="1:3">
      <c r="A7644" s="250">
        <v>19565</v>
      </c>
      <c r="B7644" s="74" t="s">
        <v>5482</v>
      </c>
      <c r="C7644" s="74" t="s">
        <v>448</v>
      </c>
    </row>
    <row r="7645" spans="1:3">
      <c r="A7645" s="250">
        <v>19567</v>
      </c>
      <c r="B7645" s="74" t="s">
        <v>5483</v>
      </c>
      <c r="C7645" s="74" t="s">
        <v>448</v>
      </c>
    </row>
    <row r="7646" spans="1:3">
      <c r="A7646" s="250">
        <v>19601</v>
      </c>
      <c r="B7646" s="74" t="s">
        <v>825</v>
      </c>
      <c r="C7646" s="74" t="s">
        <v>448</v>
      </c>
    </row>
    <row r="7647" spans="1:3">
      <c r="A7647" s="250">
        <v>19602</v>
      </c>
      <c r="B7647" s="74" t="s">
        <v>825</v>
      </c>
      <c r="C7647" s="74" t="s">
        <v>448</v>
      </c>
    </row>
    <row r="7648" spans="1:3">
      <c r="A7648" s="250">
        <v>19603</v>
      </c>
      <c r="B7648" s="74" t="s">
        <v>825</v>
      </c>
      <c r="C7648" s="74" t="s">
        <v>448</v>
      </c>
    </row>
    <row r="7649" spans="1:3">
      <c r="A7649" s="250">
        <v>19604</v>
      </c>
      <c r="B7649" s="74" t="s">
        <v>825</v>
      </c>
      <c r="C7649" s="74" t="s">
        <v>448</v>
      </c>
    </row>
    <row r="7650" spans="1:3">
      <c r="A7650" s="250">
        <v>19605</v>
      </c>
      <c r="B7650" s="74" t="s">
        <v>825</v>
      </c>
      <c r="C7650" s="74" t="s">
        <v>448</v>
      </c>
    </row>
    <row r="7651" spans="1:3">
      <c r="A7651" s="250">
        <v>19606</v>
      </c>
      <c r="B7651" s="74" t="s">
        <v>825</v>
      </c>
      <c r="C7651" s="74" t="s">
        <v>448</v>
      </c>
    </row>
    <row r="7652" spans="1:3">
      <c r="A7652" s="250">
        <v>19607</v>
      </c>
      <c r="B7652" s="74" t="s">
        <v>825</v>
      </c>
      <c r="C7652" s="74" t="s">
        <v>448</v>
      </c>
    </row>
    <row r="7653" spans="1:3">
      <c r="A7653" s="250">
        <v>19608</v>
      </c>
      <c r="B7653" s="74" t="s">
        <v>825</v>
      </c>
      <c r="C7653" s="74" t="s">
        <v>448</v>
      </c>
    </row>
    <row r="7654" spans="1:3">
      <c r="A7654" s="250">
        <v>19609</v>
      </c>
      <c r="B7654" s="74" t="s">
        <v>825</v>
      </c>
      <c r="C7654" s="74" t="s">
        <v>448</v>
      </c>
    </row>
    <row r="7655" spans="1:3">
      <c r="A7655" s="250">
        <v>19610</v>
      </c>
      <c r="B7655" s="74" t="s">
        <v>825</v>
      </c>
      <c r="C7655" s="74" t="s">
        <v>448</v>
      </c>
    </row>
    <row r="7656" spans="1:3">
      <c r="A7656" s="250">
        <v>19611</v>
      </c>
      <c r="B7656" s="74" t="s">
        <v>825</v>
      </c>
      <c r="C7656" s="74" t="s">
        <v>448</v>
      </c>
    </row>
    <row r="7657" spans="1:3">
      <c r="A7657" s="250">
        <v>19612</v>
      </c>
      <c r="B7657" s="74" t="s">
        <v>825</v>
      </c>
      <c r="C7657" s="74" t="s">
        <v>448</v>
      </c>
    </row>
    <row r="7658" spans="1:3">
      <c r="A7658" s="250">
        <v>19640</v>
      </c>
      <c r="B7658" s="74" t="s">
        <v>825</v>
      </c>
      <c r="C7658" s="74" t="s">
        <v>448</v>
      </c>
    </row>
    <row r="7659" spans="1:3">
      <c r="A7659" s="250">
        <v>19701</v>
      </c>
      <c r="B7659" s="74" t="s">
        <v>5484</v>
      </c>
      <c r="C7659" s="74" t="s">
        <v>419</v>
      </c>
    </row>
    <row r="7660" spans="1:3">
      <c r="A7660" s="250">
        <v>19702</v>
      </c>
      <c r="B7660" s="74" t="s">
        <v>2172</v>
      </c>
      <c r="C7660" s="74" t="s">
        <v>419</v>
      </c>
    </row>
    <row r="7661" spans="1:3">
      <c r="A7661" s="250">
        <v>19703</v>
      </c>
      <c r="B7661" s="74" t="s">
        <v>5485</v>
      </c>
      <c r="C7661" s="74" t="s">
        <v>419</v>
      </c>
    </row>
    <row r="7662" spans="1:3">
      <c r="A7662" s="250">
        <v>19706</v>
      </c>
      <c r="B7662" s="74" t="s">
        <v>5486</v>
      </c>
      <c r="C7662" s="74" t="s">
        <v>419</v>
      </c>
    </row>
    <row r="7663" spans="1:3">
      <c r="A7663" s="250">
        <v>19707</v>
      </c>
      <c r="B7663" s="74" t="s">
        <v>5487</v>
      </c>
      <c r="C7663" s="74" t="s">
        <v>419</v>
      </c>
    </row>
    <row r="7664" spans="1:3">
      <c r="A7664" s="250">
        <v>19708</v>
      </c>
      <c r="B7664" s="74" t="s">
        <v>3625</v>
      </c>
      <c r="C7664" s="74" t="s">
        <v>419</v>
      </c>
    </row>
    <row r="7665" spans="1:3">
      <c r="A7665" s="250">
        <v>19709</v>
      </c>
      <c r="B7665" s="74" t="s">
        <v>1119</v>
      </c>
      <c r="C7665" s="74" t="s">
        <v>419</v>
      </c>
    </row>
    <row r="7666" spans="1:3">
      <c r="A7666" s="250">
        <v>19710</v>
      </c>
      <c r="B7666" s="74" t="s">
        <v>5488</v>
      </c>
      <c r="C7666" s="74" t="s">
        <v>419</v>
      </c>
    </row>
    <row r="7667" spans="1:3">
      <c r="A7667" s="250">
        <v>19711</v>
      </c>
      <c r="B7667" s="74" t="s">
        <v>2172</v>
      </c>
      <c r="C7667" s="74" t="s">
        <v>419</v>
      </c>
    </row>
    <row r="7668" spans="1:3">
      <c r="A7668" s="250">
        <v>19712</v>
      </c>
      <c r="B7668" s="74" t="s">
        <v>2172</v>
      </c>
      <c r="C7668" s="74" t="s">
        <v>419</v>
      </c>
    </row>
    <row r="7669" spans="1:3">
      <c r="A7669" s="250">
        <v>19713</v>
      </c>
      <c r="B7669" s="74" t="s">
        <v>2172</v>
      </c>
      <c r="C7669" s="74" t="s">
        <v>419</v>
      </c>
    </row>
    <row r="7670" spans="1:3">
      <c r="A7670" s="250">
        <v>19714</v>
      </c>
      <c r="B7670" s="74" t="s">
        <v>2172</v>
      </c>
      <c r="C7670" s="74" t="s">
        <v>419</v>
      </c>
    </row>
    <row r="7671" spans="1:3">
      <c r="A7671" s="250">
        <v>19715</v>
      </c>
      <c r="B7671" s="74" t="s">
        <v>2172</v>
      </c>
      <c r="C7671" s="74" t="s">
        <v>419</v>
      </c>
    </row>
    <row r="7672" spans="1:3">
      <c r="A7672" s="250">
        <v>19716</v>
      </c>
      <c r="B7672" s="74" t="s">
        <v>2172</v>
      </c>
      <c r="C7672" s="74" t="s">
        <v>419</v>
      </c>
    </row>
    <row r="7673" spans="1:3">
      <c r="A7673" s="250">
        <v>19717</v>
      </c>
      <c r="B7673" s="74" t="s">
        <v>2172</v>
      </c>
      <c r="C7673" s="74" t="s">
        <v>419</v>
      </c>
    </row>
    <row r="7674" spans="1:3">
      <c r="A7674" s="250">
        <v>19718</v>
      </c>
      <c r="B7674" s="74" t="s">
        <v>2172</v>
      </c>
      <c r="C7674" s="74" t="s">
        <v>419</v>
      </c>
    </row>
    <row r="7675" spans="1:3">
      <c r="A7675" s="250">
        <v>19720</v>
      </c>
      <c r="B7675" s="74" t="s">
        <v>1324</v>
      </c>
      <c r="C7675" s="74" t="s">
        <v>419</v>
      </c>
    </row>
    <row r="7676" spans="1:3">
      <c r="A7676" s="250">
        <v>19721</v>
      </c>
      <c r="B7676" s="74" t="s">
        <v>1324</v>
      </c>
      <c r="C7676" s="74" t="s">
        <v>419</v>
      </c>
    </row>
    <row r="7677" spans="1:3">
      <c r="A7677" s="250">
        <v>19725</v>
      </c>
      <c r="B7677" s="74" t="s">
        <v>2172</v>
      </c>
      <c r="C7677" s="74" t="s">
        <v>419</v>
      </c>
    </row>
    <row r="7678" spans="1:3">
      <c r="A7678" s="250">
        <v>19726</v>
      </c>
      <c r="B7678" s="74" t="s">
        <v>2172</v>
      </c>
      <c r="C7678" s="74" t="s">
        <v>419</v>
      </c>
    </row>
    <row r="7679" spans="1:3">
      <c r="A7679" s="250">
        <v>19730</v>
      </c>
      <c r="B7679" s="74" t="s">
        <v>3931</v>
      </c>
      <c r="C7679" s="74" t="s">
        <v>419</v>
      </c>
    </row>
    <row r="7680" spans="1:3">
      <c r="A7680" s="250">
        <v>19731</v>
      </c>
      <c r="B7680" s="74" t="s">
        <v>5489</v>
      </c>
      <c r="C7680" s="74" t="s">
        <v>419</v>
      </c>
    </row>
    <row r="7681" spans="1:3">
      <c r="A7681" s="250">
        <v>19732</v>
      </c>
      <c r="B7681" s="74" t="s">
        <v>961</v>
      </c>
      <c r="C7681" s="74" t="s">
        <v>419</v>
      </c>
    </row>
    <row r="7682" spans="1:3">
      <c r="A7682" s="250">
        <v>19733</v>
      </c>
      <c r="B7682" s="74" t="s">
        <v>5490</v>
      </c>
      <c r="C7682" s="74" t="s">
        <v>419</v>
      </c>
    </row>
    <row r="7683" spans="1:3">
      <c r="A7683" s="250">
        <v>19734</v>
      </c>
      <c r="B7683" s="74" t="s">
        <v>719</v>
      </c>
      <c r="C7683" s="74" t="s">
        <v>419</v>
      </c>
    </row>
    <row r="7684" spans="1:3">
      <c r="A7684" s="250">
        <v>19735</v>
      </c>
      <c r="B7684" s="74" t="s">
        <v>5491</v>
      </c>
      <c r="C7684" s="74" t="s">
        <v>419</v>
      </c>
    </row>
    <row r="7685" spans="1:3">
      <c r="A7685" s="250">
        <v>19736</v>
      </c>
      <c r="B7685" s="74" t="s">
        <v>5492</v>
      </c>
      <c r="C7685" s="74" t="s">
        <v>419</v>
      </c>
    </row>
    <row r="7686" spans="1:3">
      <c r="A7686" s="250">
        <v>19801</v>
      </c>
      <c r="B7686" s="74" t="s">
        <v>831</v>
      </c>
      <c r="C7686" s="74" t="s">
        <v>419</v>
      </c>
    </row>
    <row r="7687" spans="1:3">
      <c r="A7687" s="250">
        <v>19802</v>
      </c>
      <c r="B7687" s="74" t="s">
        <v>831</v>
      </c>
      <c r="C7687" s="74" t="s">
        <v>419</v>
      </c>
    </row>
    <row r="7688" spans="1:3">
      <c r="A7688" s="250">
        <v>19803</v>
      </c>
      <c r="B7688" s="74" t="s">
        <v>831</v>
      </c>
      <c r="C7688" s="74" t="s">
        <v>419</v>
      </c>
    </row>
    <row r="7689" spans="1:3">
      <c r="A7689" s="250">
        <v>19804</v>
      </c>
      <c r="B7689" s="74" t="s">
        <v>831</v>
      </c>
      <c r="C7689" s="74" t="s">
        <v>419</v>
      </c>
    </row>
    <row r="7690" spans="1:3">
      <c r="A7690" s="250">
        <v>19805</v>
      </c>
      <c r="B7690" s="74" t="s">
        <v>831</v>
      </c>
      <c r="C7690" s="74" t="s">
        <v>419</v>
      </c>
    </row>
    <row r="7691" spans="1:3">
      <c r="A7691" s="250">
        <v>19806</v>
      </c>
      <c r="B7691" s="74" t="s">
        <v>831</v>
      </c>
      <c r="C7691" s="74" t="s">
        <v>419</v>
      </c>
    </row>
    <row r="7692" spans="1:3">
      <c r="A7692" s="250">
        <v>19807</v>
      </c>
      <c r="B7692" s="74" t="s">
        <v>831</v>
      </c>
      <c r="C7692" s="74" t="s">
        <v>419</v>
      </c>
    </row>
    <row r="7693" spans="1:3">
      <c r="A7693" s="250">
        <v>19808</v>
      </c>
      <c r="B7693" s="74" t="s">
        <v>831</v>
      </c>
      <c r="C7693" s="74" t="s">
        <v>419</v>
      </c>
    </row>
    <row r="7694" spans="1:3">
      <c r="A7694" s="250">
        <v>19809</v>
      </c>
      <c r="B7694" s="74" t="s">
        <v>831</v>
      </c>
      <c r="C7694" s="74" t="s">
        <v>419</v>
      </c>
    </row>
    <row r="7695" spans="1:3">
      <c r="A7695" s="250">
        <v>19810</v>
      </c>
      <c r="B7695" s="74" t="s">
        <v>831</v>
      </c>
      <c r="C7695" s="74" t="s">
        <v>419</v>
      </c>
    </row>
    <row r="7696" spans="1:3">
      <c r="A7696" s="250">
        <v>19850</v>
      </c>
      <c r="B7696" s="74" t="s">
        <v>831</v>
      </c>
      <c r="C7696" s="74" t="s">
        <v>419</v>
      </c>
    </row>
    <row r="7697" spans="1:3">
      <c r="A7697" s="250">
        <v>19880</v>
      </c>
      <c r="B7697" s="74" t="s">
        <v>831</v>
      </c>
      <c r="C7697" s="74" t="s">
        <v>419</v>
      </c>
    </row>
    <row r="7698" spans="1:3">
      <c r="A7698" s="250">
        <v>19884</v>
      </c>
      <c r="B7698" s="74" t="s">
        <v>831</v>
      </c>
      <c r="C7698" s="74" t="s">
        <v>419</v>
      </c>
    </row>
    <row r="7699" spans="1:3">
      <c r="A7699" s="250">
        <v>19885</v>
      </c>
      <c r="B7699" s="74" t="s">
        <v>831</v>
      </c>
      <c r="C7699" s="74" t="s">
        <v>419</v>
      </c>
    </row>
    <row r="7700" spans="1:3">
      <c r="A7700" s="250">
        <v>19886</v>
      </c>
      <c r="B7700" s="74" t="s">
        <v>831</v>
      </c>
      <c r="C7700" s="74" t="s">
        <v>419</v>
      </c>
    </row>
    <row r="7701" spans="1:3">
      <c r="A7701" s="250">
        <v>19887</v>
      </c>
      <c r="B7701" s="74" t="s">
        <v>831</v>
      </c>
      <c r="C7701" s="74" t="s">
        <v>419</v>
      </c>
    </row>
    <row r="7702" spans="1:3">
      <c r="A7702" s="250">
        <v>19889</v>
      </c>
      <c r="B7702" s="74" t="s">
        <v>831</v>
      </c>
      <c r="C7702" s="74" t="s">
        <v>419</v>
      </c>
    </row>
    <row r="7703" spans="1:3">
      <c r="A7703" s="250">
        <v>19890</v>
      </c>
      <c r="B7703" s="74" t="s">
        <v>831</v>
      </c>
      <c r="C7703" s="74" t="s">
        <v>419</v>
      </c>
    </row>
    <row r="7704" spans="1:3">
      <c r="A7704" s="250">
        <v>19891</v>
      </c>
      <c r="B7704" s="74" t="s">
        <v>831</v>
      </c>
      <c r="C7704" s="74" t="s">
        <v>419</v>
      </c>
    </row>
    <row r="7705" spans="1:3">
      <c r="A7705" s="250">
        <v>19892</v>
      </c>
      <c r="B7705" s="74" t="s">
        <v>831</v>
      </c>
      <c r="C7705" s="74" t="s">
        <v>419</v>
      </c>
    </row>
    <row r="7706" spans="1:3">
      <c r="A7706" s="250">
        <v>19893</v>
      </c>
      <c r="B7706" s="74" t="s">
        <v>831</v>
      </c>
      <c r="C7706" s="74" t="s">
        <v>419</v>
      </c>
    </row>
    <row r="7707" spans="1:3">
      <c r="A7707" s="250">
        <v>19894</v>
      </c>
      <c r="B7707" s="74" t="s">
        <v>831</v>
      </c>
      <c r="C7707" s="74" t="s">
        <v>419</v>
      </c>
    </row>
    <row r="7708" spans="1:3">
      <c r="A7708" s="250">
        <v>19895</v>
      </c>
      <c r="B7708" s="74" t="s">
        <v>831</v>
      </c>
      <c r="C7708" s="74" t="s">
        <v>419</v>
      </c>
    </row>
    <row r="7709" spans="1:3">
      <c r="A7709" s="250">
        <v>19896</v>
      </c>
      <c r="B7709" s="74" t="s">
        <v>831</v>
      </c>
      <c r="C7709" s="74" t="s">
        <v>419</v>
      </c>
    </row>
    <row r="7710" spans="1:3">
      <c r="A7710" s="250">
        <v>19897</v>
      </c>
      <c r="B7710" s="74" t="s">
        <v>831</v>
      </c>
      <c r="C7710" s="74" t="s">
        <v>419</v>
      </c>
    </row>
    <row r="7711" spans="1:3">
      <c r="A7711" s="250">
        <v>19898</v>
      </c>
      <c r="B7711" s="74" t="s">
        <v>831</v>
      </c>
      <c r="C7711" s="74" t="s">
        <v>419</v>
      </c>
    </row>
    <row r="7712" spans="1:3">
      <c r="A7712" s="250">
        <v>19899</v>
      </c>
      <c r="B7712" s="74" t="s">
        <v>831</v>
      </c>
      <c r="C7712" s="74" t="s">
        <v>419</v>
      </c>
    </row>
    <row r="7713" spans="1:3">
      <c r="A7713" s="250">
        <v>19901</v>
      </c>
      <c r="B7713" s="74" t="s">
        <v>869</v>
      </c>
      <c r="C7713" s="74" t="s">
        <v>419</v>
      </c>
    </row>
    <row r="7714" spans="1:3">
      <c r="A7714" s="250">
        <v>19902</v>
      </c>
      <c r="B7714" s="74" t="s">
        <v>5493</v>
      </c>
      <c r="C7714" s="74" t="s">
        <v>419</v>
      </c>
    </row>
    <row r="7715" spans="1:3">
      <c r="A7715" s="250">
        <v>19903</v>
      </c>
      <c r="B7715" s="74" t="s">
        <v>869</v>
      </c>
      <c r="C7715" s="74" t="s">
        <v>419</v>
      </c>
    </row>
    <row r="7716" spans="1:3">
      <c r="A7716" s="250">
        <v>19904</v>
      </c>
      <c r="B7716" s="74" t="s">
        <v>869</v>
      </c>
      <c r="C7716" s="74" t="s">
        <v>419</v>
      </c>
    </row>
    <row r="7717" spans="1:3">
      <c r="A7717" s="250">
        <v>19905</v>
      </c>
      <c r="B7717" s="74" t="s">
        <v>869</v>
      </c>
      <c r="C7717" s="74" t="s">
        <v>419</v>
      </c>
    </row>
    <row r="7718" spans="1:3">
      <c r="A7718" s="250">
        <v>19906</v>
      </c>
      <c r="B7718" s="74" t="s">
        <v>869</v>
      </c>
      <c r="C7718" s="74" t="s">
        <v>419</v>
      </c>
    </row>
    <row r="7719" spans="1:3">
      <c r="A7719" s="250">
        <v>19930</v>
      </c>
      <c r="B7719" s="74" t="s">
        <v>5494</v>
      </c>
      <c r="C7719" s="74" t="s">
        <v>419</v>
      </c>
    </row>
    <row r="7720" spans="1:3">
      <c r="A7720" s="250">
        <v>19931</v>
      </c>
      <c r="B7720" s="74" t="s">
        <v>1434</v>
      </c>
      <c r="C7720" s="74" t="s">
        <v>419</v>
      </c>
    </row>
    <row r="7721" spans="1:3">
      <c r="A7721" s="250">
        <v>19933</v>
      </c>
      <c r="B7721" s="74" t="s">
        <v>3966</v>
      </c>
      <c r="C7721" s="74" t="s">
        <v>419</v>
      </c>
    </row>
    <row r="7722" spans="1:3">
      <c r="A7722" s="250">
        <v>19934</v>
      </c>
      <c r="B7722" s="74" t="s">
        <v>5495</v>
      </c>
      <c r="C7722" s="74" t="s">
        <v>419</v>
      </c>
    </row>
    <row r="7723" spans="1:3">
      <c r="A7723" s="250">
        <v>19936</v>
      </c>
      <c r="B7723" s="74" t="s">
        <v>5496</v>
      </c>
      <c r="C7723" s="74" t="s">
        <v>419</v>
      </c>
    </row>
    <row r="7724" spans="1:3">
      <c r="A7724" s="250">
        <v>19938</v>
      </c>
      <c r="B7724" s="74" t="s">
        <v>2476</v>
      </c>
      <c r="C7724" s="74" t="s">
        <v>419</v>
      </c>
    </row>
    <row r="7725" spans="1:3">
      <c r="A7725" s="250">
        <v>19939</v>
      </c>
      <c r="B7725" s="74" t="s">
        <v>5497</v>
      </c>
      <c r="C7725" s="74" t="s">
        <v>419</v>
      </c>
    </row>
    <row r="7726" spans="1:3">
      <c r="A7726" s="250">
        <v>19940</v>
      </c>
      <c r="B7726" s="74" t="s">
        <v>2936</v>
      </c>
      <c r="C7726" s="74" t="s">
        <v>419</v>
      </c>
    </row>
    <row r="7727" spans="1:3">
      <c r="A7727" s="250">
        <v>19941</v>
      </c>
      <c r="B7727" s="74" t="s">
        <v>5498</v>
      </c>
      <c r="C7727" s="74" t="s">
        <v>419</v>
      </c>
    </row>
    <row r="7728" spans="1:3">
      <c r="A7728" s="250">
        <v>19943</v>
      </c>
      <c r="B7728" s="74" t="s">
        <v>4818</v>
      </c>
      <c r="C7728" s="74" t="s">
        <v>419</v>
      </c>
    </row>
    <row r="7729" spans="1:3">
      <c r="A7729" s="250">
        <v>19944</v>
      </c>
      <c r="B7729" s="74" t="s">
        <v>5499</v>
      </c>
      <c r="C7729" s="74" t="s">
        <v>419</v>
      </c>
    </row>
    <row r="7730" spans="1:3">
      <c r="A7730" s="250">
        <v>19945</v>
      </c>
      <c r="B7730" s="74" t="s">
        <v>5500</v>
      </c>
      <c r="C7730" s="74" t="s">
        <v>419</v>
      </c>
    </row>
    <row r="7731" spans="1:3">
      <c r="A7731" s="250">
        <v>19946</v>
      </c>
      <c r="B7731" s="74" t="s">
        <v>5501</v>
      </c>
      <c r="C7731" s="74" t="s">
        <v>419</v>
      </c>
    </row>
    <row r="7732" spans="1:3">
      <c r="A7732" s="250">
        <v>19947</v>
      </c>
      <c r="B7732" s="74" t="s">
        <v>813</v>
      </c>
      <c r="C7732" s="74" t="s">
        <v>419</v>
      </c>
    </row>
    <row r="7733" spans="1:3">
      <c r="A7733" s="250">
        <v>19950</v>
      </c>
      <c r="B7733" s="74" t="s">
        <v>1448</v>
      </c>
      <c r="C7733" s="74" t="s">
        <v>419</v>
      </c>
    </row>
    <row r="7734" spans="1:3">
      <c r="A7734" s="250">
        <v>19951</v>
      </c>
      <c r="B7734" s="74" t="s">
        <v>5502</v>
      </c>
      <c r="C7734" s="74" t="s">
        <v>419</v>
      </c>
    </row>
    <row r="7735" spans="1:3">
      <c r="A7735" s="250">
        <v>19952</v>
      </c>
      <c r="B7735" s="74" t="s">
        <v>1587</v>
      </c>
      <c r="C7735" s="74" t="s">
        <v>419</v>
      </c>
    </row>
    <row r="7736" spans="1:3">
      <c r="A7736" s="250">
        <v>19953</v>
      </c>
      <c r="B7736" s="74" t="s">
        <v>5503</v>
      </c>
      <c r="C7736" s="74" t="s">
        <v>419</v>
      </c>
    </row>
    <row r="7737" spans="1:3">
      <c r="A7737" s="250">
        <v>19954</v>
      </c>
      <c r="B7737" s="74" t="s">
        <v>4063</v>
      </c>
      <c r="C7737" s="74" t="s">
        <v>419</v>
      </c>
    </row>
    <row r="7738" spans="1:3">
      <c r="A7738" s="250">
        <v>19955</v>
      </c>
      <c r="B7738" s="74" t="s">
        <v>5504</v>
      </c>
      <c r="C7738" s="74" t="s">
        <v>419</v>
      </c>
    </row>
    <row r="7739" spans="1:3">
      <c r="A7739" s="250">
        <v>19956</v>
      </c>
      <c r="B7739" s="74" t="s">
        <v>2882</v>
      </c>
      <c r="C7739" s="74" t="s">
        <v>419</v>
      </c>
    </row>
    <row r="7740" spans="1:3">
      <c r="A7740" s="250">
        <v>19958</v>
      </c>
      <c r="B7740" s="74" t="s">
        <v>5505</v>
      </c>
      <c r="C7740" s="74" t="s">
        <v>419</v>
      </c>
    </row>
    <row r="7741" spans="1:3">
      <c r="A7741" s="250">
        <v>19960</v>
      </c>
      <c r="B7741" s="74" t="s">
        <v>800</v>
      </c>
      <c r="C7741" s="74" t="s">
        <v>419</v>
      </c>
    </row>
    <row r="7742" spans="1:3">
      <c r="A7742" s="250">
        <v>19961</v>
      </c>
      <c r="B7742" s="74" t="s">
        <v>5506</v>
      </c>
      <c r="C7742" s="74" t="s">
        <v>419</v>
      </c>
    </row>
    <row r="7743" spans="1:3">
      <c r="A7743" s="250">
        <v>19962</v>
      </c>
      <c r="B7743" s="74" t="s">
        <v>2398</v>
      </c>
      <c r="C7743" s="74" t="s">
        <v>419</v>
      </c>
    </row>
    <row r="7744" spans="1:3">
      <c r="A7744" s="250">
        <v>19963</v>
      </c>
      <c r="B7744" s="74" t="s">
        <v>796</v>
      </c>
      <c r="C7744" s="74" t="s">
        <v>419</v>
      </c>
    </row>
    <row r="7745" spans="1:3">
      <c r="A7745" s="250">
        <v>19964</v>
      </c>
      <c r="B7745" s="74" t="s">
        <v>5507</v>
      </c>
      <c r="C7745" s="74" t="s">
        <v>419</v>
      </c>
    </row>
    <row r="7746" spans="1:3">
      <c r="A7746" s="250">
        <v>19966</v>
      </c>
      <c r="B7746" s="74" t="s">
        <v>4067</v>
      </c>
      <c r="C7746" s="74" t="s">
        <v>419</v>
      </c>
    </row>
    <row r="7747" spans="1:3">
      <c r="A7747" s="250">
        <v>19967</v>
      </c>
      <c r="B7747" s="74" t="s">
        <v>746</v>
      </c>
      <c r="C7747" s="74" t="s">
        <v>419</v>
      </c>
    </row>
    <row r="7748" spans="1:3">
      <c r="A7748" s="250">
        <v>19968</v>
      </c>
      <c r="B7748" s="74" t="s">
        <v>927</v>
      </c>
      <c r="C7748" s="74" t="s">
        <v>419</v>
      </c>
    </row>
    <row r="7749" spans="1:3">
      <c r="A7749" s="250">
        <v>19969</v>
      </c>
      <c r="B7749" s="74" t="s">
        <v>2979</v>
      </c>
      <c r="C7749" s="74" t="s">
        <v>419</v>
      </c>
    </row>
    <row r="7750" spans="1:3">
      <c r="A7750" s="250">
        <v>19970</v>
      </c>
      <c r="B7750" s="74" t="s">
        <v>2457</v>
      </c>
      <c r="C7750" s="74" t="s">
        <v>419</v>
      </c>
    </row>
    <row r="7751" spans="1:3">
      <c r="A7751" s="250">
        <v>19971</v>
      </c>
      <c r="B7751" s="74" t="s">
        <v>5508</v>
      </c>
      <c r="C7751" s="74" t="s">
        <v>419</v>
      </c>
    </row>
    <row r="7752" spans="1:3">
      <c r="A7752" s="250">
        <v>19973</v>
      </c>
      <c r="B7752" s="74" t="s">
        <v>2855</v>
      </c>
      <c r="C7752" s="74" t="s">
        <v>419</v>
      </c>
    </row>
    <row r="7753" spans="1:3">
      <c r="A7753" s="250">
        <v>19975</v>
      </c>
      <c r="B7753" s="74" t="s">
        <v>5509</v>
      </c>
      <c r="C7753" s="74" t="s">
        <v>419</v>
      </c>
    </row>
    <row r="7754" spans="1:3">
      <c r="A7754" s="250">
        <v>19977</v>
      </c>
      <c r="B7754" s="74" t="s">
        <v>3502</v>
      </c>
      <c r="C7754" s="74" t="s">
        <v>419</v>
      </c>
    </row>
    <row r="7755" spans="1:3">
      <c r="A7755" s="250">
        <v>19979</v>
      </c>
      <c r="B7755" s="74" t="s">
        <v>5510</v>
      </c>
      <c r="C7755" s="74" t="s">
        <v>419</v>
      </c>
    </row>
    <row r="7756" spans="1:3">
      <c r="A7756" s="250">
        <v>19980</v>
      </c>
      <c r="B7756" s="74" t="s">
        <v>2747</v>
      </c>
      <c r="C7756" s="74" t="s">
        <v>419</v>
      </c>
    </row>
    <row r="7757" spans="1:3">
      <c r="A7757" s="250">
        <v>20001</v>
      </c>
      <c r="B7757" s="74" t="s">
        <v>1215</v>
      </c>
      <c r="C7757" s="74" t="s">
        <v>5511</v>
      </c>
    </row>
    <row r="7758" spans="1:3">
      <c r="A7758" s="250">
        <v>20002</v>
      </c>
      <c r="B7758" s="74" t="s">
        <v>1215</v>
      </c>
      <c r="C7758" s="74" t="s">
        <v>5511</v>
      </c>
    </row>
    <row r="7759" spans="1:3">
      <c r="A7759" s="250">
        <v>20003</v>
      </c>
      <c r="B7759" s="74" t="s">
        <v>1215</v>
      </c>
      <c r="C7759" s="74" t="s">
        <v>5511</v>
      </c>
    </row>
    <row r="7760" spans="1:3">
      <c r="A7760" s="250">
        <v>20004</v>
      </c>
      <c r="B7760" s="74" t="s">
        <v>1215</v>
      </c>
      <c r="C7760" s="74" t="s">
        <v>5511</v>
      </c>
    </row>
    <row r="7761" spans="1:3">
      <c r="A7761" s="250">
        <v>20005</v>
      </c>
      <c r="B7761" s="74" t="s">
        <v>1215</v>
      </c>
      <c r="C7761" s="74" t="s">
        <v>5511</v>
      </c>
    </row>
    <row r="7762" spans="1:3">
      <c r="A7762" s="250">
        <v>20006</v>
      </c>
      <c r="B7762" s="74" t="s">
        <v>1215</v>
      </c>
      <c r="C7762" s="74" t="s">
        <v>5511</v>
      </c>
    </row>
    <row r="7763" spans="1:3">
      <c r="A7763" s="250">
        <v>20007</v>
      </c>
      <c r="B7763" s="74" t="s">
        <v>1215</v>
      </c>
      <c r="C7763" s="74" t="s">
        <v>5511</v>
      </c>
    </row>
    <row r="7764" spans="1:3">
      <c r="A7764" s="250">
        <v>20008</v>
      </c>
      <c r="B7764" s="74" t="s">
        <v>1215</v>
      </c>
      <c r="C7764" s="74" t="s">
        <v>5511</v>
      </c>
    </row>
    <row r="7765" spans="1:3">
      <c r="A7765" s="250">
        <v>20009</v>
      </c>
      <c r="B7765" s="74" t="s">
        <v>1215</v>
      </c>
      <c r="C7765" s="74" t="s">
        <v>5511</v>
      </c>
    </row>
    <row r="7766" spans="1:3">
      <c r="A7766" s="250">
        <v>20010</v>
      </c>
      <c r="B7766" s="74" t="s">
        <v>1215</v>
      </c>
      <c r="C7766" s="74" t="s">
        <v>5511</v>
      </c>
    </row>
    <row r="7767" spans="1:3">
      <c r="A7767" s="250">
        <v>20011</v>
      </c>
      <c r="B7767" s="74" t="s">
        <v>1215</v>
      </c>
      <c r="C7767" s="74" t="s">
        <v>5511</v>
      </c>
    </row>
    <row r="7768" spans="1:3">
      <c r="A7768" s="250">
        <v>20012</v>
      </c>
      <c r="B7768" s="74" t="s">
        <v>1215</v>
      </c>
      <c r="C7768" s="74" t="s">
        <v>5511</v>
      </c>
    </row>
    <row r="7769" spans="1:3">
      <c r="A7769" s="250">
        <v>20013</v>
      </c>
      <c r="B7769" s="74" t="s">
        <v>1215</v>
      </c>
      <c r="C7769" s="74" t="s">
        <v>5511</v>
      </c>
    </row>
    <row r="7770" spans="1:3">
      <c r="A7770" s="250">
        <v>20015</v>
      </c>
      <c r="B7770" s="74" t="s">
        <v>1215</v>
      </c>
      <c r="C7770" s="74" t="s">
        <v>5511</v>
      </c>
    </row>
    <row r="7771" spans="1:3">
      <c r="A7771" s="250">
        <v>20016</v>
      </c>
      <c r="B7771" s="74" t="s">
        <v>1215</v>
      </c>
      <c r="C7771" s="74" t="s">
        <v>5511</v>
      </c>
    </row>
    <row r="7772" spans="1:3">
      <c r="A7772" s="250">
        <v>20017</v>
      </c>
      <c r="B7772" s="74" t="s">
        <v>1215</v>
      </c>
      <c r="C7772" s="74" t="s">
        <v>5511</v>
      </c>
    </row>
    <row r="7773" spans="1:3">
      <c r="A7773" s="250">
        <v>20018</v>
      </c>
      <c r="B7773" s="74" t="s">
        <v>1215</v>
      </c>
      <c r="C7773" s="74" t="s">
        <v>5511</v>
      </c>
    </row>
    <row r="7774" spans="1:3">
      <c r="A7774" s="250">
        <v>20019</v>
      </c>
      <c r="B7774" s="74" t="s">
        <v>1215</v>
      </c>
      <c r="C7774" s="74" t="s">
        <v>5511</v>
      </c>
    </row>
    <row r="7775" spans="1:3">
      <c r="A7775" s="250">
        <v>20020</v>
      </c>
      <c r="B7775" s="74" t="s">
        <v>1215</v>
      </c>
      <c r="C7775" s="74" t="s">
        <v>5511</v>
      </c>
    </row>
    <row r="7776" spans="1:3">
      <c r="A7776" s="250">
        <v>20022</v>
      </c>
      <c r="B7776" s="74" t="s">
        <v>1215</v>
      </c>
      <c r="C7776" s="74" t="s">
        <v>5511</v>
      </c>
    </row>
    <row r="7777" spans="1:3">
      <c r="A7777" s="250">
        <v>20023</v>
      </c>
      <c r="B7777" s="74" t="s">
        <v>1215</v>
      </c>
      <c r="C7777" s="74" t="s">
        <v>5511</v>
      </c>
    </row>
    <row r="7778" spans="1:3">
      <c r="A7778" s="250">
        <v>20024</v>
      </c>
      <c r="B7778" s="74" t="s">
        <v>1215</v>
      </c>
      <c r="C7778" s="74" t="s">
        <v>5511</v>
      </c>
    </row>
    <row r="7779" spans="1:3">
      <c r="A7779" s="250">
        <v>20026</v>
      </c>
      <c r="B7779" s="74" t="s">
        <v>1215</v>
      </c>
      <c r="C7779" s="74" t="s">
        <v>5511</v>
      </c>
    </row>
    <row r="7780" spans="1:3">
      <c r="A7780" s="250">
        <v>20027</v>
      </c>
      <c r="B7780" s="74" t="s">
        <v>1215</v>
      </c>
      <c r="C7780" s="74" t="s">
        <v>5511</v>
      </c>
    </row>
    <row r="7781" spans="1:3">
      <c r="A7781" s="250">
        <v>20029</v>
      </c>
      <c r="B7781" s="74" t="s">
        <v>1215</v>
      </c>
      <c r="C7781" s="74" t="s">
        <v>5511</v>
      </c>
    </row>
    <row r="7782" spans="1:3">
      <c r="A7782" s="250">
        <v>20030</v>
      </c>
      <c r="B7782" s="74" t="s">
        <v>1215</v>
      </c>
      <c r="C7782" s="74" t="s">
        <v>5511</v>
      </c>
    </row>
    <row r="7783" spans="1:3">
      <c r="A7783" s="250">
        <v>20032</v>
      </c>
      <c r="B7783" s="74" t="s">
        <v>1215</v>
      </c>
      <c r="C7783" s="74" t="s">
        <v>5511</v>
      </c>
    </row>
    <row r="7784" spans="1:3">
      <c r="A7784" s="250">
        <v>20033</v>
      </c>
      <c r="B7784" s="74" t="s">
        <v>1215</v>
      </c>
      <c r="C7784" s="74" t="s">
        <v>5511</v>
      </c>
    </row>
    <row r="7785" spans="1:3">
      <c r="A7785" s="250">
        <v>20035</v>
      </c>
      <c r="B7785" s="74" t="s">
        <v>1215</v>
      </c>
      <c r="C7785" s="74" t="s">
        <v>5511</v>
      </c>
    </row>
    <row r="7786" spans="1:3">
      <c r="A7786" s="250">
        <v>20036</v>
      </c>
      <c r="B7786" s="74" t="s">
        <v>1215</v>
      </c>
      <c r="C7786" s="74" t="s">
        <v>5511</v>
      </c>
    </row>
    <row r="7787" spans="1:3">
      <c r="A7787" s="250">
        <v>20037</v>
      </c>
      <c r="B7787" s="74" t="s">
        <v>1215</v>
      </c>
      <c r="C7787" s="74" t="s">
        <v>5511</v>
      </c>
    </row>
    <row r="7788" spans="1:3">
      <c r="A7788" s="250">
        <v>20038</v>
      </c>
      <c r="B7788" s="74" t="s">
        <v>1215</v>
      </c>
      <c r="C7788" s="74" t="s">
        <v>5511</v>
      </c>
    </row>
    <row r="7789" spans="1:3">
      <c r="A7789" s="250">
        <v>20039</v>
      </c>
      <c r="B7789" s="74" t="s">
        <v>1215</v>
      </c>
      <c r="C7789" s="74" t="s">
        <v>5511</v>
      </c>
    </row>
    <row r="7790" spans="1:3">
      <c r="A7790" s="250">
        <v>20040</v>
      </c>
      <c r="B7790" s="74" t="s">
        <v>1215</v>
      </c>
      <c r="C7790" s="74" t="s">
        <v>5511</v>
      </c>
    </row>
    <row r="7791" spans="1:3">
      <c r="A7791" s="250">
        <v>20041</v>
      </c>
      <c r="B7791" s="74" t="s">
        <v>1215</v>
      </c>
      <c r="C7791" s="74" t="s">
        <v>5511</v>
      </c>
    </row>
    <row r="7792" spans="1:3">
      <c r="A7792" s="250">
        <v>20042</v>
      </c>
      <c r="B7792" s="74" t="s">
        <v>1215</v>
      </c>
      <c r="C7792" s="74" t="s">
        <v>5511</v>
      </c>
    </row>
    <row r="7793" spans="1:3">
      <c r="A7793" s="250">
        <v>20043</v>
      </c>
      <c r="B7793" s="74" t="s">
        <v>1215</v>
      </c>
      <c r="C7793" s="74" t="s">
        <v>5511</v>
      </c>
    </row>
    <row r="7794" spans="1:3">
      <c r="A7794" s="250">
        <v>20044</v>
      </c>
      <c r="B7794" s="74" t="s">
        <v>1215</v>
      </c>
      <c r="C7794" s="74" t="s">
        <v>5511</v>
      </c>
    </row>
    <row r="7795" spans="1:3">
      <c r="A7795" s="250">
        <v>20045</v>
      </c>
      <c r="B7795" s="74" t="s">
        <v>1215</v>
      </c>
      <c r="C7795" s="74" t="s">
        <v>5511</v>
      </c>
    </row>
    <row r="7796" spans="1:3">
      <c r="A7796" s="250">
        <v>20046</v>
      </c>
      <c r="B7796" s="74" t="s">
        <v>1215</v>
      </c>
      <c r="C7796" s="74" t="s">
        <v>5511</v>
      </c>
    </row>
    <row r="7797" spans="1:3">
      <c r="A7797" s="250">
        <v>20047</v>
      </c>
      <c r="B7797" s="74" t="s">
        <v>1215</v>
      </c>
      <c r="C7797" s="74" t="s">
        <v>5511</v>
      </c>
    </row>
    <row r="7798" spans="1:3">
      <c r="A7798" s="250">
        <v>20049</v>
      </c>
      <c r="B7798" s="74" t="s">
        <v>1215</v>
      </c>
      <c r="C7798" s="74" t="s">
        <v>5511</v>
      </c>
    </row>
    <row r="7799" spans="1:3">
      <c r="A7799" s="250">
        <v>20050</v>
      </c>
      <c r="B7799" s="74" t="s">
        <v>1215</v>
      </c>
      <c r="C7799" s="74" t="s">
        <v>5511</v>
      </c>
    </row>
    <row r="7800" spans="1:3">
      <c r="A7800" s="250">
        <v>20051</v>
      </c>
      <c r="B7800" s="74" t="s">
        <v>1215</v>
      </c>
      <c r="C7800" s="74" t="s">
        <v>5511</v>
      </c>
    </row>
    <row r="7801" spans="1:3">
      <c r="A7801" s="250">
        <v>20052</v>
      </c>
      <c r="B7801" s="74" t="s">
        <v>1215</v>
      </c>
      <c r="C7801" s="74" t="s">
        <v>5511</v>
      </c>
    </row>
    <row r="7802" spans="1:3">
      <c r="A7802" s="250">
        <v>20053</v>
      </c>
      <c r="B7802" s="74" t="s">
        <v>1215</v>
      </c>
      <c r="C7802" s="74" t="s">
        <v>5511</v>
      </c>
    </row>
    <row r="7803" spans="1:3">
      <c r="A7803" s="250">
        <v>20055</v>
      </c>
      <c r="B7803" s="74" t="s">
        <v>1215</v>
      </c>
      <c r="C7803" s="74" t="s">
        <v>5511</v>
      </c>
    </row>
    <row r="7804" spans="1:3">
      <c r="A7804" s="250">
        <v>20056</v>
      </c>
      <c r="B7804" s="74" t="s">
        <v>1215</v>
      </c>
      <c r="C7804" s="74" t="s">
        <v>5511</v>
      </c>
    </row>
    <row r="7805" spans="1:3">
      <c r="A7805" s="250">
        <v>20057</v>
      </c>
      <c r="B7805" s="74" t="s">
        <v>1215</v>
      </c>
      <c r="C7805" s="74" t="s">
        <v>5511</v>
      </c>
    </row>
    <row r="7806" spans="1:3">
      <c r="A7806" s="250">
        <v>20058</v>
      </c>
      <c r="B7806" s="74" t="s">
        <v>1215</v>
      </c>
      <c r="C7806" s="74" t="s">
        <v>5511</v>
      </c>
    </row>
    <row r="7807" spans="1:3">
      <c r="A7807" s="250">
        <v>20059</v>
      </c>
      <c r="B7807" s="74" t="s">
        <v>1215</v>
      </c>
      <c r="C7807" s="74" t="s">
        <v>5511</v>
      </c>
    </row>
    <row r="7808" spans="1:3">
      <c r="A7808" s="250">
        <v>20060</v>
      </c>
      <c r="B7808" s="74" t="s">
        <v>1215</v>
      </c>
      <c r="C7808" s="74" t="s">
        <v>5511</v>
      </c>
    </row>
    <row r="7809" spans="1:3">
      <c r="A7809" s="250">
        <v>20061</v>
      </c>
      <c r="B7809" s="74" t="s">
        <v>1215</v>
      </c>
      <c r="C7809" s="74" t="s">
        <v>5511</v>
      </c>
    </row>
    <row r="7810" spans="1:3">
      <c r="A7810" s="250">
        <v>20062</v>
      </c>
      <c r="B7810" s="74" t="s">
        <v>1215</v>
      </c>
      <c r="C7810" s="74" t="s">
        <v>5511</v>
      </c>
    </row>
    <row r="7811" spans="1:3">
      <c r="A7811" s="250">
        <v>20063</v>
      </c>
      <c r="B7811" s="74" t="s">
        <v>1215</v>
      </c>
      <c r="C7811" s="74" t="s">
        <v>5511</v>
      </c>
    </row>
    <row r="7812" spans="1:3">
      <c r="A7812" s="250">
        <v>20064</v>
      </c>
      <c r="B7812" s="74" t="s">
        <v>1215</v>
      </c>
      <c r="C7812" s="74" t="s">
        <v>5511</v>
      </c>
    </row>
    <row r="7813" spans="1:3">
      <c r="A7813" s="250">
        <v>20065</v>
      </c>
      <c r="B7813" s="74" t="s">
        <v>1215</v>
      </c>
      <c r="C7813" s="74" t="s">
        <v>5511</v>
      </c>
    </row>
    <row r="7814" spans="1:3">
      <c r="A7814" s="250">
        <v>20066</v>
      </c>
      <c r="B7814" s="74" t="s">
        <v>1215</v>
      </c>
      <c r="C7814" s="74" t="s">
        <v>5511</v>
      </c>
    </row>
    <row r="7815" spans="1:3">
      <c r="A7815" s="250">
        <v>20067</v>
      </c>
      <c r="B7815" s="74" t="s">
        <v>1215</v>
      </c>
      <c r="C7815" s="74" t="s">
        <v>5511</v>
      </c>
    </row>
    <row r="7816" spans="1:3">
      <c r="A7816" s="250">
        <v>20068</v>
      </c>
      <c r="B7816" s="74" t="s">
        <v>1215</v>
      </c>
      <c r="C7816" s="74" t="s">
        <v>5511</v>
      </c>
    </row>
    <row r="7817" spans="1:3">
      <c r="A7817" s="250">
        <v>20069</v>
      </c>
      <c r="B7817" s="74" t="s">
        <v>1215</v>
      </c>
      <c r="C7817" s="74" t="s">
        <v>5511</v>
      </c>
    </row>
    <row r="7818" spans="1:3">
      <c r="A7818" s="250">
        <v>20070</v>
      </c>
      <c r="B7818" s="74" t="s">
        <v>1215</v>
      </c>
      <c r="C7818" s="74" t="s">
        <v>5511</v>
      </c>
    </row>
    <row r="7819" spans="1:3">
      <c r="A7819" s="250">
        <v>20071</v>
      </c>
      <c r="B7819" s="74" t="s">
        <v>1215</v>
      </c>
      <c r="C7819" s="74" t="s">
        <v>5511</v>
      </c>
    </row>
    <row r="7820" spans="1:3">
      <c r="A7820" s="250">
        <v>20073</v>
      </c>
      <c r="B7820" s="74" t="s">
        <v>1215</v>
      </c>
      <c r="C7820" s="74" t="s">
        <v>5511</v>
      </c>
    </row>
    <row r="7821" spans="1:3">
      <c r="A7821" s="250">
        <v>20074</v>
      </c>
      <c r="B7821" s="74" t="s">
        <v>1215</v>
      </c>
      <c r="C7821" s="74" t="s">
        <v>5511</v>
      </c>
    </row>
    <row r="7822" spans="1:3">
      <c r="A7822" s="250">
        <v>20075</v>
      </c>
      <c r="B7822" s="74" t="s">
        <v>1215</v>
      </c>
      <c r="C7822" s="74" t="s">
        <v>5511</v>
      </c>
    </row>
    <row r="7823" spans="1:3">
      <c r="A7823" s="250">
        <v>20076</v>
      </c>
      <c r="B7823" s="74" t="s">
        <v>1215</v>
      </c>
      <c r="C7823" s="74" t="s">
        <v>5511</v>
      </c>
    </row>
    <row r="7824" spans="1:3">
      <c r="A7824" s="250">
        <v>20077</v>
      </c>
      <c r="B7824" s="74" t="s">
        <v>1215</v>
      </c>
      <c r="C7824" s="74" t="s">
        <v>5511</v>
      </c>
    </row>
    <row r="7825" spans="1:3">
      <c r="A7825" s="250">
        <v>20078</v>
      </c>
      <c r="B7825" s="74" t="s">
        <v>1215</v>
      </c>
      <c r="C7825" s="74" t="s">
        <v>5511</v>
      </c>
    </row>
    <row r="7826" spans="1:3">
      <c r="A7826" s="250">
        <v>20080</v>
      </c>
      <c r="B7826" s="74" t="s">
        <v>1215</v>
      </c>
      <c r="C7826" s="74" t="s">
        <v>5511</v>
      </c>
    </row>
    <row r="7827" spans="1:3">
      <c r="A7827" s="250">
        <v>20081</v>
      </c>
      <c r="B7827" s="74" t="s">
        <v>1215</v>
      </c>
      <c r="C7827" s="74" t="s">
        <v>5511</v>
      </c>
    </row>
    <row r="7828" spans="1:3">
      <c r="A7828" s="250">
        <v>20082</v>
      </c>
      <c r="B7828" s="74" t="s">
        <v>1215</v>
      </c>
      <c r="C7828" s="74" t="s">
        <v>5511</v>
      </c>
    </row>
    <row r="7829" spans="1:3">
      <c r="A7829" s="250">
        <v>20088</v>
      </c>
      <c r="B7829" s="74" t="s">
        <v>1215</v>
      </c>
      <c r="C7829" s="74" t="s">
        <v>5511</v>
      </c>
    </row>
    <row r="7830" spans="1:3">
      <c r="A7830" s="250">
        <v>20090</v>
      </c>
      <c r="B7830" s="74" t="s">
        <v>1215</v>
      </c>
      <c r="C7830" s="74" t="s">
        <v>5511</v>
      </c>
    </row>
    <row r="7831" spans="1:3">
      <c r="A7831" s="250">
        <v>20091</v>
      </c>
      <c r="B7831" s="74" t="s">
        <v>1215</v>
      </c>
      <c r="C7831" s="74" t="s">
        <v>5511</v>
      </c>
    </row>
    <row r="7832" spans="1:3">
      <c r="A7832" s="250">
        <v>20097</v>
      </c>
      <c r="B7832" s="74" t="s">
        <v>1215</v>
      </c>
      <c r="C7832" s="74" t="s">
        <v>5511</v>
      </c>
    </row>
    <row r="7833" spans="1:3">
      <c r="A7833" s="250">
        <v>20098</v>
      </c>
      <c r="B7833" s="74" t="s">
        <v>1215</v>
      </c>
      <c r="C7833" s="74" t="s">
        <v>5511</v>
      </c>
    </row>
    <row r="7834" spans="1:3">
      <c r="A7834" s="250">
        <v>20101</v>
      </c>
      <c r="B7834" s="74" t="s">
        <v>5512</v>
      </c>
      <c r="C7834" s="74" t="s">
        <v>456</v>
      </c>
    </row>
    <row r="7835" spans="1:3">
      <c r="A7835" s="250">
        <v>20102</v>
      </c>
      <c r="B7835" s="74" t="s">
        <v>5512</v>
      </c>
      <c r="C7835" s="74" t="s">
        <v>456</v>
      </c>
    </row>
    <row r="7836" spans="1:3">
      <c r="A7836" s="250">
        <v>20103</v>
      </c>
      <c r="B7836" s="74" t="s">
        <v>5512</v>
      </c>
      <c r="C7836" s="74" t="s">
        <v>456</v>
      </c>
    </row>
    <row r="7837" spans="1:3">
      <c r="A7837" s="250">
        <v>20104</v>
      </c>
      <c r="B7837" s="74" t="s">
        <v>5512</v>
      </c>
      <c r="C7837" s="74" t="s">
        <v>456</v>
      </c>
    </row>
    <row r="7838" spans="1:3">
      <c r="A7838" s="250">
        <v>20105</v>
      </c>
      <c r="B7838" s="74" t="s">
        <v>5513</v>
      </c>
      <c r="C7838" s="74" t="s">
        <v>456</v>
      </c>
    </row>
    <row r="7839" spans="1:3">
      <c r="A7839" s="250">
        <v>20106</v>
      </c>
      <c r="B7839" s="74" t="s">
        <v>5514</v>
      </c>
      <c r="C7839" s="74" t="s">
        <v>456</v>
      </c>
    </row>
    <row r="7840" spans="1:3">
      <c r="A7840" s="250">
        <v>20107</v>
      </c>
      <c r="B7840" s="74" t="s">
        <v>5408</v>
      </c>
      <c r="C7840" s="74" t="s">
        <v>456</v>
      </c>
    </row>
    <row r="7841" spans="1:3">
      <c r="A7841" s="250">
        <v>20108</v>
      </c>
      <c r="B7841" s="74" t="s">
        <v>5515</v>
      </c>
      <c r="C7841" s="74" t="s">
        <v>456</v>
      </c>
    </row>
    <row r="7842" spans="1:3">
      <c r="A7842" s="250">
        <v>20109</v>
      </c>
      <c r="B7842" s="74" t="s">
        <v>5515</v>
      </c>
      <c r="C7842" s="74" t="s">
        <v>456</v>
      </c>
    </row>
    <row r="7843" spans="1:3">
      <c r="A7843" s="250">
        <v>20110</v>
      </c>
      <c r="B7843" s="74" t="s">
        <v>5515</v>
      </c>
      <c r="C7843" s="74" t="s">
        <v>456</v>
      </c>
    </row>
    <row r="7844" spans="1:3">
      <c r="A7844" s="250">
        <v>20111</v>
      </c>
      <c r="B7844" s="74" t="s">
        <v>5515</v>
      </c>
      <c r="C7844" s="74" t="s">
        <v>456</v>
      </c>
    </row>
    <row r="7845" spans="1:3">
      <c r="A7845" s="250">
        <v>20112</v>
      </c>
      <c r="B7845" s="74" t="s">
        <v>5515</v>
      </c>
      <c r="C7845" s="74" t="s">
        <v>456</v>
      </c>
    </row>
    <row r="7846" spans="1:3">
      <c r="A7846" s="250">
        <v>20113</v>
      </c>
      <c r="B7846" s="74" t="s">
        <v>5515</v>
      </c>
      <c r="C7846" s="74" t="s">
        <v>456</v>
      </c>
    </row>
    <row r="7847" spans="1:3">
      <c r="A7847" s="250">
        <v>20115</v>
      </c>
      <c r="B7847" s="74" t="s">
        <v>5516</v>
      </c>
      <c r="C7847" s="74" t="s">
        <v>456</v>
      </c>
    </row>
    <row r="7848" spans="1:3">
      <c r="A7848" s="250">
        <v>20116</v>
      </c>
      <c r="B7848" s="74" t="s">
        <v>5516</v>
      </c>
      <c r="C7848" s="74" t="s">
        <v>456</v>
      </c>
    </row>
    <row r="7849" spans="1:3">
      <c r="A7849" s="250">
        <v>20117</v>
      </c>
      <c r="B7849" s="74" t="s">
        <v>4956</v>
      </c>
      <c r="C7849" s="74" t="s">
        <v>456</v>
      </c>
    </row>
    <row r="7850" spans="1:3">
      <c r="A7850" s="250">
        <v>20118</v>
      </c>
      <c r="B7850" s="74" t="s">
        <v>4956</v>
      </c>
      <c r="C7850" s="74" t="s">
        <v>456</v>
      </c>
    </row>
    <row r="7851" spans="1:3">
      <c r="A7851" s="250">
        <v>20119</v>
      </c>
      <c r="B7851" s="74" t="s">
        <v>5517</v>
      </c>
      <c r="C7851" s="74" t="s">
        <v>456</v>
      </c>
    </row>
    <row r="7852" spans="1:3">
      <c r="A7852" s="250">
        <v>20120</v>
      </c>
      <c r="B7852" s="74" t="s">
        <v>5518</v>
      </c>
      <c r="C7852" s="74" t="s">
        <v>456</v>
      </c>
    </row>
    <row r="7853" spans="1:3">
      <c r="A7853" s="250">
        <v>20121</v>
      </c>
      <c r="B7853" s="74" t="s">
        <v>5518</v>
      </c>
      <c r="C7853" s="74" t="s">
        <v>456</v>
      </c>
    </row>
    <row r="7854" spans="1:3">
      <c r="A7854" s="250">
        <v>20122</v>
      </c>
      <c r="B7854" s="74" t="s">
        <v>5518</v>
      </c>
      <c r="C7854" s="74" t="s">
        <v>456</v>
      </c>
    </row>
    <row r="7855" spans="1:3">
      <c r="A7855" s="250">
        <v>20124</v>
      </c>
      <c r="B7855" s="74" t="s">
        <v>2117</v>
      </c>
      <c r="C7855" s="74" t="s">
        <v>456</v>
      </c>
    </row>
    <row r="7856" spans="1:3">
      <c r="A7856" s="250">
        <v>20128</v>
      </c>
      <c r="B7856" s="74" t="s">
        <v>5519</v>
      </c>
      <c r="C7856" s="74" t="s">
        <v>456</v>
      </c>
    </row>
    <row r="7857" spans="1:3">
      <c r="A7857" s="250">
        <v>20129</v>
      </c>
      <c r="B7857" s="74" t="s">
        <v>5520</v>
      </c>
      <c r="C7857" s="74" t="s">
        <v>456</v>
      </c>
    </row>
    <row r="7858" spans="1:3">
      <c r="A7858" s="250">
        <v>20130</v>
      </c>
      <c r="B7858" s="74" t="s">
        <v>1459</v>
      </c>
      <c r="C7858" s="74" t="s">
        <v>456</v>
      </c>
    </row>
    <row r="7859" spans="1:3">
      <c r="A7859" s="250">
        <v>20131</v>
      </c>
      <c r="B7859" s="74" t="s">
        <v>5521</v>
      </c>
      <c r="C7859" s="74" t="s">
        <v>456</v>
      </c>
    </row>
    <row r="7860" spans="1:3">
      <c r="A7860" s="250">
        <v>20132</v>
      </c>
      <c r="B7860" s="74" t="s">
        <v>5522</v>
      </c>
      <c r="C7860" s="74" t="s">
        <v>456</v>
      </c>
    </row>
    <row r="7861" spans="1:3">
      <c r="A7861" s="250">
        <v>20134</v>
      </c>
      <c r="B7861" s="74" t="s">
        <v>5522</v>
      </c>
      <c r="C7861" s="74" t="s">
        <v>456</v>
      </c>
    </row>
    <row r="7862" spans="1:3">
      <c r="A7862" s="250">
        <v>20135</v>
      </c>
      <c r="B7862" s="74" t="s">
        <v>5523</v>
      </c>
      <c r="C7862" s="74" t="s">
        <v>456</v>
      </c>
    </row>
    <row r="7863" spans="1:3">
      <c r="A7863" s="250">
        <v>20136</v>
      </c>
      <c r="B7863" s="74" t="s">
        <v>5524</v>
      </c>
      <c r="C7863" s="74" t="s">
        <v>456</v>
      </c>
    </row>
    <row r="7864" spans="1:3">
      <c r="A7864" s="250">
        <v>20137</v>
      </c>
      <c r="B7864" s="74" t="s">
        <v>5525</v>
      </c>
      <c r="C7864" s="74" t="s">
        <v>456</v>
      </c>
    </row>
    <row r="7865" spans="1:3">
      <c r="A7865" s="250">
        <v>20138</v>
      </c>
      <c r="B7865" s="74" t="s">
        <v>2873</v>
      </c>
      <c r="C7865" s="74" t="s">
        <v>456</v>
      </c>
    </row>
    <row r="7866" spans="1:3">
      <c r="A7866" s="250">
        <v>20139</v>
      </c>
      <c r="B7866" s="74" t="s">
        <v>5526</v>
      </c>
      <c r="C7866" s="74" t="s">
        <v>456</v>
      </c>
    </row>
    <row r="7867" spans="1:3">
      <c r="A7867" s="250">
        <v>20140</v>
      </c>
      <c r="B7867" s="74" t="s">
        <v>5527</v>
      </c>
      <c r="C7867" s="74" t="s">
        <v>456</v>
      </c>
    </row>
    <row r="7868" spans="1:3">
      <c r="A7868" s="250">
        <v>20141</v>
      </c>
      <c r="B7868" s="74" t="s">
        <v>5528</v>
      </c>
      <c r="C7868" s="74" t="s">
        <v>456</v>
      </c>
    </row>
    <row r="7869" spans="1:3">
      <c r="A7869" s="250">
        <v>20142</v>
      </c>
      <c r="B7869" s="74" t="s">
        <v>5528</v>
      </c>
      <c r="C7869" s="74" t="s">
        <v>456</v>
      </c>
    </row>
    <row r="7870" spans="1:3">
      <c r="A7870" s="250">
        <v>20143</v>
      </c>
      <c r="B7870" s="74" t="s">
        <v>5529</v>
      </c>
      <c r="C7870" s="74" t="s">
        <v>456</v>
      </c>
    </row>
    <row r="7871" spans="1:3">
      <c r="A7871" s="250">
        <v>20144</v>
      </c>
      <c r="B7871" s="74" t="s">
        <v>5530</v>
      </c>
      <c r="C7871" s="74" t="s">
        <v>456</v>
      </c>
    </row>
    <row r="7872" spans="1:3">
      <c r="A7872" s="250">
        <v>20146</v>
      </c>
      <c r="B7872" s="74" t="s">
        <v>5531</v>
      </c>
      <c r="C7872" s="74" t="s">
        <v>456</v>
      </c>
    </row>
    <row r="7873" spans="1:3">
      <c r="A7873" s="250">
        <v>20147</v>
      </c>
      <c r="B7873" s="74" t="s">
        <v>5531</v>
      </c>
      <c r="C7873" s="74" t="s">
        <v>456</v>
      </c>
    </row>
    <row r="7874" spans="1:3">
      <c r="A7874" s="250">
        <v>20148</v>
      </c>
      <c r="B7874" s="74" t="s">
        <v>5531</v>
      </c>
      <c r="C7874" s="74" t="s">
        <v>456</v>
      </c>
    </row>
    <row r="7875" spans="1:3">
      <c r="A7875" s="250">
        <v>20149</v>
      </c>
      <c r="B7875" s="74" t="s">
        <v>5531</v>
      </c>
      <c r="C7875" s="74" t="s">
        <v>456</v>
      </c>
    </row>
    <row r="7876" spans="1:3">
      <c r="A7876" s="250">
        <v>20151</v>
      </c>
      <c r="B7876" s="74" t="s">
        <v>5532</v>
      </c>
      <c r="C7876" s="74" t="s">
        <v>456</v>
      </c>
    </row>
    <row r="7877" spans="1:3">
      <c r="A7877" s="250">
        <v>20152</v>
      </c>
      <c r="B7877" s="74" t="s">
        <v>5532</v>
      </c>
      <c r="C7877" s="74" t="s">
        <v>456</v>
      </c>
    </row>
    <row r="7878" spans="1:3">
      <c r="A7878" s="250">
        <v>20153</v>
      </c>
      <c r="B7878" s="74" t="s">
        <v>5532</v>
      </c>
      <c r="C7878" s="74" t="s">
        <v>456</v>
      </c>
    </row>
    <row r="7879" spans="1:3">
      <c r="A7879" s="250">
        <v>20155</v>
      </c>
      <c r="B7879" s="74" t="s">
        <v>3707</v>
      </c>
      <c r="C7879" s="74" t="s">
        <v>456</v>
      </c>
    </row>
    <row r="7880" spans="1:3">
      <c r="A7880" s="250">
        <v>20156</v>
      </c>
      <c r="B7880" s="74" t="s">
        <v>3707</v>
      </c>
      <c r="C7880" s="74" t="s">
        <v>456</v>
      </c>
    </row>
    <row r="7881" spans="1:3">
      <c r="A7881" s="250">
        <v>20158</v>
      </c>
      <c r="B7881" s="74" t="s">
        <v>844</v>
      </c>
      <c r="C7881" s="74" t="s">
        <v>456</v>
      </c>
    </row>
    <row r="7882" spans="1:3">
      <c r="A7882" s="250">
        <v>20159</v>
      </c>
      <c r="B7882" s="74" t="s">
        <v>844</v>
      </c>
      <c r="C7882" s="74" t="s">
        <v>456</v>
      </c>
    </row>
    <row r="7883" spans="1:3">
      <c r="A7883" s="250">
        <v>20160</v>
      </c>
      <c r="B7883" s="74" t="s">
        <v>800</v>
      </c>
      <c r="C7883" s="74" t="s">
        <v>456</v>
      </c>
    </row>
    <row r="7884" spans="1:3">
      <c r="A7884" s="250">
        <v>20163</v>
      </c>
      <c r="B7884" s="74" t="s">
        <v>763</v>
      </c>
      <c r="C7884" s="74" t="s">
        <v>456</v>
      </c>
    </row>
    <row r="7885" spans="1:3">
      <c r="A7885" s="250">
        <v>20164</v>
      </c>
      <c r="B7885" s="74" t="s">
        <v>763</v>
      </c>
      <c r="C7885" s="74" t="s">
        <v>456</v>
      </c>
    </row>
    <row r="7886" spans="1:3">
      <c r="A7886" s="250">
        <v>20165</v>
      </c>
      <c r="B7886" s="74" t="s">
        <v>763</v>
      </c>
      <c r="C7886" s="74" t="s">
        <v>456</v>
      </c>
    </row>
    <row r="7887" spans="1:3">
      <c r="A7887" s="250">
        <v>20166</v>
      </c>
      <c r="B7887" s="74" t="s">
        <v>763</v>
      </c>
      <c r="C7887" s="74" t="s">
        <v>456</v>
      </c>
    </row>
    <row r="7888" spans="1:3">
      <c r="A7888" s="250">
        <v>20167</v>
      </c>
      <c r="B7888" s="74" t="s">
        <v>763</v>
      </c>
      <c r="C7888" s="74" t="s">
        <v>456</v>
      </c>
    </row>
    <row r="7889" spans="1:3">
      <c r="A7889" s="250">
        <v>20168</v>
      </c>
      <c r="B7889" s="74" t="s">
        <v>5533</v>
      </c>
      <c r="C7889" s="74" t="s">
        <v>456</v>
      </c>
    </row>
    <row r="7890" spans="1:3">
      <c r="A7890" s="250">
        <v>20169</v>
      </c>
      <c r="B7890" s="74" t="s">
        <v>5533</v>
      </c>
      <c r="C7890" s="74" t="s">
        <v>456</v>
      </c>
    </row>
    <row r="7891" spans="1:3">
      <c r="A7891" s="250">
        <v>20170</v>
      </c>
      <c r="B7891" s="74" t="s">
        <v>4945</v>
      </c>
      <c r="C7891" s="74" t="s">
        <v>456</v>
      </c>
    </row>
    <row r="7892" spans="1:3">
      <c r="A7892" s="250">
        <v>20171</v>
      </c>
      <c r="B7892" s="74" t="s">
        <v>4945</v>
      </c>
      <c r="C7892" s="74" t="s">
        <v>456</v>
      </c>
    </row>
    <row r="7893" spans="1:3">
      <c r="A7893" s="250">
        <v>20172</v>
      </c>
      <c r="B7893" s="74" t="s">
        <v>4945</v>
      </c>
      <c r="C7893" s="74" t="s">
        <v>456</v>
      </c>
    </row>
    <row r="7894" spans="1:3">
      <c r="A7894" s="250">
        <v>20175</v>
      </c>
      <c r="B7894" s="74" t="s">
        <v>2488</v>
      </c>
      <c r="C7894" s="74" t="s">
        <v>456</v>
      </c>
    </row>
    <row r="7895" spans="1:3">
      <c r="A7895" s="250">
        <v>20176</v>
      </c>
      <c r="B7895" s="74" t="s">
        <v>2488</v>
      </c>
      <c r="C7895" s="74" t="s">
        <v>456</v>
      </c>
    </row>
    <row r="7896" spans="1:3">
      <c r="A7896" s="250">
        <v>20177</v>
      </c>
      <c r="B7896" s="74" t="s">
        <v>2488</v>
      </c>
      <c r="C7896" s="74" t="s">
        <v>456</v>
      </c>
    </row>
    <row r="7897" spans="1:3">
      <c r="A7897" s="250">
        <v>20178</v>
      </c>
      <c r="B7897" s="74" t="s">
        <v>2488</v>
      </c>
      <c r="C7897" s="74" t="s">
        <v>456</v>
      </c>
    </row>
    <row r="7898" spans="1:3">
      <c r="A7898" s="250">
        <v>20180</v>
      </c>
      <c r="B7898" s="74" t="s">
        <v>5534</v>
      </c>
      <c r="C7898" s="74" t="s">
        <v>456</v>
      </c>
    </row>
    <row r="7899" spans="1:3">
      <c r="A7899" s="250">
        <v>20181</v>
      </c>
      <c r="B7899" s="74" t="s">
        <v>5535</v>
      </c>
      <c r="C7899" s="74" t="s">
        <v>456</v>
      </c>
    </row>
    <row r="7900" spans="1:3">
      <c r="A7900" s="250">
        <v>20182</v>
      </c>
      <c r="B7900" s="74" t="s">
        <v>5535</v>
      </c>
      <c r="C7900" s="74" t="s">
        <v>456</v>
      </c>
    </row>
    <row r="7901" spans="1:3">
      <c r="A7901" s="250">
        <v>20184</v>
      </c>
      <c r="B7901" s="74" t="s">
        <v>5536</v>
      </c>
      <c r="C7901" s="74" t="s">
        <v>456</v>
      </c>
    </row>
    <row r="7902" spans="1:3">
      <c r="A7902" s="250">
        <v>20185</v>
      </c>
      <c r="B7902" s="74" t="s">
        <v>5536</v>
      </c>
      <c r="C7902" s="74" t="s">
        <v>456</v>
      </c>
    </row>
    <row r="7903" spans="1:3">
      <c r="A7903" s="250">
        <v>20186</v>
      </c>
      <c r="B7903" s="74" t="s">
        <v>5537</v>
      </c>
      <c r="C7903" s="74" t="s">
        <v>456</v>
      </c>
    </row>
    <row r="7904" spans="1:3">
      <c r="A7904" s="250">
        <v>20187</v>
      </c>
      <c r="B7904" s="74" t="s">
        <v>5537</v>
      </c>
      <c r="C7904" s="74" t="s">
        <v>456</v>
      </c>
    </row>
    <row r="7905" spans="1:3">
      <c r="A7905" s="250">
        <v>20188</v>
      </c>
      <c r="B7905" s="74" t="s">
        <v>5537</v>
      </c>
      <c r="C7905" s="74" t="s">
        <v>456</v>
      </c>
    </row>
    <row r="7906" spans="1:3">
      <c r="A7906" s="250">
        <v>20189</v>
      </c>
      <c r="B7906" s="74" t="s">
        <v>5512</v>
      </c>
      <c r="C7906" s="74" t="s">
        <v>456</v>
      </c>
    </row>
    <row r="7907" spans="1:3">
      <c r="A7907" s="250">
        <v>20190</v>
      </c>
      <c r="B7907" s="74" t="s">
        <v>5538</v>
      </c>
      <c r="C7907" s="74" t="s">
        <v>456</v>
      </c>
    </row>
    <row r="7908" spans="1:3">
      <c r="A7908" s="250">
        <v>20191</v>
      </c>
      <c r="B7908" s="74" t="s">
        <v>5538</v>
      </c>
      <c r="C7908" s="74" t="s">
        <v>456</v>
      </c>
    </row>
    <row r="7909" spans="1:3">
      <c r="A7909" s="250">
        <v>20192</v>
      </c>
      <c r="B7909" s="74" t="s">
        <v>4945</v>
      </c>
      <c r="C7909" s="74" t="s">
        <v>456</v>
      </c>
    </row>
    <row r="7910" spans="1:3">
      <c r="A7910" s="250">
        <v>20193</v>
      </c>
      <c r="B7910" s="74" t="s">
        <v>5538</v>
      </c>
      <c r="C7910" s="74" t="s">
        <v>456</v>
      </c>
    </row>
    <row r="7911" spans="1:3">
      <c r="A7911" s="250">
        <v>20194</v>
      </c>
      <c r="B7911" s="74" t="s">
        <v>5538</v>
      </c>
      <c r="C7911" s="74" t="s">
        <v>456</v>
      </c>
    </row>
    <row r="7912" spans="1:3">
      <c r="A7912" s="250">
        <v>20195</v>
      </c>
      <c r="B7912" s="74" t="s">
        <v>5538</v>
      </c>
      <c r="C7912" s="74" t="s">
        <v>456</v>
      </c>
    </row>
    <row r="7913" spans="1:3">
      <c r="A7913" s="250">
        <v>20196</v>
      </c>
      <c r="B7913" s="74" t="s">
        <v>5538</v>
      </c>
      <c r="C7913" s="74" t="s">
        <v>456</v>
      </c>
    </row>
    <row r="7914" spans="1:3">
      <c r="A7914" s="250">
        <v>20197</v>
      </c>
      <c r="B7914" s="74" t="s">
        <v>1420</v>
      </c>
      <c r="C7914" s="74" t="s">
        <v>456</v>
      </c>
    </row>
    <row r="7915" spans="1:3">
      <c r="A7915" s="250">
        <v>20198</v>
      </c>
      <c r="B7915" s="74" t="s">
        <v>5539</v>
      </c>
      <c r="C7915" s="74" t="s">
        <v>456</v>
      </c>
    </row>
    <row r="7916" spans="1:3">
      <c r="A7916" s="250">
        <v>20199</v>
      </c>
      <c r="B7916" s="74" t="s">
        <v>5512</v>
      </c>
      <c r="C7916" s="74" t="s">
        <v>456</v>
      </c>
    </row>
    <row r="7917" spans="1:3">
      <c r="A7917" s="250">
        <v>20201</v>
      </c>
      <c r="B7917" s="74" t="s">
        <v>1215</v>
      </c>
      <c r="C7917" s="74" t="s">
        <v>5511</v>
      </c>
    </row>
    <row r="7918" spans="1:3">
      <c r="A7918" s="250">
        <v>20202</v>
      </c>
      <c r="B7918" s="74" t="s">
        <v>1215</v>
      </c>
      <c r="C7918" s="74" t="s">
        <v>5511</v>
      </c>
    </row>
    <row r="7919" spans="1:3">
      <c r="A7919" s="250">
        <v>20203</v>
      </c>
      <c r="B7919" s="74" t="s">
        <v>1215</v>
      </c>
      <c r="C7919" s="74" t="s">
        <v>5511</v>
      </c>
    </row>
    <row r="7920" spans="1:3">
      <c r="A7920" s="250">
        <v>20204</v>
      </c>
      <c r="B7920" s="74" t="s">
        <v>1215</v>
      </c>
      <c r="C7920" s="74" t="s">
        <v>5511</v>
      </c>
    </row>
    <row r="7921" spans="1:3">
      <c r="A7921" s="250">
        <v>20206</v>
      </c>
      <c r="B7921" s="74" t="s">
        <v>1215</v>
      </c>
      <c r="C7921" s="74" t="s">
        <v>5511</v>
      </c>
    </row>
    <row r="7922" spans="1:3">
      <c r="A7922" s="250">
        <v>20207</v>
      </c>
      <c r="B7922" s="74" t="s">
        <v>1215</v>
      </c>
      <c r="C7922" s="74" t="s">
        <v>5511</v>
      </c>
    </row>
    <row r="7923" spans="1:3">
      <c r="A7923" s="250">
        <v>20208</v>
      </c>
      <c r="B7923" s="74" t="s">
        <v>1215</v>
      </c>
      <c r="C7923" s="74" t="s">
        <v>5511</v>
      </c>
    </row>
    <row r="7924" spans="1:3">
      <c r="A7924" s="250">
        <v>20210</v>
      </c>
      <c r="B7924" s="74" t="s">
        <v>1215</v>
      </c>
      <c r="C7924" s="74" t="s">
        <v>5511</v>
      </c>
    </row>
    <row r="7925" spans="1:3">
      <c r="A7925" s="250">
        <v>20211</v>
      </c>
      <c r="B7925" s="74" t="s">
        <v>1215</v>
      </c>
      <c r="C7925" s="74" t="s">
        <v>5511</v>
      </c>
    </row>
    <row r="7926" spans="1:3">
      <c r="A7926" s="250">
        <v>20212</v>
      </c>
      <c r="B7926" s="74" t="s">
        <v>1215</v>
      </c>
      <c r="C7926" s="74" t="s">
        <v>5511</v>
      </c>
    </row>
    <row r="7927" spans="1:3">
      <c r="A7927" s="250">
        <v>20213</v>
      </c>
      <c r="B7927" s="74" t="s">
        <v>1215</v>
      </c>
      <c r="C7927" s="74" t="s">
        <v>5511</v>
      </c>
    </row>
    <row r="7928" spans="1:3">
      <c r="A7928" s="250">
        <v>20214</v>
      </c>
      <c r="B7928" s="74" t="s">
        <v>1215</v>
      </c>
      <c r="C7928" s="74" t="s">
        <v>5511</v>
      </c>
    </row>
    <row r="7929" spans="1:3">
      <c r="A7929" s="250">
        <v>20215</v>
      </c>
      <c r="B7929" s="74" t="s">
        <v>1215</v>
      </c>
      <c r="C7929" s="74" t="s">
        <v>5511</v>
      </c>
    </row>
    <row r="7930" spans="1:3">
      <c r="A7930" s="250">
        <v>20216</v>
      </c>
      <c r="B7930" s="74" t="s">
        <v>1215</v>
      </c>
      <c r="C7930" s="74" t="s">
        <v>5511</v>
      </c>
    </row>
    <row r="7931" spans="1:3">
      <c r="A7931" s="250">
        <v>20217</v>
      </c>
      <c r="B7931" s="74" t="s">
        <v>1215</v>
      </c>
      <c r="C7931" s="74" t="s">
        <v>5511</v>
      </c>
    </row>
    <row r="7932" spans="1:3">
      <c r="A7932" s="250">
        <v>20218</v>
      </c>
      <c r="B7932" s="74" t="s">
        <v>1215</v>
      </c>
      <c r="C7932" s="74" t="s">
        <v>5511</v>
      </c>
    </row>
    <row r="7933" spans="1:3">
      <c r="A7933" s="250">
        <v>20219</v>
      </c>
      <c r="B7933" s="74" t="s">
        <v>1215</v>
      </c>
      <c r="C7933" s="74" t="s">
        <v>5511</v>
      </c>
    </row>
    <row r="7934" spans="1:3">
      <c r="A7934" s="250">
        <v>20220</v>
      </c>
      <c r="B7934" s="74" t="s">
        <v>1215</v>
      </c>
      <c r="C7934" s="74" t="s">
        <v>5511</v>
      </c>
    </row>
    <row r="7935" spans="1:3">
      <c r="A7935" s="250">
        <v>20221</v>
      </c>
      <c r="B7935" s="74" t="s">
        <v>1215</v>
      </c>
      <c r="C7935" s="74" t="s">
        <v>5511</v>
      </c>
    </row>
    <row r="7936" spans="1:3">
      <c r="A7936" s="250">
        <v>20222</v>
      </c>
      <c r="B7936" s="74" t="s">
        <v>1215</v>
      </c>
      <c r="C7936" s="74" t="s">
        <v>5511</v>
      </c>
    </row>
    <row r="7937" spans="1:3">
      <c r="A7937" s="250">
        <v>20223</v>
      </c>
      <c r="B7937" s="74" t="s">
        <v>1215</v>
      </c>
      <c r="C7937" s="74" t="s">
        <v>5511</v>
      </c>
    </row>
    <row r="7938" spans="1:3">
      <c r="A7938" s="250">
        <v>20224</v>
      </c>
      <c r="B7938" s="74" t="s">
        <v>1215</v>
      </c>
      <c r="C7938" s="74" t="s">
        <v>5511</v>
      </c>
    </row>
    <row r="7939" spans="1:3">
      <c r="A7939" s="250">
        <v>20226</v>
      </c>
      <c r="B7939" s="74" t="s">
        <v>1215</v>
      </c>
      <c r="C7939" s="74" t="s">
        <v>5511</v>
      </c>
    </row>
    <row r="7940" spans="1:3">
      <c r="A7940" s="250">
        <v>20227</v>
      </c>
      <c r="B7940" s="74" t="s">
        <v>1215</v>
      </c>
      <c r="C7940" s="74" t="s">
        <v>5511</v>
      </c>
    </row>
    <row r="7941" spans="1:3">
      <c r="A7941" s="250">
        <v>20228</v>
      </c>
      <c r="B7941" s="74" t="s">
        <v>1215</v>
      </c>
      <c r="C7941" s="74" t="s">
        <v>5511</v>
      </c>
    </row>
    <row r="7942" spans="1:3">
      <c r="A7942" s="250">
        <v>20229</v>
      </c>
      <c r="B7942" s="74" t="s">
        <v>1215</v>
      </c>
      <c r="C7942" s="74" t="s">
        <v>5511</v>
      </c>
    </row>
    <row r="7943" spans="1:3">
      <c r="A7943" s="250">
        <v>20230</v>
      </c>
      <c r="B7943" s="74" t="s">
        <v>1215</v>
      </c>
      <c r="C7943" s="74" t="s">
        <v>5511</v>
      </c>
    </row>
    <row r="7944" spans="1:3">
      <c r="A7944" s="250">
        <v>20232</v>
      </c>
      <c r="B7944" s="74" t="s">
        <v>1215</v>
      </c>
      <c r="C7944" s="74" t="s">
        <v>5511</v>
      </c>
    </row>
    <row r="7945" spans="1:3">
      <c r="A7945" s="250">
        <v>20233</v>
      </c>
      <c r="B7945" s="74" t="s">
        <v>1215</v>
      </c>
      <c r="C7945" s="74" t="s">
        <v>5511</v>
      </c>
    </row>
    <row r="7946" spans="1:3">
      <c r="A7946" s="250">
        <v>20235</v>
      </c>
      <c r="B7946" s="74" t="s">
        <v>1215</v>
      </c>
      <c r="C7946" s="74" t="s">
        <v>5511</v>
      </c>
    </row>
    <row r="7947" spans="1:3">
      <c r="A7947" s="250">
        <v>20237</v>
      </c>
      <c r="B7947" s="74" t="s">
        <v>1215</v>
      </c>
      <c r="C7947" s="74" t="s">
        <v>5511</v>
      </c>
    </row>
    <row r="7948" spans="1:3">
      <c r="A7948" s="250">
        <v>20238</v>
      </c>
      <c r="B7948" s="74" t="s">
        <v>1215</v>
      </c>
      <c r="C7948" s="74" t="s">
        <v>5511</v>
      </c>
    </row>
    <row r="7949" spans="1:3">
      <c r="A7949" s="250">
        <v>20239</v>
      </c>
      <c r="B7949" s="74" t="s">
        <v>1215</v>
      </c>
      <c r="C7949" s="74" t="s">
        <v>5511</v>
      </c>
    </row>
    <row r="7950" spans="1:3">
      <c r="A7950" s="250">
        <v>20240</v>
      </c>
      <c r="B7950" s="74" t="s">
        <v>1215</v>
      </c>
      <c r="C7950" s="74" t="s">
        <v>5511</v>
      </c>
    </row>
    <row r="7951" spans="1:3">
      <c r="A7951" s="250">
        <v>20241</v>
      </c>
      <c r="B7951" s="74" t="s">
        <v>1215</v>
      </c>
      <c r="C7951" s="74" t="s">
        <v>5511</v>
      </c>
    </row>
    <row r="7952" spans="1:3">
      <c r="A7952" s="250">
        <v>20242</v>
      </c>
      <c r="B7952" s="74" t="s">
        <v>1215</v>
      </c>
      <c r="C7952" s="74" t="s">
        <v>5511</v>
      </c>
    </row>
    <row r="7953" spans="1:3">
      <c r="A7953" s="250">
        <v>20244</v>
      </c>
      <c r="B7953" s="74" t="s">
        <v>1215</v>
      </c>
      <c r="C7953" s="74" t="s">
        <v>5511</v>
      </c>
    </row>
    <row r="7954" spans="1:3">
      <c r="A7954" s="250">
        <v>20245</v>
      </c>
      <c r="B7954" s="74" t="s">
        <v>1215</v>
      </c>
      <c r="C7954" s="74" t="s">
        <v>5511</v>
      </c>
    </row>
    <row r="7955" spans="1:3">
      <c r="A7955" s="250">
        <v>20250</v>
      </c>
      <c r="B7955" s="74" t="s">
        <v>1215</v>
      </c>
      <c r="C7955" s="74" t="s">
        <v>5511</v>
      </c>
    </row>
    <row r="7956" spans="1:3">
      <c r="A7956" s="250">
        <v>20251</v>
      </c>
      <c r="B7956" s="74" t="s">
        <v>1215</v>
      </c>
      <c r="C7956" s="74" t="s">
        <v>5511</v>
      </c>
    </row>
    <row r="7957" spans="1:3">
      <c r="A7957" s="250">
        <v>20254</v>
      </c>
      <c r="B7957" s="74" t="s">
        <v>1215</v>
      </c>
      <c r="C7957" s="74" t="s">
        <v>5511</v>
      </c>
    </row>
    <row r="7958" spans="1:3">
      <c r="A7958" s="250">
        <v>20260</v>
      </c>
      <c r="B7958" s="74" t="s">
        <v>1215</v>
      </c>
      <c r="C7958" s="74" t="s">
        <v>5511</v>
      </c>
    </row>
    <row r="7959" spans="1:3">
      <c r="A7959" s="250">
        <v>20261</v>
      </c>
      <c r="B7959" s="74" t="s">
        <v>1215</v>
      </c>
      <c r="C7959" s="74" t="s">
        <v>5511</v>
      </c>
    </row>
    <row r="7960" spans="1:3">
      <c r="A7960" s="250">
        <v>20262</v>
      </c>
      <c r="B7960" s="74" t="s">
        <v>1215</v>
      </c>
      <c r="C7960" s="74" t="s">
        <v>5511</v>
      </c>
    </row>
    <row r="7961" spans="1:3">
      <c r="A7961" s="250">
        <v>20265</v>
      </c>
      <c r="B7961" s="74" t="s">
        <v>1215</v>
      </c>
      <c r="C7961" s="74" t="s">
        <v>5511</v>
      </c>
    </row>
    <row r="7962" spans="1:3">
      <c r="A7962" s="250">
        <v>20266</v>
      </c>
      <c r="B7962" s="74" t="s">
        <v>1215</v>
      </c>
      <c r="C7962" s="74" t="s">
        <v>5511</v>
      </c>
    </row>
    <row r="7963" spans="1:3">
      <c r="A7963" s="250">
        <v>20268</v>
      </c>
      <c r="B7963" s="74" t="s">
        <v>1215</v>
      </c>
      <c r="C7963" s="74" t="s">
        <v>5511</v>
      </c>
    </row>
    <row r="7964" spans="1:3">
      <c r="A7964" s="250">
        <v>20270</v>
      </c>
      <c r="B7964" s="74" t="s">
        <v>1215</v>
      </c>
      <c r="C7964" s="74" t="s">
        <v>5511</v>
      </c>
    </row>
    <row r="7965" spans="1:3">
      <c r="A7965" s="250">
        <v>20277</v>
      </c>
      <c r="B7965" s="74" t="s">
        <v>1215</v>
      </c>
      <c r="C7965" s="74" t="s">
        <v>5511</v>
      </c>
    </row>
    <row r="7966" spans="1:3">
      <c r="A7966" s="250">
        <v>20289</v>
      </c>
      <c r="B7966" s="74" t="s">
        <v>1215</v>
      </c>
      <c r="C7966" s="74" t="s">
        <v>5511</v>
      </c>
    </row>
    <row r="7967" spans="1:3">
      <c r="A7967" s="250">
        <v>20299</v>
      </c>
      <c r="B7967" s="74" t="s">
        <v>1215</v>
      </c>
      <c r="C7967" s="74" t="s">
        <v>5511</v>
      </c>
    </row>
    <row r="7968" spans="1:3">
      <c r="A7968" s="250">
        <v>20301</v>
      </c>
      <c r="B7968" s="74" t="s">
        <v>1215</v>
      </c>
      <c r="C7968" s="74" t="s">
        <v>5511</v>
      </c>
    </row>
    <row r="7969" spans="1:3">
      <c r="A7969" s="250">
        <v>20303</v>
      </c>
      <c r="B7969" s="74" t="s">
        <v>1215</v>
      </c>
      <c r="C7969" s="74" t="s">
        <v>5511</v>
      </c>
    </row>
    <row r="7970" spans="1:3">
      <c r="A7970" s="250">
        <v>20306</v>
      </c>
      <c r="B7970" s="74" t="s">
        <v>1215</v>
      </c>
      <c r="C7970" s="74" t="s">
        <v>5511</v>
      </c>
    </row>
    <row r="7971" spans="1:3">
      <c r="A7971" s="250">
        <v>20307</v>
      </c>
      <c r="B7971" s="74" t="s">
        <v>1215</v>
      </c>
      <c r="C7971" s="74" t="s">
        <v>5511</v>
      </c>
    </row>
    <row r="7972" spans="1:3">
      <c r="A7972" s="250">
        <v>20310</v>
      </c>
      <c r="B7972" s="74" t="s">
        <v>1215</v>
      </c>
      <c r="C7972" s="74" t="s">
        <v>5511</v>
      </c>
    </row>
    <row r="7973" spans="1:3">
      <c r="A7973" s="250">
        <v>20314</v>
      </c>
      <c r="B7973" s="74" t="s">
        <v>1215</v>
      </c>
      <c r="C7973" s="74" t="s">
        <v>5511</v>
      </c>
    </row>
    <row r="7974" spans="1:3">
      <c r="A7974" s="250">
        <v>20317</v>
      </c>
      <c r="B7974" s="74" t="s">
        <v>1215</v>
      </c>
      <c r="C7974" s="74" t="s">
        <v>5511</v>
      </c>
    </row>
    <row r="7975" spans="1:3">
      <c r="A7975" s="250">
        <v>20318</v>
      </c>
      <c r="B7975" s="74" t="s">
        <v>1215</v>
      </c>
      <c r="C7975" s="74" t="s">
        <v>5511</v>
      </c>
    </row>
    <row r="7976" spans="1:3">
      <c r="A7976" s="250">
        <v>20319</v>
      </c>
      <c r="B7976" s="74" t="s">
        <v>1215</v>
      </c>
      <c r="C7976" s="74" t="s">
        <v>5511</v>
      </c>
    </row>
    <row r="7977" spans="1:3">
      <c r="A7977" s="250">
        <v>20330</v>
      </c>
      <c r="B7977" s="74" t="s">
        <v>1215</v>
      </c>
      <c r="C7977" s="74" t="s">
        <v>5511</v>
      </c>
    </row>
    <row r="7978" spans="1:3">
      <c r="A7978" s="250">
        <v>20340</v>
      </c>
      <c r="B7978" s="74" t="s">
        <v>1215</v>
      </c>
      <c r="C7978" s="74" t="s">
        <v>5511</v>
      </c>
    </row>
    <row r="7979" spans="1:3">
      <c r="A7979" s="250">
        <v>20350</v>
      </c>
      <c r="B7979" s="74" t="s">
        <v>1215</v>
      </c>
      <c r="C7979" s="74" t="s">
        <v>5511</v>
      </c>
    </row>
    <row r="7980" spans="1:3">
      <c r="A7980" s="250">
        <v>20355</v>
      </c>
      <c r="B7980" s="74" t="s">
        <v>1215</v>
      </c>
      <c r="C7980" s="74" t="s">
        <v>5511</v>
      </c>
    </row>
    <row r="7981" spans="1:3">
      <c r="A7981" s="250">
        <v>20370</v>
      </c>
      <c r="B7981" s="74" t="s">
        <v>1215</v>
      </c>
      <c r="C7981" s="74" t="s">
        <v>5511</v>
      </c>
    </row>
    <row r="7982" spans="1:3">
      <c r="A7982" s="250">
        <v>20372</v>
      </c>
      <c r="B7982" s="74" t="s">
        <v>1215</v>
      </c>
      <c r="C7982" s="74" t="s">
        <v>5511</v>
      </c>
    </row>
    <row r="7983" spans="1:3">
      <c r="A7983" s="250">
        <v>20373</v>
      </c>
      <c r="B7983" s="74" t="s">
        <v>5540</v>
      </c>
      <c r="C7983" s="74" t="s">
        <v>5511</v>
      </c>
    </row>
    <row r="7984" spans="1:3">
      <c r="A7984" s="250">
        <v>20374</v>
      </c>
      <c r="B7984" s="74" t="s">
        <v>5541</v>
      </c>
      <c r="C7984" s="74" t="s">
        <v>5511</v>
      </c>
    </row>
    <row r="7985" spans="1:3">
      <c r="A7985" s="250">
        <v>20375</v>
      </c>
      <c r="B7985" s="74" t="s">
        <v>1215</v>
      </c>
      <c r="C7985" s="74" t="s">
        <v>5511</v>
      </c>
    </row>
    <row r="7986" spans="1:3">
      <c r="A7986" s="250">
        <v>20376</v>
      </c>
      <c r="B7986" s="74" t="s">
        <v>5541</v>
      </c>
      <c r="C7986" s="74" t="s">
        <v>5511</v>
      </c>
    </row>
    <row r="7987" spans="1:3">
      <c r="A7987" s="250">
        <v>20380</v>
      </c>
      <c r="B7987" s="74" t="s">
        <v>1215</v>
      </c>
      <c r="C7987" s="74" t="s">
        <v>5511</v>
      </c>
    </row>
    <row r="7988" spans="1:3">
      <c r="A7988" s="250">
        <v>20388</v>
      </c>
      <c r="B7988" s="74" t="s">
        <v>5541</v>
      </c>
      <c r="C7988" s="74" t="s">
        <v>5511</v>
      </c>
    </row>
    <row r="7989" spans="1:3">
      <c r="A7989" s="250">
        <v>20389</v>
      </c>
      <c r="B7989" s="74" t="s">
        <v>1215</v>
      </c>
      <c r="C7989" s="74" t="s">
        <v>5511</v>
      </c>
    </row>
    <row r="7990" spans="1:3">
      <c r="A7990" s="250">
        <v>20390</v>
      </c>
      <c r="B7990" s="74" t="s">
        <v>1215</v>
      </c>
      <c r="C7990" s="74" t="s">
        <v>5511</v>
      </c>
    </row>
    <row r="7991" spans="1:3">
      <c r="A7991" s="250">
        <v>20391</v>
      </c>
      <c r="B7991" s="74" t="s">
        <v>5541</v>
      </c>
      <c r="C7991" s="74" t="s">
        <v>5511</v>
      </c>
    </row>
    <row r="7992" spans="1:3">
      <c r="A7992" s="250">
        <v>20392</v>
      </c>
      <c r="B7992" s="74" t="s">
        <v>1215</v>
      </c>
      <c r="C7992" s="74" t="s">
        <v>5511</v>
      </c>
    </row>
    <row r="7993" spans="1:3">
      <c r="A7993" s="250">
        <v>20393</v>
      </c>
      <c r="B7993" s="74" t="s">
        <v>1215</v>
      </c>
      <c r="C7993" s="74" t="s">
        <v>5511</v>
      </c>
    </row>
    <row r="7994" spans="1:3">
      <c r="A7994" s="250">
        <v>20394</v>
      </c>
      <c r="B7994" s="74" t="s">
        <v>1215</v>
      </c>
      <c r="C7994" s="74" t="s">
        <v>5511</v>
      </c>
    </row>
    <row r="7995" spans="1:3">
      <c r="A7995" s="250">
        <v>20395</v>
      </c>
      <c r="B7995" s="74" t="s">
        <v>1215</v>
      </c>
      <c r="C7995" s="74" t="s">
        <v>5511</v>
      </c>
    </row>
    <row r="7996" spans="1:3">
      <c r="A7996" s="250">
        <v>20398</v>
      </c>
      <c r="B7996" s="74" t="s">
        <v>5541</v>
      </c>
      <c r="C7996" s="74" t="s">
        <v>5511</v>
      </c>
    </row>
    <row r="7997" spans="1:3">
      <c r="A7997" s="250">
        <v>20401</v>
      </c>
      <c r="B7997" s="74" t="s">
        <v>1215</v>
      </c>
      <c r="C7997" s="74" t="s">
        <v>5511</v>
      </c>
    </row>
    <row r="7998" spans="1:3">
      <c r="A7998" s="250">
        <v>20402</v>
      </c>
      <c r="B7998" s="74" t="s">
        <v>1215</v>
      </c>
      <c r="C7998" s="74" t="s">
        <v>5511</v>
      </c>
    </row>
    <row r="7999" spans="1:3">
      <c r="A7999" s="250">
        <v>20403</v>
      </c>
      <c r="B7999" s="74" t="s">
        <v>1215</v>
      </c>
      <c r="C7999" s="74" t="s">
        <v>5511</v>
      </c>
    </row>
    <row r="8000" spans="1:3">
      <c r="A8000" s="250">
        <v>20404</v>
      </c>
      <c r="B8000" s="74" t="s">
        <v>1215</v>
      </c>
      <c r="C8000" s="74" t="s">
        <v>5511</v>
      </c>
    </row>
    <row r="8001" spans="1:3">
      <c r="A8001" s="250">
        <v>20405</v>
      </c>
      <c r="B8001" s="74" t="s">
        <v>1215</v>
      </c>
      <c r="C8001" s="74" t="s">
        <v>5511</v>
      </c>
    </row>
    <row r="8002" spans="1:3">
      <c r="A8002" s="250">
        <v>20406</v>
      </c>
      <c r="B8002" s="74" t="s">
        <v>1215</v>
      </c>
      <c r="C8002" s="74" t="s">
        <v>5511</v>
      </c>
    </row>
    <row r="8003" spans="1:3">
      <c r="A8003" s="250">
        <v>20407</v>
      </c>
      <c r="B8003" s="74" t="s">
        <v>1215</v>
      </c>
      <c r="C8003" s="74" t="s">
        <v>5511</v>
      </c>
    </row>
    <row r="8004" spans="1:3">
      <c r="A8004" s="250">
        <v>20408</v>
      </c>
      <c r="B8004" s="74" t="s">
        <v>1215</v>
      </c>
      <c r="C8004" s="74" t="s">
        <v>5511</v>
      </c>
    </row>
    <row r="8005" spans="1:3">
      <c r="A8005" s="250">
        <v>20409</v>
      </c>
      <c r="B8005" s="74" t="s">
        <v>1215</v>
      </c>
      <c r="C8005" s="74" t="s">
        <v>5511</v>
      </c>
    </row>
    <row r="8006" spans="1:3">
      <c r="A8006" s="250">
        <v>20410</v>
      </c>
      <c r="B8006" s="74" t="s">
        <v>1215</v>
      </c>
      <c r="C8006" s="74" t="s">
        <v>5511</v>
      </c>
    </row>
    <row r="8007" spans="1:3">
      <c r="A8007" s="250">
        <v>20411</v>
      </c>
      <c r="B8007" s="74" t="s">
        <v>1215</v>
      </c>
      <c r="C8007" s="74" t="s">
        <v>5511</v>
      </c>
    </row>
    <row r="8008" spans="1:3">
      <c r="A8008" s="250">
        <v>20412</v>
      </c>
      <c r="B8008" s="74" t="s">
        <v>1215</v>
      </c>
      <c r="C8008" s="74" t="s">
        <v>5511</v>
      </c>
    </row>
    <row r="8009" spans="1:3">
      <c r="A8009" s="250">
        <v>20413</v>
      </c>
      <c r="B8009" s="74" t="s">
        <v>1215</v>
      </c>
      <c r="C8009" s="74" t="s">
        <v>5511</v>
      </c>
    </row>
    <row r="8010" spans="1:3">
      <c r="A8010" s="250">
        <v>20414</v>
      </c>
      <c r="B8010" s="74" t="s">
        <v>1215</v>
      </c>
      <c r="C8010" s="74" t="s">
        <v>5511</v>
      </c>
    </row>
    <row r="8011" spans="1:3">
      <c r="A8011" s="250">
        <v>20415</v>
      </c>
      <c r="B8011" s="74" t="s">
        <v>1215</v>
      </c>
      <c r="C8011" s="74" t="s">
        <v>5511</v>
      </c>
    </row>
    <row r="8012" spans="1:3">
      <c r="A8012" s="250">
        <v>20416</v>
      </c>
      <c r="B8012" s="74" t="s">
        <v>1215</v>
      </c>
      <c r="C8012" s="74" t="s">
        <v>5511</v>
      </c>
    </row>
    <row r="8013" spans="1:3">
      <c r="A8013" s="250">
        <v>20417</v>
      </c>
      <c r="B8013" s="74" t="s">
        <v>1215</v>
      </c>
      <c r="C8013" s="74" t="s">
        <v>5511</v>
      </c>
    </row>
    <row r="8014" spans="1:3">
      <c r="A8014" s="250">
        <v>20418</v>
      </c>
      <c r="B8014" s="74" t="s">
        <v>1215</v>
      </c>
      <c r="C8014" s="74" t="s">
        <v>5511</v>
      </c>
    </row>
    <row r="8015" spans="1:3">
      <c r="A8015" s="250">
        <v>20419</v>
      </c>
      <c r="B8015" s="74" t="s">
        <v>1215</v>
      </c>
      <c r="C8015" s="74" t="s">
        <v>5511</v>
      </c>
    </row>
    <row r="8016" spans="1:3">
      <c r="A8016" s="250">
        <v>20420</v>
      </c>
      <c r="B8016" s="74" t="s">
        <v>1215</v>
      </c>
      <c r="C8016" s="74" t="s">
        <v>5511</v>
      </c>
    </row>
    <row r="8017" spans="1:3">
      <c r="A8017" s="250">
        <v>20421</v>
      </c>
      <c r="B8017" s="74" t="s">
        <v>1215</v>
      </c>
      <c r="C8017" s="74" t="s">
        <v>5511</v>
      </c>
    </row>
    <row r="8018" spans="1:3">
      <c r="A8018" s="250">
        <v>20422</v>
      </c>
      <c r="B8018" s="74" t="s">
        <v>1215</v>
      </c>
      <c r="C8018" s="74" t="s">
        <v>5511</v>
      </c>
    </row>
    <row r="8019" spans="1:3">
      <c r="A8019" s="250">
        <v>20423</v>
      </c>
      <c r="B8019" s="74" t="s">
        <v>1215</v>
      </c>
      <c r="C8019" s="74" t="s">
        <v>5511</v>
      </c>
    </row>
    <row r="8020" spans="1:3">
      <c r="A8020" s="250">
        <v>20424</v>
      </c>
      <c r="B8020" s="74" t="s">
        <v>1215</v>
      </c>
      <c r="C8020" s="74" t="s">
        <v>5511</v>
      </c>
    </row>
    <row r="8021" spans="1:3">
      <c r="A8021" s="250">
        <v>20425</v>
      </c>
      <c r="B8021" s="74" t="s">
        <v>1215</v>
      </c>
      <c r="C8021" s="74" t="s">
        <v>5511</v>
      </c>
    </row>
    <row r="8022" spans="1:3">
      <c r="A8022" s="250">
        <v>20426</v>
      </c>
      <c r="B8022" s="74" t="s">
        <v>1215</v>
      </c>
      <c r="C8022" s="74" t="s">
        <v>5511</v>
      </c>
    </row>
    <row r="8023" spans="1:3">
      <c r="A8023" s="250">
        <v>20427</v>
      </c>
      <c r="B8023" s="74" t="s">
        <v>1215</v>
      </c>
      <c r="C8023" s="74" t="s">
        <v>5511</v>
      </c>
    </row>
    <row r="8024" spans="1:3">
      <c r="A8024" s="250">
        <v>20428</v>
      </c>
      <c r="B8024" s="74" t="s">
        <v>1215</v>
      </c>
      <c r="C8024" s="74" t="s">
        <v>5511</v>
      </c>
    </row>
    <row r="8025" spans="1:3">
      <c r="A8025" s="250">
        <v>20429</v>
      </c>
      <c r="B8025" s="74" t="s">
        <v>1215</v>
      </c>
      <c r="C8025" s="74" t="s">
        <v>5511</v>
      </c>
    </row>
    <row r="8026" spans="1:3">
      <c r="A8026" s="250">
        <v>20431</v>
      </c>
      <c r="B8026" s="74" t="s">
        <v>1215</v>
      </c>
      <c r="C8026" s="74" t="s">
        <v>5511</v>
      </c>
    </row>
    <row r="8027" spans="1:3">
      <c r="A8027" s="250">
        <v>20433</v>
      </c>
      <c r="B8027" s="74" t="s">
        <v>1215</v>
      </c>
      <c r="C8027" s="74" t="s">
        <v>5511</v>
      </c>
    </row>
    <row r="8028" spans="1:3">
      <c r="A8028" s="250">
        <v>20434</v>
      </c>
      <c r="B8028" s="74" t="s">
        <v>1215</v>
      </c>
      <c r="C8028" s="74" t="s">
        <v>5511</v>
      </c>
    </row>
    <row r="8029" spans="1:3">
      <c r="A8029" s="250">
        <v>20435</v>
      </c>
      <c r="B8029" s="74" t="s">
        <v>1215</v>
      </c>
      <c r="C8029" s="74" t="s">
        <v>5511</v>
      </c>
    </row>
    <row r="8030" spans="1:3">
      <c r="A8030" s="250">
        <v>20436</v>
      </c>
      <c r="B8030" s="74" t="s">
        <v>1215</v>
      </c>
      <c r="C8030" s="74" t="s">
        <v>5511</v>
      </c>
    </row>
    <row r="8031" spans="1:3">
      <c r="A8031" s="250">
        <v>20437</v>
      </c>
      <c r="B8031" s="74" t="s">
        <v>1215</v>
      </c>
      <c r="C8031" s="74" t="s">
        <v>5511</v>
      </c>
    </row>
    <row r="8032" spans="1:3">
      <c r="A8032" s="250">
        <v>20439</v>
      </c>
      <c r="B8032" s="74" t="s">
        <v>1215</v>
      </c>
      <c r="C8032" s="74" t="s">
        <v>5511</v>
      </c>
    </row>
    <row r="8033" spans="1:3">
      <c r="A8033" s="250">
        <v>20440</v>
      </c>
      <c r="B8033" s="74" t="s">
        <v>1215</v>
      </c>
      <c r="C8033" s="74" t="s">
        <v>5511</v>
      </c>
    </row>
    <row r="8034" spans="1:3">
      <c r="A8034" s="250">
        <v>20441</v>
      </c>
      <c r="B8034" s="74" t="s">
        <v>1215</v>
      </c>
      <c r="C8034" s="74" t="s">
        <v>5511</v>
      </c>
    </row>
    <row r="8035" spans="1:3">
      <c r="A8035" s="250">
        <v>20442</v>
      </c>
      <c r="B8035" s="74" t="s">
        <v>1215</v>
      </c>
      <c r="C8035" s="74" t="s">
        <v>5511</v>
      </c>
    </row>
    <row r="8036" spans="1:3">
      <c r="A8036" s="250">
        <v>20444</v>
      </c>
      <c r="B8036" s="74" t="s">
        <v>1215</v>
      </c>
      <c r="C8036" s="74" t="s">
        <v>5511</v>
      </c>
    </row>
    <row r="8037" spans="1:3">
      <c r="A8037" s="250">
        <v>20447</v>
      </c>
      <c r="B8037" s="74" t="s">
        <v>1215</v>
      </c>
      <c r="C8037" s="74" t="s">
        <v>5511</v>
      </c>
    </row>
    <row r="8038" spans="1:3">
      <c r="A8038" s="250">
        <v>20451</v>
      </c>
      <c r="B8038" s="74" t="s">
        <v>1215</v>
      </c>
      <c r="C8038" s="74" t="s">
        <v>5511</v>
      </c>
    </row>
    <row r="8039" spans="1:3">
      <c r="A8039" s="250">
        <v>20453</v>
      </c>
      <c r="B8039" s="74" t="s">
        <v>1215</v>
      </c>
      <c r="C8039" s="74" t="s">
        <v>5511</v>
      </c>
    </row>
    <row r="8040" spans="1:3">
      <c r="A8040" s="250">
        <v>20456</v>
      </c>
      <c r="B8040" s="74" t="s">
        <v>1215</v>
      </c>
      <c r="C8040" s="74" t="s">
        <v>5511</v>
      </c>
    </row>
    <row r="8041" spans="1:3">
      <c r="A8041" s="250">
        <v>20460</v>
      </c>
      <c r="B8041" s="74" t="s">
        <v>1215</v>
      </c>
      <c r="C8041" s="74" t="s">
        <v>5511</v>
      </c>
    </row>
    <row r="8042" spans="1:3">
      <c r="A8042" s="250">
        <v>20463</v>
      </c>
      <c r="B8042" s="74" t="s">
        <v>1215</v>
      </c>
      <c r="C8042" s="74" t="s">
        <v>5511</v>
      </c>
    </row>
    <row r="8043" spans="1:3">
      <c r="A8043" s="250">
        <v>20468</v>
      </c>
      <c r="B8043" s="74" t="s">
        <v>1215</v>
      </c>
      <c r="C8043" s="74" t="s">
        <v>5511</v>
      </c>
    </row>
    <row r="8044" spans="1:3">
      <c r="A8044" s="250">
        <v>20469</v>
      </c>
      <c r="B8044" s="74" t="s">
        <v>1215</v>
      </c>
      <c r="C8044" s="74" t="s">
        <v>5511</v>
      </c>
    </row>
    <row r="8045" spans="1:3">
      <c r="A8045" s="250">
        <v>20470</v>
      </c>
      <c r="B8045" s="74" t="s">
        <v>1215</v>
      </c>
      <c r="C8045" s="74" t="s">
        <v>5511</v>
      </c>
    </row>
    <row r="8046" spans="1:3">
      <c r="A8046" s="250">
        <v>20472</v>
      </c>
      <c r="B8046" s="74" t="s">
        <v>1215</v>
      </c>
      <c r="C8046" s="74" t="s">
        <v>5511</v>
      </c>
    </row>
    <row r="8047" spans="1:3">
      <c r="A8047" s="250">
        <v>20500</v>
      </c>
      <c r="B8047" s="74" t="s">
        <v>1215</v>
      </c>
      <c r="C8047" s="74" t="s">
        <v>5511</v>
      </c>
    </row>
    <row r="8048" spans="1:3">
      <c r="A8048" s="250">
        <v>20501</v>
      </c>
      <c r="B8048" s="74" t="s">
        <v>1215</v>
      </c>
      <c r="C8048" s="74" t="s">
        <v>5511</v>
      </c>
    </row>
    <row r="8049" spans="1:3">
      <c r="A8049" s="250">
        <v>20502</v>
      </c>
      <c r="B8049" s="74" t="s">
        <v>1215</v>
      </c>
      <c r="C8049" s="74" t="s">
        <v>5511</v>
      </c>
    </row>
    <row r="8050" spans="1:3">
      <c r="A8050" s="250">
        <v>20503</v>
      </c>
      <c r="B8050" s="74" t="s">
        <v>1215</v>
      </c>
      <c r="C8050" s="74" t="s">
        <v>5511</v>
      </c>
    </row>
    <row r="8051" spans="1:3">
      <c r="A8051" s="250">
        <v>20504</v>
      </c>
      <c r="B8051" s="74" t="s">
        <v>1215</v>
      </c>
      <c r="C8051" s="74" t="s">
        <v>5511</v>
      </c>
    </row>
    <row r="8052" spans="1:3">
      <c r="A8052" s="250">
        <v>20505</v>
      </c>
      <c r="B8052" s="74" t="s">
        <v>1215</v>
      </c>
      <c r="C8052" s="74" t="s">
        <v>5511</v>
      </c>
    </row>
    <row r="8053" spans="1:3">
      <c r="A8053" s="250">
        <v>20506</v>
      </c>
      <c r="B8053" s="74" t="s">
        <v>1215</v>
      </c>
      <c r="C8053" s="74" t="s">
        <v>5511</v>
      </c>
    </row>
    <row r="8054" spans="1:3">
      <c r="A8054" s="250">
        <v>20507</v>
      </c>
      <c r="B8054" s="74" t="s">
        <v>1215</v>
      </c>
      <c r="C8054" s="74" t="s">
        <v>5511</v>
      </c>
    </row>
    <row r="8055" spans="1:3">
      <c r="A8055" s="250">
        <v>20508</v>
      </c>
      <c r="B8055" s="74" t="s">
        <v>1215</v>
      </c>
      <c r="C8055" s="74" t="s">
        <v>5511</v>
      </c>
    </row>
    <row r="8056" spans="1:3">
      <c r="A8056" s="250">
        <v>20509</v>
      </c>
      <c r="B8056" s="74" t="s">
        <v>1215</v>
      </c>
      <c r="C8056" s="74" t="s">
        <v>5511</v>
      </c>
    </row>
    <row r="8057" spans="1:3">
      <c r="A8057" s="250">
        <v>20510</v>
      </c>
      <c r="B8057" s="74" t="s">
        <v>1215</v>
      </c>
      <c r="C8057" s="74" t="s">
        <v>5511</v>
      </c>
    </row>
    <row r="8058" spans="1:3">
      <c r="A8058" s="250">
        <v>20511</v>
      </c>
      <c r="B8058" s="74" t="s">
        <v>1215</v>
      </c>
      <c r="C8058" s="74" t="s">
        <v>5511</v>
      </c>
    </row>
    <row r="8059" spans="1:3">
      <c r="A8059" s="250">
        <v>20515</v>
      </c>
      <c r="B8059" s="74" t="s">
        <v>1215</v>
      </c>
      <c r="C8059" s="74" t="s">
        <v>5511</v>
      </c>
    </row>
    <row r="8060" spans="1:3">
      <c r="A8060" s="250">
        <v>20520</v>
      </c>
      <c r="B8060" s="74" t="s">
        <v>1215</v>
      </c>
      <c r="C8060" s="74" t="s">
        <v>5511</v>
      </c>
    </row>
    <row r="8061" spans="1:3">
      <c r="A8061" s="250">
        <v>20521</v>
      </c>
      <c r="B8061" s="74" t="s">
        <v>1215</v>
      </c>
      <c r="C8061" s="74" t="s">
        <v>5511</v>
      </c>
    </row>
    <row r="8062" spans="1:3">
      <c r="A8062" s="250">
        <v>20522</v>
      </c>
      <c r="B8062" s="74" t="s">
        <v>1215</v>
      </c>
      <c r="C8062" s="74" t="s">
        <v>5511</v>
      </c>
    </row>
    <row r="8063" spans="1:3">
      <c r="A8063" s="250">
        <v>20523</v>
      </c>
      <c r="B8063" s="74" t="s">
        <v>1215</v>
      </c>
      <c r="C8063" s="74" t="s">
        <v>5511</v>
      </c>
    </row>
    <row r="8064" spans="1:3">
      <c r="A8064" s="250">
        <v>20524</v>
      </c>
      <c r="B8064" s="74" t="s">
        <v>1215</v>
      </c>
      <c r="C8064" s="74" t="s">
        <v>5511</v>
      </c>
    </row>
    <row r="8065" spans="1:3">
      <c r="A8065" s="250">
        <v>20525</v>
      </c>
      <c r="B8065" s="74" t="s">
        <v>1215</v>
      </c>
      <c r="C8065" s="74" t="s">
        <v>5511</v>
      </c>
    </row>
    <row r="8066" spans="1:3">
      <c r="A8066" s="250">
        <v>20526</v>
      </c>
      <c r="B8066" s="74" t="s">
        <v>1215</v>
      </c>
      <c r="C8066" s="74" t="s">
        <v>5511</v>
      </c>
    </row>
    <row r="8067" spans="1:3">
      <c r="A8067" s="250">
        <v>20527</v>
      </c>
      <c r="B8067" s="74" t="s">
        <v>1215</v>
      </c>
      <c r="C8067" s="74" t="s">
        <v>5511</v>
      </c>
    </row>
    <row r="8068" spans="1:3">
      <c r="A8068" s="250">
        <v>20528</v>
      </c>
      <c r="B8068" s="74" t="s">
        <v>1215</v>
      </c>
      <c r="C8068" s="74" t="s">
        <v>5511</v>
      </c>
    </row>
    <row r="8069" spans="1:3">
      <c r="A8069" s="250">
        <v>20529</v>
      </c>
      <c r="B8069" s="74" t="s">
        <v>1215</v>
      </c>
      <c r="C8069" s="74" t="s">
        <v>5511</v>
      </c>
    </row>
    <row r="8070" spans="1:3">
      <c r="A8070" s="250">
        <v>20530</v>
      </c>
      <c r="B8070" s="74" t="s">
        <v>1215</v>
      </c>
      <c r="C8070" s="74" t="s">
        <v>5511</v>
      </c>
    </row>
    <row r="8071" spans="1:3">
      <c r="A8071" s="250">
        <v>20531</v>
      </c>
      <c r="B8071" s="74" t="s">
        <v>1215</v>
      </c>
      <c r="C8071" s="74" t="s">
        <v>5511</v>
      </c>
    </row>
    <row r="8072" spans="1:3">
      <c r="A8072" s="250">
        <v>20532</v>
      </c>
      <c r="B8072" s="74" t="s">
        <v>1215</v>
      </c>
      <c r="C8072" s="74" t="s">
        <v>5511</v>
      </c>
    </row>
    <row r="8073" spans="1:3">
      <c r="A8073" s="250">
        <v>20533</v>
      </c>
      <c r="B8073" s="74" t="s">
        <v>1215</v>
      </c>
      <c r="C8073" s="74" t="s">
        <v>5511</v>
      </c>
    </row>
    <row r="8074" spans="1:3">
      <c r="A8074" s="250">
        <v>20534</v>
      </c>
      <c r="B8074" s="74" t="s">
        <v>1215</v>
      </c>
      <c r="C8074" s="74" t="s">
        <v>5511</v>
      </c>
    </row>
    <row r="8075" spans="1:3">
      <c r="A8075" s="250">
        <v>20535</v>
      </c>
      <c r="B8075" s="74" t="s">
        <v>1215</v>
      </c>
      <c r="C8075" s="74" t="s">
        <v>5511</v>
      </c>
    </row>
    <row r="8076" spans="1:3">
      <c r="A8076" s="250">
        <v>20536</v>
      </c>
      <c r="B8076" s="74" t="s">
        <v>1215</v>
      </c>
      <c r="C8076" s="74" t="s">
        <v>5511</v>
      </c>
    </row>
    <row r="8077" spans="1:3">
      <c r="A8077" s="250">
        <v>20537</v>
      </c>
      <c r="B8077" s="74" t="s">
        <v>1215</v>
      </c>
      <c r="C8077" s="74" t="s">
        <v>5511</v>
      </c>
    </row>
    <row r="8078" spans="1:3">
      <c r="A8078" s="250">
        <v>20538</v>
      </c>
      <c r="B8078" s="74" t="s">
        <v>1215</v>
      </c>
      <c r="C8078" s="74" t="s">
        <v>5511</v>
      </c>
    </row>
    <row r="8079" spans="1:3">
      <c r="A8079" s="250">
        <v>20539</v>
      </c>
      <c r="B8079" s="74" t="s">
        <v>1215</v>
      </c>
      <c r="C8079" s="74" t="s">
        <v>5511</v>
      </c>
    </row>
    <row r="8080" spans="1:3">
      <c r="A8080" s="250">
        <v>20540</v>
      </c>
      <c r="B8080" s="74" t="s">
        <v>1215</v>
      </c>
      <c r="C8080" s="74" t="s">
        <v>5511</v>
      </c>
    </row>
    <row r="8081" spans="1:3">
      <c r="A8081" s="250">
        <v>20541</v>
      </c>
      <c r="B8081" s="74" t="s">
        <v>1215</v>
      </c>
      <c r="C8081" s="74" t="s">
        <v>5511</v>
      </c>
    </row>
    <row r="8082" spans="1:3">
      <c r="A8082" s="250">
        <v>20542</v>
      </c>
      <c r="B8082" s="74" t="s">
        <v>1215</v>
      </c>
      <c r="C8082" s="74" t="s">
        <v>5511</v>
      </c>
    </row>
    <row r="8083" spans="1:3">
      <c r="A8083" s="250">
        <v>20543</v>
      </c>
      <c r="B8083" s="74" t="s">
        <v>1215</v>
      </c>
      <c r="C8083" s="74" t="s">
        <v>5511</v>
      </c>
    </row>
    <row r="8084" spans="1:3">
      <c r="A8084" s="250">
        <v>20544</v>
      </c>
      <c r="B8084" s="74" t="s">
        <v>1215</v>
      </c>
      <c r="C8084" s="74" t="s">
        <v>5511</v>
      </c>
    </row>
    <row r="8085" spans="1:3">
      <c r="A8085" s="250">
        <v>20546</v>
      </c>
      <c r="B8085" s="74" t="s">
        <v>1215</v>
      </c>
      <c r="C8085" s="74" t="s">
        <v>5511</v>
      </c>
    </row>
    <row r="8086" spans="1:3">
      <c r="A8086" s="250">
        <v>20547</v>
      </c>
      <c r="B8086" s="74" t="s">
        <v>1215</v>
      </c>
      <c r="C8086" s="74" t="s">
        <v>5511</v>
      </c>
    </row>
    <row r="8087" spans="1:3">
      <c r="A8087" s="250">
        <v>20548</v>
      </c>
      <c r="B8087" s="74" t="s">
        <v>1215</v>
      </c>
      <c r="C8087" s="74" t="s">
        <v>5511</v>
      </c>
    </row>
    <row r="8088" spans="1:3">
      <c r="A8088" s="250">
        <v>20549</v>
      </c>
      <c r="B8088" s="74" t="s">
        <v>1215</v>
      </c>
      <c r="C8088" s="74" t="s">
        <v>5511</v>
      </c>
    </row>
    <row r="8089" spans="1:3">
      <c r="A8089" s="250">
        <v>20551</v>
      </c>
      <c r="B8089" s="74" t="s">
        <v>1215</v>
      </c>
      <c r="C8089" s="74" t="s">
        <v>5511</v>
      </c>
    </row>
    <row r="8090" spans="1:3">
      <c r="A8090" s="250">
        <v>20552</v>
      </c>
      <c r="B8090" s="74" t="s">
        <v>1215</v>
      </c>
      <c r="C8090" s="74" t="s">
        <v>5511</v>
      </c>
    </row>
    <row r="8091" spans="1:3">
      <c r="A8091" s="250">
        <v>20553</v>
      </c>
      <c r="B8091" s="74" t="s">
        <v>1215</v>
      </c>
      <c r="C8091" s="74" t="s">
        <v>5511</v>
      </c>
    </row>
    <row r="8092" spans="1:3">
      <c r="A8092" s="250">
        <v>20554</v>
      </c>
      <c r="B8092" s="74" t="s">
        <v>1215</v>
      </c>
      <c r="C8092" s="74" t="s">
        <v>5511</v>
      </c>
    </row>
    <row r="8093" spans="1:3">
      <c r="A8093" s="250">
        <v>20555</v>
      </c>
      <c r="B8093" s="74" t="s">
        <v>1215</v>
      </c>
      <c r="C8093" s="74" t="s">
        <v>5511</v>
      </c>
    </row>
    <row r="8094" spans="1:3">
      <c r="A8094" s="250">
        <v>20557</v>
      </c>
      <c r="B8094" s="74" t="s">
        <v>1215</v>
      </c>
      <c r="C8094" s="74" t="s">
        <v>5511</v>
      </c>
    </row>
    <row r="8095" spans="1:3">
      <c r="A8095" s="250">
        <v>20558</v>
      </c>
      <c r="B8095" s="74" t="s">
        <v>1215</v>
      </c>
      <c r="C8095" s="74" t="s">
        <v>5511</v>
      </c>
    </row>
    <row r="8096" spans="1:3">
      <c r="A8096" s="250">
        <v>20559</v>
      </c>
      <c r="B8096" s="74" t="s">
        <v>1215</v>
      </c>
      <c r="C8096" s="74" t="s">
        <v>5511</v>
      </c>
    </row>
    <row r="8097" spans="1:3">
      <c r="A8097" s="250">
        <v>20560</v>
      </c>
      <c r="B8097" s="74" t="s">
        <v>1215</v>
      </c>
      <c r="C8097" s="74" t="s">
        <v>5511</v>
      </c>
    </row>
    <row r="8098" spans="1:3">
      <c r="A8098" s="250">
        <v>20565</v>
      </c>
      <c r="B8098" s="74" t="s">
        <v>1215</v>
      </c>
      <c r="C8098" s="74" t="s">
        <v>5511</v>
      </c>
    </row>
    <row r="8099" spans="1:3">
      <c r="A8099" s="250">
        <v>20566</v>
      </c>
      <c r="B8099" s="74" t="s">
        <v>1215</v>
      </c>
      <c r="C8099" s="74" t="s">
        <v>5511</v>
      </c>
    </row>
    <row r="8100" spans="1:3">
      <c r="A8100" s="250">
        <v>20570</v>
      </c>
      <c r="B8100" s="74" t="s">
        <v>1215</v>
      </c>
      <c r="C8100" s="74" t="s">
        <v>5511</v>
      </c>
    </row>
    <row r="8101" spans="1:3">
      <c r="A8101" s="250">
        <v>20571</v>
      </c>
      <c r="B8101" s="74" t="s">
        <v>1215</v>
      </c>
      <c r="C8101" s="74" t="s">
        <v>5511</v>
      </c>
    </row>
    <row r="8102" spans="1:3">
      <c r="A8102" s="250">
        <v>20572</v>
      </c>
      <c r="B8102" s="74" t="s">
        <v>1215</v>
      </c>
      <c r="C8102" s="74" t="s">
        <v>5511</v>
      </c>
    </row>
    <row r="8103" spans="1:3">
      <c r="A8103" s="250">
        <v>20573</v>
      </c>
      <c r="B8103" s="74" t="s">
        <v>1215</v>
      </c>
      <c r="C8103" s="74" t="s">
        <v>5511</v>
      </c>
    </row>
    <row r="8104" spans="1:3">
      <c r="A8104" s="250">
        <v>20575</v>
      </c>
      <c r="B8104" s="74" t="s">
        <v>1215</v>
      </c>
      <c r="C8104" s="74" t="s">
        <v>5511</v>
      </c>
    </row>
    <row r="8105" spans="1:3">
      <c r="A8105" s="250">
        <v>20576</v>
      </c>
      <c r="B8105" s="74" t="s">
        <v>1215</v>
      </c>
      <c r="C8105" s="74" t="s">
        <v>5511</v>
      </c>
    </row>
    <row r="8106" spans="1:3">
      <c r="A8106" s="250">
        <v>20577</v>
      </c>
      <c r="B8106" s="74" t="s">
        <v>1215</v>
      </c>
      <c r="C8106" s="74" t="s">
        <v>5511</v>
      </c>
    </row>
    <row r="8107" spans="1:3">
      <c r="A8107" s="250">
        <v>20578</v>
      </c>
      <c r="B8107" s="74" t="s">
        <v>1215</v>
      </c>
      <c r="C8107" s="74" t="s">
        <v>5511</v>
      </c>
    </row>
    <row r="8108" spans="1:3">
      <c r="A8108" s="250">
        <v>20579</v>
      </c>
      <c r="B8108" s="74" t="s">
        <v>1215</v>
      </c>
      <c r="C8108" s="74" t="s">
        <v>5511</v>
      </c>
    </row>
    <row r="8109" spans="1:3">
      <c r="A8109" s="250">
        <v>20580</v>
      </c>
      <c r="B8109" s="74" t="s">
        <v>1215</v>
      </c>
      <c r="C8109" s="74" t="s">
        <v>5511</v>
      </c>
    </row>
    <row r="8110" spans="1:3">
      <c r="A8110" s="250">
        <v>20581</v>
      </c>
      <c r="B8110" s="74" t="s">
        <v>1215</v>
      </c>
      <c r="C8110" s="74" t="s">
        <v>5511</v>
      </c>
    </row>
    <row r="8111" spans="1:3">
      <c r="A8111" s="250">
        <v>20585</v>
      </c>
      <c r="B8111" s="74" t="s">
        <v>1215</v>
      </c>
      <c r="C8111" s="74" t="s">
        <v>5511</v>
      </c>
    </row>
    <row r="8112" spans="1:3">
      <c r="A8112" s="250">
        <v>20586</v>
      </c>
      <c r="B8112" s="74" t="s">
        <v>1215</v>
      </c>
      <c r="C8112" s="74" t="s">
        <v>5511</v>
      </c>
    </row>
    <row r="8113" spans="1:3">
      <c r="A8113" s="250">
        <v>20588</v>
      </c>
      <c r="B8113" s="74" t="s">
        <v>5542</v>
      </c>
      <c r="C8113" s="74" t="s">
        <v>431</v>
      </c>
    </row>
    <row r="8114" spans="1:3">
      <c r="A8114" s="250">
        <v>20590</v>
      </c>
      <c r="B8114" s="74" t="s">
        <v>1215</v>
      </c>
      <c r="C8114" s="74" t="s">
        <v>5511</v>
      </c>
    </row>
    <row r="8115" spans="1:3">
      <c r="A8115" s="250">
        <v>20591</v>
      </c>
      <c r="B8115" s="74" t="s">
        <v>1215</v>
      </c>
      <c r="C8115" s="74" t="s">
        <v>5511</v>
      </c>
    </row>
    <row r="8116" spans="1:3">
      <c r="A8116" s="250">
        <v>20593</v>
      </c>
      <c r="B8116" s="74" t="s">
        <v>1215</v>
      </c>
      <c r="C8116" s="74" t="s">
        <v>5511</v>
      </c>
    </row>
    <row r="8117" spans="1:3">
      <c r="A8117" s="250">
        <v>20594</v>
      </c>
      <c r="B8117" s="74" t="s">
        <v>1215</v>
      </c>
      <c r="C8117" s="74" t="s">
        <v>5511</v>
      </c>
    </row>
    <row r="8118" spans="1:3">
      <c r="A8118" s="250">
        <v>20597</v>
      </c>
      <c r="B8118" s="74" t="s">
        <v>1215</v>
      </c>
      <c r="C8118" s="74" t="s">
        <v>5511</v>
      </c>
    </row>
    <row r="8119" spans="1:3">
      <c r="A8119" s="250">
        <v>20598</v>
      </c>
      <c r="B8119" s="74" t="s">
        <v>5542</v>
      </c>
      <c r="C8119" s="74" t="s">
        <v>456</v>
      </c>
    </row>
    <row r="8120" spans="1:3">
      <c r="A8120" s="250">
        <v>20599</v>
      </c>
      <c r="B8120" s="74" t="s">
        <v>1215</v>
      </c>
      <c r="C8120" s="74" t="s">
        <v>5511</v>
      </c>
    </row>
    <row r="8121" spans="1:3">
      <c r="A8121" s="250">
        <v>20601</v>
      </c>
      <c r="B8121" s="74" t="s">
        <v>5543</v>
      </c>
      <c r="C8121" s="74" t="s">
        <v>431</v>
      </c>
    </row>
    <row r="8122" spans="1:3">
      <c r="A8122" s="250">
        <v>20602</v>
      </c>
      <c r="B8122" s="74" t="s">
        <v>5543</v>
      </c>
      <c r="C8122" s="74" t="s">
        <v>431</v>
      </c>
    </row>
    <row r="8123" spans="1:3">
      <c r="A8123" s="250">
        <v>20603</v>
      </c>
      <c r="B8123" s="74" t="s">
        <v>5543</v>
      </c>
      <c r="C8123" s="74" t="s">
        <v>431</v>
      </c>
    </row>
    <row r="8124" spans="1:3">
      <c r="A8124" s="250">
        <v>20604</v>
      </c>
      <c r="B8124" s="74" t="s">
        <v>5543</v>
      </c>
      <c r="C8124" s="74" t="s">
        <v>431</v>
      </c>
    </row>
    <row r="8125" spans="1:3">
      <c r="A8125" s="250">
        <v>20606</v>
      </c>
      <c r="B8125" s="74" t="s">
        <v>5544</v>
      </c>
      <c r="C8125" s="74" t="s">
        <v>431</v>
      </c>
    </row>
    <row r="8126" spans="1:3">
      <c r="A8126" s="250">
        <v>20607</v>
      </c>
      <c r="B8126" s="74" t="s">
        <v>5545</v>
      </c>
      <c r="C8126" s="74" t="s">
        <v>431</v>
      </c>
    </row>
    <row r="8127" spans="1:3">
      <c r="A8127" s="250">
        <v>20608</v>
      </c>
      <c r="B8127" s="74" t="s">
        <v>5546</v>
      </c>
      <c r="C8127" s="74" t="s">
        <v>431</v>
      </c>
    </row>
    <row r="8128" spans="1:3">
      <c r="A8128" s="250">
        <v>20609</v>
      </c>
      <c r="B8128" s="74" t="s">
        <v>5547</v>
      </c>
      <c r="C8128" s="74" t="s">
        <v>431</v>
      </c>
    </row>
    <row r="8129" spans="1:3">
      <c r="A8129" s="250">
        <v>20610</v>
      </c>
      <c r="B8129" s="74" t="s">
        <v>5548</v>
      </c>
      <c r="C8129" s="74" t="s">
        <v>431</v>
      </c>
    </row>
    <row r="8130" spans="1:3">
      <c r="A8130" s="250">
        <v>20611</v>
      </c>
      <c r="B8130" s="74" t="s">
        <v>5549</v>
      </c>
      <c r="C8130" s="74" t="s">
        <v>431</v>
      </c>
    </row>
    <row r="8131" spans="1:3">
      <c r="A8131" s="250">
        <v>20612</v>
      </c>
      <c r="B8131" s="74" t="s">
        <v>5550</v>
      </c>
      <c r="C8131" s="74" t="s">
        <v>431</v>
      </c>
    </row>
    <row r="8132" spans="1:3">
      <c r="A8132" s="250">
        <v>20613</v>
      </c>
      <c r="B8132" s="74" t="s">
        <v>5551</v>
      </c>
      <c r="C8132" s="74" t="s">
        <v>431</v>
      </c>
    </row>
    <row r="8133" spans="1:3">
      <c r="A8133" s="250">
        <v>20615</v>
      </c>
      <c r="B8133" s="74" t="s">
        <v>5552</v>
      </c>
      <c r="C8133" s="74" t="s">
        <v>431</v>
      </c>
    </row>
    <row r="8134" spans="1:3">
      <c r="A8134" s="250">
        <v>20616</v>
      </c>
      <c r="B8134" s="74" t="s">
        <v>5553</v>
      </c>
      <c r="C8134" s="74" t="s">
        <v>431</v>
      </c>
    </row>
    <row r="8135" spans="1:3">
      <c r="A8135" s="250">
        <v>20617</v>
      </c>
      <c r="B8135" s="74" t="s">
        <v>5554</v>
      </c>
      <c r="C8135" s="74" t="s">
        <v>431</v>
      </c>
    </row>
    <row r="8136" spans="1:3">
      <c r="A8136" s="250">
        <v>20618</v>
      </c>
      <c r="B8136" s="74" t="s">
        <v>5555</v>
      </c>
      <c r="C8136" s="74" t="s">
        <v>431</v>
      </c>
    </row>
    <row r="8137" spans="1:3">
      <c r="A8137" s="250">
        <v>20619</v>
      </c>
      <c r="B8137" s="74" t="s">
        <v>4093</v>
      </c>
      <c r="C8137" s="74" t="s">
        <v>431</v>
      </c>
    </row>
    <row r="8138" spans="1:3">
      <c r="A8138" s="250">
        <v>20620</v>
      </c>
      <c r="B8138" s="74" t="s">
        <v>5556</v>
      </c>
      <c r="C8138" s="74" t="s">
        <v>431</v>
      </c>
    </row>
    <row r="8139" spans="1:3">
      <c r="A8139" s="250">
        <v>20621</v>
      </c>
      <c r="B8139" s="74" t="s">
        <v>5557</v>
      </c>
      <c r="C8139" s="74" t="s">
        <v>431</v>
      </c>
    </row>
    <row r="8140" spans="1:3">
      <c r="A8140" s="250">
        <v>20622</v>
      </c>
      <c r="B8140" s="74" t="s">
        <v>5558</v>
      </c>
      <c r="C8140" s="74" t="s">
        <v>431</v>
      </c>
    </row>
    <row r="8141" spans="1:3">
      <c r="A8141" s="250">
        <v>20623</v>
      </c>
      <c r="B8141" s="74" t="s">
        <v>5317</v>
      </c>
      <c r="C8141" s="74" t="s">
        <v>431</v>
      </c>
    </row>
    <row r="8142" spans="1:3">
      <c r="A8142" s="250">
        <v>20624</v>
      </c>
      <c r="B8142" s="74" t="s">
        <v>5559</v>
      </c>
      <c r="C8142" s="74" t="s">
        <v>431</v>
      </c>
    </row>
    <row r="8143" spans="1:3">
      <c r="A8143" s="250">
        <v>20625</v>
      </c>
      <c r="B8143" s="74" t="s">
        <v>5560</v>
      </c>
      <c r="C8143" s="74" t="s">
        <v>431</v>
      </c>
    </row>
    <row r="8144" spans="1:3">
      <c r="A8144" s="250">
        <v>20626</v>
      </c>
      <c r="B8144" s="74" t="s">
        <v>5561</v>
      </c>
      <c r="C8144" s="74" t="s">
        <v>431</v>
      </c>
    </row>
    <row r="8145" spans="1:3">
      <c r="A8145" s="250">
        <v>20627</v>
      </c>
      <c r="B8145" s="74" t="s">
        <v>5562</v>
      </c>
      <c r="C8145" s="74" t="s">
        <v>431</v>
      </c>
    </row>
    <row r="8146" spans="1:3">
      <c r="A8146" s="250">
        <v>20628</v>
      </c>
      <c r="B8146" s="74" t="s">
        <v>5563</v>
      </c>
      <c r="C8146" s="74" t="s">
        <v>431</v>
      </c>
    </row>
    <row r="8147" spans="1:3">
      <c r="A8147" s="250">
        <v>20629</v>
      </c>
      <c r="B8147" s="74" t="s">
        <v>5564</v>
      </c>
      <c r="C8147" s="74" t="s">
        <v>431</v>
      </c>
    </row>
    <row r="8148" spans="1:3">
      <c r="A8148" s="250">
        <v>20630</v>
      </c>
      <c r="B8148" s="74" t="s">
        <v>5565</v>
      </c>
      <c r="C8148" s="74" t="s">
        <v>431</v>
      </c>
    </row>
    <row r="8149" spans="1:3">
      <c r="A8149" s="250">
        <v>20632</v>
      </c>
      <c r="B8149" s="74" t="s">
        <v>5566</v>
      </c>
      <c r="C8149" s="74" t="s">
        <v>431</v>
      </c>
    </row>
    <row r="8150" spans="1:3">
      <c r="A8150" s="250">
        <v>20634</v>
      </c>
      <c r="B8150" s="74" t="s">
        <v>5567</v>
      </c>
      <c r="C8150" s="74" t="s">
        <v>431</v>
      </c>
    </row>
    <row r="8151" spans="1:3">
      <c r="A8151" s="250">
        <v>20635</v>
      </c>
      <c r="B8151" s="74" t="s">
        <v>5568</v>
      </c>
      <c r="C8151" s="74" t="s">
        <v>431</v>
      </c>
    </row>
    <row r="8152" spans="1:3">
      <c r="A8152" s="250">
        <v>20636</v>
      </c>
      <c r="B8152" s="74" t="s">
        <v>5569</v>
      </c>
      <c r="C8152" s="74" t="s">
        <v>431</v>
      </c>
    </row>
    <row r="8153" spans="1:3">
      <c r="A8153" s="250">
        <v>20637</v>
      </c>
      <c r="B8153" s="74" t="s">
        <v>4908</v>
      </c>
      <c r="C8153" s="74" t="s">
        <v>431</v>
      </c>
    </row>
    <row r="8154" spans="1:3">
      <c r="A8154" s="250">
        <v>20639</v>
      </c>
      <c r="B8154" s="74" t="s">
        <v>5570</v>
      </c>
      <c r="C8154" s="74" t="s">
        <v>431</v>
      </c>
    </row>
    <row r="8155" spans="1:3">
      <c r="A8155" s="250">
        <v>20640</v>
      </c>
      <c r="B8155" s="74" t="s">
        <v>4117</v>
      </c>
      <c r="C8155" s="74" t="s">
        <v>431</v>
      </c>
    </row>
    <row r="8156" spans="1:3">
      <c r="A8156" s="250">
        <v>20643</v>
      </c>
      <c r="B8156" s="74" t="s">
        <v>5571</v>
      </c>
      <c r="C8156" s="74" t="s">
        <v>431</v>
      </c>
    </row>
    <row r="8157" spans="1:3">
      <c r="A8157" s="250">
        <v>20645</v>
      </c>
      <c r="B8157" s="74" t="s">
        <v>5572</v>
      </c>
      <c r="C8157" s="74" t="s">
        <v>431</v>
      </c>
    </row>
    <row r="8158" spans="1:3">
      <c r="A8158" s="250">
        <v>20646</v>
      </c>
      <c r="B8158" s="74" t="s">
        <v>556</v>
      </c>
      <c r="C8158" s="74" t="s">
        <v>431</v>
      </c>
    </row>
    <row r="8159" spans="1:3">
      <c r="A8159" s="250">
        <v>20650</v>
      </c>
      <c r="B8159" s="74" t="s">
        <v>5573</v>
      </c>
      <c r="C8159" s="74" t="s">
        <v>431</v>
      </c>
    </row>
    <row r="8160" spans="1:3">
      <c r="A8160" s="250">
        <v>20653</v>
      </c>
      <c r="B8160" s="74" t="s">
        <v>5574</v>
      </c>
      <c r="C8160" s="74" t="s">
        <v>431</v>
      </c>
    </row>
    <row r="8161" spans="1:3">
      <c r="A8161" s="250">
        <v>20656</v>
      </c>
      <c r="B8161" s="74" t="s">
        <v>5575</v>
      </c>
      <c r="C8161" s="74" t="s">
        <v>431</v>
      </c>
    </row>
    <row r="8162" spans="1:3">
      <c r="A8162" s="250">
        <v>20657</v>
      </c>
      <c r="B8162" s="74" t="s">
        <v>5576</v>
      </c>
      <c r="C8162" s="74" t="s">
        <v>431</v>
      </c>
    </row>
    <row r="8163" spans="1:3">
      <c r="A8163" s="250">
        <v>20658</v>
      </c>
      <c r="B8163" s="74" t="s">
        <v>5577</v>
      </c>
      <c r="C8163" s="74" t="s">
        <v>431</v>
      </c>
    </row>
    <row r="8164" spans="1:3">
      <c r="A8164" s="250">
        <v>20659</v>
      </c>
      <c r="B8164" s="74" t="s">
        <v>5279</v>
      </c>
      <c r="C8164" s="74" t="s">
        <v>431</v>
      </c>
    </row>
    <row r="8165" spans="1:3">
      <c r="A8165" s="250">
        <v>20660</v>
      </c>
      <c r="B8165" s="74" t="s">
        <v>5578</v>
      </c>
      <c r="C8165" s="74" t="s">
        <v>431</v>
      </c>
    </row>
    <row r="8166" spans="1:3">
      <c r="A8166" s="250">
        <v>20661</v>
      </c>
      <c r="B8166" s="74" t="s">
        <v>5579</v>
      </c>
      <c r="C8166" s="74" t="s">
        <v>431</v>
      </c>
    </row>
    <row r="8167" spans="1:3">
      <c r="A8167" s="250">
        <v>20662</v>
      </c>
      <c r="B8167" s="74" t="s">
        <v>5580</v>
      </c>
      <c r="C8167" s="74" t="s">
        <v>431</v>
      </c>
    </row>
    <row r="8168" spans="1:3">
      <c r="A8168" s="250">
        <v>20664</v>
      </c>
      <c r="B8168" s="74" t="s">
        <v>4779</v>
      </c>
      <c r="C8168" s="74" t="s">
        <v>431</v>
      </c>
    </row>
    <row r="8169" spans="1:3">
      <c r="A8169" s="250">
        <v>20667</v>
      </c>
      <c r="B8169" s="74" t="s">
        <v>5581</v>
      </c>
      <c r="C8169" s="74" t="s">
        <v>431</v>
      </c>
    </row>
    <row r="8170" spans="1:3">
      <c r="A8170" s="250">
        <v>20670</v>
      </c>
      <c r="B8170" s="74" t="s">
        <v>5582</v>
      </c>
      <c r="C8170" s="74" t="s">
        <v>431</v>
      </c>
    </row>
    <row r="8171" spans="1:3">
      <c r="A8171" s="250">
        <v>20674</v>
      </c>
      <c r="B8171" s="74" t="s">
        <v>5583</v>
      </c>
      <c r="C8171" s="74" t="s">
        <v>431</v>
      </c>
    </row>
    <row r="8172" spans="1:3">
      <c r="A8172" s="250">
        <v>20675</v>
      </c>
      <c r="B8172" s="74" t="s">
        <v>1998</v>
      </c>
      <c r="C8172" s="74" t="s">
        <v>431</v>
      </c>
    </row>
    <row r="8173" spans="1:3">
      <c r="A8173" s="250">
        <v>20676</v>
      </c>
      <c r="B8173" s="74" t="s">
        <v>2462</v>
      </c>
      <c r="C8173" s="74" t="s">
        <v>431</v>
      </c>
    </row>
    <row r="8174" spans="1:3">
      <c r="A8174" s="250">
        <v>20677</v>
      </c>
      <c r="B8174" s="74" t="s">
        <v>5584</v>
      </c>
      <c r="C8174" s="74" t="s">
        <v>431</v>
      </c>
    </row>
    <row r="8175" spans="1:3">
      <c r="A8175" s="250">
        <v>20678</v>
      </c>
      <c r="B8175" s="74" t="s">
        <v>5585</v>
      </c>
      <c r="C8175" s="74" t="s">
        <v>431</v>
      </c>
    </row>
    <row r="8176" spans="1:3">
      <c r="A8176" s="250">
        <v>20680</v>
      </c>
      <c r="B8176" s="74" t="s">
        <v>2894</v>
      </c>
      <c r="C8176" s="74" t="s">
        <v>431</v>
      </c>
    </row>
    <row r="8177" spans="1:3">
      <c r="A8177" s="250">
        <v>20682</v>
      </c>
      <c r="B8177" s="74" t="s">
        <v>5586</v>
      </c>
      <c r="C8177" s="74" t="s">
        <v>431</v>
      </c>
    </row>
    <row r="8178" spans="1:3">
      <c r="A8178" s="250">
        <v>20684</v>
      </c>
      <c r="B8178" s="74" t="s">
        <v>5587</v>
      </c>
      <c r="C8178" s="74" t="s">
        <v>431</v>
      </c>
    </row>
    <row r="8179" spans="1:3">
      <c r="A8179" s="250">
        <v>20685</v>
      </c>
      <c r="B8179" s="74" t="s">
        <v>5588</v>
      </c>
      <c r="C8179" s="74" t="s">
        <v>431</v>
      </c>
    </row>
    <row r="8180" spans="1:3">
      <c r="A8180" s="250">
        <v>20686</v>
      </c>
      <c r="B8180" s="74" t="s">
        <v>5589</v>
      </c>
      <c r="C8180" s="74" t="s">
        <v>431</v>
      </c>
    </row>
    <row r="8181" spans="1:3">
      <c r="A8181" s="250">
        <v>20687</v>
      </c>
      <c r="B8181" s="74" t="s">
        <v>2003</v>
      </c>
      <c r="C8181" s="74" t="s">
        <v>431</v>
      </c>
    </row>
    <row r="8182" spans="1:3">
      <c r="A8182" s="250">
        <v>20688</v>
      </c>
      <c r="B8182" s="74" t="s">
        <v>5590</v>
      </c>
      <c r="C8182" s="74" t="s">
        <v>431</v>
      </c>
    </row>
    <row r="8183" spans="1:3">
      <c r="A8183" s="250">
        <v>20689</v>
      </c>
      <c r="B8183" s="74" t="s">
        <v>695</v>
      </c>
      <c r="C8183" s="74" t="s">
        <v>431</v>
      </c>
    </row>
    <row r="8184" spans="1:3">
      <c r="A8184" s="250">
        <v>20690</v>
      </c>
      <c r="B8184" s="74" t="s">
        <v>5591</v>
      </c>
      <c r="C8184" s="74" t="s">
        <v>431</v>
      </c>
    </row>
    <row r="8185" spans="1:3">
      <c r="A8185" s="250">
        <v>20692</v>
      </c>
      <c r="B8185" s="74" t="s">
        <v>5592</v>
      </c>
      <c r="C8185" s="74" t="s">
        <v>431</v>
      </c>
    </row>
    <row r="8186" spans="1:3">
      <c r="A8186" s="250">
        <v>20693</v>
      </c>
      <c r="B8186" s="74" t="s">
        <v>5593</v>
      </c>
      <c r="C8186" s="74" t="s">
        <v>431</v>
      </c>
    </row>
    <row r="8187" spans="1:3">
      <c r="A8187" s="250">
        <v>20695</v>
      </c>
      <c r="B8187" s="74" t="s">
        <v>2665</v>
      </c>
      <c r="C8187" s="74" t="s">
        <v>431</v>
      </c>
    </row>
    <row r="8188" spans="1:3">
      <c r="A8188" s="250">
        <v>20697</v>
      </c>
      <c r="B8188" s="74" t="s">
        <v>5594</v>
      </c>
      <c r="C8188" s="74" t="s">
        <v>431</v>
      </c>
    </row>
    <row r="8189" spans="1:3">
      <c r="A8189" s="250">
        <v>20701</v>
      </c>
      <c r="B8189" s="74" t="s">
        <v>5595</v>
      </c>
      <c r="C8189" s="74" t="s">
        <v>431</v>
      </c>
    </row>
    <row r="8190" spans="1:3">
      <c r="A8190" s="250">
        <v>20703</v>
      </c>
      <c r="B8190" s="74" t="s">
        <v>5596</v>
      </c>
      <c r="C8190" s="74" t="s">
        <v>431</v>
      </c>
    </row>
    <row r="8191" spans="1:3">
      <c r="A8191" s="250">
        <v>20704</v>
      </c>
      <c r="B8191" s="74" t="s">
        <v>5597</v>
      </c>
      <c r="C8191" s="74" t="s">
        <v>431</v>
      </c>
    </row>
    <row r="8192" spans="1:3">
      <c r="A8192" s="250">
        <v>20705</v>
      </c>
      <c r="B8192" s="74" t="s">
        <v>5597</v>
      </c>
      <c r="C8192" s="74" t="s">
        <v>431</v>
      </c>
    </row>
    <row r="8193" spans="1:3">
      <c r="A8193" s="250">
        <v>20706</v>
      </c>
      <c r="B8193" s="74" t="s">
        <v>5596</v>
      </c>
      <c r="C8193" s="74" t="s">
        <v>431</v>
      </c>
    </row>
    <row r="8194" spans="1:3">
      <c r="A8194" s="250">
        <v>20707</v>
      </c>
      <c r="B8194" s="74" t="s">
        <v>2882</v>
      </c>
      <c r="C8194" s="74" t="s">
        <v>431</v>
      </c>
    </row>
    <row r="8195" spans="1:3">
      <c r="A8195" s="250">
        <v>20708</v>
      </c>
      <c r="B8195" s="74" t="s">
        <v>2882</v>
      </c>
      <c r="C8195" s="74" t="s">
        <v>431</v>
      </c>
    </row>
    <row r="8196" spans="1:3">
      <c r="A8196" s="250">
        <v>20709</v>
      </c>
      <c r="B8196" s="74" t="s">
        <v>2882</v>
      </c>
      <c r="C8196" s="74" t="s">
        <v>431</v>
      </c>
    </row>
    <row r="8197" spans="1:3">
      <c r="A8197" s="250">
        <v>20710</v>
      </c>
      <c r="B8197" s="74" t="s">
        <v>5598</v>
      </c>
      <c r="C8197" s="74" t="s">
        <v>431</v>
      </c>
    </row>
    <row r="8198" spans="1:3">
      <c r="A8198" s="250">
        <v>20711</v>
      </c>
      <c r="B8198" s="74" t="s">
        <v>5599</v>
      </c>
      <c r="C8198" s="74" t="s">
        <v>431</v>
      </c>
    </row>
    <row r="8199" spans="1:3">
      <c r="A8199" s="250">
        <v>20712</v>
      </c>
      <c r="B8199" s="74" t="s">
        <v>5600</v>
      </c>
      <c r="C8199" s="74" t="s">
        <v>431</v>
      </c>
    </row>
    <row r="8200" spans="1:3">
      <c r="A8200" s="250">
        <v>20714</v>
      </c>
      <c r="B8200" s="74" t="s">
        <v>5601</v>
      </c>
      <c r="C8200" s="74" t="s">
        <v>431</v>
      </c>
    </row>
    <row r="8201" spans="1:3">
      <c r="A8201" s="250">
        <v>20715</v>
      </c>
      <c r="B8201" s="74" t="s">
        <v>5602</v>
      </c>
      <c r="C8201" s="74" t="s">
        <v>431</v>
      </c>
    </row>
    <row r="8202" spans="1:3">
      <c r="A8202" s="250">
        <v>20716</v>
      </c>
      <c r="B8202" s="74" t="s">
        <v>5602</v>
      </c>
      <c r="C8202" s="74" t="s">
        <v>431</v>
      </c>
    </row>
    <row r="8203" spans="1:3">
      <c r="A8203" s="250">
        <v>20717</v>
      </c>
      <c r="B8203" s="74" t="s">
        <v>5602</v>
      </c>
      <c r="C8203" s="74" t="s">
        <v>431</v>
      </c>
    </row>
    <row r="8204" spans="1:3">
      <c r="A8204" s="250">
        <v>20718</v>
      </c>
      <c r="B8204" s="74" t="s">
        <v>5602</v>
      </c>
      <c r="C8204" s="74" t="s">
        <v>431</v>
      </c>
    </row>
    <row r="8205" spans="1:3">
      <c r="A8205" s="250">
        <v>20719</v>
      </c>
      <c r="B8205" s="74" t="s">
        <v>5602</v>
      </c>
      <c r="C8205" s="74" t="s">
        <v>431</v>
      </c>
    </row>
    <row r="8206" spans="1:3">
      <c r="A8206" s="250">
        <v>20720</v>
      </c>
      <c r="B8206" s="74" t="s">
        <v>5602</v>
      </c>
      <c r="C8206" s="74" t="s">
        <v>431</v>
      </c>
    </row>
    <row r="8207" spans="1:3">
      <c r="A8207" s="250">
        <v>20721</v>
      </c>
      <c r="B8207" s="74" t="s">
        <v>5602</v>
      </c>
      <c r="C8207" s="74" t="s">
        <v>431</v>
      </c>
    </row>
    <row r="8208" spans="1:3">
      <c r="A8208" s="250">
        <v>20722</v>
      </c>
      <c r="B8208" s="74" t="s">
        <v>2811</v>
      </c>
      <c r="C8208" s="74" t="s">
        <v>431</v>
      </c>
    </row>
    <row r="8209" spans="1:3">
      <c r="A8209" s="250">
        <v>20723</v>
      </c>
      <c r="B8209" s="74" t="s">
        <v>2882</v>
      </c>
      <c r="C8209" s="74" t="s">
        <v>431</v>
      </c>
    </row>
    <row r="8210" spans="1:3">
      <c r="A8210" s="250">
        <v>20724</v>
      </c>
      <c r="B8210" s="74" t="s">
        <v>2882</v>
      </c>
      <c r="C8210" s="74" t="s">
        <v>431</v>
      </c>
    </row>
    <row r="8211" spans="1:3">
      <c r="A8211" s="250">
        <v>20725</v>
      </c>
      <c r="B8211" s="74" t="s">
        <v>2882</v>
      </c>
      <c r="C8211" s="74" t="s">
        <v>431</v>
      </c>
    </row>
    <row r="8212" spans="1:3">
      <c r="A8212" s="250">
        <v>20726</v>
      </c>
      <c r="B8212" s="74" t="s">
        <v>2882</v>
      </c>
      <c r="C8212" s="74" t="s">
        <v>431</v>
      </c>
    </row>
    <row r="8213" spans="1:3">
      <c r="A8213" s="250">
        <v>20731</v>
      </c>
      <c r="B8213" s="74" t="s">
        <v>5603</v>
      </c>
      <c r="C8213" s="74" t="s">
        <v>431</v>
      </c>
    </row>
    <row r="8214" spans="1:3">
      <c r="A8214" s="250">
        <v>20732</v>
      </c>
      <c r="B8214" s="74" t="s">
        <v>5604</v>
      </c>
      <c r="C8214" s="74" t="s">
        <v>431</v>
      </c>
    </row>
    <row r="8215" spans="1:3">
      <c r="A8215" s="250">
        <v>20733</v>
      </c>
      <c r="B8215" s="74" t="s">
        <v>5605</v>
      </c>
      <c r="C8215" s="74" t="s">
        <v>431</v>
      </c>
    </row>
    <row r="8216" spans="1:3">
      <c r="A8216" s="250">
        <v>20735</v>
      </c>
      <c r="B8216" s="74" t="s">
        <v>732</v>
      </c>
      <c r="C8216" s="74" t="s">
        <v>431</v>
      </c>
    </row>
    <row r="8217" spans="1:3">
      <c r="A8217" s="250">
        <v>20736</v>
      </c>
      <c r="B8217" s="74" t="s">
        <v>5606</v>
      </c>
      <c r="C8217" s="74" t="s">
        <v>431</v>
      </c>
    </row>
    <row r="8218" spans="1:3">
      <c r="A8218" s="250">
        <v>20737</v>
      </c>
      <c r="B8218" s="74" t="s">
        <v>2207</v>
      </c>
      <c r="C8218" s="74" t="s">
        <v>431</v>
      </c>
    </row>
    <row r="8219" spans="1:3">
      <c r="A8219" s="250">
        <v>20738</v>
      </c>
      <c r="B8219" s="74" t="s">
        <v>2207</v>
      </c>
      <c r="C8219" s="74" t="s">
        <v>431</v>
      </c>
    </row>
    <row r="8220" spans="1:3">
      <c r="A8220" s="250">
        <v>20740</v>
      </c>
      <c r="B8220" s="74" t="s">
        <v>5607</v>
      </c>
      <c r="C8220" s="74" t="s">
        <v>431</v>
      </c>
    </row>
    <row r="8221" spans="1:3">
      <c r="A8221" s="250">
        <v>20741</v>
      </c>
      <c r="B8221" s="74" t="s">
        <v>5607</v>
      </c>
      <c r="C8221" s="74" t="s">
        <v>431</v>
      </c>
    </row>
    <row r="8222" spans="1:3">
      <c r="A8222" s="250">
        <v>20742</v>
      </c>
      <c r="B8222" s="74" t="s">
        <v>5607</v>
      </c>
      <c r="C8222" s="74" t="s">
        <v>431</v>
      </c>
    </row>
    <row r="8223" spans="1:3">
      <c r="A8223" s="250">
        <v>20743</v>
      </c>
      <c r="B8223" s="74" t="s">
        <v>5603</v>
      </c>
      <c r="C8223" s="74" t="s">
        <v>431</v>
      </c>
    </row>
    <row r="8224" spans="1:3">
      <c r="A8224" s="250">
        <v>20744</v>
      </c>
      <c r="B8224" s="74" t="s">
        <v>5334</v>
      </c>
      <c r="C8224" s="74" t="s">
        <v>431</v>
      </c>
    </row>
    <row r="8225" spans="1:3">
      <c r="A8225" s="250">
        <v>20745</v>
      </c>
      <c r="B8225" s="74" t="s">
        <v>5608</v>
      </c>
      <c r="C8225" s="74" t="s">
        <v>431</v>
      </c>
    </row>
    <row r="8226" spans="1:3">
      <c r="A8226" s="250">
        <v>20746</v>
      </c>
      <c r="B8226" s="74" t="s">
        <v>5609</v>
      </c>
      <c r="C8226" s="74" t="s">
        <v>431</v>
      </c>
    </row>
    <row r="8227" spans="1:3">
      <c r="A8227" s="250">
        <v>20747</v>
      </c>
      <c r="B8227" s="74" t="s">
        <v>5610</v>
      </c>
      <c r="C8227" s="74" t="s">
        <v>431</v>
      </c>
    </row>
    <row r="8228" spans="1:3">
      <c r="A8228" s="250">
        <v>20748</v>
      </c>
      <c r="B8228" s="74" t="s">
        <v>5611</v>
      </c>
      <c r="C8228" s="74" t="s">
        <v>431</v>
      </c>
    </row>
    <row r="8229" spans="1:3">
      <c r="A8229" s="250">
        <v>20749</v>
      </c>
      <c r="B8229" s="74" t="s">
        <v>5334</v>
      </c>
      <c r="C8229" s="74" t="s">
        <v>431</v>
      </c>
    </row>
    <row r="8230" spans="1:3">
      <c r="A8230" s="250">
        <v>20750</v>
      </c>
      <c r="B8230" s="74" t="s">
        <v>5608</v>
      </c>
      <c r="C8230" s="74" t="s">
        <v>431</v>
      </c>
    </row>
    <row r="8231" spans="1:3">
      <c r="A8231" s="250">
        <v>20751</v>
      </c>
      <c r="B8231" s="74" t="s">
        <v>5612</v>
      </c>
      <c r="C8231" s="74" t="s">
        <v>431</v>
      </c>
    </row>
    <row r="8232" spans="1:3">
      <c r="A8232" s="250">
        <v>20752</v>
      </c>
      <c r="B8232" s="74" t="s">
        <v>5609</v>
      </c>
      <c r="C8232" s="74" t="s">
        <v>431</v>
      </c>
    </row>
    <row r="8233" spans="1:3">
      <c r="A8233" s="250">
        <v>20753</v>
      </c>
      <c r="B8233" s="74" t="s">
        <v>5610</v>
      </c>
      <c r="C8233" s="74" t="s">
        <v>431</v>
      </c>
    </row>
    <row r="8234" spans="1:3">
      <c r="A8234" s="250">
        <v>20754</v>
      </c>
      <c r="B8234" s="74" t="s">
        <v>3695</v>
      </c>
      <c r="C8234" s="74" t="s">
        <v>431</v>
      </c>
    </row>
    <row r="8235" spans="1:3">
      <c r="A8235" s="250">
        <v>20755</v>
      </c>
      <c r="B8235" s="74" t="s">
        <v>5613</v>
      </c>
      <c r="C8235" s="74" t="s">
        <v>431</v>
      </c>
    </row>
    <row r="8236" spans="1:3">
      <c r="A8236" s="250">
        <v>20757</v>
      </c>
      <c r="B8236" s="74" t="s">
        <v>5611</v>
      </c>
      <c r="C8236" s="74" t="s">
        <v>431</v>
      </c>
    </row>
    <row r="8237" spans="1:3">
      <c r="A8237" s="250">
        <v>20758</v>
      </c>
      <c r="B8237" s="74" t="s">
        <v>1543</v>
      </c>
      <c r="C8237" s="74" t="s">
        <v>431</v>
      </c>
    </row>
    <row r="8238" spans="1:3">
      <c r="A8238" s="250">
        <v>20759</v>
      </c>
      <c r="B8238" s="74" t="s">
        <v>3365</v>
      </c>
      <c r="C8238" s="74" t="s">
        <v>431</v>
      </c>
    </row>
    <row r="8239" spans="1:3">
      <c r="A8239" s="250">
        <v>20762</v>
      </c>
      <c r="B8239" s="74" t="s">
        <v>5614</v>
      </c>
      <c r="C8239" s="74" t="s">
        <v>431</v>
      </c>
    </row>
    <row r="8240" spans="1:3">
      <c r="A8240" s="250">
        <v>20763</v>
      </c>
      <c r="B8240" s="74" t="s">
        <v>5615</v>
      </c>
      <c r="C8240" s="74" t="s">
        <v>431</v>
      </c>
    </row>
    <row r="8241" spans="1:3">
      <c r="A8241" s="250">
        <v>20764</v>
      </c>
      <c r="B8241" s="74" t="s">
        <v>5616</v>
      </c>
      <c r="C8241" s="74" t="s">
        <v>431</v>
      </c>
    </row>
    <row r="8242" spans="1:3">
      <c r="A8242" s="250">
        <v>20765</v>
      </c>
      <c r="B8242" s="74" t="s">
        <v>5617</v>
      </c>
      <c r="C8242" s="74" t="s">
        <v>431</v>
      </c>
    </row>
    <row r="8243" spans="1:3">
      <c r="A8243" s="250">
        <v>20768</v>
      </c>
      <c r="B8243" s="74" t="s">
        <v>5618</v>
      </c>
      <c r="C8243" s="74" t="s">
        <v>431</v>
      </c>
    </row>
    <row r="8244" spans="1:3">
      <c r="A8244" s="250">
        <v>20769</v>
      </c>
      <c r="B8244" s="74" t="s">
        <v>5619</v>
      </c>
      <c r="C8244" s="74" t="s">
        <v>431</v>
      </c>
    </row>
    <row r="8245" spans="1:3">
      <c r="A8245" s="250">
        <v>20770</v>
      </c>
      <c r="B8245" s="74" t="s">
        <v>5618</v>
      </c>
      <c r="C8245" s="74" t="s">
        <v>431</v>
      </c>
    </row>
    <row r="8246" spans="1:3">
      <c r="A8246" s="250">
        <v>20771</v>
      </c>
      <c r="B8246" s="74" t="s">
        <v>5618</v>
      </c>
      <c r="C8246" s="74" t="s">
        <v>431</v>
      </c>
    </row>
    <row r="8247" spans="1:3">
      <c r="A8247" s="250">
        <v>20772</v>
      </c>
      <c r="B8247" s="74" t="s">
        <v>5620</v>
      </c>
      <c r="C8247" s="74" t="s">
        <v>431</v>
      </c>
    </row>
    <row r="8248" spans="1:3">
      <c r="A8248" s="250">
        <v>20773</v>
      </c>
      <c r="B8248" s="74" t="s">
        <v>5620</v>
      </c>
      <c r="C8248" s="74" t="s">
        <v>431</v>
      </c>
    </row>
    <row r="8249" spans="1:3">
      <c r="A8249" s="250">
        <v>20774</v>
      </c>
      <c r="B8249" s="74" t="s">
        <v>5620</v>
      </c>
      <c r="C8249" s="74" t="s">
        <v>431</v>
      </c>
    </row>
    <row r="8250" spans="1:3">
      <c r="A8250" s="250">
        <v>20775</v>
      </c>
      <c r="B8250" s="74" t="s">
        <v>5620</v>
      </c>
      <c r="C8250" s="74" t="s">
        <v>431</v>
      </c>
    </row>
    <row r="8251" spans="1:3">
      <c r="A8251" s="250">
        <v>20776</v>
      </c>
      <c r="B8251" s="74" t="s">
        <v>5621</v>
      </c>
      <c r="C8251" s="74" t="s">
        <v>431</v>
      </c>
    </row>
    <row r="8252" spans="1:3">
      <c r="A8252" s="250">
        <v>20777</v>
      </c>
      <c r="B8252" s="74" t="s">
        <v>3120</v>
      </c>
      <c r="C8252" s="74" t="s">
        <v>431</v>
      </c>
    </row>
    <row r="8253" spans="1:3">
      <c r="A8253" s="250">
        <v>20778</v>
      </c>
      <c r="B8253" s="74" t="s">
        <v>5622</v>
      </c>
      <c r="C8253" s="74" t="s">
        <v>431</v>
      </c>
    </row>
    <row r="8254" spans="1:3">
      <c r="A8254" s="250">
        <v>20779</v>
      </c>
      <c r="B8254" s="74" t="s">
        <v>5623</v>
      </c>
      <c r="C8254" s="74" t="s">
        <v>431</v>
      </c>
    </row>
    <row r="8255" spans="1:3">
      <c r="A8255" s="250">
        <v>20781</v>
      </c>
      <c r="B8255" s="74" t="s">
        <v>5624</v>
      </c>
      <c r="C8255" s="74" t="s">
        <v>431</v>
      </c>
    </row>
    <row r="8256" spans="1:3">
      <c r="A8256" s="250">
        <v>20782</v>
      </c>
      <c r="B8256" s="74" t="s">
        <v>5624</v>
      </c>
      <c r="C8256" s="74" t="s">
        <v>431</v>
      </c>
    </row>
    <row r="8257" spans="1:3">
      <c r="A8257" s="250">
        <v>20783</v>
      </c>
      <c r="B8257" s="74" t="s">
        <v>5624</v>
      </c>
      <c r="C8257" s="74" t="s">
        <v>431</v>
      </c>
    </row>
    <row r="8258" spans="1:3">
      <c r="A8258" s="250">
        <v>20784</v>
      </c>
      <c r="B8258" s="74" t="s">
        <v>5624</v>
      </c>
      <c r="C8258" s="74" t="s">
        <v>431</v>
      </c>
    </row>
    <row r="8259" spans="1:3">
      <c r="A8259" s="250">
        <v>20785</v>
      </c>
      <c r="B8259" s="74" t="s">
        <v>5624</v>
      </c>
      <c r="C8259" s="74" t="s">
        <v>431</v>
      </c>
    </row>
    <row r="8260" spans="1:3">
      <c r="A8260" s="250">
        <v>20787</v>
      </c>
      <c r="B8260" s="74" t="s">
        <v>5624</v>
      </c>
      <c r="C8260" s="74" t="s">
        <v>431</v>
      </c>
    </row>
    <row r="8261" spans="1:3">
      <c r="A8261" s="250">
        <v>20788</v>
      </c>
      <c r="B8261" s="74" t="s">
        <v>5624</v>
      </c>
      <c r="C8261" s="74" t="s">
        <v>431</v>
      </c>
    </row>
    <row r="8262" spans="1:3">
      <c r="A8262" s="250">
        <v>20790</v>
      </c>
      <c r="B8262" s="74" t="s">
        <v>5603</v>
      </c>
      <c r="C8262" s="74" t="s">
        <v>431</v>
      </c>
    </row>
    <row r="8263" spans="1:3">
      <c r="A8263" s="250">
        <v>20791</v>
      </c>
      <c r="B8263" s="74" t="s">
        <v>5603</v>
      </c>
      <c r="C8263" s="74" t="s">
        <v>431</v>
      </c>
    </row>
    <row r="8264" spans="1:3">
      <c r="A8264" s="250">
        <v>20792</v>
      </c>
      <c r="B8264" s="74" t="s">
        <v>5620</v>
      </c>
      <c r="C8264" s="74" t="s">
        <v>431</v>
      </c>
    </row>
    <row r="8265" spans="1:3">
      <c r="A8265" s="250">
        <v>20794</v>
      </c>
      <c r="B8265" s="74" t="s">
        <v>5165</v>
      </c>
      <c r="C8265" s="74" t="s">
        <v>431</v>
      </c>
    </row>
    <row r="8266" spans="1:3">
      <c r="A8266" s="250">
        <v>20797</v>
      </c>
      <c r="B8266" s="74" t="s">
        <v>5594</v>
      </c>
      <c r="C8266" s="74" t="s">
        <v>431</v>
      </c>
    </row>
    <row r="8267" spans="1:3">
      <c r="A8267" s="250">
        <v>20799</v>
      </c>
      <c r="B8267" s="74" t="s">
        <v>5603</v>
      </c>
      <c r="C8267" s="74" t="s">
        <v>431</v>
      </c>
    </row>
    <row r="8268" spans="1:3">
      <c r="A8268" s="250">
        <v>20810</v>
      </c>
      <c r="B8268" s="74" t="s">
        <v>5625</v>
      </c>
      <c r="C8268" s="74" t="s">
        <v>431</v>
      </c>
    </row>
    <row r="8269" spans="1:3">
      <c r="A8269" s="250">
        <v>20811</v>
      </c>
      <c r="B8269" s="74" t="s">
        <v>5625</v>
      </c>
      <c r="C8269" s="74" t="s">
        <v>431</v>
      </c>
    </row>
    <row r="8270" spans="1:3">
      <c r="A8270" s="250">
        <v>20812</v>
      </c>
      <c r="B8270" s="74" t="s">
        <v>5626</v>
      </c>
      <c r="C8270" s="74" t="s">
        <v>431</v>
      </c>
    </row>
    <row r="8271" spans="1:3">
      <c r="A8271" s="250">
        <v>20813</v>
      </c>
      <c r="B8271" s="74" t="s">
        <v>5625</v>
      </c>
      <c r="C8271" s="74" t="s">
        <v>431</v>
      </c>
    </row>
    <row r="8272" spans="1:3">
      <c r="A8272" s="250">
        <v>20814</v>
      </c>
      <c r="B8272" s="74" t="s">
        <v>5625</v>
      </c>
      <c r="C8272" s="74" t="s">
        <v>431</v>
      </c>
    </row>
    <row r="8273" spans="1:3">
      <c r="A8273" s="250">
        <v>20815</v>
      </c>
      <c r="B8273" s="74" t="s">
        <v>5627</v>
      </c>
      <c r="C8273" s="74" t="s">
        <v>431</v>
      </c>
    </row>
    <row r="8274" spans="1:3">
      <c r="A8274" s="250">
        <v>20816</v>
      </c>
      <c r="B8274" s="74" t="s">
        <v>5625</v>
      </c>
      <c r="C8274" s="74" t="s">
        <v>431</v>
      </c>
    </row>
    <row r="8275" spans="1:3">
      <c r="A8275" s="250">
        <v>20817</v>
      </c>
      <c r="B8275" s="74" t="s">
        <v>5625</v>
      </c>
      <c r="C8275" s="74" t="s">
        <v>431</v>
      </c>
    </row>
    <row r="8276" spans="1:3">
      <c r="A8276" s="250">
        <v>20818</v>
      </c>
      <c r="B8276" s="74" t="s">
        <v>5628</v>
      </c>
      <c r="C8276" s="74" t="s">
        <v>431</v>
      </c>
    </row>
    <row r="8277" spans="1:3">
      <c r="A8277" s="250">
        <v>20824</v>
      </c>
      <c r="B8277" s="74" t="s">
        <v>5625</v>
      </c>
      <c r="C8277" s="74" t="s">
        <v>431</v>
      </c>
    </row>
    <row r="8278" spans="1:3">
      <c r="A8278" s="250">
        <v>20825</v>
      </c>
      <c r="B8278" s="74" t="s">
        <v>5627</v>
      </c>
      <c r="C8278" s="74" t="s">
        <v>431</v>
      </c>
    </row>
    <row r="8279" spans="1:3">
      <c r="A8279" s="250">
        <v>20827</v>
      </c>
      <c r="B8279" s="74" t="s">
        <v>5625</v>
      </c>
      <c r="C8279" s="74" t="s">
        <v>431</v>
      </c>
    </row>
    <row r="8280" spans="1:3">
      <c r="A8280" s="250">
        <v>20830</v>
      </c>
      <c r="B8280" s="74" t="s">
        <v>5629</v>
      </c>
      <c r="C8280" s="74" t="s">
        <v>431</v>
      </c>
    </row>
    <row r="8281" spans="1:3">
      <c r="A8281" s="250">
        <v>20832</v>
      </c>
      <c r="B8281" s="74" t="s">
        <v>5629</v>
      </c>
      <c r="C8281" s="74" t="s">
        <v>431</v>
      </c>
    </row>
    <row r="8282" spans="1:3">
      <c r="A8282" s="250">
        <v>20833</v>
      </c>
      <c r="B8282" s="74" t="s">
        <v>5630</v>
      </c>
      <c r="C8282" s="74" t="s">
        <v>431</v>
      </c>
    </row>
    <row r="8283" spans="1:3">
      <c r="A8283" s="250">
        <v>20837</v>
      </c>
      <c r="B8283" s="74" t="s">
        <v>5631</v>
      </c>
      <c r="C8283" s="74" t="s">
        <v>431</v>
      </c>
    </row>
    <row r="8284" spans="1:3">
      <c r="A8284" s="250">
        <v>20838</v>
      </c>
      <c r="B8284" s="74" t="s">
        <v>5080</v>
      </c>
      <c r="C8284" s="74" t="s">
        <v>431</v>
      </c>
    </row>
    <row r="8285" spans="1:3">
      <c r="A8285" s="250">
        <v>20839</v>
      </c>
      <c r="B8285" s="74" t="s">
        <v>4043</v>
      </c>
      <c r="C8285" s="74" t="s">
        <v>431</v>
      </c>
    </row>
    <row r="8286" spans="1:3">
      <c r="A8286" s="250">
        <v>20841</v>
      </c>
      <c r="B8286" s="74" t="s">
        <v>5632</v>
      </c>
      <c r="C8286" s="74" t="s">
        <v>431</v>
      </c>
    </row>
    <row r="8287" spans="1:3">
      <c r="A8287" s="250">
        <v>20842</v>
      </c>
      <c r="B8287" s="74" t="s">
        <v>5633</v>
      </c>
      <c r="C8287" s="74" t="s">
        <v>431</v>
      </c>
    </row>
    <row r="8288" spans="1:3">
      <c r="A8288" s="250">
        <v>20847</v>
      </c>
      <c r="B8288" s="74" t="s">
        <v>1128</v>
      </c>
      <c r="C8288" s="74" t="s">
        <v>431</v>
      </c>
    </row>
    <row r="8289" spans="1:3">
      <c r="A8289" s="250">
        <v>20848</v>
      </c>
      <c r="B8289" s="74" t="s">
        <v>1128</v>
      </c>
      <c r="C8289" s="74" t="s">
        <v>431</v>
      </c>
    </row>
    <row r="8290" spans="1:3">
      <c r="A8290" s="250">
        <v>20849</v>
      </c>
      <c r="B8290" s="74" t="s">
        <v>1128</v>
      </c>
      <c r="C8290" s="74" t="s">
        <v>431</v>
      </c>
    </row>
    <row r="8291" spans="1:3">
      <c r="A8291" s="250">
        <v>20850</v>
      </c>
      <c r="B8291" s="74" t="s">
        <v>1128</v>
      </c>
      <c r="C8291" s="74" t="s">
        <v>431</v>
      </c>
    </row>
    <row r="8292" spans="1:3">
      <c r="A8292" s="250">
        <v>20851</v>
      </c>
      <c r="B8292" s="74" t="s">
        <v>1128</v>
      </c>
      <c r="C8292" s="74" t="s">
        <v>431</v>
      </c>
    </row>
    <row r="8293" spans="1:3">
      <c r="A8293" s="250">
        <v>20852</v>
      </c>
      <c r="B8293" s="74" t="s">
        <v>1128</v>
      </c>
      <c r="C8293" s="74" t="s">
        <v>431</v>
      </c>
    </row>
    <row r="8294" spans="1:3">
      <c r="A8294" s="250">
        <v>20853</v>
      </c>
      <c r="B8294" s="74" t="s">
        <v>1128</v>
      </c>
      <c r="C8294" s="74" t="s">
        <v>431</v>
      </c>
    </row>
    <row r="8295" spans="1:3">
      <c r="A8295" s="250">
        <v>20854</v>
      </c>
      <c r="B8295" s="74" t="s">
        <v>5634</v>
      </c>
      <c r="C8295" s="74" t="s">
        <v>431</v>
      </c>
    </row>
    <row r="8296" spans="1:3">
      <c r="A8296" s="250">
        <v>20855</v>
      </c>
      <c r="B8296" s="74" t="s">
        <v>5635</v>
      </c>
      <c r="C8296" s="74" t="s">
        <v>431</v>
      </c>
    </row>
    <row r="8297" spans="1:3">
      <c r="A8297" s="250">
        <v>20857</v>
      </c>
      <c r="B8297" s="74" t="s">
        <v>1128</v>
      </c>
      <c r="C8297" s="74" t="s">
        <v>431</v>
      </c>
    </row>
    <row r="8298" spans="1:3">
      <c r="A8298" s="250">
        <v>20859</v>
      </c>
      <c r="B8298" s="74" t="s">
        <v>5634</v>
      </c>
      <c r="C8298" s="74" t="s">
        <v>431</v>
      </c>
    </row>
    <row r="8299" spans="1:3">
      <c r="A8299" s="250">
        <v>20860</v>
      </c>
      <c r="B8299" s="74" t="s">
        <v>5636</v>
      </c>
      <c r="C8299" s="74" t="s">
        <v>431</v>
      </c>
    </row>
    <row r="8300" spans="1:3">
      <c r="A8300" s="250">
        <v>20861</v>
      </c>
      <c r="B8300" s="74" t="s">
        <v>5637</v>
      </c>
      <c r="C8300" s="74" t="s">
        <v>431</v>
      </c>
    </row>
    <row r="8301" spans="1:3">
      <c r="A8301" s="250">
        <v>20862</v>
      </c>
      <c r="B8301" s="74" t="s">
        <v>5638</v>
      </c>
      <c r="C8301" s="74" t="s">
        <v>431</v>
      </c>
    </row>
    <row r="8302" spans="1:3">
      <c r="A8302" s="250">
        <v>20866</v>
      </c>
      <c r="B8302" s="74" t="s">
        <v>5639</v>
      </c>
      <c r="C8302" s="74" t="s">
        <v>431</v>
      </c>
    </row>
    <row r="8303" spans="1:3">
      <c r="A8303" s="250">
        <v>20868</v>
      </c>
      <c r="B8303" s="74" t="s">
        <v>5640</v>
      </c>
      <c r="C8303" s="74" t="s">
        <v>431</v>
      </c>
    </row>
    <row r="8304" spans="1:3">
      <c r="A8304" s="250">
        <v>20871</v>
      </c>
      <c r="B8304" s="74" t="s">
        <v>4269</v>
      </c>
      <c r="C8304" s="74" t="s">
        <v>431</v>
      </c>
    </row>
    <row r="8305" spans="1:3">
      <c r="A8305" s="250">
        <v>20872</v>
      </c>
      <c r="B8305" s="74" t="s">
        <v>5154</v>
      </c>
      <c r="C8305" s="74" t="s">
        <v>431</v>
      </c>
    </row>
    <row r="8306" spans="1:3">
      <c r="A8306" s="250">
        <v>20874</v>
      </c>
      <c r="B8306" s="74" t="s">
        <v>3118</v>
      </c>
      <c r="C8306" s="74" t="s">
        <v>431</v>
      </c>
    </row>
    <row r="8307" spans="1:3">
      <c r="A8307" s="250">
        <v>20875</v>
      </c>
      <c r="B8307" s="74" t="s">
        <v>3118</v>
      </c>
      <c r="C8307" s="74" t="s">
        <v>431</v>
      </c>
    </row>
    <row r="8308" spans="1:3">
      <c r="A8308" s="250">
        <v>20876</v>
      </c>
      <c r="B8308" s="74" t="s">
        <v>3118</v>
      </c>
      <c r="C8308" s="74" t="s">
        <v>431</v>
      </c>
    </row>
    <row r="8309" spans="1:3">
      <c r="A8309" s="250">
        <v>20877</v>
      </c>
      <c r="B8309" s="74" t="s">
        <v>5641</v>
      </c>
      <c r="C8309" s="74" t="s">
        <v>431</v>
      </c>
    </row>
    <row r="8310" spans="1:3">
      <c r="A8310" s="250">
        <v>20878</v>
      </c>
      <c r="B8310" s="74" t="s">
        <v>5641</v>
      </c>
      <c r="C8310" s="74" t="s">
        <v>431</v>
      </c>
    </row>
    <row r="8311" spans="1:3">
      <c r="A8311" s="250">
        <v>20879</v>
      </c>
      <c r="B8311" s="74" t="s">
        <v>5641</v>
      </c>
      <c r="C8311" s="74" t="s">
        <v>431</v>
      </c>
    </row>
    <row r="8312" spans="1:3">
      <c r="A8312" s="250">
        <v>20880</v>
      </c>
      <c r="B8312" s="74" t="s">
        <v>5642</v>
      </c>
      <c r="C8312" s="74" t="s">
        <v>431</v>
      </c>
    </row>
    <row r="8313" spans="1:3">
      <c r="A8313" s="250">
        <v>20882</v>
      </c>
      <c r="B8313" s="74" t="s">
        <v>5641</v>
      </c>
      <c r="C8313" s="74" t="s">
        <v>431</v>
      </c>
    </row>
    <row r="8314" spans="1:3">
      <c r="A8314" s="250">
        <v>20883</v>
      </c>
      <c r="B8314" s="74" t="s">
        <v>5641</v>
      </c>
      <c r="C8314" s="74" t="s">
        <v>431</v>
      </c>
    </row>
    <row r="8315" spans="1:3">
      <c r="A8315" s="250">
        <v>20884</v>
      </c>
      <c r="B8315" s="74" t="s">
        <v>5641</v>
      </c>
      <c r="C8315" s="74" t="s">
        <v>431</v>
      </c>
    </row>
    <row r="8316" spans="1:3">
      <c r="A8316" s="250">
        <v>20885</v>
      </c>
      <c r="B8316" s="74" t="s">
        <v>5641</v>
      </c>
      <c r="C8316" s="74" t="s">
        <v>431</v>
      </c>
    </row>
    <row r="8317" spans="1:3">
      <c r="A8317" s="250">
        <v>20886</v>
      </c>
      <c r="B8317" s="74" t="s">
        <v>5643</v>
      </c>
      <c r="C8317" s="74" t="s">
        <v>431</v>
      </c>
    </row>
    <row r="8318" spans="1:3">
      <c r="A8318" s="250">
        <v>20889</v>
      </c>
      <c r="B8318" s="74" t="s">
        <v>5625</v>
      </c>
      <c r="C8318" s="74" t="s">
        <v>431</v>
      </c>
    </row>
    <row r="8319" spans="1:3">
      <c r="A8319" s="250">
        <v>20891</v>
      </c>
      <c r="B8319" s="74" t="s">
        <v>5644</v>
      </c>
      <c r="C8319" s="74" t="s">
        <v>431</v>
      </c>
    </row>
    <row r="8320" spans="1:3">
      <c r="A8320" s="250">
        <v>20892</v>
      </c>
      <c r="B8320" s="74" t="s">
        <v>5625</v>
      </c>
      <c r="C8320" s="74" t="s">
        <v>431</v>
      </c>
    </row>
    <row r="8321" spans="1:3">
      <c r="A8321" s="250">
        <v>20894</v>
      </c>
      <c r="B8321" s="74" t="s">
        <v>5625</v>
      </c>
      <c r="C8321" s="74" t="s">
        <v>431</v>
      </c>
    </row>
    <row r="8322" spans="1:3">
      <c r="A8322" s="250">
        <v>20895</v>
      </c>
      <c r="B8322" s="74" t="s">
        <v>5644</v>
      </c>
      <c r="C8322" s="74" t="s">
        <v>431</v>
      </c>
    </row>
    <row r="8323" spans="1:3">
      <c r="A8323" s="250">
        <v>20896</v>
      </c>
      <c r="B8323" s="74" t="s">
        <v>5645</v>
      </c>
      <c r="C8323" s="74" t="s">
        <v>431</v>
      </c>
    </row>
    <row r="8324" spans="1:3">
      <c r="A8324" s="250">
        <v>20897</v>
      </c>
      <c r="B8324" s="74" t="s">
        <v>5646</v>
      </c>
      <c r="C8324" s="74" t="s">
        <v>431</v>
      </c>
    </row>
    <row r="8325" spans="1:3">
      <c r="A8325" s="250">
        <v>20898</v>
      </c>
      <c r="B8325" s="74" t="s">
        <v>5641</v>
      </c>
      <c r="C8325" s="74" t="s">
        <v>431</v>
      </c>
    </row>
    <row r="8326" spans="1:3">
      <c r="A8326" s="250">
        <v>20899</v>
      </c>
      <c r="B8326" s="74" t="s">
        <v>5641</v>
      </c>
      <c r="C8326" s="74" t="s">
        <v>431</v>
      </c>
    </row>
    <row r="8327" spans="1:3">
      <c r="A8327" s="250">
        <v>20901</v>
      </c>
      <c r="B8327" s="74" t="s">
        <v>4887</v>
      </c>
      <c r="C8327" s="74" t="s">
        <v>431</v>
      </c>
    </row>
    <row r="8328" spans="1:3">
      <c r="A8328" s="250">
        <v>20902</v>
      </c>
      <c r="B8328" s="74" t="s">
        <v>4887</v>
      </c>
      <c r="C8328" s="74" t="s">
        <v>431</v>
      </c>
    </row>
    <row r="8329" spans="1:3">
      <c r="A8329" s="250">
        <v>20903</v>
      </c>
      <c r="B8329" s="74" t="s">
        <v>4887</v>
      </c>
      <c r="C8329" s="74" t="s">
        <v>431</v>
      </c>
    </row>
    <row r="8330" spans="1:3">
      <c r="A8330" s="250">
        <v>20904</v>
      </c>
      <c r="B8330" s="74" t="s">
        <v>4887</v>
      </c>
      <c r="C8330" s="74" t="s">
        <v>431</v>
      </c>
    </row>
    <row r="8331" spans="1:3">
      <c r="A8331" s="250">
        <v>20905</v>
      </c>
      <c r="B8331" s="74" t="s">
        <v>4887</v>
      </c>
      <c r="C8331" s="74" t="s">
        <v>431</v>
      </c>
    </row>
    <row r="8332" spans="1:3">
      <c r="A8332" s="250">
        <v>20906</v>
      </c>
      <c r="B8332" s="74" t="s">
        <v>4887</v>
      </c>
      <c r="C8332" s="74" t="s">
        <v>431</v>
      </c>
    </row>
    <row r="8333" spans="1:3">
      <c r="A8333" s="250">
        <v>20907</v>
      </c>
      <c r="B8333" s="74" t="s">
        <v>4887</v>
      </c>
      <c r="C8333" s="74" t="s">
        <v>431</v>
      </c>
    </row>
    <row r="8334" spans="1:3">
      <c r="A8334" s="250">
        <v>20908</v>
      </c>
      <c r="B8334" s="74" t="s">
        <v>4887</v>
      </c>
      <c r="C8334" s="74" t="s">
        <v>431</v>
      </c>
    </row>
    <row r="8335" spans="1:3">
      <c r="A8335" s="250">
        <v>20910</v>
      </c>
      <c r="B8335" s="74" t="s">
        <v>4887</v>
      </c>
      <c r="C8335" s="74" t="s">
        <v>431</v>
      </c>
    </row>
    <row r="8336" spans="1:3">
      <c r="A8336" s="250">
        <v>20911</v>
      </c>
      <c r="B8336" s="74" t="s">
        <v>4887</v>
      </c>
      <c r="C8336" s="74" t="s">
        <v>431</v>
      </c>
    </row>
    <row r="8337" spans="1:3">
      <c r="A8337" s="250">
        <v>20912</v>
      </c>
      <c r="B8337" s="74" t="s">
        <v>5647</v>
      </c>
      <c r="C8337" s="74" t="s">
        <v>431</v>
      </c>
    </row>
    <row r="8338" spans="1:3">
      <c r="A8338" s="250">
        <v>20913</v>
      </c>
      <c r="B8338" s="74" t="s">
        <v>5647</v>
      </c>
      <c r="C8338" s="74" t="s">
        <v>431</v>
      </c>
    </row>
    <row r="8339" spans="1:3">
      <c r="A8339" s="250">
        <v>20914</v>
      </c>
      <c r="B8339" s="74" t="s">
        <v>4887</v>
      </c>
      <c r="C8339" s="74" t="s">
        <v>431</v>
      </c>
    </row>
    <row r="8340" spans="1:3">
      <c r="A8340" s="250">
        <v>20915</v>
      </c>
      <c r="B8340" s="74" t="s">
        <v>4887</v>
      </c>
      <c r="C8340" s="74" t="s">
        <v>431</v>
      </c>
    </row>
    <row r="8341" spans="1:3">
      <c r="A8341" s="250">
        <v>20916</v>
      </c>
      <c r="B8341" s="74" t="s">
        <v>4887</v>
      </c>
      <c r="C8341" s="74" t="s">
        <v>431</v>
      </c>
    </row>
    <row r="8342" spans="1:3">
      <c r="A8342" s="250">
        <v>20918</v>
      </c>
      <c r="B8342" s="74" t="s">
        <v>4887</v>
      </c>
      <c r="C8342" s="74" t="s">
        <v>431</v>
      </c>
    </row>
    <row r="8343" spans="1:3">
      <c r="A8343" s="250">
        <v>20993</v>
      </c>
      <c r="B8343" s="74" t="s">
        <v>4887</v>
      </c>
      <c r="C8343" s="74" t="s">
        <v>431</v>
      </c>
    </row>
    <row r="8344" spans="1:3">
      <c r="A8344" s="250">
        <v>20997</v>
      </c>
      <c r="B8344" s="74" t="s">
        <v>4887</v>
      </c>
      <c r="C8344" s="74" t="s">
        <v>431</v>
      </c>
    </row>
    <row r="8345" spans="1:3">
      <c r="A8345" s="250">
        <v>21001</v>
      </c>
      <c r="B8345" s="74" t="s">
        <v>5648</v>
      </c>
      <c r="C8345" s="74" t="s">
        <v>431</v>
      </c>
    </row>
    <row r="8346" spans="1:3">
      <c r="A8346" s="250">
        <v>21005</v>
      </c>
      <c r="B8346" s="74" t="s">
        <v>5649</v>
      </c>
      <c r="C8346" s="74" t="s">
        <v>431</v>
      </c>
    </row>
    <row r="8347" spans="1:3">
      <c r="A8347" s="250">
        <v>21009</v>
      </c>
      <c r="B8347" s="74" t="s">
        <v>5650</v>
      </c>
      <c r="C8347" s="74" t="s">
        <v>431</v>
      </c>
    </row>
    <row r="8348" spans="1:3">
      <c r="A8348" s="250">
        <v>21010</v>
      </c>
      <c r="B8348" s="74" t="s">
        <v>5651</v>
      </c>
      <c r="C8348" s="74" t="s">
        <v>431</v>
      </c>
    </row>
    <row r="8349" spans="1:3">
      <c r="A8349" s="250">
        <v>21012</v>
      </c>
      <c r="B8349" s="74" t="s">
        <v>5652</v>
      </c>
      <c r="C8349" s="74" t="s">
        <v>431</v>
      </c>
    </row>
    <row r="8350" spans="1:3">
      <c r="A8350" s="250">
        <v>21013</v>
      </c>
      <c r="B8350" s="74" t="s">
        <v>2765</v>
      </c>
      <c r="C8350" s="74" t="s">
        <v>431</v>
      </c>
    </row>
    <row r="8351" spans="1:3">
      <c r="A8351" s="250">
        <v>21014</v>
      </c>
      <c r="B8351" s="74" t="s">
        <v>5653</v>
      </c>
      <c r="C8351" s="74" t="s">
        <v>431</v>
      </c>
    </row>
    <row r="8352" spans="1:3">
      <c r="A8352" s="250">
        <v>21015</v>
      </c>
      <c r="B8352" s="74" t="s">
        <v>5653</v>
      </c>
      <c r="C8352" s="74" t="s">
        <v>431</v>
      </c>
    </row>
    <row r="8353" spans="1:3">
      <c r="A8353" s="250">
        <v>21017</v>
      </c>
      <c r="B8353" s="74" t="s">
        <v>5654</v>
      </c>
      <c r="C8353" s="74" t="s">
        <v>431</v>
      </c>
    </row>
    <row r="8354" spans="1:3">
      <c r="A8354" s="250">
        <v>21018</v>
      </c>
      <c r="B8354" s="74" t="s">
        <v>1862</v>
      </c>
      <c r="C8354" s="74" t="s">
        <v>431</v>
      </c>
    </row>
    <row r="8355" spans="1:3">
      <c r="A8355" s="250">
        <v>21020</v>
      </c>
      <c r="B8355" s="74" t="s">
        <v>5655</v>
      </c>
      <c r="C8355" s="74" t="s">
        <v>431</v>
      </c>
    </row>
    <row r="8356" spans="1:3">
      <c r="A8356" s="250">
        <v>21022</v>
      </c>
      <c r="B8356" s="74" t="s">
        <v>5656</v>
      </c>
      <c r="C8356" s="74" t="s">
        <v>431</v>
      </c>
    </row>
    <row r="8357" spans="1:3">
      <c r="A8357" s="250">
        <v>21023</v>
      </c>
      <c r="B8357" s="74" t="s">
        <v>2183</v>
      </c>
      <c r="C8357" s="74" t="s">
        <v>431</v>
      </c>
    </row>
    <row r="8358" spans="1:3">
      <c r="A8358" s="250">
        <v>21027</v>
      </c>
      <c r="B8358" s="74" t="s">
        <v>5657</v>
      </c>
      <c r="C8358" s="74" t="s">
        <v>431</v>
      </c>
    </row>
    <row r="8359" spans="1:3">
      <c r="A8359" s="250">
        <v>21028</v>
      </c>
      <c r="B8359" s="74" t="s">
        <v>3762</v>
      </c>
      <c r="C8359" s="74" t="s">
        <v>431</v>
      </c>
    </row>
    <row r="8360" spans="1:3">
      <c r="A8360" s="250">
        <v>21029</v>
      </c>
      <c r="B8360" s="74" t="s">
        <v>2926</v>
      </c>
      <c r="C8360" s="74" t="s">
        <v>431</v>
      </c>
    </row>
    <row r="8361" spans="1:3">
      <c r="A8361" s="250">
        <v>21030</v>
      </c>
      <c r="B8361" s="74" t="s">
        <v>5658</v>
      </c>
      <c r="C8361" s="74" t="s">
        <v>431</v>
      </c>
    </row>
    <row r="8362" spans="1:3">
      <c r="A8362" s="250">
        <v>21031</v>
      </c>
      <c r="B8362" s="74" t="s">
        <v>5659</v>
      </c>
      <c r="C8362" s="74" t="s">
        <v>431</v>
      </c>
    </row>
    <row r="8363" spans="1:3">
      <c r="A8363" s="250">
        <v>21032</v>
      </c>
      <c r="B8363" s="74" t="s">
        <v>5660</v>
      </c>
      <c r="C8363" s="74" t="s">
        <v>431</v>
      </c>
    </row>
    <row r="8364" spans="1:3">
      <c r="A8364" s="250">
        <v>21034</v>
      </c>
      <c r="B8364" s="74" t="s">
        <v>4412</v>
      </c>
      <c r="C8364" s="74" t="s">
        <v>431</v>
      </c>
    </row>
    <row r="8365" spans="1:3">
      <c r="A8365" s="250">
        <v>21035</v>
      </c>
      <c r="B8365" s="74" t="s">
        <v>5661</v>
      </c>
      <c r="C8365" s="74" t="s">
        <v>431</v>
      </c>
    </row>
    <row r="8366" spans="1:3">
      <c r="A8366" s="250">
        <v>21036</v>
      </c>
      <c r="B8366" s="74" t="s">
        <v>2564</v>
      </c>
      <c r="C8366" s="74" t="s">
        <v>431</v>
      </c>
    </row>
    <row r="8367" spans="1:3">
      <c r="A8367" s="250">
        <v>21037</v>
      </c>
      <c r="B8367" s="74" t="s">
        <v>2120</v>
      </c>
      <c r="C8367" s="74" t="s">
        <v>431</v>
      </c>
    </row>
    <row r="8368" spans="1:3">
      <c r="A8368" s="250">
        <v>21040</v>
      </c>
      <c r="B8368" s="74" t="s">
        <v>5662</v>
      </c>
      <c r="C8368" s="74" t="s">
        <v>431</v>
      </c>
    </row>
    <row r="8369" spans="1:3">
      <c r="A8369" s="250">
        <v>21041</v>
      </c>
      <c r="B8369" s="74" t="s">
        <v>5663</v>
      </c>
      <c r="C8369" s="74" t="s">
        <v>431</v>
      </c>
    </row>
    <row r="8370" spans="1:3">
      <c r="A8370" s="250">
        <v>21042</v>
      </c>
      <c r="B8370" s="74" t="s">
        <v>5663</v>
      </c>
      <c r="C8370" s="74" t="s">
        <v>431</v>
      </c>
    </row>
    <row r="8371" spans="1:3">
      <c r="A8371" s="250">
        <v>21043</v>
      </c>
      <c r="B8371" s="74" t="s">
        <v>5663</v>
      </c>
      <c r="C8371" s="74" t="s">
        <v>431</v>
      </c>
    </row>
    <row r="8372" spans="1:3">
      <c r="A8372" s="250">
        <v>21044</v>
      </c>
      <c r="B8372" s="74" t="s">
        <v>1985</v>
      </c>
      <c r="C8372" s="74" t="s">
        <v>431</v>
      </c>
    </row>
    <row r="8373" spans="1:3">
      <c r="A8373" s="250">
        <v>21045</v>
      </c>
      <c r="B8373" s="74" t="s">
        <v>1985</v>
      </c>
      <c r="C8373" s="74" t="s">
        <v>431</v>
      </c>
    </row>
    <row r="8374" spans="1:3">
      <c r="A8374" s="250">
        <v>21046</v>
      </c>
      <c r="B8374" s="74" t="s">
        <v>1985</v>
      </c>
      <c r="C8374" s="74" t="s">
        <v>431</v>
      </c>
    </row>
    <row r="8375" spans="1:3">
      <c r="A8375" s="250">
        <v>21047</v>
      </c>
      <c r="B8375" s="74" t="s">
        <v>5664</v>
      </c>
      <c r="C8375" s="74" t="s">
        <v>431</v>
      </c>
    </row>
    <row r="8376" spans="1:3">
      <c r="A8376" s="250">
        <v>21048</v>
      </c>
      <c r="B8376" s="74" t="s">
        <v>5665</v>
      </c>
      <c r="C8376" s="74" t="s">
        <v>431</v>
      </c>
    </row>
    <row r="8377" spans="1:3">
      <c r="A8377" s="250">
        <v>21050</v>
      </c>
      <c r="B8377" s="74" t="s">
        <v>5666</v>
      </c>
      <c r="C8377" s="74" t="s">
        <v>431</v>
      </c>
    </row>
    <row r="8378" spans="1:3">
      <c r="A8378" s="250">
        <v>21051</v>
      </c>
      <c r="B8378" s="74" t="s">
        <v>5667</v>
      </c>
      <c r="C8378" s="74" t="s">
        <v>431</v>
      </c>
    </row>
    <row r="8379" spans="1:3">
      <c r="A8379" s="250">
        <v>21052</v>
      </c>
      <c r="B8379" s="74" t="s">
        <v>5668</v>
      </c>
      <c r="C8379" s="74" t="s">
        <v>431</v>
      </c>
    </row>
    <row r="8380" spans="1:3">
      <c r="A8380" s="250">
        <v>21053</v>
      </c>
      <c r="B8380" s="74" t="s">
        <v>5088</v>
      </c>
      <c r="C8380" s="74" t="s">
        <v>431</v>
      </c>
    </row>
    <row r="8381" spans="1:3">
      <c r="A8381" s="250">
        <v>21054</v>
      </c>
      <c r="B8381" s="74" t="s">
        <v>5669</v>
      </c>
      <c r="C8381" s="74" t="s">
        <v>431</v>
      </c>
    </row>
    <row r="8382" spans="1:3">
      <c r="A8382" s="250">
        <v>21056</v>
      </c>
      <c r="B8382" s="74" t="s">
        <v>5670</v>
      </c>
      <c r="C8382" s="74" t="s">
        <v>431</v>
      </c>
    </row>
    <row r="8383" spans="1:3">
      <c r="A8383" s="250">
        <v>21057</v>
      </c>
      <c r="B8383" s="74" t="s">
        <v>5671</v>
      </c>
      <c r="C8383" s="74" t="s">
        <v>431</v>
      </c>
    </row>
    <row r="8384" spans="1:3">
      <c r="A8384" s="250">
        <v>21060</v>
      </c>
      <c r="B8384" s="74" t="s">
        <v>5672</v>
      </c>
      <c r="C8384" s="74" t="s">
        <v>431</v>
      </c>
    </row>
    <row r="8385" spans="1:3">
      <c r="A8385" s="250">
        <v>21061</v>
      </c>
      <c r="B8385" s="74" t="s">
        <v>5672</v>
      </c>
      <c r="C8385" s="74" t="s">
        <v>431</v>
      </c>
    </row>
    <row r="8386" spans="1:3">
      <c r="A8386" s="250">
        <v>21062</v>
      </c>
      <c r="B8386" s="74" t="s">
        <v>5672</v>
      </c>
      <c r="C8386" s="74" t="s">
        <v>431</v>
      </c>
    </row>
    <row r="8387" spans="1:3">
      <c r="A8387" s="250">
        <v>21065</v>
      </c>
      <c r="B8387" s="74" t="s">
        <v>5659</v>
      </c>
      <c r="C8387" s="74" t="s">
        <v>431</v>
      </c>
    </row>
    <row r="8388" spans="1:3">
      <c r="A8388" s="250">
        <v>21071</v>
      </c>
      <c r="B8388" s="74" t="s">
        <v>5673</v>
      </c>
      <c r="C8388" s="74" t="s">
        <v>431</v>
      </c>
    </row>
    <row r="8389" spans="1:3">
      <c r="A8389" s="250">
        <v>21074</v>
      </c>
      <c r="B8389" s="74" t="s">
        <v>1314</v>
      </c>
      <c r="C8389" s="74" t="s">
        <v>431</v>
      </c>
    </row>
    <row r="8390" spans="1:3">
      <c r="A8390" s="250">
        <v>21075</v>
      </c>
      <c r="B8390" s="74" t="s">
        <v>5674</v>
      </c>
      <c r="C8390" s="74" t="s">
        <v>431</v>
      </c>
    </row>
    <row r="8391" spans="1:3">
      <c r="A8391" s="250">
        <v>21076</v>
      </c>
      <c r="B8391" s="74" t="s">
        <v>944</v>
      </c>
      <c r="C8391" s="74" t="s">
        <v>431</v>
      </c>
    </row>
    <row r="8392" spans="1:3">
      <c r="A8392" s="250">
        <v>21077</v>
      </c>
      <c r="B8392" s="74" t="s">
        <v>5675</v>
      </c>
      <c r="C8392" s="74" t="s">
        <v>431</v>
      </c>
    </row>
    <row r="8393" spans="1:3">
      <c r="A8393" s="250">
        <v>21078</v>
      </c>
      <c r="B8393" s="74" t="s">
        <v>5676</v>
      </c>
      <c r="C8393" s="74" t="s">
        <v>431</v>
      </c>
    </row>
    <row r="8394" spans="1:3">
      <c r="A8394" s="250">
        <v>21082</v>
      </c>
      <c r="B8394" s="74" t="s">
        <v>5677</v>
      </c>
      <c r="C8394" s="74" t="s">
        <v>431</v>
      </c>
    </row>
    <row r="8395" spans="1:3">
      <c r="A8395" s="250">
        <v>21084</v>
      </c>
      <c r="B8395" s="74" t="s">
        <v>5678</v>
      </c>
      <c r="C8395" s="74" t="s">
        <v>431</v>
      </c>
    </row>
    <row r="8396" spans="1:3">
      <c r="A8396" s="250">
        <v>21085</v>
      </c>
      <c r="B8396" s="74" t="s">
        <v>5679</v>
      </c>
      <c r="C8396" s="74" t="s">
        <v>431</v>
      </c>
    </row>
    <row r="8397" spans="1:3">
      <c r="A8397" s="250">
        <v>21087</v>
      </c>
      <c r="B8397" s="74" t="s">
        <v>5680</v>
      </c>
      <c r="C8397" s="74" t="s">
        <v>431</v>
      </c>
    </row>
    <row r="8398" spans="1:3">
      <c r="A8398" s="250">
        <v>21088</v>
      </c>
      <c r="B8398" s="74" t="s">
        <v>5681</v>
      </c>
      <c r="C8398" s="74" t="s">
        <v>431</v>
      </c>
    </row>
    <row r="8399" spans="1:3">
      <c r="A8399" s="250">
        <v>21090</v>
      </c>
      <c r="B8399" s="74" t="s">
        <v>5682</v>
      </c>
      <c r="C8399" s="74" t="s">
        <v>431</v>
      </c>
    </row>
    <row r="8400" spans="1:3">
      <c r="A8400" s="250">
        <v>21092</v>
      </c>
      <c r="B8400" s="74" t="s">
        <v>5683</v>
      </c>
      <c r="C8400" s="74" t="s">
        <v>431</v>
      </c>
    </row>
    <row r="8401" spans="1:3">
      <c r="A8401" s="250">
        <v>21093</v>
      </c>
      <c r="B8401" s="74" t="s">
        <v>5684</v>
      </c>
      <c r="C8401" s="74" t="s">
        <v>431</v>
      </c>
    </row>
    <row r="8402" spans="1:3">
      <c r="A8402" s="250">
        <v>21094</v>
      </c>
      <c r="B8402" s="74" t="s">
        <v>5684</v>
      </c>
      <c r="C8402" s="74" t="s">
        <v>431</v>
      </c>
    </row>
    <row r="8403" spans="1:3">
      <c r="A8403" s="250">
        <v>21098</v>
      </c>
      <c r="B8403" s="74" t="s">
        <v>944</v>
      </c>
      <c r="C8403" s="74" t="s">
        <v>431</v>
      </c>
    </row>
    <row r="8404" spans="1:3">
      <c r="A8404" s="250">
        <v>21102</v>
      </c>
      <c r="B8404" s="74" t="s">
        <v>848</v>
      </c>
      <c r="C8404" s="74" t="s">
        <v>431</v>
      </c>
    </row>
    <row r="8405" spans="1:3">
      <c r="A8405" s="250">
        <v>21104</v>
      </c>
      <c r="B8405" s="74" t="s">
        <v>5685</v>
      </c>
      <c r="C8405" s="74" t="s">
        <v>431</v>
      </c>
    </row>
    <row r="8406" spans="1:3">
      <c r="A8406" s="250">
        <v>21105</v>
      </c>
      <c r="B8406" s="74" t="s">
        <v>5686</v>
      </c>
      <c r="C8406" s="74" t="s">
        <v>431</v>
      </c>
    </row>
    <row r="8407" spans="1:3">
      <c r="A8407" s="250">
        <v>21106</v>
      </c>
      <c r="B8407" s="74" t="s">
        <v>5687</v>
      </c>
      <c r="C8407" s="74" t="s">
        <v>431</v>
      </c>
    </row>
    <row r="8408" spans="1:3">
      <c r="A8408" s="250">
        <v>21108</v>
      </c>
      <c r="B8408" s="74" t="s">
        <v>4872</v>
      </c>
      <c r="C8408" s="74" t="s">
        <v>431</v>
      </c>
    </row>
    <row r="8409" spans="1:3">
      <c r="A8409" s="250">
        <v>21111</v>
      </c>
      <c r="B8409" s="74" t="s">
        <v>1820</v>
      </c>
      <c r="C8409" s="74" t="s">
        <v>431</v>
      </c>
    </row>
    <row r="8410" spans="1:3">
      <c r="A8410" s="250">
        <v>21113</v>
      </c>
      <c r="B8410" s="74" t="s">
        <v>5688</v>
      </c>
      <c r="C8410" s="74" t="s">
        <v>431</v>
      </c>
    </row>
    <row r="8411" spans="1:3">
      <c r="A8411" s="250">
        <v>21114</v>
      </c>
      <c r="B8411" s="74" t="s">
        <v>5689</v>
      </c>
      <c r="C8411" s="74" t="s">
        <v>431</v>
      </c>
    </row>
    <row r="8412" spans="1:3">
      <c r="A8412" s="250">
        <v>21117</v>
      </c>
      <c r="B8412" s="74" t="s">
        <v>5690</v>
      </c>
      <c r="C8412" s="74" t="s">
        <v>431</v>
      </c>
    </row>
    <row r="8413" spans="1:3">
      <c r="A8413" s="250">
        <v>21120</v>
      </c>
      <c r="B8413" s="74" t="s">
        <v>5691</v>
      </c>
      <c r="C8413" s="74" t="s">
        <v>431</v>
      </c>
    </row>
    <row r="8414" spans="1:3">
      <c r="A8414" s="250">
        <v>21122</v>
      </c>
      <c r="B8414" s="74" t="s">
        <v>5692</v>
      </c>
      <c r="C8414" s="74" t="s">
        <v>431</v>
      </c>
    </row>
    <row r="8415" spans="1:3">
      <c r="A8415" s="250">
        <v>21123</v>
      </c>
      <c r="B8415" s="74" t="s">
        <v>5692</v>
      </c>
      <c r="C8415" s="74" t="s">
        <v>431</v>
      </c>
    </row>
    <row r="8416" spans="1:3">
      <c r="A8416" s="250">
        <v>21128</v>
      </c>
      <c r="B8416" s="74" t="s">
        <v>5693</v>
      </c>
      <c r="C8416" s="74" t="s">
        <v>431</v>
      </c>
    </row>
    <row r="8417" spans="1:3">
      <c r="A8417" s="250">
        <v>21130</v>
      </c>
      <c r="B8417" s="74" t="s">
        <v>5694</v>
      </c>
      <c r="C8417" s="74" t="s">
        <v>431</v>
      </c>
    </row>
    <row r="8418" spans="1:3">
      <c r="A8418" s="250">
        <v>21131</v>
      </c>
      <c r="B8418" s="74" t="s">
        <v>3402</v>
      </c>
      <c r="C8418" s="74" t="s">
        <v>431</v>
      </c>
    </row>
    <row r="8419" spans="1:3">
      <c r="A8419" s="250">
        <v>21132</v>
      </c>
      <c r="B8419" s="74" t="s">
        <v>5695</v>
      </c>
      <c r="C8419" s="74" t="s">
        <v>431</v>
      </c>
    </row>
    <row r="8420" spans="1:3">
      <c r="A8420" s="250">
        <v>21133</v>
      </c>
      <c r="B8420" s="74" t="s">
        <v>5696</v>
      </c>
      <c r="C8420" s="74" t="s">
        <v>431</v>
      </c>
    </row>
    <row r="8421" spans="1:3">
      <c r="A8421" s="250">
        <v>21136</v>
      </c>
      <c r="B8421" s="74" t="s">
        <v>5697</v>
      </c>
      <c r="C8421" s="74" t="s">
        <v>431</v>
      </c>
    </row>
    <row r="8422" spans="1:3">
      <c r="A8422" s="250">
        <v>21139</v>
      </c>
      <c r="B8422" s="74" t="s">
        <v>5698</v>
      </c>
      <c r="C8422" s="74" t="s">
        <v>431</v>
      </c>
    </row>
    <row r="8423" spans="1:3">
      <c r="A8423" s="250">
        <v>21140</v>
      </c>
      <c r="B8423" s="74" t="s">
        <v>5699</v>
      </c>
      <c r="C8423" s="74" t="s">
        <v>431</v>
      </c>
    </row>
    <row r="8424" spans="1:3">
      <c r="A8424" s="250">
        <v>21144</v>
      </c>
      <c r="B8424" s="74" t="s">
        <v>5700</v>
      </c>
      <c r="C8424" s="74" t="s">
        <v>431</v>
      </c>
    </row>
    <row r="8425" spans="1:3">
      <c r="A8425" s="250">
        <v>21146</v>
      </c>
      <c r="B8425" s="74" t="s">
        <v>5701</v>
      </c>
      <c r="C8425" s="74" t="s">
        <v>431</v>
      </c>
    </row>
    <row r="8426" spans="1:3">
      <c r="A8426" s="250">
        <v>21150</v>
      </c>
      <c r="B8426" s="74" t="s">
        <v>5702</v>
      </c>
      <c r="C8426" s="74" t="s">
        <v>431</v>
      </c>
    </row>
    <row r="8427" spans="1:3">
      <c r="A8427" s="250">
        <v>21152</v>
      </c>
      <c r="B8427" s="74" t="s">
        <v>5703</v>
      </c>
      <c r="C8427" s="74" t="s">
        <v>431</v>
      </c>
    </row>
    <row r="8428" spans="1:3">
      <c r="A8428" s="250">
        <v>21153</v>
      </c>
      <c r="B8428" s="74" t="s">
        <v>2071</v>
      </c>
      <c r="C8428" s="74" t="s">
        <v>431</v>
      </c>
    </row>
    <row r="8429" spans="1:3">
      <c r="A8429" s="250">
        <v>21154</v>
      </c>
      <c r="B8429" s="74" t="s">
        <v>5704</v>
      </c>
      <c r="C8429" s="74" t="s">
        <v>431</v>
      </c>
    </row>
    <row r="8430" spans="1:3">
      <c r="A8430" s="250">
        <v>21155</v>
      </c>
      <c r="B8430" s="74" t="s">
        <v>5705</v>
      </c>
      <c r="C8430" s="74" t="s">
        <v>431</v>
      </c>
    </row>
    <row r="8431" spans="1:3">
      <c r="A8431" s="250">
        <v>21156</v>
      </c>
      <c r="B8431" s="74" t="s">
        <v>5706</v>
      </c>
      <c r="C8431" s="74" t="s">
        <v>431</v>
      </c>
    </row>
    <row r="8432" spans="1:3">
      <c r="A8432" s="250">
        <v>21157</v>
      </c>
      <c r="B8432" s="74" t="s">
        <v>708</v>
      </c>
      <c r="C8432" s="74" t="s">
        <v>431</v>
      </c>
    </row>
    <row r="8433" spans="1:3">
      <c r="A8433" s="250">
        <v>21158</v>
      </c>
      <c r="B8433" s="74" t="s">
        <v>708</v>
      </c>
      <c r="C8433" s="74" t="s">
        <v>431</v>
      </c>
    </row>
    <row r="8434" spans="1:3">
      <c r="A8434" s="250">
        <v>21160</v>
      </c>
      <c r="B8434" s="74" t="s">
        <v>5707</v>
      </c>
      <c r="C8434" s="74" t="s">
        <v>431</v>
      </c>
    </row>
    <row r="8435" spans="1:3">
      <c r="A8435" s="250">
        <v>21161</v>
      </c>
      <c r="B8435" s="74" t="s">
        <v>5708</v>
      </c>
      <c r="C8435" s="74" t="s">
        <v>431</v>
      </c>
    </row>
    <row r="8436" spans="1:3">
      <c r="A8436" s="250">
        <v>21162</v>
      </c>
      <c r="B8436" s="74" t="s">
        <v>5709</v>
      </c>
      <c r="C8436" s="74" t="s">
        <v>431</v>
      </c>
    </row>
    <row r="8437" spans="1:3">
      <c r="A8437" s="250">
        <v>21163</v>
      </c>
      <c r="B8437" s="74" t="s">
        <v>1223</v>
      </c>
      <c r="C8437" s="74" t="s">
        <v>431</v>
      </c>
    </row>
    <row r="8438" spans="1:3">
      <c r="A8438" s="250">
        <v>21201</v>
      </c>
      <c r="B8438" s="74" t="s">
        <v>5710</v>
      </c>
      <c r="C8438" s="74" t="s">
        <v>431</v>
      </c>
    </row>
    <row r="8439" spans="1:3">
      <c r="A8439" s="250">
        <v>21202</v>
      </c>
      <c r="B8439" s="74" t="s">
        <v>5710</v>
      </c>
      <c r="C8439" s="74" t="s">
        <v>431</v>
      </c>
    </row>
    <row r="8440" spans="1:3">
      <c r="A8440" s="250">
        <v>21203</v>
      </c>
      <c r="B8440" s="74" t="s">
        <v>5710</v>
      </c>
      <c r="C8440" s="74" t="s">
        <v>431</v>
      </c>
    </row>
    <row r="8441" spans="1:3">
      <c r="A8441" s="250">
        <v>21204</v>
      </c>
      <c r="B8441" s="74" t="s">
        <v>5711</v>
      </c>
      <c r="C8441" s="74" t="s">
        <v>431</v>
      </c>
    </row>
    <row r="8442" spans="1:3">
      <c r="A8442" s="250">
        <v>21205</v>
      </c>
      <c r="B8442" s="74" t="s">
        <v>5710</v>
      </c>
      <c r="C8442" s="74" t="s">
        <v>431</v>
      </c>
    </row>
    <row r="8443" spans="1:3">
      <c r="A8443" s="250">
        <v>21206</v>
      </c>
      <c r="B8443" s="74" t="s">
        <v>5710</v>
      </c>
      <c r="C8443" s="74" t="s">
        <v>431</v>
      </c>
    </row>
    <row r="8444" spans="1:3">
      <c r="A8444" s="250">
        <v>21207</v>
      </c>
      <c r="B8444" s="74" t="s">
        <v>5712</v>
      </c>
      <c r="C8444" s="74" t="s">
        <v>431</v>
      </c>
    </row>
    <row r="8445" spans="1:3">
      <c r="A8445" s="250">
        <v>21208</v>
      </c>
      <c r="B8445" s="74" t="s">
        <v>5713</v>
      </c>
      <c r="C8445" s="74" t="s">
        <v>431</v>
      </c>
    </row>
    <row r="8446" spans="1:3">
      <c r="A8446" s="250">
        <v>21209</v>
      </c>
      <c r="B8446" s="74" t="s">
        <v>5710</v>
      </c>
      <c r="C8446" s="74" t="s">
        <v>431</v>
      </c>
    </row>
    <row r="8447" spans="1:3">
      <c r="A8447" s="250">
        <v>21210</v>
      </c>
      <c r="B8447" s="74" t="s">
        <v>5710</v>
      </c>
      <c r="C8447" s="74" t="s">
        <v>431</v>
      </c>
    </row>
    <row r="8448" spans="1:3">
      <c r="A8448" s="250">
        <v>21211</v>
      </c>
      <c r="B8448" s="74" t="s">
        <v>5710</v>
      </c>
      <c r="C8448" s="74" t="s">
        <v>431</v>
      </c>
    </row>
    <row r="8449" spans="1:3">
      <c r="A8449" s="250">
        <v>21212</v>
      </c>
      <c r="B8449" s="74" t="s">
        <v>5710</v>
      </c>
      <c r="C8449" s="74" t="s">
        <v>431</v>
      </c>
    </row>
    <row r="8450" spans="1:3">
      <c r="A8450" s="250">
        <v>21213</v>
      </c>
      <c r="B8450" s="74" t="s">
        <v>5710</v>
      </c>
      <c r="C8450" s="74" t="s">
        <v>431</v>
      </c>
    </row>
    <row r="8451" spans="1:3">
      <c r="A8451" s="250">
        <v>21214</v>
      </c>
      <c r="B8451" s="74" t="s">
        <v>5710</v>
      </c>
      <c r="C8451" s="74" t="s">
        <v>431</v>
      </c>
    </row>
    <row r="8452" spans="1:3">
      <c r="A8452" s="250">
        <v>21215</v>
      </c>
      <c r="B8452" s="74" t="s">
        <v>5710</v>
      </c>
      <c r="C8452" s="74" t="s">
        <v>431</v>
      </c>
    </row>
    <row r="8453" spans="1:3">
      <c r="A8453" s="250">
        <v>21216</v>
      </c>
      <c r="B8453" s="74" t="s">
        <v>5710</v>
      </c>
      <c r="C8453" s="74" t="s">
        <v>431</v>
      </c>
    </row>
    <row r="8454" spans="1:3">
      <c r="A8454" s="250">
        <v>21217</v>
      </c>
      <c r="B8454" s="74" t="s">
        <v>5710</v>
      </c>
      <c r="C8454" s="74" t="s">
        <v>431</v>
      </c>
    </row>
    <row r="8455" spans="1:3">
      <c r="A8455" s="250">
        <v>21218</v>
      </c>
      <c r="B8455" s="74" t="s">
        <v>5710</v>
      </c>
      <c r="C8455" s="74" t="s">
        <v>431</v>
      </c>
    </row>
    <row r="8456" spans="1:3">
      <c r="A8456" s="250">
        <v>21219</v>
      </c>
      <c r="B8456" s="74" t="s">
        <v>5714</v>
      </c>
      <c r="C8456" s="74" t="s">
        <v>431</v>
      </c>
    </row>
    <row r="8457" spans="1:3">
      <c r="A8457" s="250">
        <v>21220</v>
      </c>
      <c r="B8457" s="74" t="s">
        <v>5715</v>
      </c>
      <c r="C8457" s="74" t="s">
        <v>431</v>
      </c>
    </row>
    <row r="8458" spans="1:3">
      <c r="A8458" s="250">
        <v>21221</v>
      </c>
      <c r="B8458" s="74" t="s">
        <v>842</v>
      </c>
      <c r="C8458" s="74" t="s">
        <v>431</v>
      </c>
    </row>
    <row r="8459" spans="1:3">
      <c r="A8459" s="250">
        <v>21222</v>
      </c>
      <c r="B8459" s="74" t="s">
        <v>5716</v>
      </c>
      <c r="C8459" s="74" t="s">
        <v>431</v>
      </c>
    </row>
    <row r="8460" spans="1:3">
      <c r="A8460" s="250">
        <v>21223</v>
      </c>
      <c r="B8460" s="74" t="s">
        <v>5710</v>
      </c>
      <c r="C8460" s="74" t="s">
        <v>431</v>
      </c>
    </row>
    <row r="8461" spans="1:3">
      <c r="A8461" s="250">
        <v>21224</v>
      </c>
      <c r="B8461" s="74" t="s">
        <v>5710</v>
      </c>
      <c r="C8461" s="74" t="s">
        <v>431</v>
      </c>
    </row>
    <row r="8462" spans="1:3">
      <c r="A8462" s="250">
        <v>21225</v>
      </c>
      <c r="B8462" s="74" t="s">
        <v>1983</v>
      </c>
      <c r="C8462" s="74" t="s">
        <v>431</v>
      </c>
    </row>
    <row r="8463" spans="1:3">
      <c r="A8463" s="250">
        <v>21226</v>
      </c>
      <c r="B8463" s="74" t="s">
        <v>5717</v>
      </c>
      <c r="C8463" s="74" t="s">
        <v>431</v>
      </c>
    </row>
    <row r="8464" spans="1:3">
      <c r="A8464" s="250">
        <v>21227</v>
      </c>
      <c r="B8464" s="74" t="s">
        <v>5718</v>
      </c>
      <c r="C8464" s="74" t="s">
        <v>431</v>
      </c>
    </row>
    <row r="8465" spans="1:3">
      <c r="A8465" s="250">
        <v>21228</v>
      </c>
      <c r="B8465" s="74" t="s">
        <v>5719</v>
      </c>
      <c r="C8465" s="74" t="s">
        <v>431</v>
      </c>
    </row>
    <row r="8466" spans="1:3">
      <c r="A8466" s="250">
        <v>21229</v>
      </c>
      <c r="B8466" s="74" t="s">
        <v>5710</v>
      </c>
      <c r="C8466" s="74" t="s">
        <v>431</v>
      </c>
    </row>
    <row r="8467" spans="1:3">
      <c r="A8467" s="250">
        <v>21230</v>
      </c>
      <c r="B8467" s="74" t="s">
        <v>5710</v>
      </c>
      <c r="C8467" s="74" t="s">
        <v>431</v>
      </c>
    </row>
    <row r="8468" spans="1:3">
      <c r="A8468" s="250">
        <v>21231</v>
      </c>
      <c r="B8468" s="74" t="s">
        <v>5710</v>
      </c>
      <c r="C8468" s="74" t="s">
        <v>431</v>
      </c>
    </row>
    <row r="8469" spans="1:3">
      <c r="A8469" s="250">
        <v>21233</v>
      </c>
      <c r="B8469" s="74" t="s">
        <v>5710</v>
      </c>
      <c r="C8469" s="74" t="s">
        <v>431</v>
      </c>
    </row>
    <row r="8470" spans="1:3">
      <c r="A8470" s="250">
        <v>21234</v>
      </c>
      <c r="B8470" s="74" t="s">
        <v>5720</v>
      </c>
      <c r="C8470" s="74" t="s">
        <v>431</v>
      </c>
    </row>
    <row r="8471" spans="1:3">
      <c r="A8471" s="250">
        <v>21235</v>
      </c>
      <c r="B8471" s="74" t="s">
        <v>5710</v>
      </c>
      <c r="C8471" s="74" t="s">
        <v>431</v>
      </c>
    </row>
    <row r="8472" spans="1:3">
      <c r="A8472" s="250">
        <v>21236</v>
      </c>
      <c r="B8472" s="74" t="s">
        <v>1221</v>
      </c>
      <c r="C8472" s="74" t="s">
        <v>431</v>
      </c>
    </row>
    <row r="8473" spans="1:3">
      <c r="A8473" s="250">
        <v>21237</v>
      </c>
      <c r="B8473" s="74" t="s">
        <v>2759</v>
      </c>
      <c r="C8473" s="74" t="s">
        <v>431</v>
      </c>
    </row>
    <row r="8474" spans="1:3">
      <c r="A8474" s="250">
        <v>21239</v>
      </c>
      <c r="B8474" s="74" t="s">
        <v>5710</v>
      </c>
      <c r="C8474" s="74" t="s">
        <v>431</v>
      </c>
    </row>
    <row r="8475" spans="1:3">
      <c r="A8475" s="250">
        <v>21240</v>
      </c>
      <c r="B8475" s="74" t="s">
        <v>5710</v>
      </c>
      <c r="C8475" s="74" t="s">
        <v>431</v>
      </c>
    </row>
    <row r="8476" spans="1:3">
      <c r="A8476" s="250">
        <v>21241</v>
      </c>
      <c r="B8476" s="74" t="s">
        <v>5710</v>
      </c>
      <c r="C8476" s="74" t="s">
        <v>431</v>
      </c>
    </row>
    <row r="8477" spans="1:3">
      <c r="A8477" s="250">
        <v>21244</v>
      </c>
      <c r="B8477" s="74" t="s">
        <v>5721</v>
      </c>
      <c r="C8477" s="74" t="s">
        <v>431</v>
      </c>
    </row>
    <row r="8478" spans="1:3">
      <c r="A8478" s="250">
        <v>21250</v>
      </c>
      <c r="B8478" s="74" t="s">
        <v>5710</v>
      </c>
      <c r="C8478" s="74" t="s">
        <v>431</v>
      </c>
    </row>
    <row r="8479" spans="1:3">
      <c r="A8479" s="250">
        <v>21251</v>
      </c>
      <c r="B8479" s="74" t="s">
        <v>5710</v>
      </c>
      <c r="C8479" s="74" t="s">
        <v>431</v>
      </c>
    </row>
    <row r="8480" spans="1:3">
      <c r="A8480" s="250">
        <v>21252</v>
      </c>
      <c r="B8480" s="74" t="s">
        <v>5711</v>
      </c>
      <c r="C8480" s="74" t="s">
        <v>431</v>
      </c>
    </row>
    <row r="8481" spans="1:3">
      <c r="A8481" s="250">
        <v>21260</v>
      </c>
      <c r="B8481" s="74" t="s">
        <v>5710</v>
      </c>
      <c r="C8481" s="74" t="s">
        <v>431</v>
      </c>
    </row>
    <row r="8482" spans="1:3">
      <c r="A8482" s="250">
        <v>21261</v>
      </c>
      <c r="B8482" s="74" t="s">
        <v>5710</v>
      </c>
      <c r="C8482" s="74" t="s">
        <v>431</v>
      </c>
    </row>
    <row r="8483" spans="1:3">
      <c r="A8483" s="250">
        <v>21263</v>
      </c>
      <c r="B8483" s="74" t="s">
        <v>5710</v>
      </c>
      <c r="C8483" s="74" t="s">
        <v>431</v>
      </c>
    </row>
    <row r="8484" spans="1:3">
      <c r="A8484" s="250">
        <v>21264</v>
      </c>
      <c r="B8484" s="74" t="s">
        <v>5710</v>
      </c>
      <c r="C8484" s="74" t="s">
        <v>431</v>
      </c>
    </row>
    <row r="8485" spans="1:3">
      <c r="A8485" s="250">
        <v>21265</v>
      </c>
      <c r="B8485" s="74" t="s">
        <v>5710</v>
      </c>
      <c r="C8485" s="74" t="s">
        <v>431</v>
      </c>
    </row>
    <row r="8486" spans="1:3">
      <c r="A8486" s="250">
        <v>21268</v>
      </c>
      <c r="B8486" s="74" t="s">
        <v>5710</v>
      </c>
      <c r="C8486" s="74" t="s">
        <v>431</v>
      </c>
    </row>
    <row r="8487" spans="1:3">
      <c r="A8487" s="250">
        <v>21270</v>
      </c>
      <c r="B8487" s="74" t="s">
        <v>5710</v>
      </c>
      <c r="C8487" s="74" t="s">
        <v>431</v>
      </c>
    </row>
    <row r="8488" spans="1:3">
      <c r="A8488" s="250">
        <v>21273</v>
      </c>
      <c r="B8488" s="74" t="s">
        <v>5710</v>
      </c>
      <c r="C8488" s="74" t="s">
        <v>431</v>
      </c>
    </row>
    <row r="8489" spans="1:3">
      <c r="A8489" s="250">
        <v>21274</v>
      </c>
      <c r="B8489" s="74" t="s">
        <v>5710</v>
      </c>
      <c r="C8489" s="74" t="s">
        <v>431</v>
      </c>
    </row>
    <row r="8490" spans="1:3">
      <c r="A8490" s="250">
        <v>21275</v>
      </c>
      <c r="B8490" s="74" t="s">
        <v>5710</v>
      </c>
      <c r="C8490" s="74" t="s">
        <v>431</v>
      </c>
    </row>
    <row r="8491" spans="1:3">
      <c r="A8491" s="250">
        <v>21278</v>
      </c>
      <c r="B8491" s="74" t="s">
        <v>5710</v>
      </c>
      <c r="C8491" s="74" t="s">
        <v>431</v>
      </c>
    </row>
    <row r="8492" spans="1:3">
      <c r="A8492" s="250">
        <v>21279</v>
      </c>
      <c r="B8492" s="74" t="s">
        <v>5710</v>
      </c>
      <c r="C8492" s="74" t="s">
        <v>431</v>
      </c>
    </row>
    <row r="8493" spans="1:3">
      <c r="A8493" s="250">
        <v>21280</v>
      </c>
      <c r="B8493" s="74" t="s">
        <v>5710</v>
      </c>
      <c r="C8493" s="74" t="s">
        <v>431</v>
      </c>
    </row>
    <row r="8494" spans="1:3">
      <c r="A8494" s="250">
        <v>21281</v>
      </c>
      <c r="B8494" s="74" t="s">
        <v>5710</v>
      </c>
      <c r="C8494" s="74" t="s">
        <v>431</v>
      </c>
    </row>
    <row r="8495" spans="1:3">
      <c r="A8495" s="250">
        <v>21282</v>
      </c>
      <c r="B8495" s="74" t="s">
        <v>5710</v>
      </c>
      <c r="C8495" s="74" t="s">
        <v>431</v>
      </c>
    </row>
    <row r="8496" spans="1:3">
      <c r="A8496" s="250">
        <v>21283</v>
      </c>
      <c r="B8496" s="74" t="s">
        <v>5710</v>
      </c>
      <c r="C8496" s="74" t="s">
        <v>431</v>
      </c>
    </row>
    <row r="8497" spans="1:3">
      <c r="A8497" s="250">
        <v>21284</v>
      </c>
      <c r="B8497" s="74" t="s">
        <v>5710</v>
      </c>
      <c r="C8497" s="74" t="s">
        <v>431</v>
      </c>
    </row>
    <row r="8498" spans="1:3">
      <c r="A8498" s="250">
        <v>21285</v>
      </c>
      <c r="B8498" s="74" t="s">
        <v>5710</v>
      </c>
      <c r="C8498" s="74" t="s">
        <v>431</v>
      </c>
    </row>
    <row r="8499" spans="1:3">
      <c r="A8499" s="250">
        <v>21286</v>
      </c>
      <c r="B8499" s="74" t="s">
        <v>5711</v>
      </c>
      <c r="C8499" s="74" t="s">
        <v>431</v>
      </c>
    </row>
    <row r="8500" spans="1:3">
      <c r="A8500" s="250">
        <v>21287</v>
      </c>
      <c r="B8500" s="74" t="s">
        <v>5710</v>
      </c>
      <c r="C8500" s="74" t="s">
        <v>431</v>
      </c>
    </row>
    <row r="8501" spans="1:3">
      <c r="A8501" s="250">
        <v>21288</v>
      </c>
      <c r="B8501" s="74" t="s">
        <v>5710</v>
      </c>
      <c r="C8501" s="74" t="s">
        <v>431</v>
      </c>
    </row>
    <row r="8502" spans="1:3">
      <c r="A8502" s="250">
        <v>21289</v>
      </c>
      <c r="B8502" s="74" t="s">
        <v>5710</v>
      </c>
      <c r="C8502" s="74" t="s">
        <v>431</v>
      </c>
    </row>
    <row r="8503" spans="1:3">
      <c r="A8503" s="250">
        <v>21290</v>
      </c>
      <c r="B8503" s="74" t="s">
        <v>5710</v>
      </c>
      <c r="C8503" s="74" t="s">
        <v>431</v>
      </c>
    </row>
    <row r="8504" spans="1:3">
      <c r="A8504" s="250">
        <v>21297</v>
      </c>
      <c r="B8504" s="74" t="s">
        <v>5710</v>
      </c>
      <c r="C8504" s="74" t="s">
        <v>431</v>
      </c>
    </row>
    <row r="8505" spans="1:3">
      <c r="A8505" s="250">
        <v>21298</v>
      </c>
      <c r="B8505" s="74" t="s">
        <v>5710</v>
      </c>
      <c r="C8505" s="74" t="s">
        <v>431</v>
      </c>
    </row>
    <row r="8506" spans="1:3">
      <c r="A8506" s="250">
        <v>21401</v>
      </c>
      <c r="B8506" s="74" t="s">
        <v>5722</v>
      </c>
      <c r="C8506" s="74" t="s">
        <v>431</v>
      </c>
    </row>
    <row r="8507" spans="1:3">
      <c r="A8507" s="250">
        <v>21402</v>
      </c>
      <c r="B8507" s="74" t="s">
        <v>5722</v>
      </c>
      <c r="C8507" s="74" t="s">
        <v>431</v>
      </c>
    </row>
    <row r="8508" spans="1:3">
      <c r="A8508" s="250">
        <v>21403</v>
      </c>
      <c r="B8508" s="74" t="s">
        <v>5722</v>
      </c>
      <c r="C8508" s="74" t="s">
        <v>431</v>
      </c>
    </row>
    <row r="8509" spans="1:3">
      <c r="A8509" s="250">
        <v>21404</v>
      </c>
      <c r="B8509" s="74" t="s">
        <v>5722</v>
      </c>
      <c r="C8509" s="74" t="s">
        <v>431</v>
      </c>
    </row>
    <row r="8510" spans="1:3">
      <c r="A8510" s="250">
        <v>21405</v>
      </c>
      <c r="B8510" s="74" t="s">
        <v>5722</v>
      </c>
      <c r="C8510" s="74" t="s">
        <v>431</v>
      </c>
    </row>
    <row r="8511" spans="1:3">
      <c r="A8511" s="250">
        <v>21409</v>
      </c>
      <c r="B8511" s="74" t="s">
        <v>5722</v>
      </c>
      <c r="C8511" s="74" t="s">
        <v>431</v>
      </c>
    </row>
    <row r="8512" spans="1:3">
      <c r="A8512" s="250">
        <v>21411</v>
      </c>
      <c r="B8512" s="74" t="s">
        <v>5722</v>
      </c>
      <c r="C8512" s="74" t="s">
        <v>431</v>
      </c>
    </row>
    <row r="8513" spans="1:3">
      <c r="A8513" s="250">
        <v>21412</v>
      </c>
      <c r="B8513" s="74" t="s">
        <v>5722</v>
      </c>
      <c r="C8513" s="74" t="s">
        <v>431</v>
      </c>
    </row>
    <row r="8514" spans="1:3">
      <c r="A8514" s="250">
        <v>21501</v>
      </c>
      <c r="B8514" s="74" t="s">
        <v>1125</v>
      </c>
      <c r="C8514" s="74" t="s">
        <v>431</v>
      </c>
    </row>
    <row r="8515" spans="1:3">
      <c r="A8515" s="250">
        <v>21502</v>
      </c>
      <c r="B8515" s="74" t="s">
        <v>1125</v>
      </c>
      <c r="C8515" s="74" t="s">
        <v>431</v>
      </c>
    </row>
    <row r="8516" spans="1:3">
      <c r="A8516" s="250">
        <v>21503</v>
      </c>
      <c r="B8516" s="74" t="s">
        <v>1125</v>
      </c>
      <c r="C8516" s="74" t="s">
        <v>431</v>
      </c>
    </row>
    <row r="8517" spans="1:3">
      <c r="A8517" s="250">
        <v>21504</v>
      </c>
      <c r="B8517" s="74" t="s">
        <v>1125</v>
      </c>
      <c r="C8517" s="74" t="s">
        <v>431</v>
      </c>
    </row>
    <row r="8518" spans="1:3">
      <c r="A8518" s="250">
        <v>21505</v>
      </c>
      <c r="B8518" s="74" t="s">
        <v>1125</v>
      </c>
      <c r="C8518" s="74" t="s">
        <v>431</v>
      </c>
    </row>
    <row r="8519" spans="1:3">
      <c r="A8519" s="250">
        <v>21520</v>
      </c>
      <c r="B8519" s="74" t="s">
        <v>5723</v>
      </c>
      <c r="C8519" s="74" t="s">
        <v>431</v>
      </c>
    </row>
    <row r="8520" spans="1:3">
      <c r="A8520" s="250">
        <v>21521</v>
      </c>
      <c r="B8520" s="74" t="s">
        <v>1898</v>
      </c>
      <c r="C8520" s="74" t="s">
        <v>431</v>
      </c>
    </row>
    <row r="8521" spans="1:3">
      <c r="A8521" s="250">
        <v>21522</v>
      </c>
      <c r="B8521" s="74" t="s">
        <v>5724</v>
      </c>
      <c r="C8521" s="74" t="s">
        <v>431</v>
      </c>
    </row>
    <row r="8522" spans="1:3">
      <c r="A8522" s="250">
        <v>21523</v>
      </c>
      <c r="B8522" s="74" t="s">
        <v>3032</v>
      </c>
      <c r="C8522" s="74" t="s">
        <v>431</v>
      </c>
    </row>
    <row r="8523" spans="1:3">
      <c r="A8523" s="250">
        <v>21524</v>
      </c>
      <c r="B8523" s="74" t="s">
        <v>5725</v>
      </c>
      <c r="C8523" s="74" t="s">
        <v>431</v>
      </c>
    </row>
    <row r="8524" spans="1:3">
      <c r="A8524" s="250">
        <v>21528</v>
      </c>
      <c r="B8524" s="74" t="s">
        <v>5726</v>
      </c>
      <c r="C8524" s="74" t="s">
        <v>431</v>
      </c>
    </row>
    <row r="8525" spans="1:3">
      <c r="A8525" s="250">
        <v>21529</v>
      </c>
      <c r="B8525" s="74" t="s">
        <v>5727</v>
      </c>
      <c r="C8525" s="74" t="s">
        <v>431</v>
      </c>
    </row>
    <row r="8526" spans="1:3">
      <c r="A8526" s="250">
        <v>21530</v>
      </c>
      <c r="B8526" s="74" t="s">
        <v>5728</v>
      </c>
      <c r="C8526" s="74" t="s">
        <v>431</v>
      </c>
    </row>
    <row r="8527" spans="1:3">
      <c r="A8527" s="250">
        <v>21531</v>
      </c>
      <c r="B8527" s="74" t="s">
        <v>5238</v>
      </c>
      <c r="C8527" s="74" t="s">
        <v>431</v>
      </c>
    </row>
    <row r="8528" spans="1:3">
      <c r="A8528" s="250">
        <v>21532</v>
      </c>
      <c r="B8528" s="74" t="s">
        <v>4281</v>
      </c>
      <c r="C8528" s="74" t="s">
        <v>431</v>
      </c>
    </row>
    <row r="8529" spans="1:3">
      <c r="A8529" s="250">
        <v>21536</v>
      </c>
      <c r="B8529" s="74" t="s">
        <v>5729</v>
      </c>
      <c r="C8529" s="74" t="s">
        <v>431</v>
      </c>
    </row>
    <row r="8530" spans="1:3">
      <c r="A8530" s="250">
        <v>21538</v>
      </c>
      <c r="B8530" s="74" t="s">
        <v>5730</v>
      </c>
      <c r="C8530" s="74" t="s">
        <v>431</v>
      </c>
    </row>
    <row r="8531" spans="1:3">
      <c r="A8531" s="250">
        <v>21539</v>
      </c>
      <c r="B8531" s="74" t="s">
        <v>5731</v>
      </c>
      <c r="C8531" s="74" t="s">
        <v>431</v>
      </c>
    </row>
    <row r="8532" spans="1:3">
      <c r="A8532" s="250">
        <v>21540</v>
      </c>
      <c r="B8532" s="74" t="s">
        <v>5732</v>
      </c>
      <c r="C8532" s="74" t="s">
        <v>431</v>
      </c>
    </row>
    <row r="8533" spans="1:3">
      <c r="A8533" s="250">
        <v>21541</v>
      </c>
      <c r="B8533" s="74" t="s">
        <v>5733</v>
      </c>
      <c r="C8533" s="74" t="s">
        <v>431</v>
      </c>
    </row>
    <row r="8534" spans="1:3">
      <c r="A8534" s="250">
        <v>21542</v>
      </c>
      <c r="B8534" s="74" t="s">
        <v>3994</v>
      </c>
      <c r="C8534" s="74" t="s">
        <v>431</v>
      </c>
    </row>
    <row r="8535" spans="1:3">
      <c r="A8535" s="250">
        <v>21543</v>
      </c>
      <c r="B8535" s="74" t="s">
        <v>5734</v>
      </c>
      <c r="C8535" s="74" t="s">
        <v>431</v>
      </c>
    </row>
    <row r="8536" spans="1:3">
      <c r="A8536" s="250">
        <v>21545</v>
      </c>
      <c r="B8536" s="74" t="s">
        <v>5735</v>
      </c>
      <c r="C8536" s="74" t="s">
        <v>431</v>
      </c>
    </row>
    <row r="8537" spans="1:3">
      <c r="A8537" s="250">
        <v>21550</v>
      </c>
      <c r="B8537" s="74" t="s">
        <v>1121</v>
      </c>
      <c r="C8537" s="74" t="s">
        <v>431</v>
      </c>
    </row>
    <row r="8538" spans="1:3">
      <c r="A8538" s="250">
        <v>21555</v>
      </c>
      <c r="B8538" s="74" t="s">
        <v>5736</v>
      </c>
      <c r="C8538" s="74" t="s">
        <v>431</v>
      </c>
    </row>
    <row r="8539" spans="1:3">
      <c r="A8539" s="250">
        <v>21556</v>
      </c>
      <c r="B8539" s="74" t="s">
        <v>5737</v>
      </c>
      <c r="C8539" s="74" t="s">
        <v>431</v>
      </c>
    </row>
    <row r="8540" spans="1:3">
      <c r="A8540" s="250">
        <v>21557</v>
      </c>
      <c r="B8540" s="74" t="s">
        <v>5738</v>
      </c>
      <c r="C8540" s="74" t="s">
        <v>431</v>
      </c>
    </row>
    <row r="8541" spans="1:3">
      <c r="A8541" s="250">
        <v>21560</v>
      </c>
      <c r="B8541" s="74" t="s">
        <v>5739</v>
      </c>
      <c r="C8541" s="74" t="s">
        <v>431</v>
      </c>
    </row>
    <row r="8542" spans="1:3">
      <c r="A8542" s="250">
        <v>21561</v>
      </c>
      <c r="B8542" s="74" t="s">
        <v>1833</v>
      </c>
      <c r="C8542" s="74" t="s">
        <v>431</v>
      </c>
    </row>
    <row r="8543" spans="1:3">
      <c r="A8543" s="250">
        <v>21562</v>
      </c>
      <c r="B8543" s="74" t="s">
        <v>5740</v>
      </c>
      <c r="C8543" s="74" t="s">
        <v>431</v>
      </c>
    </row>
    <row r="8544" spans="1:3">
      <c r="A8544" s="250">
        <v>21601</v>
      </c>
      <c r="B8544" s="74" t="s">
        <v>941</v>
      </c>
      <c r="C8544" s="74" t="s">
        <v>431</v>
      </c>
    </row>
    <row r="8545" spans="1:3">
      <c r="A8545" s="250">
        <v>21606</v>
      </c>
      <c r="B8545" s="74" t="s">
        <v>941</v>
      </c>
      <c r="C8545" s="74" t="s">
        <v>431</v>
      </c>
    </row>
    <row r="8546" spans="1:3">
      <c r="A8546" s="250">
        <v>21607</v>
      </c>
      <c r="B8546" s="74" t="s">
        <v>5741</v>
      </c>
      <c r="C8546" s="74" t="s">
        <v>431</v>
      </c>
    </row>
    <row r="8547" spans="1:3">
      <c r="A8547" s="250">
        <v>21609</v>
      </c>
      <c r="B8547" s="74" t="s">
        <v>1247</v>
      </c>
      <c r="C8547" s="74" t="s">
        <v>431</v>
      </c>
    </row>
    <row r="8548" spans="1:3">
      <c r="A8548" s="250">
        <v>21610</v>
      </c>
      <c r="B8548" s="74" t="s">
        <v>5742</v>
      </c>
      <c r="C8548" s="74" t="s">
        <v>431</v>
      </c>
    </row>
    <row r="8549" spans="1:3">
      <c r="A8549" s="250">
        <v>21612</v>
      </c>
      <c r="B8549" s="74" t="s">
        <v>5743</v>
      </c>
      <c r="C8549" s="74" t="s">
        <v>431</v>
      </c>
    </row>
    <row r="8550" spans="1:3">
      <c r="A8550" s="250">
        <v>21613</v>
      </c>
      <c r="B8550" s="74" t="s">
        <v>914</v>
      </c>
      <c r="C8550" s="74" t="s">
        <v>431</v>
      </c>
    </row>
    <row r="8551" spans="1:3">
      <c r="A8551" s="250">
        <v>21617</v>
      </c>
      <c r="B8551" s="74" t="s">
        <v>5518</v>
      </c>
      <c r="C8551" s="74" t="s">
        <v>431</v>
      </c>
    </row>
    <row r="8552" spans="1:3">
      <c r="A8552" s="250">
        <v>21619</v>
      </c>
      <c r="B8552" s="74" t="s">
        <v>583</v>
      </c>
      <c r="C8552" s="74" t="s">
        <v>431</v>
      </c>
    </row>
    <row r="8553" spans="1:3">
      <c r="A8553" s="250">
        <v>21620</v>
      </c>
      <c r="B8553" s="74" t="s">
        <v>3227</v>
      </c>
      <c r="C8553" s="74" t="s">
        <v>431</v>
      </c>
    </row>
    <row r="8554" spans="1:3">
      <c r="A8554" s="250">
        <v>21622</v>
      </c>
      <c r="B8554" s="74" t="s">
        <v>5744</v>
      </c>
      <c r="C8554" s="74" t="s">
        <v>431</v>
      </c>
    </row>
    <row r="8555" spans="1:3">
      <c r="A8555" s="250">
        <v>21623</v>
      </c>
      <c r="B8555" s="74" t="s">
        <v>5745</v>
      </c>
      <c r="C8555" s="74" t="s">
        <v>431</v>
      </c>
    </row>
    <row r="8556" spans="1:3">
      <c r="A8556" s="250">
        <v>21624</v>
      </c>
      <c r="B8556" s="74" t="s">
        <v>5746</v>
      </c>
      <c r="C8556" s="74" t="s">
        <v>431</v>
      </c>
    </row>
    <row r="8557" spans="1:3">
      <c r="A8557" s="250">
        <v>21625</v>
      </c>
      <c r="B8557" s="74" t="s">
        <v>5747</v>
      </c>
      <c r="C8557" s="74" t="s">
        <v>431</v>
      </c>
    </row>
    <row r="8558" spans="1:3">
      <c r="A8558" s="250">
        <v>21626</v>
      </c>
      <c r="B8558" s="74" t="s">
        <v>5748</v>
      </c>
      <c r="C8558" s="74" t="s">
        <v>431</v>
      </c>
    </row>
    <row r="8559" spans="1:3">
      <c r="A8559" s="250">
        <v>21627</v>
      </c>
      <c r="B8559" s="74" t="s">
        <v>5749</v>
      </c>
      <c r="C8559" s="74" t="s">
        <v>431</v>
      </c>
    </row>
    <row r="8560" spans="1:3">
      <c r="A8560" s="250">
        <v>21628</v>
      </c>
      <c r="B8560" s="74" t="s">
        <v>5750</v>
      </c>
      <c r="C8560" s="74" t="s">
        <v>431</v>
      </c>
    </row>
    <row r="8561" spans="1:3">
      <c r="A8561" s="250">
        <v>21629</v>
      </c>
      <c r="B8561" s="74" t="s">
        <v>5751</v>
      </c>
      <c r="C8561" s="74" t="s">
        <v>431</v>
      </c>
    </row>
    <row r="8562" spans="1:3">
      <c r="A8562" s="250">
        <v>21631</v>
      </c>
      <c r="B8562" s="74" t="s">
        <v>5752</v>
      </c>
      <c r="C8562" s="74" t="s">
        <v>431</v>
      </c>
    </row>
    <row r="8563" spans="1:3">
      <c r="A8563" s="250">
        <v>21632</v>
      </c>
      <c r="B8563" s="74" t="s">
        <v>5753</v>
      </c>
      <c r="C8563" s="74" t="s">
        <v>431</v>
      </c>
    </row>
    <row r="8564" spans="1:3">
      <c r="A8564" s="250">
        <v>21634</v>
      </c>
      <c r="B8564" s="74" t="s">
        <v>5754</v>
      </c>
      <c r="C8564" s="74" t="s">
        <v>431</v>
      </c>
    </row>
    <row r="8565" spans="1:3">
      <c r="A8565" s="250">
        <v>21635</v>
      </c>
      <c r="B8565" s="74" t="s">
        <v>5755</v>
      </c>
      <c r="C8565" s="74" t="s">
        <v>431</v>
      </c>
    </row>
    <row r="8566" spans="1:3">
      <c r="A8566" s="250">
        <v>21636</v>
      </c>
      <c r="B8566" s="74" t="s">
        <v>5756</v>
      </c>
      <c r="C8566" s="74" t="s">
        <v>431</v>
      </c>
    </row>
    <row r="8567" spans="1:3">
      <c r="A8567" s="250">
        <v>21638</v>
      </c>
      <c r="B8567" s="74" t="s">
        <v>5757</v>
      </c>
      <c r="C8567" s="74" t="s">
        <v>431</v>
      </c>
    </row>
    <row r="8568" spans="1:3">
      <c r="A8568" s="250">
        <v>21639</v>
      </c>
      <c r="B8568" s="74" t="s">
        <v>1910</v>
      </c>
      <c r="C8568" s="74" t="s">
        <v>431</v>
      </c>
    </row>
    <row r="8569" spans="1:3">
      <c r="A8569" s="250">
        <v>21640</v>
      </c>
      <c r="B8569" s="74" t="s">
        <v>3556</v>
      </c>
      <c r="C8569" s="74" t="s">
        <v>431</v>
      </c>
    </row>
    <row r="8570" spans="1:3">
      <c r="A8570" s="250">
        <v>21641</v>
      </c>
      <c r="B8570" s="74" t="s">
        <v>5758</v>
      </c>
      <c r="C8570" s="74" t="s">
        <v>431</v>
      </c>
    </row>
    <row r="8571" spans="1:3">
      <c r="A8571" s="250">
        <v>21643</v>
      </c>
      <c r="B8571" s="74" t="s">
        <v>5759</v>
      </c>
      <c r="C8571" s="74" t="s">
        <v>431</v>
      </c>
    </row>
    <row r="8572" spans="1:3">
      <c r="A8572" s="250">
        <v>21644</v>
      </c>
      <c r="B8572" s="74" t="s">
        <v>5760</v>
      </c>
      <c r="C8572" s="74" t="s">
        <v>431</v>
      </c>
    </row>
    <row r="8573" spans="1:3">
      <c r="A8573" s="250">
        <v>21645</v>
      </c>
      <c r="B8573" s="74" t="s">
        <v>5761</v>
      </c>
      <c r="C8573" s="74" t="s">
        <v>431</v>
      </c>
    </row>
    <row r="8574" spans="1:3">
      <c r="A8574" s="250">
        <v>21647</v>
      </c>
      <c r="B8574" s="74" t="s">
        <v>5762</v>
      </c>
      <c r="C8574" s="74" t="s">
        <v>431</v>
      </c>
    </row>
    <row r="8575" spans="1:3">
      <c r="A8575" s="250">
        <v>21648</v>
      </c>
      <c r="B8575" s="74" t="s">
        <v>1320</v>
      </c>
      <c r="C8575" s="74" t="s">
        <v>431</v>
      </c>
    </row>
    <row r="8576" spans="1:3">
      <c r="A8576" s="250">
        <v>21649</v>
      </c>
      <c r="B8576" s="74" t="s">
        <v>5507</v>
      </c>
      <c r="C8576" s="74" t="s">
        <v>431</v>
      </c>
    </row>
    <row r="8577" spans="1:3">
      <c r="A8577" s="250">
        <v>21650</v>
      </c>
      <c r="B8577" s="74" t="s">
        <v>5763</v>
      </c>
      <c r="C8577" s="74" t="s">
        <v>431</v>
      </c>
    </row>
    <row r="8578" spans="1:3">
      <c r="A8578" s="250">
        <v>21651</v>
      </c>
      <c r="B8578" s="74" t="s">
        <v>2351</v>
      </c>
      <c r="C8578" s="74" t="s">
        <v>431</v>
      </c>
    </row>
    <row r="8579" spans="1:3">
      <c r="A8579" s="250">
        <v>21652</v>
      </c>
      <c r="B8579" s="74" t="s">
        <v>5764</v>
      </c>
      <c r="C8579" s="74" t="s">
        <v>431</v>
      </c>
    </row>
    <row r="8580" spans="1:3">
      <c r="A8580" s="250">
        <v>21653</v>
      </c>
      <c r="B8580" s="74" t="s">
        <v>3250</v>
      </c>
      <c r="C8580" s="74" t="s">
        <v>431</v>
      </c>
    </row>
    <row r="8581" spans="1:3">
      <c r="A8581" s="250">
        <v>21654</v>
      </c>
      <c r="B8581" s="74" t="s">
        <v>754</v>
      </c>
      <c r="C8581" s="74" t="s">
        <v>431</v>
      </c>
    </row>
    <row r="8582" spans="1:3">
      <c r="A8582" s="250">
        <v>21655</v>
      </c>
      <c r="B8582" s="74" t="s">
        <v>2023</v>
      </c>
      <c r="C8582" s="74" t="s">
        <v>431</v>
      </c>
    </row>
    <row r="8583" spans="1:3">
      <c r="A8583" s="250">
        <v>21656</v>
      </c>
      <c r="B8583" s="74" t="s">
        <v>5765</v>
      </c>
      <c r="C8583" s="74" t="s">
        <v>431</v>
      </c>
    </row>
    <row r="8584" spans="1:3">
      <c r="A8584" s="250">
        <v>21657</v>
      </c>
      <c r="B8584" s="74" t="s">
        <v>5766</v>
      </c>
      <c r="C8584" s="74" t="s">
        <v>431</v>
      </c>
    </row>
    <row r="8585" spans="1:3">
      <c r="A8585" s="250">
        <v>21658</v>
      </c>
      <c r="B8585" s="74" t="s">
        <v>5767</v>
      </c>
      <c r="C8585" s="74" t="s">
        <v>431</v>
      </c>
    </row>
    <row r="8586" spans="1:3">
      <c r="A8586" s="250">
        <v>21659</v>
      </c>
      <c r="B8586" s="74" t="s">
        <v>5768</v>
      </c>
      <c r="C8586" s="74" t="s">
        <v>431</v>
      </c>
    </row>
    <row r="8587" spans="1:3">
      <c r="A8587" s="250">
        <v>21660</v>
      </c>
      <c r="B8587" s="74" t="s">
        <v>5769</v>
      </c>
      <c r="C8587" s="74" t="s">
        <v>431</v>
      </c>
    </row>
    <row r="8588" spans="1:3">
      <c r="A8588" s="250">
        <v>21661</v>
      </c>
      <c r="B8588" s="74" t="s">
        <v>5770</v>
      </c>
      <c r="C8588" s="74" t="s">
        <v>431</v>
      </c>
    </row>
    <row r="8589" spans="1:3">
      <c r="A8589" s="250">
        <v>21662</v>
      </c>
      <c r="B8589" s="74" t="s">
        <v>5771</v>
      </c>
      <c r="C8589" s="74" t="s">
        <v>431</v>
      </c>
    </row>
    <row r="8590" spans="1:3">
      <c r="A8590" s="250">
        <v>21663</v>
      </c>
      <c r="B8590" s="74" t="s">
        <v>5772</v>
      </c>
      <c r="C8590" s="74" t="s">
        <v>431</v>
      </c>
    </row>
    <row r="8591" spans="1:3">
      <c r="A8591" s="250">
        <v>21664</v>
      </c>
      <c r="B8591" s="74" t="s">
        <v>5773</v>
      </c>
      <c r="C8591" s="74" t="s">
        <v>431</v>
      </c>
    </row>
    <row r="8592" spans="1:3">
      <c r="A8592" s="250">
        <v>21665</v>
      </c>
      <c r="B8592" s="74" t="s">
        <v>5774</v>
      </c>
      <c r="C8592" s="74" t="s">
        <v>431</v>
      </c>
    </row>
    <row r="8593" spans="1:3">
      <c r="A8593" s="250">
        <v>21666</v>
      </c>
      <c r="B8593" s="74" t="s">
        <v>5251</v>
      </c>
      <c r="C8593" s="74" t="s">
        <v>431</v>
      </c>
    </row>
    <row r="8594" spans="1:3">
      <c r="A8594" s="250">
        <v>21667</v>
      </c>
      <c r="B8594" s="74" t="s">
        <v>5775</v>
      </c>
      <c r="C8594" s="74" t="s">
        <v>431</v>
      </c>
    </row>
    <row r="8595" spans="1:3">
      <c r="A8595" s="250">
        <v>21668</v>
      </c>
      <c r="B8595" s="74" t="s">
        <v>5776</v>
      </c>
      <c r="C8595" s="74" t="s">
        <v>431</v>
      </c>
    </row>
    <row r="8596" spans="1:3">
      <c r="A8596" s="250">
        <v>21669</v>
      </c>
      <c r="B8596" s="74" t="s">
        <v>5777</v>
      </c>
      <c r="C8596" s="74" t="s">
        <v>431</v>
      </c>
    </row>
    <row r="8597" spans="1:3">
      <c r="A8597" s="250">
        <v>21670</v>
      </c>
      <c r="B8597" s="74" t="s">
        <v>5778</v>
      </c>
      <c r="C8597" s="74" t="s">
        <v>431</v>
      </c>
    </row>
    <row r="8598" spans="1:3">
      <c r="A8598" s="250">
        <v>21671</v>
      </c>
      <c r="B8598" s="74" t="s">
        <v>5779</v>
      </c>
      <c r="C8598" s="74" t="s">
        <v>431</v>
      </c>
    </row>
    <row r="8599" spans="1:3">
      <c r="A8599" s="250">
        <v>21672</v>
      </c>
      <c r="B8599" s="74" t="s">
        <v>5780</v>
      </c>
      <c r="C8599" s="74" t="s">
        <v>431</v>
      </c>
    </row>
    <row r="8600" spans="1:3">
      <c r="A8600" s="250">
        <v>21673</v>
      </c>
      <c r="B8600" s="74" t="s">
        <v>5781</v>
      </c>
      <c r="C8600" s="74" t="s">
        <v>431</v>
      </c>
    </row>
    <row r="8601" spans="1:3">
      <c r="A8601" s="250">
        <v>21675</v>
      </c>
      <c r="B8601" s="74" t="s">
        <v>5782</v>
      </c>
      <c r="C8601" s="74" t="s">
        <v>431</v>
      </c>
    </row>
    <row r="8602" spans="1:3">
      <c r="A8602" s="250">
        <v>21676</v>
      </c>
      <c r="B8602" s="74" t="s">
        <v>5783</v>
      </c>
      <c r="C8602" s="74" t="s">
        <v>431</v>
      </c>
    </row>
    <row r="8603" spans="1:3">
      <c r="A8603" s="250">
        <v>21677</v>
      </c>
      <c r="B8603" s="74" t="s">
        <v>5784</v>
      </c>
      <c r="C8603" s="74" t="s">
        <v>431</v>
      </c>
    </row>
    <row r="8604" spans="1:3">
      <c r="A8604" s="250">
        <v>21678</v>
      </c>
      <c r="B8604" s="74" t="s">
        <v>5785</v>
      </c>
      <c r="C8604" s="74" t="s">
        <v>431</v>
      </c>
    </row>
    <row r="8605" spans="1:3">
      <c r="A8605" s="250">
        <v>21679</v>
      </c>
      <c r="B8605" s="74" t="s">
        <v>5786</v>
      </c>
      <c r="C8605" s="74" t="s">
        <v>431</v>
      </c>
    </row>
    <row r="8606" spans="1:3">
      <c r="A8606" s="250">
        <v>21681</v>
      </c>
      <c r="B8606" s="74" t="s">
        <v>5769</v>
      </c>
      <c r="C8606" s="74" t="s">
        <v>431</v>
      </c>
    </row>
    <row r="8607" spans="1:3">
      <c r="A8607" s="250">
        <v>21682</v>
      </c>
      <c r="B8607" s="74" t="s">
        <v>5769</v>
      </c>
      <c r="C8607" s="74" t="s">
        <v>431</v>
      </c>
    </row>
    <row r="8608" spans="1:3">
      <c r="A8608" s="250">
        <v>21683</v>
      </c>
      <c r="B8608" s="74" t="s">
        <v>5769</v>
      </c>
      <c r="C8608" s="74" t="s">
        <v>431</v>
      </c>
    </row>
    <row r="8609" spans="1:3">
      <c r="A8609" s="250">
        <v>21684</v>
      </c>
      <c r="B8609" s="74" t="s">
        <v>5769</v>
      </c>
      <c r="C8609" s="74" t="s">
        <v>431</v>
      </c>
    </row>
    <row r="8610" spans="1:3">
      <c r="A8610" s="250">
        <v>21685</v>
      </c>
      <c r="B8610" s="74" t="s">
        <v>5769</v>
      </c>
      <c r="C8610" s="74" t="s">
        <v>431</v>
      </c>
    </row>
    <row r="8611" spans="1:3">
      <c r="A8611" s="250">
        <v>21686</v>
      </c>
      <c r="B8611" s="74" t="s">
        <v>5769</v>
      </c>
      <c r="C8611" s="74" t="s">
        <v>431</v>
      </c>
    </row>
    <row r="8612" spans="1:3">
      <c r="A8612" s="250">
        <v>21687</v>
      </c>
      <c r="B8612" s="74" t="s">
        <v>5769</v>
      </c>
      <c r="C8612" s="74" t="s">
        <v>431</v>
      </c>
    </row>
    <row r="8613" spans="1:3">
      <c r="A8613" s="250">
        <v>21688</v>
      </c>
      <c r="B8613" s="74" t="s">
        <v>5769</v>
      </c>
      <c r="C8613" s="74" t="s">
        <v>431</v>
      </c>
    </row>
    <row r="8614" spans="1:3">
      <c r="A8614" s="250">
        <v>21690</v>
      </c>
      <c r="B8614" s="74" t="s">
        <v>3227</v>
      </c>
      <c r="C8614" s="74" t="s">
        <v>431</v>
      </c>
    </row>
    <row r="8615" spans="1:3">
      <c r="A8615" s="250">
        <v>21701</v>
      </c>
      <c r="B8615" s="74" t="s">
        <v>5417</v>
      </c>
      <c r="C8615" s="74" t="s">
        <v>431</v>
      </c>
    </row>
    <row r="8616" spans="1:3">
      <c r="A8616" s="250">
        <v>21702</v>
      </c>
      <c r="B8616" s="74" t="s">
        <v>5417</v>
      </c>
      <c r="C8616" s="74" t="s">
        <v>431</v>
      </c>
    </row>
    <row r="8617" spans="1:3">
      <c r="A8617" s="250">
        <v>21703</v>
      </c>
      <c r="B8617" s="74" t="s">
        <v>5417</v>
      </c>
      <c r="C8617" s="74" t="s">
        <v>431</v>
      </c>
    </row>
    <row r="8618" spans="1:3">
      <c r="A8618" s="250">
        <v>21704</v>
      </c>
      <c r="B8618" s="74" t="s">
        <v>5417</v>
      </c>
      <c r="C8618" s="74" t="s">
        <v>431</v>
      </c>
    </row>
    <row r="8619" spans="1:3">
      <c r="A8619" s="250">
        <v>21705</v>
      </c>
      <c r="B8619" s="74" t="s">
        <v>5417</v>
      </c>
      <c r="C8619" s="74" t="s">
        <v>431</v>
      </c>
    </row>
    <row r="8620" spans="1:3">
      <c r="A8620" s="250">
        <v>21709</v>
      </c>
      <c r="B8620" s="74" t="s">
        <v>5417</v>
      </c>
      <c r="C8620" s="74" t="s">
        <v>431</v>
      </c>
    </row>
    <row r="8621" spans="1:3">
      <c r="A8621" s="250">
        <v>21710</v>
      </c>
      <c r="B8621" s="74" t="s">
        <v>5445</v>
      </c>
      <c r="C8621" s="74" t="s">
        <v>431</v>
      </c>
    </row>
    <row r="8622" spans="1:3">
      <c r="A8622" s="250">
        <v>21711</v>
      </c>
      <c r="B8622" s="74" t="s">
        <v>5787</v>
      </c>
      <c r="C8622" s="74" t="s">
        <v>431</v>
      </c>
    </row>
    <row r="8623" spans="1:3">
      <c r="A8623" s="250">
        <v>21713</v>
      </c>
      <c r="B8623" s="74" t="s">
        <v>5788</v>
      </c>
      <c r="C8623" s="74" t="s">
        <v>431</v>
      </c>
    </row>
    <row r="8624" spans="1:3">
      <c r="A8624" s="250">
        <v>21714</v>
      </c>
      <c r="B8624" s="74" t="s">
        <v>5789</v>
      </c>
      <c r="C8624" s="74" t="s">
        <v>431</v>
      </c>
    </row>
    <row r="8625" spans="1:3">
      <c r="A8625" s="250">
        <v>21715</v>
      </c>
      <c r="B8625" s="74" t="s">
        <v>1731</v>
      </c>
      <c r="C8625" s="74" t="s">
        <v>431</v>
      </c>
    </row>
    <row r="8626" spans="1:3">
      <c r="A8626" s="250">
        <v>21716</v>
      </c>
      <c r="B8626" s="74" t="s">
        <v>1370</v>
      </c>
      <c r="C8626" s="74" t="s">
        <v>431</v>
      </c>
    </row>
    <row r="8627" spans="1:3">
      <c r="A8627" s="250">
        <v>21717</v>
      </c>
      <c r="B8627" s="74" t="s">
        <v>5790</v>
      </c>
      <c r="C8627" s="74" t="s">
        <v>431</v>
      </c>
    </row>
    <row r="8628" spans="1:3">
      <c r="A8628" s="250">
        <v>21718</v>
      </c>
      <c r="B8628" s="74" t="s">
        <v>5791</v>
      </c>
      <c r="C8628" s="74" t="s">
        <v>431</v>
      </c>
    </row>
    <row r="8629" spans="1:3">
      <c r="A8629" s="250">
        <v>21719</v>
      </c>
      <c r="B8629" s="74" t="s">
        <v>5792</v>
      </c>
      <c r="C8629" s="74" t="s">
        <v>431</v>
      </c>
    </row>
    <row r="8630" spans="1:3">
      <c r="A8630" s="250">
        <v>21720</v>
      </c>
      <c r="B8630" s="74" t="s">
        <v>5793</v>
      </c>
      <c r="C8630" s="74" t="s">
        <v>431</v>
      </c>
    </row>
    <row r="8631" spans="1:3">
      <c r="A8631" s="250">
        <v>21721</v>
      </c>
      <c r="B8631" s="74" t="s">
        <v>5794</v>
      </c>
      <c r="C8631" s="74" t="s">
        <v>431</v>
      </c>
    </row>
    <row r="8632" spans="1:3">
      <c r="A8632" s="250">
        <v>21722</v>
      </c>
      <c r="B8632" s="74" t="s">
        <v>5795</v>
      </c>
      <c r="C8632" s="74" t="s">
        <v>431</v>
      </c>
    </row>
    <row r="8633" spans="1:3">
      <c r="A8633" s="250">
        <v>21723</v>
      </c>
      <c r="B8633" s="74" t="s">
        <v>5796</v>
      </c>
      <c r="C8633" s="74" t="s">
        <v>431</v>
      </c>
    </row>
    <row r="8634" spans="1:3">
      <c r="A8634" s="250">
        <v>21727</v>
      </c>
      <c r="B8634" s="74" t="s">
        <v>5797</v>
      </c>
      <c r="C8634" s="74" t="s">
        <v>431</v>
      </c>
    </row>
    <row r="8635" spans="1:3">
      <c r="A8635" s="250">
        <v>21733</v>
      </c>
      <c r="B8635" s="74" t="s">
        <v>5798</v>
      </c>
      <c r="C8635" s="74" t="s">
        <v>431</v>
      </c>
    </row>
    <row r="8636" spans="1:3">
      <c r="A8636" s="250">
        <v>21734</v>
      </c>
      <c r="B8636" s="74" t="s">
        <v>5799</v>
      </c>
      <c r="C8636" s="74" t="s">
        <v>431</v>
      </c>
    </row>
    <row r="8637" spans="1:3">
      <c r="A8637" s="250">
        <v>21737</v>
      </c>
      <c r="B8637" s="74" t="s">
        <v>5800</v>
      </c>
      <c r="C8637" s="74" t="s">
        <v>431</v>
      </c>
    </row>
    <row r="8638" spans="1:3">
      <c r="A8638" s="250">
        <v>21738</v>
      </c>
      <c r="B8638" s="74" t="s">
        <v>2187</v>
      </c>
      <c r="C8638" s="74" t="s">
        <v>431</v>
      </c>
    </row>
    <row r="8639" spans="1:3">
      <c r="A8639" s="250">
        <v>21740</v>
      </c>
      <c r="B8639" s="74" t="s">
        <v>5801</v>
      </c>
      <c r="C8639" s="74" t="s">
        <v>431</v>
      </c>
    </row>
    <row r="8640" spans="1:3">
      <c r="A8640" s="250">
        <v>21741</v>
      </c>
      <c r="B8640" s="74" t="s">
        <v>5801</v>
      </c>
      <c r="C8640" s="74" t="s">
        <v>431</v>
      </c>
    </row>
    <row r="8641" spans="1:3">
      <c r="A8641" s="250">
        <v>21742</v>
      </c>
      <c r="B8641" s="74" t="s">
        <v>5801</v>
      </c>
      <c r="C8641" s="74" t="s">
        <v>431</v>
      </c>
    </row>
    <row r="8642" spans="1:3">
      <c r="A8642" s="250">
        <v>21746</v>
      </c>
      <c r="B8642" s="74" t="s">
        <v>5801</v>
      </c>
      <c r="C8642" s="74" t="s">
        <v>431</v>
      </c>
    </row>
    <row r="8643" spans="1:3">
      <c r="A8643" s="250">
        <v>21747</v>
      </c>
      <c r="B8643" s="74" t="s">
        <v>5801</v>
      </c>
      <c r="C8643" s="74" t="s">
        <v>431</v>
      </c>
    </row>
    <row r="8644" spans="1:3">
      <c r="A8644" s="250">
        <v>21748</v>
      </c>
      <c r="B8644" s="74" t="s">
        <v>5801</v>
      </c>
      <c r="C8644" s="74" t="s">
        <v>431</v>
      </c>
    </row>
    <row r="8645" spans="1:3">
      <c r="A8645" s="250">
        <v>21749</v>
      </c>
      <c r="B8645" s="74" t="s">
        <v>5801</v>
      </c>
      <c r="C8645" s="74" t="s">
        <v>431</v>
      </c>
    </row>
    <row r="8646" spans="1:3">
      <c r="A8646" s="250">
        <v>21750</v>
      </c>
      <c r="B8646" s="74" t="s">
        <v>1235</v>
      </c>
      <c r="C8646" s="74" t="s">
        <v>431</v>
      </c>
    </row>
    <row r="8647" spans="1:3">
      <c r="A8647" s="250">
        <v>21754</v>
      </c>
      <c r="B8647" s="74" t="s">
        <v>5802</v>
      </c>
      <c r="C8647" s="74" t="s">
        <v>431</v>
      </c>
    </row>
    <row r="8648" spans="1:3">
      <c r="A8648" s="250">
        <v>21755</v>
      </c>
      <c r="B8648" s="74" t="s">
        <v>740</v>
      </c>
      <c r="C8648" s="74" t="s">
        <v>431</v>
      </c>
    </row>
    <row r="8649" spans="1:3">
      <c r="A8649" s="250">
        <v>21756</v>
      </c>
      <c r="B8649" s="74" t="s">
        <v>5803</v>
      </c>
      <c r="C8649" s="74" t="s">
        <v>431</v>
      </c>
    </row>
    <row r="8650" spans="1:3">
      <c r="A8650" s="250">
        <v>21757</v>
      </c>
      <c r="B8650" s="74" t="s">
        <v>5804</v>
      </c>
      <c r="C8650" s="74" t="s">
        <v>431</v>
      </c>
    </row>
    <row r="8651" spans="1:3">
      <c r="A8651" s="250">
        <v>21758</v>
      </c>
      <c r="B8651" s="74" t="s">
        <v>4677</v>
      </c>
      <c r="C8651" s="74" t="s">
        <v>431</v>
      </c>
    </row>
    <row r="8652" spans="1:3">
      <c r="A8652" s="250">
        <v>21759</v>
      </c>
      <c r="B8652" s="74" t="s">
        <v>5805</v>
      </c>
      <c r="C8652" s="74" t="s">
        <v>431</v>
      </c>
    </row>
    <row r="8653" spans="1:3">
      <c r="A8653" s="250">
        <v>21762</v>
      </c>
      <c r="B8653" s="74" t="s">
        <v>5806</v>
      </c>
      <c r="C8653" s="74" t="s">
        <v>431</v>
      </c>
    </row>
    <row r="8654" spans="1:3">
      <c r="A8654" s="250">
        <v>21765</v>
      </c>
      <c r="B8654" s="74" t="s">
        <v>1254</v>
      </c>
      <c r="C8654" s="74" t="s">
        <v>431</v>
      </c>
    </row>
    <row r="8655" spans="1:3">
      <c r="A8655" s="250">
        <v>21766</v>
      </c>
      <c r="B8655" s="74" t="s">
        <v>5807</v>
      </c>
      <c r="C8655" s="74" t="s">
        <v>431</v>
      </c>
    </row>
    <row r="8656" spans="1:3">
      <c r="A8656" s="250">
        <v>21767</v>
      </c>
      <c r="B8656" s="74" t="s">
        <v>5808</v>
      </c>
      <c r="C8656" s="74" t="s">
        <v>431</v>
      </c>
    </row>
    <row r="8657" spans="1:3">
      <c r="A8657" s="250">
        <v>21769</v>
      </c>
      <c r="B8657" s="74" t="s">
        <v>1119</v>
      </c>
      <c r="C8657" s="74" t="s">
        <v>431</v>
      </c>
    </row>
    <row r="8658" spans="1:3">
      <c r="A8658" s="250">
        <v>21770</v>
      </c>
      <c r="B8658" s="74" t="s">
        <v>5809</v>
      </c>
      <c r="C8658" s="74" t="s">
        <v>431</v>
      </c>
    </row>
    <row r="8659" spans="1:3">
      <c r="A8659" s="250">
        <v>21771</v>
      </c>
      <c r="B8659" s="74" t="s">
        <v>5810</v>
      </c>
      <c r="C8659" s="74" t="s">
        <v>431</v>
      </c>
    </row>
    <row r="8660" spans="1:3">
      <c r="A8660" s="250">
        <v>21773</v>
      </c>
      <c r="B8660" s="74" t="s">
        <v>5811</v>
      </c>
      <c r="C8660" s="74" t="s">
        <v>431</v>
      </c>
    </row>
    <row r="8661" spans="1:3">
      <c r="A8661" s="250">
        <v>21774</v>
      </c>
      <c r="B8661" s="74" t="s">
        <v>5812</v>
      </c>
      <c r="C8661" s="74" t="s">
        <v>431</v>
      </c>
    </row>
    <row r="8662" spans="1:3">
      <c r="A8662" s="250">
        <v>21775</v>
      </c>
      <c r="B8662" s="74" t="s">
        <v>5813</v>
      </c>
      <c r="C8662" s="74" t="s">
        <v>431</v>
      </c>
    </row>
    <row r="8663" spans="1:3">
      <c r="A8663" s="250">
        <v>21776</v>
      </c>
      <c r="B8663" s="74" t="s">
        <v>3132</v>
      </c>
      <c r="C8663" s="74" t="s">
        <v>431</v>
      </c>
    </row>
    <row r="8664" spans="1:3">
      <c r="A8664" s="250">
        <v>21777</v>
      </c>
      <c r="B8664" s="74" t="s">
        <v>5814</v>
      </c>
      <c r="C8664" s="74" t="s">
        <v>431</v>
      </c>
    </row>
    <row r="8665" spans="1:3">
      <c r="A8665" s="250">
        <v>21778</v>
      </c>
      <c r="B8665" s="74" t="s">
        <v>5815</v>
      </c>
      <c r="C8665" s="74" t="s">
        <v>431</v>
      </c>
    </row>
    <row r="8666" spans="1:3">
      <c r="A8666" s="250">
        <v>21779</v>
      </c>
      <c r="B8666" s="74" t="s">
        <v>5816</v>
      </c>
      <c r="C8666" s="74" t="s">
        <v>431</v>
      </c>
    </row>
    <row r="8667" spans="1:3">
      <c r="A8667" s="250">
        <v>21780</v>
      </c>
      <c r="B8667" s="74" t="s">
        <v>5817</v>
      </c>
      <c r="C8667" s="74" t="s">
        <v>431</v>
      </c>
    </row>
    <row r="8668" spans="1:3">
      <c r="A8668" s="250">
        <v>21781</v>
      </c>
      <c r="B8668" s="74" t="s">
        <v>2853</v>
      </c>
      <c r="C8668" s="74" t="s">
        <v>431</v>
      </c>
    </row>
    <row r="8669" spans="1:3">
      <c r="A8669" s="250">
        <v>21782</v>
      </c>
      <c r="B8669" s="74" t="s">
        <v>5818</v>
      </c>
      <c r="C8669" s="74" t="s">
        <v>431</v>
      </c>
    </row>
    <row r="8670" spans="1:3">
      <c r="A8670" s="250">
        <v>21783</v>
      </c>
      <c r="B8670" s="74" t="s">
        <v>5819</v>
      </c>
      <c r="C8670" s="74" t="s">
        <v>431</v>
      </c>
    </row>
    <row r="8671" spans="1:3">
      <c r="A8671" s="250">
        <v>21784</v>
      </c>
      <c r="B8671" s="74" t="s">
        <v>4338</v>
      </c>
      <c r="C8671" s="74" t="s">
        <v>431</v>
      </c>
    </row>
    <row r="8672" spans="1:3">
      <c r="A8672" s="250">
        <v>21787</v>
      </c>
      <c r="B8672" s="74" t="s">
        <v>5820</v>
      </c>
      <c r="C8672" s="74" t="s">
        <v>431</v>
      </c>
    </row>
    <row r="8673" spans="1:3">
      <c r="A8673" s="250">
        <v>21788</v>
      </c>
      <c r="B8673" s="74" t="s">
        <v>5821</v>
      </c>
      <c r="C8673" s="74" t="s">
        <v>431</v>
      </c>
    </row>
    <row r="8674" spans="1:3">
      <c r="A8674" s="250">
        <v>21790</v>
      </c>
      <c r="B8674" s="74" t="s">
        <v>5024</v>
      </c>
      <c r="C8674" s="74" t="s">
        <v>431</v>
      </c>
    </row>
    <row r="8675" spans="1:3">
      <c r="A8675" s="250">
        <v>21791</v>
      </c>
      <c r="B8675" s="74" t="s">
        <v>5822</v>
      </c>
      <c r="C8675" s="74" t="s">
        <v>431</v>
      </c>
    </row>
    <row r="8676" spans="1:3">
      <c r="A8676" s="250">
        <v>21792</v>
      </c>
      <c r="B8676" s="74" t="s">
        <v>1968</v>
      </c>
      <c r="C8676" s="74" t="s">
        <v>431</v>
      </c>
    </row>
    <row r="8677" spans="1:3">
      <c r="A8677" s="250">
        <v>21793</v>
      </c>
      <c r="B8677" s="74" t="s">
        <v>5823</v>
      </c>
      <c r="C8677" s="74" t="s">
        <v>431</v>
      </c>
    </row>
    <row r="8678" spans="1:3">
      <c r="A8678" s="250">
        <v>21794</v>
      </c>
      <c r="B8678" s="74" t="s">
        <v>5824</v>
      </c>
      <c r="C8678" s="74" t="s">
        <v>431</v>
      </c>
    </row>
    <row r="8679" spans="1:3">
      <c r="A8679" s="250">
        <v>21795</v>
      </c>
      <c r="B8679" s="74" t="s">
        <v>4897</v>
      </c>
      <c r="C8679" s="74" t="s">
        <v>431</v>
      </c>
    </row>
    <row r="8680" spans="1:3">
      <c r="A8680" s="250">
        <v>21797</v>
      </c>
      <c r="B8680" s="74" t="s">
        <v>2472</v>
      </c>
      <c r="C8680" s="74" t="s">
        <v>431</v>
      </c>
    </row>
    <row r="8681" spans="1:3">
      <c r="A8681" s="250">
        <v>21798</v>
      </c>
      <c r="B8681" s="74" t="s">
        <v>5825</v>
      </c>
      <c r="C8681" s="74" t="s">
        <v>431</v>
      </c>
    </row>
    <row r="8682" spans="1:3">
      <c r="A8682" s="250">
        <v>21801</v>
      </c>
      <c r="B8682" s="74" t="s">
        <v>853</v>
      </c>
      <c r="C8682" s="74" t="s">
        <v>431</v>
      </c>
    </row>
    <row r="8683" spans="1:3">
      <c r="A8683" s="250">
        <v>21802</v>
      </c>
      <c r="B8683" s="74" t="s">
        <v>853</v>
      </c>
      <c r="C8683" s="74" t="s">
        <v>431</v>
      </c>
    </row>
    <row r="8684" spans="1:3">
      <c r="A8684" s="250">
        <v>21803</v>
      </c>
      <c r="B8684" s="74" t="s">
        <v>853</v>
      </c>
      <c r="C8684" s="74" t="s">
        <v>431</v>
      </c>
    </row>
    <row r="8685" spans="1:3">
      <c r="A8685" s="250">
        <v>21804</v>
      </c>
      <c r="B8685" s="74" t="s">
        <v>853</v>
      </c>
      <c r="C8685" s="74" t="s">
        <v>431</v>
      </c>
    </row>
    <row r="8686" spans="1:3">
      <c r="A8686" s="250">
        <v>21810</v>
      </c>
      <c r="B8686" s="74" t="s">
        <v>5826</v>
      </c>
      <c r="C8686" s="74" t="s">
        <v>431</v>
      </c>
    </row>
    <row r="8687" spans="1:3">
      <c r="A8687" s="250">
        <v>21811</v>
      </c>
      <c r="B8687" s="74" t="s">
        <v>725</v>
      </c>
      <c r="C8687" s="74" t="s">
        <v>431</v>
      </c>
    </row>
    <row r="8688" spans="1:3">
      <c r="A8688" s="250">
        <v>21813</v>
      </c>
      <c r="B8688" s="74" t="s">
        <v>5827</v>
      </c>
      <c r="C8688" s="74" t="s">
        <v>431</v>
      </c>
    </row>
    <row r="8689" spans="1:3">
      <c r="A8689" s="250">
        <v>21814</v>
      </c>
      <c r="B8689" s="74" t="s">
        <v>5828</v>
      </c>
      <c r="C8689" s="74" t="s">
        <v>431</v>
      </c>
    </row>
    <row r="8690" spans="1:3">
      <c r="A8690" s="250">
        <v>21817</v>
      </c>
      <c r="B8690" s="74" t="s">
        <v>5829</v>
      </c>
      <c r="C8690" s="74" t="s">
        <v>431</v>
      </c>
    </row>
    <row r="8691" spans="1:3">
      <c r="A8691" s="250">
        <v>21821</v>
      </c>
      <c r="B8691" s="74" t="s">
        <v>5830</v>
      </c>
      <c r="C8691" s="74" t="s">
        <v>431</v>
      </c>
    </row>
    <row r="8692" spans="1:3">
      <c r="A8692" s="250">
        <v>21822</v>
      </c>
      <c r="B8692" s="74" t="s">
        <v>1844</v>
      </c>
      <c r="C8692" s="74" t="s">
        <v>431</v>
      </c>
    </row>
    <row r="8693" spans="1:3">
      <c r="A8693" s="250">
        <v>21824</v>
      </c>
      <c r="B8693" s="74" t="s">
        <v>5831</v>
      </c>
      <c r="C8693" s="74" t="s">
        <v>431</v>
      </c>
    </row>
    <row r="8694" spans="1:3">
      <c r="A8694" s="250">
        <v>21826</v>
      </c>
      <c r="B8694" s="74" t="s">
        <v>5832</v>
      </c>
      <c r="C8694" s="74" t="s">
        <v>431</v>
      </c>
    </row>
    <row r="8695" spans="1:3">
      <c r="A8695" s="250">
        <v>21829</v>
      </c>
      <c r="B8695" s="74" t="s">
        <v>5833</v>
      </c>
      <c r="C8695" s="74" t="s">
        <v>431</v>
      </c>
    </row>
    <row r="8696" spans="1:3">
      <c r="A8696" s="250">
        <v>21830</v>
      </c>
      <c r="B8696" s="74" t="s">
        <v>1190</v>
      </c>
      <c r="C8696" s="74" t="s">
        <v>431</v>
      </c>
    </row>
    <row r="8697" spans="1:3">
      <c r="A8697" s="250">
        <v>21835</v>
      </c>
      <c r="B8697" s="74" t="s">
        <v>5834</v>
      </c>
      <c r="C8697" s="74" t="s">
        <v>431</v>
      </c>
    </row>
    <row r="8698" spans="1:3">
      <c r="A8698" s="250">
        <v>21836</v>
      </c>
      <c r="B8698" s="74" t="s">
        <v>5835</v>
      </c>
      <c r="C8698" s="74" t="s">
        <v>431</v>
      </c>
    </row>
    <row r="8699" spans="1:3">
      <c r="A8699" s="250">
        <v>21837</v>
      </c>
      <c r="B8699" s="74" t="s">
        <v>5836</v>
      </c>
      <c r="C8699" s="74" t="s">
        <v>431</v>
      </c>
    </row>
    <row r="8700" spans="1:3">
      <c r="A8700" s="250">
        <v>21838</v>
      </c>
      <c r="B8700" s="74" t="s">
        <v>5837</v>
      </c>
      <c r="C8700" s="74" t="s">
        <v>431</v>
      </c>
    </row>
    <row r="8701" spans="1:3">
      <c r="A8701" s="250">
        <v>21840</v>
      </c>
      <c r="B8701" s="74" t="s">
        <v>5218</v>
      </c>
      <c r="C8701" s="74" t="s">
        <v>431</v>
      </c>
    </row>
    <row r="8702" spans="1:3">
      <c r="A8702" s="250">
        <v>21841</v>
      </c>
      <c r="B8702" s="74" t="s">
        <v>2172</v>
      </c>
      <c r="C8702" s="74" t="s">
        <v>431</v>
      </c>
    </row>
    <row r="8703" spans="1:3">
      <c r="A8703" s="250">
        <v>21842</v>
      </c>
      <c r="B8703" s="74" t="s">
        <v>2456</v>
      </c>
      <c r="C8703" s="74" t="s">
        <v>431</v>
      </c>
    </row>
    <row r="8704" spans="1:3">
      <c r="A8704" s="250">
        <v>21843</v>
      </c>
      <c r="B8704" s="74" t="s">
        <v>2456</v>
      </c>
      <c r="C8704" s="74" t="s">
        <v>431</v>
      </c>
    </row>
    <row r="8705" spans="1:3">
      <c r="A8705" s="250">
        <v>21849</v>
      </c>
      <c r="B8705" s="74" t="s">
        <v>5838</v>
      </c>
      <c r="C8705" s="74" t="s">
        <v>431</v>
      </c>
    </row>
    <row r="8706" spans="1:3">
      <c r="A8706" s="250">
        <v>21850</v>
      </c>
      <c r="B8706" s="74" t="s">
        <v>5839</v>
      </c>
      <c r="C8706" s="74" t="s">
        <v>431</v>
      </c>
    </row>
    <row r="8707" spans="1:3">
      <c r="A8707" s="250">
        <v>21851</v>
      </c>
      <c r="B8707" s="74" t="s">
        <v>5840</v>
      </c>
      <c r="C8707" s="74" t="s">
        <v>431</v>
      </c>
    </row>
    <row r="8708" spans="1:3">
      <c r="A8708" s="250">
        <v>21852</v>
      </c>
      <c r="B8708" s="74" t="s">
        <v>5841</v>
      </c>
      <c r="C8708" s="74" t="s">
        <v>431</v>
      </c>
    </row>
    <row r="8709" spans="1:3">
      <c r="A8709" s="250">
        <v>21853</v>
      </c>
      <c r="B8709" s="74" t="s">
        <v>5842</v>
      </c>
      <c r="C8709" s="74" t="s">
        <v>431</v>
      </c>
    </row>
    <row r="8710" spans="1:3">
      <c r="A8710" s="250">
        <v>21856</v>
      </c>
      <c r="B8710" s="74" t="s">
        <v>5843</v>
      </c>
      <c r="C8710" s="74" t="s">
        <v>431</v>
      </c>
    </row>
    <row r="8711" spans="1:3">
      <c r="A8711" s="250">
        <v>21857</v>
      </c>
      <c r="B8711" s="74" t="s">
        <v>5844</v>
      </c>
      <c r="C8711" s="74" t="s">
        <v>431</v>
      </c>
    </row>
    <row r="8712" spans="1:3">
      <c r="A8712" s="250">
        <v>21861</v>
      </c>
      <c r="B8712" s="74" t="s">
        <v>5845</v>
      </c>
      <c r="C8712" s="74" t="s">
        <v>431</v>
      </c>
    </row>
    <row r="8713" spans="1:3">
      <c r="A8713" s="250">
        <v>21862</v>
      </c>
      <c r="B8713" s="74" t="s">
        <v>5846</v>
      </c>
      <c r="C8713" s="74" t="s">
        <v>431</v>
      </c>
    </row>
    <row r="8714" spans="1:3">
      <c r="A8714" s="250">
        <v>21863</v>
      </c>
      <c r="B8714" s="74" t="s">
        <v>5847</v>
      </c>
      <c r="C8714" s="74" t="s">
        <v>431</v>
      </c>
    </row>
    <row r="8715" spans="1:3">
      <c r="A8715" s="250">
        <v>21864</v>
      </c>
      <c r="B8715" s="74" t="s">
        <v>2529</v>
      </c>
      <c r="C8715" s="74" t="s">
        <v>431</v>
      </c>
    </row>
    <row r="8716" spans="1:3">
      <c r="A8716" s="250">
        <v>21865</v>
      </c>
      <c r="B8716" s="74" t="s">
        <v>5848</v>
      </c>
      <c r="C8716" s="74" t="s">
        <v>431</v>
      </c>
    </row>
    <row r="8717" spans="1:3">
      <c r="A8717" s="250">
        <v>21866</v>
      </c>
      <c r="B8717" s="74" t="s">
        <v>5849</v>
      </c>
      <c r="C8717" s="74" t="s">
        <v>431</v>
      </c>
    </row>
    <row r="8718" spans="1:3">
      <c r="A8718" s="250">
        <v>21867</v>
      </c>
      <c r="B8718" s="74" t="s">
        <v>5850</v>
      </c>
      <c r="C8718" s="74" t="s">
        <v>431</v>
      </c>
    </row>
    <row r="8719" spans="1:3">
      <c r="A8719" s="250">
        <v>21869</v>
      </c>
      <c r="B8719" s="74" t="s">
        <v>1486</v>
      </c>
      <c r="C8719" s="74" t="s">
        <v>431</v>
      </c>
    </row>
    <row r="8720" spans="1:3">
      <c r="A8720" s="250">
        <v>21871</v>
      </c>
      <c r="B8720" s="74" t="s">
        <v>4585</v>
      </c>
      <c r="C8720" s="74" t="s">
        <v>431</v>
      </c>
    </row>
    <row r="8721" spans="1:3">
      <c r="A8721" s="250">
        <v>21872</v>
      </c>
      <c r="B8721" s="74" t="s">
        <v>5851</v>
      </c>
      <c r="C8721" s="74" t="s">
        <v>431</v>
      </c>
    </row>
    <row r="8722" spans="1:3">
      <c r="A8722" s="250">
        <v>21874</v>
      </c>
      <c r="B8722" s="74" t="s">
        <v>5852</v>
      </c>
      <c r="C8722" s="74" t="s">
        <v>431</v>
      </c>
    </row>
    <row r="8723" spans="1:3">
      <c r="A8723" s="250">
        <v>21875</v>
      </c>
      <c r="B8723" s="74" t="s">
        <v>2936</v>
      </c>
      <c r="C8723" s="74" t="s">
        <v>431</v>
      </c>
    </row>
    <row r="8724" spans="1:3">
      <c r="A8724" s="250">
        <v>21890</v>
      </c>
      <c r="B8724" s="74" t="s">
        <v>4585</v>
      </c>
      <c r="C8724" s="74" t="s">
        <v>431</v>
      </c>
    </row>
    <row r="8725" spans="1:3">
      <c r="A8725" s="250">
        <v>21901</v>
      </c>
      <c r="B8725" s="74" t="s">
        <v>4520</v>
      </c>
      <c r="C8725" s="74" t="s">
        <v>431</v>
      </c>
    </row>
    <row r="8726" spans="1:3">
      <c r="A8726" s="250">
        <v>21902</v>
      </c>
      <c r="B8726" s="74" t="s">
        <v>5853</v>
      </c>
      <c r="C8726" s="74" t="s">
        <v>431</v>
      </c>
    </row>
    <row r="8727" spans="1:3">
      <c r="A8727" s="250">
        <v>21903</v>
      </c>
      <c r="B8727" s="74" t="s">
        <v>5854</v>
      </c>
      <c r="C8727" s="74" t="s">
        <v>431</v>
      </c>
    </row>
    <row r="8728" spans="1:3">
      <c r="A8728" s="250">
        <v>21904</v>
      </c>
      <c r="B8728" s="74" t="s">
        <v>5855</v>
      </c>
      <c r="C8728" s="74" t="s">
        <v>431</v>
      </c>
    </row>
    <row r="8729" spans="1:3">
      <c r="A8729" s="250">
        <v>21911</v>
      </c>
      <c r="B8729" s="74" t="s">
        <v>5856</v>
      </c>
      <c r="C8729" s="74" t="s">
        <v>431</v>
      </c>
    </row>
    <row r="8730" spans="1:3">
      <c r="A8730" s="250">
        <v>21912</v>
      </c>
      <c r="B8730" s="74" t="s">
        <v>697</v>
      </c>
      <c r="C8730" s="74" t="s">
        <v>431</v>
      </c>
    </row>
    <row r="8731" spans="1:3">
      <c r="A8731" s="250">
        <v>21913</v>
      </c>
      <c r="B8731" s="74" t="s">
        <v>5857</v>
      </c>
      <c r="C8731" s="74" t="s">
        <v>431</v>
      </c>
    </row>
    <row r="8732" spans="1:3">
      <c r="A8732" s="250">
        <v>21914</v>
      </c>
      <c r="B8732" s="74" t="s">
        <v>906</v>
      </c>
      <c r="C8732" s="74" t="s">
        <v>431</v>
      </c>
    </row>
    <row r="8733" spans="1:3">
      <c r="A8733" s="250">
        <v>21915</v>
      </c>
      <c r="B8733" s="74" t="s">
        <v>5858</v>
      </c>
      <c r="C8733" s="74" t="s">
        <v>431</v>
      </c>
    </row>
    <row r="8734" spans="1:3">
      <c r="A8734" s="250">
        <v>21916</v>
      </c>
      <c r="B8734" s="74" t="s">
        <v>5859</v>
      </c>
      <c r="C8734" s="74" t="s">
        <v>431</v>
      </c>
    </row>
    <row r="8735" spans="1:3">
      <c r="A8735" s="250">
        <v>21917</v>
      </c>
      <c r="B8735" s="74" t="s">
        <v>5860</v>
      </c>
      <c r="C8735" s="74" t="s">
        <v>431</v>
      </c>
    </row>
    <row r="8736" spans="1:3">
      <c r="A8736" s="250">
        <v>21918</v>
      </c>
      <c r="B8736" s="74" t="s">
        <v>5861</v>
      </c>
      <c r="C8736" s="74" t="s">
        <v>431</v>
      </c>
    </row>
    <row r="8737" spans="1:3">
      <c r="A8737" s="250">
        <v>21919</v>
      </c>
      <c r="B8737" s="74" t="s">
        <v>5862</v>
      </c>
      <c r="C8737" s="74" t="s">
        <v>431</v>
      </c>
    </row>
    <row r="8738" spans="1:3">
      <c r="A8738" s="250">
        <v>21920</v>
      </c>
      <c r="B8738" s="74" t="s">
        <v>5863</v>
      </c>
      <c r="C8738" s="74" t="s">
        <v>431</v>
      </c>
    </row>
    <row r="8739" spans="1:3">
      <c r="A8739" s="250">
        <v>21921</v>
      </c>
      <c r="B8739" s="74" t="s">
        <v>5864</v>
      </c>
      <c r="C8739" s="74" t="s">
        <v>431</v>
      </c>
    </row>
    <row r="8740" spans="1:3">
      <c r="A8740" s="250">
        <v>21922</v>
      </c>
      <c r="B8740" s="74" t="s">
        <v>5864</v>
      </c>
      <c r="C8740" s="74" t="s">
        <v>431</v>
      </c>
    </row>
    <row r="8741" spans="1:3">
      <c r="A8741" s="250">
        <v>21930</v>
      </c>
      <c r="B8741" s="74" t="s">
        <v>813</v>
      </c>
      <c r="C8741" s="74" t="s">
        <v>431</v>
      </c>
    </row>
    <row r="8742" spans="1:3">
      <c r="A8742" s="250">
        <v>22003</v>
      </c>
      <c r="B8742" s="74" t="s">
        <v>2558</v>
      </c>
      <c r="C8742" s="74" t="s">
        <v>456</v>
      </c>
    </row>
    <row r="8743" spans="1:3">
      <c r="A8743" s="250">
        <v>22009</v>
      </c>
      <c r="B8743" s="74" t="s">
        <v>3281</v>
      </c>
      <c r="C8743" s="74" t="s">
        <v>456</v>
      </c>
    </row>
    <row r="8744" spans="1:3">
      <c r="A8744" s="250">
        <v>22015</v>
      </c>
      <c r="B8744" s="74" t="s">
        <v>3281</v>
      </c>
      <c r="C8744" s="74" t="s">
        <v>456</v>
      </c>
    </row>
    <row r="8745" spans="1:3">
      <c r="A8745" s="250">
        <v>22025</v>
      </c>
      <c r="B8745" s="74" t="s">
        <v>5865</v>
      </c>
      <c r="C8745" s="74" t="s">
        <v>456</v>
      </c>
    </row>
    <row r="8746" spans="1:3">
      <c r="A8746" s="250">
        <v>22026</v>
      </c>
      <c r="B8746" s="74" t="s">
        <v>5865</v>
      </c>
      <c r="C8746" s="74" t="s">
        <v>456</v>
      </c>
    </row>
    <row r="8747" spans="1:3">
      <c r="A8747" s="250">
        <v>22027</v>
      </c>
      <c r="B8747" s="74" t="s">
        <v>5866</v>
      </c>
      <c r="C8747" s="74" t="s">
        <v>456</v>
      </c>
    </row>
    <row r="8748" spans="1:3">
      <c r="A8748" s="250">
        <v>22030</v>
      </c>
      <c r="B8748" s="74" t="s">
        <v>1811</v>
      </c>
      <c r="C8748" s="74" t="s">
        <v>456</v>
      </c>
    </row>
    <row r="8749" spans="1:3">
      <c r="A8749" s="250">
        <v>22031</v>
      </c>
      <c r="B8749" s="74" t="s">
        <v>1811</v>
      </c>
      <c r="C8749" s="74" t="s">
        <v>456</v>
      </c>
    </row>
    <row r="8750" spans="1:3">
      <c r="A8750" s="250">
        <v>22032</v>
      </c>
      <c r="B8750" s="74" t="s">
        <v>1811</v>
      </c>
      <c r="C8750" s="74" t="s">
        <v>456</v>
      </c>
    </row>
    <row r="8751" spans="1:3">
      <c r="A8751" s="250">
        <v>22033</v>
      </c>
      <c r="B8751" s="74" t="s">
        <v>1811</v>
      </c>
      <c r="C8751" s="74" t="s">
        <v>456</v>
      </c>
    </row>
    <row r="8752" spans="1:3">
      <c r="A8752" s="250">
        <v>22034</v>
      </c>
      <c r="B8752" s="74" t="s">
        <v>1811</v>
      </c>
      <c r="C8752" s="74" t="s">
        <v>456</v>
      </c>
    </row>
    <row r="8753" spans="1:3">
      <c r="A8753" s="250">
        <v>22035</v>
      </c>
      <c r="B8753" s="74" t="s">
        <v>1811</v>
      </c>
      <c r="C8753" s="74" t="s">
        <v>456</v>
      </c>
    </row>
    <row r="8754" spans="1:3">
      <c r="A8754" s="250">
        <v>22036</v>
      </c>
      <c r="B8754" s="74" t="s">
        <v>1811</v>
      </c>
      <c r="C8754" s="74" t="s">
        <v>456</v>
      </c>
    </row>
    <row r="8755" spans="1:3">
      <c r="A8755" s="250">
        <v>22037</v>
      </c>
      <c r="B8755" s="74" t="s">
        <v>1811</v>
      </c>
      <c r="C8755" s="74" t="s">
        <v>456</v>
      </c>
    </row>
    <row r="8756" spans="1:3">
      <c r="A8756" s="250">
        <v>22038</v>
      </c>
      <c r="B8756" s="74" t="s">
        <v>1811</v>
      </c>
      <c r="C8756" s="74" t="s">
        <v>456</v>
      </c>
    </row>
    <row r="8757" spans="1:3">
      <c r="A8757" s="250">
        <v>22039</v>
      </c>
      <c r="B8757" s="74" t="s">
        <v>5867</v>
      </c>
      <c r="C8757" s="74" t="s">
        <v>456</v>
      </c>
    </row>
    <row r="8758" spans="1:3">
      <c r="A8758" s="250">
        <v>22040</v>
      </c>
      <c r="B8758" s="74" t="s">
        <v>5868</v>
      </c>
      <c r="C8758" s="74" t="s">
        <v>456</v>
      </c>
    </row>
    <row r="8759" spans="1:3">
      <c r="A8759" s="250">
        <v>22041</v>
      </c>
      <c r="B8759" s="74" t="s">
        <v>5868</v>
      </c>
      <c r="C8759" s="74" t="s">
        <v>456</v>
      </c>
    </row>
    <row r="8760" spans="1:3">
      <c r="A8760" s="250">
        <v>22042</v>
      </c>
      <c r="B8760" s="74" t="s">
        <v>5868</v>
      </c>
      <c r="C8760" s="74" t="s">
        <v>456</v>
      </c>
    </row>
    <row r="8761" spans="1:3">
      <c r="A8761" s="250">
        <v>22043</v>
      </c>
      <c r="B8761" s="74" t="s">
        <v>5868</v>
      </c>
      <c r="C8761" s="74" t="s">
        <v>456</v>
      </c>
    </row>
    <row r="8762" spans="1:3">
      <c r="A8762" s="250">
        <v>22044</v>
      </c>
      <c r="B8762" s="74" t="s">
        <v>5868</v>
      </c>
      <c r="C8762" s="74" t="s">
        <v>456</v>
      </c>
    </row>
    <row r="8763" spans="1:3">
      <c r="A8763" s="250">
        <v>22046</v>
      </c>
      <c r="B8763" s="74" t="s">
        <v>5868</v>
      </c>
      <c r="C8763" s="74" t="s">
        <v>456</v>
      </c>
    </row>
    <row r="8764" spans="1:3">
      <c r="A8764" s="250">
        <v>22047</v>
      </c>
      <c r="B8764" s="74" t="s">
        <v>5868</v>
      </c>
      <c r="C8764" s="74" t="s">
        <v>456</v>
      </c>
    </row>
    <row r="8765" spans="1:3">
      <c r="A8765" s="250">
        <v>22060</v>
      </c>
      <c r="B8765" s="74" t="s">
        <v>5869</v>
      </c>
      <c r="C8765" s="74" t="s">
        <v>456</v>
      </c>
    </row>
    <row r="8766" spans="1:3">
      <c r="A8766" s="250">
        <v>22066</v>
      </c>
      <c r="B8766" s="74" t="s">
        <v>5870</v>
      </c>
      <c r="C8766" s="74" t="s">
        <v>456</v>
      </c>
    </row>
    <row r="8767" spans="1:3">
      <c r="A8767" s="250">
        <v>22067</v>
      </c>
      <c r="B8767" s="74" t="s">
        <v>5871</v>
      </c>
      <c r="C8767" s="74" t="s">
        <v>456</v>
      </c>
    </row>
    <row r="8768" spans="1:3">
      <c r="A8768" s="250">
        <v>22079</v>
      </c>
      <c r="B8768" s="74" t="s">
        <v>5872</v>
      </c>
      <c r="C8768" s="74" t="s">
        <v>456</v>
      </c>
    </row>
    <row r="8769" spans="1:3">
      <c r="A8769" s="250">
        <v>22081</v>
      </c>
      <c r="B8769" s="74" t="s">
        <v>5873</v>
      </c>
      <c r="C8769" s="74" t="s">
        <v>456</v>
      </c>
    </row>
    <row r="8770" spans="1:3">
      <c r="A8770" s="250">
        <v>22082</v>
      </c>
      <c r="B8770" s="74" t="s">
        <v>5873</v>
      </c>
      <c r="C8770" s="74" t="s">
        <v>456</v>
      </c>
    </row>
    <row r="8771" spans="1:3">
      <c r="A8771" s="250">
        <v>22092</v>
      </c>
      <c r="B8771" s="74" t="s">
        <v>4945</v>
      </c>
      <c r="C8771" s="74" t="s">
        <v>456</v>
      </c>
    </row>
    <row r="8772" spans="1:3">
      <c r="A8772" s="250">
        <v>22093</v>
      </c>
      <c r="B8772" s="74" t="s">
        <v>5531</v>
      </c>
      <c r="C8772" s="74" t="s">
        <v>456</v>
      </c>
    </row>
    <row r="8773" spans="1:3">
      <c r="A8773" s="250">
        <v>22095</v>
      </c>
      <c r="B8773" s="74" t="s">
        <v>4945</v>
      </c>
      <c r="C8773" s="74" t="s">
        <v>456</v>
      </c>
    </row>
    <row r="8774" spans="1:3">
      <c r="A8774" s="250">
        <v>22096</v>
      </c>
      <c r="B8774" s="74" t="s">
        <v>5538</v>
      </c>
      <c r="C8774" s="74" t="s">
        <v>456</v>
      </c>
    </row>
    <row r="8775" spans="1:3">
      <c r="A8775" s="250">
        <v>22101</v>
      </c>
      <c r="B8775" s="74" t="s">
        <v>3380</v>
      </c>
      <c r="C8775" s="74" t="s">
        <v>456</v>
      </c>
    </row>
    <row r="8776" spans="1:3">
      <c r="A8776" s="250">
        <v>22102</v>
      </c>
      <c r="B8776" s="74" t="s">
        <v>3380</v>
      </c>
      <c r="C8776" s="74" t="s">
        <v>456</v>
      </c>
    </row>
    <row r="8777" spans="1:3">
      <c r="A8777" s="250">
        <v>22103</v>
      </c>
      <c r="B8777" s="74" t="s">
        <v>5874</v>
      </c>
      <c r="C8777" s="74" t="s">
        <v>456</v>
      </c>
    </row>
    <row r="8778" spans="1:3">
      <c r="A8778" s="250">
        <v>22106</v>
      </c>
      <c r="B8778" s="74" t="s">
        <v>3380</v>
      </c>
      <c r="C8778" s="74" t="s">
        <v>456</v>
      </c>
    </row>
    <row r="8779" spans="1:3">
      <c r="A8779" s="250">
        <v>22107</v>
      </c>
      <c r="B8779" s="74" t="s">
        <v>3380</v>
      </c>
      <c r="C8779" s="74" t="s">
        <v>456</v>
      </c>
    </row>
    <row r="8780" spans="1:3">
      <c r="A8780" s="250">
        <v>22108</v>
      </c>
      <c r="B8780" s="74" t="s">
        <v>3380</v>
      </c>
      <c r="C8780" s="74" t="s">
        <v>456</v>
      </c>
    </row>
    <row r="8781" spans="1:3">
      <c r="A8781" s="250">
        <v>22109</v>
      </c>
      <c r="B8781" s="74" t="s">
        <v>3380</v>
      </c>
      <c r="C8781" s="74" t="s">
        <v>456</v>
      </c>
    </row>
    <row r="8782" spans="1:3">
      <c r="A8782" s="250">
        <v>22116</v>
      </c>
      <c r="B8782" s="74" t="s">
        <v>5873</v>
      </c>
      <c r="C8782" s="74" t="s">
        <v>456</v>
      </c>
    </row>
    <row r="8783" spans="1:3">
      <c r="A8783" s="250">
        <v>22118</v>
      </c>
      <c r="B8783" s="74" t="s">
        <v>5873</v>
      </c>
      <c r="C8783" s="74" t="s">
        <v>456</v>
      </c>
    </row>
    <row r="8784" spans="1:3">
      <c r="A8784" s="250">
        <v>22119</v>
      </c>
      <c r="B8784" s="74" t="s">
        <v>5873</v>
      </c>
      <c r="C8784" s="74" t="s">
        <v>456</v>
      </c>
    </row>
    <row r="8785" spans="1:3">
      <c r="A8785" s="250">
        <v>22120</v>
      </c>
      <c r="B8785" s="74" t="s">
        <v>5873</v>
      </c>
      <c r="C8785" s="74" t="s">
        <v>456</v>
      </c>
    </row>
    <row r="8786" spans="1:3">
      <c r="A8786" s="250">
        <v>22121</v>
      </c>
      <c r="B8786" s="74" t="s">
        <v>1481</v>
      </c>
      <c r="C8786" s="74" t="s">
        <v>456</v>
      </c>
    </row>
    <row r="8787" spans="1:3">
      <c r="A8787" s="250">
        <v>22122</v>
      </c>
      <c r="B8787" s="74" t="s">
        <v>1292</v>
      </c>
      <c r="C8787" s="74" t="s">
        <v>456</v>
      </c>
    </row>
    <row r="8788" spans="1:3">
      <c r="A8788" s="250">
        <v>22124</v>
      </c>
      <c r="B8788" s="74" t="s">
        <v>5875</v>
      </c>
      <c r="C8788" s="74" t="s">
        <v>456</v>
      </c>
    </row>
    <row r="8789" spans="1:3">
      <c r="A8789" s="250">
        <v>22125</v>
      </c>
      <c r="B8789" s="74" t="s">
        <v>5876</v>
      </c>
      <c r="C8789" s="74" t="s">
        <v>456</v>
      </c>
    </row>
    <row r="8790" spans="1:3">
      <c r="A8790" s="250">
        <v>22134</v>
      </c>
      <c r="B8790" s="74" t="s">
        <v>5843</v>
      </c>
      <c r="C8790" s="74" t="s">
        <v>456</v>
      </c>
    </row>
    <row r="8791" spans="1:3">
      <c r="A8791" s="250">
        <v>22135</v>
      </c>
      <c r="B8791" s="74" t="s">
        <v>5843</v>
      </c>
      <c r="C8791" s="74" t="s">
        <v>456</v>
      </c>
    </row>
    <row r="8792" spans="1:3">
      <c r="A8792" s="250">
        <v>22150</v>
      </c>
      <c r="B8792" s="74" t="s">
        <v>634</v>
      </c>
      <c r="C8792" s="74" t="s">
        <v>456</v>
      </c>
    </row>
    <row r="8793" spans="1:3">
      <c r="A8793" s="250">
        <v>22151</v>
      </c>
      <c r="B8793" s="74" t="s">
        <v>634</v>
      </c>
      <c r="C8793" s="74" t="s">
        <v>456</v>
      </c>
    </row>
    <row r="8794" spans="1:3">
      <c r="A8794" s="250">
        <v>22152</v>
      </c>
      <c r="B8794" s="74" t="s">
        <v>634</v>
      </c>
      <c r="C8794" s="74" t="s">
        <v>456</v>
      </c>
    </row>
    <row r="8795" spans="1:3">
      <c r="A8795" s="250">
        <v>22153</v>
      </c>
      <c r="B8795" s="74" t="s">
        <v>634</v>
      </c>
      <c r="C8795" s="74" t="s">
        <v>456</v>
      </c>
    </row>
    <row r="8796" spans="1:3">
      <c r="A8796" s="250">
        <v>22156</v>
      </c>
      <c r="B8796" s="74" t="s">
        <v>634</v>
      </c>
      <c r="C8796" s="74" t="s">
        <v>456</v>
      </c>
    </row>
    <row r="8797" spans="1:3">
      <c r="A8797" s="250">
        <v>22158</v>
      </c>
      <c r="B8797" s="74" t="s">
        <v>634</v>
      </c>
      <c r="C8797" s="74" t="s">
        <v>456</v>
      </c>
    </row>
    <row r="8798" spans="1:3">
      <c r="A8798" s="250">
        <v>22159</v>
      </c>
      <c r="B8798" s="74" t="s">
        <v>634</v>
      </c>
      <c r="C8798" s="74" t="s">
        <v>456</v>
      </c>
    </row>
    <row r="8799" spans="1:3">
      <c r="A8799" s="250">
        <v>22160</v>
      </c>
      <c r="B8799" s="74" t="s">
        <v>634</v>
      </c>
      <c r="C8799" s="74" t="s">
        <v>456</v>
      </c>
    </row>
    <row r="8800" spans="1:3">
      <c r="A8800" s="250">
        <v>22161</v>
      </c>
      <c r="B8800" s="74" t="s">
        <v>634</v>
      </c>
      <c r="C8800" s="74" t="s">
        <v>456</v>
      </c>
    </row>
    <row r="8801" spans="1:3">
      <c r="A8801" s="250">
        <v>22172</v>
      </c>
      <c r="B8801" s="74" t="s">
        <v>5877</v>
      </c>
      <c r="C8801" s="74" t="s">
        <v>456</v>
      </c>
    </row>
    <row r="8802" spans="1:3">
      <c r="A8802" s="250">
        <v>22180</v>
      </c>
      <c r="B8802" s="74" t="s">
        <v>1486</v>
      </c>
      <c r="C8802" s="74" t="s">
        <v>456</v>
      </c>
    </row>
    <row r="8803" spans="1:3">
      <c r="A8803" s="250">
        <v>22181</v>
      </c>
      <c r="B8803" s="74" t="s">
        <v>1486</v>
      </c>
      <c r="C8803" s="74" t="s">
        <v>456</v>
      </c>
    </row>
    <row r="8804" spans="1:3">
      <c r="A8804" s="250">
        <v>22182</v>
      </c>
      <c r="B8804" s="74" t="s">
        <v>1486</v>
      </c>
      <c r="C8804" s="74" t="s">
        <v>456</v>
      </c>
    </row>
    <row r="8805" spans="1:3">
      <c r="A8805" s="250">
        <v>22183</v>
      </c>
      <c r="B8805" s="74" t="s">
        <v>1486</v>
      </c>
      <c r="C8805" s="74" t="s">
        <v>456</v>
      </c>
    </row>
    <row r="8806" spans="1:3">
      <c r="A8806" s="250">
        <v>22184</v>
      </c>
      <c r="B8806" s="74" t="s">
        <v>1486</v>
      </c>
      <c r="C8806" s="74" t="s">
        <v>456</v>
      </c>
    </row>
    <row r="8807" spans="1:3">
      <c r="A8807" s="250">
        <v>22185</v>
      </c>
      <c r="B8807" s="74" t="s">
        <v>1486</v>
      </c>
      <c r="C8807" s="74" t="s">
        <v>456</v>
      </c>
    </row>
    <row r="8808" spans="1:3">
      <c r="A8808" s="250">
        <v>22191</v>
      </c>
      <c r="B8808" s="74" t="s">
        <v>2076</v>
      </c>
      <c r="C8808" s="74" t="s">
        <v>456</v>
      </c>
    </row>
    <row r="8809" spans="1:3">
      <c r="A8809" s="250">
        <v>22192</v>
      </c>
      <c r="B8809" s="74" t="s">
        <v>2076</v>
      </c>
      <c r="C8809" s="74" t="s">
        <v>456</v>
      </c>
    </row>
    <row r="8810" spans="1:3">
      <c r="A8810" s="250">
        <v>22193</v>
      </c>
      <c r="B8810" s="74" t="s">
        <v>2076</v>
      </c>
      <c r="C8810" s="74" t="s">
        <v>456</v>
      </c>
    </row>
    <row r="8811" spans="1:3">
      <c r="A8811" s="250">
        <v>22194</v>
      </c>
      <c r="B8811" s="74" t="s">
        <v>2076</v>
      </c>
      <c r="C8811" s="74" t="s">
        <v>456</v>
      </c>
    </row>
    <row r="8812" spans="1:3">
      <c r="A8812" s="250">
        <v>22195</v>
      </c>
      <c r="B8812" s="74" t="s">
        <v>2076</v>
      </c>
      <c r="C8812" s="74" t="s">
        <v>456</v>
      </c>
    </row>
    <row r="8813" spans="1:3">
      <c r="A8813" s="250">
        <v>22199</v>
      </c>
      <c r="B8813" s="74" t="s">
        <v>5872</v>
      </c>
      <c r="C8813" s="74" t="s">
        <v>456</v>
      </c>
    </row>
    <row r="8814" spans="1:3">
      <c r="A8814" s="250">
        <v>22201</v>
      </c>
      <c r="B8814" s="74" t="s">
        <v>984</v>
      </c>
      <c r="C8814" s="74" t="s">
        <v>456</v>
      </c>
    </row>
    <row r="8815" spans="1:3">
      <c r="A8815" s="250">
        <v>22202</v>
      </c>
      <c r="B8815" s="74" t="s">
        <v>984</v>
      </c>
      <c r="C8815" s="74" t="s">
        <v>456</v>
      </c>
    </row>
    <row r="8816" spans="1:3">
      <c r="A8816" s="250">
        <v>22203</v>
      </c>
      <c r="B8816" s="74" t="s">
        <v>984</v>
      </c>
      <c r="C8816" s="74" t="s">
        <v>456</v>
      </c>
    </row>
    <row r="8817" spans="1:3">
      <c r="A8817" s="250">
        <v>22204</v>
      </c>
      <c r="B8817" s="74" t="s">
        <v>984</v>
      </c>
      <c r="C8817" s="74" t="s">
        <v>456</v>
      </c>
    </row>
    <row r="8818" spans="1:3">
      <c r="A8818" s="250">
        <v>22205</v>
      </c>
      <c r="B8818" s="74" t="s">
        <v>984</v>
      </c>
      <c r="C8818" s="74" t="s">
        <v>456</v>
      </c>
    </row>
    <row r="8819" spans="1:3">
      <c r="A8819" s="250">
        <v>22206</v>
      </c>
      <c r="B8819" s="74" t="s">
        <v>984</v>
      </c>
      <c r="C8819" s="74" t="s">
        <v>456</v>
      </c>
    </row>
    <row r="8820" spans="1:3">
      <c r="A8820" s="250">
        <v>22207</v>
      </c>
      <c r="B8820" s="74" t="s">
        <v>984</v>
      </c>
      <c r="C8820" s="74" t="s">
        <v>456</v>
      </c>
    </row>
    <row r="8821" spans="1:3">
      <c r="A8821" s="250">
        <v>22209</v>
      </c>
      <c r="B8821" s="74" t="s">
        <v>984</v>
      </c>
      <c r="C8821" s="74" t="s">
        <v>456</v>
      </c>
    </row>
    <row r="8822" spans="1:3">
      <c r="A8822" s="250">
        <v>22210</v>
      </c>
      <c r="B8822" s="74" t="s">
        <v>984</v>
      </c>
      <c r="C8822" s="74" t="s">
        <v>456</v>
      </c>
    </row>
    <row r="8823" spans="1:3">
      <c r="A8823" s="250">
        <v>22211</v>
      </c>
      <c r="B8823" s="74" t="s">
        <v>5878</v>
      </c>
      <c r="C8823" s="74" t="s">
        <v>456</v>
      </c>
    </row>
    <row r="8824" spans="1:3">
      <c r="A8824" s="250">
        <v>22212</v>
      </c>
      <c r="B8824" s="74" t="s">
        <v>984</v>
      </c>
      <c r="C8824" s="74" t="s">
        <v>456</v>
      </c>
    </row>
    <row r="8825" spans="1:3">
      <c r="A8825" s="250">
        <v>22213</v>
      </c>
      <c r="B8825" s="74" t="s">
        <v>984</v>
      </c>
      <c r="C8825" s="74" t="s">
        <v>456</v>
      </c>
    </row>
    <row r="8826" spans="1:3">
      <c r="A8826" s="250">
        <v>22214</v>
      </c>
      <c r="B8826" s="74" t="s">
        <v>984</v>
      </c>
      <c r="C8826" s="74" t="s">
        <v>456</v>
      </c>
    </row>
    <row r="8827" spans="1:3">
      <c r="A8827" s="250">
        <v>22215</v>
      </c>
      <c r="B8827" s="74" t="s">
        <v>984</v>
      </c>
      <c r="C8827" s="74" t="s">
        <v>456</v>
      </c>
    </row>
    <row r="8828" spans="1:3">
      <c r="A8828" s="250">
        <v>22216</v>
      </c>
      <c r="B8828" s="74" t="s">
        <v>984</v>
      </c>
      <c r="C8828" s="74" t="s">
        <v>456</v>
      </c>
    </row>
    <row r="8829" spans="1:3">
      <c r="A8829" s="250">
        <v>22217</v>
      </c>
      <c r="B8829" s="74" t="s">
        <v>984</v>
      </c>
      <c r="C8829" s="74" t="s">
        <v>456</v>
      </c>
    </row>
    <row r="8830" spans="1:3">
      <c r="A8830" s="250">
        <v>22218</v>
      </c>
      <c r="B8830" s="74" t="s">
        <v>984</v>
      </c>
      <c r="C8830" s="74" t="s">
        <v>456</v>
      </c>
    </row>
    <row r="8831" spans="1:3">
      <c r="A8831" s="250">
        <v>22219</v>
      </c>
      <c r="B8831" s="74" t="s">
        <v>984</v>
      </c>
      <c r="C8831" s="74" t="s">
        <v>456</v>
      </c>
    </row>
    <row r="8832" spans="1:3">
      <c r="A8832" s="250">
        <v>22222</v>
      </c>
      <c r="B8832" s="74" t="s">
        <v>984</v>
      </c>
      <c r="C8832" s="74" t="s">
        <v>456</v>
      </c>
    </row>
    <row r="8833" spans="1:3">
      <c r="A8833" s="250">
        <v>22223</v>
      </c>
      <c r="B8833" s="74" t="s">
        <v>984</v>
      </c>
      <c r="C8833" s="74" t="s">
        <v>456</v>
      </c>
    </row>
    <row r="8834" spans="1:3">
      <c r="A8834" s="250">
        <v>22225</v>
      </c>
      <c r="B8834" s="74" t="s">
        <v>984</v>
      </c>
      <c r="C8834" s="74" t="s">
        <v>456</v>
      </c>
    </row>
    <row r="8835" spans="1:3">
      <c r="A8835" s="250">
        <v>22226</v>
      </c>
      <c r="B8835" s="74" t="s">
        <v>984</v>
      </c>
      <c r="C8835" s="74" t="s">
        <v>456</v>
      </c>
    </row>
    <row r="8836" spans="1:3">
      <c r="A8836" s="250">
        <v>22227</v>
      </c>
      <c r="B8836" s="74" t="s">
        <v>984</v>
      </c>
      <c r="C8836" s="74" t="s">
        <v>456</v>
      </c>
    </row>
    <row r="8837" spans="1:3">
      <c r="A8837" s="250">
        <v>22229</v>
      </c>
      <c r="B8837" s="74" t="s">
        <v>984</v>
      </c>
      <c r="C8837" s="74" t="s">
        <v>456</v>
      </c>
    </row>
    <row r="8838" spans="1:3">
      <c r="A8838" s="250">
        <v>22230</v>
      </c>
      <c r="B8838" s="74" t="s">
        <v>984</v>
      </c>
      <c r="C8838" s="74" t="s">
        <v>456</v>
      </c>
    </row>
    <row r="8839" spans="1:3">
      <c r="A8839" s="250">
        <v>22234</v>
      </c>
      <c r="B8839" s="74" t="s">
        <v>984</v>
      </c>
      <c r="C8839" s="74" t="s">
        <v>456</v>
      </c>
    </row>
    <row r="8840" spans="1:3">
      <c r="A8840" s="250">
        <v>22240</v>
      </c>
      <c r="B8840" s="74" t="s">
        <v>984</v>
      </c>
      <c r="C8840" s="74" t="s">
        <v>456</v>
      </c>
    </row>
    <row r="8841" spans="1:3">
      <c r="A8841" s="250">
        <v>22241</v>
      </c>
      <c r="B8841" s="74" t="s">
        <v>984</v>
      </c>
      <c r="C8841" s="74" t="s">
        <v>456</v>
      </c>
    </row>
    <row r="8842" spans="1:3">
      <c r="A8842" s="250">
        <v>22242</v>
      </c>
      <c r="B8842" s="74" t="s">
        <v>984</v>
      </c>
      <c r="C8842" s="74" t="s">
        <v>456</v>
      </c>
    </row>
    <row r="8843" spans="1:3">
      <c r="A8843" s="250">
        <v>22243</v>
      </c>
      <c r="B8843" s="74" t="s">
        <v>984</v>
      </c>
      <c r="C8843" s="74" t="s">
        <v>456</v>
      </c>
    </row>
    <row r="8844" spans="1:3">
      <c r="A8844" s="250">
        <v>22244</v>
      </c>
      <c r="B8844" s="74" t="s">
        <v>984</v>
      </c>
      <c r="C8844" s="74" t="s">
        <v>456</v>
      </c>
    </row>
    <row r="8845" spans="1:3">
      <c r="A8845" s="250">
        <v>22245</v>
      </c>
      <c r="B8845" s="74" t="s">
        <v>984</v>
      </c>
      <c r="C8845" s="74" t="s">
        <v>456</v>
      </c>
    </row>
    <row r="8846" spans="1:3">
      <c r="A8846" s="250">
        <v>22246</v>
      </c>
      <c r="B8846" s="74" t="s">
        <v>984</v>
      </c>
      <c r="C8846" s="74" t="s">
        <v>456</v>
      </c>
    </row>
    <row r="8847" spans="1:3">
      <c r="A8847" s="250">
        <v>22301</v>
      </c>
      <c r="B8847" s="74" t="s">
        <v>4530</v>
      </c>
      <c r="C8847" s="74" t="s">
        <v>456</v>
      </c>
    </row>
    <row r="8848" spans="1:3">
      <c r="A8848" s="250">
        <v>22302</v>
      </c>
      <c r="B8848" s="74" t="s">
        <v>4530</v>
      </c>
      <c r="C8848" s="74" t="s">
        <v>456</v>
      </c>
    </row>
    <row r="8849" spans="1:3">
      <c r="A8849" s="250">
        <v>22303</v>
      </c>
      <c r="B8849" s="74" t="s">
        <v>4530</v>
      </c>
      <c r="C8849" s="74" t="s">
        <v>456</v>
      </c>
    </row>
    <row r="8850" spans="1:3">
      <c r="A8850" s="250">
        <v>22304</v>
      </c>
      <c r="B8850" s="74" t="s">
        <v>4530</v>
      </c>
      <c r="C8850" s="74" t="s">
        <v>456</v>
      </c>
    </row>
    <row r="8851" spans="1:3">
      <c r="A8851" s="250">
        <v>22305</v>
      </c>
      <c r="B8851" s="74" t="s">
        <v>4530</v>
      </c>
      <c r="C8851" s="74" t="s">
        <v>456</v>
      </c>
    </row>
    <row r="8852" spans="1:3">
      <c r="A8852" s="250">
        <v>22306</v>
      </c>
      <c r="B8852" s="74" t="s">
        <v>4530</v>
      </c>
      <c r="C8852" s="74" t="s">
        <v>456</v>
      </c>
    </row>
    <row r="8853" spans="1:3">
      <c r="A8853" s="250">
        <v>22307</v>
      </c>
      <c r="B8853" s="74" t="s">
        <v>4530</v>
      </c>
      <c r="C8853" s="74" t="s">
        <v>456</v>
      </c>
    </row>
    <row r="8854" spans="1:3">
      <c r="A8854" s="250">
        <v>22308</v>
      </c>
      <c r="B8854" s="74" t="s">
        <v>4530</v>
      </c>
      <c r="C8854" s="74" t="s">
        <v>456</v>
      </c>
    </row>
    <row r="8855" spans="1:3">
      <c r="A8855" s="250">
        <v>22309</v>
      </c>
      <c r="B8855" s="74" t="s">
        <v>4530</v>
      </c>
      <c r="C8855" s="74" t="s">
        <v>456</v>
      </c>
    </row>
    <row r="8856" spans="1:3">
      <c r="A8856" s="250">
        <v>22310</v>
      </c>
      <c r="B8856" s="74" t="s">
        <v>4530</v>
      </c>
      <c r="C8856" s="74" t="s">
        <v>456</v>
      </c>
    </row>
    <row r="8857" spans="1:3">
      <c r="A8857" s="250">
        <v>22311</v>
      </c>
      <c r="B8857" s="74" t="s">
        <v>4530</v>
      </c>
      <c r="C8857" s="74" t="s">
        <v>456</v>
      </c>
    </row>
    <row r="8858" spans="1:3">
      <c r="A8858" s="250">
        <v>22312</v>
      </c>
      <c r="B8858" s="74" t="s">
        <v>4530</v>
      </c>
      <c r="C8858" s="74" t="s">
        <v>456</v>
      </c>
    </row>
    <row r="8859" spans="1:3">
      <c r="A8859" s="250">
        <v>22313</v>
      </c>
      <c r="B8859" s="74" t="s">
        <v>4530</v>
      </c>
      <c r="C8859" s="74" t="s">
        <v>456</v>
      </c>
    </row>
    <row r="8860" spans="1:3">
      <c r="A8860" s="250">
        <v>22314</v>
      </c>
      <c r="B8860" s="74" t="s">
        <v>4530</v>
      </c>
      <c r="C8860" s="74" t="s">
        <v>456</v>
      </c>
    </row>
    <row r="8861" spans="1:3">
      <c r="A8861" s="250">
        <v>22315</v>
      </c>
      <c r="B8861" s="74" t="s">
        <v>4530</v>
      </c>
      <c r="C8861" s="74" t="s">
        <v>456</v>
      </c>
    </row>
    <row r="8862" spans="1:3">
      <c r="A8862" s="250">
        <v>22320</v>
      </c>
      <c r="B8862" s="74" t="s">
        <v>4530</v>
      </c>
      <c r="C8862" s="74" t="s">
        <v>456</v>
      </c>
    </row>
    <row r="8863" spans="1:3">
      <c r="A8863" s="250">
        <v>22321</v>
      </c>
      <c r="B8863" s="74" t="s">
        <v>4530</v>
      </c>
      <c r="C8863" s="74" t="s">
        <v>456</v>
      </c>
    </row>
    <row r="8864" spans="1:3">
      <c r="A8864" s="250">
        <v>22331</v>
      </c>
      <c r="B8864" s="74" t="s">
        <v>4530</v>
      </c>
      <c r="C8864" s="74" t="s">
        <v>456</v>
      </c>
    </row>
    <row r="8865" spans="1:3">
      <c r="A8865" s="250">
        <v>22332</v>
      </c>
      <c r="B8865" s="74" t="s">
        <v>4530</v>
      </c>
      <c r="C8865" s="74" t="s">
        <v>456</v>
      </c>
    </row>
    <row r="8866" spans="1:3">
      <c r="A8866" s="250">
        <v>22333</v>
      </c>
      <c r="B8866" s="74" t="s">
        <v>4530</v>
      </c>
      <c r="C8866" s="74" t="s">
        <v>456</v>
      </c>
    </row>
    <row r="8867" spans="1:3">
      <c r="A8867" s="250">
        <v>22334</v>
      </c>
      <c r="B8867" s="74" t="s">
        <v>4530</v>
      </c>
      <c r="C8867" s="74" t="s">
        <v>456</v>
      </c>
    </row>
    <row r="8868" spans="1:3">
      <c r="A8868" s="250">
        <v>22336</v>
      </c>
      <c r="B8868" s="74" t="s">
        <v>4530</v>
      </c>
      <c r="C8868" s="74" t="s">
        <v>456</v>
      </c>
    </row>
    <row r="8869" spans="1:3">
      <c r="A8869" s="250">
        <v>22350</v>
      </c>
      <c r="B8869" s="74" t="s">
        <v>4530</v>
      </c>
      <c r="C8869" s="74" t="s">
        <v>456</v>
      </c>
    </row>
    <row r="8870" spans="1:3">
      <c r="A8870" s="250">
        <v>22401</v>
      </c>
      <c r="B8870" s="74" t="s">
        <v>4704</v>
      </c>
      <c r="C8870" s="74" t="s">
        <v>456</v>
      </c>
    </row>
    <row r="8871" spans="1:3">
      <c r="A8871" s="250">
        <v>22402</v>
      </c>
      <c r="B8871" s="74" t="s">
        <v>4704</v>
      </c>
      <c r="C8871" s="74" t="s">
        <v>456</v>
      </c>
    </row>
    <row r="8872" spans="1:3">
      <c r="A8872" s="250">
        <v>22403</v>
      </c>
      <c r="B8872" s="74" t="s">
        <v>4704</v>
      </c>
      <c r="C8872" s="74" t="s">
        <v>456</v>
      </c>
    </row>
    <row r="8873" spans="1:3">
      <c r="A8873" s="250">
        <v>22404</v>
      </c>
      <c r="B8873" s="74" t="s">
        <v>4704</v>
      </c>
      <c r="C8873" s="74" t="s">
        <v>456</v>
      </c>
    </row>
    <row r="8874" spans="1:3">
      <c r="A8874" s="250">
        <v>22405</v>
      </c>
      <c r="B8874" s="74" t="s">
        <v>4704</v>
      </c>
      <c r="C8874" s="74" t="s">
        <v>456</v>
      </c>
    </row>
    <row r="8875" spans="1:3">
      <c r="A8875" s="250">
        <v>22406</v>
      </c>
      <c r="B8875" s="74" t="s">
        <v>4704</v>
      </c>
      <c r="C8875" s="74" t="s">
        <v>456</v>
      </c>
    </row>
    <row r="8876" spans="1:3">
      <c r="A8876" s="250">
        <v>22407</v>
      </c>
      <c r="B8876" s="74" t="s">
        <v>4704</v>
      </c>
      <c r="C8876" s="74" t="s">
        <v>456</v>
      </c>
    </row>
    <row r="8877" spans="1:3">
      <c r="A8877" s="250">
        <v>22408</v>
      </c>
      <c r="B8877" s="74" t="s">
        <v>4704</v>
      </c>
      <c r="C8877" s="74" t="s">
        <v>456</v>
      </c>
    </row>
    <row r="8878" spans="1:3">
      <c r="A8878" s="250">
        <v>22412</v>
      </c>
      <c r="B8878" s="74" t="s">
        <v>4704</v>
      </c>
      <c r="C8878" s="74" t="s">
        <v>456</v>
      </c>
    </row>
    <row r="8879" spans="1:3">
      <c r="A8879" s="250">
        <v>22427</v>
      </c>
      <c r="B8879" s="74" t="s">
        <v>5879</v>
      </c>
      <c r="C8879" s="74" t="s">
        <v>456</v>
      </c>
    </row>
    <row r="8880" spans="1:3">
      <c r="A8880" s="250">
        <v>22428</v>
      </c>
      <c r="B8880" s="74" t="s">
        <v>5879</v>
      </c>
      <c r="C8880" s="74" t="s">
        <v>456</v>
      </c>
    </row>
    <row r="8881" spans="1:3">
      <c r="A8881" s="250">
        <v>22430</v>
      </c>
      <c r="B8881" s="74" t="s">
        <v>5880</v>
      </c>
      <c r="C8881" s="74" t="s">
        <v>456</v>
      </c>
    </row>
    <row r="8882" spans="1:3">
      <c r="A8882" s="250">
        <v>22432</v>
      </c>
      <c r="B8882" s="74" t="s">
        <v>5881</v>
      </c>
      <c r="C8882" s="74" t="s">
        <v>456</v>
      </c>
    </row>
    <row r="8883" spans="1:3">
      <c r="A8883" s="250">
        <v>22433</v>
      </c>
      <c r="B8883" s="74" t="s">
        <v>5882</v>
      </c>
      <c r="C8883" s="74" t="s">
        <v>456</v>
      </c>
    </row>
    <row r="8884" spans="1:3">
      <c r="A8884" s="250">
        <v>22435</v>
      </c>
      <c r="B8884" s="74" t="s">
        <v>5883</v>
      </c>
      <c r="C8884" s="74" t="s">
        <v>456</v>
      </c>
    </row>
    <row r="8885" spans="1:3">
      <c r="A8885" s="250">
        <v>22436</v>
      </c>
      <c r="B8885" s="74" t="s">
        <v>5884</v>
      </c>
      <c r="C8885" s="74" t="s">
        <v>456</v>
      </c>
    </row>
    <row r="8886" spans="1:3">
      <c r="A8886" s="250">
        <v>22437</v>
      </c>
      <c r="B8886" s="74" t="s">
        <v>5885</v>
      </c>
      <c r="C8886" s="74" t="s">
        <v>456</v>
      </c>
    </row>
    <row r="8887" spans="1:3">
      <c r="A8887" s="250">
        <v>22438</v>
      </c>
      <c r="B8887" s="74" t="s">
        <v>3283</v>
      </c>
      <c r="C8887" s="74" t="s">
        <v>456</v>
      </c>
    </row>
    <row r="8888" spans="1:3">
      <c r="A8888" s="250">
        <v>22442</v>
      </c>
      <c r="B8888" s="74" t="s">
        <v>5886</v>
      </c>
      <c r="C8888" s="74" t="s">
        <v>456</v>
      </c>
    </row>
    <row r="8889" spans="1:3">
      <c r="A8889" s="250">
        <v>22443</v>
      </c>
      <c r="B8889" s="74" t="s">
        <v>5887</v>
      </c>
      <c r="C8889" s="74" t="s">
        <v>456</v>
      </c>
    </row>
    <row r="8890" spans="1:3">
      <c r="A8890" s="250">
        <v>22446</v>
      </c>
      <c r="B8890" s="74" t="s">
        <v>5888</v>
      </c>
      <c r="C8890" s="74" t="s">
        <v>456</v>
      </c>
    </row>
    <row r="8891" spans="1:3">
      <c r="A8891" s="250">
        <v>22448</v>
      </c>
      <c r="B8891" s="74" t="s">
        <v>5889</v>
      </c>
      <c r="C8891" s="74" t="s">
        <v>456</v>
      </c>
    </row>
    <row r="8892" spans="1:3">
      <c r="A8892" s="250">
        <v>22451</v>
      </c>
      <c r="B8892" s="74" t="s">
        <v>5890</v>
      </c>
      <c r="C8892" s="74" t="s">
        <v>456</v>
      </c>
    </row>
    <row r="8893" spans="1:3">
      <c r="A8893" s="250">
        <v>22454</v>
      </c>
      <c r="B8893" s="74" t="s">
        <v>5891</v>
      </c>
      <c r="C8893" s="74" t="s">
        <v>456</v>
      </c>
    </row>
    <row r="8894" spans="1:3">
      <c r="A8894" s="250">
        <v>22456</v>
      </c>
      <c r="B8894" s="74" t="s">
        <v>5892</v>
      </c>
      <c r="C8894" s="74" t="s">
        <v>456</v>
      </c>
    </row>
    <row r="8895" spans="1:3">
      <c r="A8895" s="250">
        <v>22460</v>
      </c>
      <c r="B8895" s="74" t="s">
        <v>3704</v>
      </c>
      <c r="C8895" s="74" t="s">
        <v>456</v>
      </c>
    </row>
    <row r="8896" spans="1:3">
      <c r="A8896" s="250">
        <v>22463</v>
      </c>
      <c r="B8896" s="74" t="s">
        <v>5893</v>
      </c>
      <c r="C8896" s="74" t="s">
        <v>456</v>
      </c>
    </row>
    <row r="8897" spans="1:3">
      <c r="A8897" s="250">
        <v>22469</v>
      </c>
      <c r="B8897" s="74" t="s">
        <v>3237</v>
      </c>
      <c r="C8897" s="74" t="s">
        <v>456</v>
      </c>
    </row>
    <row r="8898" spans="1:3">
      <c r="A8898" s="250">
        <v>22471</v>
      </c>
      <c r="B8898" s="74" t="s">
        <v>5894</v>
      </c>
      <c r="C8898" s="74" t="s">
        <v>456</v>
      </c>
    </row>
    <row r="8899" spans="1:3">
      <c r="A8899" s="250">
        <v>22472</v>
      </c>
      <c r="B8899" s="74" t="s">
        <v>5895</v>
      </c>
      <c r="C8899" s="74" t="s">
        <v>456</v>
      </c>
    </row>
    <row r="8900" spans="1:3">
      <c r="A8900" s="250">
        <v>22473</v>
      </c>
      <c r="B8900" s="74" t="s">
        <v>5896</v>
      </c>
      <c r="C8900" s="74" t="s">
        <v>456</v>
      </c>
    </row>
    <row r="8901" spans="1:3">
      <c r="A8901" s="250">
        <v>22476</v>
      </c>
      <c r="B8901" s="74" t="s">
        <v>5897</v>
      </c>
      <c r="C8901" s="74" t="s">
        <v>456</v>
      </c>
    </row>
    <row r="8902" spans="1:3">
      <c r="A8902" s="250">
        <v>22480</v>
      </c>
      <c r="B8902" s="74" t="s">
        <v>2175</v>
      </c>
      <c r="C8902" s="74" t="s">
        <v>456</v>
      </c>
    </row>
    <row r="8903" spans="1:3">
      <c r="A8903" s="250">
        <v>22481</v>
      </c>
      <c r="B8903" s="74" t="s">
        <v>5898</v>
      </c>
      <c r="C8903" s="74" t="s">
        <v>456</v>
      </c>
    </row>
    <row r="8904" spans="1:3">
      <c r="A8904" s="250">
        <v>22482</v>
      </c>
      <c r="B8904" s="74" t="s">
        <v>5899</v>
      </c>
      <c r="C8904" s="74" t="s">
        <v>456</v>
      </c>
    </row>
    <row r="8905" spans="1:3">
      <c r="A8905" s="250">
        <v>22485</v>
      </c>
      <c r="B8905" s="74" t="s">
        <v>5900</v>
      </c>
      <c r="C8905" s="74" t="s">
        <v>456</v>
      </c>
    </row>
    <row r="8906" spans="1:3">
      <c r="A8906" s="250">
        <v>22488</v>
      </c>
      <c r="B8906" s="74" t="s">
        <v>5901</v>
      </c>
      <c r="C8906" s="74" t="s">
        <v>456</v>
      </c>
    </row>
    <row r="8907" spans="1:3">
      <c r="A8907" s="250">
        <v>22501</v>
      </c>
      <c r="B8907" s="74" t="s">
        <v>5902</v>
      </c>
      <c r="C8907" s="74" t="s">
        <v>456</v>
      </c>
    </row>
    <row r="8908" spans="1:3">
      <c r="A8908" s="250">
        <v>22503</v>
      </c>
      <c r="B8908" s="74" t="s">
        <v>741</v>
      </c>
      <c r="C8908" s="74" t="s">
        <v>456</v>
      </c>
    </row>
    <row r="8909" spans="1:3">
      <c r="A8909" s="250">
        <v>22504</v>
      </c>
      <c r="B8909" s="74" t="s">
        <v>5903</v>
      </c>
      <c r="C8909" s="74" t="s">
        <v>456</v>
      </c>
    </row>
    <row r="8910" spans="1:3">
      <c r="A8910" s="250">
        <v>22507</v>
      </c>
      <c r="B8910" s="74" t="s">
        <v>5904</v>
      </c>
      <c r="C8910" s="74" t="s">
        <v>456</v>
      </c>
    </row>
    <row r="8911" spans="1:3">
      <c r="A8911" s="250">
        <v>22508</v>
      </c>
      <c r="B8911" s="74" t="s">
        <v>5905</v>
      </c>
      <c r="C8911" s="74" t="s">
        <v>456</v>
      </c>
    </row>
    <row r="8912" spans="1:3">
      <c r="A8912" s="250">
        <v>22509</v>
      </c>
      <c r="B8912" s="74" t="s">
        <v>4358</v>
      </c>
      <c r="C8912" s="74" t="s">
        <v>456</v>
      </c>
    </row>
    <row r="8913" spans="1:3">
      <c r="A8913" s="250">
        <v>22511</v>
      </c>
      <c r="B8913" s="74" t="s">
        <v>5906</v>
      </c>
      <c r="C8913" s="74" t="s">
        <v>456</v>
      </c>
    </row>
    <row r="8914" spans="1:3">
      <c r="A8914" s="250">
        <v>22513</v>
      </c>
      <c r="B8914" s="74" t="s">
        <v>5907</v>
      </c>
      <c r="C8914" s="74" t="s">
        <v>456</v>
      </c>
    </row>
    <row r="8915" spans="1:3">
      <c r="A8915" s="250">
        <v>22514</v>
      </c>
      <c r="B8915" s="74" t="s">
        <v>796</v>
      </c>
      <c r="C8915" s="74" t="s">
        <v>456</v>
      </c>
    </row>
    <row r="8916" spans="1:3">
      <c r="A8916" s="250">
        <v>22517</v>
      </c>
      <c r="B8916" s="74" t="s">
        <v>5908</v>
      </c>
      <c r="C8916" s="74" t="s">
        <v>456</v>
      </c>
    </row>
    <row r="8917" spans="1:3">
      <c r="A8917" s="250">
        <v>22520</v>
      </c>
      <c r="B8917" s="74" t="s">
        <v>5909</v>
      </c>
      <c r="C8917" s="74" t="s">
        <v>456</v>
      </c>
    </row>
    <row r="8918" spans="1:3">
      <c r="A8918" s="250">
        <v>22523</v>
      </c>
      <c r="B8918" s="74" t="s">
        <v>5910</v>
      </c>
      <c r="C8918" s="74" t="s">
        <v>456</v>
      </c>
    </row>
    <row r="8919" spans="1:3">
      <c r="A8919" s="250">
        <v>22524</v>
      </c>
      <c r="B8919" s="74" t="s">
        <v>1881</v>
      </c>
      <c r="C8919" s="74" t="s">
        <v>456</v>
      </c>
    </row>
    <row r="8920" spans="1:3">
      <c r="A8920" s="250">
        <v>22526</v>
      </c>
      <c r="B8920" s="74" t="s">
        <v>5911</v>
      </c>
      <c r="C8920" s="74" t="s">
        <v>456</v>
      </c>
    </row>
    <row r="8921" spans="1:3">
      <c r="A8921" s="250">
        <v>22528</v>
      </c>
      <c r="B8921" s="74" t="s">
        <v>5912</v>
      </c>
      <c r="C8921" s="74" t="s">
        <v>456</v>
      </c>
    </row>
    <row r="8922" spans="1:3">
      <c r="A8922" s="250">
        <v>22529</v>
      </c>
      <c r="B8922" s="74" t="s">
        <v>5913</v>
      </c>
      <c r="C8922" s="74" t="s">
        <v>456</v>
      </c>
    </row>
    <row r="8923" spans="1:3">
      <c r="A8923" s="250">
        <v>22530</v>
      </c>
      <c r="B8923" s="74" t="s">
        <v>5914</v>
      </c>
      <c r="C8923" s="74" t="s">
        <v>456</v>
      </c>
    </row>
    <row r="8924" spans="1:3">
      <c r="A8924" s="250">
        <v>22534</v>
      </c>
      <c r="B8924" s="74" t="s">
        <v>5915</v>
      </c>
      <c r="C8924" s="74" t="s">
        <v>456</v>
      </c>
    </row>
    <row r="8925" spans="1:3">
      <c r="A8925" s="250">
        <v>22535</v>
      </c>
      <c r="B8925" s="74" t="s">
        <v>4746</v>
      </c>
      <c r="C8925" s="74" t="s">
        <v>456</v>
      </c>
    </row>
    <row r="8926" spans="1:3">
      <c r="A8926" s="250">
        <v>22538</v>
      </c>
      <c r="B8926" s="74" t="s">
        <v>5916</v>
      </c>
      <c r="C8926" s="74" t="s">
        <v>456</v>
      </c>
    </row>
    <row r="8927" spans="1:3">
      <c r="A8927" s="250">
        <v>22539</v>
      </c>
      <c r="B8927" s="74" t="s">
        <v>5917</v>
      </c>
      <c r="C8927" s="74" t="s">
        <v>456</v>
      </c>
    </row>
    <row r="8928" spans="1:3">
      <c r="A8928" s="250">
        <v>22542</v>
      </c>
      <c r="B8928" s="74" t="s">
        <v>5918</v>
      </c>
      <c r="C8928" s="74" t="s">
        <v>456</v>
      </c>
    </row>
    <row r="8929" spans="1:3">
      <c r="A8929" s="250">
        <v>22544</v>
      </c>
      <c r="B8929" s="74" t="s">
        <v>5919</v>
      </c>
      <c r="C8929" s="74" t="s">
        <v>456</v>
      </c>
    </row>
    <row r="8930" spans="1:3">
      <c r="A8930" s="250">
        <v>22545</v>
      </c>
      <c r="B8930" s="74" t="s">
        <v>3082</v>
      </c>
      <c r="C8930" s="74" t="s">
        <v>456</v>
      </c>
    </row>
    <row r="8931" spans="1:3">
      <c r="A8931" s="250">
        <v>22546</v>
      </c>
      <c r="B8931" s="74" t="s">
        <v>5920</v>
      </c>
      <c r="C8931" s="74" t="s">
        <v>456</v>
      </c>
    </row>
    <row r="8932" spans="1:3">
      <c r="A8932" s="250">
        <v>22547</v>
      </c>
      <c r="B8932" s="74" t="s">
        <v>5921</v>
      </c>
      <c r="C8932" s="74" t="s">
        <v>456</v>
      </c>
    </row>
    <row r="8933" spans="1:3">
      <c r="A8933" s="250">
        <v>22548</v>
      </c>
      <c r="B8933" s="74" t="s">
        <v>5922</v>
      </c>
      <c r="C8933" s="74" t="s">
        <v>456</v>
      </c>
    </row>
    <row r="8934" spans="1:3">
      <c r="A8934" s="250">
        <v>22551</v>
      </c>
      <c r="B8934" s="74" t="s">
        <v>5923</v>
      </c>
      <c r="C8934" s="74" t="s">
        <v>456</v>
      </c>
    </row>
    <row r="8935" spans="1:3">
      <c r="A8935" s="250">
        <v>22552</v>
      </c>
      <c r="B8935" s="74" t="s">
        <v>2327</v>
      </c>
      <c r="C8935" s="74" t="s">
        <v>456</v>
      </c>
    </row>
    <row r="8936" spans="1:3">
      <c r="A8936" s="250">
        <v>22553</v>
      </c>
      <c r="B8936" s="74" t="s">
        <v>5923</v>
      </c>
      <c r="C8936" s="74" t="s">
        <v>456</v>
      </c>
    </row>
    <row r="8937" spans="1:3">
      <c r="A8937" s="250">
        <v>22554</v>
      </c>
      <c r="B8937" s="74" t="s">
        <v>1961</v>
      </c>
      <c r="C8937" s="74" t="s">
        <v>456</v>
      </c>
    </row>
    <row r="8938" spans="1:3">
      <c r="A8938" s="250">
        <v>22555</v>
      </c>
      <c r="B8938" s="74" t="s">
        <v>1961</v>
      </c>
      <c r="C8938" s="74" t="s">
        <v>456</v>
      </c>
    </row>
    <row r="8939" spans="1:3">
      <c r="A8939" s="250">
        <v>22556</v>
      </c>
      <c r="B8939" s="74" t="s">
        <v>1961</v>
      </c>
      <c r="C8939" s="74" t="s">
        <v>456</v>
      </c>
    </row>
    <row r="8940" spans="1:3">
      <c r="A8940" s="250">
        <v>22558</v>
      </c>
      <c r="B8940" s="74" t="s">
        <v>2072</v>
      </c>
      <c r="C8940" s="74" t="s">
        <v>456</v>
      </c>
    </row>
    <row r="8941" spans="1:3">
      <c r="A8941" s="250">
        <v>22560</v>
      </c>
      <c r="B8941" s="74" t="s">
        <v>5924</v>
      </c>
      <c r="C8941" s="74" t="s">
        <v>456</v>
      </c>
    </row>
    <row r="8942" spans="1:3">
      <c r="A8942" s="250">
        <v>22565</v>
      </c>
      <c r="B8942" s="74" t="s">
        <v>5925</v>
      </c>
      <c r="C8942" s="74" t="s">
        <v>456</v>
      </c>
    </row>
    <row r="8943" spans="1:3">
      <c r="A8943" s="250">
        <v>22567</v>
      </c>
      <c r="B8943" s="74" t="s">
        <v>1968</v>
      </c>
      <c r="C8943" s="74" t="s">
        <v>456</v>
      </c>
    </row>
    <row r="8944" spans="1:3">
      <c r="A8944" s="250">
        <v>22570</v>
      </c>
      <c r="B8944" s="74" t="s">
        <v>5926</v>
      </c>
      <c r="C8944" s="74" t="s">
        <v>456</v>
      </c>
    </row>
    <row r="8945" spans="1:3">
      <c r="A8945" s="250">
        <v>22572</v>
      </c>
      <c r="B8945" s="74" t="s">
        <v>3834</v>
      </c>
      <c r="C8945" s="74" t="s">
        <v>456</v>
      </c>
    </row>
    <row r="8946" spans="1:3">
      <c r="A8946" s="250">
        <v>22576</v>
      </c>
      <c r="B8946" s="74" t="s">
        <v>5927</v>
      </c>
      <c r="C8946" s="74" t="s">
        <v>456</v>
      </c>
    </row>
    <row r="8947" spans="1:3">
      <c r="A8947" s="250">
        <v>22577</v>
      </c>
      <c r="B8947" s="74" t="s">
        <v>1714</v>
      </c>
      <c r="C8947" s="74" t="s">
        <v>456</v>
      </c>
    </row>
    <row r="8948" spans="1:3">
      <c r="A8948" s="250">
        <v>22578</v>
      </c>
      <c r="B8948" s="74" t="s">
        <v>5928</v>
      </c>
      <c r="C8948" s="74" t="s">
        <v>456</v>
      </c>
    </row>
    <row r="8949" spans="1:3">
      <c r="A8949" s="250">
        <v>22579</v>
      </c>
      <c r="B8949" s="74" t="s">
        <v>5929</v>
      </c>
      <c r="C8949" s="74" t="s">
        <v>456</v>
      </c>
    </row>
    <row r="8950" spans="1:3">
      <c r="A8950" s="250">
        <v>22580</v>
      </c>
      <c r="B8950" s="74" t="s">
        <v>5930</v>
      </c>
      <c r="C8950" s="74" t="s">
        <v>456</v>
      </c>
    </row>
    <row r="8951" spans="1:3">
      <c r="A8951" s="250">
        <v>22581</v>
      </c>
      <c r="B8951" s="74" t="s">
        <v>5931</v>
      </c>
      <c r="C8951" s="74" t="s">
        <v>456</v>
      </c>
    </row>
    <row r="8952" spans="1:3">
      <c r="A8952" s="250">
        <v>22601</v>
      </c>
      <c r="B8952" s="74" t="s">
        <v>832</v>
      </c>
      <c r="C8952" s="74" t="s">
        <v>456</v>
      </c>
    </row>
    <row r="8953" spans="1:3">
      <c r="A8953" s="250">
        <v>22602</v>
      </c>
      <c r="B8953" s="74" t="s">
        <v>832</v>
      </c>
      <c r="C8953" s="74" t="s">
        <v>456</v>
      </c>
    </row>
    <row r="8954" spans="1:3">
      <c r="A8954" s="250">
        <v>22603</v>
      </c>
      <c r="B8954" s="74" t="s">
        <v>832</v>
      </c>
      <c r="C8954" s="74" t="s">
        <v>456</v>
      </c>
    </row>
    <row r="8955" spans="1:3">
      <c r="A8955" s="250">
        <v>22604</v>
      </c>
      <c r="B8955" s="74" t="s">
        <v>832</v>
      </c>
      <c r="C8955" s="74" t="s">
        <v>456</v>
      </c>
    </row>
    <row r="8956" spans="1:3">
      <c r="A8956" s="250">
        <v>22610</v>
      </c>
      <c r="B8956" s="74" t="s">
        <v>5932</v>
      </c>
      <c r="C8956" s="74" t="s">
        <v>456</v>
      </c>
    </row>
    <row r="8957" spans="1:3">
      <c r="A8957" s="250">
        <v>22611</v>
      </c>
      <c r="B8957" s="74" t="s">
        <v>5933</v>
      </c>
      <c r="C8957" s="74" t="s">
        <v>456</v>
      </c>
    </row>
    <row r="8958" spans="1:3">
      <c r="A8958" s="250">
        <v>22620</v>
      </c>
      <c r="B8958" s="74" t="s">
        <v>5934</v>
      </c>
      <c r="C8958" s="74" t="s">
        <v>456</v>
      </c>
    </row>
    <row r="8959" spans="1:3">
      <c r="A8959" s="250">
        <v>22622</v>
      </c>
      <c r="B8959" s="74" t="s">
        <v>5935</v>
      </c>
      <c r="C8959" s="74" t="s">
        <v>456</v>
      </c>
    </row>
    <row r="8960" spans="1:3">
      <c r="A8960" s="250">
        <v>22623</v>
      </c>
      <c r="B8960" s="74" t="s">
        <v>5936</v>
      </c>
      <c r="C8960" s="74" t="s">
        <v>456</v>
      </c>
    </row>
    <row r="8961" spans="1:3">
      <c r="A8961" s="250">
        <v>22624</v>
      </c>
      <c r="B8961" s="74" t="s">
        <v>5937</v>
      </c>
      <c r="C8961" s="74" t="s">
        <v>456</v>
      </c>
    </row>
    <row r="8962" spans="1:3">
      <c r="A8962" s="250">
        <v>22625</v>
      </c>
      <c r="B8962" s="74" t="s">
        <v>5938</v>
      </c>
      <c r="C8962" s="74" t="s">
        <v>456</v>
      </c>
    </row>
    <row r="8963" spans="1:3">
      <c r="A8963" s="250">
        <v>22626</v>
      </c>
      <c r="B8963" s="74" t="s">
        <v>5939</v>
      </c>
      <c r="C8963" s="74" t="s">
        <v>456</v>
      </c>
    </row>
    <row r="8964" spans="1:3">
      <c r="A8964" s="250">
        <v>22627</v>
      </c>
      <c r="B8964" s="74" t="s">
        <v>5940</v>
      </c>
      <c r="C8964" s="74" t="s">
        <v>456</v>
      </c>
    </row>
    <row r="8965" spans="1:3">
      <c r="A8965" s="250">
        <v>22630</v>
      </c>
      <c r="B8965" s="74" t="s">
        <v>5941</v>
      </c>
      <c r="C8965" s="74" t="s">
        <v>456</v>
      </c>
    </row>
    <row r="8966" spans="1:3">
      <c r="A8966" s="250">
        <v>22637</v>
      </c>
      <c r="B8966" s="74" t="s">
        <v>5942</v>
      </c>
      <c r="C8966" s="74" t="s">
        <v>456</v>
      </c>
    </row>
    <row r="8967" spans="1:3">
      <c r="A8967" s="250">
        <v>22639</v>
      </c>
      <c r="B8967" s="74" t="s">
        <v>3869</v>
      </c>
      <c r="C8967" s="74" t="s">
        <v>456</v>
      </c>
    </row>
    <row r="8968" spans="1:3">
      <c r="A8968" s="250">
        <v>22640</v>
      </c>
      <c r="B8968" s="74" t="s">
        <v>5943</v>
      </c>
      <c r="C8968" s="74" t="s">
        <v>456</v>
      </c>
    </row>
    <row r="8969" spans="1:3">
      <c r="A8969" s="250">
        <v>22641</v>
      </c>
      <c r="B8969" s="74" t="s">
        <v>4890</v>
      </c>
      <c r="C8969" s="74" t="s">
        <v>456</v>
      </c>
    </row>
    <row r="8970" spans="1:3">
      <c r="A8970" s="250">
        <v>22642</v>
      </c>
      <c r="B8970" s="74" t="s">
        <v>2134</v>
      </c>
      <c r="C8970" s="74" t="s">
        <v>456</v>
      </c>
    </row>
    <row r="8971" spans="1:3">
      <c r="A8971" s="250">
        <v>22643</v>
      </c>
      <c r="B8971" s="74" t="s">
        <v>5944</v>
      </c>
      <c r="C8971" s="74" t="s">
        <v>456</v>
      </c>
    </row>
    <row r="8972" spans="1:3">
      <c r="A8972" s="250">
        <v>22644</v>
      </c>
      <c r="B8972" s="74" t="s">
        <v>5945</v>
      </c>
      <c r="C8972" s="74" t="s">
        <v>456</v>
      </c>
    </row>
    <row r="8973" spans="1:3">
      <c r="A8973" s="250">
        <v>22645</v>
      </c>
      <c r="B8973" s="74" t="s">
        <v>1119</v>
      </c>
      <c r="C8973" s="74" t="s">
        <v>456</v>
      </c>
    </row>
    <row r="8974" spans="1:3">
      <c r="A8974" s="250">
        <v>22646</v>
      </c>
      <c r="B8974" s="74" t="s">
        <v>2643</v>
      </c>
      <c r="C8974" s="74" t="s">
        <v>456</v>
      </c>
    </row>
    <row r="8975" spans="1:3">
      <c r="A8975" s="250">
        <v>22649</v>
      </c>
      <c r="B8975" s="74" t="s">
        <v>1119</v>
      </c>
      <c r="C8975" s="74" t="s">
        <v>456</v>
      </c>
    </row>
    <row r="8976" spans="1:3">
      <c r="A8976" s="250">
        <v>22650</v>
      </c>
      <c r="B8976" s="74" t="s">
        <v>5946</v>
      </c>
      <c r="C8976" s="74" t="s">
        <v>456</v>
      </c>
    </row>
    <row r="8977" spans="1:3">
      <c r="A8977" s="250">
        <v>22652</v>
      </c>
      <c r="B8977" s="74" t="s">
        <v>5947</v>
      </c>
      <c r="C8977" s="74" t="s">
        <v>456</v>
      </c>
    </row>
    <row r="8978" spans="1:3">
      <c r="A8978" s="250">
        <v>22654</v>
      </c>
      <c r="B8978" s="74" t="s">
        <v>5948</v>
      </c>
      <c r="C8978" s="74" t="s">
        <v>456</v>
      </c>
    </row>
    <row r="8979" spans="1:3">
      <c r="A8979" s="250">
        <v>22655</v>
      </c>
      <c r="B8979" s="74" t="s">
        <v>5949</v>
      </c>
      <c r="C8979" s="74" t="s">
        <v>456</v>
      </c>
    </row>
    <row r="8980" spans="1:3">
      <c r="A8980" s="250">
        <v>22656</v>
      </c>
      <c r="B8980" s="74" t="s">
        <v>5950</v>
      </c>
      <c r="C8980" s="74" t="s">
        <v>456</v>
      </c>
    </row>
    <row r="8981" spans="1:3">
      <c r="A8981" s="250">
        <v>22657</v>
      </c>
      <c r="B8981" s="74" t="s">
        <v>4890</v>
      </c>
      <c r="C8981" s="74" t="s">
        <v>456</v>
      </c>
    </row>
    <row r="8982" spans="1:3">
      <c r="A8982" s="250">
        <v>22660</v>
      </c>
      <c r="B8982" s="74" t="s">
        <v>5951</v>
      </c>
      <c r="C8982" s="74" t="s">
        <v>456</v>
      </c>
    </row>
    <row r="8983" spans="1:3">
      <c r="A8983" s="250">
        <v>22663</v>
      </c>
      <c r="B8983" s="74" t="s">
        <v>5952</v>
      </c>
      <c r="C8983" s="74" t="s">
        <v>456</v>
      </c>
    </row>
    <row r="8984" spans="1:3">
      <c r="A8984" s="250">
        <v>22664</v>
      </c>
      <c r="B8984" s="74" t="s">
        <v>1223</v>
      </c>
      <c r="C8984" s="74" t="s">
        <v>456</v>
      </c>
    </row>
    <row r="8985" spans="1:3">
      <c r="A8985" s="250">
        <v>22701</v>
      </c>
      <c r="B8985" s="74" t="s">
        <v>5953</v>
      </c>
      <c r="C8985" s="74" t="s">
        <v>456</v>
      </c>
    </row>
    <row r="8986" spans="1:3">
      <c r="A8986" s="250">
        <v>22709</v>
      </c>
      <c r="B8986" s="74" t="s">
        <v>5954</v>
      </c>
      <c r="C8986" s="74" t="s">
        <v>456</v>
      </c>
    </row>
    <row r="8987" spans="1:3">
      <c r="A8987" s="250">
        <v>22711</v>
      </c>
      <c r="B8987" s="74" t="s">
        <v>5955</v>
      </c>
      <c r="C8987" s="74" t="s">
        <v>456</v>
      </c>
    </row>
    <row r="8988" spans="1:3">
      <c r="A8988" s="250">
        <v>22712</v>
      </c>
      <c r="B8988" s="74" t="s">
        <v>5956</v>
      </c>
      <c r="C8988" s="74" t="s">
        <v>456</v>
      </c>
    </row>
    <row r="8989" spans="1:3">
      <c r="A8989" s="250">
        <v>22713</v>
      </c>
      <c r="B8989" s="74" t="s">
        <v>900</v>
      </c>
      <c r="C8989" s="74" t="s">
        <v>456</v>
      </c>
    </row>
    <row r="8990" spans="1:3">
      <c r="A8990" s="250">
        <v>22714</v>
      </c>
      <c r="B8990" s="74" t="s">
        <v>5957</v>
      </c>
      <c r="C8990" s="74" t="s">
        <v>456</v>
      </c>
    </row>
    <row r="8991" spans="1:3">
      <c r="A8991" s="250">
        <v>22715</v>
      </c>
      <c r="B8991" s="74" t="s">
        <v>5958</v>
      </c>
      <c r="C8991" s="74" t="s">
        <v>456</v>
      </c>
    </row>
    <row r="8992" spans="1:3">
      <c r="A8992" s="250">
        <v>22716</v>
      </c>
      <c r="B8992" s="74" t="s">
        <v>1866</v>
      </c>
      <c r="C8992" s="74" t="s">
        <v>456</v>
      </c>
    </row>
    <row r="8993" spans="1:3">
      <c r="A8993" s="250">
        <v>22718</v>
      </c>
      <c r="B8993" s="74" t="s">
        <v>5959</v>
      </c>
      <c r="C8993" s="74" t="s">
        <v>456</v>
      </c>
    </row>
    <row r="8994" spans="1:3">
      <c r="A8994" s="250">
        <v>22719</v>
      </c>
      <c r="B8994" s="74" t="s">
        <v>5960</v>
      </c>
      <c r="C8994" s="74" t="s">
        <v>456</v>
      </c>
    </row>
    <row r="8995" spans="1:3">
      <c r="A8995" s="250">
        <v>22720</v>
      </c>
      <c r="B8995" s="74" t="s">
        <v>5961</v>
      </c>
      <c r="C8995" s="74" t="s">
        <v>456</v>
      </c>
    </row>
    <row r="8996" spans="1:3">
      <c r="A8996" s="250">
        <v>22721</v>
      </c>
      <c r="B8996" s="74" t="s">
        <v>5962</v>
      </c>
      <c r="C8996" s="74" t="s">
        <v>456</v>
      </c>
    </row>
    <row r="8997" spans="1:3">
      <c r="A8997" s="250">
        <v>22722</v>
      </c>
      <c r="B8997" s="74" t="s">
        <v>5963</v>
      </c>
      <c r="C8997" s="74" t="s">
        <v>456</v>
      </c>
    </row>
    <row r="8998" spans="1:3">
      <c r="A8998" s="250">
        <v>22723</v>
      </c>
      <c r="B8998" s="74" t="s">
        <v>5964</v>
      </c>
      <c r="C8998" s="74" t="s">
        <v>456</v>
      </c>
    </row>
    <row r="8999" spans="1:3">
      <c r="A8999" s="250">
        <v>22724</v>
      </c>
      <c r="B8999" s="74" t="s">
        <v>5965</v>
      </c>
      <c r="C8999" s="74" t="s">
        <v>456</v>
      </c>
    </row>
    <row r="9000" spans="1:3">
      <c r="A9000" s="250">
        <v>22725</v>
      </c>
      <c r="B9000" s="74" t="s">
        <v>3872</v>
      </c>
      <c r="C9000" s="74" t="s">
        <v>456</v>
      </c>
    </row>
    <row r="9001" spans="1:3">
      <c r="A9001" s="250">
        <v>22726</v>
      </c>
      <c r="B9001" s="74" t="s">
        <v>5966</v>
      </c>
      <c r="C9001" s="74" t="s">
        <v>456</v>
      </c>
    </row>
    <row r="9002" spans="1:3">
      <c r="A9002" s="250">
        <v>22727</v>
      </c>
      <c r="B9002" s="74" t="s">
        <v>1320</v>
      </c>
      <c r="C9002" s="74" t="s">
        <v>456</v>
      </c>
    </row>
    <row r="9003" spans="1:3">
      <c r="A9003" s="250">
        <v>22728</v>
      </c>
      <c r="B9003" s="74" t="s">
        <v>3994</v>
      </c>
      <c r="C9003" s="74" t="s">
        <v>456</v>
      </c>
    </row>
    <row r="9004" spans="1:3">
      <c r="A9004" s="250">
        <v>22729</v>
      </c>
      <c r="B9004" s="74" t="s">
        <v>5967</v>
      </c>
      <c r="C9004" s="74" t="s">
        <v>456</v>
      </c>
    </row>
    <row r="9005" spans="1:3">
      <c r="A9005" s="250">
        <v>22730</v>
      </c>
      <c r="B9005" s="74" t="s">
        <v>5968</v>
      </c>
      <c r="C9005" s="74" t="s">
        <v>456</v>
      </c>
    </row>
    <row r="9006" spans="1:3">
      <c r="A9006" s="250">
        <v>22731</v>
      </c>
      <c r="B9006" s="74" t="s">
        <v>5969</v>
      </c>
      <c r="C9006" s="74" t="s">
        <v>456</v>
      </c>
    </row>
    <row r="9007" spans="1:3">
      <c r="A9007" s="250">
        <v>22732</v>
      </c>
      <c r="B9007" s="74" t="s">
        <v>5970</v>
      </c>
      <c r="C9007" s="74" t="s">
        <v>456</v>
      </c>
    </row>
    <row r="9008" spans="1:3">
      <c r="A9008" s="250">
        <v>22733</v>
      </c>
      <c r="B9008" s="74" t="s">
        <v>5971</v>
      </c>
      <c r="C9008" s="74" t="s">
        <v>456</v>
      </c>
    </row>
    <row r="9009" spans="1:3">
      <c r="A9009" s="250">
        <v>22734</v>
      </c>
      <c r="B9009" s="74" t="s">
        <v>5972</v>
      </c>
      <c r="C9009" s="74" t="s">
        <v>456</v>
      </c>
    </row>
    <row r="9010" spans="1:3">
      <c r="A9010" s="250">
        <v>22735</v>
      </c>
      <c r="B9010" s="74" t="s">
        <v>5973</v>
      </c>
      <c r="C9010" s="74" t="s">
        <v>456</v>
      </c>
    </row>
    <row r="9011" spans="1:3">
      <c r="A9011" s="250">
        <v>22736</v>
      </c>
      <c r="B9011" s="74" t="s">
        <v>5974</v>
      </c>
      <c r="C9011" s="74" t="s">
        <v>456</v>
      </c>
    </row>
    <row r="9012" spans="1:3">
      <c r="A9012" s="250">
        <v>22737</v>
      </c>
      <c r="B9012" s="74" t="s">
        <v>5975</v>
      </c>
      <c r="C9012" s="74" t="s">
        <v>456</v>
      </c>
    </row>
    <row r="9013" spans="1:3">
      <c r="A9013" s="250">
        <v>22738</v>
      </c>
      <c r="B9013" s="74" t="s">
        <v>5976</v>
      </c>
      <c r="C9013" s="74" t="s">
        <v>456</v>
      </c>
    </row>
    <row r="9014" spans="1:3">
      <c r="A9014" s="250">
        <v>22739</v>
      </c>
      <c r="B9014" s="74" t="s">
        <v>915</v>
      </c>
      <c r="C9014" s="74" t="s">
        <v>456</v>
      </c>
    </row>
    <row r="9015" spans="1:3">
      <c r="A9015" s="250">
        <v>22740</v>
      </c>
      <c r="B9015" s="74" t="s">
        <v>5977</v>
      </c>
      <c r="C9015" s="74" t="s">
        <v>456</v>
      </c>
    </row>
    <row r="9016" spans="1:3">
      <c r="A9016" s="250">
        <v>22741</v>
      </c>
      <c r="B9016" s="74" t="s">
        <v>5978</v>
      </c>
      <c r="C9016" s="74" t="s">
        <v>456</v>
      </c>
    </row>
    <row r="9017" spans="1:3">
      <c r="A9017" s="250">
        <v>22742</v>
      </c>
      <c r="B9017" s="74" t="s">
        <v>5979</v>
      </c>
      <c r="C9017" s="74" t="s">
        <v>456</v>
      </c>
    </row>
    <row r="9018" spans="1:3">
      <c r="A9018" s="250">
        <v>22743</v>
      </c>
      <c r="B9018" s="74" t="s">
        <v>5980</v>
      </c>
      <c r="C9018" s="74" t="s">
        <v>456</v>
      </c>
    </row>
    <row r="9019" spans="1:3">
      <c r="A9019" s="250">
        <v>22746</v>
      </c>
      <c r="B9019" s="74" t="s">
        <v>5981</v>
      </c>
      <c r="C9019" s="74" t="s">
        <v>456</v>
      </c>
    </row>
    <row r="9020" spans="1:3">
      <c r="A9020" s="250">
        <v>22747</v>
      </c>
      <c r="B9020" s="74" t="s">
        <v>1215</v>
      </c>
      <c r="C9020" s="74" t="s">
        <v>456</v>
      </c>
    </row>
    <row r="9021" spans="1:3">
      <c r="A9021" s="250">
        <v>22748</v>
      </c>
      <c r="B9021" s="74" t="s">
        <v>5982</v>
      </c>
      <c r="C9021" s="74" t="s">
        <v>456</v>
      </c>
    </row>
    <row r="9022" spans="1:3">
      <c r="A9022" s="250">
        <v>22749</v>
      </c>
      <c r="B9022" s="74" t="s">
        <v>804</v>
      </c>
      <c r="C9022" s="74" t="s">
        <v>456</v>
      </c>
    </row>
    <row r="9023" spans="1:3">
      <c r="A9023" s="250">
        <v>22801</v>
      </c>
      <c r="B9023" s="74" t="s">
        <v>5983</v>
      </c>
      <c r="C9023" s="74" t="s">
        <v>456</v>
      </c>
    </row>
    <row r="9024" spans="1:3">
      <c r="A9024" s="250">
        <v>22802</v>
      </c>
      <c r="B9024" s="74" t="s">
        <v>5983</v>
      </c>
      <c r="C9024" s="74" t="s">
        <v>456</v>
      </c>
    </row>
    <row r="9025" spans="1:3">
      <c r="A9025" s="250">
        <v>22803</v>
      </c>
      <c r="B9025" s="74" t="s">
        <v>5983</v>
      </c>
      <c r="C9025" s="74" t="s">
        <v>456</v>
      </c>
    </row>
    <row r="9026" spans="1:3">
      <c r="A9026" s="250">
        <v>22807</v>
      </c>
      <c r="B9026" s="74" t="s">
        <v>5983</v>
      </c>
      <c r="C9026" s="74" t="s">
        <v>456</v>
      </c>
    </row>
    <row r="9027" spans="1:3">
      <c r="A9027" s="250">
        <v>22810</v>
      </c>
      <c r="B9027" s="74" t="s">
        <v>5984</v>
      </c>
      <c r="C9027" s="74" t="s">
        <v>456</v>
      </c>
    </row>
    <row r="9028" spans="1:3">
      <c r="A9028" s="250">
        <v>22811</v>
      </c>
      <c r="B9028" s="74" t="s">
        <v>5985</v>
      </c>
      <c r="C9028" s="74" t="s">
        <v>456</v>
      </c>
    </row>
    <row r="9029" spans="1:3">
      <c r="A9029" s="250">
        <v>22812</v>
      </c>
      <c r="B9029" s="74" t="s">
        <v>936</v>
      </c>
      <c r="C9029" s="74" t="s">
        <v>456</v>
      </c>
    </row>
    <row r="9030" spans="1:3">
      <c r="A9030" s="250">
        <v>22815</v>
      </c>
      <c r="B9030" s="74" t="s">
        <v>2563</v>
      </c>
      <c r="C9030" s="74" t="s">
        <v>456</v>
      </c>
    </row>
    <row r="9031" spans="1:3">
      <c r="A9031" s="250">
        <v>22820</v>
      </c>
      <c r="B9031" s="74" t="s">
        <v>5986</v>
      </c>
      <c r="C9031" s="74" t="s">
        <v>456</v>
      </c>
    </row>
    <row r="9032" spans="1:3">
      <c r="A9032" s="250">
        <v>22821</v>
      </c>
      <c r="B9032" s="74" t="s">
        <v>2564</v>
      </c>
      <c r="C9032" s="74" t="s">
        <v>456</v>
      </c>
    </row>
    <row r="9033" spans="1:3">
      <c r="A9033" s="250">
        <v>22824</v>
      </c>
      <c r="B9033" s="74" t="s">
        <v>4413</v>
      </c>
      <c r="C9033" s="74" t="s">
        <v>456</v>
      </c>
    </row>
    <row r="9034" spans="1:3">
      <c r="A9034" s="250">
        <v>22827</v>
      </c>
      <c r="B9034" s="74" t="s">
        <v>5864</v>
      </c>
      <c r="C9034" s="74" t="s">
        <v>456</v>
      </c>
    </row>
    <row r="9035" spans="1:3">
      <c r="A9035" s="250">
        <v>22830</v>
      </c>
      <c r="B9035" s="74" t="s">
        <v>5987</v>
      </c>
      <c r="C9035" s="74" t="s">
        <v>456</v>
      </c>
    </row>
    <row r="9036" spans="1:3">
      <c r="A9036" s="250">
        <v>22831</v>
      </c>
      <c r="B9036" s="74" t="s">
        <v>5988</v>
      </c>
      <c r="C9036" s="74" t="s">
        <v>456</v>
      </c>
    </row>
    <row r="9037" spans="1:3">
      <c r="A9037" s="250">
        <v>22832</v>
      </c>
      <c r="B9037" s="74" t="s">
        <v>5989</v>
      </c>
      <c r="C9037" s="74" t="s">
        <v>456</v>
      </c>
    </row>
    <row r="9038" spans="1:3">
      <c r="A9038" s="250">
        <v>22833</v>
      </c>
      <c r="B9038" s="74" t="s">
        <v>5990</v>
      </c>
      <c r="C9038" s="74" t="s">
        <v>456</v>
      </c>
    </row>
    <row r="9039" spans="1:3">
      <c r="A9039" s="250">
        <v>22834</v>
      </c>
      <c r="B9039" s="74" t="s">
        <v>5991</v>
      </c>
      <c r="C9039" s="74" t="s">
        <v>456</v>
      </c>
    </row>
    <row r="9040" spans="1:3">
      <c r="A9040" s="250">
        <v>22835</v>
      </c>
      <c r="B9040" s="74" t="s">
        <v>5992</v>
      </c>
      <c r="C9040" s="74" t="s">
        <v>456</v>
      </c>
    </row>
    <row r="9041" spans="1:3">
      <c r="A9041" s="250">
        <v>22840</v>
      </c>
      <c r="B9041" s="74" t="s">
        <v>5993</v>
      </c>
      <c r="C9041" s="74" t="s">
        <v>456</v>
      </c>
    </row>
    <row r="9042" spans="1:3">
      <c r="A9042" s="250">
        <v>22841</v>
      </c>
      <c r="B9042" s="74" t="s">
        <v>5994</v>
      </c>
      <c r="C9042" s="74" t="s">
        <v>456</v>
      </c>
    </row>
    <row r="9043" spans="1:3">
      <c r="A9043" s="250">
        <v>22842</v>
      </c>
      <c r="B9043" s="74" t="s">
        <v>5995</v>
      </c>
      <c r="C9043" s="74" t="s">
        <v>456</v>
      </c>
    </row>
    <row r="9044" spans="1:3">
      <c r="A9044" s="250">
        <v>22843</v>
      </c>
      <c r="B9044" s="74" t="s">
        <v>5996</v>
      </c>
      <c r="C9044" s="74" t="s">
        <v>456</v>
      </c>
    </row>
    <row r="9045" spans="1:3">
      <c r="A9045" s="250">
        <v>22844</v>
      </c>
      <c r="B9045" s="74" t="s">
        <v>5812</v>
      </c>
      <c r="C9045" s="74" t="s">
        <v>456</v>
      </c>
    </row>
    <row r="9046" spans="1:3">
      <c r="A9046" s="250">
        <v>22845</v>
      </c>
      <c r="B9046" s="74" t="s">
        <v>5997</v>
      </c>
      <c r="C9046" s="74" t="s">
        <v>456</v>
      </c>
    </row>
    <row r="9047" spans="1:3">
      <c r="A9047" s="250">
        <v>22846</v>
      </c>
      <c r="B9047" s="74" t="s">
        <v>5998</v>
      </c>
      <c r="C9047" s="74" t="s">
        <v>456</v>
      </c>
    </row>
    <row r="9048" spans="1:3">
      <c r="A9048" s="250">
        <v>22847</v>
      </c>
      <c r="B9048" s="74" t="s">
        <v>5999</v>
      </c>
      <c r="C9048" s="74" t="s">
        <v>456</v>
      </c>
    </row>
    <row r="9049" spans="1:3">
      <c r="A9049" s="250">
        <v>22848</v>
      </c>
      <c r="B9049" s="74" t="s">
        <v>3140</v>
      </c>
      <c r="C9049" s="74" t="s">
        <v>456</v>
      </c>
    </row>
    <row r="9050" spans="1:3">
      <c r="A9050" s="250">
        <v>22849</v>
      </c>
      <c r="B9050" s="74" t="s">
        <v>5020</v>
      </c>
      <c r="C9050" s="74" t="s">
        <v>456</v>
      </c>
    </row>
    <row r="9051" spans="1:3">
      <c r="A9051" s="250">
        <v>22850</v>
      </c>
      <c r="B9051" s="74" t="s">
        <v>6000</v>
      </c>
      <c r="C9051" s="74" t="s">
        <v>456</v>
      </c>
    </row>
    <row r="9052" spans="1:3">
      <c r="A9052" s="250">
        <v>22851</v>
      </c>
      <c r="B9052" s="74" t="s">
        <v>3830</v>
      </c>
      <c r="C9052" s="74" t="s">
        <v>456</v>
      </c>
    </row>
    <row r="9053" spans="1:3">
      <c r="A9053" s="250">
        <v>22853</v>
      </c>
      <c r="B9053" s="74" t="s">
        <v>6001</v>
      </c>
      <c r="C9053" s="74" t="s">
        <v>456</v>
      </c>
    </row>
    <row r="9054" spans="1:3">
      <c r="A9054" s="250">
        <v>22901</v>
      </c>
      <c r="B9054" s="74" t="s">
        <v>6002</v>
      </c>
      <c r="C9054" s="74" t="s">
        <v>456</v>
      </c>
    </row>
    <row r="9055" spans="1:3">
      <c r="A9055" s="250">
        <v>22902</v>
      </c>
      <c r="B9055" s="74" t="s">
        <v>6002</v>
      </c>
      <c r="C9055" s="74" t="s">
        <v>456</v>
      </c>
    </row>
    <row r="9056" spans="1:3">
      <c r="A9056" s="250">
        <v>22903</v>
      </c>
      <c r="B9056" s="74" t="s">
        <v>6002</v>
      </c>
      <c r="C9056" s="74" t="s">
        <v>456</v>
      </c>
    </row>
    <row r="9057" spans="1:3">
      <c r="A9057" s="250">
        <v>22904</v>
      </c>
      <c r="B9057" s="74" t="s">
        <v>6002</v>
      </c>
      <c r="C9057" s="74" t="s">
        <v>456</v>
      </c>
    </row>
    <row r="9058" spans="1:3">
      <c r="A9058" s="250">
        <v>22905</v>
      </c>
      <c r="B9058" s="74" t="s">
        <v>6002</v>
      </c>
      <c r="C9058" s="74" t="s">
        <v>456</v>
      </c>
    </row>
    <row r="9059" spans="1:3">
      <c r="A9059" s="250">
        <v>22906</v>
      </c>
      <c r="B9059" s="74" t="s">
        <v>6002</v>
      </c>
      <c r="C9059" s="74" t="s">
        <v>456</v>
      </c>
    </row>
    <row r="9060" spans="1:3">
      <c r="A9060" s="250">
        <v>22907</v>
      </c>
      <c r="B9060" s="74" t="s">
        <v>6002</v>
      </c>
      <c r="C9060" s="74" t="s">
        <v>456</v>
      </c>
    </row>
    <row r="9061" spans="1:3">
      <c r="A9061" s="250">
        <v>22908</v>
      </c>
      <c r="B9061" s="74" t="s">
        <v>6002</v>
      </c>
      <c r="C9061" s="74" t="s">
        <v>456</v>
      </c>
    </row>
    <row r="9062" spans="1:3">
      <c r="A9062" s="250">
        <v>22909</v>
      </c>
      <c r="B9062" s="74" t="s">
        <v>6002</v>
      </c>
      <c r="C9062" s="74" t="s">
        <v>456</v>
      </c>
    </row>
    <row r="9063" spans="1:3">
      <c r="A9063" s="250">
        <v>22910</v>
      </c>
      <c r="B9063" s="74" t="s">
        <v>6002</v>
      </c>
      <c r="C9063" s="74" t="s">
        <v>456</v>
      </c>
    </row>
    <row r="9064" spans="1:3">
      <c r="A9064" s="250">
        <v>22911</v>
      </c>
      <c r="B9064" s="74" t="s">
        <v>6002</v>
      </c>
      <c r="C9064" s="74" t="s">
        <v>456</v>
      </c>
    </row>
    <row r="9065" spans="1:3">
      <c r="A9065" s="250">
        <v>22920</v>
      </c>
      <c r="B9065" s="74" t="s">
        <v>3590</v>
      </c>
      <c r="C9065" s="74" t="s">
        <v>456</v>
      </c>
    </row>
    <row r="9066" spans="1:3">
      <c r="A9066" s="250">
        <v>22922</v>
      </c>
      <c r="B9066" s="74" t="s">
        <v>6003</v>
      </c>
      <c r="C9066" s="74" t="s">
        <v>456</v>
      </c>
    </row>
    <row r="9067" spans="1:3">
      <c r="A9067" s="250">
        <v>22923</v>
      </c>
      <c r="B9067" s="74" t="s">
        <v>6004</v>
      </c>
      <c r="C9067" s="74" t="s">
        <v>456</v>
      </c>
    </row>
    <row r="9068" spans="1:3">
      <c r="A9068" s="250">
        <v>22924</v>
      </c>
      <c r="B9068" s="74" t="s">
        <v>6005</v>
      </c>
      <c r="C9068" s="74" t="s">
        <v>456</v>
      </c>
    </row>
    <row r="9069" spans="1:3">
      <c r="A9069" s="250">
        <v>22931</v>
      </c>
      <c r="B9069" s="74" t="s">
        <v>6006</v>
      </c>
      <c r="C9069" s="74" t="s">
        <v>456</v>
      </c>
    </row>
    <row r="9070" spans="1:3">
      <c r="A9070" s="250">
        <v>22932</v>
      </c>
      <c r="B9070" s="74" t="s">
        <v>6007</v>
      </c>
      <c r="C9070" s="74" t="s">
        <v>456</v>
      </c>
    </row>
    <row r="9071" spans="1:3">
      <c r="A9071" s="250">
        <v>22935</v>
      </c>
      <c r="B9071" s="74" t="s">
        <v>6008</v>
      </c>
      <c r="C9071" s="74" t="s">
        <v>456</v>
      </c>
    </row>
    <row r="9072" spans="1:3">
      <c r="A9072" s="250">
        <v>22936</v>
      </c>
      <c r="B9072" s="74" t="s">
        <v>6009</v>
      </c>
      <c r="C9072" s="74" t="s">
        <v>456</v>
      </c>
    </row>
    <row r="9073" spans="1:3">
      <c r="A9073" s="250">
        <v>22937</v>
      </c>
      <c r="B9073" s="74" t="s">
        <v>6010</v>
      </c>
      <c r="C9073" s="74" t="s">
        <v>456</v>
      </c>
    </row>
    <row r="9074" spans="1:3">
      <c r="A9074" s="250">
        <v>22938</v>
      </c>
      <c r="B9074" s="74" t="s">
        <v>6011</v>
      </c>
      <c r="C9074" s="74" t="s">
        <v>456</v>
      </c>
    </row>
    <row r="9075" spans="1:3">
      <c r="A9075" s="250">
        <v>22939</v>
      </c>
      <c r="B9075" s="74" t="s">
        <v>6012</v>
      </c>
      <c r="C9075" s="74" t="s">
        <v>456</v>
      </c>
    </row>
    <row r="9076" spans="1:3">
      <c r="A9076" s="250">
        <v>22940</v>
      </c>
      <c r="B9076" s="74" t="s">
        <v>6013</v>
      </c>
      <c r="C9076" s="74" t="s">
        <v>456</v>
      </c>
    </row>
    <row r="9077" spans="1:3">
      <c r="A9077" s="250">
        <v>22942</v>
      </c>
      <c r="B9077" s="74" t="s">
        <v>6014</v>
      </c>
      <c r="C9077" s="74" t="s">
        <v>456</v>
      </c>
    </row>
    <row r="9078" spans="1:3">
      <c r="A9078" s="250">
        <v>22943</v>
      </c>
      <c r="B9078" s="74" t="s">
        <v>1448</v>
      </c>
      <c r="C9078" s="74" t="s">
        <v>456</v>
      </c>
    </row>
    <row r="9079" spans="1:3">
      <c r="A9079" s="250">
        <v>22945</v>
      </c>
      <c r="B9079" s="74" t="s">
        <v>6015</v>
      </c>
      <c r="C9079" s="74" t="s">
        <v>456</v>
      </c>
    </row>
    <row r="9080" spans="1:3">
      <c r="A9080" s="250">
        <v>22946</v>
      </c>
      <c r="B9080" s="74" t="s">
        <v>1226</v>
      </c>
      <c r="C9080" s="74" t="s">
        <v>456</v>
      </c>
    </row>
    <row r="9081" spans="1:3">
      <c r="A9081" s="250">
        <v>22947</v>
      </c>
      <c r="B9081" s="74" t="s">
        <v>6016</v>
      </c>
      <c r="C9081" s="74" t="s">
        <v>456</v>
      </c>
    </row>
    <row r="9082" spans="1:3">
      <c r="A9082" s="250">
        <v>22948</v>
      </c>
      <c r="B9082" s="74" t="s">
        <v>6017</v>
      </c>
      <c r="C9082" s="74" t="s">
        <v>456</v>
      </c>
    </row>
    <row r="9083" spans="1:3">
      <c r="A9083" s="250">
        <v>22949</v>
      </c>
      <c r="B9083" s="74" t="s">
        <v>6018</v>
      </c>
      <c r="C9083" s="74" t="s">
        <v>456</v>
      </c>
    </row>
    <row r="9084" spans="1:3">
      <c r="A9084" s="250">
        <v>22952</v>
      </c>
      <c r="B9084" s="74" t="s">
        <v>2154</v>
      </c>
      <c r="C9084" s="74" t="s">
        <v>456</v>
      </c>
    </row>
    <row r="9085" spans="1:3">
      <c r="A9085" s="250">
        <v>22957</v>
      </c>
      <c r="B9085" s="74" t="s">
        <v>6019</v>
      </c>
      <c r="C9085" s="74" t="s">
        <v>456</v>
      </c>
    </row>
    <row r="9086" spans="1:3">
      <c r="A9086" s="250">
        <v>22958</v>
      </c>
      <c r="B9086" s="74" t="s">
        <v>6020</v>
      </c>
      <c r="C9086" s="74" t="s">
        <v>456</v>
      </c>
    </row>
    <row r="9087" spans="1:3">
      <c r="A9087" s="250">
        <v>22959</v>
      </c>
      <c r="B9087" s="74" t="s">
        <v>6021</v>
      </c>
      <c r="C9087" s="74" t="s">
        <v>456</v>
      </c>
    </row>
    <row r="9088" spans="1:3">
      <c r="A9088" s="250">
        <v>22960</v>
      </c>
      <c r="B9088" s="74" t="s">
        <v>689</v>
      </c>
      <c r="C9088" s="74" t="s">
        <v>456</v>
      </c>
    </row>
    <row r="9089" spans="1:3">
      <c r="A9089" s="250">
        <v>22963</v>
      </c>
      <c r="B9089" s="74" t="s">
        <v>1710</v>
      </c>
      <c r="C9089" s="74" t="s">
        <v>456</v>
      </c>
    </row>
    <row r="9090" spans="1:3">
      <c r="A9090" s="250">
        <v>22964</v>
      </c>
      <c r="B9090" s="74" t="s">
        <v>6022</v>
      </c>
      <c r="C9090" s="74" t="s">
        <v>456</v>
      </c>
    </row>
    <row r="9091" spans="1:3">
      <c r="A9091" s="250">
        <v>22965</v>
      </c>
      <c r="B9091" s="74" t="s">
        <v>6023</v>
      </c>
      <c r="C9091" s="74" t="s">
        <v>456</v>
      </c>
    </row>
    <row r="9092" spans="1:3">
      <c r="A9092" s="250">
        <v>22967</v>
      </c>
      <c r="B9092" s="74" t="s">
        <v>2151</v>
      </c>
      <c r="C9092" s="74" t="s">
        <v>456</v>
      </c>
    </row>
    <row r="9093" spans="1:3">
      <c r="A9093" s="250">
        <v>22968</v>
      </c>
      <c r="B9093" s="74" t="s">
        <v>6024</v>
      </c>
      <c r="C9093" s="74" t="s">
        <v>456</v>
      </c>
    </row>
    <row r="9094" spans="1:3">
      <c r="A9094" s="250">
        <v>22969</v>
      </c>
      <c r="B9094" s="74" t="s">
        <v>6025</v>
      </c>
      <c r="C9094" s="74" t="s">
        <v>456</v>
      </c>
    </row>
    <row r="9095" spans="1:3">
      <c r="A9095" s="250">
        <v>22971</v>
      </c>
      <c r="B9095" s="74" t="s">
        <v>6026</v>
      </c>
      <c r="C9095" s="74" t="s">
        <v>456</v>
      </c>
    </row>
    <row r="9096" spans="1:3">
      <c r="A9096" s="250">
        <v>22972</v>
      </c>
      <c r="B9096" s="74" t="s">
        <v>1070</v>
      </c>
      <c r="C9096" s="74" t="s">
        <v>456</v>
      </c>
    </row>
    <row r="9097" spans="1:3">
      <c r="A9097" s="250">
        <v>22973</v>
      </c>
      <c r="B9097" s="74" t="s">
        <v>6027</v>
      </c>
      <c r="C9097" s="74" t="s">
        <v>456</v>
      </c>
    </row>
    <row r="9098" spans="1:3">
      <c r="A9098" s="250">
        <v>22974</v>
      </c>
      <c r="B9098" s="74" t="s">
        <v>1243</v>
      </c>
      <c r="C9098" s="74" t="s">
        <v>456</v>
      </c>
    </row>
    <row r="9099" spans="1:3">
      <c r="A9099" s="250">
        <v>22976</v>
      </c>
      <c r="B9099" s="74" t="s">
        <v>6028</v>
      </c>
      <c r="C9099" s="74" t="s">
        <v>456</v>
      </c>
    </row>
    <row r="9100" spans="1:3">
      <c r="A9100" s="250">
        <v>22980</v>
      </c>
      <c r="B9100" s="74" t="s">
        <v>4799</v>
      </c>
      <c r="C9100" s="74" t="s">
        <v>456</v>
      </c>
    </row>
    <row r="9101" spans="1:3">
      <c r="A9101" s="250">
        <v>22987</v>
      </c>
      <c r="B9101" s="74" t="s">
        <v>5708</v>
      </c>
      <c r="C9101" s="74" t="s">
        <v>456</v>
      </c>
    </row>
    <row r="9102" spans="1:3">
      <c r="A9102" s="250">
        <v>22989</v>
      </c>
      <c r="B9102" s="74" t="s">
        <v>6029</v>
      </c>
      <c r="C9102" s="74" t="s">
        <v>456</v>
      </c>
    </row>
    <row r="9103" spans="1:3">
      <c r="A9103" s="250">
        <v>23001</v>
      </c>
      <c r="B9103" s="74" t="s">
        <v>6030</v>
      </c>
      <c r="C9103" s="74" t="s">
        <v>456</v>
      </c>
    </row>
    <row r="9104" spans="1:3">
      <c r="A9104" s="250">
        <v>23002</v>
      </c>
      <c r="B9104" s="74" t="s">
        <v>6031</v>
      </c>
      <c r="C9104" s="74" t="s">
        <v>456</v>
      </c>
    </row>
    <row r="9105" spans="1:3">
      <c r="A9105" s="250">
        <v>23003</v>
      </c>
      <c r="B9105" s="74" t="s">
        <v>6032</v>
      </c>
      <c r="C9105" s="74" t="s">
        <v>456</v>
      </c>
    </row>
    <row r="9106" spans="1:3">
      <c r="A9106" s="250">
        <v>23004</v>
      </c>
      <c r="B9106" s="74" t="s">
        <v>6033</v>
      </c>
      <c r="C9106" s="74" t="s">
        <v>456</v>
      </c>
    </row>
    <row r="9107" spans="1:3">
      <c r="A9107" s="250">
        <v>23005</v>
      </c>
      <c r="B9107" s="74" t="s">
        <v>782</v>
      </c>
      <c r="C9107" s="74" t="s">
        <v>456</v>
      </c>
    </row>
    <row r="9108" spans="1:3">
      <c r="A9108" s="250">
        <v>23009</v>
      </c>
      <c r="B9108" s="74" t="s">
        <v>6034</v>
      </c>
      <c r="C9108" s="74" t="s">
        <v>456</v>
      </c>
    </row>
    <row r="9109" spans="1:3">
      <c r="A9109" s="250">
        <v>23011</v>
      </c>
      <c r="B9109" s="74" t="s">
        <v>6035</v>
      </c>
      <c r="C9109" s="74" t="s">
        <v>456</v>
      </c>
    </row>
    <row r="9110" spans="1:3">
      <c r="A9110" s="250">
        <v>23014</v>
      </c>
      <c r="B9110" s="74" t="s">
        <v>6036</v>
      </c>
      <c r="C9110" s="74" t="s">
        <v>456</v>
      </c>
    </row>
    <row r="9111" spans="1:3">
      <c r="A9111" s="250">
        <v>23015</v>
      </c>
      <c r="B9111" s="74" t="s">
        <v>6037</v>
      </c>
      <c r="C9111" s="74" t="s">
        <v>456</v>
      </c>
    </row>
    <row r="9112" spans="1:3">
      <c r="A9112" s="250">
        <v>23018</v>
      </c>
      <c r="B9112" s="74" t="s">
        <v>6038</v>
      </c>
      <c r="C9112" s="74" t="s">
        <v>456</v>
      </c>
    </row>
    <row r="9113" spans="1:3">
      <c r="A9113" s="250">
        <v>23021</v>
      </c>
      <c r="B9113" s="74" t="s">
        <v>6039</v>
      </c>
      <c r="C9113" s="74" t="s">
        <v>456</v>
      </c>
    </row>
    <row r="9114" spans="1:3">
      <c r="A9114" s="250">
        <v>23022</v>
      </c>
      <c r="B9114" s="74" t="s">
        <v>6040</v>
      </c>
      <c r="C9114" s="74" t="s">
        <v>456</v>
      </c>
    </row>
    <row r="9115" spans="1:3">
      <c r="A9115" s="250">
        <v>23023</v>
      </c>
      <c r="B9115" s="74" t="s">
        <v>6041</v>
      </c>
      <c r="C9115" s="74" t="s">
        <v>456</v>
      </c>
    </row>
    <row r="9116" spans="1:3">
      <c r="A9116" s="250">
        <v>23024</v>
      </c>
      <c r="B9116" s="74" t="s">
        <v>6042</v>
      </c>
      <c r="C9116" s="74" t="s">
        <v>456</v>
      </c>
    </row>
    <row r="9117" spans="1:3">
      <c r="A9117" s="250">
        <v>23025</v>
      </c>
      <c r="B9117" s="74" t="s">
        <v>6043</v>
      </c>
      <c r="C9117" s="74" t="s">
        <v>456</v>
      </c>
    </row>
    <row r="9118" spans="1:3">
      <c r="A9118" s="250">
        <v>23027</v>
      </c>
      <c r="B9118" s="74" t="s">
        <v>6044</v>
      </c>
      <c r="C9118" s="74" t="s">
        <v>456</v>
      </c>
    </row>
    <row r="9119" spans="1:3">
      <c r="A9119" s="250">
        <v>23030</v>
      </c>
      <c r="B9119" s="74" t="s">
        <v>6045</v>
      </c>
      <c r="C9119" s="74" t="s">
        <v>456</v>
      </c>
    </row>
    <row r="9120" spans="1:3">
      <c r="A9120" s="250">
        <v>23031</v>
      </c>
      <c r="B9120" s="74" t="s">
        <v>6046</v>
      </c>
      <c r="C9120" s="74" t="s">
        <v>456</v>
      </c>
    </row>
    <row r="9121" spans="1:3">
      <c r="A9121" s="250">
        <v>23032</v>
      </c>
      <c r="B9121" s="74" t="s">
        <v>6047</v>
      </c>
      <c r="C9121" s="74" t="s">
        <v>456</v>
      </c>
    </row>
    <row r="9122" spans="1:3">
      <c r="A9122" s="250">
        <v>23035</v>
      </c>
      <c r="B9122" s="74" t="s">
        <v>6048</v>
      </c>
      <c r="C9122" s="74" t="s">
        <v>456</v>
      </c>
    </row>
    <row r="9123" spans="1:3">
      <c r="A9123" s="250">
        <v>23038</v>
      </c>
      <c r="B9123" s="74" t="s">
        <v>1985</v>
      </c>
      <c r="C9123" s="74" t="s">
        <v>456</v>
      </c>
    </row>
    <row r="9124" spans="1:3">
      <c r="A9124" s="250">
        <v>23039</v>
      </c>
      <c r="B9124" s="74" t="s">
        <v>6049</v>
      </c>
      <c r="C9124" s="74" t="s">
        <v>456</v>
      </c>
    </row>
    <row r="9125" spans="1:3">
      <c r="A9125" s="250">
        <v>23040</v>
      </c>
      <c r="B9125" s="74" t="s">
        <v>1125</v>
      </c>
      <c r="C9125" s="74" t="s">
        <v>456</v>
      </c>
    </row>
    <row r="9126" spans="1:3">
      <c r="A9126" s="250">
        <v>23043</v>
      </c>
      <c r="B9126" s="74" t="s">
        <v>6050</v>
      </c>
      <c r="C9126" s="74" t="s">
        <v>456</v>
      </c>
    </row>
    <row r="9127" spans="1:3">
      <c r="A9127" s="250">
        <v>23045</v>
      </c>
      <c r="B9127" s="74" t="s">
        <v>6051</v>
      </c>
      <c r="C9127" s="74" t="s">
        <v>456</v>
      </c>
    </row>
    <row r="9128" spans="1:3">
      <c r="A9128" s="250">
        <v>23047</v>
      </c>
      <c r="B9128" s="74" t="s">
        <v>6052</v>
      </c>
      <c r="C9128" s="74" t="s">
        <v>456</v>
      </c>
    </row>
    <row r="9129" spans="1:3">
      <c r="A9129" s="250">
        <v>23050</v>
      </c>
      <c r="B9129" s="74" t="s">
        <v>6053</v>
      </c>
      <c r="C9129" s="74" t="s">
        <v>456</v>
      </c>
    </row>
    <row r="9130" spans="1:3">
      <c r="A9130" s="250">
        <v>23055</v>
      </c>
      <c r="B9130" s="74" t="s">
        <v>6054</v>
      </c>
      <c r="C9130" s="74" t="s">
        <v>456</v>
      </c>
    </row>
    <row r="9131" spans="1:3">
      <c r="A9131" s="250">
        <v>23056</v>
      </c>
      <c r="B9131" s="74" t="s">
        <v>1106</v>
      </c>
      <c r="C9131" s="74" t="s">
        <v>456</v>
      </c>
    </row>
    <row r="9132" spans="1:3">
      <c r="A9132" s="250">
        <v>23058</v>
      </c>
      <c r="B9132" s="74" t="s">
        <v>6055</v>
      </c>
      <c r="C9132" s="74" t="s">
        <v>456</v>
      </c>
    </row>
    <row r="9133" spans="1:3">
      <c r="A9133" s="250">
        <v>23059</v>
      </c>
      <c r="B9133" s="74" t="s">
        <v>6055</v>
      </c>
      <c r="C9133" s="74" t="s">
        <v>456</v>
      </c>
    </row>
    <row r="9134" spans="1:3">
      <c r="A9134" s="250">
        <v>23060</v>
      </c>
      <c r="B9134" s="74" t="s">
        <v>6055</v>
      </c>
      <c r="C9134" s="74" t="s">
        <v>456</v>
      </c>
    </row>
    <row r="9135" spans="1:3">
      <c r="A9135" s="250">
        <v>23061</v>
      </c>
      <c r="B9135" s="74" t="s">
        <v>843</v>
      </c>
      <c r="C9135" s="74" t="s">
        <v>456</v>
      </c>
    </row>
    <row r="9136" spans="1:3">
      <c r="A9136" s="250">
        <v>23062</v>
      </c>
      <c r="B9136" s="74" t="s">
        <v>6056</v>
      </c>
      <c r="C9136" s="74" t="s">
        <v>456</v>
      </c>
    </row>
    <row r="9137" spans="1:3">
      <c r="A9137" s="250">
        <v>23063</v>
      </c>
      <c r="B9137" s="74" t="s">
        <v>6057</v>
      </c>
      <c r="C9137" s="74" t="s">
        <v>456</v>
      </c>
    </row>
    <row r="9138" spans="1:3">
      <c r="A9138" s="250">
        <v>23064</v>
      </c>
      <c r="B9138" s="74" t="s">
        <v>6058</v>
      </c>
      <c r="C9138" s="74" t="s">
        <v>456</v>
      </c>
    </row>
    <row r="9139" spans="1:3">
      <c r="A9139" s="250">
        <v>23065</v>
      </c>
      <c r="B9139" s="74" t="s">
        <v>6059</v>
      </c>
      <c r="C9139" s="74" t="s">
        <v>456</v>
      </c>
    </row>
    <row r="9140" spans="1:3">
      <c r="A9140" s="250">
        <v>23066</v>
      </c>
      <c r="B9140" s="74" t="s">
        <v>6060</v>
      </c>
      <c r="C9140" s="74" t="s">
        <v>456</v>
      </c>
    </row>
    <row r="9141" spans="1:3">
      <c r="A9141" s="250">
        <v>23067</v>
      </c>
      <c r="B9141" s="74" t="s">
        <v>6061</v>
      </c>
      <c r="C9141" s="74" t="s">
        <v>456</v>
      </c>
    </row>
    <row r="9142" spans="1:3">
      <c r="A9142" s="250">
        <v>23068</v>
      </c>
      <c r="B9142" s="74" t="s">
        <v>6062</v>
      </c>
      <c r="C9142" s="74" t="s">
        <v>456</v>
      </c>
    </row>
    <row r="9143" spans="1:3">
      <c r="A9143" s="250">
        <v>23069</v>
      </c>
      <c r="B9143" s="74" t="s">
        <v>944</v>
      </c>
      <c r="C9143" s="74" t="s">
        <v>456</v>
      </c>
    </row>
    <row r="9144" spans="1:3">
      <c r="A9144" s="250">
        <v>23070</v>
      </c>
      <c r="B9144" s="74" t="s">
        <v>6063</v>
      </c>
      <c r="C9144" s="74" t="s">
        <v>456</v>
      </c>
    </row>
    <row r="9145" spans="1:3">
      <c r="A9145" s="250">
        <v>23071</v>
      </c>
      <c r="B9145" s="74" t="s">
        <v>6064</v>
      </c>
      <c r="C9145" s="74" t="s">
        <v>456</v>
      </c>
    </row>
    <row r="9146" spans="1:3">
      <c r="A9146" s="250">
        <v>23072</v>
      </c>
      <c r="B9146" s="74" t="s">
        <v>6065</v>
      </c>
      <c r="C9146" s="74" t="s">
        <v>456</v>
      </c>
    </row>
    <row r="9147" spans="1:3">
      <c r="A9147" s="250">
        <v>23075</v>
      </c>
      <c r="B9147" s="74" t="s">
        <v>6066</v>
      </c>
      <c r="C9147" s="74" t="s">
        <v>456</v>
      </c>
    </row>
    <row r="9148" spans="1:3">
      <c r="A9148" s="250">
        <v>23076</v>
      </c>
      <c r="B9148" s="74" t="s">
        <v>6067</v>
      </c>
      <c r="C9148" s="74" t="s">
        <v>456</v>
      </c>
    </row>
    <row r="9149" spans="1:3">
      <c r="A9149" s="250">
        <v>23079</v>
      </c>
      <c r="B9149" s="74" t="s">
        <v>1783</v>
      </c>
      <c r="C9149" s="74" t="s">
        <v>456</v>
      </c>
    </row>
    <row r="9150" spans="1:3">
      <c r="A9150" s="250">
        <v>23081</v>
      </c>
      <c r="B9150" s="74" t="s">
        <v>1113</v>
      </c>
      <c r="C9150" s="74" t="s">
        <v>456</v>
      </c>
    </row>
    <row r="9151" spans="1:3">
      <c r="A9151" s="250">
        <v>23083</v>
      </c>
      <c r="B9151" s="74" t="s">
        <v>6068</v>
      </c>
      <c r="C9151" s="74" t="s">
        <v>456</v>
      </c>
    </row>
    <row r="9152" spans="1:3">
      <c r="A9152" s="250">
        <v>23084</v>
      </c>
      <c r="B9152" s="74" t="s">
        <v>6069</v>
      </c>
      <c r="C9152" s="74" t="s">
        <v>456</v>
      </c>
    </row>
    <row r="9153" spans="1:3">
      <c r="A9153" s="250">
        <v>23085</v>
      </c>
      <c r="B9153" s="74" t="s">
        <v>6070</v>
      </c>
      <c r="C9153" s="74" t="s">
        <v>456</v>
      </c>
    </row>
    <row r="9154" spans="1:3">
      <c r="A9154" s="250">
        <v>23086</v>
      </c>
      <c r="B9154" s="74" t="s">
        <v>6071</v>
      </c>
      <c r="C9154" s="74" t="s">
        <v>456</v>
      </c>
    </row>
    <row r="9155" spans="1:3">
      <c r="A9155" s="250">
        <v>23089</v>
      </c>
      <c r="B9155" s="74" t="s">
        <v>6072</v>
      </c>
      <c r="C9155" s="74" t="s">
        <v>456</v>
      </c>
    </row>
    <row r="9156" spans="1:3">
      <c r="A9156" s="250">
        <v>23090</v>
      </c>
      <c r="B9156" s="74" t="s">
        <v>6073</v>
      </c>
      <c r="C9156" s="74" t="s">
        <v>456</v>
      </c>
    </row>
    <row r="9157" spans="1:3">
      <c r="A9157" s="250">
        <v>23091</v>
      </c>
      <c r="B9157" s="74" t="s">
        <v>6074</v>
      </c>
      <c r="C9157" s="74" t="s">
        <v>456</v>
      </c>
    </row>
    <row r="9158" spans="1:3">
      <c r="A9158" s="250">
        <v>23092</v>
      </c>
      <c r="B9158" s="74" t="s">
        <v>6075</v>
      </c>
      <c r="C9158" s="74" t="s">
        <v>456</v>
      </c>
    </row>
    <row r="9159" spans="1:3">
      <c r="A9159" s="250">
        <v>23093</v>
      </c>
      <c r="B9159" s="74" t="s">
        <v>6076</v>
      </c>
      <c r="C9159" s="74" t="s">
        <v>456</v>
      </c>
    </row>
    <row r="9160" spans="1:3">
      <c r="A9160" s="250">
        <v>23101</v>
      </c>
      <c r="B9160" s="74" t="s">
        <v>6077</v>
      </c>
      <c r="C9160" s="74" t="s">
        <v>456</v>
      </c>
    </row>
    <row r="9161" spans="1:3">
      <c r="A9161" s="250">
        <v>23102</v>
      </c>
      <c r="B9161" s="74" t="s">
        <v>6078</v>
      </c>
      <c r="C9161" s="74" t="s">
        <v>456</v>
      </c>
    </row>
    <row r="9162" spans="1:3">
      <c r="A9162" s="250">
        <v>23103</v>
      </c>
      <c r="B9162" s="74" t="s">
        <v>6079</v>
      </c>
      <c r="C9162" s="74" t="s">
        <v>456</v>
      </c>
    </row>
    <row r="9163" spans="1:3">
      <c r="A9163" s="250">
        <v>23105</v>
      </c>
      <c r="B9163" s="74" t="s">
        <v>6080</v>
      </c>
      <c r="C9163" s="74" t="s">
        <v>456</v>
      </c>
    </row>
    <row r="9164" spans="1:3">
      <c r="A9164" s="250">
        <v>23106</v>
      </c>
      <c r="B9164" s="74" t="s">
        <v>6081</v>
      </c>
      <c r="C9164" s="74" t="s">
        <v>456</v>
      </c>
    </row>
    <row r="9165" spans="1:3">
      <c r="A9165" s="250">
        <v>23107</v>
      </c>
      <c r="B9165" s="74" t="s">
        <v>6082</v>
      </c>
      <c r="C9165" s="74" t="s">
        <v>456</v>
      </c>
    </row>
    <row r="9166" spans="1:3">
      <c r="A9166" s="250">
        <v>23108</v>
      </c>
      <c r="B9166" s="74" t="s">
        <v>6083</v>
      </c>
      <c r="C9166" s="74" t="s">
        <v>456</v>
      </c>
    </row>
    <row r="9167" spans="1:3">
      <c r="A9167" s="250">
        <v>23109</v>
      </c>
      <c r="B9167" s="74" t="s">
        <v>6084</v>
      </c>
      <c r="C9167" s="74" t="s">
        <v>456</v>
      </c>
    </row>
    <row r="9168" spans="1:3">
      <c r="A9168" s="250">
        <v>23110</v>
      </c>
      <c r="B9168" s="74" t="s">
        <v>6085</v>
      </c>
      <c r="C9168" s="74" t="s">
        <v>456</v>
      </c>
    </row>
    <row r="9169" spans="1:3">
      <c r="A9169" s="250">
        <v>23111</v>
      </c>
      <c r="B9169" s="74" t="s">
        <v>5279</v>
      </c>
      <c r="C9169" s="74" t="s">
        <v>456</v>
      </c>
    </row>
    <row r="9170" spans="1:3">
      <c r="A9170" s="250">
        <v>23112</v>
      </c>
      <c r="B9170" s="74" t="s">
        <v>5734</v>
      </c>
      <c r="C9170" s="74" t="s">
        <v>456</v>
      </c>
    </row>
    <row r="9171" spans="1:3">
      <c r="A9171" s="250">
        <v>23113</v>
      </c>
      <c r="B9171" s="74" t="s">
        <v>5734</v>
      </c>
      <c r="C9171" s="74" t="s">
        <v>456</v>
      </c>
    </row>
    <row r="9172" spans="1:3">
      <c r="A9172" s="250">
        <v>23114</v>
      </c>
      <c r="B9172" s="74" t="s">
        <v>5734</v>
      </c>
      <c r="C9172" s="74" t="s">
        <v>456</v>
      </c>
    </row>
    <row r="9173" spans="1:3">
      <c r="A9173" s="250">
        <v>23115</v>
      </c>
      <c r="B9173" s="74" t="s">
        <v>6086</v>
      </c>
      <c r="C9173" s="74" t="s">
        <v>456</v>
      </c>
    </row>
    <row r="9174" spans="1:3">
      <c r="A9174" s="250">
        <v>23116</v>
      </c>
      <c r="B9174" s="74" t="s">
        <v>5279</v>
      </c>
      <c r="C9174" s="74" t="s">
        <v>456</v>
      </c>
    </row>
    <row r="9175" spans="1:3">
      <c r="A9175" s="250">
        <v>23117</v>
      </c>
      <c r="B9175" s="74" t="s">
        <v>6087</v>
      </c>
      <c r="C9175" s="74" t="s">
        <v>456</v>
      </c>
    </row>
    <row r="9176" spans="1:3">
      <c r="A9176" s="250">
        <v>23119</v>
      </c>
      <c r="B9176" s="74" t="s">
        <v>6088</v>
      </c>
      <c r="C9176" s="74" t="s">
        <v>456</v>
      </c>
    </row>
    <row r="9177" spans="1:3">
      <c r="A9177" s="250">
        <v>23120</v>
      </c>
      <c r="B9177" s="74" t="s">
        <v>6089</v>
      </c>
      <c r="C9177" s="74" t="s">
        <v>456</v>
      </c>
    </row>
    <row r="9178" spans="1:3">
      <c r="A9178" s="250">
        <v>23123</v>
      </c>
      <c r="B9178" s="74" t="s">
        <v>6090</v>
      </c>
      <c r="C9178" s="74" t="s">
        <v>456</v>
      </c>
    </row>
    <row r="9179" spans="1:3">
      <c r="A9179" s="250">
        <v>23124</v>
      </c>
      <c r="B9179" s="74" t="s">
        <v>6091</v>
      </c>
      <c r="C9179" s="74" t="s">
        <v>456</v>
      </c>
    </row>
    <row r="9180" spans="1:3">
      <c r="A9180" s="250">
        <v>23125</v>
      </c>
      <c r="B9180" s="74" t="s">
        <v>6092</v>
      </c>
      <c r="C9180" s="74" t="s">
        <v>456</v>
      </c>
    </row>
    <row r="9181" spans="1:3">
      <c r="A9181" s="250">
        <v>23126</v>
      </c>
      <c r="B9181" s="74" t="s">
        <v>2058</v>
      </c>
      <c r="C9181" s="74" t="s">
        <v>456</v>
      </c>
    </row>
    <row r="9182" spans="1:3">
      <c r="A9182" s="250">
        <v>23127</v>
      </c>
      <c r="B9182" s="74" t="s">
        <v>6093</v>
      </c>
      <c r="C9182" s="74" t="s">
        <v>456</v>
      </c>
    </row>
    <row r="9183" spans="1:3">
      <c r="A9183" s="250">
        <v>23128</v>
      </c>
      <c r="B9183" s="74" t="s">
        <v>6094</v>
      </c>
      <c r="C9183" s="74" t="s">
        <v>456</v>
      </c>
    </row>
    <row r="9184" spans="1:3">
      <c r="A9184" s="250">
        <v>23129</v>
      </c>
      <c r="B9184" s="74" t="s">
        <v>6095</v>
      </c>
      <c r="C9184" s="74" t="s">
        <v>456</v>
      </c>
    </row>
    <row r="9185" spans="1:3">
      <c r="A9185" s="250">
        <v>23130</v>
      </c>
      <c r="B9185" s="74" t="s">
        <v>6096</v>
      </c>
      <c r="C9185" s="74" t="s">
        <v>456</v>
      </c>
    </row>
    <row r="9186" spans="1:3">
      <c r="A9186" s="250">
        <v>23131</v>
      </c>
      <c r="B9186" s="74" t="s">
        <v>6097</v>
      </c>
      <c r="C9186" s="74" t="s">
        <v>456</v>
      </c>
    </row>
    <row r="9187" spans="1:3">
      <c r="A9187" s="250">
        <v>23138</v>
      </c>
      <c r="B9187" s="74" t="s">
        <v>6098</v>
      </c>
      <c r="C9187" s="74" t="s">
        <v>456</v>
      </c>
    </row>
    <row r="9188" spans="1:3">
      <c r="A9188" s="250">
        <v>23139</v>
      </c>
      <c r="B9188" s="74" t="s">
        <v>6099</v>
      </c>
      <c r="C9188" s="74" t="s">
        <v>456</v>
      </c>
    </row>
    <row r="9189" spans="1:3">
      <c r="A9189" s="250">
        <v>23140</v>
      </c>
      <c r="B9189" s="74" t="s">
        <v>6100</v>
      </c>
      <c r="C9189" s="74" t="s">
        <v>456</v>
      </c>
    </row>
    <row r="9190" spans="1:3">
      <c r="A9190" s="250">
        <v>23141</v>
      </c>
      <c r="B9190" s="74" t="s">
        <v>2417</v>
      </c>
      <c r="C9190" s="74" t="s">
        <v>456</v>
      </c>
    </row>
    <row r="9191" spans="1:3">
      <c r="A9191" s="250">
        <v>23146</v>
      </c>
      <c r="B9191" s="74" t="s">
        <v>1128</v>
      </c>
      <c r="C9191" s="74" t="s">
        <v>456</v>
      </c>
    </row>
    <row r="9192" spans="1:3">
      <c r="A9192" s="250">
        <v>23147</v>
      </c>
      <c r="B9192" s="74" t="s">
        <v>6101</v>
      </c>
      <c r="C9192" s="74" t="s">
        <v>456</v>
      </c>
    </row>
    <row r="9193" spans="1:3">
      <c r="A9193" s="250">
        <v>23148</v>
      </c>
      <c r="B9193" s="74" t="s">
        <v>6102</v>
      </c>
      <c r="C9193" s="74" t="s">
        <v>456</v>
      </c>
    </row>
    <row r="9194" spans="1:3">
      <c r="A9194" s="250">
        <v>23149</v>
      </c>
      <c r="B9194" s="74" t="s">
        <v>6103</v>
      </c>
      <c r="C9194" s="74" t="s">
        <v>456</v>
      </c>
    </row>
    <row r="9195" spans="1:3">
      <c r="A9195" s="250">
        <v>23150</v>
      </c>
      <c r="B9195" s="74" t="s">
        <v>6104</v>
      </c>
      <c r="C9195" s="74" t="s">
        <v>456</v>
      </c>
    </row>
    <row r="9196" spans="1:3">
      <c r="A9196" s="250">
        <v>23153</v>
      </c>
      <c r="B9196" s="74" t="s">
        <v>2065</v>
      </c>
      <c r="C9196" s="74" t="s">
        <v>456</v>
      </c>
    </row>
    <row r="9197" spans="1:3">
      <c r="A9197" s="250">
        <v>23154</v>
      </c>
      <c r="B9197" s="74" t="s">
        <v>6105</v>
      </c>
      <c r="C9197" s="74" t="s">
        <v>456</v>
      </c>
    </row>
    <row r="9198" spans="1:3">
      <c r="A9198" s="250">
        <v>23155</v>
      </c>
      <c r="B9198" s="74" t="s">
        <v>5700</v>
      </c>
      <c r="C9198" s="74" t="s">
        <v>456</v>
      </c>
    </row>
    <row r="9199" spans="1:3">
      <c r="A9199" s="250">
        <v>23156</v>
      </c>
      <c r="B9199" s="74" t="s">
        <v>6106</v>
      </c>
      <c r="C9199" s="74" t="s">
        <v>456</v>
      </c>
    </row>
    <row r="9200" spans="1:3">
      <c r="A9200" s="250">
        <v>23160</v>
      </c>
      <c r="B9200" s="74" t="s">
        <v>6107</v>
      </c>
      <c r="C9200" s="74" t="s">
        <v>456</v>
      </c>
    </row>
    <row r="9201" spans="1:3">
      <c r="A9201" s="250">
        <v>23161</v>
      </c>
      <c r="B9201" s="74" t="s">
        <v>5251</v>
      </c>
      <c r="C9201" s="74" t="s">
        <v>456</v>
      </c>
    </row>
    <row r="9202" spans="1:3">
      <c r="A9202" s="250">
        <v>23162</v>
      </c>
      <c r="B9202" s="74" t="s">
        <v>6108</v>
      </c>
      <c r="C9202" s="74" t="s">
        <v>456</v>
      </c>
    </row>
    <row r="9203" spans="1:3">
      <c r="A9203" s="250">
        <v>23163</v>
      </c>
      <c r="B9203" s="74" t="s">
        <v>6109</v>
      </c>
      <c r="C9203" s="74" t="s">
        <v>456</v>
      </c>
    </row>
    <row r="9204" spans="1:3">
      <c r="A9204" s="250">
        <v>23168</v>
      </c>
      <c r="B9204" s="74" t="s">
        <v>6110</v>
      </c>
      <c r="C9204" s="74" t="s">
        <v>456</v>
      </c>
    </row>
    <row r="9205" spans="1:3">
      <c r="A9205" s="250">
        <v>23169</v>
      </c>
      <c r="B9205" s="74" t="s">
        <v>6111</v>
      </c>
      <c r="C9205" s="74" t="s">
        <v>456</v>
      </c>
    </row>
    <row r="9206" spans="1:3">
      <c r="A9206" s="250">
        <v>23170</v>
      </c>
      <c r="B9206" s="74" t="s">
        <v>6112</v>
      </c>
      <c r="C9206" s="74" t="s">
        <v>456</v>
      </c>
    </row>
    <row r="9207" spans="1:3">
      <c r="A9207" s="250">
        <v>23173</v>
      </c>
      <c r="B9207" s="74" t="s">
        <v>6113</v>
      </c>
      <c r="C9207" s="74" t="s">
        <v>456</v>
      </c>
    </row>
    <row r="9208" spans="1:3">
      <c r="A9208" s="250">
        <v>23175</v>
      </c>
      <c r="B9208" s="74" t="s">
        <v>6114</v>
      </c>
      <c r="C9208" s="74" t="s">
        <v>456</v>
      </c>
    </row>
    <row r="9209" spans="1:3">
      <c r="A9209" s="250">
        <v>23176</v>
      </c>
      <c r="B9209" s="74" t="s">
        <v>6115</v>
      </c>
      <c r="C9209" s="74" t="s">
        <v>456</v>
      </c>
    </row>
    <row r="9210" spans="1:3">
      <c r="A9210" s="250">
        <v>23177</v>
      </c>
      <c r="B9210" s="74" t="s">
        <v>6116</v>
      </c>
      <c r="C9210" s="74" t="s">
        <v>456</v>
      </c>
    </row>
    <row r="9211" spans="1:3">
      <c r="A9211" s="250">
        <v>23178</v>
      </c>
      <c r="B9211" s="74" t="s">
        <v>6117</v>
      </c>
      <c r="C9211" s="74" t="s">
        <v>456</v>
      </c>
    </row>
    <row r="9212" spans="1:3">
      <c r="A9212" s="250">
        <v>23180</v>
      </c>
      <c r="B9212" s="74" t="s">
        <v>6118</v>
      </c>
      <c r="C9212" s="74" t="s">
        <v>456</v>
      </c>
    </row>
    <row r="9213" spans="1:3">
      <c r="A9213" s="250">
        <v>23181</v>
      </c>
      <c r="B9213" s="74" t="s">
        <v>2720</v>
      </c>
      <c r="C9213" s="74" t="s">
        <v>456</v>
      </c>
    </row>
    <row r="9214" spans="1:3">
      <c r="A9214" s="250">
        <v>23183</v>
      </c>
      <c r="B9214" s="74" t="s">
        <v>5709</v>
      </c>
      <c r="C9214" s="74" t="s">
        <v>456</v>
      </c>
    </row>
    <row r="9215" spans="1:3">
      <c r="A9215" s="250">
        <v>23184</v>
      </c>
      <c r="B9215" s="74" t="s">
        <v>6119</v>
      </c>
      <c r="C9215" s="74" t="s">
        <v>456</v>
      </c>
    </row>
    <row r="9216" spans="1:3">
      <c r="A9216" s="250">
        <v>23185</v>
      </c>
      <c r="B9216" s="74" t="s">
        <v>631</v>
      </c>
      <c r="C9216" s="74" t="s">
        <v>456</v>
      </c>
    </row>
    <row r="9217" spans="1:3">
      <c r="A9217" s="250">
        <v>23186</v>
      </c>
      <c r="B9217" s="74" t="s">
        <v>631</v>
      </c>
      <c r="C9217" s="74" t="s">
        <v>456</v>
      </c>
    </row>
    <row r="9218" spans="1:3">
      <c r="A9218" s="250">
        <v>23187</v>
      </c>
      <c r="B9218" s="74" t="s">
        <v>631</v>
      </c>
      <c r="C9218" s="74" t="s">
        <v>456</v>
      </c>
    </row>
    <row r="9219" spans="1:3">
      <c r="A9219" s="250">
        <v>23188</v>
      </c>
      <c r="B9219" s="74" t="s">
        <v>631</v>
      </c>
      <c r="C9219" s="74" t="s">
        <v>456</v>
      </c>
    </row>
    <row r="9220" spans="1:3">
      <c r="A9220" s="250">
        <v>23190</v>
      </c>
      <c r="B9220" s="74" t="s">
        <v>6120</v>
      </c>
      <c r="C9220" s="74" t="s">
        <v>456</v>
      </c>
    </row>
    <row r="9221" spans="1:3">
      <c r="A9221" s="250">
        <v>23192</v>
      </c>
      <c r="B9221" s="74" t="s">
        <v>1838</v>
      </c>
      <c r="C9221" s="74" t="s">
        <v>456</v>
      </c>
    </row>
    <row r="9222" spans="1:3">
      <c r="A9222" s="250">
        <v>23218</v>
      </c>
      <c r="B9222" s="74" t="s">
        <v>658</v>
      </c>
      <c r="C9222" s="74" t="s">
        <v>456</v>
      </c>
    </row>
    <row r="9223" spans="1:3">
      <c r="A9223" s="250">
        <v>23219</v>
      </c>
      <c r="B9223" s="74" t="s">
        <v>658</v>
      </c>
      <c r="C9223" s="74" t="s">
        <v>456</v>
      </c>
    </row>
    <row r="9224" spans="1:3">
      <c r="A9224" s="250">
        <v>23220</v>
      </c>
      <c r="B9224" s="74" t="s">
        <v>658</v>
      </c>
      <c r="C9224" s="74" t="s">
        <v>456</v>
      </c>
    </row>
    <row r="9225" spans="1:3">
      <c r="A9225" s="250">
        <v>23221</v>
      </c>
      <c r="B9225" s="74" t="s">
        <v>658</v>
      </c>
      <c r="C9225" s="74" t="s">
        <v>456</v>
      </c>
    </row>
    <row r="9226" spans="1:3">
      <c r="A9226" s="250">
        <v>23222</v>
      </c>
      <c r="B9226" s="74" t="s">
        <v>658</v>
      </c>
      <c r="C9226" s="74" t="s">
        <v>456</v>
      </c>
    </row>
    <row r="9227" spans="1:3">
      <c r="A9227" s="250">
        <v>23223</v>
      </c>
      <c r="B9227" s="74" t="s">
        <v>658</v>
      </c>
      <c r="C9227" s="74" t="s">
        <v>456</v>
      </c>
    </row>
    <row r="9228" spans="1:3">
      <c r="A9228" s="250">
        <v>23224</v>
      </c>
      <c r="B9228" s="74" t="s">
        <v>658</v>
      </c>
      <c r="C9228" s="74" t="s">
        <v>456</v>
      </c>
    </row>
    <row r="9229" spans="1:3">
      <c r="A9229" s="250">
        <v>23225</v>
      </c>
      <c r="B9229" s="74" t="s">
        <v>658</v>
      </c>
      <c r="C9229" s="74" t="s">
        <v>456</v>
      </c>
    </row>
    <row r="9230" spans="1:3">
      <c r="A9230" s="250">
        <v>23226</v>
      </c>
      <c r="B9230" s="74" t="s">
        <v>658</v>
      </c>
      <c r="C9230" s="74" t="s">
        <v>456</v>
      </c>
    </row>
    <row r="9231" spans="1:3">
      <c r="A9231" s="250">
        <v>23227</v>
      </c>
      <c r="B9231" s="74" t="s">
        <v>658</v>
      </c>
      <c r="C9231" s="74" t="s">
        <v>456</v>
      </c>
    </row>
    <row r="9232" spans="1:3">
      <c r="A9232" s="250">
        <v>23228</v>
      </c>
      <c r="B9232" s="74" t="s">
        <v>6066</v>
      </c>
      <c r="C9232" s="74" t="s">
        <v>456</v>
      </c>
    </row>
    <row r="9233" spans="1:3">
      <c r="A9233" s="250">
        <v>23229</v>
      </c>
      <c r="B9233" s="74" t="s">
        <v>6066</v>
      </c>
      <c r="C9233" s="74" t="s">
        <v>456</v>
      </c>
    </row>
    <row r="9234" spans="1:3">
      <c r="A9234" s="250">
        <v>23230</v>
      </c>
      <c r="B9234" s="74" t="s">
        <v>658</v>
      </c>
      <c r="C9234" s="74" t="s">
        <v>456</v>
      </c>
    </row>
    <row r="9235" spans="1:3">
      <c r="A9235" s="250">
        <v>23231</v>
      </c>
      <c r="B9235" s="74" t="s">
        <v>6066</v>
      </c>
      <c r="C9235" s="74" t="s">
        <v>456</v>
      </c>
    </row>
    <row r="9236" spans="1:3">
      <c r="A9236" s="250">
        <v>23232</v>
      </c>
      <c r="B9236" s="74" t="s">
        <v>658</v>
      </c>
      <c r="C9236" s="74" t="s">
        <v>456</v>
      </c>
    </row>
    <row r="9237" spans="1:3">
      <c r="A9237" s="250">
        <v>23233</v>
      </c>
      <c r="B9237" s="74" t="s">
        <v>6066</v>
      </c>
      <c r="C9237" s="74" t="s">
        <v>456</v>
      </c>
    </row>
    <row r="9238" spans="1:3">
      <c r="A9238" s="250">
        <v>23234</v>
      </c>
      <c r="B9238" s="74" t="s">
        <v>658</v>
      </c>
      <c r="C9238" s="74" t="s">
        <v>456</v>
      </c>
    </row>
    <row r="9239" spans="1:3">
      <c r="A9239" s="250">
        <v>23235</v>
      </c>
      <c r="B9239" s="74" t="s">
        <v>658</v>
      </c>
      <c r="C9239" s="74" t="s">
        <v>456</v>
      </c>
    </row>
    <row r="9240" spans="1:3">
      <c r="A9240" s="250">
        <v>23236</v>
      </c>
      <c r="B9240" s="74" t="s">
        <v>658</v>
      </c>
      <c r="C9240" s="74" t="s">
        <v>456</v>
      </c>
    </row>
    <row r="9241" spans="1:3">
      <c r="A9241" s="250">
        <v>23237</v>
      </c>
      <c r="B9241" s="74" t="s">
        <v>658</v>
      </c>
      <c r="C9241" s="74" t="s">
        <v>456</v>
      </c>
    </row>
    <row r="9242" spans="1:3">
      <c r="A9242" s="250">
        <v>23238</v>
      </c>
      <c r="B9242" s="74" t="s">
        <v>6066</v>
      </c>
      <c r="C9242" s="74" t="s">
        <v>456</v>
      </c>
    </row>
    <row r="9243" spans="1:3">
      <c r="A9243" s="250">
        <v>23240</v>
      </c>
      <c r="B9243" s="74" t="s">
        <v>658</v>
      </c>
      <c r="C9243" s="74" t="s">
        <v>456</v>
      </c>
    </row>
    <row r="9244" spans="1:3">
      <c r="A9244" s="250">
        <v>23241</v>
      </c>
      <c r="B9244" s="74" t="s">
        <v>658</v>
      </c>
      <c r="C9244" s="74" t="s">
        <v>456</v>
      </c>
    </row>
    <row r="9245" spans="1:3">
      <c r="A9245" s="250">
        <v>23242</v>
      </c>
      <c r="B9245" s="74" t="s">
        <v>6066</v>
      </c>
      <c r="C9245" s="74" t="s">
        <v>456</v>
      </c>
    </row>
    <row r="9246" spans="1:3">
      <c r="A9246" s="250">
        <v>23249</v>
      </c>
      <c r="B9246" s="74" t="s">
        <v>658</v>
      </c>
      <c r="C9246" s="74" t="s">
        <v>456</v>
      </c>
    </row>
    <row r="9247" spans="1:3">
      <c r="A9247" s="250">
        <v>23250</v>
      </c>
      <c r="B9247" s="74" t="s">
        <v>658</v>
      </c>
      <c r="C9247" s="74" t="s">
        <v>456</v>
      </c>
    </row>
    <row r="9248" spans="1:3">
      <c r="A9248" s="250">
        <v>23255</v>
      </c>
      <c r="B9248" s="74" t="s">
        <v>6066</v>
      </c>
      <c r="C9248" s="74" t="s">
        <v>456</v>
      </c>
    </row>
    <row r="9249" spans="1:3">
      <c r="A9249" s="250">
        <v>23260</v>
      </c>
      <c r="B9249" s="74" t="s">
        <v>658</v>
      </c>
      <c r="C9249" s="74" t="s">
        <v>456</v>
      </c>
    </row>
    <row r="9250" spans="1:3">
      <c r="A9250" s="250">
        <v>23261</v>
      </c>
      <c r="B9250" s="74" t="s">
        <v>658</v>
      </c>
      <c r="C9250" s="74" t="s">
        <v>456</v>
      </c>
    </row>
    <row r="9251" spans="1:3">
      <c r="A9251" s="250">
        <v>23269</v>
      </c>
      <c r="B9251" s="74" t="s">
        <v>658</v>
      </c>
      <c r="C9251" s="74" t="s">
        <v>456</v>
      </c>
    </row>
    <row r="9252" spans="1:3">
      <c r="A9252" s="250">
        <v>23273</v>
      </c>
      <c r="B9252" s="74" t="s">
        <v>6066</v>
      </c>
      <c r="C9252" s="74" t="s">
        <v>456</v>
      </c>
    </row>
    <row r="9253" spans="1:3">
      <c r="A9253" s="250">
        <v>23274</v>
      </c>
      <c r="B9253" s="74" t="s">
        <v>658</v>
      </c>
      <c r="C9253" s="74" t="s">
        <v>456</v>
      </c>
    </row>
    <row r="9254" spans="1:3">
      <c r="A9254" s="250">
        <v>23276</v>
      </c>
      <c r="B9254" s="74" t="s">
        <v>658</v>
      </c>
      <c r="C9254" s="74" t="s">
        <v>456</v>
      </c>
    </row>
    <row r="9255" spans="1:3">
      <c r="A9255" s="250">
        <v>23278</v>
      </c>
      <c r="B9255" s="74" t="s">
        <v>658</v>
      </c>
      <c r="C9255" s="74" t="s">
        <v>456</v>
      </c>
    </row>
    <row r="9256" spans="1:3">
      <c r="A9256" s="250">
        <v>23279</v>
      </c>
      <c r="B9256" s="74" t="s">
        <v>658</v>
      </c>
      <c r="C9256" s="74" t="s">
        <v>456</v>
      </c>
    </row>
    <row r="9257" spans="1:3">
      <c r="A9257" s="250">
        <v>23282</v>
      </c>
      <c r="B9257" s="74" t="s">
        <v>658</v>
      </c>
      <c r="C9257" s="74" t="s">
        <v>456</v>
      </c>
    </row>
    <row r="9258" spans="1:3">
      <c r="A9258" s="250">
        <v>23284</v>
      </c>
      <c r="B9258" s="74" t="s">
        <v>658</v>
      </c>
      <c r="C9258" s="74" t="s">
        <v>456</v>
      </c>
    </row>
    <row r="9259" spans="1:3">
      <c r="A9259" s="250">
        <v>23285</v>
      </c>
      <c r="B9259" s="74" t="s">
        <v>658</v>
      </c>
      <c r="C9259" s="74" t="s">
        <v>456</v>
      </c>
    </row>
    <row r="9260" spans="1:3">
      <c r="A9260" s="250">
        <v>23286</v>
      </c>
      <c r="B9260" s="74" t="s">
        <v>658</v>
      </c>
      <c r="C9260" s="74" t="s">
        <v>456</v>
      </c>
    </row>
    <row r="9261" spans="1:3">
      <c r="A9261" s="250">
        <v>23288</v>
      </c>
      <c r="B9261" s="74" t="s">
        <v>6066</v>
      </c>
      <c r="C9261" s="74" t="s">
        <v>456</v>
      </c>
    </row>
    <row r="9262" spans="1:3">
      <c r="A9262" s="250">
        <v>23289</v>
      </c>
      <c r="B9262" s="74" t="s">
        <v>658</v>
      </c>
      <c r="C9262" s="74" t="s">
        <v>456</v>
      </c>
    </row>
    <row r="9263" spans="1:3">
      <c r="A9263" s="250">
        <v>23290</v>
      </c>
      <c r="B9263" s="74" t="s">
        <v>658</v>
      </c>
      <c r="C9263" s="74" t="s">
        <v>456</v>
      </c>
    </row>
    <row r="9264" spans="1:3">
      <c r="A9264" s="250">
        <v>23291</v>
      </c>
      <c r="B9264" s="74" t="s">
        <v>658</v>
      </c>
      <c r="C9264" s="74" t="s">
        <v>456</v>
      </c>
    </row>
    <row r="9265" spans="1:3">
      <c r="A9265" s="250">
        <v>23292</v>
      </c>
      <c r="B9265" s="74" t="s">
        <v>658</v>
      </c>
      <c r="C9265" s="74" t="s">
        <v>456</v>
      </c>
    </row>
    <row r="9266" spans="1:3">
      <c r="A9266" s="250">
        <v>23293</v>
      </c>
      <c r="B9266" s="74" t="s">
        <v>658</v>
      </c>
      <c r="C9266" s="74" t="s">
        <v>456</v>
      </c>
    </row>
    <row r="9267" spans="1:3">
      <c r="A9267" s="250">
        <v>23294</v>
      </c>
      <c r="B9267" s="74" t="s">
        <v>6066</v>
      </c>
      <c r="C9267" s="74" t="s">
        <v>456</v>
      </c>
    </row>
    <row r="9268" spans="1:3">
      <c r="A9268" s="250">
        <v>23295</v>
      </c>
      <c r="B9268" s="74" t="s">
        <v>658</v>
      </c>
      <c r="C9268" s="74" t="s">
        <v>456</v>
      </c>
    </row>
    <row r="9269" spans="1:3">
      <c r="A9269" s="250">
        <v>23297</v>
      </c>
      <c r="B9269" s="74" t="s">
        <v>658</v>
      </c>
      <c r="C9269" s="74" t="s">
        <v>456</v>
      </c>
    </row>
    <row r="9270" spans="1:3">
      <c r="A9270" s="250">
        <v>23298</v>
      </c>
      <c r="B9270" s="74" t="s">
        <v>658</v>
      </c>
      <c r="C9270" s="74" t="s">
        <v>456</v>
      </c>
    </row>
    <row r="9271" spans="1:3">
      <c r="A9271" s="250">
        <v>23301</v>
      </c>
      <c r="B9271" s="74" t="s">
        <v>6121</v>
      </c>
      <c r="C9271" s="74" t="s">
        <v>456</v>
      </c>
    </row>
    <row r="9272" spans="1:3">
      <c r="A9272" s="250">
        <v>23302</v>
      </c>
      <c r="B9272" s="74" t="s">
        <v>6122</v>
      </c>
      <c r="C9272" s="74" t="s">
        <v>456</v>
      </c>
    </row>
    <row r="9273" spans="1:3">
      <c r="A9273" s="250">
        <v>23303</v>
      </c>
      <c r="B9273" s="74" t="s">
        <v>4409</v>
      </c>
      <c r="C9273" s="74" t="s">
        <v>456</v>
      </c>
    </row>
    <row r="9274" spans="1:3">
      <c r="A9274" s="250">
        <v>23304</v>
      </c>
      <c r="B9274" s="74" t="s">
        <v>6123</v>
      </c>
      <c r="C9274" s="74" t="s">
        <v>456</v>
      </c>
    </row>
    <row r="9275" spans="1:3">
      <c r="A9275" s="250">
        <v>23306</v>
      </c>
      <c r="B9275" s="74" t="s">
        <v>6124</v>
      </c>
      <c r="C9275" s="74" t="s">
        <v>456</v>
      </c>
    </row>
    <row r="9276" spans="1:3">
      <c r="A9276" s="250">
        <v>23307</v>
      </c>
      <c r="B9276" s="74" t="s">
        <v>6125</v>
      </c>
      <c r="C9276" s="74" t="s">
        <v>456</v>
      </c>
    </row>
    <row r="9277" spans="1:3">
      <c r="A9277" s="250">
        <v>23308</v>
      </c>
      <c r="B9277" s="74" t="s">
        <v>6126</v>
      </c>
      <c r="C9277" s="74" t="s">
        <v>456</v>
      </c>
    </row>
    <row r="9278" spans="1:3">
      <c r="A9278" s="250">
        <v>23310</v>
      </c>
      <c r="B9278" s="74" t="s">
        <v>6127</v>
      </c>
      <c r="C9278" s="74" t="s">
        <v>456</v>
      </c>
    </row>
    <row r="9279" spans="1:3">
      <c r="A9279" s="250">
        <v>23313</v>
      </c>
      <c r="B9279" s="74" t="s">
        <v>6128</v>
      </c>
      <c r="C9279" s="74" t="s">
        <v>456</v>
      </c>
    </row>
    <row r="9280" spans="1:3">
      <c r="A9280" s="250">
        <v>23314</v>
      </c>
      <c r="B9280" s="74" t="s">
        <v>6129</v>
      </c>
      <c r="C9280" s="74" t="s">
        <v>456</v>
      </c>
    </row>
    <row r="9281" spans="1:3">
      <c r="A9281" s="250">
        <v>23315</v>
      </c>
      <c r="B9281" s="74" t="s">
        <v>6130</v>
      </c>
      <c r="C9281" s="74" t="s">
        <v>456</v>
      </c>
    </row>
    <row r="9282" spans="1:3">
      <c r="A9282" s="250">
        <v>23316</v>
      </c>
      <c r="B9282" s="74" t="s">
        <v>6131</v>
      </c>
      <c r="C9282" s="74" t="s">
        <v>456</v>
      </c>
    </row>
    <row r="9283" spans="1:3">
      <c r="A9283" s="250">
        <v>23320</v>
      </c>
      <c r="B9283" s="74" t="s">
        <v>6132</v>
      </c>
      <c r="C9283" s="74" t="s">
        <v>456</v>
      </c>
    </row>
    <row r="9284" spans="1:3">
      <c r="A9284" s="250">
        <v>23321</v>
      </c>
      <c r="B9284" s="74" t="s">
        <v>6132</v>
      </c>
      <c r="C9284" s="74" t="s">
        <v>456</v>
      </c>
    </row>
    <row r="9285" spans="1:3">
      <c r="A9285" s="250">
        <v>23322</v>
      </c>
      <c r="B9285" s="74" t="s">
        <v>6132</v>
      </c>
      <c r="C9285" s="74" t="s">
        <v>456</v>
      </c>
    </row>
    <row r="9286" spans="1:3">
      <c r="A9286" s="250">
        <v>23323</v>
      </c>
      <c r="B9286" s="74" t="s">
        <v>6132</v>
      </c>
      <c r="C9286" s="74" t="s">
        <v>456</v>
      </c>
    </row>
    <row r="9287" spans="1:3">
      <c r="A9287" s="250">
        <v>23324</v>
      </c>
      <c r="B9287" s="74" t="s">
        <v>6132</v>
      </c>
      <c r="C9287" s="74" t="s">
        <v>456</v>
      </c>
    </row>
    <row r="9288" spans="1:3">
      <c r="A9288" s="250">
        <v>23325</v>
      </c>
      <c r="B9288" s="74" t="s">
        <v>6132</v>
      </c>
      <c r="C9288" s="74" t="s">
        <v>456</v>
      </c>
    </row>
    <row r="9289" spans="1:3">
      <c r="A9289" s="250">
        <v>23326</v>
      </c>
      <c r="B9289" s="74" t="s">
        <v>6132</v>
      </c>
      <c r="C9289" s="74" t="s">
        <v>456</v>
      </c>
    </row>
    <row r="9290" spans="1:3">
      <c r="A9290" s="250">
        <v>23327</v>
      </c>
      <c r="B9290" s="74" t="s">
        <v>6132</v>
      </c>
      <c r="C9290" s="74" t="s">
        <v>456</v>
      </c>
    </row>
    <row r="9291" spans="1:3">
      <c r="A9291" s="250">
        <v>23328</v>
      </c>
      <c r="B9291" s="74" t="s">
        <v>6132</v>
      </c>
      <c r="C9291" s="74" t="s">
        <v>456</v>
      </c>
    </row>
    <row r="9292" spans="1:3">
      <c r="A9292" s="250">
        <v>23336</v>
      </c>
      <c r="B9292" s="74" t="s">
        <v>6133</v>
      </c>
      <c r="C9292" s="74" t="s">
        <v>456</v>
      </c>
    </row>
    <row r="9293" spans="1:3">
      <c r="A9293" s="250">
        <v>23337</v>
      </c>
      <c r="B9293" s="74" t="s">
        <v>6134</v>
      </c>
      <c r="C9293" s="74" t="s">
        <v>456</v>
      </c>
    </row>
    <row r="9294" spans="1:3">
      <c r="A9294" s="250">
        <v>23341</v>
      </c>
      <c r="B9294" s="74" t="s">
        <v>6135</v>
      </c>
      <c r="C9294" s="74" t="s">
        <v>456</v>
      </c>
    </row>
    <row r="9295" spans="1:3">
      <c r="A9295" s="250">
        <v>23345</v>
      </c>
      <c r="B9295" s="74" t="s">
        <v>6136</v>
      </c>
      <c r="C9295" s="74" t="s">
        <v>456</v>
      </c>
    </row>
    <row r="9296" spans="1:3">
      <c r="A9296" s="250">
        <v>23347</v>
      </c>
      <c r="B9296" s="74" t="s">
        <v>6137</v>
      </c>
      <c r="C9296" s="74" t="s">
        <v>456</v>
      </c>
    </row>
    <row r="9297" spans="1:3">
      <c r="A9297" s="250">
        <v>23350</v>
      </c>
      <c r="B9297" s="74" t="s">
        <v>6138</v>
      </c>
      <c r="C9297" s="74" t="s">
        <v>456</v>
      </c>
    </row>
    <row r="9298" spans="1:3">
      <c r="A9298" s="250">
        <v>23354</v>
      </c>
      <c r="B9298" s="74" t="s">
        <v>6139</v>
      </c>
      <c r="C9298" s="74" t="s">
        <v>456</v>
      </c>
    </row>
    <row r="9299" spans="1:3">
      <c r="A9299" s="250">
        <v>23356</v>
      </c>
      <c r="B9299" s="74" t="s">
        <v>6140</v>
      </c>
      <c r="C9299" s="74" t="s">
        <v>456</v>
      </c>
    </row>
    <row r="9300" spans="1:3">
      <c r="A9300" s="250">
        <v>23357</v>
      </c>
      <c r="B9300" s="74" t="s">
        <v>874</v>
      </c>
      <c r="C9300" s="74" t="s">
        <v>456</v>
      </c>
    </row>
    <row r="9301" spans="1:3">
      <c r="A9301" s="250">
        <v>23358</v>
      </c>
      <c r="B9301" s="74" t="s">
        <v>6141</v>
      </c>
      <c r="C9301" s="74" t="s">
        <v>456</v>
      </c>
    </row>
    <row r="9302" spans="1:3">
      <c r="A9302" s="250">
        <v>23359</v>
      </c>
      <c r="B9302" s="74" t="s">
        <v>6142</v>
      </c>
      <c r="C9302" s="74" t="s">
        <v>456</v>
      </c>
    </row>
    <row r="9303" spans="1:3">
      <c r="A9303" s="250">
        <v>23389</v>
      </c>
      <c r="B9303" s="74" t="s">
        <v>6143</v>
      </c>
      <c r="C9303" s="74" t="s">
        <v>456</v>
      </c>
    </row>
    <row r="9304" spans="1:3">
      <c r="A9304" s="250">
        <v>23395</v>
      </c>
      <c r="B9304" s="74" t="s">
        <v>6144</v>
      </c>
      <c r="C9304" s="74" t="s">
        <v>456</v>
      </c>
    </row>
    <row r="9305" spans="1:3">
      <c r="A9305" s="250">
        <v>23396</v>
      </c>
      <c r="B9305" s="74" t="s">
        <v>6145</v>
      </c>
      <c r="C9305" s="74" t="s">
        <v>456</v>
      </c>
    </row>
    <row r="9306" spans="1:3">
      <c r="A9306" s="250">
        <v>23397</v>
      </c>
      <c r="B9306" s="74" t="s">
        <v>6146</v>
      </c>
      <c r="C9306" s="74" t="s">
        <v>456</v>
      </c>
    </row>
    <row r="9307" spans="1:3">
      <c r="A9307" s="250">
        <v>23398</v>
      </c>
      <c r="B9307" s="74" t="s">
        <v>3370</v>
      </c>
      <c r="C9307" s="74" t="s">
        <v>456</v>
      </c>
    </row>
    <row r="9308" spans="1:3">
      <c r="A9308" s="250">
        <v>23399</v>
      </c>
      <c r="B9308" s="74" t="s">
        <v>6147</v>
      </c>
      <c r="C9308" s="74" t="s">
        <v>456</v>
      </c>
    </row>
    <row r="9309" spans="1:3">
      <c r="A9309" s="250">
        <v>23401</v>
      </c>
      <c r="B9309" s="74" t="s">
        <v>6148</v>
      </c>
      <c r="C9309" s="74" t="s">
        <v>456</v>
      </c>
    </row>
    <row r="9310" spans="1:3">
      <c r="A9310" s="250">
        <v>23404</v>
      </c>
      <c r="B9310" s="74" t="s">
        <v>6149</v>
      </c>
      <c r="C9310" s="74" t="s">
        <v>456</v>
      </c>
    </row>
    <row r="9311" spans="1:3">
      <c r="A9311" s="250">
        <v>23405</v>
      </c>
      <c r="B9311" s="74" t="s">
        <v>6150</v>
      </c>
      <c r="C9311" s="74" t="s">
        <v>456</v>
      </c>
    </row>
    <row r="9312" spans="1:3">
      <c r="A9312" s="250">
        <v>23407</v>
      </c>
      <c r="B9312" s="74" t="s">
        <v>6151</v>
      </c>
      <c r="C9312" s="74" t="s">
        <v>456</v>
      </c>
    </row>
    <row r="9313" spans="1:3">
      <c r="A9313" s="250">
        <v>23408</v>
      </c>
      <c r="B9313" s="74" t="s">
        <v>6152</v>
      </c>
      <c r="C9313" s="74" t="s">
        <v>456</v>
      </c>
    </row>
    <row r="9314" spans="1:3">
      <c r="A9314" s="250">
        <v>23409</v>
      </c>
      <c r="B9314" s="74" t="s">
        <v>6153</v>
      </c>
      <c r="C9314" s="74" t="s">
        <v>456</v>
      </c>
    </row>
    <row r="9315" spans="1:3">
      <c r="A9315" s="250">
        <v>23410</v>
      </c>
      <c r="B9315" s="74" t="s">
        <v>6154</v>
      </c>
      <c r="C9315" s="74" t="s">
        <v>456</v>
      </c>
    </row>
    <row r="9316" spans="1:3">
      <c r="A9316" s="250">
        <v>23412</v>
      </c>
      <c r="B9316" s="74" t="s">
        <v>6155</v>
      </c>
      <c r="C9316" s="74" t="s">
        <v>456</v>
      </c>
    </row>
    <row r="9317" spans="1:3">
      <c r="A9317" s="250">
        <v>23413</v>
      </c>
      <c r="B9317" s="74" t="s">
        <v>6156</v>
      </c>
      <c r="C9317" s="74" t="s">
        <v>456</v>
      </c>
    </row>
    <row r="9318" spans="1:3">
      <c r="A9318" s="250">
        <v>23414</v>
      </c>
      <c r="B9318" s="74" t="s">
        <v>6157</v>
      </c>
      <c r="C9318" s="74" t="s">
        <v>456</v>
      </c>
    </row>
    <row r="9319" spans="1:3">
      <c r="A9319" s="250">
        <v>23415</v>
      </c>
      <c r="B9319" s="74" t="s">
        <v>6158</v>
      </c>
      <c r="C9319" s="74" t="s">
        <v>456</v>
      </c>
    </row>
    <row r="9320" spans="1:3">
      <c r="A9320" s="250">
        <v>23416</v>
      </c>
      <c r="B9320" s="74" t="s">
        <v>6145</v>
      </c>
      <c r="C9320" s="74" t="s">
        <v>456</v>
      </c>
    </row>
    <row r="9321" spans="1:3">
      <c r="A9321" s="250">
        <v>23417</v>
      </c>
      <c r="B9321" s="74" t="s">
        <v>6159</v>
      </c>
      <c r="C9321" s="74" t="s">
        <v>456</v>
      </c>
    </row>
    <row r="9322" spans="1:3">
      <c r="A9322" s="250">
        <v>23418</v>
      </c>
      <c r="B9322" s="74" t="s">
        <v>6160</v>
      </c>
      <c r="C9322" s="74" t="s">
        <v>456</v>
      </c>
    </row>
    <row r="9323" spans="1:3">
      <c r="A9323" s="250">
        <v>23419</v>
      </c>
      <c r="B9323" s="74" t="s">
        <v>6161</v>
      </c>
      <c r="C9323" s="74" t="s">
        <v>456</v>
      </c>
    </row>
    <row r="9324" spans="1:3">
      <c r="A9324" s="250">
        <v>23420</v>
      </c>
      <c r="B9324" s="74" t="s">
        <v>6162</v>
      </c>
      <c r="C9324" s="74" t="s">
        <v>456</v>
      </c>
    </row>
    <row r="9325" spans="1:3">
      <c r="A9325" s="250">
        <v>23421</v>
      </c>
      <c r="B9325" s="74" t="s">
        <v>6163</v>
      </c>
      <c r="C9325" s="74" t="s">
        <v>456</v>
      </c>
    </row>
    <row r="9326" spans="1:3">
      <c r="A9326" s="250">
        <v>23422</v>
      </c>
      <c r="B9326" s="74" t="s">
        <v>6164</v>
      </c>
      <c r="C9326" s="74" t="s">
        <v>456</v>
      </c>
    </row>
    <row r="9327" spans="1:3">
      <c r="A9327" s="250">
        <v>23423</v>
      </c>
      <c r="B9327" s="74" t="s">
        <v>6165</v>
      </c>
      <c r="C9327" s="74" t="s">
        <v>456</v>
      </c>
    </row>
    <row r="9328" spans="1:3">
      <c r="A9328" s="250">
        <v>23424</v>
      </c>
      <c r="B9328" s="74" t="s">
        <v>6166</v>
      </c>
      <c r="C9328" s="74" t="s">
        <v>456</v>
      </c>
    </row>
    <row r="9329" spans="1:3">
      <c r="A9329" s="250">
        <v>23426</v>
      </c>
      <c r="B9329" s="74" t="s">
        <v>1408</v>
      </c>
      <c r="C9329" s="74" t="s">
        <v>456</v>
      </c>
    </row>
    <row r="9330" spans="1:3">
      <c r="A9330" s="250">
        <v>23427</v>
      </c>
      <c r="B9330" s="74" t="s">
        <v>6167</v>
      </c>
      <c r="C9330" s="74" t="s">
        <v>456</v>
      </c>
    </row>
    <row r="9331" spans="1:3">
      <c r="A9331" s="250">
        <v>23429</v>
      </c>
      <c r="B9331" s="74" t="s">
        <v>6168</v>
      </c>
      <c r="C9331" s="74" t="s">
        <v>456</v>
      </c>
    </row>
    <row r="9332" spans="1:3">
      <c r="A9332" s="250">
        <v>23430</v>
      </c>
      <c r="B9332" s="74" t="s">
        <v>1149</v>
      </c>
      <c r="C9332" s="74" t="s">
        <v>456</v>
      </c>
    </row>
    <row r="9333" spans="1:3">
      <c r="A9333" s="250">
        <v>23431</v>
      </c>
      <c r="B9333" s="74" t="s">
        <v>1149</v>
      </c>
      <c r="C9333" s="74" t="s">
        <v>456</v>
      </c>
    </row>
    <row r="9334" spans="1:3">
      <c r="A9334" s="250">
        <v>23432</v>
      </c>
      <c r="B9334" s="74" t="s">
        <v>6169</v>
      </c>
      <c r="C9334" s="74" t="s">
        <v>456</v>
      </c>
    </row>
    <row r="9335" spans="1:3">
      <c r="A9335" s="250">
        <v>23433</v>
      </c>
      <c r="B9335" s="74" t="s">
        <v>6169</v>
      </c>
      <c r="C9335" s="74" t="s">
        <v>456</v>
      </c>
    </row>
    <row r="9336" spans="1:3">
      <c r="A9336" s="250">
        <v>23434</v>
      </c>
      <c r="B9336" s="74" t="s">
        <v>6169</v>
      </c>
      <c r="C9336" s="74" t="s">
        <v>456</v>
      </c>
    </row>
    <row r="9337" spans="1:3">
      <c r="A9337" s="250">
        <v>23435</v>
      </c>
      <c r="B9337" s="74" t="s">
        <v>6169</v>
      </c>
      <c r="C9337" s="74" t="s">
        <v>456</v>
      </c>
    </row>
    <row r="9338" spans="1:3">
      <c r="A9338" s="250">
        <v>23436</v>
      </c>
      <c r="B9338" s="74" t="s">
        <v>6169</v>
      </c>
      <c r="C9338" s="74" t="s">
        <v>456</v>
      </c>
    </row>
    <row r="9339" spans="1:3">
      <c r="A9339" s="250">
        <v>23437</v>
      </c>
      <c r="B9339" s="74" t="s">
        <v>6169</v>
      </c>
      <c r="C9339" s="74" t="s">
        <v>456</v>
      </c>
    </row>
    <row r="9340" spans="1:3">
      <c r="A9340" s="250">
        <v>23438</v>
      </c>
      <c r="B9340" s="74" t="s">
        <v>6169</v>
      </c>
      <c r="C9340" s="74" t="s">
        <v>456</v>
      </c>
    </row>
    <row r="9341" spans="1:3">
      <c r="A9341" s="250">
        <v>23439</v>
      </c>
      <c r="B9341" s="74" t="s">
        <v>6169</v>
      </c>
      <c r="C9341" s="74" t="s">
        <v>456</v>
      </c>
    </row>
    <row r="9342" spans="1:3">
      <c r="A9342" s="250">
        <v>23440</v>
      </c>
      <c r="B9342" s="74" t="s">
        <v>6170</v>
      </c>
      <c r="C9342" s="74" t="s">
        <v>456</v>
      </c>
    </row>
    <row r="9343" spans="1:3">
      <c r="A9343" s="250">
        <v>23441</v>
      </c>
      <c r="B9343" s="74" t="s">
        <v>6171</v>
      </c>
      <c r="C9343" s="74" t="s">
        <v>456</v>
      </c>
    </row>
    <row r="9344" spans="1:3">
      <c r="A9344" s="250">
        <v>23442</v>
      </c>
      <c r="B9344" s="74" t="s">
        <v>6172</v>
      </c>
      <c r="C9344" s="74" t="s">
        <v>456</v>
      </c>
    </row>
    <row r="9345" spans="1:3">
      <c r="A9345" s="250">
        <v>23443</v>
      </c>
      <c r="B9345" s="74" t="s">
        <v>719</v>
      </c>
      <c r="C9345" s="74" t="s">
        <v>456</v>
      </c>
    </row>
    <row r="9346" spans="1:3">
      <c r="A9346" s="250">
        <v>23450</v>
      </c>
      <c r="B9346" s="74" t="s">
        <v>6173</v>
      </c>
      <c r="C9346" s="74" t="s">
        <v>456</v>
      </c>
    </row>
    <row r="9347" spans="1:3">
      <c r="A9347" s="250">
        <v>23451</v>
      </c>
      <c r="B9347" s="74" t="s">
        <v>6173</v>
      </c>
      <c r="C9347" s="74" t="s">
        <v>456</v>
      </c>
    </row>
    <row r="9348" spans="1:3">
      <c r="A9348" s="250">
        <v>23452</v>
      </c>
      <c r="B9348" s="74" t="s">
        <v>6173</v>
      </c>
      <c r="C9348" s="74" t="s">
        <v>456</v>
      </c>
    </row>
    <row r="9349" spans="1:3">
      <c r="A9349" s="250">
        <v>23453</v>
      </c>
      <c r="B9349" s="74" t="s">
        <v>6173</v>
      </c>
      <c r="C9349" s="74" t="s">
        <v>456</v>
      </c>
    </row>
    <row r="9350" spans="1:3">
      <c r="A9350" s="250">
        <v>23454</v>
      </c>
      <c r="B9350" s="74" t="s">
        <v>6173</v>
      </c>
      <c r="C9350" s="74" t="s">
        <v>456</v>
      </c>
    </row>
    <row r="9351" spans="1:3">
      <c r="A9351" s="250">
        <v>23455</v>
      </c>
      <c r="B9351" s="74" t="s">
        <v>6173</v>
      </c>
      <c r="C9351" s="74" t="s">
        <v>456</v>
      </c>
    </row>
    <row r="9352" spans="1:3">
      <c r="A9352" s="250">
        <v>23456</v>
      </c>
      <c r="B9352" s="74" t="s">
        <v>6173</v>
      </c>
      <c r="C9352" s="74" t="s">
        <v>456</v>
      </c>
    </row>
    <row r="9353" spans="1:3">
      <c r="A9353" s="250">
        <v>23457</v>
      </c>
      <c r="B9353" s="74" t="s">
        <v>6173</v>
      </c>
      <c r="C9353" s="74" t="s">
        <v>456</v>
      </c>
    </row>
    <row r="9354" spans="1:3">
      <c r="A9354" s="250">
        <v>23458</v>
      </c>
      <c r="B9354" s="74" t="s">
        <v>6173</v>
      </c>
      <c r="C9354" s="74" t="s">
        <v>456</v>
      </c>
    </row>
    <row r="9355" spans="1:3">
      <c r="A9355" s="250">
        <v>23459</v>
      </c>
      <c r="B9355" s="74" t="s">
        <v>6173</v>
      </c>
      <c r="C9355" s="74" t="s">
        <v>456</v>
      </c>
    </row>
    <row r="9356" spans="1:3">
      <c r="A9356" s="250">
        <v>23460</v>
      </c>
      <c r="B9356" s="74" t="s">
        <v>6173</v>
      </c>
      <c r="C9356" s="74" t="s">
        <v>456</v>
      </c>
    </row>
    <row r="9357" spans="1:3">
      <c r="A9357" s="250">
        <v>23461</v>
      </c>
      <c r="B9357" s="74" t="s">
        <v>6173</v>
      </c>
      <c r="C9357" s="74" t="s">
        <v>456</v>
      </c>
    </row>
    <row r="9358" spans="1:3">
      <c r="A9358" s="250">
        <v>23462</v>
      </c>
      <c r="B9358" s="74" t="s">
        <v>6173</v>
      </c>
      <c r="C9358" s="74" t="s">
        <v>456</v>
      </c>
    </row>
    <row r="9359" spans="1:3">
      <c r="A9359" s="250">
        <v>23463</v>
      </c>
      <c r="B9359" s="74" t="s">
        <v>6173</v>
      </c>
      <c r="C9359" s="74" t="s">
        <v>456</v>
      </c>
    </row>
    <row r="9360" spans="1:3">
      <c r="A9360" s="250">
        <v>23464</v>
      </c>
      <c r="B9360" s="74" t="s">
        <v>6173</v>
      </c>
      <c r="C9360" s="74" t="s">
        <v>456</v>
      </c>
    </row>
    <row r="9361" spans="1:3">
      <c r="A9361" s="250">
        <v>23465</v>
      </c>
      <c r="B9361" s="74" t="s">
        <v>6173</v>
      </c>
      <c r="C9361" s="74" t="s">
        <v>456</v>
      </c>
    </row>
    <row r="9362" spans="1:3">
      <c r="A9362" s="250">
        <v>23466</v>
      </c>
      <c r="B9362" s="74" t="s">
        <v>6173</v>
      </c>
      <c r="C9362" s="74" t="s">
        <v>456</v>
      </c>
    </row>
    <row r="9363" spans="1:3">
      <c r="A9363" s="250">
        <v>23467</v>
      </c>
      <c r="B9363" s="74" t="s">
        <v>6173</v>
      </c>
      <c r="C9363" s="74" t="s">
        <v>456</v>
      </c>
    </row>
    <row r="9364" spans="1:3">
      <c r="A9364" s="250">
        <v>23471</v>
      </c>
      <c r="B9364" s="74" t="s">
        <v>6173</v>
      </c>
      <c r="C9364" s="74" t="s">
        <v>456</v>
      </c>
    </row>
    <row r="9365" spans="1:3">
      <c r="A9365" s="250">
        <v>23479</v>
      </c>
      <c r="B9365" s="74" t="s">
        <v>6173</v>
      </c>
      <c r="C9365" s="74" t="s">
        <v>456</v>
      </c>
    </row>
    <row r="9366" spans="1:3">
      <c r="A9366" s="250">
        <v>23480</v>
      </c>
      <c r="B9366" s="74" t="s">
        <v>6174</v>
      </c>
      <c r="C9366" s="74" t="s">
        <v>456</v>
      </c>
    </row>
    <row r="9367" spans="1:3">
      <c r="A9367" s="250">
        <v>23482</v>
      </c>
      <c r="B9367" s="74" t="s">
        <v>6175</v>
      </c>
      <c r="C9367" s="74" t="s">
        <v>456</v>
      </c>
    </row>
    <row r="9368" spans="1:3">
      <c r="A9368" s="250">
        <v>23483</v>
      </c>
      <c r="B9368" s="74" t="s">
        <v>6176</v>
      </c>
      <c r="C9368" s="74" t="s">
        <v>456</v>
      </c>
    </row>
    <row r="9369" spans="1:3">
      <c r="A9369" s="250">
        <v>23486</v>
      </c>
      <c r="B9369" s="74" t="s">
        <v>6177</v>
      </c>
      <c r="C9369" s="74" t="s">
        <v>456</v>
      </c>
    </row>
    <row r="9370" spans="1:3">
      <c r="A9370" s="250">
        <v>23487</v>
      </c>
      <c r="B9370" s="74" t="s">
        <v>669</v>
      </c>
      <c r="C9370" s="74" t="s">
        <v>456</v>
      </c>
    </row>
    <row r="9371" spans="1:3">
      <c r="A9371" s="250">
        <v>23488</v>
      </c>
      <c r="B9371" s="74" t="s">
        <v>6178</v>
      </c>
      <c r="C9371" s="74" t="s">
        <v>456</v>
      </c>
    </row>
    <row r="9372" spans="1:3">
      <c r="A9372" s="250">
        <v>23501</v>
      </c>
      <c r="B9372" s="74" t="s">
        <v>886</v>
      </c>
      <c r="C9372" s="74" t="s">
        <v>456</v>
      </c>
    </row>
    <row r="9373" spans="1:3">
      <c r="A9373" s="250">
        <v>23502</v>
      </c>
      <c r="B9373" s="74" t="s">
        <v>886</v>
      </c>
      <c r="C9373" s="74" t="s">
        <v>456</v>
      </c>
    </row>
    <row r="9374" spans="1:3">
      <c r="A9374" s="250">
        <v>23503</v>
      </c>
      <c r="B9374" s="74" t="s">
        <v>886</v>
      </c>
      <c r="C9374" s="74" t="s">
        <v>456</v>
      </c>
    </row>
    <row r="9375" spans="1:3">
      <c r="A9375" s="250">
        <v>23504</v>
      </c>
      <c r="B9375" s="74" t="s">
        <v>886</v>
      </c>
      <c r="C9375" s="74" t="s">
        <v>456</v>
      </c>
    </row>
    <row r="9376" spans="1:3">
      <c r="A9376" s="250">
        <v>23505</v>
      </c>
      <c r="B9376" s="74" t="s">
        <v>886</v>
      </c>
      <c r="C9376" s="74" t="s">
        <v>456</v>
      </c>
    </row>
    <row r="9377" spans="1:3">
      <c r="A9377" s="250">
        <v>23506</v>
      </c>
      <c r="B9377" s="74" t="s">
        <v>886</v>
      </c>
      <c r="C9377" s="74" t="s">
        <v>456</v>
      </c>
    </row>
    <row r="9378" spans="1:3">
      <c r="A9378" s="250">
        <v>23507</v>
      </c>
      <c r="B9378" s="74" t="s">
        <v>886</v>
      </c>
      <c r="C9378" s="74" t="s">
        <v>456</v>
      </c>
    </row>
    <row r="9379" spans="1:3">
      <c r="A9379" s="250">
        <v>23508</v>
      </c>
      <c r="B9379" s="74" t="s">
        <v>886</v>
      </c>
      <c r="C9379" s="74" t="s">
        <v>456</v>
      </c>
    </row>
    <row r="9380" spans="1:3">
      <c r="A9380" s="250">
        <v>23509</v>
      </c>
      <c r="B9380" s="74" t="s">
        <v>886</v>
      </c>
      <c r="C9380" s="74" t="s">
        <v>456</v>
      </c>
    </row>
    <row r="9381" spans="1:3">
      <c r="A9381" s="250">
        <v>23510</v>
      </c>
      <c r="B9381" s="74" t="s">
        <v>886</v>
      </c>
      <c r="C9381" s="74" t="s">
        <v>456</v>
      </c>
    </row>
    <row r="9382" spans="1:3">
      <c r="A9382" s="250">
        <v>23511</v>
      </c>
      <c r="B9382" s="74" t="s">
        <v>886</v>
      </c>
      <c r="C9382" s="74" t="s">
        <v>456</v>
      </c>
    </row>
    <row r="9383" spans="1:3">
      <c r="A9383" s="250">
        <v>23512</v>
      </c>
      <c r="B9383" s="74" t="s">
        <v>886</v>
      </c>
      <c r="C9383" s="74" t="s">
        <v>456</v>
      </c>
    </row>
    <row r="9384" spans="1:3">
      <c r="A9384" s="250">
        <v>23513</v>
      </c>
      <c r="B9384" s="74" t="s">
        <v>886</v>
      </c>
      <c r="C9384" s="74" t="s">
        <v>456</v>
      </c>
    </row>
    <row r="9385" spans="1:3">
      <c r="A9385" s="250">
        <v>23514</v>
      </c>
      <c r="B9385" s="74" t="s">
        <v>886</v>
      </c>
      <c r="C9385" s="74" t="s">
        <v>456</v>
      </c>
    </row>
    <row r="9386" spans="1:3">
      <c r="A9386" s="250">
        <v>23515</v>
      </c>
      <c r="B9386" s="74" t="s">
        <v>886</v>
      </c>
      <c r="C9386" s="74" t="s">
        <v>456</v>
      </c>
    </row>
    <row r="9387" spans="1:3">
      <c r="A9387" s="250">
        <v>23517</v>
      </c>
      <c r="B9387" s="74" t="s">
        <v>886</v>
      </c>
      <c r="C9387" s="74" t="s">
        <v>456</v>
      </c>
    </row>
    <row r="9388" spans="1:3">
      <c r="A9388" s="250">
        <v>23518</v>
      </c>
      <c r="B9388" s="74" t="s">
        <v>886</v>
      </c>
      <c r="C9388" s="74" t="s">
        <v>456</v>
      </c>
    </row>
    <row r="9389" spans="1:3">
      <c r="A9389" s="250">
        <v>23519</v>
      </c>
      <c r="B9389" s="74" t="s">
        <v>886</v>
      </c>
      <c r="C9389" s="74" t="s">
        <v>456</v>
      </c>
    </row>
    <row r="9390" spans="1:3">
      <c r="A9390" s="250">
        <v>23520</v>
      </c>
      <c r="B9390" s="74" t="s">
        <v>886</v>
      </c>
      <c r="C9390" s="74" t="s">
        <v>456</v>
      </c>
    </row>
    <row r="9391" spans="1:3">
      <c r="A9391" s="250">
        <v>23521</v>
      </c>
      <c r="B9391" s="74" t="s">
        <v>886</v>
      </c>
      <c r="C9391" s="74" t="s">
        <v>456</v>
      </c>
    </row>
    <row r="9392" spans="1:3">
      <c r="A9392" s="250">
        <v>23523</v>
      </c>
      <c r="B9392" s="74" t="s">
        <v>886</v>
      </c>
      <c r="C9392" s="74" t="s">
        <v>456</v>
      </c>
    </row>
    <row r="9393" spans="1:3">
      <c r="A9393" s="250">
        <v>23529</v>
      </c>
      <c r="B9393" s="74" t="s">
        <v>886</v>
      </c>
      <c r="C9393" s="74" t="s">
        <v>456</v>
      </c>
    </row>
    <row r="9394" spans="1:3">
      <c r="A9394" s="250">
        <v>23541</v>
      </c>
      <c r="B9394" s="74" t="s">
        <v>886</v>
      </c>
      <c r="C9394" s="74" t="s">
        <v>456</v>
      </c>
    </row>
    <row r="9395" spans="1:3">
      <c r="A9395" s="250">
        <v>23551</v>
      </c>
      <c r="B9395" s="74" t="s">
        <v>886</v>
      </c>
      <c r="C9395" s="74" t="s">
        <v>456</v>
      </c>
    </row>
    <row r="9396" spans="1:3">
      <c r="A9396" s="250">
        <v>23601</v>
      </c>
      <c r="B9396" s="74" t="s">
        <v>6179</v>
      </c>
      <c r="C9396" s="74" t="s">
        <v>456</v>
      </c>
    </row>
    <row r="9397" spans="1:3">
      <c r="A9397" s="250">
        <v>23602</v>
      </c>
      <c r="B9397" s="74" t="s">
        <v>6179</v>
      </c>
      <c r="C9397" s="74" t="s">
        <v>456</v>
      </c>
    </row>
    <row r="9398" spans="1:3">
      <c r="A9398" s="250">
        <v>23603</v>
      </c>
      <c r="B9398" s="74" t="s">
        <v>6179</v>
      </c>
      <c r="C9398" s="74" t="s">
        <v>456</v>
      </c>
    </row>
    <row r="9399" spans="1:3">
      <c r="A9399" s="250">
        <v>23604</v>
      </c>
      <c r="B9399" s="74" t="s">
        <v>6180</v>
      </c>
      <c r="C9399" s="74" t="s">
        <v>456</v>
      </c>
    </row>
    <row r="9400" spans="1:3">
      <c r="A9400" s="250">
        <v>23605</v>
      </c>
      <c r="B9400" s="74" t="s">
        <v>6179</v>
      </c>
      <c r="C9400" s="74" t="s">
        <v>456</v>
      </c>
    </row>
    <row r="9401" spans="1:3">
      <c r="A9401" s="250">
        <v>23606</v>
      </c>
      <c r="B9401" s="74" t="s">
        <v>6179</v>
      </c>
      <c r="C9401" s="74" t="s">
        <v>456</v>
      </c>
    </row>
    <row r="9402" spans="1:3">
      <c r="A9402" s="250">
        <v>23607</v>
      </c>
      <c r="B9402" s="74" t="s">
        <v>6179</v>
      </c>
      <c r="C9402" s="74" t="s">
        <v>456</v>
      </c>
    </row>
    <row r="9403" spans="1:3">
      <c r="A9403" s="250">
        <v>23608</v>
      </c>
      <c r="B9403" s="74" t="s">
        <v>6179</v>
      </c>
      <c r="C9403" s="74" t="s">
        <v>456</v>
      </c>
    </row>
    <row r="9404" spans="1:3">
      <c r="A9404" s="250">
        <v>23609</v>
      </c>
      <c r="B9404" s="74" t="s">
        <v>6179</v>
      </c>
      <c r="C9404" s="74" t="s">
        <v>456</v>
      </c>
    </row>
    <row r="9405" spans="1:3">
      <c r="A9405" s="250">
        <v>23612</v>
      </c>
      <c r="B9405" s="74" t="s">
        <v>6179</v>
      </c>
      <c r="C9405" s="74" t="s">
        <v>456</v>
      </c>
    </row>
    <row r="9406" spans="1:3">
      <c r="A9406" s="250">
        <v>23628</v>
      </c>
      <c r="B9406" s="74" t="s">
        <v>6179</v>
      </c>
      <c r="C9406" s="74" t="s">
        <v>456</v>
      </c>
    </row>
    <row r="9407" spans="1:3">
      <c r="A9407" s="250">
        <v>23630</v>
      </c>
      <c r="B9407" s="74" t="s">
        <v>1315</v>
      </c>
      <c r="C9407" s="74" t="s">
        <v>456</v>
      </c>
    </row>
    <row r="9408" spans="1:3">
      <c r="A9408" s="250">
        <v>23651</v>
      </c>
      <c r="B9408" s="74" t="s">
        <v>6181</v>
      </c>
      <c r="C9408" s="74" t="s">
        <v>456</v>
      </c>
    </row>
    <row r="9409" spans="1:3">
      <c r="A9409" s="250">
        <v>23661</v>
      </c>
      <c r="B9409" s="74" t="s">
        <v>1315</v>
      </c>
      <c r="C9409" s="74" t="s">
        <v>456</v>
      </c>
    </row>
    <row r="9410" spans="1:3">
      <c r="A9410" s="250">
        <v>23662</v>
      </c>
      <c r="B9410" s="74" t="s">
        <v>6182</v>
      </c>
      <c r="C9410" s="74" t="s">
        <v>456</v>
      </c>
    </row>
    <row r="9411" spans="1:3">
      <c r="A9411" s="250">
        <v>23663</v>
      </c>
      <c r="B9411" s="74" t="s">
        <v>1315</v>
      </c>
      <c r="C9411" s="74" t="s">
        <v>456</v>
      </c>
    </row>
    <row r="9412" spans="1:3">
      <c r="A9412" s="250">
        <v>23664</v>
      </c>
      <c r="B9412" s="74" t="s">
        <v>1315</v>
      </c>
      <c r="C9412" s="74" t="s">
        <v>456</v>
      </c>
    </row>
    <row r="9413" spans="1:3">
      <c r="A9413" s="250">
        <v>23665</v>
      </c>
      <c r="B9413" s="74" t="s">
        <v>1315</v>
      </c>
      <c r="C9413" s="74" t="s">
        <v>456</v>
      </c>
    </row>
    <row r="9414" spans="1:3">
      <c r="A9414" s="250">
        <v>23666</v>
      </c>
      <c r="B9414" s="74" t="s">
        <v>1315</v>
      </c>
      <c r="C9414" s="74" t="s">
        <v>456</v>
      </c>
    </row>
    <row r="9415" spans="1:3">
      <c r="A9415" s="250">
        <v>23667</v>
      </c>
      <c r="B9415" s="74" t="s">
        <v>1315</v>
      </c>
      <c r="C9415" s="74" t="s">
        <v>456</v>
      </c>
    </row>
    <row r="9416" spans="1:3">
      <c r="A9416" s="250">
        <v>23668</v>
      </c>
      <c r="B9416" s="74" t="s">
        <v>1315</v>
      </c>
      <c r="C9416" s="74" t="s">
        <v>456</v>
      </c>
    </row>
    <row r="9417" spans="1:3">
      <c r="A9417" s="250">
        <v>23669</v>
      </c>
      <c r="B9417" s="74" t="s">
        <v>1315</v>
      </c>
      <c r="C9417" s="74" t="s">
        <v>456</v>
      </c>
    </row>
    <row r="9418" spans="1:3">
      <c r="A9418" s="250">
        <v>23670</v>
      </c>
      <c r="B9418" s="74" t="s">
        <v>1315</v>
      </c>
      <c r="C9418" s="74" t="s">
        <v>456</v>
      </c>
    </row>
    <row r="9419" spans="1:3">
      <c r="A9419" s="250">
        <v>23681</v>
      </c>
      <c r="B9419" s="74" t="s">
        <v>1315</v>
      </c>
      <c r="C9419" s="74" t="s">
        <v>456</v>
      </c>
    </row>
    <row r="9420" spans="1:3">
      <c r="A9420" s="250">
        <v>23690</v>
      </c>
      <c r="B9420" s="74" t="s">
        <v>6183</v>
      </c>
      <c r="C9420" s="74" t="s">
        <v>456</v>
      </c>
    </row>
    <row r="9421" spans="1:3">
      <c r="A9421" s="250">
        <v>23691</v>
      </c>
      <c r="B9421" s="74" t="s">
        <v>6183</v>
      </c>
      <c r="C9421" s="74" t="s">
        <v>456</v>
      </c>
    </row>
    <row r="9422" spans="1:3">
      <c r="A9422" s="250">
        <v>23692</v>
      </c>
      <c r="B9422" s="74" t="s">
        <v>6183</v>
      </c>
      <c r="C9422" s="74" t="s">
        <v>456</v>
      </c>
    </row>
    <row r="9423" spans="1:3">
      <c r="A9423" s="250">
        <v>23693</v>
      </c>
      <c r="B9423" s="74" t="s">
        <v>6183</v>
      </c>
      <c r="C9423" s="74" t="s">
        <v>456</v>
      </c>
    </row>
    <row r="9424" spans="1:3">
      <c r="A9424" s="250">
        <v>23694</v>
      </c>
      <c r="B9424" s="74" t="s">
        <v>6184</v>
      </c>
      <c r="C9424" s="74" t="s">
        <v>456</v>
      </c>
    </row>
    <row r="9425" spans="1:3">
      <c r="A9425" s="250">
        <v>23696</v>
      </c>
      <c r="B9425" s="74" t="s">
        <v>2855</v>
      </c>
      <c r="C9425" s="74" t="s">
        <v>456</v>
      </c>
    </row>
    <row r="9426" spans="1:3">
      <c r="A9426" s="250">
        <v>23701</v>
      </c>
      <c r="B9426" s="74" t="s">
        <v>1126</v>
      </c>
      <c r="C9426" s="74" t="s">
        <v>456</v>
      </c>
    </row>
    <row r="9427" spans="1:3">
      <c r="A9427" s="250">
        <v>23702</v>
      </c>
      <c r="B9427" s="74" t="s">
        <v>1126</v>
      </c>
      <c r="C9427" s="74" t="s">
        <v>456</v>
      </c>
    </row>
    <row r="9428" spans="1:3">
      <c r="A9428" s="250">
        <v>23703</v>
      </c>
      <c r="B9428" s="74" t="s">
        <v>1126</v>
      </c>
      <c r="C9428" s="74" t="s">
        <v>456</v>
      </c>
    </row>
    <row r="9429" spans="1:3">
      <c r="A9429" s="250">
        <v>23704</v>
      </c>
      <c r="B9429" s="74" t="s">
        <v>1126</v>
      </c>
      <c r="C9429" s="74" t="s">
        <v>456</v>
      </c>
    </row>
    <row r="9430" spans="1:3">
      <c r="A9430" s="250">
        <v>23705</v>
      </c>
      <c r="B9430" s="74" t="s">
        <v>1126</v>
      </c>
      <c r="C9430" s="74" t="s">
        <v>456</v>
      </c>
    </row>
    <row r="9431" spans="1:3">
      <c r="A9431" s="250">
        <v>23707</v>
      </c>
      <c r="B9431" s="74" t="s">
        <v>1126</v>
      </c>
      <c r="C9431" s="74" t="s">
        <v>456</v>
      </c>
    </row>
    <row r="9432" spans="1:3">
      <c r="A9432" s="250">
        <v>23708</v>
      </c>
      <c r="B9432" s="74" t="s">
        <v>1126</v>
      </c>
      <c r="C9432" s="74" t="s">
        <v>456</v>
      </c>
    </row>
    <row r="9433" spans="1:3">
      <c r="A9433" s="250">
        <v>23709</v>
      </c>
      <c r="B9433" s="74" t="s">
        <v>1126</v>
      </c>
      <c r="C9433" s="74" t="s">
        <v>456</v>
      </c>
    </row>
    <row r="9434" spans="1:3">
      <c r="A9434" s="250">
        <v>23801</v>
      </c>
      <c r="B9434" s="74" t="s">
        <v>2124</v>
      </c>
      <c r="C9434" s="74" t="s">
        <v>456</v>
      </c>
    </row>
    <row r="9435" spans="1:3">
      <c r="A9435" s="250">
        <v>23803</v>
      </c>
      <c r="B9435" s="74" t="s">
        <v>2988</v>
      </c>
      <c r="C9435" s="74" t="s">
        <v>456</v>
      </c>
    </row>
    <row r="9436" spans="1:3">
      <c r="A9436" s="250">
        <v>23804</v>
      </c>
      <c r="B9436" s="74" t="s">
        <v>2988</v>
      </c>
      <c r="C9436" s="74" t="s">
        <v>456</v>
      </c>
    </row>
    <row r="9437" spans="1:3">
      <c r="A9437" s="250">
        <v>23805</v>
      </c>
      <c r="B9437" s="74" t="s">
        <v>2988</v>
      </c>
      <c r="C9437" s="74" t="s">
        <v>456</v>
      </c>
    </row>
    <row r="9438" spans="1:3">
      <c r="A9438" s="250">
        <v>23806</v>
      </c>
      <c r="B9438" s="74" t="s">
        <v>6185</v>
      </c>
      <c r="C9438" s="74" t="s">
        <v>456</v>
      </c>
    </row>
    <row r="9439" spans="1:3">
      <c r="A9439" s="250">
        <v>23821</v>
      </c>
      <c r="B9439" s="74" t="s">
        <v>6186</v>
      </c>
      <c r="C9439" s="74" t="s">
        <v>456</v>
      </c>
    </row>
    <row r="9440" spans="1:3">
      <c r="A9440" s="250">
        <v>23822</v>
      </c>
      <c r="B9440" s="74" t="s">
        <v>6187</v>
      </c>
      <c r="C9440" s="74" t="s">
        <v>456</v>
      </c>
    </row>
    <row r="9441" spans="1:3">
      <c r="A9441" s="250">
        <v>23824</v>
      </c>
      <c r="B9441" s="74" t="s">
        <v>726</v>
      </c>
      <c r="C9441" s="74" t="s">
        <v>456</v>
      </c>
    </row>
    <row r="9442" spans="1:3">
      <c r="A9442" s="250">
        <v>23825</v>
      </c>
      <c r="B9442" s="74" t="s">
        <v>726</v>
      </c>
      <c r="C9442" s="74" t="s">
        <v>456</v>
      </c>
    </row>
    <row r="9443" spans="1:3">
      <c r="A9443" s="250">
        <v>23827</v>
      </c>
      <c r="B9443" s="74" t="s">
        <v>6188</v>
      </c>
      <c r="C9443" s="74" t="s">
        <v>456</v>
      </c>
    </row>
    <row r="9444" spans="1:3">
      <c r="A9444" s="250">
        <v>23828</v>
      </c>
      <c r="B9444" s="74" t="s">
        <v>2298</v>
      </c>
      <c r="C9444" s="74" t="s">
        <v>456</v>
      </c>
    </row>
    <row r="9445" spans="1:3">
      <c r="A9445" s="250">
        <v>23829</v>
      </c>
      <c r="B9445" s="74" t="s">
        <v>6189</v>
      </c>
      <c r="C9445" s="74" t="s">
        <v>456</v>
      </c>
    </row>
    <row r="9446" spans="1:3">
      <c r="A9446" s="250">
        <v>23830</v>
      </c>
      <c r="B9446" s="74" t="s">
        <v>6190</v>
      </c>
      <c r="C9446" s="74" t="s">
        <v>456</v>
      </c>
    </row>
    <row r="9447" spans="1:3">
      <c r="A9447" s="250">
        <v>23831</v>
      </c>
      <c r="B9447" s="74" t="s">
        <v>583</v>
      </c>
      <c r="C9447" s="74" t="s">
        <v>456</v>
      </c>
    </row>
    <row r="9448" spans="1:3">
      <c r="A9448" s="250">
        <v>23832</v>
      </c>
      <c r="B9448" s="74" t="s">
        <v>584</v>
      </c>
      <c r="C9448" s="74" t="s">
        <v>456</v>
      </c>
    </row>
    <row r="9449" spans="1:3">
      <c r="A9449" s="250">
        <v>23833</v>
      </c>
      <c r="B9449" s="74" t="s">
        <v>6191</v>
      </c>
      <c r="C9449" s="74" t="s">
        <v>456</v>
      </c>
    </row>
    <row r="9450" spans="1:3">
      <c r="A9450" s="250">
        <v>23834</v>
      </c>
      <c r="B9450" s="74" t="s">
        <v>6192</v>
      </c>
      <c r="C9450" s="74" t="s">
        <v>456</v>
      </c>
    </row>
    <row r="9451" spans="1:3">
      <c r="A9451" s="250">
        <v>23836</v>
      </c>
      <c r="B9451" s="74" t="s">
        <v>583</v>
      </c>
      <c r="C9451" s="74" t="s">
        <v>456</v>
      </c>
    </row>
    <row r="9452" spans="1:3">
      <c r="A9452" s="250">
        <v>23837</v>
      </c>
      <c r="B9452" s="74" t="s">
        <v>6193</v>
      </c>
      <c r="C9452" s="74" t="s">
        <v>456</v>
      </c>
    </row>
    <row r="9453" spans="1:3">
      <c r="A9453" s="250">
        <v>23838</v>
      </c>
      <c r="B9453" s="74" t="s">
        <v>584</v>
      </c>
      <c r="C9453" s="74" t="s">
        <v>456</v>
      </c>
    </row>
    <row r="9454" spans="1:3">
      <c r="A9454" s="250">
        <v>23839</v>
      </c>
      <c r="B9454" s="74" t="s">
        <v>6194</v>
      </c>
      <c r="C9454" s="74" t="s">
        <v>456</v>
      </c>
    </row>
    <row r="9455" spans="1:3">
      <c r="A9455" s="250">
        <v>23840</v>
      </c>
      <c r="B9455" s="74" t="s">
        <v>6195</v>
      </c>
      <c r="C9455" s="74" t="s">
        <v>456</v>
      </c>
    </row>
    <row r="9456" spans="1:3">
      <c r="A9456" s="250">
        <v>23841</v>
      </c>
      <c r="B9456" s="74" t="s">
        <v>6196</v>
      </c>
      <c r="C9456" s="74" t="s">
        <v>456</v>
      </c>
    </row>
    <row r="9457" spans="1:3">
      <c r="A9457" s="250">
        <v>23842</v>
      </c>
      <c r="B9457" s="74" t="s">
        <v>6197</v>
      </c>
      <c r="C9457" s="74" t="s">
        <v>456</v>
      </c>
    </row>
    <row r="9458" spans="1:3">
      <c r="A9458" s="250">
        <v>23843</v>
      </c>
      <c r="B9458" s="74" t="s">
        <v>6198</v>
      </c>
      <c r="C9458" s="74" t="s">
        <v>456</v>
      </c>
    </row>
    <row r="9459" spans="1:3">
      <c r="A9459" s="250">
        <v>23844</v>
      </c>
      <c r="B9459" s="74" t="s">
        <v>6199</v>
      </c>
      <c r="C9459" s="74" t="s">
        <v>456</v>
      </c>
    </row>
    <row r="9460" spans="1:3">
      <c r="A9460" s="250">
        <v>23845</v>
      </c>
      <c r="B9460" s="74" t="s">
        <v>6200</v>
      </c>
      <c r="C9460" s="74" t="s">
        <v>456</v>
      </c>
    </row>
    <row r="9461" spans="1:3">
      <c r="A9461" s="250">
        <v>23846</v>
      </c>
      <c r="B9461" s="74" t="s">
        <v>6201</v>
      </c>
      <c r="C9461" s="74" t="s">
        <v>456</v>
      </c>
    </row>
    <row r="9462" spans="1:3">
      <c r="A9462" s="250">
        <v>23847</v>
      </c>
      <c r="B9462" s="74" t="s">
        <v>6202</v>
      </c>
      <c r="C9462" s="74" t="s">
        <v>456</v>
      </c>
    </row>
    <row r="9463" spans="1:3">
      <c r="A9463" s="250">
        <v>23850</v>
      </c>
      <c r="B9463" s="74" t="s">
        <v>6203</v>
      </c>
      <c r="C9463" s="74" t="s">
        <v>456</v>
      </c>
    </row>
    <row r="9464" spans="1:3">
      <c r="A9464" s="250">
        <v>23851</v>
      </c>
      <c r="B9464" s="74" t="s">
        <v>873</v>
      </c>
      <c r="C9464" s="74" t="s">
        <v>456</v>
      </c>
    </row>
    <row r="9465" spans="1:3">
      <c r="A9465" s="250">
        <v>23856</v>
      </c>
      <c r="B9465" s="74" t="s">
        <v>6204</v>
      </c>
      <c r="C9465" s="74" t="s">
        <v>456</v>
      </c>
    </row>
    <row r="9466" spans="1:3">
      <c r="A9466" s="250">
        <v>23857</v>
      </c>
      <c r="B9466" s="74" t="s">
        <v>6205</v>
      </c>
      <c r="C9466" s="74" t="s">
        <v>456</v>
      </c>
    </row>
    <row r="9467" spans="1:3">
      <c r="A9467" s="250">
        <v>23860</v>
      </c>
      <c r="B9467" s="74" t="s">
        <v>2516</v>
      </c>
      <c r="C9467" s="74" t="s">
        <v>456</v>
      </c>
    </row>
    <row r="9468" spans="1:3">
      <c r="A9468" s="250">
        <v>23866</v>
      </c>
      <c r="B9468" s="74" t="s">
        <v>6206</v>
      </c>
      <c r="C9468" s="74" t="s">
        <v>456</v>
      </c>
    </row>
    <row r="9469" spans="1:3">
      <c r="A9469" s="250">
        <v>23867</v>
      </c>
      <c r="B9469" s="74" t="s">
        <v>6207</v>
      </c>
      <c r="C9469" s="74" t="s">
        <v>456</v>
      </c>
    </row>
    <row r="9470" spans="1:3">
      <c r="A9470" s="250">
        <v>23868</v>
      </c>
      <c r="B9470" s="74" t="s">
        <v>3302</v>
      </c>
      <c r="C9470" s="74" t="s">
        <v>456</v>
      </c>
    </row>
    <row r="9471" spans="1:3">
      <c r="A9471" s="250">
        <v>23870</v>
      </c>
      <c r="B9471" s="74" t="s">
        <v>6207</v>
      </c>
      <c r="C9471" s="74" t="s">
        <v>456</v>
      </c>
    </row>
    <row r="9472" spans="1:3">
      <c r="A9472" s="250">
        <v>23872</v>
      </c>
      <c r="B9472" s="74" t="s">
        <v>6208</v>
      </c>
      <c r="C9472" s="74" t="s">
        <v>456</v>
      </c>
    </row>
    <row r="9473" spans="1:3">
      <c r="A9473" s="250">
        <v>23873</v>
      </c>
      <c r="B9473" s="74" t="s">
        <v>6209</v>
      </c>
      <c r="C9473" s="74" t="s">
        <v>456</v>
      </c>
    </row>
    <row r="9474" spans="1:3">
      <c r="A9474" s="250">
        <v>23874</v>
      </c>
      <c r="B9474" s="74" t="s">
        <v>6210</v>
      </c>
      <c r="C9474" s="74" t="s">
        <v>456</v>
      </c>
    </row>
    <row r="9475" spans="1:3">
      <c r="A9475" s="250">
        <v>23875</v>
      </c>
      <c r="B9475" s="74" t="s">
        <v>6211</v>
      </c>
      <c r="C9475" s="74" t="s">
        <v>456</v>
      </c>
    </row>
    <row r="9476" spans="1:3">
      <c r="A9476" s="250">
        <v>23876</v>
      </c>
      <c r="B9476" s="74" t="s">
        <v>5738</v>
      </c>
      <c r="C9476" s="74" t="s">
        <v>456</v>
      </c>
    </row>
    <row r="9477" spans="1:3">
      <c r="A9477" s="250">
        <v>23878</v>
      </c>
      <c r="B9477" s="74" t="s">
        <v>6212</v>
      </c>
      <c r="C9477" s="74" t="s">
        <v>456</v>
      </c>
    </row>
    <row r="9478" spans="1:3">
      <c r="A9478" s="250">
        <v>23879</v>
      </c>
      <c r="B9478" s="74" t="s">
        <v>6213</v>
      </c>
      <c r="C9478" s="74" t="s">
        <v>456</v>
      </c>
    </row>
    <row r="9479" spans="1:3">
      <c r="A9479" s="250">
        <v>23881</v>
      </c>
      <c r="B9479" s="74" t="s">
        <v>4839</v>
      </c>
      <c r="C9479" s="74" t="s">
        <v>456</v>
      </c>
    </row>
    <row r="9480" spans="1:3">
      <c r="A9480" s="250">
        <v>23882</v>
      </c>
      <c r="B9480" s="74" t="s">
        <v>3268</v>
      </c>
      <c r="C9480" s="74" t="s">
        <v>456</v>
      </c>
    </row>
    <row r="9481" spans="1:3">
      <c r="A9481" s="250">
        <v>23883</v>
      </c>
      <c r="B9481" s="74" t="s">
        <v>1615</v>
      </c>
      <c r="C9481" s="74" t="s">
        <v>456</v>
      </c>
    </row>
    <row r="9482" spans="1:3">
      <c r="A9482" s="250">
        <v>23884</v>
      </c>
      <c r="B9482" s="74" t="s">
        <v>2209</v>
      </c>
      <c r="C9482" s="74" t="s">
        <v>456</v>
      </c>
    </row>
    <row r="9483" spans="1:3">
      <c r="A9483" s="250">
        <v>23885</v>
      </c>
      <c r="B9483" s="74" t="s">
        <v>6214</v>
      </c>
      <c r="C9483" s="74" t="s">
        <v>456</v>
      </c>
    </row>
    <row r="9484" spans="1:3">
      <c r="A9484" s="250">
        <v>23887</v>
      </c>
      <c r="B9484" s="74" t="s">
        <v>6215</v>
      </c>
      <c r="C9484" s="74" t="s">
        <v>456</v>
      </c>
    </row>
    <row r="9485" spans="1:3">
      <c r="A9485" s="250">
        <v>23888</v>
      </c>
      <c r="B9485" s="74" t="s">
        <v>828</v>
      </c>
      <c r="C9485" s="74" t="s">
        <v>456</v>
      </c>
    </row>
    <row r="9486" spans="1:3">
      <c r="A9486" s="250">
        <v>23889</v>
      </c>
      <c r="B9486" s="74" t="s">
        <v>6216</v>
      </c>
      <c r="C9486" s="74" t="s">
        <v>456</v>
      </c>
    </row>
    <row r="9487" spans="1:3">
      <c r="A9487" s="250">
        <v>23890</v>
      </c>
      <c r="B9487" s="74" t="s">
        <v>3950</v>
      </c>
      <c r="C9487" s="74" t="s">
        <v>456</v>
      </c>
    </row>
    <row r="9488" spans="1:3">
      <c r="A9488" s="250">
        <v>23891</v>
      </c>
      <c r="B9488" s="74" t="s">
        <v>3950</v>
      </c>
      <c r="C9488" s="74" t="s">
        <v>456</v>
      </c>
    </row>
    <row r="9489" spans="1:3">
      <c r="A9489" s="250">
        <v>23893</v>
      </c>
      <c r="B9489" s="74" t="s">
        <v>2665</v>
      </c>
      <c r="C9489" s="74" t="s">
        <v>456</v>
      </c>
    </row>
    <row r="9490" spans="1:3">
      <c r="A9490" s="250">
        <v>23894</v>
      </c>
      <c r="B9490" s="74" t="s">
        <v>6217</v>
      </c>
      <c r="C9490" s="74" t="s">
        <v>456</v>
      </c>
    </row>
    <row r="9491" spans="1:3">
      <c r="A9491" s="250">
        <v>23897</v>
      </c>
      <c r="B9491" s="74" t="s">
        <v>6218</v>
      </c>
      <c r="C9491" s="74" t="s">
        <v>456</v>
      </c>
    </row>
    <row r="9492" spans="1:3">
      <c r="A9492" s="250">
        <v>23898</v>
      </c>
      <c r="B9492" s="74" t="s">
        <v>6219</v>
      </c>
      <c r="C9492" s="74" t="s">
        <v>456</v>
      </c>
    </row>
    <row r="9493" spans="1:3">
      <c r="A9493" s="250">
        <v>23899</v>
      </c>
      <c r="B9493" s="74" t="s">
        <v>1271</v>
      </c>
      <c r="C9493" s="74" t="s">
        <v>456</v>
      </c>
    </row>
    <row r="9494" spans="1:3">
      <c r="A9494" s="250">
        <v>23901</v>
      </c>
      <c r="B9494" s="74" t="s">
        <v>6220</v>
      </c>
      <c r="C9494" s="74" t="s">
        <v>456</v>
      </c>
    </row>
    <row r="9495" spans="1:3">
      <c r="A9495" s="250">
        <v>23909</v>
      </c>
      <c r="B9495" s="74" t="s">
        <v>6220</v>
      </c>
      <c r="C9495" s="74" t="s">
        <v>456</v>
      </c>
    </row>
    <row r="9496" spans="1:3">
      <c r="A9496" s="250">
        <v>23915</v>
      </c>
      <c r="B9496" s="74" t="s">
        <v>6221</v>
      </c>
      <c r="C9496" s="74" t="s">
        <v>456</v>
      </c>
    </row>
    <row r="9497" spans="1:3">
      <c r="A9497" s="250">
        <v>23917</v>
      </c>
      <c r="B9497" s="74" t="s">
        <v>6222</v>
      </c>
      <c r="C9497" s="74" t="s">
        <v>456</v>
      </c>
    </row>
    <row r="9498" spans="1:3">
      <c r="A9498" s="250">
        <v>23919</v>
      </c>
      <c r="B9498" s="74" t="s">
        <v>6223</v>
      </c>
      <c r="C9498" s="74" t="s">
        <v>456</v>
      </c>
    </row>
    <row r="9499" spans="1:3">
      <c r="A9499" s="250">
        <v>23920</v>
      </c>
      <c r="B9499" s="74" t="s">
        <v>6224</v>
      </c>
      <c r="C9499" s="74" t="s">
        <v>456</v>
      </c>
    </row>
    <row r="9500" spans="1:3">
      <c r="A9500" s="250">
        <v>23921</v>
      </c>
      <c r="B9500" s="74" t="s">
        <v>5261</v>
      </c>
      <c r="C9500" s="74" t="s">
        <v>456</v>
      </c>
    </row>
    <row r="9501" spans="1:3">
      <c r="A9501" s="250">
        <v>23922</v>
      </c>
      <c r="B9501" s="74" t="s">
        <v>6225</v>
      </c>
      <c r="C9501" s="74" t="s">
        <v>456</v>
      </c>
    </row>
    <row r="9502" spans="1:3">
      <c r="A9502" s="250">
        <v>23923</v>
      </c>
      <c r="B9502" s="74" t="s">
        <v>6226</v>
      </c>
      <c r="C9502" s="74" t="s">
        <v>456</v>
      </c>
    </row>
    <row r="9503" spans="1:3">
      <c r="A9503" s="250">
        <v>23924</v>
      </c>
      <c r="B9503" s="74" t="s">
        <v>6227</v>
      </c>
      <c r="C9503" s="74" t="s">
        <v>456</v>
      </c>
    </row>
    <row r="9504" spans="1:3">
      <c r="A9504" s="250">
        <v>23927</v>
      </c>
      <c r="B9504" s="74" t="s">
        <v>2926</v>
      </c>
      <c r="C9504" s="74" t="s">
        <v>456</v>
      </c>
    </row>
    <row r="9505" spans="1:3">
      <c r="A9505" s="250">
        <v>23930</v>
      </c>
      <c r="B9505" s="74" t="s">
        <v>6228</v>
      </c>
      <c r="C9505" s="74" t="s">
        <v>456</v>
      </c>
    </row>
    <row r="9506" spans="1:3">
      <c r="A9506" s="250">
        <v>23934</v>
      </c>
      <c r="B9506" s="74" t="s">
        <v>6229</v>
      </c>
      <c r="C9506" s="74" t="s">
        <v>456</v>
      </c>
    </row>
    <row r="9507" spans="1:3">
      <c r="A9507" s="250">
        <v>23936</v>
      </c>
      <c r="B9507" s="74" t="s">
        <v>6230</v>
      </c>
      <c r="C9507" s="74" t="s">
        <v>456</v>
      </c>
    </row>
    <row r="9508" spans="1:3">
      <c r="A9508" s="250">
        <v>23937</v>
      </c>
      <c r="B9508" s="74" t="s">
        <v>6231</v>
      </c>
      <c r="C9508" s="74" t="s">
        <v>456</v>
      </c>
    </row>
    <row r="9509" spans="1:3">
      <c r="A9509" s="250">
        <v>23938</v>
      </c>
      <c r="B9509" s="74" t="s">
        <v>6232</v>
      </c>
      <c r="C9509" s="74" t="s">
        <v>456</v>
      </c>
    </row>
    <row r="9510" spans="1:3">
      <c r="A9510" s="250">
        <v>23939</v>
      </c>
      <c r="B9510" s="74" t="s">
        <v>6233</v>
      </c>
      <c r="C9510" s="74" t="s">
        <v>456</v>
      </c>
    </row>
    <row r="9511" spans="1:3">
      <c r="A9511" s="250">
        <v>23941</v>
      </c>
      <c r="B9511" s="74" t="s">
        <v>6234</v>
      </c>
      <c r="C9511" s="74" t="s">
        <v>456</v>
      </c>
    </row>
    <row r="9512" spans="1:3">
      <c r="A9512" s="250">
        <v>23942</v>
      </c>
      <c r="B9512" s="74" t="s">
        <v>6235</v>
      </c>
      <c r="C9512" s="74" t="s">
        <v>456</v>
      </c>
    </row>
    <row r="9513" spans="1:3">
      <c r="A9513" s="250">
        <v>23943</v>
      </c>
      <c r="B9513" s="74" t="s">
        <v>6236</v>
      </c>
      <c r="C9513" s="74" t="s">
        <v>456</v>
      </c>
    </row>
    <row r="9514" spans="1:3">
      <c r="A9514" s="250">
        <v>23944</v>
      </c>
      <c r="B9514" s="74" t="s">
        <v>6237</v>
      </c>
      <c r="C9514" s="74" t="s">
        <v>456</v>
      </c>
    </row>
    <row r="9515" spans="1:3">
      <c r="A9515" s="250">
        <v>23947</v>
      </c>
      <c r="B9515" s="74" t="s">
        <v>6238</v>
      </c>
      <c r="C9515" s="74" t="s">
        <v>456</v>
      </c>
    </row>
    <row r="9516" spans="1:3">
      <c r="A9516" s="250">
        <v>23950</v>
      </c>
      <c r="B9516" s="74" t="s">
        <v>6239</v>
      </c>
      <c r="C9516" s="74" t="s">
        <v>456</v>
      </c>
    </row>
    <row r="9517" spans="1:3">
      <c r="A9517" s="250">
        <v>23952</v>
      </c>
      <c r="B9517" s="74" t="s">
        <v>714</v>
      </c>
      <c r="C9517" s="74" t="s">
        <v>456</v>
      </c>
    </row>
    <row r="9518" spans="1:3">
      <c r="A9518" s="250">
        <v>23954</v>
      </c>
      <c r="B9518" s="74" t="s">
        <v>6240</v>
      </c>
      <c r="C9518" s="74" t="s">
        <v>456</v>
      </c>
    </row>
    <row r="9519" spans="1:3">
      <c r="A9519" s="250">
        <v>23955</v>
      </c>
      <c r="B9519" s="74" t="s">
        <v>6241</v>
      </c>
      <c r="C9519" s="74" t="s">
        <v>456</v>
      </c>
    </row>
    <row r="9520" spans="1:3">
      <c r="A9520" s="250">
        <v>23958</v>
      </c>
      <c r="B9520" s="74" t="s">
        <v>6242</v>
      </c>
      <c r="C9520" s="74" t="s">
        <v>456</v>
      </c>
    </row>
    <row r="9521" spans="1:3">
      <c r="A9521" s="250">
        <v>23959</v>
      </c>
      <c r="B9521" s="74" t="s">
        <v>6243</v>
      </c>
      <c r="C9521" s="74" t="s">
        <v>456</v>
      </c>
    </row>
    <row r="9522" spans="1:3">
      <c r="A9522" s="250">
        <v>23960</v>
      </c>
      <c r="B9522" s="74" t="s">
        <v>2079</v>
      </c>
      <c r="C9522" s="74" t="s">
        <v>456</v>
      </c>
    </row>
    <row r="9523" spans="1:3">
      <c r="A9523" s="250">
        <v>23962</v>
      </c>
      <c r="B9523" s="74" t="s">
        <v>960</v>
      </c>
      <c r="C9523" s="74" t="s">
        <v>456</v>
      </c>
    </row>
    <row r="9524" spans="1:3">
      <c r="A9524" s="250">
        <v>23963</v>
      </c>
      <c r="B9524" s="74" t="s">
        <v>6244</v>
      </c>
      <c r="C9524" s="74" t="s">
        <v>456</v>
      </c>
    </row>
    <row r="9525" spans="1:3">
      <c r="A9525" s="250">
        <v>23964</v>
      </c>
      <c r="B9525" s="74" t="s">
        <v>6245</v>
      </c>
      <c r="C9525" s="74" t="s">
        <v>456</v>
      </c>
    </row>
    <row r="9526" spans="1:3">
      <c r="A9526" s="250">
        <v>23966</v>
      </c>
      <c r="B9526" s="74" t="s">
        <v>6246</v>
      </c>
      <c r="C9526" s="74" t="s">
        <v>456</v>
      </c>
    </row>
    <row r="9527" spans="1:3">
      <c r="A9527" s="250">
        <v>23967</v>
      </c>
      <c r="B9527" s="74" t="s">
        <v>6247</v>
      </c>
      <c r="C9527" s="74" t="s">
        <v>456</v>
      </c>
    </row>
    <row r="9528" spans="1:3">
      <c r="A9528" s="250">
        <v>23968</v>
      </c>
      <c r="B9528" s="74" t="s">
        <v>6248</v>
      </c>
      <c r="C9528" s="74" t="s">
        <v>456</v>
      </c>
    </row>
    <row r="9529" spans="1:3">
      <c r="A9529" s="250">
        <v>23970</v>
      </c>
      <c r="B9529" s="74" t="s">
        <v>6249</v>
      </c>
      <c r="C9529" s="74" t="s">
        <v>456</v>
      </c>
    </row>
    <row r="9530" spans="1:3">
      <c r="A9530" s="250">
        <v>23974</v>
      </c>
      <c r="B9530" s="74" t="s">
        <v>6250</v>
      </c>
      <c r="C9530" s="74" t="s">
        <v>456</v>
      </c>
    </row>
    <row r="9531" spans="1:3">
      <c r="A9531" s="250">
        <v>23976</v>
      </c>
      <c r="B9531" s="74" t="s">
        <v>6251</v>
      </c>
      <c r="C9531" s="74" t="s">
        <v>456</v>
      </c>
    </row>
    <row r="9532" spans="1:3">
      <c r="A9532" s="250">
        <v>24001</v>
      </c>
      <c r="B9532" s="74" t="s">
        <v>6252</v>
      </c>
      <c r="C9532" s="74" t="s">
        <v>456</v>
      </c>
    </row>
    <row r="9533" spans="1:3">
      <c r="A9533" s="250">
        <v>24002</v>
      </c>
      <c r="B9533" s="74" t="s">
        <v>6252</v>
      </c>
      <c r="C9533" s="74" t="s">
        <v>456</v>
      </c>
    </row>
    <row r="9534" spans="1:3">
      <c r="A9534" s="250">
        <v>24003</v>
      </c>
      <c r="B9534" s="74" t="s">
        <v>6252</v>
      </c>
      <c r="C9534" s="74" t="s">
        <v>456</v>
      </c>
    </row>
    <row r="9535" spans="1:3">
      <c r="A9535" s="250">
        <v>24004</v>
      </c>
      <c r="B9535" s="74" t="s">
        <v>6252</v>
      </c>
      <c r="C9535" s="74" t="s">
        <v>456</v>
      </c>
    </row>
    <row r="9536" spans="1:3">
      <c r="A9536" s="250">
        <v>24005</v>
      </c>
      <c r="B9536" s="74" t="s">
        <v>6252</v>
      </c>
      <c r="C9536" s="74" t="s">
        <v>456</v>
      </c>
    </row>
    <row r="9537" spans="1:3">
      <c r="A9537" s="250">
        <v>24006</v>
      </c>
      <c r="B9537" s="74" t="s">
        <v>6252</v>
      </c>
      <c r="C9537" s="74" t="s">
        <v>456</v>
      </c>
    </row>
    <row r="9538" spans="1:3">
      <c r="A9538" s="250">
        <v>24007</v>
      </c>
      <c r="B9538" s="74" t="s">
        <v>6252</v>
      </c>
      <c r="C9538" s="74" t="s">
        <v>456</v>
      </c>
    </row>
    <row r="9539" spans="1:3">
      <c r="A9539" s="250">
        <v>24008</v>
      </c>
      <c r="B9539" s="74" t="s">
        <v>6252</v>
      </c>
      <c r="C9539" s="74" t="s">
        <v>456</v>
      </c>
    </row>
    <row r="9540" spans="1:3">
      <c r="A9540" s="250">
        <v>24009</v>
      </c>
      <c r="B9540" s="74" t="s">
        <v>6252</v>
      </c>
      <c r="C9540" s="74" t="s">
        <v>456</v>
      </c>
    </row>
    <row r="9541" spans="1:3">
      <c r="A9541" s="250">
        <v>24010</v>
      </c>
      <c r="B9541" s="74" t="s">
        <v>6252</v>
      </c>
      <c r="C9541" s="74" t="s">
        <v>456</v>
      </c>
    </row>
    <row r="9542" spans="1:3">
      <c r="A9542" s="250">
        <v>24011</v>
      </c>
      <c r="B9542" s="74" t="s">
        <v>6252</v>
      </c>
      <c r="C9542" s="74" t="s">
        <v>456</v>
      </c>
    </row>
    <row r="9543" spans="1:3">
      <c r="A9543" s="250">
        <v>24012</v>
      </c>
      <c r="B9543" s="74" t="s">
        <v>6252</v>
      </c>
      <c r="C9543" s="74" t="s">
        <v>456</v>
      </c>
    </row>
    <row r="9544" spans="1:3">
      <c r="A9544" s="250">
        <v>24013</v>
      </c>
      <c r="B9544" s="74" t="s">
        <v>6252</v>
      </c>
      <c r="C9544" s="74" t="s">
        <v>456</v>
      </c>
    </row>
    <row r="9545" spans="1:3">
      <c r="A9545" s="250">
        <v>24014</v>
      </c>
      <c r="B9545" s="74" t="s">
        <v>6252</v>
      </c>
      <c r="C9545" s="74" t="s">
        <v>456</v>
      </c>
    </row>
    <row r="9546" spans="1:3">
      <c r="A9546" s="250">
        <v>24015</v>
      </c>
      <c r="B9546" s="74" t="s">
        <v>6252</v>
      </c>
      <c r="C9546" s="74" t="s">
        <v>456</v>
      </c>
    </row>
    <row r="9547" spans="1:3">
      <c r="A9547" s="250">
        <v>24016</v>
      </c>
      <c r="B9547" s="74" t="s">
        <v>6252</v>
      </c>
      <c r="C9547" s="74" t="s">
        <v>456</v>
      </c>
    </row>
    <row r="9548" spans="1:3">
      <c r="A9548" s="250">
        <v>24017</v>
      </c>
      <c r="B9548" s="74" t="s">
        <v>6252</v>
      </c>
      <c r="C9548" s="74" t="s">
        <v>456</v>
      </c>
    </row>
    <row r="9549" spans="1:3">
      <c r="A9549" s="250">
        <v>24018</v>
      </c>
      <c r="B9549" s="74" t="s">
        <v>6252</v>
      </c>
      <c r="C9549" s="74" t="s">
        <v>456</v>
      </c>
    </row>
    <row r="9550" spans="1:3">
      <c r="A9550" s="250">
        <v>24019</v>
      </c>
      <c r="B9550" s="74" t="s">
        <v>6252</v>
      </c>
      <c r="C9550" s="74" t="s">
        <v>456</v>
      </c>
    </row>
    <row r="9551" spans="1:3">
      <c r="A9551" s="250">
        <v>24020</v>
      </c>
      <c r="B9551" s="74" t="s">
        <v>6252</v>
      </c>
      <c r="C9551" s="74" t="s">
        <v>456</v>
      </c>
    </row>
    <row r="9552" spans="1:3">
      <c r="A9552" s="250">
        <v>24022</v>
      </c>
      <c r="B9552" s="74" t="s">
        <v>6252</v>
      </c>
      <c r="C9552" s="74" t="s">
        <v>456</v>
      </c>
    </row>
    <row r="9553" spans="1:3">
      <c r="A9553" s="250">
        <v>24023</v>
      </c>
      <c r="B9553" s="74" t="s">
        <v>6252</v>
      </c>
      <c r="C9553" s="74" t="s">
        <v>456</v>
      </c>
    </row>
    <row r="9554" spans="1:3">
      <c r="A9554" s="250">
        <v>24024</v>
      </c>
      <c r="B9554" s="74" t="s">
        <v>6252</v>
      </c>
      <c r="C9554" s="74" t="s">
        <v>456</v>
      </c>
    </row>
    <row r="9555" spans="1:3">
      <c r="A9555" s="250">
        <v>24025</v>
      </c>
      <c r="B9555" s="74" t="s">
        <v>6252</v>
      </c>
      <c r="C9555" s="74" t="s">
        <v>456</v>
      </c>
    </row>
    <row r="9556" spans="1:3">
      <c r="A9556" s="250">
        <v>24026</v>
      </c>
      <c r="B9556" s="74" t="s">
        <v>6252</v>
      </c>
      <c r="C9556" s="74" t="s">
        <v>456</v>
      </c>
    </row>
    <row r="9557" spans="1:3">
      <c r="A9557" s="250">
        <v>24027</v>
      </c>
      <c r="B9557" s="74" t="s">
        <v>6252</v>
      </c>
      <c r="C9557" s="74" t="s">
        <v>456</v>
      </c>
    </row>
    <row r="9558" spans="1:3">
      <c r="A9558" s="250">
        <v>24028</v>
      </c>
      <c r="B9558" s="74" t="s">
        <v>6252</v>
      </c>
      <c r="C9558" s="74" t="s">
        <v>456</v>
      </c>
    </row>
    <row r="9559" spans="1:3">
      <c r="A9559" s="250">
        <v>24029</v>
      </c>
      <c r="B9559" s="74" t="s">
        <v>6252</v>
      </c>
      <c r="C9559" s="74" t="s">
        <v>456</v>
      </c>
    </row>
    <row r="9560" spans="1:3">
      <c r="A9560" s="250">
        <v>24030</v>
      </c>
      <c r="B9560" s="74" t="s">
        <v>6252</v>
      </c>
      <c r="C9560" s="74" t="s">
        <v>456</v>
      </c>
    </row>
    <row r="9561" spans="1:3">
      <c r="A9561" s="250">
        <v>24031</v>
      </c>
      <c r="B9561" s="74" t="s">
        <v>6252</v>
      </c>
      <c r="C9561" s="74" t="s">
        <v>456</v>
      </c>
    </row>
    <row r="9562" spans="1:3">
      <c r="A9562" s="250">
        <v>24032</v>
      </c>
      <c r="B9562" s="74" t="s">
        <v>6252</v>
      </c>
      <c r="C9562" s="74" t="s">
        <v>456</v>
      </c>
    </row>
    <row r="9563" spans="1:3">
      <c r="A9563" s="250">
        <v>24033</v>
      </c>
      <c r="B9563" s="74" t="s">
        <v>6252</v>
      </c>
      <c r="C9563" s="74" t="s">
        <v>456</v>
      </c>
    </row>
    <row r="9564" spans="1:3">
      <c r="A9564" s="250">
        <v>24034</v>
      </c>
      <c r="B9564" s="74" t="s">
        <v>6252</v>
      </c>
      <c r="C9564" s="74" t="s">
        <v>456</v>
      </c>
    </row>
    <row r="9565" spans="1:3">
      <c r="A9565" s="250">
        <v>24035</v>
      </c>
      <c r="B9565" s="74" t="s">
        <v>6252</v>
      </c>
      <c r="C9565" s="74" t="s">
        <v>456</v>
      </c>
    </row>
    <row r="9566" spans="1:3">
      <c r="A9566" s="250">
        <v>24036</v>
      </c>
      <c r="B9566" s="74" t="s">
        <v>6252</v>
      </c>
      <c r="C9566" s="74" t="s">
        <v>456</v>
      </c>
    </row>
    <row r="9567" spans="1:3">
      <c r="A9567" s="250">
        <v>24037</v>
      </c>
      <c r="B9567" s="74" t="s">
        <v>6252</v>
      </c>
      <c r="C9567" s="74" t="s">
        <v>456</v>
      </c>
    </row>
    <row r="9568" spans="1:3">
      <c r="A9568" s="250">
        <v>24038</v>
      </c>
      <c r="B9568" s="74" t="s">
        <v>6252</v>
      </c>
      <c r="C9568" s="74" t="s">
        <v>456</v>
      </c>
    </row>
    <row r="9569" spans="1:3">
      <c r="A9569" s="250">
        <v>24040</v>
      </c>
      <c r="B9569" s="74" t="s">
        <v>6252</v>
      </c>
      <c r="C9569" s="74" t="s">
        <v>456</v>
      </c>
    </row>
    <row r="9570" spans="1:3">
      <c r="A9570" s="250">
        <v>24042</v>
      </c>
      <c r="B9570" s="74" t="s">
        <v>6252</v>
      </c>
      <c r="C9570" s="74" t="s">
        <v>456</v>
      </c>
    </row>
    <row r="9571" spans="1:3">
      <c r="A9571" s="250">
        <v>24043</v>
      </c>
      <c r="B9571" s="74" t="s">
        <v>6252</v>
      </c>
      <c r="C9571" s="74" t="s">
        <v>456</v>
      </c>
    </row>
    <row r="9572" spans="1:3">
      <c r="A9572" s="250">
        <v>24044</v>
      </c>
      <c r="B9572" s="74" t="s">
        <v>6252</v>
      </c>
      <c r="C9572" s="74" t="s">
        <v>456</v>
      </c>
    </row>
    <row r="9573" spans="1:3">
      <c r="A9573" s="250">
        <v>24045</v>
      </c>
      <c r="B9573" s="74" t="s">
        <v>6252</v>
      </c>
      <c r="C9573" s="74" t="s">
        <v>456</v>
      </c>
    </row>
    <row r="9574" spans="1:3">
      <c r="A9574" s="250">
        <v>24048</v>
      </c>
      <c r="B9574" s="74" t="s">
        <v>6252</v>
      </c>
      <c r="C9574" s="74" t="s">
        <v>456</v>
      </c>
    </row>
    <row r="9575" spans="1:3">
      <c r="A9575" s="250">
        <v>24050</v>
      </c>
      <c r="B9575" s="74" t="s">
        <v>6252</v>
      </c>
      <c r="C9575" s="74" t="s">
        <v>456</v>
      </c>
    </row>
    <row r="9576" spans="1:3">
      <c r="A9576" s="250">
        <v>24053</v>
      </c>
      <c r="B9576" s="74" t="s">
        <v>6253</v>
      </c>
      <c r="C9576" s="74" t="s">
        <v>456</v>
      </c>
    </row>
    <row r="9577" spans="1:3">
      <c r="A9577" s="250">
        <v>24054</v>
      </c>
      <c r="B9577" s="74" t="s">
        <v>6254</v>
      </c>
      <c r="C9577" s="74" t="s">
        <v>456</v>
      </c>
    </row>
    <row r="9578" spans="1:3">
      <c r="A9578" s="250">
        <v>24055</v>
      </c>
      <c r="B9578" s="74" t="s">
        <v>6255</v>
      </c>
      <c r="C9578" s="74" t="s">
        <v>456</v>
      </c>
    </row>
    <row r="9579" spans="1:3">
      <c r="A9579" s="250">
        <v>24058</v>
      </c>
      <c r="B9579" s="74" t="s">
        <v>6256</v>
      </c>
      <c r="C9579" s="74" t="s">
        <v>456</v>
      </c>
    </row>
    <row r="9580" spans="1:3">
      <c r="A9580" s="250">
        <v>24059</v>
      </c>
      <c r="B9580" s="74" t="s">
        <v>6257</v>
      </c>
      <c r="C9580" s="74" t="s">
        <v>456</v>
      </c>
    </row>
    <row r="9581" spans="1:3">
      <c r="A9581" s="250">
        <v>24060</v>
      </c>
      <c r="B9581" s="74" t="s">
        <v>6258</v>
      </c>
      <c r="C9581" s="74" t="s">
        <v>456</v>
      </c>
    </row>
    <row r="9582" spans="1:3">
      <c r="A9582" s="250">
        <v>24061</v>
      </c>
      <c r="B9582" s="74" t="s">
        <v>6258</v>
      </c>
      <c r="C9582" s="74" t="s">
        <v>456</v>
      </c>
    </row>
    <row r="9583" spans="1:3">
      <c r="A9583" s="250">
        <v>24062</v>
      </c>
      <c r="B9583" s="74" t="s">
        <v>6258</v>
      </c>
      <c r="C9583" s="74" t="s">
        <v>456</v>
      </c>
    </row>
    <row r="9584" spans="1:3">
      <c r="A9584" s="250">
        <v>24063</v>
      </c>
      <c r="B9584" s="74" t="s">
        <v>6258</v>
      </c>
      <c r="C9584" s="74" t="s">
        <v>456</v>
      </c>
    </row>
    <row r="9585" spans="1:3">
      <c r="A9585" s="250">
        <v>24064</v>
      </c>
      <c r="B9585" s="74" t="s">
        <v>6259</v>
      </c>
      <c r="C9585" s="74" t="s">
        <v>456</v>
      </c>
    </row>
    <row r="9586" spans="1:3">
      <c r="A9586" s="250">
        <v>24065</v>
      </c>
      <c r="B9586" s="74" t="s">
        <v>6260</v>
      </c>
      <c r="C9586" s="74" t="s">
        <v>456</v>
      </c>
    </row>
    <row r="9587" spans="1:3">
      <c r="A9587" s="250">
        <v>24066</v>
      </c>
      <c r="B9587" s="74" t="s">
        <v>2621</v>
      </c>
      <c r="C9587" s="74" t="s">
        <v>456</v>
      </c>
    </row>
    <row r="9588" spans="1:3">
      <c r="A9588" s="250">
        <v>24067</v>
      </c>
      <c r="B9588" s="74" t="s">
        <v>5556</v>
      </c>
      <c r="C9588" s="74" t="s">
        <v>456</v>
      </c>
    </row>
    <row r="9589" spans="1:3">
      <c r="A9589" s="250">
        <v>24068</v>
      </c>
      <c r="B9589" s="74" t="s">
        <v>6261</v>
      </c>
      <c r="C9589" s="74" t="s">
        <v>456</v>
      </c>
    </row>
    <row r="9590" spans="1:3">
      <c r="A9590" s="250">
        <v>24069</v>
      </c>
      <c r="B9590" s="74" t="s">
        <v>5792</v>
      </c>
      <c r="C9590" s="74" t="s">
        <v>456</v>
      </c>
    </row>
    <row r="9591" spans="1:3">
      <c r="A9591" s="250">
        <v>24070</v>
      </c>
      <c r="B9591" s="74" t="s">
        <v>6262</v>
      </c>
      <c r="C9591" s="74" t="s">
        <v>456</v>
      </c>
    </row>
    <row r="9592" spans="1:3">
      <c r="A9592" s="250">
        <v>24072</v>
      </c>
      <c r="B9592" s="74" t="s">
        <v>6263</v>
      </c>
      <c r="C9592" s="74" t="s">
        <v>456</v>
      </c>
    </row>
    <row r="9593" spans="1:3">
      <c r="A9593" s="250">
        <v>24073</v>
      </c>
      <c r="B9593" s="74" t="s">
        <v>6261</v>
      </c>
      <c r="C9593" s="74" t="s">
        <v>456</v>
      </c>
    </row>
    <row r="9594" spans="1:3">
      <c r="A9594" s="250">
        <v>24076</v>
      </c>
      <c r="B9594" s="74" t="s">
        <v>6264</v>
      </c>
      <c r="C9594" s="74" t="s">
        <v>456</v>
      </c>
    </row>
    <row r="9595" spans="1:3">
      <c r="A9595" s="250">
        <v>24077</v>
      </c>
      <c r="B9595" s="74" t="s">
        <v>6265</v>
      </c>
      <c r="C9595" s="74" t="s">
        <v>456</v>
      </c>
    </row>
    <row r="9596" spans="1:3">
      <c r="A9596" s="250">
        <v>24078</v>
      </c>
      <c r="B9596" s="74" t="s">
        <v>1936</v>
      </c>
      <c r="C9596" s="74" t="s">
        <v>456</v>
      </c>
    </row>
    <row r="9597" spans="1:3">
      <c r="A9597" s="250">
        <v>24079</v>
      </c>
      <c r="B9597" s="74" t="s">
        <v>6266</v>
      </c>
      <c r="C9597" s="74" t="s">
        <v>456</v>
      </c>
    </row>
    <row r="9598" spans="1:3">
      <c r="A9598" s="250">
        <v>24082</v>
      </c>
      <c r="B9598" s="74" t="s">
        <v>6267</v>
      </c>
      <c r="C9598" s="74" t="s">
        <v>456</v>
      </c>
    </row>
    <row r="9599" spans="1:3">
      <c r="A9599" s="250">
        <v>24083</v>
      </c>
      <c r="B9599" s="74" t="s">
        <v>6268</v>
      </c>
      <c r="C9599" s="74" t="s">
        <v>456</v>
      </c>
    </row>
    <row r="9600" spans="1:3">
      <c r="A9600" s="250">
        <v>24084</v>
      </c>
      <c r="B9600" s="74" t="s">
        <v>1230</v>
      </c>
      <c r="C9600" s="74" t="s">
        <v>456</v>
      </c>
    </row>
    <row r="9601" spans="1:3">
      <c r="A9601" s="250">
        <v>24085</v>
      </c>
      <c r="B9601" s="74" t="s">
        <v>6269</v>
      </c>
      <c r="C9601" s="74" t="s">
        <v>456</v>
      </c>
    </row>
    <row r="9602" spans="1:3">
      <c r="A9602" s="250">
        <v>24086</v>
      </c>
      <c r="B9602" s="74" t="s">
        <v>6270</v>
      </c>
      <c r="C9602" s="74" t="s">
        <v>456</v>
      </c>
    </row>
    <row r="9603" spans="1:3">
      <c r="A9603" s="250">
        <v>24087</v>
      </c>
      <c r="B9603" s="74" t="s">
        <v>6271</v>
      </c>
      <c r="C9603" s="74" t="s">
        <v>456</v>
      </c>
    </row>
    <row r="9604" spans="1:3">
      <c r="A9604" s="250">
        <v>24088</v>
      </c>
      <c r="B9604" s="74" t="s">
        <v>6272</v>
      </c>
      <c r="C9604" s="74" t="s">
        <v>456</v>
      </c>
    </row>
    <row r="9605" spans="1:3">
      <c r="A9605" s="250">
        <v>24089</v>
      </c>
      <c r="B9605" s="74" t="s">
        <v>6273</v>
      </c>
      <c r="C9605" s="74" t="s">
        <v>456</v>
      </c>
    </row>
    <row r="9606" spans="1:3">
      <c r="A9606" s="250">
        <v>24090</v>
      </c>
      <c r="B9606" s="74" t="s">
        <v>6274</v>
      </c>
      <c r="C9606" s="74" t="s">
        <v>456</v>
      </c>
    </row>
    <row r="9607" spans="1:3">
      <c r="A9607" s="250">
        <v>24091</v>
      </c>
      <c r="B9607" s="74" t="s">
        <v>6275</v>
      </c>
      <c r="C9607" s="74" t="s">
        <v>456</v>
      </c>
    </row>
    <row r="9608" spans="1:3">
      <c r="A9608" s="250">
        <v>24092</v>
      </c>
      <c r="B9608" s="74" t="s">
        <v>6276</v>
      </c>
      <c r="C9608" s="74" t="s">
        <v>456</v>
      </c>
    </row>
    <row r="9609" spans="1:3">
      <c r="A9609" s="250">
        <v>24093</v>
      </c>
      <c r="B9609" s="74" t="s">
        <v>6277</v>
      </c>
      <c r="C9609" s="74" t="s">
        <v>456</v>
      </c>
    </row>
    <row r="9610" spans="1:3">
      <c r="A9610" s="250">
        <v>24095</v>
      </c>
      <c r="B9610" s="74" t="s">
        <v>6278</v>
      </c>
      <c r="C9610" s="74" t="s">
        <v>456</v>
      </c>
    </row>
    <row r="9611" spans="1:3">
      <c r="A9611" s="250">
        <v>24101</v>
      </c>
      <c r="B9611" s="74" t="s">
        <v>6279</v>
      </c>
      <c r="C9611" s="74" t="s">
        <v>456</v>
      </c>
    </row>
    <row r="9612" spans="1:3">
      <c r="A9612" s="250">
        <v>24102</v>
      </c>
      <c r="B9612" s="74" t="s">
        <v>6280</v>
      </c>
      <c r="C9612" s="74" t="s">
        <v>456</v>
      </c>
    </row>
    <row r="9613" spans="1:3">
      <c r="A9613" s="250">
        <v>24104</v>
      </c>
      <c r="B9613" s="74" t="s">
        <v>6281</v>
      </c>
      <c r="C9613" s="74" t="s">
        <v>456</v>
      </c>
    </row>
    <row r="9614" spans="1:3">
      <c r="A9614" s="250">
        <v>24105</v>
      </c>
      <c r="B9614" s="74" t="s">
        <v>6282</v>
      </c>
      <c r="C9614" s="74" t="s">
        <v>456</v>
      </c>
    </row>
    <row r="9615" spans="1:3">
      <c r="A9615" s="250">
        <v>24111</v>
      </c>
      <c r="B9615" s="74" t="s">
        <v>6283</v>
      </c>
      <c r="C9615" s="74" t="s">
        <v>456</v>
      </c>
    </row>
    <row r="9616" spans="1:3">
      <c r="A9616" s="250">
        <v>24112</v>
      </c>
      <c r="B9616" s="74" t="s">
        <v>2580</v>
      </c>
      <c r="C9616" s="74" t="s">
        <v>456</v>
      </c>
    </row>
    <row r="9617" spans="1:3">
      <c r="A9617" s="250">
        <v>24113</v>
      </c>
      <c r="B9617" s="74" t="s">
        <v>2580</v>
      </c>
      <c r="C9617" s="74" t="s">
        <v>456</v>
      </c>
    </row>
    <row r="9618" spans="1:3">
      <c r="A9618" s="250">
        <v>24114</v>
      </c>
      <c r="B9618" s="74" t="s">
        <v>2580</v>
      </c>
      <c r="C9618" s="74" t="s">
        <v>456</v>
      </c>
    </row>
    <row r="9619" spans="1:3">
      <c r="A9619" s="250">
        <v>24115</v>
      </c>
      <c r="B9619" s="74" t="s">
        <v>2580</v>
      </c>
      <c r="C9619" s="74" t="s">
        <v>456</v>
      </c>
    </row>
    <row r="9620" spans="1:3">
      <c r="A9620" s="250">
        <v>24120</v>
      </c>
      <c r="B9620" s="74" t="s">
        <v>6284</v>
      </c>
      <c r="C9620" s="74" t="s">
        <v>456</v>
      </c>
    </row>
    <row r="9621" spans="1:3">
      <c r="A9621" s="250">
        <v>24121</v>
      </c>
      <c r="B9621" s="74" t="s">
        <v>6285</v>
      </c>
      <c r="C9621" s="74" t="s">
        <v>456</v>
      </c>
    </row>
    <row r="9622" spans="1:3">
      <c r="A9622" s="250">
        <v>24122</v>
      </c>
      <c r="B9622" s="74" t="s">
        <v>2239</v>
      </c>
      <c r="C9622" s="74" t="s">
        <v>456</v>
      </c>
    </row>
    <row r="9623" spans="1:3">
      <c r="A9623" s="250">
        <v>24124</v>
      </c>
      <c r="B9623" s="74" t="s">
        <v>6286</v>
      </c>
      <c r="C9623" s="74" t="s">
        <v>456</v>
      </c>
    </row>
    <row r="9624" spans="1:3">
      <c r="A9624" s="250">
        <v>24126</v>
      </c>
      <c r="B9624" s="74" t="s">
        <v>6287</v>
      </c>
      <c r="C9624" s="74" t="s">
        <v>456</v>
      </c>
    </row>
    <row r="9625" spans="1:3">
      <c r="A9625" s="250">
        <v>24127</v>
      </c>
      <c r="B9625" s="74" t="s">
        <v>1324</v>
      </c>
      <c r="C9625" s="74" t="s">
        <v>456</v>
      </c>
    </row>
    <row r="9626" spans="1:3">
      <c r="A9626" s="250">
        <v>24128</v>
      </c>
      <c r="B9626" s="74" t="s">
        <v>1118</v>
      </c>
      <c r="C9626" s="74" t="s">
        <v>456</v>
      </c>
    </row>
    <row r="9627" spans="1:3">
      <c r="A9627" s="250">
        <v>24129</v>
      </c>
      <c r="B9627" s="74" t="s">
        <v>6288</v>
      </c>
      <c r="C9627" s="74" t="s">
        <v>456</v>
      </c>
    </row>
    <row r="9628" spans="1:3">
      <c r="A9628" s="250">
        <v>24130</v>
      </c>
      <c r="B9628" s="74" t="s">
        <v>3484</v>
      </c>
      <c r="C9628" s="74" t="s">
        <v>456</v>
      </c>
    </row>
    <row r="9629" spans="1:3">
      <c r="A9629" s="250">
        <v>24131</v>
      </c>
      <c r="B9629" s="74" t="s">
        <v>6289</v>
      </c>
      <c r="C9629" s="74" t="s">
        <v>456</v>
      </c>
    </row>
    <row r="9630" spans="1:3">
      <c r="A9630" s="250">
        <v>24132</v>
      </c>
      <c r="B9630" s="74" t="s">
        <v>6290</v>
      </c>
      <c r="C9630" s="74" t="s">
        <v>456</v>
      </c>
    </row>
    <row r="9631" spans="1:3">
      <c r="A9631" s="250">
        <v>24133</v>
      </c>
      <c r="B9631" s="74" t="s">
        <v>6291</v>
      </c>
      <c r="C9631" s="74" t="s">
        <v>456</v>
      </c>
    </row>
    <row r="9632" spans="1:3">
      <c r="A9632" s="250">
        <v>24134</v>
      </c>
      <c r="B9632" s="74" t="s">
        <v>6292</v>
      </c>
      <c r="C9632" s="74" t="s">
        <v>456</v>
      </c>
    </row>
    <row r="9633" spans="1:3">
      <c r="A9633" s="250">
        <v>24136</v>
      </c>
      <c r="B9633" s="74" t="s">
        <v>955</v>
      </c>
      <c r="C9633" s="74" t="s">
        <v>456</v>
      </c>
    </row>
    <row r="9634" spans="1:3">
      <c r="A9634" s="250">
        <v>24137</v>
      </c>
      <c r="B9634" s="74" t="s">
        <v>6293</v>
      </c>
      <c r="C9634" s="74" t="s">
        <v>456</v>
      </c>
    </row>
    <row r="9635" spans="1:3">
      <c r="A9635" s="250">
        <v>24138</v>
      </c>
      <c r="B9635" s="74" t="s">
        <v>6294</v>
      </c>
      <c r="C9635" s="74" t="s">
        <v>456</v>
      </c>
    </row>
    <row r="9636" spans="1:3">
      <c r="A9636" s="250">
        <v>24139</v>
      </c>
      <c r="B9636" s="74" t="s">
        <v>5839</v>
      </c>
      <c r="C9636" s="74" t="s">
        <v>456</v>
      </c>
    </row>
    <row r="9637" spans="1:3">
      <c r="A9637" s="250">
        <v>24141</v>
      </c>
      <c r="B9637" s="74" t="s">
        <v>6295</v>
      </c>
      <c r="C9637" s="74" t="s">
        <v>456</v>
      </c>
    </row>
    <row r="9638" spans="1:3">
      <c r="A9638" s="250">
        <v>24142</v>
      </c>
      <c r="B9638" s="74" t="s">
        <v>6295</v>
      </c>
      <c r="C9638" s="74" t="s">
        <v>456</v>
      </c>
    </row>
    <row r="9639" spans="1:3">
      <c r="A9639" s="250">
        <v>24143</v>
      </c>
      <c r="B9639" s="74" t="s">
        <v>6295</v>
      </c>
      <c r="C9639" s="74" t="s">
        <v>456</v>
      </c>
    </row>
    <row r="9640" spans="1:3">
      <c r="A9640" s="250">
        <v>24146</v>
      </c>
      <c r="B9640" s="74" t="s">
        <v>3576</v>
      </c>
      <c r="C9640" s="74" t="s">
        <v>456</v>
      </c>
    </row>
    <row r="9641" spans="1:3">
      <c r="A9641" s="250">
        <v>24147</v>
      </c>
      <c r="B9641" s="74" t="s">
        <v>6296</v>
      </c>
      <c r="C9641" s="74" t="s">
        <v>456</v>
      </c>
    </row>
    <row r="9642" spans="1:3">
      <c r="A9642" s="250">
        <v>24148</v>
      </c>
      <c r="B9642" s="74" t="s">
        <v>6297</v>
      </c>
      <c r="C9642" s="74" t="s">
        <v>456</v>
      </c>
    </row>
    <row r="9643" spans="1:3">
      <c r="A9643" s="250">
        <v>24149</v>
      </c>
      <c r="B9643" s="74" t="s">
        <v>6298</v>
      </c>
      <c r="C9643" s="74" t="s">
        <v>456</v>
      </c>
    </row>
    <row r="9644" spans="1:3">
      <c r="A9644" s="250">
        <v>24150</v>
      </c>
      <c r="B9644" s="74" t="s">
        <v>6299</v>
      </c>
      <c r="C9644" s="74" t="s">
        <v>456</v>
      </c>
    </row>
    <row r="9645" spans="1:3">
      <c r="A9645" s="250">
        <v>24151</v>
      </c>
      <c r="B9645" s="74" t="s">
        <v>6300</v>
      </c>
      <c r="C9645" s="74" t="s">
        <v>456</v>
      </c>
    </row>
    <row r="9646" spans="1:3">
      <c r="A9646" s="250">
        <v>24153</v>
      </c>
      <c r="B9646" s="74" t="s">
        <v>858</v>
      </c>
      <c r="C9646" s="74" t="s">
        <v>456</v>
      </c>
    </row>
    <row r="9647" spans="1:3">
      <c r="A9647" s="250">
        <v>24155</v>
      </c>
      <c r="B9647" s="74" t="s">
        <v>6252</v>
      </c>
      <c r="C9647" s="74" t="s">
        <v>456</v>
      </c>
    </row>
    <row r="9648" spans="1:3">
      <c r="A9648" s="250">
        <v>24157</v>
      </c>
      <c r="B9648" s="74" t="s">
        <v>6252</v>
      </c>
      <c r="C9648" s="74" t="s">
        <v>456</v>
      </c>
    </row>
    <row r="9649" spans="1:3">
      <c r="A9649" s="250">
        <v>24161</v>
      </c>
      <c r="B9649" s="74" t="s">
        <v>6301</v>
      </c>
      <c r="C9649" s="74" t="s">
        <v>456</v>
      </c>
    </row>
    <row r="9650" spans="1:3">
      <c r="A9650" s="250">
        <v>24162</v>
      </c>
      <c r="B9650" s="74" t="s">
        <v>6302</v>
      </c>
      <c r="C9650" s="74" t="s">
        <v>456</v>
      </c>
    </row>
    <row r="9651" spans="1:3">
      <c r="A9651" s="250">
        <v>24165</v>
      </c>
      <c r="B9651" s="74" t="s">
        <v>762</v>
      </c>
      <c r="C9651" s="74" t="s">
        <v>456</v>
      </c>
    </row>
    <row r="9652" spans="1:3">
      <c r="A9652" s="250">
        <v>24167</v>
      </c>
      <c r="B9652" s="74" t="s">
        <v>6303</v>
      </c>
      <c r="C9652" s="74" t="s">
        <v>456</v>
      </c>
    </row>
    <row r="9653" spans="1:3">
      <c r="A9653" s="250">
        <v>24168</v>
      </c>
      <c r="B9653" s="74" t="s">
        <v>6304</v>
      </c>
      <c r="C9653" s="74" t="s">
        <v>456</v>
      </c>
    </row>
    <row r="9654" spans="1:3">
      <c r="A9654" s="250">
        <v>24171</v>
      </c>
      <c r="B9654" s="74" t="s">
        <v>6305</v>
      </c>
      <c r="C9654" s="74" t="s">
        <v>456</v>
      </c>
    </row>
    <row r="9655" spans="1:3">
      <c r="A9655" s="250">
        <v>24174</v>
      </c>
      <c r="B9655" s="74" t="s">
        <v>6306</v>
      </c>
      <c r="C9655" s="74" t="s">
        <v>456</v>
      </c>
    </row>
    <row r="9656" spans="1:3">
      <c r="A9656" s="250">
        <v>24175</v>
      </c>
      <c r="B9656" s="74" t="s">
        <v>4339</v>
      </c>
      <c r="C9656" s="74" t="s">
        <v>456</v>
      </c>
    </row>
    <row r="9657" spans="1:3">
      <c r="A9657" s="250">
        <v>24176</v>
      </c>
      <c r="B9657" s="74" t="s">
        <v>6307</v>
      </c>
      <c r="C9657" s="74" t="s">
        <v>456</v>
      </c>
    </row>
    <row r="9658" spans="1:3">
      <c r="A9658" s="250">
        <v>24177</v>
      </c>
      <c r="B9658" s="74" t="s">
        <v>6308</v>
      </c>
      <c r="C9658" s="74" t="s">
        <v>456</v>
      </c>
    </row>
    <row r="9659" spans="1:3">
      <c r="A9659" s="250">
        <v>24178</v>
      </c>
      <c r="B9659" s="74" t="s">
        <v>6309</v>
      </c>
      <c r="C9659" s="74" t="s">
        <v>456</v>
      </c>
    </row>
    <row r="9660" spans="1:3">
      <c r="A9660" s="250">
        <v>24179</v>
      </c>
      <c r="B9660" s="74" t="s">
        <v>6310</v>
      </c>
      <c r="C9660" s="74" t="s">
        <v>456</v>
      </c>
    </row>
    <row r="9661" spans="1:3">
      <c r="A9661" s="250">
        <v>24184</v>
      </c>
      <c r="B9661" s="74" t="s">
        <v>6311</v>
      </c>
      <c r="C9661" s="74" t="s">
        <v>456</v>
      </c>
    </row>
    <row r="9662" spans="1:3">
      <c r="A9662" s="250">
        <v>24185</v>
      </c>
      <c r="B9662" s="74" t="s">
        <v>6312</v>
      </c>
      <c r="C9662" s="74" t="s">
        <v>456</v>
      </c>
    </row>
    <row r="9663" spans="1:3">
      <c r="A9663" s="250">
        <v>24201</v>
      </c>
      <c r="B9663" s="74" t="s">
        <v>1098</v>
      </c>
      <c r="C9663" s="74" t="s">
        <v>456</v>
      </c>
    </row>
    <row r="9664" spans="1:3">
      <c r="A9664" s="250">
        <v>24202</v>
      </c>
      <c r="B9664" s="74" t="s">
        <v>1098</v>
      </c>
      <c r="C9664" s="74" t="s">
        <v>456</v>
      </c>
    </row>
    <row r="9665" spans="1:3">
      <c r="A9665" s="250">
        <v>24203</v>
      </c>
      <c r="B9665" s="74" t="s">
        <v>1098</v>
      </c>
      <c r="C9665" s="74" t="s">
        <v>456</v>
      </c>
    </row>
    <row r="9666" spans="1:3">
      <c r="A9666" s="250">
        <v>24205</v>
      </c>
      <c r="B9666" s="74" t="s">
        <v>1098</v>
      </c>
      <c r="C9666" s="74" t="s">
        <v>456</v>
      </c>
    </row>
    <row r="9667" spans="1:3">
      <c r="A9667" s="250">
        <v>24209</v>
      </c>
      <c r="B9667" s="74" t="s">
        <v>1098</v>
      </c>
      <c r="C9667" s="74" t="s">
        <v>456</v>
      </c>
    </row>
    <row r="9668" spans="1:3">
      <c r="A9668" s="250">
        <v>24210</v>
      </c>
      <c r="B9668" s="74" t="s">
        <v>5650</v>
      </c>
      <c r="C9668" s="74" t="s">
        <v>456</v>
      </c>
    </row>
    <row r="9669" spans="1:3">
      <c r="A9669" s="250">
        <v>24211</v>
      </c>
      <c r="B9669" s="74" t="s">
        <v>5650</v>
      </c>
      <c r="C9669" s="74" t="s">
        <v>456</v>
      </c>
    </row>
    <row r="9670" spans="1:3">
      <c r="A9670" s="250">
        <v>24212</v>
      </c>
      <c r="B9670" s="74" t="s">
        <v>5650</v>
      </c>
      <c r="C9670" s="74" t="s">
        <v>456</v>
      </c>
    </row>
    <row r="9671" spans="1:3">
      <c r="A9671" s="250">
        <v>24215</v>
      </c>
      <c r="B9671" s="74" t="s">
        <v>807</v>
      </c>
      <c r="C9671" s="74" t="s">
        <v>456</v>
      </c>
    </row>
    <row r="9672" spans="1:3">
      <c r="A9672" s="250">
        <v>24216</v>
      </c>
      <c r="B9672" s="74" t="s">
        <v>6313</v>
      </c>
      <c r="C9672" s="74" t="s">
        <v>456</v>
      </c>
    </row>
    <row r="9673" spans="1:3">
      <c r="A9673" s="250">
        <v>24217</v>
      </c>
      <c r="B9673" s="74" t="s">
        <v>6314</v>
      </c>
      <c r="C9673" s="74" t="s">
        <v>456</v>
      </c>
    </row>
    <row r="9674" spans="1:3">
      <c r="A9674" s="250">
        <v>24218</v>
      </c>
      <c r="B9674" s="74" t="s">
        <v>6315</v>
      </c>
      <c r="C9674" s="74" t="s">
        <v>456</v>
      </c>
    </row>
    <row r="9675" spans="1:3">
      <c r="A9675" s="250">
        <v>24219</v>
      </c>
      <c r="B9675" s="74" t="s">
        <v>6316</v>
      </c>
      <c r="C9675" s="74" t="s">
        <v>456</v>
      </c>
    </row>
    <row r="9676" spans="1:3">
      <c r="A9676" s="250">
        <v>24220</v>
      </c>
      <c r="B9676" s="74" t="s">
        <v>6317</v>
      </c>
      <c r="C9676" s="74" t="s">
        <v>456</v>
      </c>
    </row>
    <row r="9677" spans="1:3">
      <c r="A9677" s="250">
        <v>24221</v>
      </c>
      <c r="B9677" s="74" t="s">
        <v>6318</v>
      </c>
      <c r="C9677" s="74" t="s">
        <v>456</v>
      </c>
    </row>
    <row r="9678" spans="1:3">
      <c r="A9678" s="250">
        <v>24224</v>
      </c>
      <c r="B9678" s="74" t="s">
        <v>6319</v>
      </c>
      <c r="C9678" s="74" t="s">
        <v>456</v>
      </c>
    </row>
    <row r="9679" spans="1:3">
      <c r="A9679" s="250">
        <v>24225</v>
      </c>
      <c r="B9679" s="74" t="s">
        <v>3350</v>
      </c>
      <c r="C9679" s="74" t="s">
        <v>456</v>
      </c>
    </row>
    <row r="9680" spans="1:3">
      <c r="A9680" s="250">
        <v>24226</v>
      </c>
      <c r="B9680" s="74" t="s">
        <v>6320</v>
      </c>
      <c r="C9680" s="74" t="s">
        <v>456</v>
      </c>
    </row>
    <row r="9681" spans="1:3">
      <c r="A9681" s="250">
        <v>24228</v>
      </c>
      <c r="B9681" s="74" t="s">
        <v>6321</v>
      </c>
      <c r="C9681" s="74" t="s">
        <v>456</v>
      </c>
    </row>
    <row r="9682" spans="1:3">
      <c r="A9682" s="250">
        <v>24230</v>
      </c>
      <c r="B9682" s="74" t="s">
        <v>6322</v>
      </c>
      <c r="C9682" s="74" t="s">
        <v>456</v>
      </c>
    </row>
    <row r="9683" spans="1:3">
      <c r="A9683" s="250">
        <v>24236</v>
      </c>
      <c r="B9683" s="74" t="s">
        <v>5154</v>
      </c>
      <c r="C9683" s="74" t="s">
        <v>456</v>
      </c>
    </row>
    <row r="9684" spans="1:3">
      <c r="A9684" s="250">
        <v>24237</v>
      </c>
      <c r="B9684" s="74" t="s">
        <v>6323</v>
      </c>
      <c r="C9684" s="74" t="s">
        <v>456</v>
      </c>
    </row>
    <row r="9685" spans="1:3">
      <c r="A9685" s="250">
        <v>24239</v>
      </c>
      <c r="B9685" s="74" t="s">
        <v>3605</v>
      </c>
      <c r="C9685" s="74" t="s">
        <v>456</v>
      </c>
    </row>
    <row r="9686" spans="1:3">
      <c r="A9686" s="250">
        <v>24243</v>
      </c>
      <c r="B9686" s="74" t="s">
        <v>1438</v>
      </c>
      <c r="C9686" s="74" t="s">
        <v>456</v>
      </c>
    </row>
    <row r="9687" spans="1:3">
      <c r="A9687" s="250">
        <v>24244</v>
      </c>
      <c r="B9687" s="74" t="s">
        <v>6324</v>
      </c>
      <c r="C9687" s="74" t="s">
        <v>456</v>
      </c>
    </row>
    <row r="9688" spans="1:3">
      <c r="A9688" s="250">
        <v>24245</v>
      </c>
      <c r="B9688" s="74" t="s">
        <v>6325</v>
      </c>
      <c r="C9688" s="74" t="s">
        <v>456</v>
      </c>
    </row>
    <row r="9689" spans="1:3">
      <c r="A9689" s="250">
        <v>24246</v>
      </c>
      <c r="B9689" s="74" t="s">
        <v>6326</v>
      </c>
      <c r="C9689" s="74" t="s">
        <v>456</v>
      </c>
    </row>
    <row r="9690" spans="1:3">
      <c r="A9690" s="250">
        <v>24248</v>
      </c>
      <c r="B9690" s="74" t="s">
        <v>6327</v>
      </c>
      <c r="C9690" s="74" t="s">
        <v>456</v>
      </c>
    </row>
    <row r="9691" spans="1:3">
      <c r="A9691" s="250">
        <v>24250</v>
      </c>
      <c r="B9691" s="74" t="s">
        <v>6328</v>
      </c>
      <c r="C9691" s="74" t="s">
        <v>456</v>
      </c>
    </row>
    <row r="9692" spans="1:3">
      <c r="A9692" s="250">
        <v>24251</v>
      </c>
      <c r="B9692" s="74" t="s">
        <v>6329</v>
      </c>
      <c r="C9692" s="74" t="s">
        <v>456</v>
      </c>
    </row>
    <row r="9693" spans="1:3">
      <c r="A9693" s="250">
        <v>24256</v>
      </c>
      <c r="B9693" s="74" t="s">
        <v>6330</v>
      </c>
      <c r="C9693" s="74" t="s">
        <v>456</v>
      </c>
    </row>
    <row r="9694" spans="1:3">
      <c r="A9694" s="250">
        <v>24258</v>
      </c>
      <c r="B9694" s="74" t="s">
        <v>6331</v>
      </c>
      <c r="C9694" s="74" t="s">
        <v>456</v>
      </c>
    </row>
    <row r="9695" spans="1:3">
      <c r="A9695" s="250">
        <v>24260</v>
      </c>
      <c r="B9695" s="74" t="s">
        <v>6332</v>
      </c>
      <c r="C9695" s="74" t="s">
        <v>456</v>
      </c>
    </row>
    <row r="9696" spans="1:3">
      <c r="A9696" s="250">
        <v>24263</v>
      </c>
      <c r="B9696" s="74" t="s">
        <v>1819</v>
      </c>
      <c r="C9696" s="74" t="s">
        <v>456</v>
      </c>
    </row>
    <row r="9697" spans="1:3">
      <c r="A9697" s="250">
        <v>24265</v>
      </c>
      <c r="B9697" s="74" t="s">
        <v>6333</v>
      </c>
      <c r="C9697" s="74" t="s">
        <v>456</v>
      </c>
    </row>
    <row r="9698" spans="1:3">
      <c r="A9698" s="250">
        <v>24266</v>
      </c>
      <c r="B9698" s="74" t="s">
        <v>1280</v>
      </c>
      <c r="C9698" s="74" t="s">
        <v>456</v>
      </c>
    </row>
    <row r="9699" spans="1:3">
      <c r="A9699" s="250">
        <v>24269</v>
      </c>
      <c r="B9699" s="74" t="s">
        <v>4955</v>
      </c>
      <c r="C9699" s="74" t="s">
        <v>456</v>
      </c>
    </row>
    <row r="9700" spans="1:3">
      <c r="A9700" s="250">
        <v>24270</v>
      </c>
      <c r="B9700" s="74" t="s">
        <v>6334</v>
      </c>
      <c r="C9700" s="74" t="s">
        <v>456</v>
      </c>
    </row>
    <row r="9701" spans="1:3">
      <c r="A9701" s="250">
        <v>24271</v>
      </c>
      <c r="B9701" s="74" t="s">
        <v>6335</v>
      </c>
      <c r="C9701" s="74" t="s">
        <v>456</v>
      </c>
    </row>
    <row r="9702" spans="1:3">
      <c r="A9702" s="250">
        <v>24272</v>
      </c>
      <c r="B9702" s="74" t="s">
        <v>6336</v>
      </c>
      <c r="C9702" s="74" t="s">
        <v>456</v>
      </c>
    </row>
    <row r="9703" spans="1:3">
      <c r="A9703" s="250">
        <v>24273</v>
      </c>
      <c r="B9703" s="74" t="s">
        <v>1081</v>
      </c>
      <c r="C9703" s="74" t="s">
        <v>456</v>
      </c>
    </row>
    <row r="9704" spans="1:3">
      <c r="A9704" s="250">
        <v>24277</v>
      </c>
      <c r="B9704" s="74" t="s">
        <v>6337</v>
      </c>
      <c r="C9704" s="74" t="s">
        <v>456</v>
      </c>
    </row>
    <row r="9705" spans="1:3">
      <c r="A9705" s="250">
        <v>24279</v>
      </c>
      <c r="B9705" s="74" t="s">
        <v>6338</v>
      </c>
      <c r="C9705" s="74" t="s">
        <v>456</v>
      </c>
    </row>
    <row r="9706" spans="1:3">
      <c r="A9706" s="250">
        <v>24280</v>
      </c>
      <c r="B9706" s="74" t="s">
        <v>2759</v>
      </c>
      <c r="C9706" s="74" t="s">
        <v>456</v>
      </c>
    </row>
    <row r="9707" spans="1:3">
      <c r="A9707" s="250">
        <v>24281</v>
      </c>
      <c r="B9707" s="74" t="s">
        <v>6339</v>
      </c>
      <c r="C9707" s="74" t="s">
        <v>456</v>
      </c>
    </row>
    <row r="9708" spans="1:3">
      <c r="A9708" s="250">
        <v>24282</v>
      </c>
      <c r="B9708" s="74" t="s">
        <v>6340</v>
      </c>
      <c r="C9708" s="74" t="s">
        <v>456</v>
      </c>
    </row>
    <row r="9709" spans="1:3">
      <c r="A9709" s="250">
        <v>24283</v>
      </c>
      <c r="B9709" s="74" t="s">
        <v>6341</v>
      </c>
      <c r="C9709" s="74" t="s">
        <v>456</v>
      </c>
    </row>
    <row r="9710" spans="1:3">
      <c r="A9710" s="250">
        <v>24290</v>
      </c>
      <c r="B9710" s="74" t="s">
        <v>6342</v>
      </c>
      <c r="C9710" s="74" t="s">
        <v>456</v>
      </c>
    </row>
    <row r="9711" spans="1:3">
      <c r="A9711" s="250">
        <v>24292</v>
      </c>
      <c r="B9711" s="74" t="s">
        <v>6343</v>
      </c>
      <c r="C9711" s="74" t="s">
        <v>456</v>
      </c>
    </row>
    <row r="9712" spans="1:3">
      <c r="A9712" s="250">
        <v>24293</v>
      </c>
      <c r="B9712" s="74" t="s">
        <v>6344</v>
      </c>
      <c r="C9712" s="74" t="s">
        <v>456</v>
      </c>
    </row>
    <row r="9713" spans="1:3">
      <c r="A9713" s="250">
        <v>24301</v>
      </c>
      <c r="B9713" s="74" t="s">
        <v>3408</v>
      </c>
      <c r="C9713" s="74" t="s">
        <v>456</v>
      </c>
    </row>
    <row r="9714" spans="1:3">
      <c r="A9714" s="250">
        <v>24311</v>
      </c>
      <c r="B9714" s="74" t="s">
        <v>6345</v>
      </c>
      <c r="C9714" s="74" t="s">
        <v>456</v>
      </c>
    </row>
    <row r="9715" spans="1:3">
      <c r="A9715" s="250">
        <v>24312</v>
      </c>
      <c r="B9715" s="74" t="s">
        <v>6346</v>
      </c>
      <c r="C9715" s="74" t="s">
        <v>456</v>
      </c>
    </row>
    <row r="9716" spans="1:3">
      <c r="A9716" s="250">
        <v>24313</v>
      </c>
      <c r="B9716" s="74" t="s">
        <v>6347</v>
      </c>
      <c r="C9716" s="74" t="s">
        <v>456</v>
      </c>
    </row>
    <row r="9717" spans="1:3">
      <c r="A9717" s="250">
        <v>24314</v>
      </c>
      <c r="B9717" s="74" t="s">
        <v>6348</v>
      </c>
      <c r="C9717" s="74" t="s">
        <v>456</v>
      </c>
    </row>
    <row r="9718" spans="1:3">
      <c r="A9718" s="250">
        <v>24315</v>
      </c>
      <c r="B9718" s="74" t="s">
        <v>6349</v>
      </c>
      <c r="C9718" s="74" t="s">
        <v>456</v>
      </c>
    </row>
    <row r="9719" spans="1:3">
      <c r="A9719" s="250">
        <v>24316</v>
      </c>
      <c r="B9719" s="74" t="s">
        <v>6350</v>
      </c>
      <c r="C9719" s="74" t="s">
        <v>456</v>
      </c>
    </row>
    <row r="9720" spans="1:3">
      <c r="A9720" s="250">
        <v>24317</v>
      </c>
      <c r="B9720" s="74" t="s">
        <v>6351</v>
      </c>
      <c r="C9720" s="74" t="s">
        <v>456</v>
      </c>
    </row>
    <row r="9721" spans="1:3">
      <c r="A9721" s="250">
        <v>24318</v>
      </c>
      <c r="B9721" s="74" t="s">
        <v>3852</v>
      </c>
      <c r="C9721" s="74" t="s">
        <v>456</v>
      </c>
    </row>
    <row r="9722" spans="1:3">
      <c r="A9722" s="250">
        <v>24319</v>
      </c>
      <c r="B9722" s="74" t="s">
        <v>6352</v>
      </c>
      <c r="C9722" s="74" t="s">
        <v>456</v>
      </c>
    </row>
    <row r="9723" spans="1:3">
      <c r="A9723" s="250">
        <v>24322</v>
      </c>
      <c r="B9723" s="74" t="s">
        <v>6353</v>
      </c>
      <c r="C9723" s="74" t="s">
        <v>456</v>
      </c>
    </row>
    <row r="9724" spans="1:3">
      <c r="A9724" s="250">
        <v>24323</v>
      </c>
      <c r="B9724" s="74" t="s">
        <v>6354</v>
      </c>
      <c r="C9724" s="74" t="s">
        <v>456</v>
      </c>
    </row>
    <row r="9725" spans="1:3">
      <c r="A9725" s="250">
        <v>24324</v>
      </c>
      <c r="B9725" s="74" t="s">
        <v>6355</v>
      </c>
      <c r="C9725" s="74" t="s">
        <v>456</v>
      </c>
    </row>
    <row r="9726" spans="1:3">
      <c r="A9726" s="250">
        <v>24325</v>
      </c>
      <c r="B9726" s="74" t="s">
        <v>6356</v>
      </c>
      <c r="C9726" s="74" t="s">
        <v>456</v>
      </c>
    </row>
    <row r="9727" spans="1:3">
      <c r="A9727" s="250">
        <v>24326</v>
      </c>
      <c r="B9727" s="74" t="s">
        <v>6357</v>
      </c>
      <c r="C9727" s="74" t="s">
        <v>456</v>
      </c>
    </row>
    <row r="9728" spans="1:3">
      <c r="A9728" s="250">
        <v>24327</v>
      </c>
      <c r="B9728" s="74" t="s">
        <v>6358</v>
      </c>
      <c r="C9728" s="74" t="s">
        <v>456</v>
      </c>
    </row>
    <row r="9729" spans="1:3">
      <c r="A9729" s="250">
        <v>24328</v>
      </c>
      <c r="B9729" s="74" t="s">
        <v>6359</v>
      </c>
      <c r="C9729" s="74" t="s">
        <v>456</v>
      </c>
    </row>
    <row r="9730" spans="1:3">
      <c r="A9730" s="250">
        <v>24330</v>
      </c>
      <c r="B9730" s="74" t="s">
        <v>6360</v>
      </c>
      <c r="C9730" s="74" t="s">
        <v>456</v>
      </c>
    </row>
    <row r="9731" spans="1:3">
      <c r="A9731" s="250">
        <v>24333</v>
      </c>
      <c r="B9731" s="74" t="s">
        <v>6361</v>
      </c>
      <c r="C9731" s="74" t="s">
        <v>456</v>
      </c>
    </row>
    <row r="9732" spans="1:3">
      <c r="A9732" s="250">
        <v>24340</v>
      </c>
      <c r="B9732" s="74" t="s">
        <v>6362</v>
      </c>
      <c r="C9732" s="74" t="s">
        <v>456</v>
      </c>
    </row>
    <row r="9733" spans="1:3">
      <c r="A9733" s="250">
        <v>24343</v>
      </c>
      <c r="B9733" s="74" t="s">
        <v>4420</v>
      </c>
      <c r="C9733" s="74" t="s">
        <v>456</v>
      </c>
    </row>
    <row r="9734" spans="1:3">
      <c r="A9734" s="250">
        <v>24347</v>
      </c>
      <c r="B9734" s="74" t="s">
        <v>6363</v>
      </c>
      <c r="C9734" s="74" t="s">
        <v>456</v>
      </c>
    </row>
    <row r="9735" spans="1:3">
      <c r="A9735" s="250">
        <v>24348</v>
      </c>
      <c r="B9735" s="74" t="s">
        <v>6364</v>
      </c>
      <c r="C9735" s="74" t="s">
        <v>456</v>
      </c>
    </row>
    <row r="9736" spans="1:3">
      <c r="A9736" s="250">
        <v>24350</v>
      </c>
      <c r="B9736" s="74" t="s">
        <v>6365</v>
      </c>
      <c r="C9736" s="74" t="s">
        <v>456</v>
      </c>
    </row>
    <row r="9737" spans="1:3">
      <c r="A9737" s="250">
        <v>24351</v>
      </c>
      <c r="B9737" s="74" t="s">
        <v>6366</v>
      </c>
      <c r="C9737" s="74" t="s">
        <v>456</v>
      </c>
    </row>
    <row r="9738" spans="1:3">
      <c r="A9738" s="250">
        <v>24352</v>
      </c>
      <c r="B9738" s="74" t="s">
        <v>6367</v>
      </c>
      <c r="C9738" s="74" t="s">
        <v>456</v>
      </c>
    </row>
    <row r="9739" spans="1:3">
      <c r="A9739" s="250">
        <v>24354</v>
      </c>
      <c r="B9739" s="74" t="s">
        <v>1071</v>
      </c>
      <c r="C9739" s="74" t="s">
        <v>456</v>
      </c>
    </row>
    <row r="9740" spans="1:3">
      <c r="A9740" s="250">
        <v>24360</v>
      </c>
      <c r="B9740" s="74" t="s">
        <v>6368</v>
      </c>
      <c r="C9740" s="74" t="s">
        <v>456</v>
      </c>
    </row>
    <row r="9741" spans="1:3">
      <c r="A9741" s="250">
        <v>24361</v>
      </c>
      <c r="B9741" s="74" t="s">
        <v>6369</v>
      </c>
      <c r="C9741" s="74" t="s">
        <v>456</v>
      </c>
    </row>
    <row r="9742" spans="1:3">
      <c r="A9742" s="250">
        <v>24363</v>
      </c>
      <c r="B9742" s="74" t="s">
        <v>6370</v>
      </c>
      <c r="C9742" s="74" t="s">
        <v>456</v>
      </c>
    </row>
    <row r="9743" spans="1:3">
      <c r="A9743" s="250">
        <v>24366</v>
      </c>
      <c r="B9743" s="74" t="s">
        <v>6371</v>
      </c>
      <c r="C9743" s="74" t="s">
        <v>456</v>
      </c>
    </row>
    <row r="9744" spans="1:3">
      <c r="A9744" s="250">
        <v>24368</v>
      </c>
      <c r="B9744" s="74" t="s">
        <v>6372</v>
      </c>
      <c r="C9744" s="74" t="s">
        <v>456</v>
      </c>
    </row>
    <row r="9745" spans="1:3">
      <c r="A9745" s="250">
        <v>24370</v>
      </c>
      <c r="B9745" s="74" t="s">
        <v>6373</v>
      </c>
      <c r="C9745" s="74" t="s">
        <v>456</v>
      </c>
    </row>
    <row r="9746" spans="1:3">
      <c r="A9746" s="250">
        <v>24374</v>
      </c>
      <c r="B9746" s="74" t="s">
        <v>6374</v>
      </c>
      <c r="C9746" s="74" t="s">
        <v>456</v>
      </c>
    </row>
    <row r="9747" spans="1:3">
      <c r="A9747" s="250">
        <v>24375</v>
      </c>
      <c r="B9747" s="74" t="s">
        <v>4493</v>
      </c>
      <c r="C9747" s="74" t="s">
        <v>456</v>
      </c>
    </row>
    <row r="9748" spans="1:3">
      <c r="A9748" s="250">
        <v>24377</v>
      </c>
      <c r="B9748" s="74" t="s">
        <v>3089</v>
      </c>
      <c r="C9748" s="74" t="s">
        <v>456</v>
      </c>
    </row>
    <row r="9749" spans="1:3">
      <c r="A9749" s="250">
        <v>24378</v>
      </c>
      <c r="B9749" s="74" t="s">
        <v>6375</v>
      </c>
      <c r="C9749" s="74" t="s">
        <v>456</v>
      </c>
    </row>
    <row r="9750" spans="1:3">
      <c r="A9750" s="250">
        <v>24380</v>
      </c>
      <c r="B9750" s="74" t="s">
        <v>6376</v>
      </c>
      <c r="C9750" s="74" t="s">
        <v>456</v>
      </c>
    </row>
    <row r="9751" spans="1:3">
      <c r="A9751" s="250">
        <v>24381</v>
      </c>
      <c r="B9751" s="74" t="s">
        <v>6377</v>
      </c>
      <c r="C9751" s="74" t="s">
        <v>456</v>
      </c>
    </row>
    <row r="9752" spans="1:3">
      <c r="A9752" s="250">
        <v>24382</v>
      </c>
      <c r="B9752" s="74" t="s">
        <v>6378</v>
      </c>
      <c r="C9752" s="74" t="s">
        <v>456</v>
      </c>
    </row>
    <row r="9753" spans="1:3">
      <c r="A9753" s="250">
        <v>24401</v>
      </c>
      <c r="B9753" s="74" t="s">
        <v>6379</v>
      </c>
      <c r="C9753" s="74" t="s">
        <v>456</v>
      </c>
    </row>
    <row r="9754" spans="1:3">
      <c r="A9754" s="250">
        <v>24402</v>
      </c>
      <c r="B9754" s="74" t="s">
        <v>6379</v>
      </c>
      <c r="C9754" s="74" t="s">
        <v>456</v>
      </c>
    </row>
    <row r="9755" spans="1:3">
      <c r="A9755" s="250">
        <v>24411</v>
      </c>
      <c r="B9755" s="74" t="s">
        <v>6380</v>
      </c>
      <c r="C9755" s="74" t="s">
        <v>456</v>
      </c>
    </row>
    <row r="9756" spans="1:3">
      <c r="A9756" s="250">
        <v>24412</v>
      </c>
      <c r="B9756" s="74" t="s">
        <v>6381</v>
      </c>
      <c r="C9756" s="74" t="s">
        <v>456</v>
      </c>
    </row>
    <row r="9757" spans="1:3">
      <c r="A9757" s="250">
        <v>24413</v>
      </c>
      <c r="B9757" s="74" t="s">
        <v>6382</v>
      </c>
      <c r="C9757" s="74" t="s">
        <v>456</v>
      </c>
    </row>
    <row r="9758" spans="1:3">
      <c r="A9758" s="250">
        <v>24415</v>
      </c>
      <c r="B9758" s="74" t="s">
        <v>6383</v>
      </c>
      <c r="C9758" s="74" t="s">
        <v>456</v>
      </c>
    </row>
    <row r="9759" spans="1:3">
      <c r="A9759" s="250">
        <v>24416</v>
      </c>
      <c r="B9759" s="74" t="s">
        <v>3967</v>
      </c>
      <c r="C9759" s="74" t="s">
        <v>456</v>
      </c>
    </row>
    <row r="9760" spans="1:3">
      <c r="A9760" s="250">
        <v>24421</v>
      </c>
      <c r="B9760" s="74" t="s">
        <v>3762</v>
      </c>
      <c r="C9760" s="74" t="s">
        <v>456</v>
      </c>
    </row>
    <row r="9761" spans="1:3">
      <c r="A9761" s="250">
        <v>24422</v>
      </c>
      <c r="B9761" s="74" t="s">
        <v>6384</v>
      </c>
      <c r="C9761" s="74" t="s">
        <v>456</v>
      </c>
    </row>
    <row r="9762" spans="1:3">
      <c r="A9762" s="250">
        <v>24426</v>
      </c>
      <c r="B9762" s="74" t="s">
        <v>4668</v>
      </c>
      <c r="C9762" s="74" t="s">
        <v>456</v>
      </c>
    </row>
    <row r="9763" spans="1:3">
      <c r="A9763" s="250">
        <v>24430</v>
      </c>
      <c r="B9763" s="74" t="s">
        <v>6385</v>
      </c>
      <c r="C9763" s="74" t="s">
        <v>456</v>
      </c>
    </row>
    <row r="9764" spans="1:3">
      <c r="A9764" s="250">
        <v>24431</v>
      </c>
      <c r="B9764" s="74" t="s">
        <v>6386</v>
      </c>
      <c r="C9764" s="74" t="s">
        <v>456</v>
      </c>
    </row>
    <row r="9765" spans="1:3">
      <c r="A9765" s="250">
        <v>24432</v>
      </c>
      <c r="B9765" s="74" t="s">
        <v>678</v>
      </c>
      <c r="C9765" s="74" t="s">
        <v>456</v>
      </c>
    </row>
    <row r="9766" spans="1:3">
      <c r="A9766" s="250">
        <v>24433</v>
      </c>
      <c r="B9766" s="74" t="s">
        <v>6387</v>
      </c>
      <c r="C9766" s="74" t="s">
        <v>456</v>
      </c>
    </row>
    <row r="9767" spans="1:3">
      <c r="A9767" s="250">
        <v>24435</v>
      </c>
      <c r="B9767" s="74" t="s">
        <v>1694</v>
      </c>
      <c r="C9767" s="74" t="s">
        <v>456</v>
      </c>
    </row>
    <row r="9768" spans="1:3">
      <c r="A9768" s="250">
        <v>24437</v>
      </c>
      <c r="B9768" s="74" t="s">
        <v>6388</v>
      </c>
      <c r="C9768" s="74" t="s">
        <v>456</v>
      </c>
    </row>
    <row r="9769" spans="1:3">
      <c r="A9769" s="250">
        <v>24438</v>
      </c>
      <c r="B9769" s="74" t="s">
        <v>6389</v>
      </c>
      <c r="C9769" s="74" t="s">
        <v>456</v>
      </c>
    </row>
    <row r="9770" spans="1:3">
      <c r="A9770" s="250">
        <v>24439</v>
      </c>
      <c r="B9770" s="74" t="s">
        <v>592</v>
      </c>
      <c r="C9770" s="74" t="s">
        <v>456</v>
      </c>
    </row>
    <row r="9771" spans="1:3">
      <c r="A9771" s="250">
        <v>24440</v>
      </c>
      <c r="B9771" s="74" t="s">
        <v>1108</v>
      </c>
      <c r="C9771" s="74" t="s">
        <v>456</v>
      </c>
    </row>
    <row r="9772" spans="1:3">
      <c r="A9772" s="250">
        <v>24441</v>
      </c>
      <c r="B9772" s="74" t="s">
        <v>6390</v>
      </c>
      <c r="C9772" s="74" t="s">
        <v>456</v>
      </c>
    </row>
    <row r="9773" spans="1:3">
      <c r="A9773" s="250">
        <v>24442</v>
      </c>
      <c r="B9773" s="74" t="s">
        <v>6391</v>
      </c>
      <c r="C9773" s="74" t="s">
        <v>456</v>
      </c>
    </row>
    <row r="9774" spans="1:3">
      <c r="A9774" s="250">
        <v>24445</v>
      </c>
      <c r="B9774" s="74" t="s">
        <v>6392</v>
      </c>
      <c r="C9774" s="74" t="s">
        <v>456</v>
      </c>
    </row>
    <row r="9775" spans="1:3">
      <c r="A9775" s="250">
        <v>24448</v>
      </c>
      <c r="B9775" s="74" t="s">
        <v>6393</v>
      </c>
      <c r="C9775" s="74" t="s">
        <v>456</v>
      </c>
    </row>
    <row r="9776" spans="1:3">
      <c r="A9776" s="250">
        <v>24450</v>
      </c>
      <c r="B9776" s="74" t="s">
        <v>966</v>
      </c>
      <c r="C9776" s="74" t="s">
        <v>456</v>
      </c>
    </row>
    <row r="9777" spans="1:3">
      <c r="A9777" s="250">
        <v>24457</v>
      </c>
      <c r="B9777" s="74" t="s">
        <v>6394</v>
      </c>
      <c r="C9777" s="74" t="s">
        <v>456</v>
      </c>
    </row>
    <row r="9778" spans="1:3">
      <c r="A9778" s="250">
        <v>24458</v>
      </c>
      <c r="B9778" s="74" t="s">
        <v>6395</v>
      </c>
      <c r="C9778" s="74" t="s">
        <v>456</v>
      </c>
    </row>
    <row r="9779" spans="1:3">
      <c r="A9779" s="250">
        <v>24459</v>
      </c>
      <c r="B9779" s="74" t="s">
        <v>6396</v>
      </c>
      <c r="C9779" s="74" t="s">
        <v>456</v>
      </c>
    </row>
    <row r="9780" spans="1:3">
      <c r="A9780" s="250">
        <v>24460</v>
      </c>
      <c r="B9780" s="74" t="s">
        <v>6397</v>
      </c>
      <c r="C9780" s="74" t="s">
        <v>456</v>
      </c>
    </row>
    <row r="9781" spans="1:3">
      <c r="A9781" s="250">
        <v>24463</v>
      </c>
      <c r="B9781" s="74" t="s">
        <v>6398</v>
      </c>
      <c r="C9781" s="74" t="s">
        <v>456</v>
      </c>
    </row>
    <row r="9782" spans="1:3">
      <c r="A9782" s="250">
        <v>24464</v>
      </c>
      <c r="B9782" s="74" t="s">
        <v>6399</v>
      </c>
      <c r="C9782" s="74" t="s">
        <v>456</v>
      </c>
    </row>
    <row r="9783" spans="1:3">
      <c r="A9783" s="250">
        <v>24465</v>
      </c>
      <c r="B9783" s="74" t="s">
        <v>654</v>
      </c>
      <c r="C9783" s="74" t="s">
        <v>456</v>
      </c>
    </row>
    <row r="9784" spans="1:3">
      <c r="A9784" s="250">
        <v>24467</v>
      </c>
      <c r="B9784" s="74" t="s">
        <v>6400</v>
      </c>
      <c r="C9784" s="74" t="s">
        <v>456</v>
      </c>
    </row>
    <row r="9785" spans="1:3">
      <c r="A9785" s="250">
        <v>24468</v>
      </c>
      <c r="B9785" s="74" t="s">
        <v>6401</v>
      </c>
      <c r="C9785" s="74" t="s">
        <v>456</v>
      </c>
    </row>
    <row r="9786" spans="1:3">
      <c r="A9786" s="250">
        <v>24469</v>
      </c>
      <c r="B9786" s="74" t="s">
        <v>5282</v>
      </c>
      <c r="C9786" s="74" t="s">
        <v>456</v>
      </c>
    </row>
    <row r="9787" spans="1:3">
      <c r="A9787" s="250">
        <v>24471</v>
      </c>
      <c r="B9787" s="74" t="s">
        <v>2462</v>
      </c>
      <c r="C9787" s="74" t="s">
        <v>456</v>
      </c>
    </row>
    <row r="9788" spans="1:3">
      <c r="A9788" s="250">
        <v>24472</v>
      </c>
      <c r="B9788" s="74" t="s">
        <v>6402</v>
      </c>
      <c r="C9788" s="74" t="s">
        <v>456</v>
      </c>
    </row>
    <row r="9789" spans="1:3">
      <c r="A9789" s="250">
        <v>24473</v>
      </c>
      <c r="B9789" s="74" t="s">
        <v>6403</v>
      </c>
      <c r="C9789" s="74" t="s">
        <v>456</v>
      </c>
    </row>
    <row r="9790" spans="1:3">
      <c r="A9790" s="250">
        <v>24474</v>
      </c>
      <c r="B9790" s="74" t="s">
        <v>6404</v>
      </c>
      <c r="C9790" s="74" t="s">
        <v>456</v>
      </c>
    </row>
    <row r="9791" spans="1:3">
      <c r="A9791" s="250">
        <v>24476</v>
      </c>
      <c r="B9791" s="74" t="s">
        <v>6405</v>
      </c>
      <c r="C9791" s="74" t="s">
        <v>456</v>
      </c>
    </row>
    <row r="9792" spans="1:3">
      <c r="A9792" s="250">
        <v>24477</v>
      </c>
      <c r="B9792" s="74" t="s">
        <v>6406</v>
      </c>
      <c r="C9792" s="74" t="s">
        <v>456</v>
      </c>
    </row>
    <row r="9793" spans="1:3">
      <c r="A9793" s="250">
        <v>24479</v>
      </c>
      <c r="B9793" s="74" t="s">
        <v>6407</v>
      </c>
      <c r="C9793" s="74" t="s">
        <v>456</v>
      </c>
    </row>
    <row r="9794" spans="1:3">
      <c r="A9794" s="250">
        <v>24482</v>
      </c>
      <c r="B9794" s="74" t="s">
        <v>2139</v>
      </c>
      <c r="C9794" s="74" t="s">
        <v>456</v>
      </c>
    </row>
    <row r="9795" spans="1:3">
      <c r="A9795" s="250">
        <v>24483</v>
      </c>
      <c r="B9795" s="74" t="s">
        <v>6408</v>
      </c>
      <c r="C9795" s="74" t="s">
        <v>456</v>
      </c>
    </row>
    <row r="9796" spans="1:3">
      <c r="A9796" s="250">
        <v>24484</v>
      </c>
      <c r="B9796" s="74" t="s">
        <v>6409</v>
      </c>
      <c r="C9796" s="74" t="s">
        <v>456</v>
      </c>
    </row>
    <row r="9797" spans="1:3">
      <c r="A9797" s="250">
        <v>24485</v>
      </c>
      <c r="B9797" s="74" t="s">
        <v>6410</v>
      </c>
      <c r="C9797" s="74" t="s">
        <v>456</v>
      </c>
    </row>
    <row r="9798" spans="1:3">
      <c r="A9798" s="250">
        <v>24486</v>
      </c>
      <c r="B9798" s="74" t="s">
        <v>6411</v>
      </c>
      <c r="C9798" s="74" t="s">
        <v>456</v>
      </c>
    </row>
    <row r="9799" spans="1:3">
      <c r="A9799" s="250">
        <v>24487</v>
      </c>
      <c r="B9799" s="74" t="s">
        <v>1799</v>
      </c>
      <c r="C9799" s="74" t="s">
        <v>456</v>
      </c>
    </row>
    <row r="9800" spans="1:3">
      <c r="A9800" s="250">
        <v>24501</v>
      </c>
      <c r="B9800" s="74" t="s">
        <v>6412</v>
      </c>
      <c r="C9800" s="74" t="s">
        <v>456</v>
      </c>
    </row>
    <row r="9801" spans="1:3">
      <c r="A9801" s="250">
        <v>24502</v>
      </c>
      <c r="B9801" s="74" t="s">
        <v>6412</v>
      </c>
      <c r="C9801" s="74" t="s">
        <v>456</v>
      </c>
    </row>
    <row r="9802" spans="1:3">
      <c r="A9802" s="250">
        <v>24503</v>
      </c>
      <c r="B9802" s="74" t="s">
        <v>6412</v>
      </c>
      <c r="C9802" s="74" t="s">
        <v>456</v>
      </c>
    </row>
    <row r="9803" spans="1:3">
      <c r="A9803" s="250">
        <v>24504</v>
      </c>
      <c r="B9803" s="74" t="s">
        <v>6412</v>
      </c>
      <c r="C9803" s="74" t="s">
        <v>456</v>
      </c>
    </row>
    <row r="9804" spans="1:3">
      <c r="A9804" s="250">
        <v>24505</v>
      </c>
      <c r="B9804" s="74" t="s">
        <v>6412</v>
      </c>
      <c r="C9804" s="74" t="s">
        <v>456</v>
      </c>
    </row>
    <row r="9805" spans="1:3">
      <c r="A9805" s="250">
        <v>24506</v>
      </c>
      <c r="B9805" s="74" t="s">
        <v>6412</v>
      </c>
      <c r="C9805" s="74" t="s">
        <v>456</v>
      </c>
    </row>
    <row r="9806" spans="1:3">
      <c r="A9806" s="250">
        <v>24512</v>
      </c>
      <c r="B9806" s="74" t="s">
        <v>6412</v>
      </c>
      <c r="C9806" s="74" t="s">
        <v>456</v>
      </c>
    </row>
    <row r="9807" spans="1:3">
      <c r="A9807" s="250">
        <v>24513</v>
      </c>
      <c r="B9807" s="74" t="s">
        <v>6412</v>
      </c>
      <c r="C9807" s="74" t="s">
        <v>456</v>
      </c>
    </row>
    <row r="9808" spans="1:3">
      <c r="A9808" s="250">
        <v>24514</v>
      </c>
      <c r="B9808" s="74" t="s">
        <v>6412</v>
      </c>
      <c r="C9808" s="74" t="s">
        <v>456</v>
      </c>
    </row>
    <row r="9809" spans="1:3">
      <c r="A9809" s="250">
        <v>24515</v>
      </c>
      <c r="B9809" s="74" t="s">
        <v>6412</v>
      </c>
      <c r="C9809" s="74" t="s">
        <v>456</v>
      </c>
    </row>
    <row r="9810" spans="1:3">
      <c r="A9810" s="250">
        <v>24517</v>
      </c>
      <c r="B9810" s="74" t="s">
        <v>6413</v>
      </c>
      <c r="C9810" s="74" t="s">
        <v>456</v>
      </c>
    </row>
    <row r="9811" spans="1:3">
      <c r="A9811" s="250">
        <v>24520</v>
      </c>
      <c r="B9811" s="74" t="s">
        <v>1293</v>
      </c>
      <c r="C9811" s="74" t="s">
        <v>456</v>
      </c>
    </row>
    <row r="9812" spans="1:3">
      <c r="A9812" s="250">
        <v>24521</v>
      </c>
      <c r="B9812" s="74" t="s">
        <v>577</v>
      </c>
      <c r="C9812" s="74" t="s">
        <v>456</v>
      </c>
    </row>
    <row r="9813" spans="1:3">
      <c r="A9813" s="250">
        <v>24522</v>
      </c>
      <c r="B9813" s="74" t="s">
        <v>6414</v>
      </c>
      <c r="C9813" s="74" t="s">
        <v>456</v>
      </c>
    </row>
    <row r="9814" spans="1:3">
      <c r="A9814" s="250">
        <v>24523</v>
      </c>
      <c r="B9814" s="74" t="s">
        <v>783</v>
      </c>
      <c r="C9814" s="74" t="s">
        <v>456</v>
      </c>
    </row>
    <row r="9815" spans="1:3">
      <c r="A9815" s="250">
        <v>24526</v>
      </c>
      <c r="B9815" s="74" t="s">
        <v>6415</v>
      </c>
      <c r="C9815" s="74" t="s">
        <v>456</v>
      </c>
    </row>
    <row r="9816" spans="1:3">
      <c r="A9816" s="250">
        <v>24527</v>
      </c>
      <c r="B9816" s="74" t="s">
        <v>6416</v>
      </c>
      <c r="C9816" s="74" t="s">
        <v>456</v>
      </c>
    </row>
    <row r="9817" spans="1:3">
      <c r="A9817" s="250">
        <v>24528</v>
      </c>
      <c r="B9817" s="74" t="s">
        <v>6417</v>
      </c>
      <c r="C9817" s="74" t="s">
        <v>456</v>
      </c>
    </row>
    <row r="9818" spans="1:3">
      <c r="A9818" s="250">
        <v>24529</v>
      </c>
      <c r="B9818" s="74" t="s">
        <v>6418</v>
      </c>
      <c r="C9818" s="74" t="s">
        <v>456</v>
      </c>
    </row>
    <row r="9819" spans="1:3">
      <c r="A9819" s="250">
        <v>24530</v>
      </c>
      <c r="B9819" s="74" t="s">
        <v>6419</v>
      </c>
      <c r="C9819" s="74" t="s">
        <v>456</v>
      </c>
    </row>
    <row r="9820" spans="1:3">
      <c r="A9820" s="250">
        <v>24531</v>
      </c>
      <c r="B9820" s="74" t="s">
        <v>1025</v>
      </c>
      <c r="C9820" s="74" t="s">
        <v>456</v>
      </c>
    </row>
    <row r="9821" spans="1:3">
      <c r="A9821" s="250">
        <v>24533</v>
      </c>
      <c r="B9821" s="74" t="s">
        <v>5153</v>
      </c>
      <c r="C9821" s="74" t="s">
        <v>456</v>
      </c>
    </row>
    <row r="9822" spans="1:3">
      <c r="A9822" s="250">
        <v>24534</v>
      </c>
      <c r="B9822" s="74" t="s">
        <v>6420</v>
      </c>
      <c r="C9822" s="74" t="s">
        <v>456</v>
      </c>
    </row>
    <row r="9823" spans="1:3">
      <c r="A9823" s="250">
        <v>24535</v>
      </c>
      <c r="B9823" s="74" t="s">
        <v>6421</v>
      </c>
      <c r="C9823" s="74" t="s">
        <v>456</v>
      </c>
    </row>
    <row r="9824" spans="1:3">
      <c r="A9824" s="250">
        <v>24536</v>
      </c>
      <c r="B9824" s="74" t="s">
        <v>6422</v>
      </c>
      <c r="C9824" s="74" t="s">
        <v>456</v>
      </c>
    </row>
    <row r="9825" spans="1:3">
      <c r="A9825" s="250">
        <v>24538</v>
      </c>
      <c r="B9825" s="74" t="s">
        <v>787</v>
      </c>
      <c r="C9825" s="74" t="s">
        <v>456</v>
      </c>
    </row>
    <row r="9826" spans="1:3">
      <c r="A9826" s="250">
        <v>24539</v>
      </c>
      <c r="B9826" s="74" t="s">
        <v>6423</v>
      </c>
      <c r="C9826" s="74" t="s">
        <v>456</v>
      </c>
    </row>
    <row r="9827" spans="1:3">
      <c r="A9827" s="250">
        <v>24540</v>
      </c>
      <c r="B9827" s="74" t="s">
        <v>1302</v>
      </c>
      <c r="C9827" s="74" t="s">
        <v>456</v>
      </c>
    </row>
    <row r="9828" spans="1:3">
      <c r="A9828" s="250">
        <v>24541</v>
      </c>
      <c r="B9828" s="74" t="s">
        <v>1302</v>
      </c>
      <c r="C9828" s="74" t="s">
        <v>456</v>
      </c>
    </row>
    <row r="9829" spans="1:3">
      <c r="A9829" s="250">
        <v>24543</v>
      </c>
      <c r="B9829" s="74" t="s">
        <v>1302</v>
      </c>
      <c r="C9829" s="74" t="s">
        <v>456</v>
      </c>
    </row>
    <row r="9830" spans="1:3">
      <c r="A9830" s="250">
        <v>24544</v>
      </c>
      <c r="B9830" s="74" t="s">
        <v>1302</v>
      </c>
      <c r="C9830" s="74" t="s">
        <v>456</v>
      </c>
    </row>
    <row r="9831" spans="1:3">
      <c r="A9831" s="250">
        <v>24549</v>
      </c>
      <c r="B9831" s="74" t="s">
        <v>6424</v>
      </c>
      <c r="C9831" s="74" t="s">
        <v>456</v>
      </c>
    </row>
    <row r="9832" spans="1:3">
      <c r="A9832" s="250">
        <v>24550</v>
      </c>
      <c r="B9832" s="74" t="s">
        <v>6425</v>
      </c>
      <c r="C9832" s="74" t="s">
        <v>456</v>
      </c>
    </row>
    <row r="9833" spans="1:3">
      <c r="A9833" s="250">
        <v>24551</v>
      </c>
      <c r="B9833" s="74" t="s">
        <v>6426</v>
      </c>
      <c r="C9833" s="74" t="s">
        <v>456</v>
      </c>
    </row>
    <row r="9834" spans="1:3">
      <c r="A9834" s="250">
        <v>24553</v>
      </c>
      <c r="B9834" s="74" t="s">
        <v>2345</v>
      </c>
      <c r="C9834" s="74" t="s">
        <v>456</v>
      </c>
    </row>
    <row r="9835" spans="1:3">
      <c r="A9835" s="250">
        <v>24554</v>
      </c>
      <c r="B9835" s="74" t="s">
        <v>6427</v>
      </c>
      <c r="C9835" s="74" t="s">
        <v>456</v>
      </c>
    </row>
    <row r="9836" spans="1:3">
      <c r="A9836" s="250">
        <v>24555</v>
      </c>
      <c r="B9836" s="74" t="s">
        <v>4551</v>
      </c>
      <c r="C9836" s="74" t="s">
        <v>456</v>
      </c>
    </row>
    <row r="9837" spans="1:3">
      <c r="A9837" s="250">
        <v>24556</v>
      </c>
      <c r="B9837" s="74" t="s">
        <v>6428</v>
      </c>
      <c r="C9837" s="74" t="s">
        <v>456</v>
      </c>
    </row>
    <row r="9838" spans="1:3">
      <c r="A9838" s="250">
        <v>24557</v>
      </c>
      <c r="B9838" s="74" t="s">
        <v>6429</v>
      </c>
      <c r="C9838" s="74" t="s">
        <v>456</v>
      </c>
    </row>
    <row r="9839" spans="1:3">
      <c r="A9839" s="250">
        <v>24558</v>
      </c>
      <c r="B9839" s="74" t="s">
        <v>943</v>
      </c>
      <c r="C9839" s="74" t="s">
        <v>456</v>
      </c>
    </row>
    <row r="9840" spans="1:3">
      <c r="A9840" s="250">
        <v>24562</v>
      </c>
      <c r="B9840" s="74" t="s">
        <v>6430</v>
      </c>
      <c r="C9840" s="74" t="s">
        <v>456</v>
      </c>
    </row>
    <row r="9841" spans="1:3">
      <c r="A9841" s="250">
        <v>24563</v>
      </c>
      <c r="B9841" s="74" t="s">
        <v>6431</v>
      </c>
      <c r="C9841" s="74" t="s">
        <v>456</v>
      </c>
    </row>
    <row r="9842" spans="1:3">
      <c r="A9842" s="250">
        <v>24565</v>
      </c>
      <c r="B9842" s="74" t="s">
        <v>6432</v>
      </c>
      <c r="C9842" s="74" t="s">
        <v>456</v>
      </c>
    </row>
    <row r="9843" spans="1:3">
      <c r="A9843" s="250">
        <v>24566</v>
      </c>
      <c r="B9843" s="74" t="s">
        <v>6433</v>
      </c>
      <c r="C9843" s="74" t="s">
        <v>456</v>
      </c>
    </row>
    <row r="9844" spans="1:3">
      <c r="A9844" s="250">
        <v>24569</v>
      </c>
      <c r="B9844" s="74" t="s">
        <v>1394</v>
      </c>
      <c r="C9844" s="74" t="s">
        <v>456</v>
      </c>
    </row>
    <row r="9845" spans="1:3">
      <c r="A9845" s="250">
        <v>24570</v>
      </c>
      <c r="B9845" s="74" t="s">
        <v>6434</v>
      </c>
      <c r="C9845" s="74" t="s">
        <v>456</v>
      </c>
    </row>
    <row r="9846" spans="1:3">
      <c r="A9846" s="250">
        <v>24571</v>
      </c>
      <c r="B9846" s="74" t="s">
        <v>6435</v>
      </c>
      <c r="C9846" s="74" t="s">
        <v>456</v>
      </c>
    </row>
    <row r="9847" spans="1:3">
      <c r="A9847" s="250">
        <v>24572</v>
      </c>
      <c r="B9847" s="74" t="s">
        <v>6436</v>
      </c>
      <c r="C9847" s="74" t="s">
        <v>456</v>
      </c>
    </row>
    <row r="9848" spans="1:3">
      <c r="A9848" s="250">
        <v>24574</v>
      </c>
      <c r="B9848" s="74" t="s">
        <v>1284</v>
      </c>
      <c r="C9848" s="74" t="s">
        <v>456</v>
      </c>
    </row>
    <row r="9849" spans="1:3">
      <c r="A9849" s="250">
        <v>24576</v>
      </c>
      <c r="B9849" s="74" t="s">
        <v>6437</v>
      </c>
      <c r="C9849" s="74" t="s">
        <v>456</v>
      </c>
    </row>
    <row r="9850" spans="1:3">
      <c r="A9850" s="250">
        <v>24577</v>
      </c>
      <c r="B9850" s="74" t="s">
        <v>6438</v>
      </c>
      <c r="C9850" s="74" t="s">
        <v>456</v>
      </c>
    </row>
    <row r="9851" spans="1:3">
      <c r="A9851" s="250">
        <v>24578</v>
      </c>
      <c r="B9851" s="74" t="s">
        <v>3566</v>
      </c>
      <c r="C9851" s="74" t="s">
        <v>456</v>
      </c>
    </row>
    <row r="9852" spans="1:3">
      <c r="A9852" s="250">
        <v>24579</v>
      </c>
      <c r="B9852" s="74" t="s">
        <v>6439</v>
      </c>
      <c r="C9852" s="74" t="s">
        <v>456</v>
      </c>
    </row>
    <row r="9853" spans="1:3">
      <c r="A9853" s="250">
        <v>24580</v>
      </c>
      <c r="B9853" s="74" t="s">
        <v>1238</v>
      </c>
      <c r="C9853" s="74" t="s">
        <v>456</v>
      </c>
    </row>
    <row r="9854" spans="1:3">
      <c r="A9854" s="250">
        <v>24581</v>
      </c>
      <c r="B9854" s="74" t="s">
        <v>890</v>
      </c>
      <c r="C9854" s="74" t="s">
        <v>456</v>
      </c>
    </row>
    <row r="9855" spans="1:3">
      <c r="A9855" s="250">
        <v>24586</v>
      </c>
      <c r="B9855" s="74" t="s">
        <v>4301</v>
      </c>
      <c r="C9855" s="74" t="s">
        <v>456</v>
      </c>
    </row>
    <row r="9856" spans="1:3">
      <c r="A9856" s="250">
        <v>24588</v>
      </c>
      <c r="B9856" s="74" t="s">
        <v>6440</v>
      </c>
      <c r="C9856" s="74" t="s">
        <v>456</v>
      </c>
    </row>
    <row r="9857" spans="1:3">
      <c r="A9857" s="250">
        <v>24589</v>
      </c>
      <c r="B9857" s="74" t="s">
        <v>3818</v>
      </c>
      <c r="C9857" s="74" t="s">
        <v>456</v>
      </c>
    </row>
    <row r="9858" spans="1:3">
      <c r="A9858" s="250">
        <v>24590</v>
      </c>
      <c r="B9858" s="74" t="s">
        <v>3819</v>
      </c>
      <c r="C9858" s="74" t="s">
        <v>456</v>
      </c>
    </row>
    <row r="9859" spans="1:3">
      <c r="A9859" s="250">
        <v>24592</v>
      </c>
      <c r="B9859" s="74" t="s">
        <v>6441</v>
      </c>
      <c r="C9859" s="74" t="s">
        <v>456</v>
      </c>
    </row>
    <row r="9860" spans="1:3">
      <c r="A9860" s="250">
        <v>24593</v>
      </c>
      <c r="B9860" s="74" t="s">
        <v>6442</v>
      </c>
      <c r="C9860" s="74" t="s">
        <v>456</v>
      </c>
    </row>
    <row r="9861" spans="1:3">
      <c r="A9861" s="250">
        <v>24594</v>
      </c>
      <c r="B9861" s="74" t="s">
        <v>6443</v>
      </c>
      <c r="C9861" s="74" t="s">
        <v>456</v>
      </c>
    </row>
    <row r="9862" spans="1:3">
      <c r="A9862" s="250">
        <v>24595</v>
      </c>
      <c r="B9862" s="74" t="s">
        <v>6444</v>
      </c>
      <c r="C9862" s="74" t="s">
        <v>456</v>
      </c>
    </row>
    <row r="9863" spans="1:3">
      <c r="A9863" s="250">
        <v>24597</v>
      </c>
      <c r="B9863" s="74" t="s">
        <v>6445</v>
      </c>
      <c r="C9863" s="74" t="s">
        <v>456</v>
      </c>
    </row>
    <row r="9864" spans="1:3">
      <c r="A9864" s="250">
        <v>24598</v>
      </c>
      <c r="B9864" s="74" t="s">
        <v>6446</v>
      </c>
      <c r="C9864" s="74" t="s">
        <v>456</v>
      </c>
    </row>
    <row r="9865" spans="1:3">
      <c r="A9865" s="250">
        <v>24599</v>
      </c>
      <c r="B9865" s="74" t="s">
        <v>6447</v>
      </c>
      <c r="C9865" s="74" t="s">
        <v>456</v>
      </c>
    </row>
    <row r="9866" spans="1:3">
      <c r="A9866" s="250">
        <v>24601</v>
      </c>
      <c r="B9866" s="74" t="s">
        <v>6448</v>
      </c>
      <c r="C9866" s="74" t="s">
        <v>456</v>
      </c>
    </row>
    <row r="9867" spans="1:3">
      <c r="A9867" s="250">
        <v>24602</v>
      </c>
      <c r="B9867" s="74" t="s">
        <v>6449</v>
      </c>
      <c r="C9867" s="74" t="s">
        <v>456</v>
      </c>
    </row>
    <row r="9868" spans="1:3">
      <c r="A9868" s="250">
        <v>24603</v>
      </c>
      <c r="B9868" s="74" t="s">
        <v>6450</v>
      </c>
      <c r="C9868" s="74" t="s">
        <v>456</v>
      </c>
    </row>
    <row r="9869" spans="1:3">
      <c r="A9869" s="250">
        <v>24604</v>
      </c>
      <c r="B9869" s="74" t="s">
        <v>6451</v>
      </c>
      <c r="C9869" s="74" t="s">
        <v>456</v>
      </c>
    </row>
    <row r="9870" spans="1:3">
      <c r="A9870" s="250">
        <v>24605</v>
      </c>
      <c r="B9870" s="74" t="s">
        <v>6452</v>
      </c>
      <c r="C9870" s="74" t="s">
        <v>456</v>
      </c>
    </row>
    <row r="9871" spans="1:3">
      <c r="A9871" s="250">
        <v>24606</v>
      </c>
      <c r="B9871" s="74" t="s">
        <v>6453</v>
      </c>
      <c r="C9871" s="74" t="s">
        <v>456</v>
      </c>
    </row>
    <row r="9872" spans="1:3">
      <c r="A9872" s="250">
        <v>24607</v>
      </c>
      <c r="B9872" s="74" t="s">
        <v>6454</v>
      </c>
      <c r="C9872" s="74" t="s">
        <v>456</v>
      </c>
    </row>
    <row r="9873" spans="1:3">
      <c r="A9873" s="250">
        <v>24608</v>
      </c>
      <c r="B9873" s="74" t="s">
        <v>6455</v>
      </c>
      <c r="C9873" s="74" t="s">
        <v>456</v>
      </c>
    </row>
    <row r="9874" spans="1:3">
      <c r="A9874" s="250">
        <v>24609</v>
      </c>
      <c r="B9874" s="74" t="s">
        <v>6456</v>
      </c>
      <c r="C9874" s="74" t="s">
        <v>456</v>
      </c>
    </row>
    <row r="9875" spans="1:3">
      <c r="A9875" s="250">
        <v>24612</v>
      </c>
      <c r="B9875" s="74" t="s">
        <v>6457</v>
      </c>
      <c r="C9875" s="74" t="s">
        <v>456</v>
      </c>
    </row>
    <row r="9876" spans="1:3">
      <c r="A9876" s="250">
        <v>24613</v>
      </c>
      <c r="B9876" s="74" t="s">
        <v>6458</v>
      </c>
      <c r="C9876" s="74" t="s">
        <v>456</v>
      </c>
    </row>
    <row r="9877" spans="1:3">
      <c r="A9877" s="250">
        <v>24614</v>
      </c>
      <c r="B9877" s="74" t="s">
        <v>6459</v>
      </c>
      <c r="C9877" s="74" t="s">
        <v>456</v>
      </c>
    </row>
    <row r="9878" spans="1:3">
      <c r="A9878" s="250">
        <v>24619</v>
      </c>
      <c r="B9878" s="74" t="s">
        <v>6460</v>
      </c>
      <c r="C9878" s="74" t="s">
        <v>456</v>
      </c>
    </row>
    <row r="9879" spans="1:3">
      <c r="A9879" s="250">
        <v>24620</v>
      </c>
      <c r="B9879" s="74" t="s">
        <v>3057</v>
      </c>
      <c r="C9879" s="74" t="s">
        <v>456</v>
      </c>
    </row>
    <row r="9880" spans="1:3">
      <c r="A9880" s="250">
        <v>24622</v>
      </c>
      <c r="B9880" s="74" t="s">
        <v>6461</v>
      </c>
      <c r="C9880" s="74" t="s">
        <v>456</v>
      </c>
    </row>
    <row r="9881" spans="1:3">
      <c r="A9881" s="250">
        <v>24624</v>
      </c>
      <c r="B9881" s="74" t="s">
        <v>6462</v>
      </c>
      <c r="C9881" s="74" t="s">
        <v>456</v>
      </c>
    </row>
    <row r="9882" spans="1:3">
      <c r="A9882" s="250">
        <v>24627</v>
      </c>
      <c r="B9882" s="74" t="s">
        <v>6463</v>
      </c>
      <c r="C9882" s="74" t="s">
        <v>456</v>
      </c>
    </row>
    <row r="9883" spans="1:3">
      <c r="A9883" s="250">
        <v>24628</v>
      </c>
      <c r="B9883" s="74" t="s">
        <v>6464</v>
      </c>
      <c r="C9883" s="74" t="s">
        <v>456</v>
      </c>
    </row>
    <row r="9884" spans="1:3">
      <c r="A9884" s="250">
        <v>24630</v>
      </c>
      <c r="B9884" s="74" t="s">
        <v>6465</v>
      </c>
      <c r="C9884" s="74" t="s">
        <v>456</v>
      </c>
    </row>
    <row r="9885" spans="1:3">
      <c r="A9885" s="250">
        <v>24631</v>
      </c>
      <c r="B9885" s="74" t="s">
        <v>6466</v>
      </c>
      <c r="C9885" s="74" t="s">
        <v>456</v>
      </c>
    </row>
    <row r="9886" spans="1:3">
      <c r="A9886" s="250">
        <v>24634</v>
      </c>
      <c r="B9886" s="74" t="s">
        <v>6467</v>
      </c>
      <c r="C9886" s="74" t="s">
        <v>456</v>
      </c>
    </row>
    <row r="9887" spans="1:3">
      <c r="A9887" s="250">
        <v>24635</v>
      </c>
      <c r="B9887" s="74" t="s">
        <v>6468</v>
      </c>
      <c r="C9887" s="74" t="s">
        <v>456</v>
      </c>
    </row>
    <row r="9888" spans="1:3">
      <c r="A9888" s="250">
        <v>24637</v>
      </c>
      <c r="B9888" s="74" t="s">
        <v>6469</v>
      </c>
      <c r="C9888" s="74" t="s">
        <v>456</v>
      </c>
    </row>
    <row r="9889" spans="1:3">
      <c r="A9889" s="250">
        <v>24639</v>
      </c>
      <c r="B9889" s="74" t="s">
        <v>6470</v>
      </c>
      <c r="C9889" s="74" t="s">
        <v>456</v>
      </c>
    </row>
    <row r="9890" spans="1:3">
      <c r="A9890" s="250">
        <v>24640</v>
      </c>
      <c r="B9890" s="74" t="s">
        <v>6471</v>
      </c>
      <c r="C9890" s="74" t="s">
        <v>456</v>
      </c>
    </row>
    <row r="9891" spans="1:3">
      <c r="A9891" s="250">
        <v>24641</v>
      </c>
      <c r="B9891" s="74" t="s">
        <v>6472</v>
      </c>
      <c r="C9891" s="74" t="s">
        <v>456</v>
      </c>
    </row>
    <row r="9892" spans="1:3">
      <c r="A9892" s="250">
        <v>24646</v>
      </c>
      <c r="B9892" s="74" t="s">
        <v>691</v>
      </c>
      <c r="C9892" s="74" t="s">
        <v>456</v>
      </c>
    </row>
    <row r="9893" spans="1:3">
      <c r="A9893" s="250">
        <v>24647</v>
      </c>
      <c r="B9893" s="74" t="s">
        <v>6473</v>
      </c>
      <c r="C9893" s="74" t="s">
        <v>456</v>
      </c>
    </row>
    <row r="9894" spans="1:3">
      <c r="A9894" s="250">
        <v>24649</v>
      </c>
      <c r="B9894" s="74" t="s">
        <v>6474</v>
      </c>
      <c r="C9894" s="74" t="s">
        <v>456</v>
      </c>
    </row>
    <row r="9895" spans="1:3">
      <c r="A9895" s="250">
        <v>24651</v>
      </c>
      <c r="B9895" s="74" t="s">
        <v>6475</v>
      </c>
      <c r="C9895" s="74" t="s">
        <v>456</v>
      </c>
    </row>
    <row r="9896" spans="1:3">
      <c r="A9896" s="250">
        <v>24656</v>
      </c>
      <c r="B9896" s="74" t="s">
        <v>6476</v>
      </c>
      <c r="C9896" s="74" t="s">
        <v>456</v>
      </c>
    </row>
    <row r="9897" spans="1:3">
      <c r="A9897" s="250">
        <v>24657</v>
      </c>
      <c r="B9897" s="74" t="s">
        <v>6477</v>
      </c>
      <c r="C9897" s="74" t="s">
        <v>456</v>
      </c>
    </row>
    <row r="9898" spans="1:3">
      <c r="A9898" s="250">
        <v>24658</v>
      </c>
      <c r="B9898" s="74" t="s">
        <v>6478</v>
      </c>
      <c r="C9898" s="74" t="s">
        <v>456</v>
      </c>
    </row>
    <row r="9899" spans="1:3">
      <c r="A9899" s="250">
        <v>24701</v>
      </c>
      <c r="B9899" s="74" t="s">
        <v>6452</v>
      </c>
      <c r="C9899" s="74" t="s">
        <v>458</v>
      </c>
    </row>
    <row r="9900" spans="1:3">
      <c r="A9900" s="250">
        <v>24712</v>
      </c>
      <c r="B9900" s="74" t="s">
        <v>1678</v>
      </c>
      <c r="C9900" s="74" t="s">
        <v>458</v>
      </c>
    </row>
    <row r="9901" spans="1:3">
      <c r="A9901" s="250">
        <v>24714</v>
      </c>
      <c r="B9901" s="74" t="s">
        <v>6479</v>
      </c>
      <c r="C9901" s="74" t="s">
        <v>458</v>
      </c>
    </row>
    <row r="9902" spans="1:3">
      <c r="A9902" s="250">
        <v>24715</v>
      </c>
      <c r="B9902" s="74" t="s">
        <v>6480</v>
      </c>
      <c r="C9902" s="74" t="s">
        <v>458</v>
      </c>
    </row>
    <row r="9903" spans="1:3">
      <c r="A9903" s="250">
        <v>24716</v>
      </c>
      <c r="B9903" s="74" t="s">
        <v>6481</v>
      </c>
      <c r="C9903" s="74" t="s">
        <v>458</v>
      </c>
    </row>
    <row r="9904" spans="1:3">
      <c r="A9904" s="250">
        <v>24719</v>
      </c>
      <c r="B9904" s="74" t="s">
        <v>6482</v>
      </c>
      <c r="C9904" s="74" t="s">
        <v>458</v>
      </c>
    </row>
    <row r="9905" spans="1:3">
      <c r="A9905" s="250">
        <v>24724</v>
      </c>
      <c r="B9905" s="74" t="s">
        <v>6204</v>
      </c>
      <c r="C9905" s="74" t="s">
        <v>458</v>
      </c>
    </row>
    <row r="9906" spans="1:3">
      <c r="A9906" s="250">
        <v>24726</v>
      </c>
      <c r="B9906" s="74" t="s">
        <v>4945</v>
      </c>
      <c r="C9906" s="74" t="s">
        <v>458</v>
      </c>
    </row>
    <row r="9907" spans="1:3">
      <c r="A9907" s="250">
        <v>24729</v>
      </c>
      <c r="B9907" s="74" t="s">
        <v>6483</v>
      </c>
      <c r="C9907" s="74" t="s">
        <v>458</v>
      </c>
    </row>
    <row r="9908" spans="1:3">
      <c r="A9908" s="250">
        <v>24731</v>
      </c>
      <c r="B9908" s="74" t="s">
        <v>6484</v>
      </c>
      <c r="C9908" s="74" t="s">
        <v>458</v>
      </c>
    </row>
    <row r="9909" spans="1:3">
      <c r="A9909" s="250">
        <v>24732</v>
      </c>
      <c r="B9909" s="74" t="s">
        <v>6485</v>
      </c>
      <c r="C9909" s="74" t="s">
        <v>458</v>
      </c>
    </row>
    <row r="9910" spans="1:3">
      <c r="A9910" s="250">
        <v>24733</v>
      </c>
      <c r="B9910" s="74" t="s">
        <v>6486</v>
      </c>
      <c r="C9910" s="74" t="s">
        <v>458</v>
      </c>
    </row>
    <row r="9911" spans="1:3">
      <c r="A9911" s="250">
        <v>24736</v>
      </c>
      <c r="B9911" s="74" t="s">
        <v>6487</v>
      </c>
      <c r="C9911" s="74" t="s">
        <v>458</v>
      </c>
    </row>
    <row r="9912" spans="1:3">
      <c r="A9912" s="250">
        <v>24737</v>
      </c>
      <c r="B9912" s="74" t="s">
        <v>6488</v>
      </c>
      <c r="C9912" s="74" t="s">
        <v>458</v>
      </c>
    </row>
    <row r="9913" spans="1:3">
      <c r="A9913" s="250">
        <v>24738</v>
      </c>
      <c r="B9913" s="74" t="s">
        <v>6489</v>
      </c>
      <c r="C9913" s="74" t="s">
        <v>458</v>
      </c>
    </row>
    <row r="9914" spans="1:3">
      <c r="A9914" s="250">
        <v>24739</v>
      </c>
      <c r="B9914" s="74" t="s">
        <v>755</v>
      </c>
      <c r="C9914" s="74" t="s">
        <v>458</v>
      </c>
    </row>
    <row r="9915" spans="1:3">
      <c r="A9915" s="250">
        <v>24740</v>
      </c>
      <c r="B9915" s="74" t="s">
        <v>755</v>
      </c>
      <c r="C9915" s="74" t="s">
        <v>458</v>
      </c>
    </row>
    <row r="9916" spans="1:3">
      <c r="A9916" s="250">
        <v>24747</v>
      </c>
      <c r="B9916" s="74" t="s">
        <v>6490</v>
      </c>
      <c r="C9916" s="74" t="s">
        <v>458</v>
      </c>
    </row>
    <row r="9917" spans="1:3">
      <c r="A9917" s="250">
        <v>24751</v>
      </c>
      <c r="B9917" s="74" t="s">
        <v>6491</v>
      </c>
      <c r="C9917" s="74" t="s">
        <v>458</v>
      </c>
    </row>
    <row r="9918" spans="1:3">
      <c r="A9918" s="250">
        <v>24801</v>
      </c>
      <c r="B9918" s="74" t="s">
        <v>6492</v>
      </c>
      <c r="C9918" s="74" t="s">
        <v>458</v>
      </c>
    </row>
    <row r="9919" spans="1:3">
      <c r="A9919" s="250">
        <v>24808</v>
      </c>
      <c r="B9919" s="74" t="s">
        <v>6493</v>
      </c>
      <c r="C9919" s="74" t="s">
        <v>458</v>
      </c>
    </row>
    <row r="9920" spans="1:3">
      <c r="A9920" s="250">
        <v>24811</v>
      </c>
      <c r="B9920" s="74" t="s">
        <v>5368</v>
      </c>
      <c r="C9920" s="74" t="s">
        <v>458</v>
      </c>
    </row>
    <row r="9921" spans="1:3">
      <c r="A9921" s="250">
        <v>24813</v>
      </c>
      <c r="B9921" s="74" t="s">
        <v>6494</v>
      </c>
      <c r="C9921" s="74" t="s">
        <v>458</v>
      </c>
    </row>
    <row r="9922" spans="1:3">
      <c r="A9922" s="250">
        <v>24815</v>
      </c>
      <c r="B9922" s="74" t="s">
        <v>6495</v>
      </c>
      <c r="C9922" s="74" t="s">
        <v>458</v>
      </c>
    </row>
    <row r="9923" spans="1:3">
      <c r="A9923" s="250">
        <v>24816</v>
      </c>
      <c r="B9923" s="74" t="s">
        <v>6496</v>
      </c>
      <c r="C9923" s="74" t="s">
        <v>458</v>
      </c>
    </row>
    <row r="9924" spans="1:3">
      <c r="A9924" s="250">
        <v>24817</v>
      </c>
      <c r="B9924" s="74" t="s">
        <v>6497</v>
      </c>
      <c r="C9924" s="74" t="s">
        <v>458</v>
      </c>
    </row>
    <row r="9925" spans="1:3">
      <c r="A9925" s="250">
        <v>24818</v>
      </c>
      <c r="B9925" s="74" t="s">
        <v>6498</v>
      </c>
      <c r="C9925" s="74" t="s">
        <v>458</v>
      </c>
    </row>
    <row r="9926" spans="1:3">
      <c r="A9926" s="250">
        <v>24822</v>
      </c>
      <c r="B9926" s="74" t="s">
        <v>6499</v>
      </c>
      <c r="C9926" s="74" t="s">
        <v>458</v>
      </c>
    </row>
    <row r="9927" spans="1:3">
      <c r="A9927" s="250">
        <v>24823</v>
      </c>
      <c r="B9927" s="74" t="s">
        <v>6500</v>
      </c>
      <c r="C9927" s="74" t="s">
        <v>458</v>
      </c>
    </row>
    <row r="9928" spans="1:3">
      <c r="A9928" s="250">
        <v>24826</v>
      </c>
      <c r="B9928" s="74" t="s">
        <v>6501</v>
      </c>
      <c r="C9928" s="74" t="s">
        <v>458</v>
      </c>
    </row>
    <row r="9929" spans="1:3">
      <c r="A9929" s="250">
        <v>24827</v>
      </c>
      <c r="B9929" s="74" t="s">
        <v>4590</v>
      </c>
      <c r="C9929" s="74" t="s">
        <v>458</v>
      </c>
    </row>
    <row r="9930" spans="1:3">
      <c r="A9930" s="250">
        <v>24828</v>
      </c>
      <c r="B9930" s="74" t="s">
        <v>6502</v>
      </c>
      <c r="C9930" s="74" t="s">
        <v>458</v>
      </c>
    </row>
    <row r="9931" spans="1:3">
      <c r="A9931" s="250">
        <v>24829</v>
      </c>
      <c r="B9931" s="74" t="s">
        <v>6503</v>
      </c>
      <c r="C9931" s="74" t="s">
        <v>458</v>
      </c>
    </row>
    <row r="9932" spans="1:3">
      <c r="A9932" s="250">
        <v>24830</v>
      </c>
      <c r="B9932" s="74" t="s">
        <v>6504</v>
      </c>
      <c r="C9932" s="74" t="s">
        <v>458</v>
      </c>
    </row>
    <row r="9933" spans="1:3">
      <c r="A9933" s="250">
        <v>24831</v>
      </c>
      <c r="B9933" s="74" t="s">
        <v>6505</v>
      </c>
      <c r="C9933" s="74" t="s">
        <v>458</v>
      </c>
    </row>
    <row r="9934" spans="1:3">
      <c r="A9934" s="250">
        <v>24834</v>
      </c>
      <c r="B9934" s="74" t="s">
        <v>6506</v>
      </c>
      <c r="C9934" s="74" t="s">
        <v>458</v>
      </c>
    </row>
    <row r="9935" spans="1:3">
      <c r="A9935" s="250">
        <v>24836</v>
      </c>
      <c r="B9935" s="74" t="s">
        <v>6507</v>
      </c>
      <c r="C9935" s="74" t="s">
        <v>458</v>
      </c>
    </row>
    <row r="9936" spans="1:3">
      <c r="A9936" s="250">
        <v>24839</v>
      </c>
      <c r="B9936" s="74" t="s">
        <v>944</v>
      </c>
      <c r="C9936" s="74" t="s">
        <v>458</v>
      </c>
    </row>
    <row r="9937" spans="1:3">
      <c r="A9937" s="250">
        <v>24842</v>
      </c>
      <c r="B9937" s="74" t="s">
        <v>6508</v>
      </c>
      <c r="C9937" s="74" t="s">
        <v>458</v>
      </c>
    </row>
    <row r="9938" spans="1:3">
      <c r="A9938" s="250">
        <v>24843</v>
      </c>
      <c r="B9938" s="74" t="s">
        <v>6509</v>
      </c>
      <c r="C9938" s="74" t="s">
        <v>458</v>
      </c>
    </row>
    <row r="9939" spans="1:3">
      <c r="A9939" s="250">
        <v>24844</v>
      </c>
      <c r="B9939" s="74" t="s">
        <v>6510</v>
      </c>
      <c r="C9939" s="74" t="s">
        <v>458</v>
      </c>
    </row>
    <row r="9940" spans="1:3">
      <c r="A9940" s="250">
        <v>24845</v>
      </c>
      <c r="B9940" s="74" t="s">
        <v>6511</v>
      </c>
      <c r="C9940" s="74" t="s">
        <v>458</v>
      </c>
    </row>
    <row r="9941" spans="1:3">
      <c r="A9941" s="250">
        <v>24846</v>
      </c>
      <c r="B9941" s="74" t="s">
        <v>6512</v>
      </c>
      <c r="C9941" s="74" t="s">
        <v>458</v>
      </c>
    </row>
    <row r="9942" spans="1:3">
      <c r="A9942" s="250">
        <v>24847</v>
      </c>
      <c r="B9942" s="74" t="s">
        <v>6513</v>
      </c>
      <c r="C9942" s="74" t="s">
        <v>458</v>
      </c>
    </row>
    <row r="9943" spans="1:3">
      <c r="A9943" s="250">
        <v>24848</v>
      </c>
      <c r="B9943" s="74" t="s">
        <v>6514</v>
      </c>
      <c r="C9943" s="74" t="s">
        <v>458</v>
      </c>
    </row>
    <row r="9944" spans="1:3">
      <c r="A9944" s="250">
        <v>24849</v>
      </c>
      <c r="B9944" s="74" t="s">
        <v>6515</v>
      </c>
      <c r="C9944" s="74" t="s">
        <v>458</v>
      </c>
    </row>
    <row r="9945" spans="1:3">
      <c r="A9945" s="250">
        <v>24850</v>
      </c>
      <c r="B9945" s="74" t="s">
        <v>6516</v>
      </c>
      <c r="C9945" s="74" t="s">
        <v>458</v>
      </c>
    </row>
    <row r="9946" spans="1:3">
      <c r="A9946" s="250">
        <v>24851</v>
      </c>
      <c r="B9946" s="74" t="s">
        <v>6517</v>
      </c>
      <c r="C9946" s="74" t="s">
        <v>458</v>
      </c>
    </row>
    <row r="9947" spans="1:3">
      <c r="A9947" s="250">
        <v>24853</v>
      </c>
      <c r="B9947" s="74" t="s">
        <v>6518</v>
      </c>
      <c r="C9947" s="74" t="s">
        <v>458</v>
      </c>
    </row>
    <row r="9948" spans="1:3">
      <c r="A9948" s="250">
        <v>24854</v>
      </c>
      <c r="B9948" s="74" t="s">
        <v>6519</v>
      </c>
      <c r="C9948" s="74" t="s">
        <v>458</v>
      </c>
    </row>
    <row r="9949" spans="1:3">
      <c r="A9949" s="250">
        <v>24855</v>
      </c>
      <c r="B9949" s="74" t="s">
        <v>6520</v>
      </c>
      <c r="C9949" s="74" t="s">
        <v>458</v>
      </c>
    </row>
    <row r="9950" spans="1:3">
      <c r="A9950" s="250">
        <v>24857</v>
      </c>
      <c r="B9950" s="74" t="s">
        <v>6521</v>
      </c>
      <c r="C9950" s="74" t="s">
        <v>458</v>
      </c>
    </row>
    <row r="9951" spans="1:3">
      <c r="A9951" s="250">
        <v>24859</v>
      </c>
      <c r="B9951" s="74" t="s">
        <v>4064</v>
      </c>
      <c r="C9951" s="74" t="s">
        <v>458</v>
      </c>
    </row>
    <row r="9952" spans="1:3">
      <c r="A9952" s="250">
        <v>24860</v>
      </c>
      <c r="B9952" s="74" t="s">
        <v>6522</v>
      </c>
      <c r="C9952" s="74" t="s">
        <v>458</v>
      </c>
    </row>
    <row r="9953" spans="1:3">
      <c r="A9953" s="250">
        <v>24861</v>
      </c>
      <c r="B9953" s="74" t="s">
        <v>6523</v>
      </c>
      <c r="C9953" s="74" t="s">
        <v>458</v>
      </c>
    </row>
    <row r="9954" spans="1:3">
      <c r="A9954" s="250">
        <v>24862</v>
      </c>
      <c r="B9954" s="74" t="s">
        <v>3477</v>
      </c>
      <c r="C9954" s="74" t="s">
        <v>458</v>
      </c>
    </row>
    <row r="9955" spans="1:3">
      <c r="A9955" s="250">
        <v>24866</v>
      </c>
      <c r="B9955" s="74" t="s">
        <v>6524</v>
      </c>
      <c r="C9955" s="74" t="s">
        <v>458</v>
      </c>
    </row>
    <row r="9956" spans="1:3">
      <c r="A9956" s="250">
        <v>24867</v>
      </c>
      <c r="B9956" s="74" t="s">
        <v>6525</v>
      </c>
      <c r="C9956" s="74" t="s">
        <v>458</v>
      </c>
    </row>
    <row r="9957" spans="1:3">
      <c r="A9957" s="250">
        <v>24868</v>
      </c>
      <c r="B9957" s="74" t="s">
        <v>6526</v>
      </c>
      <c r="C9957" s="74" t="s">
        <v>458</v>
      </c>
    </row>
    <row r="9958" spans="1:3">
      <c r="A9958" s="250">
        <v>24869</v>
      </c>
      <c r="B9958" s="74" t="s">
        <v>6527</v>
      </c>
      <c r="C9958" s="74" t="s">
        <v>458</v>
      </c>
    </row>
    <row r="9959" spans="1:3">
      <c r="A9959" s="250">
        <v>24870</v>
      </c>
      <c r="B9959" s="74" t="s">
        <v>6528</v>
      </c>
      <c r="C9959" s="74" t="s">
        <v>458</v>
      </c>
    </row>
    <row r="9960" spans="1:3">
      <c r="A9960" s="250">
        <v>24871</v>
      </c>
      <c r="B9960" s="74" t="s">
        <v>6529</v>
      </c>
      <c r="C9960" s="74" t="s">
        <v>458</v>
      </c>
    </row>
    <row r="9961" spans="1:3">
      <c r="A9961" s="250">
        <v>24872</v>
      </c>
      <c r="B9961" s="74" t="s">
        <v>6530</v>
      </c>
      <c r="C9961" s="74" t="s">
        <v>458</v>
      </c>
    </row>
    <row r="9962" spans="1:3">
      <c r="A9962" s="250">
        <v>24873</v>
      </c>
      <c r="B9962" s="74" t="s">
        <v>6531</v>
      </c>
      <c r="C9962" s="74" t="s">
        <v>458</v>
      </c>
    </row>
    <row r="9963" spans="1:3">
      <c r="A9963" s="250">
        <v>24874</v>
      </c>
      <c r="B9963" s="74" t="s">
        <v>5286</v>
      </c>
      <c r="C9963" s="74" t="s">
        <v>458</v>
      </c>
    </row>
    <row r="9964" spans="1:3">
      <c r="A9964" s="250">
        <v>24878</v>
      </c>
      <c r="B9964" s="74" t="s">
        <v>6532</v>
      </c>
      <c r="C9964" s="74" t="s">
        <v>458</v>
      </c>
    </row>
    <row r="9965" spans="1:3">
      <c r="A9965" s="250">
        <v>24879</v>
      </c>
      <c r="B9965" s="74" t="s">
        <v>6533</v>
      </c>
      <c r="C9965" s="74" t="s">
        <v>458</v>
      </c>
    </row>
    <row r="9966" spans="1:3">
      <c r="A9966" s="250">
        <v>24880</v>
      </c>
      <c r="B9966" s="74" t="s">
        <v>6534</v>
      </c>
      <c r="C9966" s="74" t="s">
        <v>458</v>
      </c>
    </row>
    <row r="9967" spans="1:3">
      <c r="A9967" s="250">
        <v>24881</v>
      </c>
      <c r="B9967" s="74" t="s">
        <v>6535</v>
      </c>
      <c r="C9967" s="74" t="s">
        <v>458</v>
      </c>
    </row>
    <row r="9968" spans="1:3">
      <c r="A9968" s="250">
        <v>24882</v>
      </c>
      <c r="B9968" s="74" t="s">
        <v>6536</v>
      </c>
      <c r="C9968" s="74" t="s">
        <v>458</v>
      </c>
    </row>
    <row r="9969" spans="1:3">
      <c r="A9969" s="250">
        <v>24884</v>
      </c>
      <c r="B9969" s="74" t="s">
        <v>6537</v>
      </c>
      <c r="C9969" s="74" t="s">
        <v>458</v>
      </c>
    </row>
    <row r="9970" spans="1:3">
      <c r="A9970" s="250">
        <v>24887</v>
      </c>
      <c r="B9970" s="74" t="s">
        <v>6538</v>
      </c>
      <c r="C9970" s="74" t="s">
        <v>458</v>
      </c>
    </row>
    <row r="9971" spans="1:3">
      <c r="A9971" s="250">
        <v>24888</v>
      </c>
      <c r="B9971" s="74" t="s">
        <v>6539</v>
      </c>
      <c r="C9971" s="74" t="s">
        <v>458</v>
      </c>
    </row>
    <row r="9972" spans="1:3">
      <c r="A9972" s="250">
        <v>24892</v>
      </c>
      <c r="B9972" s="74" t="s">
        <v>6540</v>
      </c>
      <c r="C9972" s="74" t="s">
        <v>458</v>
      </c>
    </row>
    <row r="9973" spans="1:3">
      <c r="A9973" s="250">
        <v>24894</v>
      </c>
      <c r="B9973" s="74" t="s">
        <v>6541</v>
      </c>
      <c r="C9973" s="74" t="s">
        <v>458</v>
      </c>
    </row>
    <row r="9974" spans="1:3">
      <c r="A9974" s="250">
        <v>24895</v>
      </c>
      <c r="B9974" s="74" t="s">
        <v>6542</v>
      </c>
      <c r="C9974" s="74" t="s">
        <v>458</v>
      </c>
    </row>
    <row r="9975" spans="1:3">
      <c r="A9975" s="250">
        <v>24898</v>
      </c>
      <c r="B9975" s="74" t="s">
        <v>1142</v>
      </c>
      <c r="C9975" s="74" t="s">
        <v>458</v>
      </c>
    </row>
    <row r="9976" spans="1:3">
      <c r="A9976" s="250">
        <v>24901</v>
      </c>
      <c r="B9976" s="74" t="s">
        <v>4952</v>
      </c>
      <c r="C9976" s="74" t="s">
        <v>458</v>
      </c>
    </row>
    <row r="9977" spans="1:3">
      <c r="A9977" s="250">
        <v>24902</v>
      </c>
      <c r="B9977" s="74" t="s">
        <v>6543</v>
      </c>
      <c r="C9977" s="74" t="s">
        <v>458</v>
      </c>
    </row>
    <row r="9978" spans="1:3">
      <c r="A9978" s="250">
        <v>24910</v>
      </c>
      <c r="B9978" s="74" t="s">
        <v>6544</v>
      </c>
      <c r="C9978" s="74" t="s">
        <v>458</v>
      </c>
    </row>
    <row r="9979" spans="1:3">
      <c r="A9979" s="250">
        <v>24915</v>
      </c>
      <c r="B9979" s="74" t="s">
        <v>6545</v>
      </c>
      <c r="C9979" s="74" t="s">
        <v>458</v>
      </c>
    </row>
    <row r="9980" spans="1:3">
      <c r="A9980" s="250">
        <v>24916</v>
      </c>
      <c r="B9980" s="74" t="s">
        <v>2559</v>
      </c>
      <c r="C9980" s="74" t="s">
        <v>458</v>
      </c>
    </row>
    <row r="9981" spans="1:3">
      <c r="A9981" s="250">
        <v>24918</v>
      </c>
      <c r="B9981" s="74" t="s">
        <v>6546</v>
      </c>
      <c r="C9981" s="74" t="s">
        <v>458</v>
      </c>
    </row>
    <row r="9982" spans="1:3">
      <c r="A9982" s="250">
        <v>24920</v>
      </c>
      <c r="B9982" s="74" t="s">
        <v>6547</v>
      </c>
      <c r="C9982" s="74" t="s">
        <v>458</v>
      </c>
    </row>
    <row r="9983" spans="1:3">
      <c r="A9983" s="250">
        <v>24924</v>
      </c>
      <c r="B9983" s="74" t="s">
        <v>6548</v>
      </c>
      <c r="C9983" s="74" t="s">
        <v>458</v>
      </c>
    </row>
    <row r="9984" spans="1:3">
      <c r="A9984" s="250">
        <v>24925</v>
      </c>
      <c r="B9984" s="74" t="s">
        <v>2113</v>
      </c>
      <c r="C9984" s="74" t="s">
        <v>458</v>
      </c>
    </row>
    <row r="9985" spans="1:3">
      <c r="A9985" s="250">
        <v>24927</v>
      </c>
      <c r="B9985" s="74" t="s">
        <v>6549</v>
      </c>
      <c r="C9985" s="74" t="s">
        <v>458</v>
      </c>
    </row>
    <row r="9986" spans="1:3">
      <c r="A9986" s="250">
        <v>24931</v>
      </c>
      <c r="B9986" s="74" t="s">
        <v>6550</v>
      </c>
      <c r="C9986" s="74" t="s">
        <v>458</v>
      </c>
    </row>
    <row r="9987" spans="1:3">
      <c r="A9987" s="250">
        <v>24934</v>
      </c>
      <c r="B9987" s="74" t="s">
        <v>6551</v>
      </c>
      <c r="C9987" s="74" t="s">
        <v>458</v>
      </c>
    </row>
    <row r="9988" spans="1:3">
      <c r="A9988" s="250">
        <v>24935</v>
      </c>
      <c r="B9988" s="74" t="s">
        <v>5666</v>
      </c>
      <c r="C9988" s="74" t="s">
        <v>458</v>
      </c>
    </row>
    <row r="9989" spans="1:3">
      <c r="A9989" s="250">
        <v>24938</v>
      </c>
      <c r="B9989" s="74" t="s">
        <v>5500</v>
      </c>
      <c r="C9989" s="74" t="s">
        <v>458</v>
      </c>
    </row>
    <row r="9990" spans="1:3">
      <c r="A9990" s="250">
        <v>24941</v>
      </c>
      <c r="B9990" s="74" t="s">
        <v>6552</v>
      </c>
      <c r="C9990" s="74" t="s">
        <v>458</v>
      </c>
    </row>
    <row r="9991" spans="1:3">
      <c r="A9991" s="250">
        <v>24943</v>
      </c>
      <c r="B9991" s="74" t="s">
        <v>6553</v>
      </c>
      <c r="C9991" s="74" t="s">
        <v>458</v>
      </c>
    </row>
    <row r="9992" spans="1:3">
      <c r="A9992" s="250">
        <v>24944</v>
      </c>
      <c r="B9992" s="74" t="s">
        <v>6554</v>
      </c>
      <c r="C9992" s="74" t="s">
        <v>458</v>
      </c>
    </row>
    <row r="9993" spans="1:3">
      <c r="A9993" s="250">
        <v>24945</v>
      </c>
      <c r="B9993" s="74" t="s">
        <v>1108</v>
      </c>
      <c r="C9993" s="74" t="s">
        <v>458</v>
      </c>
    </row>
    <row r="9994" spans="1:3">
      <c r="A9994" s="250">
        <v>24946</v>
      </c>
      <c r="B9994" s="74" t="s">
        <v>5758</v>
      </c>
      <c r="C9994" s="74" t="s">
        <v>458</v>
      </c>
    </row>
    <row r="9995" spans="1:3">
      <c r="A9995" s="250">
        <v>24951</v>
      </c>
      <c r="B9995" s="74" t="s">
        <v>6555</v>
      </c>
      <c r="C9995" s="74" t="s">
        <v>458</v>
      </c>
    </row>
    <row r="9996" spans="1:3">
      <c r="A9996" s="250">
        <v>24954</v>
      </c>
      <c r="B9996" s="74" t="s">
        <v>6556</v>
      </c>
      <c r="C9996" s="74" t="s">
        <v>458</v>
      </c>
    </row>
    <row r="9997" spans="1:3">
      <c r="A9997" s="250">
        <v>24957</v>
      </c>
      <c r="B9997" s="74" t="s">
        <v>6557</v>
      </c>
      <c r="C9997" s="74" t="s">
        <v>458</v>
      </c>
    </row>
    <row r="9998" spans="1:3">
      <c r="A9998" s="250">
        <v>24961</v>
      </c>
      <c r="B9998" s="74" t="s">
        <v>3212</v>
      </c>
      <c r="C9998" s="74" t="s">
        <v>458</v>
      </c>
    </row>
    <row r="9999" spans="1:3">
      <c r="A9999" s="250">
        <v>24962</v>
      </c>
      <c r="B9999" s="74" t="s">
        <v>6558</v>
      </c>
      <c r="C9999" s="74" t="s">
        <v>458</v>
      </c>
    </row>
    <row r="10000" spans="1:3">
      <c r="A10000" s="250">
        <v>24963</v>
      </c>
      <c r="B10000" s="74" t="s">
        <v>6559</v>
      </c>
      <c r="C10000" s="74" t="s">
        <v>458</v>
      </c>
    </row>
    <row r="10001" spans="1:3">
      <c r="A10001" s="250">
        <v>24966</v>
      </c>
      <c r="B10001" s="74" t="s">
        <v>6560</v>
      </c>
      <c r="C10001" s="74" t="s">
        <v>458</v>
      </c>
    </row>
    <row r="10002" spans="1:3">
      <c r="A10002" s="250">
        <v>24970</v>
      </c>
      <c r="B10002" s="74" t="s">
        <v>6561</v>
      </c>
      <c r="C10002" s="74" t="s">
        <v>458</v>
      </c>
    </row>
    <row r="10003" spans="1:3">
      <c r="A10003" s="250">
        <v>24974</v>
      </c>
      <c r="B10003" s="74" t="s">
        <v>6562</v>
      </c>
      <c r="C10003" s="74" t="s">
        <v>458</v>
      </c>
    </row>
    <row r="10004" spans="1:3">
      <c r="A10004" s="250">
        <v>24976</v>
      </c>
      <c r="B10004" s="74" t="s">
        <v>6563</v>
      </c>
      <c r="C10004" s="74" t="s">
        <v>458</v>
      </c>
    </row>
    <row r="10005" spans="1:3">
      <c r="A10005" s="250">
        <v>24977</v>
      </c>
      <c r="B10005" s="74" t="s">
        <v>6564</v>
      </c>
      <c r="C10005" s="74" t="s">
        <v>458</v>
      </c>
    </row>
    <row r="10006" spans="1:3">
      <c r="A10006" s="250">
        <v>24981</v>
      </c>
      <c r="B10006" s="74" t="s">
        <v>6565</v>
      </c>
      <c r="C10006" s="74" t="s">
        <v>458</v>
      </c>
    </row>
    <row r="10007" spans="1:3">
      <c r="A10007" s="250">
        <v>24983</v>
      </c>
      <c r="B10007" s="74" t="s">
        <v>1346</v>
      </c>
      <c r="C10007" s="74" t="s">
        <v>458</v>
      </c>
    </row>
    <row r="10008" spans="1:3">
      <c r="A10008" s="250">
        <v>24984</v>
      </c>
      <c r="B10008" s="74" t="s">
        <v>6566</v>
      </c>
      <c r="C10008" s="74" t="s">
        <v>458</v>
      </c>
    </row>
    <row r="10009" spans="1:3">
      <c r="A10009" s="250">
        <v>24985</v>
      </c>
      <c r="B10009" s="74" t="s">
        <v>6567</v>
      </c>
      <c r="C10009" s="74" t="s">
        <v>458</v>
      </c>
    </row>
    <row r="10010" spans="1:3">
      <c r="A10010" s="250">
        <v>24986</v>
      </c>
      <c r="B10010" s="74" t="s">
        <v>3212</v>
      </c>
      <c r="C10010" s="74" t="s">
        <v>458</v>
      </c>
    </row>
    <row r="10011" spans="1:3">
      <c r="A10011" s="250">
        <v>24991</v>
      </c>
      <c r="B10011" s="74" t="s">
        <v>631</v>
      </c>
      <c r="C10011" s="74" t="s">
        <v>458</v>
      </c>
    </row>
    <row r="10012" spans="1:3">
      <c r="A10012" s="250">
        <v>24993</v>
      </c>
      <c r="B10012" s="74" t="s">
        <v>6568</v>
      </c>
      <c r="C10012" s="74" t="s">
        <v>458</v>
      </c>
    </row>
    <row r="10013" spans="1:3">
      <c r="A10013" s="250">
        <v>25002</v>
      </c>
      <c r="B10013" s="74" t="s">
        <v>6569</v>
      </c>
      <c r="C10013" s="74" t="s">
        <v>458</v>
      </c>
    </row>
    <row r="10014" spans="1:3">
      <c r="A10014" s="250">
        <v>25003</v>
      </c>
      <c r="B10014" s="74" t="s">
        <v>6570</v>
      </c>
      <c r="C10014" s="74" t="s">
        <v>458</v>
      </c>
    </row>
    <row r="10015" spans="1:3">
      <c r="A10015" s="250">
        <v>25005</v>
      </c>
      <c r="B10015" s="74" t="s">
        <v>6571</v>
      </c>
      <c r="C10015" s="74" t="s">
        <v>458</v>
      </c>
    </row>
    <row r="10016" spans="1:3">
      <c r="A10016" s="250">
        <v>25007</v>
      </c>
      <c r="B10016" s="74" t="s">
        <v>6572</v>
      </c>
      <c r="C10016" s="74" t="s">
        <v>458</v>
      </c>
    </row>
    <row r="10017" spans="1:3">
      <c r="A10017" s="250">
        <v>25008</v>
      </c>
      <c r="B10017" s="74" t="s">
        <v>6573</v>
      </c>
      <c r="C10017" s="74" t="s">
        <v>458</v>
      </c>
    </row>
    <row r="10018" spans="1:3">
      <c r="A10018" s="250">
        <v>25009</v>
      </c>
      <c r="B10018" s="74" t="s">
        <v>2007</v>
      </c>
      <c r="C10018" s="74" t="s">
        <v>458</v>
      </c>
    </row>
    <row r="10019" spans="1:3">
      <c r="A10019" s="250">
        <v>25011</v>
      </c>
      <c r="B10019" s="74" t="s">
        <v>6574</v>
      </c>
      <c r="C10019" s="74" t="s">
        <v>458</v>
      </c>
    </row>
    <row r="10020" spans="1:3">
      <c r="A10020" s="250">
        <v>25015</v>
      </c>
      <c r="B10020" s="74" t="s">
        <v>6575</v>
      </c>
      <c r="C10020" s="74" t="s">
        <v>458</v>
      </c>
    </row>
    <row r="10021" spans="1:3">
      <c r="A10021" s="250">
        <v>25019</v>
      </c>
      <c r="B10021" s="74" t="s">
        <v>6576</v>
      </c>
      <c r="C10021" s="74" t="s">
        <v>458</v>
      </c>
    </row>
    <row r="10022" spans="1:3">
      <c r="A10022" s="250">
        <v>25021</v>
      </c>
      <c r="B10022" s="74" t="s">
        <v>6577</v>
      </c>
      <c r="C10022" s="74" t="s">
        <v>458</v>
      </c>
    </row>
    <row r="10023" spans="1:3">
      <c r="A10023" s="250">
        <v>25022</v>
      </c>
      <c r="B10023" s="74" t="s">
        <v>6578</v>
      </c>
      <c r="C10023" s="74" t="s">
        <v>458</v>
      </c>
    </row>
    <row r="10024" spans="1:3">
      <c r="A10024" s="250">
        <v>25024</v>
      </c>
      <c r="B10024" s="74" t="s">
        <v>6579</v>
      </c>
      <c r="C10024" s="74" t="s">
        <v>458</v>
      </c>
    </row>
    <row r="10025" spans="1:3">
      <c r="A10025" s="250">
        <v>25025</v>
      </c>
      <c r="B10025" s="74" t="s">
        <v>6580</v>
      </c>
      <c r="C10025" s="74" t="s">
        <v>458</v>
      </c>
    </row>
    <row r="10026" spans="1:3">
      <c r="A10026" s="250">
        <v>25026</v>
      </c>
      <c r="B10026" s="74" t="s">
        <v>6581</v>
      </c>
      <c r="C10026" s="74" t="s">
        <v>458</v>
      </c>
    </row>
    <row r="10027" spans="1:3">
      <c r="A10027" s="250">
        <v>25028</v>
      </c>
      <c r="B10027" s="74" t="s">
        <v>6582</v>
      </c>
      <c r="C10027" s="74" t="s">
        <v>458</v>
      </c>
    </row>
    <row r="10028" spans="1:3">
      <c r="A10028" s="250">
        <v>25030</v>
      </c>
      <c r="B10028" s="74" t="s">
        <v>6583</v>
      </c>
      <c r="C10028" s="74" t="s">
        <v>458</v>
      </c>
    </row>
    <row r="10029" spans="1:3">
      <c r="A10029" s="250">
        <v>25031</v>
      </c>
      <c r="B10029" s="74" t="s">
        <v>6584</v>
      </c>
      <c r="C10029" s="74" t="s">
        <v>458</v>
      </c>
    </row>
    <row r="10030" spans="1:3">
      <c r="A10030" s="250">
        <v>25033</v>
      </c>
      <c r="B10030" s="74" t="s">
        <v>3751</v>
      </c>
      <c r="C10030" s="74" t="s">
        <v>458</v>
      </c>
    </row>
    <row r="10031" spans="1:3">
      <c r="A10031" s="250">
        <v>25035</v>
      </c>
      <c r="B10031" s="74" t="s">
        <v>6585</v>
      </c>
      <c r="C10031" s="74" t="s">
        <v>458</v>
      </c>
    </row>
    <row r="10032" spans="1:3">
      <c r="A10032" s="250">
        <v>25036</v>
      </c>
      <c r="B10032" s="74" t="s">
        <v>6586</v>
      </c>
      <c r="C10032" s="74" t="s">
        <v>458</v>
      </c>
    </row>
    <row r="10033" spans="1:3">
      <c r="A10033" s="250">
        <v>25039</v>
      </c>
      <c r="B10033" s="74" t="s">
        <v>2115</v>
      </c>
      <c r="C10033" s="74" t="s">
        <v>458</v>
      </c>
    </row>
    <row r="10034" spans="1:3">
      <c r="A10034" s="250">
        <v>25040</v>
      </c>
      <c r="B10034" s="74" t="s">
        <v>6587</v>
      </c>
      <c r="C10034" s="74" t="s">
        <v>458</v>
      </c>
    </row>
    <row r="10035" spans="1:3">
      <c r="A10035" s="250">
        <v>25043</v>
      </c>
      <c r="B10035" s="74" t="s">
        <v>3349</v>
      </c>
      <c r="C10035" s="74" t="s">
        <v>458</v>
      </c>
    </row>
    <row r="10036" spans="1:3">
      <c r="A10036" s="250">
        <v>25044</v>
      </c>
      <c r="B10036" s="74" t="s">
        <v>6588</v>
      </c>
      <c r="C10036" s="74" t="s">
        <v>458</v>
      </c>
    </row>
    <row r="10037" spans="1:3">
      <c r="A10037" s="250">
        <v>25045</v>
      </c>
      <c r="B10037" s="74" t="s">
        <v>6589</v>
      </c>
      <c r="C10037" s="74" t="s">
        <v>458</v>
      </c>
    </row>
    <row r="10038" spans="1:3">
      <c r="A10038" s="250">
        <v>25047</v>
      </c>
      <c r="B10038" s="74" t="s">
        <v>6590</v>
      </c>
      <c r="C10038" s="74" t="s">
        <v>458</v>
      </c>
    </row>
    <row r="10039" spans="1:3">
      <c r="A10039" s="250">
        <v>25048</v>
      </c>
      <c r="B10039" s="74" t="s">
        <v>6591</v>
      </c>
      <c r="C10039" s="74" t="s">
        <v>458</v>
      </c>
    </row>
    <row r="10040" spans="1:3">
      <c r="A10040" s="250">
        <v>25049</v>
      </c>
      <c r="B10040" s="74" t="s">
        <v>6592</v>
      </c>
      <c r="C10040" s="74" t="s">
        <v>458</v>
      </c>
    </row>
    <row r="10041" spans="1:3">
      <c r="A10041" s="250">
        <v>25051</v>
      </c>
      <c r="B10041" s="74" t="s">
        <v>6593</v>
      </c>
      <c r="C10041" s="74" t="s">
        <v>458</v>
      </c>
    </row>
    <row r="10042" spans="1:3">
      <c r="A10042" s="250">
        <v>25053</v>
      </c>
      <c r="B10042" s="74" t="s">
        <v>1302</v>
      </c>
      <c r="C10042" s="74" t="s">
        <v>458</v>
      </c>
    </row>
    <row r="10043" spans="1:3">
      <c r="A10043" s="250">
        <v>25054</v>
      </c>
      <c r="B10043" s="74" t="s">
        <v>6594</v>
      </c>
      <c r="C10043" s="74" t="s">
        <v>458</v>
      </c>
    </row>
    <row r="10044" spans="1:3">
      <c r="A10044" s="250">
        <v>25057</v>
      </c>
      <c r="B10044" s="74" t="s">
        <v>6595</v>
      </c>
      <c r="C10044" s="74" t="s">
        <v>458</v>
      </c>
    </row>
    <row r="10045" spans="1:3">
      <c r="A10045" s="250">
        <v>25059</v>
      </c>
      <c r="B10045" s="74" t="s">
        <v>6596</v>
      </c>
      <c r="C10045" s="74" t="s">
        <v>458</v>
      </c>
    </row>
    <row r="10046" spans="1:3">
      <c r="A10046" s="250">
        <v>25060</v>
      </c>
      <c r="B10046" s="74" t="s">
        <v>2480</v>
      </c>
      <c r="C10046" s="74" t="s">
        <v>458</v>
      </c>
    </row>
    <row r="10047" spans="1:3">
      <c r="A10047" s="250">
        <v>25061</v>
      </c>
      <c r="B10047" s="74" t="s">
        <v>6597</v>
      </c>
      <c r="C10047" s="74" t="s">
        <v>458</v>
      </c>
    </row>
    <row r="10048" spans="1:3">
      <c r="A10048" s="250">
        <v>25062</v>
      </c>
      <c r="B10048" s="74" t="s">
        <v>6598</v>
      </c>
      <c r="C10048" s="74" t="s">
        <v>458</v>
      </c>
    </row>
    <row r="10049" spans="1:3">
      <c r="A10049" s="250">
        <v>25063</v>
      </c>
      <c r="B10049" s="74" t="s">
        <v>6599</v>
      </c>
      <c r="C10049" s="74" t="s">
        <v>458</v>
      </c>
    </row>
    <row r="10050" spans="1:3">
      <c r="A10050" s="250">
        <v>25064</v>
      </c>
      <c r="B10050" s="74" t="s">
        <v>4104</v>
      </c>
      <c r="C10050" s="74" t="s">
        <v>458</v>
      </c>
    </row>
    <row r="10051" spans="1:3">
      <c r="A10051" s="250">
        <v>25067</v>
      </c>
      <c r="B10051" s="74" t="s">
        <v>6600</v>
      </c>
      <c r="C10051" s="74" t="s">
        <v>458</v>
      </c>
    </row>
    <row r="10052" spans="1:3">
      <c r="A10052" s="250">
        <v>25070</v>
      </c>
      <c r="B10052" s="74" t="s">
        <v>6601</v>
      </c>
      <c r="C10052" s="74" t="s">
        <v>458</v>
      </c>
    </row>
    <row r="10053" spans="1:3">
      <c r="A10053" s="250">
        <v>25071</v>
      </c>
      <c r="B10053" s="74" t="s">
        <v>6602</v>
      </c>
      <c r="C10053" s="74" t="s">
        <v>458</v>
      </c>
    </row>
    <row r="10054" spans="1:3">
      <c r="A10054" s="250">
        <v>25075</v>
      </c>
      <c r="B10054" s="74" t="s">
        <v>6603</v>
      </c>
      <c r="C10054" s="74" t="s">
        <v>458</v>
      </c>
    </row>
    <row r="10055" spans="1:3">
      <c r="A10055" s="250">
        <v>25076</v>
      </c>
      <c r="B10055" s="74" t="s">
        <v>6604</v>
      </c>
      <c r="C10055" s="74" t="s">
        <v>458</v>
      </c>
    </row>
    <row r="10056" spans="1:3">
      <c r="A10056" s="250">
        <v>25079</v>
      </c>
      <c r="B10056" s="74" t="s">
        <v>6605</v>
      </c>
      <c r="C10056" s="74" t="s">
        <v>458</v>
      </c>
    </row>
    <row r="10057" spans="1:3">
      <c r="A10057" s="250">
        <v>25081</v>
      </c>
      <c r="B10057" s="74" t="s">
        <v>1106</v>
      </c>
      <c r="C10057" s="74" t="s">
        <v>458</v>
      </c>
    </row>
    <row r="10058" spans="1:3">
      <c r="A10058" s="250">
        <v>25082</v>
      </c>
      <c r="B10058" s="74" t="s">
        <v>6606</v>
      </c>
      <c r="C10058" s="74" t="s">
        <v>458</v>
      </c>
    </row>
    <row r="10059" spans="1:3">
      <c r="A10059" s="250">
        <v>25083</v>
      </c>
      <c r="B10059" s="74" t="s">
        <v>6607</v>
      </c>
      <c r="C10059" s="74" t="s">
        <v>458</v>
      </c>
    </row>
    <row r="10060" spans="1:3">
      <c r="A10060" s="250">
        <v>25085</v>
      </c>
      <c r="B10060" s="74" t="s">
        <v>6608</v>
      </c>
      <c r="C10060" s="74" t="s">
        <v>458</v>
      </c>
    </row>
    <row r="10061" spans="1:3">
      <c r="A10061" s="250">
        <v>25086</v>
      </c>
      <c r="B10061" s="74" t="s">
        <v>4551</v>
      </c>
      <c r="C10061" s="74" t="s">
        <v>458</v>
      </c>
    </row>
    <row r="10062" spans="1:3">
      <c r="A10062" s="250">
        <v>25088</v>
      </c>
      <c r="B10062" s="74" t="s">
        <v>1312</v>
      </c>
      <c r="C10062" s="74" t="s">
        <v>458</v>
      </c>
    </row>
    <row r="10063" spans="1:3">
      <c r="A10063" s="250">
        <v>25090</v>
      </c>
      <c r="B10063" s="74" t="s">
        <v>6609</v>
      </c>
      <c r="C10063" s="74" t="s">
        <v>458</v>
      </c>
    </row>
    <row r="10064" spans="1:3">
      <c r="A10064" s="250">
        <v>25093</v>
      </c>
      <c r="B10064" s="74" t="s">
        <v>4995</v>
      </c>
      <c r="C10064" s="74" t="s">
        <v>458</v>
      </c>
    </row>
    <row r="10065" spans="1:3">
      <c r="A10065" s="250">
        <v>25102</v>
      </c>
      <c r="B10065" s="74" t="s">
        <v>6610</v>
      </c>
      <c r="C10065" s="74" t="s">
        <v>458</v>
      </c>
    </row>
    <row r="10066" spans="1:3">
      <c r="A10066" s="250">
        <v>25103</v>
      </c>
      <c r="B10066" s="74" t="s">
        <v>6611</v>
      </c>
      <c r="C10066" s="74" t="s">
        <v>458</v>
      </c>
    </row>
    <row r="10067" spans="1:3">
      <c r="A10067" s="250">
        <v>25106</v>
      </c>
      <c r="B10067" s="74" t="s">
        <v>3556</v>
      </c>
      <c r="C10067" s="74" t="s">
        <v>458</v>
      </c>
    </row>
    <row r="10068" spans="1:3">
      <c r="A10068" s="250">
        <v>25107</v>
      </c>
      <c r="B10068" s="74" t="s">
        <v>6612</v>
      </c>
      <c r="C10068" s="74" t="s">
        <v>458</v>
      </c>
    </row>
    <row r="10069" spans="1:3">
      <c r="A10069" s="250">
        <v>25108</v>
      </c>
      <c r="B10069" s="74" t="s">
        <v>6613</v>
      </c>
      <c r="C10069" s="74" t="s">
        <v>458</v>
      </c>
    </row>
    <row r="10070" spans="1:3">
      <c r="A10070" s="250">
        <v>25109</v>
      </c>
      <c r="B10070" s="74" t="s">
        <v>6614</v>
      </c>
      <c r="C10070" s="74" t="s">
        <v>458</v>
      </c>
    </row>
    <row r="10071" spans="1:3">
      <c r="A10071" s="250">
        <v>25110</v>
      </c>
      <c r="B10071" s="74" t="s">
        <v>6615</v>
      </c>
      <c r="C10071" s="74" t="s">
        <v>458</v>
      </c>
    </row>
    <row r="10072" spans="1:3">
      <c r="A10072" s="250">
        <v>25111</v>
      </c>
      <c r="B10072" s="74" t="s">
        <v>6616</v>
      </c>
      <c r="C10072" s="74" t="s">
        <v>458</v>
      </c>
    </row>
    <row r="10073" spans="1:3">
      <c r="A10073" s="250">
        <v>25112</v>
      </c>
      <c r="B10073" s="74" t="s">
        <v>6617</v>
      </c>
      <c r="C10073" s="74" t="s">
        <v>458</v>
      </c>
    </row>
    <row r="10074" spans="1:3">
      <c r="A10074" s="250">
        <v>25113</v>
      </c>
      <c r="B10074" s="74" t="s">
        <v>6618</v>
      </c>
      <c r="C10074" s="74" t="s">
        <v>458</v>
      </c>
    </row>
    <row r="10075" spans="1:3">
      <c r="A10075" s="250">
        <v>25114</v>
      </c>
      <c r="B10075" s="74" t="s">
        <v>6619</v>
      </c>
      <c r="C10075" s="74" t="s">
        <v>458</v>
      </c>
    </row>
    <row r="10076" spans="1:3">
      <c r="A10076" s="250">
        <v>25115</v>
      </c>
      <c r="B10076" s="74" t="s">
        <v>6620</v>
      </c>
      <c r="C10076" s="74" t="s">
        <v>458</v>
      </c>
    </row>
    <row r="10077" spans="1:3">
      <c r="A10077" s="250">
        <v>25118</v>
      </c>
      <c r="B10077" s="74" t="s">
        <v>6621</v>
      </c>
      <c r="C10077" s="74" t="s">
        <v>458</v>
      </c>
    </row>
    <row r="10078" spans="1:3">
      <c r="A10078" s="250">
        <v>25119</v>
      </c>
      <c r="B10078" s="74" t="s">
        <v>6622</v>
      </c>
      <c r="C10078" s="74" t="s">
        <v>458</v>
      </c>
    </row>
    <row r="10079" spans="1:3">
      <c r="A10079" s="250">
        <v>25121</v>
      </c>
      <c r="B10079" s="74" t="s">
        <v>6623</v>
      </c>
      <c r="C10079" s="74" t="s">
        <v>458</v>
      </c>
    </row>
    <row r="10080" spans="1:3">
      <c r="A10080" s="250">
        <v>25123</v>
      </c>
      <c r="B10080" s="74" t="s">
        <v>3872</v>
      </c>
      <c r="C10080" s="74" t="s">
        <v>458</v>
      </c>
    </row>
    <row r="10081" spans="1:3">
      <c r="A10081" s="250">
        <v>25124</v>
      </c>
      <c r="B10081" s="74" t="s">
        <v>1701</v>
      </c>
      <c r="C10081" s="74" t="s">
        <v>458</v>
      </c>
    </row>
    <row r="10082" spans="1:3">
      <c r="A10082" s="250">
        <v>25125</v>
      </c>
      <c r="B10082" s="74" t="s">
        <v>6624</v>
      </c>
      <c r="C10082" s="74" t="s">
        <v>458</v>
      </c>
    </row>
    <row r="10083" spans="1:3">
      <c r="A10083" s="250">
        <v>25126</v>
      </c>
      <c r="B10083" s="74" t="s">
        <v>6625</v>
      </c>
      <c r="C10083" s="74" t="s">
        <v>458</v>
      </c>
    </row>
    <row r="10084" spans="1:3">
      <c r="A10084" s="250">
        <v>25130</v>
      </c>
      <c r="B10084" s="74" t="s">
        <v>1320</v>
      </c>
      <c r="C10084" s="74" t="s">
        <v>458</v>
      </c>
    </row>
    <row r="10085" spans="1:3">
      <c r="A10085" s="250">
        <v>25132</v>
      </c>
      <c r="B10085" s="74" t="s">
        <v>4224</v>
      </c>
      <c r="C10085" s="74" t="s">
        <v>458</v>
      </c>
    </row>
    <row r="10086" spans="1:3">
      <c r="A10086" s="250">
        <v>25133</v>
      </c>
      <c r="B10086" s="74" t="s">
        <v>6626</v>
      </c>
      <c r="C10086" s="74" t="s">
        <v>458</v>
      </c>
    </row>
    <row r="10087" spans="1:3">
      <c r="A10087" s="250">
        <v>25134</v>
      </c>
      <c r="B10087" s="74" t="s">
        <v>6627</v>
      </c>
      <c r="C10087" s="74" t="s">
        <v>458</v>
      </c>
    </row>
    <row r="10088" spans="1:3">
      <c r="A10088" s="250">
        <v>25136</v>
      </c>
      <c r="B10088" s="74" t="s">
        <v>1821</v>
      </c>
      <c r="C10088" s="74" t="s">
        <v>458</v>
      </c>
    </row>
    <row r="10089" spans="1:3">
      <c r="A10089" s="250">
        <v>25139</v>
      </c>
      <c r="B10089" s="74" t="s">
        <v>6628</v>
      </c>
      <c r="C10089" s="74" t="s">
        <v>458</v>
      </c>
    </row>
    <row r="10090" spans="1:3">
      <c r="A10090" s="250">
        <v>25140</v>
      </c>
      <c r="B10090" s="74" t="s">
        <v>6629</v>
      </c>
      <c r="C10090" s="74" t="s">
        <v>458</v>
      </c>
    </row>
    <row r="10091" spans="1:3">
      <c r="A10091" s="250">
        <v>25141</v>
      </c>
      <c r="B10091" s="74" t="s">
        <v>6630</v>
      </c>
      <c r="C10091" s="74" t="s">
        <v>458</v>
      </c>
    </row>
    <row r="10092" spans="1:3">
      <c r="A10092" s="250">
        <v>25142</v>
      </c>
      <c r="B10092" s="74" t="s">
        <v>6631</v>
      </c>
      <c r="C10092" s="74" t="s">
        <v>458</v>
      </c>
    </row>
    <row r="10093" spans="1:3">
      <c r="A10093" s="250">
        <v>25143</v>
      </c>
      <c r="B10093" s="74" t="s">
        <v>6632</v>
      </c>
      <c r="C10093" s="74" t="s">
        <v>458</v>
      </c>
    </row>
    <row r="10094" spans="1:3">
      <c r="A10094" s="250">
        <v>25148</v>
      </c>
      <c r="B10094" s="74" t="s">
        <v>6633</v>
      </c>
      <c r="C10094" s="74" t="s">
        <v>458</v>
      </c>
    </row>
    <row r="10095" spans="1:3">
      <c r="A10095" s="250">
        <v>25149</v>
      </c>
      <c r="B10095" s="74" t="s">
        <v>6634</v>
      </c>
      <c r="C10095" s="74" t="s">
        <v>458</v>
      </c>
    </row>
    <row r="10096" spans="1:3">
      <c r="A10096" s="250">
        <v>25152</v>
      </c>
      <c r="B10096" s="74" t="s">
        <v>6635</v>
      </c>
      <c r="C10096" s="74" t="s">
        <v>458</v>
      </c>
    </row>
    <row r="10097" spans="1:3">
      <c r="A10097" s="250">
        <v>25154</v>
      </c>
      <c r="B10097" s="74" t="s">
        <v>6636</v>
      </c>
      <c r="C10097" s="74" t="s">
        <v>458</v>
      </c>
    </row>
    <row r="10098" spans="1:3">
      <c r="A10098" s="250">
        <v>25156</v>
      </c>
      <c r="B10098" s="74" t="s">
        <v>6637</v>
      </c>
      <c r="C10098" s="74" t="s">
        <v>458</v>
      </c>
    </row>
    <row r="10099" spans="1:3">
      <c r="A10099" s="250">
        <v>25159</v>
      </c>
      <c r="B10099" s="74" t="s">
        <v>6638</v>
      </c>
      <c r="C10099" s="74" t="s">
        <v>458</v>
      </c>
    </row>
    <row r="10100" spans="1:3">
      <c r="A10100" s="250">
        <v>25160</v>
      </c>
      <c r="B10100" s="74" t="s">
        <v>6639</v>
      </c>
      <c r="C10100" s="74" t="s">
        <v>458</v>
      </c>
    </row>
    <row r="10101" spans="1:3">
      <c r="A10101" s="250">
        <v>25161</v>
      </c>
      <c r="B10101" s="74" t="s">
        <v>6640</v>
      </c>
      <c r="C10101" s="74" t="s">
        <v>458</v>
      </c>
    </row>
    <row r="10102" spans="1:3">
      <c r="A10102" s="250">
        <v>25162</v>
      </c>
      <c r="B10102" s="74" t="s">
        <v>6641</v>
      </c>
      <c r="C10102" s="74" t="s">
        <v>458</v>
      </c>
    </row>
    <row r="10103" spans="1:3">
      <c r="A10103" s="250">
        <v>25164</v>
      </c>
      <c r="B10103" s="74" t="s">
        <v>6642</v>
      </c>
      <c r="C10103" s="74" t="s">
        <v>458</v>
      </c>
    </row>
    <row r="10104" spans="1:3">
      <c r="A10104" s="250">
        <v>25165</v>
      </c>
      <c r="B10104" s="74" t="s">
        <v>6643</v>
      </c>
      <c r="C10104" s="74" t="s">
        <v>458</v>
      </c>
    </row>
    <row r="10105" spans="1:3">
      <c r="A10105" s="250">
        <v>25168</v>
      </c>
      <c r="B10105" s="74" t="s">
        <v>6244</v>
      </c>
      <c r="C10105" s="74" t="s">
        <v>458</v>
      </c>
    </row>
    <row r="10106" spans="1:3">
      <c r="A10106" s="250">
        <v>25169</v>
      </c>
      <c r="B10106" s="74" t="s">
        <v>6644</v>
      </c>
      <c r="C10106" s="74" t="s">
        <v>458</v>
      </c>
    </row>
    <row r="10107" spans="1:3">
      <c r="A10107" s="250">
        <v>25173</v>
      </c>
      <c r="B10107" s="74" t="s">
        <v>6645</v>
      </c>
      <c r="C10107" s="74" t="s">
        <v>458</v>
      </c>
    </row>
    <row r="10108" spans="1:3">
      <c r="A10108" s="250">
        <v>25174</v>
      </c>
      <c r="B10108" s="74" t="s">
        <v>6646</v>
      </c>
      <c r="C10108" s="74" t="s">
        <v>458</v>
      </c>
    </row>
    <row r="10109" spans="1:3">
      <c r="A10109" s="250">
        <v>25177</v>
      </c>
      <c r="B10109" s="74" t="s">
        <v>1713</v>
      </c>
      <c r="C10109" s="74" t="s">
        <v>458</v>
      </c>
    </row>
    <row r="10110" spans="1:3">
      <c r="A10110" s="250">
        <v>25180</v>
      </c>
      <c r="B10110" s="74" t="s">
        <v>6647</v>
      </c>
      <c r="C10110" s="74" t="s">
        <v>458</v>
      </c>
    </row>
    <row r="10111" spans="1:3">
      <c r="A10111" s="250">
        <v>25181</v>
      </c>
      <c r="B10111" s="74" t="s">
        <v>6648</v>
      </c>
      <c r="C10111" s="74" t="s">
        <v>458</v>
      </c>
    </row>
    <row r="10112" spans="1:3">
      <c r="A10112" s="250">
        <v>25183</v>
      </c>
      <c r="B10112" s="74" t="s">
        <v>6649</v>
      </c>
      <c r="C10112" s="74" t="s">
        <v>458</v>
      </c>
    </row>
    <row r="10113" spans="1:3">
      <c r="A10113" s="250">
        <v>25185</v>
      </c>
      <c r="B10113" s="74" t="s">
        <v>6650</v>
      </c>
      <c r="C10113" s="74" t="s">
        <v>458</v>
      </c>
    </row>
    <row r="10114" spans="1:3">
      <c r="A10114" s="250">
        <v>25186</v>
      </c>
      <c r="B10114" s="74" t="s">
        <v>6651</v>
      </c>
      <c r="C10114" s="74" t="s">
        <v>458</v>
      </c>
    </row>
    <row r="10115" spans="1:3">
      <c r="A10115" s="250">
        <v>25187</v>
      </c>
      <c r="B10115" s="74" t="s">
        <v>6652</v>
      </c>
      <c r="C10115" s="74" t="s">
        <v>458</v>
      </c>
    </row>
    <row r="10116" spans="1:3">
      <c r="A10116" s="250">
        <v>25193</v>
      </c>
      <c r="B10116" s="74" t="s">
        <v>6653</v>
      </c>
      <c r="C10116" s="74" t="s">
        <v>458</v>
      </c>
    </row>
    <row r="10117" spans="1:3">
      <c r="A10117" s="250">
        <v>25201</v>
      </c>
      <c r="B10117" s="74" t="s">
        <v>6654</v>
      </c>
      <c r="C10117" s="74" t="s">
        <v>458</v>
      </c>
    </row>
    <row r="10118" spans="1:3">
      <c r="A10118" s="250">
        <v>25202</v>
      </c>
      <c r="B10118" s="74" t="s">
        <v>6655</v>
      </c>
      <c r="C10118" s="74" t="s">
        <v>458</v>
      </c>
    </row>
    <row r="10119" spans="1:3">
      <c r="A10119" s="250">
        <v>25203</v>
      </c>
      <c r="B10119" s="74" t="s">
        <v>4037</v>
      </c>
      <c r="C10119" s="74" t="s">
        <v>458</v>
      </c>
    </row>
    <row r="10120" spans="1:3">
      <c r="A10120" s="250">
        <v>25204</v>
      </c>
      <c r="B10120" s="74" t="s">
        <v>6656</v>
      </c>
      <c r="C10120" s="74" t="s">
        <v>458</v>
      </c>
    </row>
    <row r="10121" spans="1:3">
      <c r="A10121" s="250">
        <v>25205</v>
      </c>
      <c r="B10121" s="74" t="s">
        <v>6657</v>
      </c>
      <c r="C10121" s="74" t="s">
        <v>458</v>
      </c>
    </row>
    <row r="10122" spans="1:3">
      <c r="A10122" s="250">
        <v>25206</v>
      </c>
      <c r="B10122" s="74" t="s">
        <v>6658</v>
      </c>
      <c r="C10122" s="74" t="s">
        <v>458</v>
      </c>
    </row>
    <row r="10123" spans="1:3">
      <c r="A10123" s="250">
        <v>25208</v>
      </c>
      <c r="B10123" s="74" t="s">
        <v>2334</v>
      </c>
      <c r="C10123" s="74" t="s">
        <v>458</v>
      </c>
    </row>
    <row r="10124" spans="1:3">
      <c r="A10124" s="250">
        <v>25209</v>
      </c>
      <c r="B10124" s="74" t="s">
        <v>3953</v>
      </c>
      <c r="C10124" s="74" t="s">
        <v>458</v>
      </c>
    </row>
    <row r="10125" spans="1:3">
      <c r="A10125" s="250">
        <v>25211</v>
      </c>
      <c r="B10125" s="74" t="s">
        <v>6659</v>
      </c>
      <c r="C10125" s="74" t="s">
        <v>458</v>
      </c>
    </row>
    <row r="10126" spans="1:3">
      <c r="A10126" s="250">
        <v>25213</v>
      </c>
      <c r="B10126" s="74" t="s">
        <v>4985</v>
      </c>
      <c r="C10126" s="74" t="s">
        <v>458</v>
      </c>
    </row>
    <row r="10127" spans="1:3">
      <c r="A10127" s="250">
        <v>25214</v>
      </c>
      <c r="B10127" s="74" t="s">
        <v>6660</v>
      </c>
      <c r="C10127" s="74" t="s">
        <v>458</v>
      </c>
    </row>
    <row r="10128" spans="1:3">
      <c r="A10128" s="250">
        <v>25231</v>
      </c>
      <c r="B10128" s="74" t="s">
        <v>6661</v>
      </c>
      <c r="C10128" s="74" t="s">
        <v>458</v>
      </c>
    </row>
    <row r="10129" spans="1:3">
      <c r="A10129" s="250">
        <v>25234</v>
      </c>
      <c r="B10129" s="74" t="s">
        <v>6662</v>
      </c>
      <c r="C10129" s="74" t="s">
        <v>458</v>
      </c>
    </row>
    <row r="10130" spans="1:3">
      <c r="A10130" s="250">
        <v>25235</v>
      </c>
      <c r="B10130" s="74" t="s">
        <v>6663</v>
      </c>
      <c r="C10130" s="74" t="s">
        <v>458</v>
      </c>
    </row>
    <row r="10131" spans="1:3">
      <c r="A10131" s="250">
        <v>25239</v>
      </c>
      <c r="B10131" s="74" t="s">
        <v>6664</v>
      </c>
      <c r="C10131" s="74" t="s">
        <v>458</v>
      </c>
    </row>
    <row r="10132" spans="1:3">
      <c r="A10132" s="250">
        <v>25241</v>
      </c>
      <c r="B10132" s="74" t="s">
        <v>6665</v>
      </c>
      <c r="C10132" s="74" t="s">
        <v>458</v>
      </c>
    </row>
    <row r="10133" spans="1:3">
      <c r="A10133" s="250">
        <v>25243</v>
      </c>
      <c r="B10133" s="74" t="s">
        <v>6666</v>
      </c>
      <c r="C10133" s="74" t="s">
        <v>458</v>
      </c>
    </row>
    <row r="10134" spans="1:3">
      <c r="A10134" s="250">
        <v>25244</v>
      </c>
      <c r="B10134" s="74" t="s">
        <v>6667</v>
      </c>
      <c r="C10134" s="74" t="s">
        <v>458</v>
      </c>
    </row>
    <row r="10135" spans="1:3">
      <c r="A10135" s="250">
        <v>25245</v>
      </c>
      <c r="B10135" s="74" t="s">
        <v>6668</v>
      </c>
      <c r="C10135" s="74" t="s">
        <v>458</v>
      </c>
    </row>
    <row r="10136" spans="1:3">
      <c r="A10136" s="250">
        <v>25247</v>
      </c>
      <c r="B10136" s="74" t="s">
        <v>1737</v>
      </c>
      <c r="C10136" s="74" t="s">
        <v>458</v>
      </c>
    </row>
    <row r="10137" spans="1:3">
      <c r="A10137" s="250">
        <v>25248</v>
      </c>
      <c r="B10137" s="74" t="s">
        <v>6669</v>
      </c>
      <c r="C10137" s="74" t="s">
        <v>458</v>
      </c>
    </row>
    <row r="10138" spans="1:3">
      <c r="A10138" s="250">
        <v>25251</v>
      </c>
      <c r="B10138" s="74" t="s">
        <v>6670</v>
      </c>
      <c r="C10138" s="74" t="s">
        <v>458</v>
      </c>
    </row>
    <row r="10139" spans="1:3">
      <c r="A10139" s="250">
        <v>25252</v>
      </c>
      <c r="B10139" s="74" t="s">
        <v>3789</v>
      </c>
      <c r="C10139" s="74" t="s">
        <v>458</v>
      </c>
    </row>
    <row r="10140" spans="1:3">
      <c r="A10140" s="250">
        <v>25253</v>
      </c>
      <c r="B10140" s="74" t="s">
        <v>6671</v>
      </c>
      <c r="C10140" s="74" t="s">
        <v>458</v>
      </c>
    </row>
    <row r="10141" spans="1:3">
      <c r="A10141" s="250">
        <v>25259</v>
      </c>
      <c r="B10141" s="74" t="s">
        <v>6672</v>
      </c>
      <c r="C10141" s="74" t="s">
        <v>458</v>
      </c>
    </row>
    <row r="10142" spans="1:3">
      <c r="A10142" s="250">
        <v>25260</v>
      </c>
      <c r="B10142" s="74" t="s">
        <v>6673</v>
      </c>
      <c r="C10142" s="74" t="s">
        <v>458</v>
      </c>
    </row>
    <row r="10143" spans="1:3">
      <c r="A10143" s="250">
        <v>25261</v>
      </c>
      <c r="B10143" s="74" t="s">
        <v>6674</v>
      </c>
      <c r="C10143" s="74" t="s">
        <v>458</v>
      </c>
    </row>
    <row r="10144" spans="1:3">
      <c r="A10144" s="250">
        <v>25262</v>
      </c>
      <c r="B10144" s="74" t="s">
        <v>2643</v>
      </c>
      <c r="C10144" s="74" t="s">
        <v>458</v>
      </c>
    </row>
    <row r="10145" spans="1:3">
      <c r="A10145" s="250">
        <v>25264</v>
      </c>
      <c r="B10145" s="74" t="s">
        <v>6675</v>
      </c>
      <c r="C10145" s="74" t="s">
        <v>458</v>
      </c>
    </row>
    <row r="10146" spans="1:3">
      <c r="A10146" s="250">
        <v>25265</v>
      </c>
      <c r="B10146" s="74" t="s">
        <v>1823</v>
      </c>
      <c r="C10146" s="74" t="s">
        <v>458</v>
      </c>
    </row>
    <row r="10147" spans="1:3">
      <c r="A10147" s="250">
        <v>25266</v>
      </c>
      <c r="B10147" s="74" t="s">
        <v>973</v>
      </c>
      <c r="C10147" s="74" t="s">
        <v>458</v>
      </c>
    </row>
    <row r="10148" spans="1:3">
      <c r="A10148" s="250">
        <v>25267</v>
      </c>
      <c r="B10148" s="74" t="s">
        <v>6676</v>
      </c>
      <c r="C10148" s="74" t="s">
        <v>458</v>
      </c>
    </row>
    <row r="10149" spans="1:3">
      <c r="A10149" s="250">
        <v>25268</v>
      </c>
      <c r="B10149" s="74" t="s">
        <v>6677</v>
      </c>
      <c r="C10149" s="74" t="s">
        <v>458</v>
      </c>
    </row>
    <row r="10150" spans="1:3">
      <c r="A10150" s="250">
        <v>25270</v>
      </c>
      <c r="B10150" s="74" t="s">
        <v>6678</v>
      </c>
      <c r="C10150" s="74" t="s">
        <v>458</v>
      </c>
    </row>
    <row r="10151" spans="1:3">
      <c r="A10151" s="250">
        <v>25271</v>
      </c>
      <c r="B10151" s="74" t="s">
        <v>3884</v>
      </c>
      <c r="C10151" s="74" t="s">
        <v>458</v>
      </c>
    </row>
    <row r="10152" spans="1:3">
      <c r="A10152" s="250">
        <v>25275</v>
      </c>
      <c r="B10152" s="74" t="s">
        <v>6679</v>
      </c>
      <c r="C10152" s="74" t="s">
        <v>458</v>
      </c>
    </row>
    <row r="10153" spans="1:3">
      <c r="A10153" s="250">
        <v>25276</v>
      </c>
      <c r="B10153" s="74" t="s">
        <v>762</v>
      </c>
      <c r="C10153" s="74" t="s">
        <v>458</v>
      </c>
    </row>
    <row r="10154" spans="1:3">
      <c r="A10154" s="250">
        <v>25285</v>
      </c>
      <c r="B10154" s="74" t="s">
        <v>6680</v>
      </c>
      <c r="C10154" s="74" t="s">
        <v>458</v>
      </c>
    </row>
    <row r="10155" spans="1:3">
      <c r="A10155" s="250">
        <v>25286</v>
      </c>
      <c r="B10155" s="74" t="s">
        <v>3659</v>
      </c>
      <c r="C10155" s="74" t="s">
        <v>458</v>
      </c>
    </row>
    <row r="10156" spans="1:3">
      <c r="A10156" s="250">
        <v>25287</v>
      </c>
      <c r="B10156" s="74" t="s">
        <v>6681</v>
      </c>
      <c r="C10156" s="74" t="s">
        <v>458</v>
      </c>
    </row>
    <row r="10157" spans="1:3">
      <c r="A10157" s="250">
        <v>25301</v>
      </c>
      <c r="B10157" s="74" t="s">
        <v>1498</v>
      </c>
      <c r="C10157" s="74" t="s">
        <v>458</v>
      </c>
    </row>
    <row r="10158" spans="1:3">
      <c r="A10158" s="250">
        <v>25302</v>
      </c>
      <c r="B10158" s="74" t="s">
        <v>1498</v>
      </c>
      <c r="C10158" s="74" t="s">
        <v>458</v>
      </c>
    </row>
    <row r="10159" spans="1:3">
      <c r="A10159" s="250">
        <v>25303</v>
      </c>
      <c r="B10159" s="74" t="s">
        <v>1498</v>
      </c>
      <c r="C10159" s="74" t="s">
        <v>458</v>
      </c>
    </row>
    <row r="10160" spans="1:3">
      <c r="A10160" s="250">
        <v>25304</v>
      </c>
      <c r="B10160" s="74" t="s">
        <v>1498</v>
      </c>
      <c r="C10160" s="74" t="s">
        <v>458</v>
      </c>
    </row>
    <row r="10161" spans="1:3">
      <c r="A10161" s="250">
        <v>25305</v>
      </c>
      <c r="B10161" s="74" t="s">
        <v>1498</v>
      </c>
      <c r="C10161" s="74" t="s">
        <v>458</v>
      </c>
    </row>
    <row r="10162" spans="1:3">
      <c r="A10162" s="250">
        <v>25306</v>
      </c>
      <c r="B10162" s="74" t="s">
        <v>1498</v>
      </c>
      <c r="C10162" s="74" t="s">
        <v>458</v>
      </c>
    </row>
    <row r="10163" spans="1:3">
      <c r="A10163" s="250">
        <v>25309</v>
      </c>
      <c r="B10163" s="74" t="s">
        <v>1498</v>
      </c>
      <c r="C10163" s="74" t="s">
        <v>458</v>
      </c>
    </row>
    <row r="10164" spans="1:3">
      <c r="A10164" s="250">
        <v>25311</v>
      </c>
      <c r="B10164" s="74" t="s">
        <v>1498</v>
      </c>
      <c r="C10164" s="74" t="s">
        <v>458</v>
      </c>
    </row>
    <row r="10165" spans="1:3">
      <c r="A10165" s="250">
        <v>25312</v>
      </c>
      <c r="B10165" s="74" t="s">
        <v>1498</v>
      </c>
      <c r="C10165" s="74" t="s">
        <v>458</v>
      </c>
    </row>
    <row r="10166" spans="1:3">
      <c r="A10166" s="250">
        <v>25313</v>
      </c>
      <c r="B10166" s="74" t="s">
        <v>1498</v>
      </c>
      <c r="C10166" s="74" t="s">
        <v>458</v>
      </c>
    </row>
    <row r="10167" spans="1:3">
      <c r="A10167" s="250">
        <v>25314</v>
      </c>
      <c r="B10167" s="74" t="s">
        <v>1498</v>
      </c>
      <c r="C10167" s="74" t="s">
        <v>458</v>
      </c>
    </row>
    <row r="10168" spans="1:3">
      <c r="A10168" s="250">
        <v>25315</v>
      </c>
      <c r="B10168" s="74" t="s">
        <v>1498</v>
      </c>
      <c r="C10168" s="74" t="s">
        <v>458</v>
      </c>
    </row>
    <row r="10169" spans="1:3">
      <c r="A10169" s="250">
        <v>25317</v>
      </c>
      <c r="B10169" s="74" t="s">
        <v>1498</v>
      </c>
      <c r="C10169" s="74" t="s">
        <v>458</v>
      </c>
    </row>
    <row r="10170" spans="1:3">
      <c r="A10170" s="250">
        <v>25320</v>
      </c>
      <c r="B10170" s="74" t="s">
        <v>1498</v>
      </c>
      <c r="C10170" s="74" t="s">
        <v>458</v>
      </c>
    </row>
    <row r="10171" spans="1:3">
      <c r="A10171" s="250">
        <v>25321</v>
      </c>
      <c r="B10171" s="74" t="s">
        <v>1498</v>
      </c>
      <c r="C10171" s="74" t="s">
        <v>458</v>
      </c>
    </row>
    <row r="10172" spans="1:3">
      <c r="A10172" s="250">
        <v>25322</v>
      </c>
      <c r="B10172" s="74" t="s">
        <v>1498</v>
      </c>
      <c r="C10172" s="74" t="s">
        <v>458</v>
      </c>
    </row>
    <row r="10173" spans="1:3">
      <c r="A10173" s="250">
        <v>25323</v>
      </c>
      <c r="B10173" s="74" t="s">
        <v>1498</v>
      </c>
      <c r="C10173" s="74" t="s">
        <v>458</v>
      </c>
    </row>
    <row r="10174" spans="1:3">
      <c r="A10174" s="250">
        <v>25324</v>
      </c>
      <c r="B10174" s="74" t="s">
        <v>1498</v>
      </c>
      <c r="C10174" s="74" t="s">
        <v>458</v>
      </c>
    </row>
    <row r="10175" spans="1:3">
      <c r="A10175" s="250">
        <v>25325</v>
      </c>
      <c r="B10175" s="74" t="s">
        <v>1498</v>
      </c>
      <c r="C10175" s="74" t="s">
        <v>458</v>
      </c>
    </row>
    <row r="10176" spans="1:3">
      <c r="A10176" s="250">
        <v>25326</v>
      </c>
      <c r="B10176" s="74" t="s">
        <v>1498</v>
      </c>
      <c r="C10176" s="74" t="s">
        <v>458</v>
      </c>
    </row>
    <row r="10177" spans="1:3">
      <c r="A10177" s="250">
        <v>25327</v>
      </c>
      <c r="B10177" s="74" t="s">
        <v>1498</v>
      </c>
      <c r="C10177" s="74" t="s">
        <v>458</v>
      </c>
    </row>
    <row r="10178" spans="1:3">
      <c r="A10178" s="250">
        <v>25328</v>
      </c>
      <c r="B10178" s="74" t="s">
        <v>1498</v>
      </c>
      <c r="C10178" s="74" t="s">
        <v>458</v>
      </c>
    </row>
    <row r="10179" spans="1:3">
      <c r="A10179" s="250">
        <v>25329</v>
      </c>
      <c r="B10179" s="74" t="s">
        <v>1498</v>
      </c>
      <c r="C10179" s="74" t="s">
        <v>458</v>
      </c>
    </row>
    <row r="10180" spans="1:3">
      <c r="A10180" s="250">
        <v>25330</v>
      </c>
      <c r="B10180" s="74" t="s">
        <v>1498</v>
      </c>
      <c r="C10180" s="74" t="s">
        <v>458</v>
      </c>
    </row>
    <row r="10181" spans="1:3">
      <c r="A10181" s="250">
        <v>25331</v>
      </c>
      <c r="B10181" s="74" t="s">
        <v>1498</v>
      </c>
      <c r="C10181" s="74" t="s">
        <v>458</v>
      </c>
    </row>
    <row r="10182" spans="1:3">
      <c r="A10182" s="250">
        <v>25332</v>
      </c>
      <c r="B10182" s="74" t="s">
        <v>1498</v>
      </c>
      <c r="C10182" s="74" t="s">
        <v>458</v>
      </c>
    </row>
    <row r="10183" spans="1:3">
      <c r="A10183" s="250">
        <v>25333</v>
      </c>
      <c r="B10183" s="74" t="s">
        <v>1498</v>
      </c>
      <c r="C10183" s="74" t="s">
        <v>458</v>
      </c>
    </row>
    <row r="10184" spans="1:3">
      <c r="A10184" s="250">
        <v>25334</v>
      </c>
      <c r="B10184" s="74" t="s">
        <v>1498</v>
      </c>
      <c r="C10184" s="74" t="s">
        <v>458</v>
      </c>
    </row>
    <row r="10185" spans="1:3">
      <c r="A10185" s="250">
        <v>25335</v>
      </c>
      <c r="B10185" s="74" t="s">
        <v>1498</v>
      </c>
      <c r="C10185" s="74" t="s">
        <v>458</v>
      </c>
    </row>
    <row r="10186" spans="1:3">
      <c r="A10186" s="250">
        <v>25336</v>
      </c>
      <c r="B10186" s="74" t="s">
        <v>1498</v>
      </c>
      <c r="C10186" s="74" t="s">
        <v>458</v>
      </c>
    </row>
    <row r="10187" spans="1:3">
      <c r="A10187" s="250">
        <v>25337</v>
      </c>
      <c r="B10187" s="74" t="s">
        <v>1498</v>
      </c>
      <c r="C10187" s="74" t="s">
        <v>458</v>
      </c>
    </row>
    <row r="10188" spans="1:3">
      <c r="A10188" s="250">
        <v>25338</v>
      </c>
      <c r="B10188" s="74" t="s">
        <v>1498</v>
      </c>
      <c r="C10188" s="74" t="s">
        <v>458</v>
      </c>
    </row>
    <row r="10189" spans="1:3">
      <c r="A10189" s="250">
        <v>25339</v>
      </c>
      <c r="B10189" s="74" t="s">
        <v>1498</v>
      </c>
      <c r="C10189" s="74" t="s">
        <v>458</v>
      </c>
    </row>
    <row r="10190" spans="1:3">
      <c r="A10190" s="250">
        <v>25350</v>
      </c>
      <c r="B10190" s="74" t="s">
        <v>1498</v>
      </c>
      <c r="C10190" s="74" t="s">
        <v>458</v>
      </c>
    </row>
    <row r="10191" spans="1:3">
      <c r="A10191" s="250">
        <v>25356</v>
      </c>
      <c r="B10191" s="74" t="s">
        <v>1498</v>
      </c>
      <c r="C10191" s="74" t="s">
        <v>458</v>
      </c>
    </row>
    <row r="10192" spans="1:3">
      <c r="A10192" s="250">
        <v>25357</v>
      </c>
      <c r="B10192" s="74" t="s">
        <v>1498</v>
      </c>
      <c r="C10192" s="74" t="s">
        <v>458</v>
      </c>
    </row>
    <row r="10193" spans="1:3">
      <c r="A10193" s="250">
        <v>25358</v>
      </c>
      <c r="B10193" s="74" t="s">
        <v>1498</v>
      </c>
      <c r="C10193" s="74" t="s">
        <v>458</v>
      </c>
    </row>
    <row r="10194" spans="1:3">
      <c r="A10194" s="250">
        <v>25360</v>
      </c>
      <c r="B10194" s="74" t="s">
        <v>1498</v>
      </c>
      <c r="C10194" s="74" t="s">
        <v>458</v>
      </c>
    </row>
    <row r="10195" spans="1:3">
      <c r="A10195" s="250">
        <v>25361</v>
      </c>
      <c r="B10195" s="74" t="s">
        <v>1498</v>
      </c>
      <c r="C10195" s="74" t="s">
        <v>458</v>
      </c>
    </row>
    <row r="10196" spans="1:3">
      <c r="A10196" s="250">
        <v>25362</v>
      </c>
      <c r="B10196" s="74" t="s">
        <v>1498</v>
      </c>
      <c r="C10196" s="74" t="s">
        <v>458</v>
      </c>
    </row>
    <row r="10197" spans="1:3">
      <c r="A10197" s="250">
        <v>25364</v>
      </c>
      <c r="B10197" s="74" t="s">
        <v>1498</v>
      </c>
      <c r="C10197" s="74" t="s">
        <v>458</v>
      </c>
    </row>
    <row r="10198" spans="1:3">
      <c r="A10198" s="250">
        <v>25365</v>
      </c>
      <c r="B10198" s="74" t="s">
        <v>1498</v>
      </c>
      <c r="C10198" s="74" t="s">
        <v>458</v>
      </c>
    </row>
    <row r="10199" spans="1:3">
      <c r="A10199" s="250">
        <v>25375</v>
      </c>
      <c r="B10199" s="74" t="s">
        <v>1498</v>
      </c>
      <c r="C10199" s="74" t="s">
        <v>458</v>
      </c>
    </row>
    <row r="10200" spans="1:3">
      <c r="A10200" s="250">
        <v>25387</v>
      </c>
      <c r="B10200" s="74" t="s">
        <v>1498</v>
      </c>
      <c r="C10200" s="74" t="s">
        <v>458</v>
      </c>
    </row>
    <row r="10201" spans="1:3">
      <c r="A10201" s="250">
        <v>25389</v>
      </c>
      <c r="B10201" s="74" t="s">
        <v>1498</v>
      </c>
      <c r="C10201" s="74" t="s">
        <v>458</v>
      </c>
    </row>
    <row r="10202" spans="1:3">
      <c r="A10202" s="250">
        <v>25392</v>
      </c>
      <c r="B10202" s="74" t="s">
        <v>1498</v>
      </c>
      <c r="C10202" s="74" t="s">
        <v>458</v>
      </c>
    </row>
    <row r="10203" spans="1:3">
      <c r="A10203" s="250">
        <v>25396</v>
      </c>
      <c r="B10203" s="74" t="s">
        <v>1498</v>
      </c>
      <c r="C10203" s="74" t="s">
        <v>458</v>
      </c>
    </row>
    <row r="10204" spans="1:3">
      <c r="A10204" s="250">
        <v>25401</v>
      </c>
      <c r="B10204" s="74" t="s">
        <v>3476</v>
      </c>
      <c r="C10204" s="74" t="s">
        <v>458</v>
      </c>
    </row>
    <row r="10205" spans="1:3">
      <c r="A10205" s="250">
        <v>25402</v>
      </c>
      <c r="B10205" s="74" t="s">
        <v>3476</v>
      </c>
      <c r="C10205" s="74" t="s">
        <v>458</v>
      </c>
    </row>
    <row r="10206" spans="1:3">
      <c r="A10206" s="250">
        <v>25403</v>
      </c>
      <c r="B10206" s="74" t="s">
        <v>3476</v>
      </c>
      <c r="C10206" s="74" t="s">
        <v>458</v>
      </c>
    </row>
    <row r="10207" spans="1:3">
      <c r="A10207" s="250">
        <v>25404</v>
      </c>
      <c r="B10207" s="74" t="s">
        <v>3476</v>
      </c>
      <c r="C10207" s="74" t="s">
        <v>458</v>
      </c>
    </row>
    <row r="10208" spans="1:3">
      <c r="A10208" s="250">
        <v>25405</v>
      </c>
      <c r="B10208" s="74" t="s">
        <v>3476</v>
      </c>
      <c r="C10208" s="74" t="s">
        <v>458</v>
      </c>
    </row>
    <row r="10209" spans="1:3">
      <c r="A10209" s="250">
        <v>25410</v>
      </c>
      <c r="B10209" s="74" t="s">
        <v>6682</v>
      </c>
      <c r="C10209" s="74" t="s">
        <v>458</v>
      </c>
    </row>
    <row r="10210" spans="1:3">
      <c r="A10210" s="250">
        <v>25411</v>
      </c>
      <c r="B10210" s="74" t="s">
        <v>6683</v>
      </c>
      <c r="C10210" s="74" t="s">
        <v>458</v>
      </c>
    </row>
    <row r="10211" spans="1:3">
      <c r="A10211" s="250">
        <v>25413</v>
      </c>
      <c r="B10211" s="74" t="s">
        <v>6684</v>
      </c>
      <c r="C10211" s="74" t="s">
        <v>458</v>
      </c>
    </row>
    <row r="10212" spans="1:3">
      <c r="A10212" s="250">
        <v>25414</v>
      </c>
      <c r="B10212" s="74" t="s">
        <v>6685</v>
      </c>
      <c r="C10212" s="74" t="s">
        <v>458</v>
      </c>
    </row>
    <row r="10213" spans="1:3">
      <c r="A10213" s="250">
        <v>25419</v>
      </c>
      <c r="B10213" s="74" t="s">
        <v>6686</v>
      </c>
      <c r="C10213" s="74" t="s">
        <v>458</v>
      </c>
    </row>
    <row r="10214" spans="1:3">
      <c r="A10214" s="250">
        <v>25420</v>
      </c>
      <c r="B10214" s="74" t="s">
        <v>6687</v>
      </c>
      <c r="C10214" s="74" t="s">
        <v>458</v>
      </c>
    </row>
    <row r="10215" spans="1:3">
      <c r="A10215" s="250">
        <v>25421</v>
      </c>
      <c r="B10215" s="74" t="s">
        <v>6688</v>
      </c>
      <c r="C10215" s="74" t="s">
        <v>458</v>
      </c>
    </row>
    <row r="10216" spans="1:3">
      <c r="A10216" s="250">
        <v>25422</v>
      </c>
      <c r="B10216" s="74" t="s">
        <v>6689</v>
      </c>
      <c r="C10216" s="74" t="s">
        <v>458</v>
      </c>
    </row>
    <row r="10217" spans="1:3">
      <c r="A10217" s="250">
        <v>25423</v>
      </c>
      <c r="B10217" s="74" t="s">
        <v>6690</v>
      </c>
      <c r="C10217" s="74" t="s">
        <v>458</v>
      </c>
    </row>
    <row r="10218" spans="1:3">
      <c r="A10218" s="250">
        <v>25425</v>
      </c>
      <c r="B10218" s="74" t="s">
        <v>6691</v>
      </c>
      <c r="C10218" s="74" t="s">
        <v>458</v>
      </c>
    </row>
    <row r="10219" spans="1:3">
      <c r="A10219" s="250">
        <v>25427</v>
      </c>
      <c r="B10219" s="74" t="s">
        <v>6692</v>
      </c>
      <c r="C10219" s="74" t="s">
        <v>458</v>
      </c>
    </row>
    <row r="10220" spans="1:3">
      <c r="A10220" s="250">
        <v>25428</v>
      </c>
      <c r="B10220" s="74" t="s">
        <v>2730</v>
      </c>
      <c r="C10220" s="74" t="s">
        <v>458</v>
      </c>
    </row>
    <row r="10221" spans="1:3">
      <c r="A10221" s="250">
        <v>25429</v>
      </c>
      <c r="B10221" s="74" t="s">
        <v>3476</v>
      </c>
      <c r="C10221" s="74" t="s">
        <v>458</v>
      </c>
    </row>
    <row r="10222" spans="1:3">
      <c r="A10222" s="250">
        <v>25430</v>
      </c>
      <c r="B10222" s="74" t="s">
        <v>6693</v>
      </c>
      <c r="C10222" s="74" t="s">
        <v>458</v>
      </c>
    </row>
    <row r="10223" spans="1:3">
      <c r="A10223" s="250">
        <v>25431</v>
      </c>
      <c r="B10223" s="74" t="s">
        <v>6694</v>
      </c>
      <c r="C10223" s="74" t="s">
        <v>458</v>
      </c>
    </row>
    <row r="10224" spans="1:3">
      <c r="A10224" s="250">
        <v>25432</v>
      </c>
      <c r="B10224" s="74" t="s">
        <v>746</v>
      </c>
      <c r="C10224" s="74" t="s">
        <v>458</v>
      </c>
    </row>
    <row r="10225" spans="1:3">
      <c r="A10225" s="250">
        <v>25434</v>
      </c>
      <c r="B10225" s="74" t="s">
        <v>6695</v>
      </c>
      <c r="C10225" s="74" t="s">
        <v>458</v>
      </c>
    </row>
    <row r="10226" spans="1:3">
      <c r="A10226" s="250">
        <v>25437</v>
      </c>
      <c r="B10226" s="74" t="s">
        <v>6696</v>
      </c>
      <c r="C10226" s="74" t="s">
        <v>458</v>
      </c>
    </row>
    <row r="10227" spans="1:3">
      <c r="A10227" s="250">
        <v>25438</v>
      </c>
      <c r="B10227" s="74" t="s">
        <v>6697</v>
      </c>
      <c r="C10227" s="74" t="s">
        <v>458</v>
      </c>
    </row>
    <row r="10228" spans="1:3">
      <c r="A10228" s="250">
        <v>25440</v>
      </c>
      <c r="B10228" s="74" t="s">
        <v>6297</v>
      </c>
      <c r="C10228" s="74" t="s">
        <v>458</v>
      </c>
    </row>
    <row r="10229" spans="1:3">
      <c r="A10229" s="250">
        <v>25441</v>
      </c>
      <c r="B10229" s="74" t="s">
        <v>6698</v>
      </c>
      <c r="C10229" s="74" t="s">
        <v>458</v>
      </c>
    </row>
    <row r="10230" spans="1:3">
      <c r="A10230" s="250">
        <v>25442</v>
      </c>
      <c r="B10230" s="74" t="s">
        <v>6699</v>
      </c>
      <c r="C10230" s="74" t="s">
        <v>458</v>
      </c>
    </row>
    <row r="10231" spans="1:3">
      <c r="A10231" s="250">
        <v>25443</v>
      </c>
      <c r="B10231" s="74" t="s">
        <v>6700</v>
      </c>
      <c r="C10231" s="74" t="s">
        <v>458</v>
      </c>
    </row>
    <row r="10232" spans="1:3">
      <c r="A10232" s="250">
        <v>25444</v>
      </c>
      <c r="B10232" s="74" t="s">
        <v>6701</v>
      </c>
      <c r="C10232" s="74" t="s">
        <v>458</v>
      </c>
    </row>
    <row r="10233" spans="1:3">
      <c r="A10233" s="250">
        <v>25446</v>
      </c>
      <c r="B10233" s="74" t="s">
        <v>6702</v>
      </c>
      <c r="C10233" s="74" t="s">
        <v>458</v>
      </c>
    </row>
    <row r="10234" spans="1:3">
      <c r="A10234" s="250">
        <v>25501</v>
      </c>
      <c r="B10234" s="74" t="s">
        <v>6703</v>
      </c>
      <c r="C10234" s="74" t="s">
        <v>458</v>
      </c>
    </row>
    <row r="10235" spans="1:3">
      <c r="A10235" s="250">
        <v>25502</v>
      </c>
      <c r="B10235" s="74" t="s">
        <v>6704</v>
      </c>
      <c r="C10235" s="74" t="s">
        <v>458</v>
      </c>
    </row>
    <row r="10236" spans="1:3">
      <c r="A10236" s="250">
        <v>25503</v>
      </c>
      <c r="B10236" s="74" t="s">
        <v>5637</v>
      </c>
      <c r="C10236" s="74" t="s">
        <v>458</v>
      </c>
    </row>
    <row r="10237" spans="1:3">
      <c r="A10237" s="250">
        <v>25504</v>
      </c>
      <c r="B10237" s="74" t="s">
        <v>6004</v>
      </c>
      <c r="C10237" s="74" t="s">
        <v>458</v>
      </c>
    </row>
    <row r="10238" spans="1:3">
      <c r="A10238" s="250">
        <v>25505</v>
      </c>
      <c r="B10238" s="74" t="s">
        <v>6705</v>
      </c>
      <c r="C10238" s="74" t="s">
        <v>458</v>
      </c>
    </row>
    <row r="10239" spans="1:3">
      <c r="A10239" s="250">
        <v>25506</v>
      </c>
      <c r="B10239" s="74" t="s">
        <v>6706</v>
      </c>
      <c r="C10239" s="74" t="s">
        <v>458</v>
      </c>
    </row>
    <row r="10240" spans="1:3">
      <c r="A10240" s="250">
        <v>25507</v>
      </c>
      <c r="B10240" s="74" t="s">
        <v>6707</v>
      </c>
      <c r="C10240" s="74" t="s">
        <v>458</v>
      </c>
    </row>
    <row r="10241" spans="1:3">
      <c r="A10241" s="250">
        <v>25508</v>
      </c>
      <c r="B10241" s="74" t="s">
        <v>6708</v>
      </c>
      <c r="C10241" s="74" t="s">
        <v>458</v>
      </c>
    </row>
    <row r="10242" spans="1:3">
      <c r="A10242" s="250">
        <v>25510</v>
      </c>
      <c r="B10242" s="74" t="s">
        <v>6709</v>
      </c>
      <c r="C10242" s="74" t="s">
        <v>458</v>
      </c>
    </row>
    <row r="10243" spans="1:3">
      <c r="A10243" s="250">
        <v>25511</v>
      </c>
      <c r="B10243" s="74" t="s">
        <v>6710</v>
      </c>
      <c r="C10243" s="74" t="s">
        <v>458</v>
      </c>
    </row>
    <row r="10244" spans="1:3">
      <c r="A10244" s="250">
        <v>25512</v>
      </c>
      <c r="B10244" s="74" t="s">
        <v>6711</v>
      </c>
      <c r="C10244" s="74" t="s">
        <v>458</v>
      </c>
    </row>
    <row r="10245" spans="1:3">
      <c r="A10245" s="250">
        <v>25514</v>
      </c>
      <c r="B10245" s="74" t="s">
        <v>6712</v>
      </c>
      <c r="C10245" s="74" t="s">
        <v>458</v>
      </c>
    </row>
    <row r="10246" spans="1:3">
      <c r="A10246" s="250">
        <v>25515</v>
      </c>
      <c r="B10246" s="74" t="s">
        <v>6713</v>
      </c>
      <c r="C10246" s="74" t="s">
        <v>458</v>
      </c>
    </row>
    <row r="10247" spans="1:3">
      <c r="A10247" s="250">
        <v>25517</v>
      </c>
      <c r="B10247" s="74" t="s">
        <v>3366</v>
      </c>
      <c r="C10247" s="74" t="s">
        <v>458</v>
      </c>
    </row>
    <row r="10248" spans="1:3">
      <c r="A10248" s="250">
        <v>25520</v>
      </c>
      <c r="B10248" s="74" t="s">
        <v>2187</v>
      </c>
      <c r="C10248" s="74" t="s">
        <v>458</v>
      </c>
    </row>
    <row r="10249" spans="1:3">
      <c r="A10249" s="250">
        <v>25521</v>
      </c>
      <c r="B10249" s="74" t="s">
        <v>6714</v>
      </c>
      <c r="C10249" s="74" t="s">
        <v>458</v>
      </c>
    </row>
    <row r="10250" spans="1:3">
      <c r="A10250" s="250">
        <v>25523</v>
      </c>
      <c r="B10250" s="74" t="s">
        <v>3778</v>
      </c>
      <c r="C10250" s="74" t="s">
        <v>458</v>
      </c>
    </row>
    <row r="10251" spans="1:3">
      <c r="A10251" s="250">
        <v>25524</v>
      </c>
      <c r="B10251" s="74" t="s">
        <v>6715</v>
      </c>
      <c r="C10251" s="74" t="s">
        <v>458</v>
      </c>
    </row>
    <row r="10252" spans="1:3">
      <c r="A10252" s="250">
        <v>25526</v>
      </c>
      <c r="B10252" s="74" t="s">
        <v>6716</v>
      </c>
      <c r="C10252" s="74" t="s">
        <v>458</v>
      </c>
    </row>
    <row r="10253" spans="1:3">
      <c r="A10253" s="250">
        <v>25529</v>
      </c>
      <c r="B10253" s="74" t="s">
        <v>4629</v>
      </c>
      <c r="C10253" s="74" t="s">
        <v>458</v>
      </c>
    </row>
    <row r="10254" spans="1:3">
      <c r="A10254" s="250">
        <v>25530</v>
      </c>
      <c r="B10254" s="74" t="s">
        <v>6717</v>
      </c>
      <c r="C10254" s="74" t="s">
        <v>458</v>
      </c>
    </row>
    <row r="10255" spans="1:3">
      <c r="A10255" s="250">
        <v>25534</v>
      </c>
      <c r="B10255" s="74" t="s">
        <v>6718</v>
      </c>
      <c r="C10255" s="74" t="s">
        <v>458</v>
      </c>
    </row>
    <row r="10256" spans="1:3">
      <c r="A10256" s="250">
        <v>25535</v>
      </c>
      <c r="B10256" s="74" t="s">
        <v>6719</v>
      </c>
      <c r="C10256" s="74" t="s">
        <v>458</v>
      </c>
    </row>
    <row r="10257" spans="1:3">
      <c r="A10257" s="250">
        <v>25537</v>
      </c>
      <c r="B10257" s="74" t="s">
        <v>6720</v>
      </c>
      <c r="C10257" s="74" t="s">
        <v>458</v>
      </c>
    </row>
    <row r="10258" spans="1:3">
      <c r="A10258" s="250">
        <v>25540</v>
      </c>
      <c r="B10258" s="74" t="s">
        <v>6721</v>
      </c>
      <c r="C10258" s="74" t="s">
        <v>458</v>
      </c>
    </row>
    <row r="10259" spans="1:3">
      <c r="A10259" s="250">
        <v>25541</v>
      </c>
      <c r="B10259" s="74" t="s">
        <v>927</v>
      </c>
      <c r="C10259" s="74" t="s">
        <v>458</v>
      </c>
    </row>
    <row r="10260" spans="1:3">
      <c r="A10260" s="250">
        <v>25544</v>
      </c>
      <c r="B10260" s="74" t="s">
        <v>6722</v>
      </c>
      <c r="C10260" s="74" t="s">
        <v>458</v>
      </c>
    </row>
    <row r="10261" spans="1:3">
      <c r="A10261" s="250">
        <v>25545</v>
      </c>
      <c r="B10261" s="74" t="s">
        <v>6723</v>
      </c>
      <c r="C10261" s="74" t="s">
        <v>458</v>
      </c>
    </row>
    <row r="10262" spans="1:3">
      <c r="A10262" s="250">
        <v>25547</v>
      </c>
      <c r="B10262" s="74" t="s">
        <v>6724</v>
      </c>
      <c r="C10262" s="74" t="s">
        <v>458</v>
      </c>
    </row>
    <row r="10263" spans="1:3">
      <c r="A10263" s="250">
        <v>25550</v>
      </c>
      <c r="B10263" s="74" t="s">
        <v>5289</v>
      </c>
      <c r="C10263" s="74" t="s">
        <v>458</v>
      </c>
    </row>
    <row r="10264" spans="1:3">
      <c r="A10264" s="250">
        <v>25555</v>
      </c>
      <c r="B10264" s="74" t="s">
        <v>6725</v>
      </c>
      <c r="C10264" s="74" t="s">
        <v>458</v>
      </c>
    </row>
    <row r="10265" spans="1:3">
      <c r="A10265" s="250">
        <v>25557</v>
      </c>
      <c r="B10265" s="74" t="s">
        <v>6726</v>
      </c>
      <c r="C10265" s="74" t="s">
        <v>458</v>
      </c>
    </row>
    <row r="10266" spans="1:3">
      <c r="A10266" s="250">
        <v>25559</v>
      </c>
      <c r="B10266" s="74" t="s">
        <v>6727</v>
      </c>
      <c r="C10266" s="74" t="s">
        <v>458</v>
      </c>
    </row>
    <row r="10267" spans="1:3">
      <c r="A10267" s="250">
        <v>25560</v>
      </c>
      <c r="B10267" s="74" t="s">
        <v>6728</v>
      </c>
      <c r="C10267" s="74" t="s">
        <v>458</v>
      </c>
    </row>
    <row r="10268" spans="1:3">
      <c r="A10268" s="250">
        <v>25562</v>
      </c>
      <c r="B10268" s="74" t="s">
        <v>6729</v>
      </c>
      <c r="C10268" s="74" t="s">
        <v>458</v>
      </c>
    </row>
    <row r="10269" spans="1:3">
      <c r="A10269" s="250">
        <v>25564</v>
      </c>
      <c r="B10269" s="74" t="s">
        <v>6730</v>
      </c>
      <c r="C10269" s="74" t="s">
        <v>458</v>
      </c>
    </row>
    <row r="10270" spans="1:3">
      <c r="A10270" s="250">
        <v>25565</v>
      </c>
      <c r="B10270" s="74" t="s">
        <v>6731</v>
      </c>
      <c r="C10270" s="74" t="s">
        <v>458</v>
      </c>
    </row>
    <row r="10271" spans="1:3">
      <c r="A10271" s="250">
        <v>25567</v>
      </c>
      <c r="B10271" s="74" t="s">
        <v>6732</v>
      </c>
      <c r="C10271" s="74" t="s">
        <v>458</v>
      </c>
    </row>
    <row r="10272" spans="1:3">
      <c r="A10272" s="250">
        <v>25569</v>
      </c>
      <c r="B10272" s="74" t="s">
        <v>6733</v>
      </c>
      <c r="C10272" s="74" t="s">
        <v>458</v>
      </c>
    </row>
    <row r="10273" spans="1:3">
      <c r="A10273" s="250">
        <v>25570</v>
      </c>
      <c r="B10273" s="74" t="s">
        <v>1464</v>
      </c>
      <c r="C10273" s="74" t="s">
        <v>458</v>
      </c>
    </row>
    <row r="10274" spans="1:3">
      <c r="A10274" s="250">
        <v>25571</v>
      </c>
      <c r="B10274" s="74" t="s">
        <v>6734</v>
      </c>
      <c r="C10274" s="74" t="s">
        <v>458</v>
      </c>
    </row>
    <row r="10275" spans="1:3">
      <c r="A10275" s="250">
        <v>25572</v>
      </c>
      <c r="B10275" s="74" t="s">
        <v>804</v>
      </c>
      <c r="C10275" s="74" t="s">
        <v>458</v>
      </c>
    </row>
    <row r="10276" spans="1:3">
      <c r="A10276" s="250">
        <v>25573</v>
      </c>
      <c r="B10276" s="74" t="s">
        <v>6735</v>
      </c>
      <c r="C10276" s="74" t="s">
        <v>458</v>
      </c>
    </row>
    <row r="10277" spans="1:3">
      <c r="A10277" s="250">
        <v>25601</v>
      </c>
      <c r="B10277" s="74" t="s">
        <v>6736</v>
      </c>
      <c r="C10277" s="74" t="s">
        <v>458</v>
      </c>
    </row>
    <row r="10278" spans="1:3">
      <c r="A10278" s="250">
        <v>25606</v>
      </c>
      <c r="B10278" s="74" t="s">
        <v>6737</v>
      </c>
      <c r="C10278" s="74" t="s">
        <v>458</v>
      </c>
    </row>
    <row r="10279" spans="1:3">
      <c r="A10279" s="250">
        <v>25607</v>
      </c>
      <c r="B10279" s="74" t="s">
        <v>6738</v>
      </c>
      <c r="C10279" s="74" t="s">
        <v>458</v>
      </c>
    </row>
    <row r="10280" spans="1:3">
      <c r="A10280" s="250">
        <v>25608</v>
      </c>
      <c r="B10280" s="74" t="s">
        <v>6739</v>
      </c>
      <c r="C10280" s="74" t="s">
        <v>458</v>
      </c>
    </row>
    <row r="10281" spans="1:3">
      <c r="A10281" s="250">
        <v>25611</v>
      </c>
      <c r="B10281" s="74" t="s">
        <v>6740</v>
      </c>
      <c r="C10281" s="74" t="s">
        <v>458</v>
      </c>
    </row>
    <row r="10282" spans="1:3">
      <c r="A10282" s="250">
        <v>25612</v>
      </c>
      <c r="B10282" s="74" t="s">
        <v>6741</v>
      </c>
      <c r="C10282" s="74" t="s">
        <v>458</v>
      </c>
    </row>
    <row r="10283" spans="1:3">
      <c r="A10283" s="250">
        <v>25614</v>
      </c>
      <c r="B10283" s="74" t="s">
        <v>6742</v>
      </c>
      <c r="C10283" s="74" t="s">
        <v>458</v>
      </c>
    </row>
    <row r="10284" spans="1:3">
      <c r="A10284" s="250">
        <v>25617</v>
      </c>
      <c r="B10284" s="74" t="s">
        <v>6743</v>
      </c>
      <c r="C10284" s="74" t="s">
        <v>458</v>
      </c>
    </row>
    <row r="10285" spans="1:3">
      <c r="A10285" s="250">
        <v>25621</v>
      </c>
      <c r="B10285" s="74" t="s">
        <v>5122</v>
      </c>
      <c r="C10285" s="74" t="s">
        <v>458</v>
      </c>
    </row>
    <row r="10286" spans="1:3">
      <c r="A10286" s="250">
        <v>25624</v>
      </c>
      <c r="B10286" s="74" t="s">
        <v>6744</v>
      </c>
      <c r="C10286" s="74" t="s">
        <v>458</v>
      </c>
    </row>
    <row r="10287" spans="1:3">
      <c r="A10287" s="250">
        <v>25625</v>
      </c>
      <c r="B10287" s="74" t="s">
        <v>738</v>
      </c>
      <c r="C10287" s="74" t="s">
        <v>458</v>
      </c>
    </row>
    <row r="10288" spans="1:3">
      <c r="A10288" s="250">
        <v>25628</v>
      </c>
      <c r="B10288" s="74" t="s">
        <v>6745</v>
      </c>
      <c r="C10288" s="74" t="s">
        <v>458</v>
      </c>
    </row>
    <row r="10289" spans="1:3">
      <c r="A10289" s="250">
        <v>25630</v>
      </c>
      <c r="B10289" s="74" t="s">
        <v>6746</v>
      </c>
      <c r="C10289" s="74" t="s">
        <v>458</v>
      </c>
    </row>
    <row r="10290" spans="1:3">
      <c r="A10290" s="250">
        <v>25632</v>
      </c>
      <c r="B10290" s="74" t="s">
        <v>6747</v>
      </c>
      <c r="C10290" s="74" t="s">
        <v>458</v>
      </c>
    </row>
    <row r="10291" spans="1:3">
      <c r="A10291" s="250">
        <v>25634</v>
      </c>
      <c r="B10291" s="74" t="s">
        <v>3381</v>
      </c>
      <c r="C10291" s="74" t="s">
        <v>458</v>
      </c>
    </row>
    <row r="10292" spans="1:3">
      <c r="A10292" s="250">
        <v>25635</v>
      </c>
      <c r="B10292" s="74" t="s">
        <v>6748</v>
      </c>
      <c r="C10292" s="74" t="s">
        <v>458</v>
      </c>
    </row>
    <row r="10293" spans="1:3">
      <c r="A10293" s="250">
        <v>25637</v>
      </c>
      <c r="B10293" s="74" t="s">
        <v>6749</v>
      </c>
      <c r="C10293" s="74" t="s">
        <v>458</v>
      </c>
    </row>
    <row r="10294" spans="1:3">
      <c r="A10294" s="250">
        <v>25638</v>
      </c>
      <c r="B10294" s="74" t="s">
        <v>6750</v>
      </c>
      <c r="C10294" s="74" t="s">
        <v>458</v>
      </c>
    </row>
    <row r="10295" spans="1:3">
      <c r="A10295" s="250">
        <v>25639</v>
      </c>
      <c r="B10295" s="74" t="s">
        <v>6751</v>
      </c>
      <c r="C10295" s="74" t="s">
        <v>458</v>
      </c>
    </row>
    <row r="10296" spans="1:3">
      <c r="A10296" s="250">
        <v>25644</v>
      </c>
      <c r="B10296" s="74" t="s">
        <v>6752</v>
      </c>
      <c r="C10296" s="74" t="s">
        <v>458</v>
      </c>
    </row>
    <row r="10297" spans="1:3">
      <c r="A10297" s="250">
        <v>25646</v>
      </c>
      <c r="B10297" s="74" t="s">
        <v>6753</v>
      </c>
      <c r="C10297" s="74" t="s">
        <v>458</v>
      </c>
    </row>
    <row r="10298" spans="1:3">
      <c r="A10298" s="250">
        <v>25647</v>
      </c>
      <c r="B10298" s="74" t="s">
        <v>6754</v>
      </c>
      <c r="C10298" s="74" t="s">
        <v>458</v>
      </c>
    </row>
    <row r="10299" spans="1:3">
      <c r="A10299" s="250">
        <v>25649</v>
      </c>
      <c r="B10299" s="74" t="s">
        <v>6755</v>
      </c>
      <c r="C10299" s="74" t="s">
        <v>458</v>
      </c>
    </row>
    <row r="10300" spans="1:3">
      <c r="A10300" s="250">
        <v>25650</v>
      </c>
      <c r="B10300" s="74" t="s">
        <v>6756</v>
      </c>
      <c r="C10300" s="74" t="s">
        <v>458</v>
      </c>
    </row>
    <row r="10301" spans="1:3">
      <c r="A10301" s="250">
        <v>25651</v>
      </c>
      <c r="B10301" s="74" t="s">
        <v>6757</v>
      </c>
      <c r="C10301" s="74" t="s">
        <v>458</v>
      </c>
    </row>
    <row r="10302" spans="1:3">
      <c r="A10302" s="250">
        <v>25652</v>
      </c>
      <c r="B10302" s="74" t="s">
        <v>965</v>
      </c>
      <c r="C10302" s="74" t="s">
        <v>458</v>
      </c>
    </row>
    <row r="10303" spans="1:3">
      <c r="A10303" s="250">
        <v>25653</v>
      </c>
      <c r="B10303" s="74" t="s">
        <v>6758</v>
      </c>
      <c r="C10303" s="74" t="s">
        <v>458</v>
      </c>
    </row>
    <row r="10304" spans="1:3">
      <c r="A10304" s="250">
        <v>25654</v>
      </c>
      <c r="B10304" s="74" t="s">
        <v>6759</v>
      </c>
      <c r="C10304" s="74" t="s">
        <v>458</v>
      </c>
    </row>
    <row r="10305" spans="1:3">
      <c r="A10305" s="250">
        <v>25661</v>
      </c>
      <c r="B10305" s="74" t="s">
        <v>3839</v>
      </c>
      <c r="C10305" s="74" t="s">
        <v>458</v>
      </c>
    </row>
    <row r="10306" spans="1:3">
      <c r="A10306" s="250">
        <v>25665</v>
      </c>
      <c r="B10306" s="74" t="s">
        <v>6760</v>
      </c>
      <c r="C10306" s="74" t="s">
        <v>458</v>
      </c>
    </row>
    <row r="10307" spans="1:3">
      <c r="A10307" s="250">
        <v>25666</v>
      </c>
      <c r="B10307" s="74" t="s">
        <v>6761</v>
      </c>
      <c r="C10307" s="74" t="s">
        <v>458</v>
      </c>
    </row>
    <row r="10308" spans="1:3">
      <c r="A10308" s="250">
        <v>25667</v>
      </c>
      <c r="B10308" s="74" t="s">
        <v>6762</v>
      </c>
      <c r="C10308" s="74" t="s">
        <v>458</v>
      </c>
    </row>
    <row r="10309" spans="1:3">
      <c r="A10309" s="250">
        <v>25669</v>
      </c>
      <c r="B10309" s="74" t="s">
        <v>6763</v>
      </c>
      <c r="C10309" s="74" t="s">
        <v>458</v>
      </c>
    </row>
    <row r="10310" spans="1:3">
      <c r="A10310" s="250">
        <v>25670</v>
      </c>
      <c r="B10310" s="74" t="s">
        <v>6764</v>
      </c>
      <c r="C10310" s="74" t="s">
        <v>458</v>
      </c>
    </row>
    <row r="10311" spans="1:3">
      <c r="A10311" s="250">
        <v>25671</v>
      </c>
      <c r="B10311" s="74" t="s">
        <v>6765</v>
      </c>
      <c r="C10311" s="74" t="s">
        <v>458</v>
      </c>
    </row>
    <row r="10312" spans="1:3">
      <c r="A10312" s="250">
        <v>25672</v>
      </c>
      <c r="B10312" s="74" t="s">
        <v>6766</v>
      </c>
      <c r="C10312" s="74" t="s">
        <v>458</v>
      </c>
    </row>
    <row r="10313" spans="1:3">
      <c r="A10313" s="250">
        <v>25674</v>
      </c>
      <c r="B10313" s="74" t="s">
        <v>6767</v>
      </c>
      <c r="C10313" s="74" t="s">
        <v>458</v>
      </c>
    </row>
    <row r="10314" spans="1:3">
      <c r="A10314" s="250">
        <v>25676</v>
      </c>
      <c r="B10314" s="74" t="s">
        <v>6768</v>
      </c>
      <c r="C10314" s="74" t="s">
        <v>458</v>
      </c>
    </row>
    <row r="10315" spans="1:3">
      <c r="A10315" s="250">
        <v>25678</v>
      </c>
      <c r="B10315" s="74" t="s">
        <v>6769</v>
      </c>
      <c r="C10315" s="74" t="s">
        <v>458</v>
      </c>
    </row>
    <row r="10316" spans="1:3">
      <c r="A10316" s="250">
        <v>25685</v>
      </c>
      <c r="B10316" s="74" t="s">
        <v>2087</v>
      </c>
      <c r="C10316" s="74" t="s">
        <v>458</v>
      </c>
    </row>
    <row r="10317" spans="1:3">
      <c r="A10317" s="250">
        <v>25686</v>
      </c>
      <c r="B10317" s="74" t="s">
        <v>2058</v>
      </c>
      <c r="C10317" s="74" t="s">
        <v>458</v>
      </c>
    </row>
    <row r="10318" spans="1:3">
      <c r="A10318" s="250">
        <v>25688</v>
      </c>
      <c r="B10318" s="74" t="s">
        <v>6770</v>
      </c>
      <c r="C10318" s="74" t="s">
        <v>458</v>
      </c>
    </row>
    <row r="10319" spans="1:3">
      <c r="A10319" s="250">
        <v>25690</v>
      </c>
      <c r="B10319" s="74" t="s">
        <v>6771</v>
      </c>
      <c r="C10319" s="74" t="s">
        <v>458</v>
      </c>
    </row>
    <row r="10320" spans="1:3">
      <c r="A10320" s="250">
        <v>25691</v>
      </c>
      <c r="B10320" s="74" t="s">
        <v>6772</v>
      </c>
      <c r="C10320" s="74" t="s">
        <v>458</v>
      </c>
    </row>
    <row r="10321" spans="1:3">
      <c r="A10321" s="250">
        <v>25692</v>
      </c>
      <c r="B10321" s="74" t="s">
        <v>6773</v>
      </c>
      <c r="C10321" s="74" t="s">
        <v>458</v>
      </c>
    </row>
    <row r="10322" spans="1:3">
      <c r="A10322" s="250">
        <v>25696</v>
      </c>
      <c r="B10322" s="74" t="s">
        <v>6774</v>
      </c>
      <c r="C10322" s="74" t="s">
        <v>458</v>
      </c>
    </row>
    <row r="10323" spans="1:3">
      <c r="A10323" s="250">
        <v>25699</v>
      </c>
      <c r="B10323" s="74" t="s">
        <v>6775</v>
      </c>
      <c r="C10323" s="74" t="s">
        <v>458</v>
      </c>
    </row>
    <row r="10324" spans="1:3">
      <c r="A10324" s="250">
        <v>25701</v>
      </c>
      <c r="B10324" s="74" t="s">
        <v>601</v>
      </c>
      <c r="C10324" s="74" t="s">
        <v>458</v>
      </c>
    </row>
    <row r="10325" spans="1:3">
      <c r="A10325" s="250">
        <v>25702</v>
      </c>
      <c r="B10325" s="74" t="s">
        <v>601</v>
      </c>
      <c r="C10325" s="74" t="s">
        <v>458</v>
      </c>
    </row>
    <row r="10326" spans="1:3">
      <c r="A10326" s="250">
        <v>25703</v>
      </c>
      <c r="B10326" s="74" t="s">
        <v>601</v>
      </c>
      <c r="C10326" s="74" t="s">
        <v>458</v>
      </c>
    </row>
    <row r="10327" spans="1:3">
      <c r="A10327" s="250">
        <v>25704</v>
      </c>
      <c r="B10327" s="74" t="s">
        <v>601</v>
      </c>
      <c r="C10327" s="74" t="s">
        <v>458</v>
      </c>
    </row>
    <row r="10328" spans="1:3">
      <c r="A10328" s="250">
        <v>25705</v>
      </c>
      <c r="B10328" s="74" t="s">
        <v>601</v>
      </c>
      <c r="C10328" s="74" t="s">
        <v>458</v>
      </c>
    </row>
    <row r="10329" spans="1:3">
      <c r="A10329" s="250">
        <v>25706</v>
      </c>
      <c r="B10329" s="74" t="s">
        <v>601</v>
      </c>
      <c r="C10329" s="74" t="s">
        <v>458</v>
      </c>
    </row>
    <row r="10330" spans="1:3">
      <c r="A10330" s="250">
        <v>25707</v>
      </c>
      <c r="B10330" s="74" t="s">
        <v>601</v>
      </c>
      <c r="C10330" s="74" t="s">
        <v>458</v>
      </c>
    </row>
    <row r="10331" spans="1:3">
      <c r="A10331" s="250">
        <v>25708</v>
      </c>
      <c r="B10331" s="74" t="s">
        <v>601</v>
      </c>
      <c r="C10331" s="74" t="s">
        <v>458</v>
      </c>
    </row>
    <row r="10332" spans="1:3">
      <c r="A10332" s="250">
        <v>25709</v>
      </c>
      <c r="B10332" s="74" t="s">
        <v>601</v>
      </c>
      <c r="C10332" s="74" t="s">
        <v>458</v>
      </c>
    </row>
    <row r="10333" spans="1:3">
      <c r="A10333" s="250">
        <v>25710</v>
      </c>
      <c r="B10333" s="74" t="s">
        <v>601</v>
      </c>
      <c r="C10333" s="74" t="s">
        <v>458</v>
      </c>
    </row>
    <row r="10334" spans="1:3">
      <c r="A10334" s="250">
        <v>25711</v>
      </c>
      <c r="B10334" s="74" t="s">
        <v>601</v>
      </c>
      <c r="C10334" s="74" t="s">
        <v>458</v>
      </c>
    </row>
    <row r="10335" spans="1:3">
      <c r="A10335" s="250">
        <v>25712</v>
      </c>
      <c r="B10335" s="74" t="s">
        <v>601</v>
      </c>
      <c r="C10335" s="74" t="s">
        <v>458</v>
      </c>
    </row>
    <row r="10336" spans="1:3">
      <c r="A10336" s="250">
        <v>25713</v>
      </c>
      <c r="B10336" s="74" t="s">
        <v>601</v>
      </c>
      <c r="C10336" s="74" t="s">
        <v>458</v>
      </c>
    </row>
    <row r="10337" spans="1:3">
      <c r="A10337" s="250">
        <v>25714</v>
      </c>
      <c r="B10337" s="74" t="s">
        <v>601</v>
      </c>
      <c r="C10337" s="74" t="s">
        <v>458</v>
      </c>
    </row>
    <row r="10338" spans="1:3">
      <c r="A10338" s="250">
        <v>25715</v>
      </c>
      <c r="B10338" s="74" t="s">
        <v>601</v>
      </c>
      <c r="C10338" s="74" t="s">
        <v>458</v>
      </c>
    </row>
    <row r="10339" spans="1:3">
      <c r="A10339" s="250">
        <v>25716</v>
      </c>
      <c r="B10339" s="74" t="s">
        <v>601</v>
      </c>
      <c r="C10339" s="74" t="s">
        <v>458</v>
      </c>
    </row>
    <row r="10340" spans="1:3">
      <c r="A10340" s="250">
        <v>25717</v>
      </c>
      <c r="B10340" s="74" t="s">
        <v>601</v>
      </c>
      <c r="C10340" s="74" t="s">
        <v>458</v>
      </c>
    </row>
    <row r="10341" spans="1:3">
      <c r="A10341" s="250">
        <v>25718</v>
      </c>
      <c r="B10341" s="74" t="s">
        <v>601</v>
      </c>
      <c r="C10341" s="74" t="s">
        <v>458</v>
      </c>
    </row>
    <row r="10342" spans="1:3">
      <c r="A10342" s="250">
        <v>25719</v>
      </c>
      <c r="B10342" s="74" t="s">
        <v>601</v>
      </c>
      <c r="C10342" s="74" t="s">
        <v>458</v>
      </c>
    </row>
    <row r="10343" spans="1:3">
      <c r="A10343" s="250">
        <v>25720</v>
      </c>
      <c r="B10343" s="74" t="s">
        <v>601</v>
      </c>
      <c r="C10343" s="74" t="s">
        <v>458</v>
      </c>
    </row>
    <row r="10344" spans="1:3">
      <c r="A10344" s="250">
        <v>25721</v>
      </c>
      <c r="B10344" s="74" t="s">
        <v>601</v>
      </c>
      <c r="C10344" s="74" t="s">
        <v>458</v>
      </c>
    </row>
    <row r="10345" spans="1:3">
      <c r="A10345" s="250">
        <v>25722</v>
      </c>
      <c r="B10345" s="74" t="s">
        <v>601</v>
      </c>
      <c r="C10345" s="74" t="s">
        <v>458</v>
      </c>
    </row>
    <row r="10346" spans="1:3">
      <c r="A10346" s="250">
        <v>25723</v>
      </c>
      <c r="B10346" s="74" t="s">
        <v>601</v>
      </c>
      <c r="C10346" s="74" t="s">
        <v>458</v>
      </c>
    </row>
    <row r="10347" spans="1:3">
      <c r="A10347" s="250">
        <v>25724</v>
      </c>
      <c r="B10347" s="74" t="s">
        <v>601</v>
      </c>
      <c r="C10347" s="74" t="s">
        <v>458</v>
      </c>
    </row>
    <row r="10348" spans="1:3">
      <c r="A10348" s="250">
        <v>25725</v>
      </c>
      <c r="B10348" s="74" t="s">
        <v>601</v>
      </c>
      <c r="C10348" s="74" t="s">
        <v>458</v>
      </c>
    </row>
    <row r="10349" spans="1:3">
      <c r="A10349" s="250">
        <v>25726</v>
      </c>
      <c r="B10349" s="74" t="s">
        <v>601</v>
      </c>
      <c r="C10349" s="74" t="s">
        <v>458</v>
      </c>
    </row>
    <row r="10350" spans="1:3">
      <c r="A10350" s="250">
        <v>25727</v>
      </c>
      <c r="B10350" s="74" t="s">
        <v>601</v>
      </c>
      <c r="C10350" s="74" t="s">
        <v>458</v>
      </c>
    </row>
    <row r="10351" spans="1:3">
      <c r="A10351" s="250">
        <v>25728</v>
      </c>
      <c r="B10351" s="74" t="s">
        <v>601</v>
      </c>
      <c r="C10351" s="74" t="s">
        <v>458</v>
      </c>
    </row>
    <row r="10352" spans="1:3">
      <c r="A10352" s="250">
        <v>25729</v>
      </c>
      <c r="B10352" s="74" t="s">
        <v>601</v>
      </c>
      <c r="C10352" s="74" t="s">
        <v>458</v>
      </c>
    </row>
    <row r="10353" spans="1:3">
      <c r="A10353" s="250">
        <v>25755</v>
      </c>
      <c r="B10353" s="74" t="s">
        <v>601</v>
      </c>
      <c r="C10353" s="74" t="s">
        <v>458</v>
      </c>
    </row>
    <row r="10354" spans="1:3">
      <c r="A10354" s="250">
        <v>25770</v>
      </c>
      <c r="B10354" s="74" t="s">
        <v>601</v>
      </c>
      <c r="C10354" s="74" t="s">
        <v>458</v>
      </c>
    </row>
    <row r="10355" spans="1:3">
      <c r="A10355" s="250">
        <v>25771</v>
      </c>
      <c r="B10355" s="74" t="s">
        <v>601</v>
      </c>
      <c r="C10355" s="74" t="s">
        <v>458</v>
      </c>
    </row>
    <row r="10356" spans="1:3">
      <c r="A10356" s="250">
        <v>25772</v>
      </c>
      <c r="B10356" s="74" t="s">
        <v>601</v>
      </c>
      <c r="C10356" s="74" t="s">
        <v>458</v>
      </c>
    </row>
    <row r="10357" spans="1:3">
      <c r="A10357" s="250">
        <v>25773</v>
      </c>
      <c r="B10357" s="74" t="s">
        <v>601</v>
      </c>
      <c r="C10357" s="74" t="s">
        <v>458</v>
      </c>
    </row>
    <row r="10358" spans="1:3">
      <c r="A10358" s="250">
        <v>25774</v>
      </c>
      <c r="B10358" s="74" t="s">
        <v>601</v>
      </c>
      <c r="C10358" s="74" t="s">
        <v>458</v>
      </c>
    </row>
    <row r="10359" spans="1:3">
      <c r="A10359" s="250">
        <v>25775</v>
      </c>
      <c r="B10359" s="74" t="s">
        <v>601</v>
      </c>
      <c r="C10359" s="74" t="s">
        <v>458</v>
      </c>
    </row>
    <row r="10360" spans="1:3">
      <c r="A10360" s="250">
        <v>25776</v>
      </c>
      <c r="B10360" s="74" t="s">
        <v>601</v>
      </c>
      <c r="C10360" s="74" t="s">
        <v>458</v>
      </c>
    </row>
    <row r="10361" spans="1:3">
      <c r="A10361" s="250">
        <v>25777</v>
      </c>
      <c r="B10361" s="74" t="s">
        <v>601</v>
      </c>
      <c r="C10361" s="74" t="s">
        <v>458</v>
      </c>
    </row>
    <row r="10362" spans="1:3">
      <c r="A10362" s="250">
        <v>25778</v>
      </c>
      <c r="B10362" s="74" t="s">
        <v>601</v>
      </c>
      <c r="C10362" s="74" t="s">
        <v>458</v>
      </c>
    </row>
    <row r="10363" spans="1:3">
      <c r="A10363" s="250">
        <v>25779</v>
      </c>
      <c r="B10363" s="74" t="s">
        <v>601</v>
      </c>
      <c r="C10363" s="74" t="s">
        <v>458</v>
      </c>
    </row>
    <row r="10364" spans="1:3">
      <c r="A10364" s="250">
        <v>25801</v>
      </c>
      <c r="B10364" s="74" t="s">
        <v>6776</v>
      </c>
      <c r="C10364" s="74" t="s">
        <v>458</v>
      </c>
    </row>
    <row r="10365" spans="1:3">
      <c r="A10365" s="250">
        <v>25802</v>
      </c>
      <c r="B10365" s="74" t="s">
        <v>6776</v>
      </c>
      <c r="C10365" s="74" t="s">
        <v>458</v>
      </c>
    </row>
    <row r="10366" spans="1:3">
      <c r="A10366" s="250">
        <v>25810</v>
      </c>
      <c r="B10366" s="74" t="s">
        <v>6777</v>
      </c>
      <c r="C10366" s="74" t="s">
        <v>458</v>
      </c>
    </row>
    <row r="10367" spans="1:3">
      <c r="A10367" s="250">
        <v>25811</v>
      </c>
      <c r="B10367" s="74" t="s">
        <v>6778</v>
      </c>
      <c r="C10367" s="74" t="s">
        <v>458</v>
      </c>
    </row>
    <row r="10368" spans="1:3">
      <c r="A10368" s="250">
        <v>25812</v>
      </c>
      <c r="B10368" s="74" t="s">
        <v>6779</v>
      </c>
      <c r="C10368" s="74" t="s">
        <v>458</v>
      </c>
    </row>
    <row r="10369" spans="1:3">
      <c r="A10369" s="250">
        <v>25813</v>
      </c>
      <c r="B10369" s="74" t="s">
        <v>3962</v>
      </c>
      <c r="C10369" s="74" t="s">
        <v>458</v>
      </c>
    </row>
    <row r="10370" spans="1:3">
      <c r="A10370" s="250">
        <v>25817</v>
      </c>
      <c r="B10370" s="74" t="s">
        <v>6780</v>
      </c>
      <c r="C10370" s="74" t="s">
        <v>458</v>
      </c>
    </row>
    <row r="10371" spans="1:3">
      <c r="A10371" s="250">
        <v>25818</v>
      </c>
      <c r="B10371" s="74" t="s">
        <v>1490</v>
      </c>
      <c r="C10371" s="74" t="s">
        <v>458</v>
      </c>
    </row>
    <row r="10372" spans="1:3">
      <c r="A10372" s="250">
        <v>25820</v>
      </c>
      <c r="B10372" s="74" t="s">
        <v>6781</v>
      </c>
      <c r="C10372" s="74" t="s">
        <v>458</v>
      </c>
    </row>
    <row r="10373" spans="1:3">
      <c r="A10373" s="250">
        <v>25823</v>
      </c>
      <c r="B10373" s="74" t="s">
        <v>6782</v>
      </c>
      <c r="C10373" s="74" t="s">
        <v>458</v>
      </c>
    </row>
    <row r="10374" spans="1:3">
      <c r="A10374" s="250">
        <v>25825</v>
      </c>
      <c r="B10374" s="74" t="s">
        <v>6783</v>
      </c>
      <c r="C10374" s="74" t="s">
        <v>458</v>
      </c>
    </row>
    <row r="10375" spans="1:3">
      <c r="A10375" s="250">
        <v>25826</v>
      </c>
      <c r="B10375" s="74" t="s">
        <v>6784</v>
      </c>
      <c r="C10375" s="74" t="s">
        <v>458</v>
      </c>
    </row>
    <row r="10376" spans="1:3">
      <c r="A10376" s="250">
        <v>25827</v>
      </c>
      <c r="B10376" s="74" t="s">
        <v>6785</v>
      </c>
      <c r="C10376" s="74" t="s">
        <v>458</v>
      </c>
    </row>
    <row r="10377" spans="1:3">
      <c r="A10377" s="250">
        <v>25831</v>
      </c>
      <c r="B10377" s="74" t="s">
        <v>6786</v>
      </c>
      <c r="C10377" s="74" t="s">
        <v>458</v>
      </c>
    </row>
    <row r="10378" spans="1:3">
      <c r="A10378" s="250">
        <v>25832</v>
      </c>
      <c r="B10378" s="74" t="s">
        <v>6787</v>
      </c>
      <c r="C10378" s="74" t="s">
        <v>458</v>
      </c>
    </row>
    <row r="10379" spans="1:3">
      <c r="A10379" s="250">
        <v>25833</v>
      </c>
      <c r="B10379" s="74" t="s">
        <v>6788</v>
      </c>
      <c r="C10379" s="74" t="s">
        <v>458</v>
      </c>
    </row>
    <row r="10380" spans="1:3">
      <c r="A10380" s="250">
        <v>25836</v>
      </c>
      <c r="B10380" s="74" t="s">
        <v>6789</v>
      </c>
      <c r="C10380" s="74" t="s">
        <v>458</v>
      </c>
    </row>
    <row r="10381" spans="1:3">
      <c r="A10381" s="250">
        <v>25837</v>
      </c>
      <c r="B10381" s="74" t="s">
        <v>6790</v>
      </c>
      <c r="C10381" s="74" t="s">
        <v>458</v>
      </c>
    </row>
    <row r="10382" spans="1:3">
      <c r="A10382" s="250">
        <v>25839</v>
      </c>
      <c r="B10382" s="74" t="s">
        <v>6791</v>
      </c>
      <c r="C10382" s="74" t="s">
        <v>458</v>
      </c>
    </row>
    <row r="10383" spans="1:3">
      <c r="A10383" s="250">
        <v>25840</v>
      </c>
      <c r="B10383" s="74" t="s">
        <v>3363</v>
      </c>
      <c r="C10383" s="74" t="s">
        <v>458</v>
      </c>
    </row>
    <row r="10384" spans="1:3">
      <c r="A10384" s="250">
        <v>25841</v>
      </c>
      <c r="B10384" s="74" t="s">
        <v>6792</v>
      </c>
      <c r="C10384" s="74" t="s">
        <v>458</v>
      </c>
    </row>
    <row r="10385" spans="1:3">
      <c r="A10385" s="250">
        <v>25843</v>
      </c>
      <c r="B10385" s="74" t="s">
        <v>2957</v>
      </c>
      <c r="C10385" s="74" t="s">
        <v>458</v>
      </c>
    </row>
    <row r="10386" spans="1:3">
      <c r="A10386" s="250">
        <v>25844</v>
      </c>
      <c r="B10386" s="74" t="s">
        <v>6793</v>
      </c>
      <c r="C10386" s="74" t="s">
        <v>458</v>
      </c>
    </row>
    <row r="10387" spans="1:3">
      <c r="A10387" s="250">
        <v>25845</v>
      </c>
      <c r="B10387" s="74" t="s">
        <v>6794</v>
      </c>
      <c r="C10387" s="74" t="s">
        <v>458</v>
      </c>
    </row>
    <row r="10388" spans="1:3">
      <c r="A10388" s="250">
        <v>25846</v>
      </c>
      <c r="B10388" s="74" t="s">
        <v>6795</v>
      </c>
      <c r="C10388" s="74" t="s">
        <v>458</v>
      </c>
    </row>
    <row r="10389" spans="1:3">
      <c r="A10389" s="250">
        <v>25848</v>
      </c>
      <c r="B10389" s="74" t="s">
        <v>6796</v>
      </c>
      <c r="C10389" s="74" t="s">
        <v>458</v>
      </c>
    </row>
    <row r="10390" spans="1:3">
      <c r="A10390" s="250">
        <v>25849</v>
      </c>
      <c r="B10390" s="74" t="s">
        <v>6797</v>
      </c>
      <c r="C10390" s="74" t="s">
        <v>458</v>
      </c>
    </row>
    <row r="10391" spans="1:3">
      <c r="A10391" s="250">
        <v>25851</v>
      </c>
      <c r="B10391" s="74" t="s">
        <v>6798</v>
      </c>
      <c r="C10391" s="74" t="s">
        <v>458</v>
      </c>
    </row>
    <row r="10392" spans="1:3">
      <c r="A10392" s="250">
        <v>25853</v>
      </c>
      <c r="B10392" s="74" t="s">
        <v>5568</v>
      </c>
      <c r="C10392" s="74" t="s">
        <v>458</v>
      </c>
    </row>
    <row r="10393" spans="1:3">
      <c r="A10393" s="250">
        <v>25854</v>
      </c>
      <c r="B10393" s="74" t="s">
        <v>6799</v>
      </c>
      <c r="C10393" s="74" t="s">
        <v>458</v>
      </c>
    </row>
    <row r="10394" spans="1:3">
      <c r="A10394" s="250">
        <v>25855</v>
      </c>
      <c r="B10394" s="74" t="s">
        <v>6800</v>
      </c>
      <c r="C10394" s="74" t="s">
        <v>458</v>
      </c>
    </row>
    <row r="10395" spans="1:3">
      <c r="A10395" s="250">
        <v>25857</v>
      </c>
      <c r="B10395" s="74" t="s">
        <v>4287</v>
      </c>
      <c r="C10395" s="74" t="s">
        <v>458</v>
      </c>
    </row>
    <row r="10396" spans="1:3">
      <c r="A10396" s="250">
        <v>25860</v>
      </c>
      <c r="B10396" s="74" t="s">
        <v>6801</v>
      </c>
      <c r="C10396" s="74" t="s">
        <v>458</v>
      </c>
    </row>
    <row r="10397" spans="1:3">
      <c r="A10397" s="250">
        <v>25862</v>
      </c>
      <c r="B10397" s="74" t="s">
        <v>3943</v>
      </c>
      <c r="C10397" s="74" t="s">
        <v>458</v>
      </c>
    </row>
    <row r="10398" spans="1:3">
      <c r="A10398" s="250">
        <v>25864</v>
      </c>
      <c r="B10398" s="74" t="s">
        <v>6802</v>
      </c>
      <c r="C10398" s="74" t="s">
        <v>458</v>
      </c>
    </row>
    <row r="10399" spans="1:3">
      <c r="A10399" s="250">
        <v>25865</v>
      </c>
      <c r="B10399" s="74" t="s">
        <v>6803</v>
      </c>
      <c r="C10399" s="74" t="s">
        <v>458</v>
      </c>
    </row>
    <row r="10400" spans="1:3">
      <c r="A10400" s="250">
        <v>25866</v>
      </c>
      <c r="B10400" s="74" t="s">
        <v>6804</v>
      </c>
      <c r="C10400" s="74" t="s">
        <v>458</v>
      </c>
    </row>
    <row r="10401" spans="1:3">
      <c r="A10401" s="250">
        <v>25868</v>
      </c>
      <c r="B10401" s="74" t="s">
        <v>6805</v>
      </c>
      <c r="C10401" s="74" t="s">
        <v>458</v>
      </c>
    </row>
    <row r="10402" spans="1:3">
      <c r="A10402" s="250">
        <v>25870</v>
      </c>
      <c r="B10402" s="74" t="s">
        <v>6806</v>
      </c>
      <c r="C10402" s="74" t="s">
        <v>458</v>
      </c>
    </row>
    <row r="10403" spans="1:3">
      <c r="A10403" s="250">
        <v>25871</v>
      </c>
      <c r="B10403" s="74" t="s">
        <v>6807</v>
      </c>
      <c r="C10403" s="74" t="s">
        <v>458</v>
      </c>
    </row>
    <row r="10404" spans="1:3">
      <c r="A10404" s="250">
        <v>25873</v>
      </c>
      <c r="B10404" s="74" t="s">
        <v>6808</v>
      </c>
      <c r="C10404" s="74" t="s">
        <v>458</v>
      </c>
    </row>
    <row r="10405" spans="1:3">
      <c r="A10405" s="250">
        <v>25875</v>
      </c>
      <c r="B10405" s="74" t="s">
        <v>6809</v>
      </c>
      <c r="C10405" s="74" t="s">
        <v>458</v>
      </c>
    </row>
    <row r="10406" spans="1:3">
      <c r="A10406" s="250">
        <v>25876</v>
      </c>
      <c r="B10406" s="74" t="s">
        <v>6810</v>
      </c>
      <c r="C10406" s="74" t="s">
        <v>458</v>
      </c>
    </row>
    <row r="10407" spans="1:3">
      <c r="A10407" s="250">
        <v>25878</v>
      </c>
      <c r="B10407" s="74" t="s">
        <v>3995</v>
      </c>
      <c r="C10407" s="74" t="s">
        <v>458</v>
      </c>
    </row>
    <row r="10408" spans="1:3">
      <c r="A10408" s="250">
        <v>25879</v>
      </c>
      <c r="B10408" s="74" t="s">
        <v>6811</v>
      </c>
      <c r="C10408" s="74" t="s">
        <v>458</v>
      </c>
    </row>
    <row r="10409" spans="1:3">
      <c r="A10409" s="250">
        <v>25880</v>
      </c>
      <c r="B10409" s="74" t="s">
        <v>6812</v>
      </c>
      <c r="C10409" s="74" t="s">
        <v>458</v>
      </c>
    </row>
    <row r="10410" spans="1:3">
      <c r="A10410" s="250">
        <v>25882</v>
      </c>
      <c r="B10410" s="74" t="s">
        <v>6813</v>
      </c>
      <c r="C10410" s="74" t="s">
        <v>458</v>
      </c>
    </row>
    <row r="10411" spans="1:3">
      <c r="A10411" s="250">
        <v>25901</v>
      </c>
      <c r="B10411" s="74" t="s">
        <v>3070</v>
      </c>
      <c r="C10411" s="74" t="s">
        <v>458</v>
      </c>
    </row>
    <row r="10412" spans="1:3">
      <c r="A10412" s="250">
        <v>25902</v>
      </c>
      <c r="B10412" s="74" t="s">
        <v>6814</v>
      </c>
      <c r="C10412" s="74" t="s">
        <v>458</v>
      </c>
    </row>
    <row r="10413" spans="1:3">
      <c r="A10413" s="250">
        <v>25904</v>
      </c>
      <c r="B10413" s="74" t="s">
        <v>6815</v>
      </c>
      <c r="C10413" s="74" t="s">
        <v>458</v>
      </c>
    </row>
    <row r="10414" spans="1:3">
      <c r="A10414" s="250">
        <v>25906</v>
      </c>
      <c r="B10414" s="74" t="s">
        <v>6816</v>
      </c>
      <c r="C10414" s="74" t="s">
        <v>458</v>
      </c>
    </row>
    <row r="10415" spans="1:3">
      <c r="A10415" s="250">
        <v>25907</v>
      </c>
      <c r="B10415" s="74" t="s">
        <v>6817</v>
      </c>
      <c r="C10415" s="74" t="s">
        <v>458</v>
      </c>
    </row>
    <row r="10416" spans="1:3">
      <c r="A10416" s="250">
        <v>25908</v>
      </c>
      <c r="B10416" s="74" t="s">
        <v>6818</v>
      </c>
      <c r="C10416" s="74" t="s">
        <v>458</v>
      </c>
    </row>
    <row r="10417" spans="1:3">
      <c r="A10417" s="250">
        <v>25909</v>
      </c>
      <c r="B10417" s="74" t="s">
        <v>4054</v>
      </c>
      <c r="C10417" s="74" t="s">
        <v>458</v>
      </c>
    </row>
    <row r="10418" spans="1:3">
      <c r="A10418" s="250">
        <v>25911</v>
      </c>
      <c r="B10418" s="74" t="s">
        <v>6819</v>
      </c>
      <c r="C10418" s="74" t="s">
        <v>458</v>
      </c>
    </row>
    <row r="10419" spans="1:3">
      <c r="A10419" s="250">
        <v>25913</v>
      </c>
      <c r="B10419" s="74" t="s">
        <v>6820</v>
      </c>
      <c r="C10419" s="74" t="s">
        <v>458</v>
      </c>
    </row>
    <row r="10420" spans="1:3">
      <c r="A10420" s="250">
        <v>25915</v>
      </c>
      <c r="B10420" s="74" t="s">
        <v>6821</v>
      </c>
      <c r="C10420" s="74" t="s">
        <v>458</v>
      </c>
    </row>
    <row r="10421" spans="1:3">
      <c r="A10421" s="250">
        <v>25916</v>
      </c>
      <c r="B10421" s="74" t="s">
        <v>6822</v>
      </c>
      <c r="C10421" s="74" t="s">
        <v>458</v>
      </c>
    </row>
    <row r="10422" spans="1:3">
      <c r="A10422" s="250">
        <v>25917</v>
      </c>
      <c r="B10422" s="74" t="s">
        <v>6823</v>
      </c>
      <c r="C10422" s="74" t="s">
        <v>458</v>
      </c>
    </row>
    <row r="10423" spans="1:3">
      <c r="A10423" s="250">
        <v>25918</v>
      </c>
      <c r="B10423" s="74" t="s">
        <v>6824</v>
      </c>
      <c r="C10423" s="74" t="s">
        <v>458</v>
      </c>
    </row>
    <row r="10424" spans="1:3">
      <c r="A10424" s="250">
        <v>25919</v>
      </c>
      <c r="B10424" s="74" t="s">
        <v>6825</v>
      </c>
      <c r="C10424" s="74" t="s">
        <v>458</v>
      </c>
    </row>
    <row r="10425" spans="1:3">
      <c r="A10425" s="250">
        <v>25920</v>
      </c>
      <c r="B10425" s="74" t="s">
        <v>6826</v>
      </c>
      <c r="C10425" s="74" t="s">
        <v>458</v>
      </c>
    </row>
    <row r="10426" spans="1:3">
      <c r="A10426" s="250">
        <v>25921</v>
      </c>
      <c r="B10426" s="74" t="s">
        <v>6827</v>
      </c>
      <c r="C10426" s="74" t="s">
        <v>458</v>
      </c>
    </row>
    <row r="10427" spans="1:3">
      <c r="A10427" s="250">
        <v>25922</v>
      </c>
      <c r="B10427" s="74" t="s">
        <v>6828</v>
      </c>
      <c r="C10427" s="74" t="s">
        <v>458</v>
      </c>
    </row>
    <row r="10428" spans="1:3">
      <c r="A10428" s="250">
        <v>25926</v>
      </c>
      <c r="B10428" s="74" t="s">
        <v>6776</v>
      </c>
      <c r="C10428" s="74" t="s">
        <v>458</v>
      </c>
    </row>
    <row r="10429" spans="1:3">
      <c r="A10429" s="250">
        <v>25927</v>
      </c>
      <c r="B10429" s="74" t="s">
        <v>6829</v>
      </c>
      <c r="C10429" s="74" t="s">
        <v>458</v>
      </c>
    </row>
    <row r="10430" spans="1:3">
      <c r="A10430" s="250">
        <v>25928</v>
      </c>
      <c r="B10430" s="74" t="s">
        <v>5950</v>
      </c>
      <c r="C10430" s="74" t="s">
        <v>458</v>
      </c>
    </row>
    <row r="10431" spans="1:3">
      <c r="A10431" s="250">
        <v>25932</v>
      </c>
      <c r="B10431" s="74" t="s">
        <v>6830</v>
      </c>
      <c r="C10431" s="74" t="s">
        <v>458</v>
      </c>
    </row>
    <row r="10432" spans="1:3">
      <c r="A10432" s="250">
        <v>25936</v>
      </c>
      <c r="B10432" s="74" t="s">
        <v>6831</v>
      </c>
      <c r="C10432" s="74" t="s">
        <v>458</v>
      </c>
    </row>
    <row r="10433" spans="1:3">
      <c r="A10433" s="250">
        <v>25938</v>
      </c>
      <c r="B10433" s="74" t="s">
        <v>3832</v>
      </c>
      <c r="C10433" s="74" t="s">
        <v>458</v>
      </c>
    </row>
    <row r="10434" spans="1:3">
      <c r="A10434" s="250">
        <v>25942</v>
      </c>
      <c r="B10434" s="74" t="s">
        <v>6832</v>
      </c>
      <c r="C10434" s="74" t="s">
        <v>458</v>
      </c>
    </row>
    <row r="10435" spans="1:3">
      <c r="A10435" s="250">
        <v>25943</v>
      </c>
      <c r="B10435" s="74" t="s">
        <v>6833</v>
      </c>
      <c r="C10435" s="74" t="s">
        <v>458</v>
      </c>
    </row>
    <row r="10436" spans="1:3">
      <c r="A10436" s="250">
        <v>25951</v>
      </c>
      <c r="B10436" s="74" t="s">
        <v>5988</v>
      </c>
      <c r="C10436" s="74" t="s">
        <v>458</v>
      </c>
    </row>
    <row r="10437" spans="1:3">
      <c r="A10437" s="250">
        <v>25958</v>
      </c>
      <c r="B10437" s="74" t="s">
        <v>6834</v>
      </c>
      <c r="C10437" s="74" t="s">
        <v>458</v>
      </c>
    </row>
    <row r="10438" spans="1:3">
      <c r="A10438" s="250">
        <v>25962</v>
      </c>
      <c r="B10438" s="74" t="s">
        <v>6835</v>
      </c>
      <c r="C10438" s="74" t="s">
        <v>458</v>
      </c>
    </row>
    <row r="10439" spans="1:3">
      <c r="A10439" s="250">
        <v>25965</v>
      </c>
      <c r="B10439" s="74" t="s">
        <v>4353</v>
      </c>
      <c r="C10439" s="74" t="s">
        <v>458</v>
      </c>
    </row>
    <row r="10440" spans="1:3">
      <c r="A10440" s="250">
        <v>25966</v>
      </c>
      <c r="B10440" s="74" t="s">
        <v>6836</v>
      </c>
      <c r="C10440" s="74" t="s">
        <v>458</v>
      </c>
    </row>
    <row r="10441" spans="1:3">
      <c r="A10441" s="250">
        <v>25969</v>
      </c>
      <c r="B10441" s="74" t="s">
        <v>6837</v>
      </c>
      <c r="C10441" s="74" t="s">
        <v>458</v>
      </c>
    </row>
    <row r="10442" spans="1:3">
      <c r="A10442" s="250">
        <v>25971</v>
      </c>
      <c r="B10442" s="74" t="s">
        <v>6838</v>
      </c>
      <c r="C10442" s="74" t="s">
        <v>458</v>
      </c>
    </row>
    <row r="10443" spans="1:3">
      <c r="A10443" s="250">
        <v>25972</v>
      </c>
      <c r="B10443" s="74" t="s">
        <v>6839</v>
      </c>
      <c r="C10443" s="74" t="s">
        <v>458</v>
      </c>
    </row>
    <row r="10444" spans="1:3">
      <c r="A10444" s="250">
        <v>25976</v>
      </c>
      <c r="B10444" s="74" t="s">
        <v>6840</v>
      </c>
      <c r="C10444" s="74" t="s">
        <v>458</v>
      </c>
    </row>
    <row r="10445" spans="1:3">
      <c r="A10445" s="250">
        <v>25977</v>
      </c>
      <c r="B10445" s="74" t="s">
        <v>6841</v>
      </c>
      <c r="C10445" s="74" t="s">
        <v>458</v>
      </c>
    </row>
    <row r="10446" spans="1:3">
      <c r="A10446" s="250">
        <v>25978</v>
      </c>
      <c r="B10446" s="74" t="s">
        <v>6842</v>
      </c>
      <c r="C10446" s="74" t="s">
        <v>458</v>
      </c>
    </row>
    <row r="10447" spans="1:3">
      <c r="A10447" s="250">
        <v>25979</v>
      </c>
      <c r="B10447" s="74" t="s">
        <v>6843</v>
      </c>
      <c r="C10447" s="74" t="s">
        <v>458</v>
      </c>
    </row>
    <row r="10448" spans="1:3">
      <c r="A10448" s="250">
        <v>25981</v>
      </c>
      <c r="B10448" s="74" t="s">
        <v>6844</v>
      </c>
      <c r="C10448" s="74" t="s">
        <v>458</v>
      </c>
    </row>
    <row r="10449" spans="1:3">
      <c r="A10449" s="250">
        <v>25984</v>
      </c>
      <c r="B10449" s="74" t="s">
        <v>1889</v>
      </c>
      <c r="C10449" s="74" t="s">
        <v>458</v>
      </c>
    </row>
    <row r="10450" spans="1:3">
      <c r="A10450" s="250">
        <v>25985</v>
      </c>
      <c r="B10450" s="74" t="s">
        <v>6845</v>
      </c>
      <c r="C10450" s="74" t="s">
        <v>458</v>
      </c>
    </row>
    <row r="10451" spans="1:3">
      <c r="A10451" s="250">
        <v>25986</v>
      </c>
      <c r="B10451" s="74" t="s">
        <v>6846</v>
      </c>
      <c r="C10451" s="74" t="s">
        <v>458</v>
      </c>
    </row>
    <row r="10452" spans="1:3">
      <c r="A10452" s="250">
        <v>25989</v>
      </c>
      <c r="B10452" s="74" t="s">
        <v>6847</v>
      </c>
      <c r="C10452" s="74" t="s">
        <v>458</v>
      </c>
    </row>
    <row r="10453" spans="1:3">
      <c r="A10453" s="250">
        <v>26003</v>
      </c>
      <c r="B10453" s="74" t="s">
        <v>6848</v>
      </c>
      <c r="C10453" s="74" t="s">
        <v>458</v>
      </c>
    </row>
    <row r="10454" spans="1:3">
      <c r="A10454" s="250">
        <v>26030</v>
      </c>
      <c r="B10454" s="74" t="s">
        <v>6849</v>
      </c>
      <c r="C10454" s="74" t="s">
        <v>458</v>
      </c>
    </row>
    <row r="10455" spans="1:3">
      <c r="A10455" s="250">
        <v>26031</v>
      </c>
      <c r="B10455" s="74" t="s">
        <v>6850</v>
      </c>
      <c r="C10455" s="74" t="s">
        <v>458</v>
      </c>
    </row>
    <row r="10456" spans="1:3">
      <c r="A10456" s="250">
        <v>26032</v>
      </c>
      <c r="B10456" s="74" t="s">
        <v>2075</v>
      </c>
      <c r="C10456" s="74" t="s">
        <v>458</v>
      </c>
    </row>
    <row r="10457" spans="1:3">
      <c r="A10457" s="250">
        <v>26033</v>
      </c>
      <c r="B10457" s="74" t="s">
        <v>3902</v>
      </c>
      <c r="C10457" s="74" t="s">
        <v>458</v>
      </c>
    </row>
    <row r="10458" spans="1:3">
      <c r="A10458" s="250">
        <v>26034</v>
      </c>
      <c r="B10458" s="74" t="s">
        <v>583</v>
      </c>
      <c r="C10458" s="74" t="s">
        <v>458</v>
      </c>
    </row>
    <row r="10459" spans="1:3">
      <c r="A10459" s="250">
        <v>26035</v>
      </c>
      <c r="B10459" s="74" t="s">
        <v>6851</v>
      </c>
      <c r="C10459" s="74" t="s">
        <v>458</v>
      </c>
    </row>
    <row r="10460" spans="1:3">
      <c r="A10460" s="250">
        <v>26036</v>
      </c>
      <c r="B10460" s="74" t="s">
        <v>5199</v>
      </c>
      <c r="C10460" s="74" t="s">
        <v>458</v>
      </c>
    </row>
    <row r="10461" spans="1:3">
      <c r="A10461" s="250">
        <v>26037</v>
      </c>
      <c r="B10461" s="74" t="s">
        <v>6852</v>
      </c>
      <c r="C10461" s="74" t="s">
        <v>458</v>
      </c>
    </row>
    <row r="10462" spans="1:3">
      <c r="A10462" s="250">
        <v>26038</v>
      </c>
      <c r="B10462" s="74" t="s">
        <v>6853</v>
      </c>
      <c r="C10462" s="74" t="s">
        <v>458</v>
      </c>
    </row>
    <row r="10463" spans="1:3">
      <c r="A10463" s="250">
        <v>26039</v>
      </c>
      <c r="B10463" s="74" t="s">
        <v>6854</v>
      </c>
      <c r="C10463" s="74" t="s">
        <v>458</v>
      </c>
    </row>
    <row r="10464" spans="1:3">
      <c r="A10464" s="250">
        <v>26040</v>
      </c>
      <c r="B10464" s="74" t="s">
        <v>6855</v>
      </c>
      <c r="C10464" s="74" t="s">
        <v>458</v>
      </c>
    </row>
    <row r="10465" spans="1:3">
      <c r="A10465" s="250">
        <v>26041</v>
      </c>
      <c r="B10465" s="74" t="s">
        <v>6856</v>
      </c>
      <c r="C10465" s="74" t="s">
        <v>458</v>
      </c>
    </row>
    <row r="10466" spans="1:3">
      <c r="A10466" s="250">
        <v>26047</v>
      </c>
      <c r="B10466" s="74" t="s">
        <v>4738</v>
      </c>
      <c r="C10466" s="74" t="s">
        <v>458</v>
      </c>
    </row>
    <row r="10467" spans="1:3">
      <c r="A10467" s="250">
        <v>26050</v>
      </c>
      <c r="B10467" s="74" t="s">
        <v>4134</v>
      </c>
      <c r="C10467" s="74" t="s">
        <v>458</v>
      </c>
    </row>
    <row r="10468" spans="1:3">
      <c r="A10468" s="250">
        <v>26055</v>
      </c>
      <c r="B10468" s="74" t="s">
        <v>1887</v>
      </c>
      <c r="C10468" s="74" t="s">
        <v>458</v>
      </c>
    </row>
    <row r="10469" spans="1:3">
      <c r="A10469" s="250">
        <v>26056</v>
      </c>
      <c r="B10469" s="74" t="s">
        <v>6857</v>
      </c>
      <c r="C10469" s="74" t="s">
        <v>458</v>
      </c>
    </row>
    <row r="10470" spans="1:3">
      <c r="A10470" s="250">
        <v>26058</v>
      </c>
      <c r="B10470" s="74" t="s">
        <v>6858</v>
      </c>
      <c r="C10470" s="74" t="s">
        <v>458</v>
      </c>
    </row>
    <row r="10471" spans="1:3">
      <c r="A10471" s="250">
        <v>26059</v>
      </c>
      <c r="B10471" s="74" t="s">
        <v>6859</v>
      </c>
      <c r="C10471" s="74" t="s">
        <v>458</v>
      </c>
    </row>
    <row r="10472" spans="1:3">
      <c r="A10472" s="250">
        <v>26060</v>
      </c>
      <c r="B10472" s="74" t="s">
        <v>6860</v>
      </c>
      <c r="C10472" s="74" t="s">
        <v>458</v>
      </c>
    </row>
    <row r="10473" spans="1:3">
      <c r="A10473" s="250">
        <v>26062</v>
      </c>
      <c r="B10473" s="74" t="s">
        <v>6861</v>
      </c>
      <c r="C10473" s="74" t="s">
        <v>458</v>
      </c>
    </row>
    <row r="10474" spans="1:3">
      <c r="A10474" s="250">
        <v>26070</v>
      </c>
      <c r="B10474" s="74" t="s">
        <v>3951</v>
      </c>
      <c r="C10474" s="74" t="s">
        <v>458</v>
      </c>
    </row>
    <row r="10475" spans="1:3">
      <c r="A10475" s="250">
        <v>26074</v>
      </c>
      <c r="B10475" s="74" t="s">
        <v>6862</v>
      </c>
      <c r="C10475" s="74" t="s">
        <v>458</v>
      </c>
    </row>
    <row r="10476" spans="1:3">
      <c r="A10476" s="250">
        <v>26075</v>
      </c>
      <c r="B10476" s="74" t="s">
        <v>6863</v>
      </c>
      <c r="C10476" s="74" t="s">
        <v>458</v>
      </c>
    </row>
    <row r="10477" spans="1:3">
      <c r="A10477" s="250">
        <v>26101</v>
      </c>
      <c r="B10477" s="74" t="s">
        <v>6864</v>
      </c>
      <c r="C10477" s="74" t="s">
        <v>458</v>
      </c>
    </row>
    <row r="10478" spans="1:3">
      <c r="A10478" s="250">
        <v>26102</v>
      </c>
      <c r="B10478" s="74" t="s">
        <v>6864</v>
      </c>
      <c r="C10478" s="74" t="s">
        <v>458</v>
      </c>
    </row>
    <row r="10479" spans="1:3">
      <c r="A10479" s="250">
        <v>26103</v>
      </c>
      <c r="B10479" s="74" t="s">
        <v>6864</v>
      </c>
      <c r="C10479" s="74" t="s">
        <v>458</v>
      </c>
    </row>
    <row r="10480" spans="1:3">
      <c r="A10480" s="250">
        <v>26104</v>
      </c>
      <c r="B10480" s="74" t="s">
        <v>6864</v>
      </c>
      <c r="C10480" s="74" t="s">
        <v>458</v>
      </c>
    </row>
    <row r="10481" spans="1:3">
      <c r="A10481" s="250">
        <v>26105</v>
      </c>
      <c r="B10481" s="74" t="s">
        <v>1486</v>
      </c>
      <c r="C10481" s="74" t="s">
        <v>458</v>
      </c>
    </row>
    <row r="10482" spans="1:3">
      <c r="A10482" s="250">
        <v>26106</v>
      </c>
      <c r="B10482" s="74" t="s">
        <v>6864</v>
      </c>
      <c r="C10482" s="74" t="s">
        <v>458</v>
      </c>
    </row>
    <row r="10483" spans="1:3">
      <c r="A10483" s="250">
        <v>26120</v>
      </c>
      <c r="B10483" s="74" t="s">
        <v>6865</v>
      </c>
      <c r="C10483" s="74" t="s">
        <v>458</v>
      </c>
    </row>
    <row r="10484" spans="1:3">
      <c r="A10484" s="250">
        <v>26121</v>
      </c>
      <c r="B10484" s="74" t="s">
        <v>6865</v>
      </c>
      <c r="C10484" s="74" t="s">
        <v>458</v>
      </c>
    </row>
    <row r="10485" spans="1:3">
      <c r="A10485" s="250">
        <v>26133</v>
      </c>
      <c r="B10485" s="74" t="s">
        <v>2173</v>
      </c>
      <c r="C10485" s="74" t="s">
        <v>458</v>
      </c>
    </row>
    <row r="10486" spans="1:3">
      <c r="A10486" s="250">
        <v>26134</v>
      </c>
      <c r="B10486" s="74" t="s">
        <v>986</v>
      </c>
      <c r="C10486" s="74" t="s">
        <v>458</v>
      </c>
    </row>
    <row r="10487" spans="1:3">
      <c r="A10487" s="250">
        <v>26136</v>
      </c>
      <c r="B10487" s="74" t="s">
        <v>6866</v>
      </c>
      <c r="C10487" s="74" t="s">
        <v>458</v>
      </c>
    </row>
    <row r="10488" spans="1:3">
      <c r="A10488" s="250">
        <v>26137</v>
      </c>
      <c r="B10488" s="74" t="s">
        <v>6867</v>
      </c>
      <c r="C10488" s="74" t="s">
        <v>458</v>
      </c>
    </row>
    <row r="10489" spans="1:3">
      <c r="A10489" s="250">
        <v>26138</v>
      </c>
      <c r="B10489" s="74" t="s">
        <v>6868</v>
      </c>
      <c r="C10489" s="74" t="s">
        <v>458</v>
      </c>
    </row>
    <row r="10490" spans="1:3">
      <c r="A10490" s="250">
        <v>26141</v>
      </c>
      <c r="B10490" s="74" t="s">
        <v>6869</v>
      </c>
      <c r="C10490" s="74" t="s">
        <v>458</v>
      </c>
    </row>
    <row r="10491" spans="1:3">
      <c r="A10491" s="250">
        <v>26142</v>
      </c>
      <c r="B10491" s="74" t="s">
        <v>6870</v>
      </c>
      <c r="C10491" s="74" t="s">
        <v>458</v>
      </c>
    </row>
    <row r="10492" spans="1:3">
      <c r="A10492" s="250">
        <v>26143</v>
      </c>
      <c r="B10492" s="74" t="s">
        <v>2176</v>
      </c>
      <c r="C10492" s="74" t="s">
        <v>458</v>
      </c>
    </row>
    <row r="10493" spans="1:3">
      <c r="A10493" s="250">
        <v>26146</v>
      </c>
      <c r="B10493" s="74" t="s">
        <v>6871</v>
      </c>
      <c r="C10493" s="74" t="s">
        <v>458</v>
      </c>
    </row>
    <row r="10494" spans="1:3">
      <c r="A10494" s="250">
        <v>26147</v>
      </c>
      <c r="B10494" s="74" t="s">
        <v>5729</v>
      </c>
      <c r="C10494" s="74" t="s">
        <v>458</v>
      </c>
    </row>
    <row r="10495" spans="1:3">
      <c r="A10495" s="250">
        <v>26148</v>
      </c>
      <c r="B10495" s="74" t="s">
        <v>6872</v>
      </c>
      <c r="C10495" s="74" t="s">
        <v>458</v>
      </c>
    </row>
    <row r="10496" spans="1:3">
      <c r="A10496" s="250">
        <v>26149</v>
      </c>
      <c r="B10496" s="74" t="s">
        <v>6873</v>
      </c>
      <c r="C10496" s="74" t="s">
        <v>458</v>
      </c>
    </row>
    <row r="10497" spans="1:3">
      <c r="A10497" s="250">
        <v>26150</v>
      </c>
      <c r="B10497" s="74" t="s">
        <v>6865</v>
      </c>
      <c r="C10497" s="74" t="s">
        <v>458</v>
      </c>
    </row>
    <row r="10498" spans="1:3">
      <c r="A10498" s="250">
        <v>26151</v>
      </c>
      <c r="B10498" s="74" t="s">
        <v>6874</v>
      </c>
      <c r="C10498" s="74" t="s">
        <v>458</v>
      </c>
    </row>
    <row r="10499" spans="1:3">
      <c r="A10499" s="250">
        <v>26152</v>
      </c>
      <c r="B10499" s="74" t="s">
        <v>6875</v>
      </c>
      <c r="C10499" s="74" t="s">
        <v>458</v>
      </c>
    </row>
    <row r="10500" spans="1:3">
      <c r="A10500" s="250">
        <v>26155</v>
      </c>
      <c r="B10500" s="74" t="s">
        <v>6876</v>
      </c>
      <c r="C10500" s="74" t="s">
        <v>458</v>
      </c>
    </row>
    <row r="10501" spans="1:3">
      <c r="A10501" s="250">
        <v>26159</v>
      </c>
      <c r="B10501" s="74" t="s">
        <v>6877</v>
      </c>
      <c r="C10501" s="74" t="s">
        <v>458</v>
      </c>
    </row>
    <row r="10502" spans="1:3">
      <c r="A10502" s="250">
        <v>26160</v>
      </c>
      <c r="B10502" s="74" t="s">
        <v>6878</v>
      </c>
      <c r="C10502" s="74" t="s">
        <v>458</v>
      </c>
    </row>
    <row r="10503" spans="1:3">
      <c r="A10503" s="250">
        <v>26161</v>
      </c>
      <c r="B10503" s="74" t="s">
        <v>6879</v>
      </c>
      <c r="C10503" s="74" t="s">
        <v>458</v>
      </c>
    </row>
    <row r="10504" spans="1:3">
      <c r="A10504" s="250">
        <v>26162</v>
      </c>
      <c r="B10504" s="74" t="s">
        <v>6880</v>
      </c>
      <c r="C10504" s="74" t="s">
        <v>458</v>
      </c>
    </row>
    <row r="10505" spans="1:3">
      <c r="A10505" s="250">
        <v>26164</v>
      </c>
      <c r="B10505" s="74" t="s">
        <v>6881</v>
      </c>
      <c r="C10505" s="74" t="s">
        <v>458</v>
      </c>
    </row>
    <row r="10506" spans="1:3">
      <c r="A10506" s="250">
        <v>26167</v>
      </c>
      <c r="B10506" s="74" t="s">
        <v>6882</v>
      </c>
      <c r="C10506" s="74" t="s">
        <v>458</v>
      </c>
    </row>
    <row r="10507" spans="1:3">
      <c r="A10507" s="250">
        <v>26169</v>
      </c>
      <c r="B10507" s="74" t="s">
        <v>856</v>
      </c>
      <c r="C10507" s="74" t="s">
        <v>458</v>
      </c>
    </row>
    <row r="10508" spans="1:3">
      <c r="A10508" s="250">
        <v>26170</v>
      </c>
      <c r="B10508" s="74" t="s">
        <v>4333</v>
      </c>
      <c r="C10508" s="74" t="s">
        <v>458</v>
      </c>
    </row>
    <row r="10509" spans="1:3">
      <c r="A10509" s="250">
        <v>26175</v>
      </c>
      <c r="B10509" s="74" t="s">
        <v>6883</v>
      </c>
      <c r="C10509" s="74" t="s">
        <v>458</v>
      </c>
    </row>
    <row r="10510" spans="1:3">
      <c r="A10510" s="250">
        <v>26178</v>
      </c>
      <c r="B10510" s="74" t="s">
        <v>6884</v>
      </c>
      <c r="C10510" s="74" t="s">
        <v>458</v>
      </c>
    </row>
    <row r="10511" spans="1:3">
      <c r="A10511" s="250">
        <v>26180</v>
      </c>
      <c r="B10511" s="74" t="s">
        <v>6885</v>
      </c>
      <c r="C10511" s="74" t="s">
        <v>458</v>
      </c>
    </row>
    <row r="10512" spans="1:3">
      <c r="A10512" s="250">
        <v>26181</v>
      </c>
      <c r="B10512" s="74" t="s">
        <v>1215</v>
      </c>
      <c r="C10512" s="74" t="s">
        <v>458</v>
      </c>
    </row>
    <row r="10513" spans="1:3">
      <c r="A10513" s="250">
        <v>26184</v>
      </c>
      <c r="B10513" s="74" t="s">
        <v>3950</v>
      </c>
      <c r="C10513" s="74" t="s">
        <v>458</v>
      </c>
    </row>
    <row r="10514" spans="1:3">
      <c r="A10514" s="250">
        <v>26187</v>
      </c>
      <c r="B10514" s="74" t="s">
        <v>668</v>
      </c>
      <c r="C10514" s="74" t="s">
        <v>458</v>
      </c>
    </row>
    <row r="10515" spans="1:3">
      <c r="A10515" s="250">
        <v>26201</v>
      </c>
      <c r="B10515" s="74" t="s">
        <v>6886</v>
      </c>
      <c r="C10515" s="74" t="s">
        <v>458</v>
      </c>
    </row>
    <row r="10516" spans="1:3">
      <c r="A10516" s="250">
        <v>26202</v>
      </c>
      <c r="B10516" s="74" t="s">
        <v>6887</v>
      </c>
      <c r="C10516" s="74" t="s">
        <v>458</v>
      </c>
    </row>
    <row r="10517" spans="1:3">
      <c r="A10517" s="250">
        <v>26203</v>
      </c>
      <c r="B10517" s="74" t="s">
        <v>6888</v>
      </c>
      <c r="C10517" s="74" t="s">
        <v>458</v>
      </c>
    </row>
    <row r="10518" spans="1:3">
      <c r="A10518" s="250">
        <v>26205</v>
      </c>
      <c r="B10518" s="74" t="s">
        <v>6385</v>
      </c>
      <c r="C10518" s="74" t="s">
        <v>458</v>
      </c>
    </row>
    <row r="10519" spans="1:3">
      <c r="A10519" s="250">
        <v>26206</v>
      </c>
      <c r="B10519" s="74" t="s">
        <v>6889</v>
      </c>
      <c r="C10519" s="74" t="s">
        <v>458</v>
      </c>
    </row>
    <row r="10520" spans="1:3">
      <c r="A10520" s="250">
        <v>26208</v>
      </c>
      <c r="B10520" s="74" t="s">
        <v>6890</v>
      </c>
      <c r="C10520" s="74" t="s">
        <v>458</v>
      </c>
    </row>
    <row r="10521" spans="1:3">
      <c r="A10521" s="250">
        <v>26209</v>
      </c>
      <c r="B10521" s="74" t="s">
        <v>6891</v>
      </c>
      <c r="C10521" s="74" t="s">
        <v>458</v>
      </c>
    </row>
    <row r="10522" spans="1:3">
      <c r="A10522" s="250">
        <v>26210</v>
      </c>
      <c r="B10522" s="74" t="s">
        <v>4439</v>
      </c>
      <c r="C10522" s="74" t="s">
        <v>458</v>
      </c>
    </row>
    <row r="10523" spans="1:3">
      <c r="A10523" s="250">
        <v>26215</v>
      </c>
      <c r="B10523" s="74" t="s">
        <v>3350</v>
      </c>
      <c r="C10523" s="74" t="s">
        <v>458</v>
      </c>
    </row>
    <row r="10524" spans="1:3">
      <c r="A10524" s="250">
        <v>26217</v>
      </c>
      <c r="B10524" s="74" t="s">
        <v>6892</v>
      </c>
      <c r="C10524" s="74" t="s">
        <v>458</v>
      </c>
    </row>
    <row r="10525" spans="1:3">
      <c r="A10525" s="250">
        <v>26218</v>
      </c>
      <c r="B10525" s="74" t="s">
        <v>6893</v>
      </c>
      <c r="C10525" s="74" t="s">
        <v>458</v>
      </c>
    </row>
    <row r="10526" spans="1:3">
      <c r="A10526" s="250">
        <v>26219</v>
      </c>
      <c r="B10526" s="74" t="s">
        <v>6894</v>
      </c>
      <c r="C10526" s="74" t="s">
        <v>458</v>
      </c>
    </row>
    <row r="10527" spans="1:3">
      <c r="A10527" s="250">
        <v>26222</v>
      </c>
      <c r="B10527" s="74" t="s">
        <v>6895</v>
      </c>
      <c r="C10527" s="74" t="s">
        <v>458</v>
      </c>
    </row>
    <row r="10528" spans="1:3">
      <c r="A10528" s="250">
        <v>26224</v>
      </c>
      <c r="B10528" s="74" t="s">
        <v>6896</v>
      </c>
      <c r="C10528" s="74" t="s">
        <v>458</v>
      </c>
    </row>
    <row r="10529" spans="1:3">
      <c r="A10529" s="250">
        <v>26228</v>
      </c>
      <c r="B10529" s="74" t="s">
        <v>6897</v>
      </c>
      <c r="C10529" s="74" t="s">
        <v>458</v>
      </c>
    </row>
    <row r="10530" spans="1:3">
      <c r="A10530" s="250">
        <v>26229</v>
      </c>
      <c r="B10530" s="74" t="s">
        <v>6898</v>
      </c>
      <c r="C10530" s="74" t="s">
        <v>458</v>
      </c>
    </row>
    <row r="10531" spans="1:3">
      <c r="A10531" s="250">
        <v>26230</v>
      </c>
      <c r="B10531" s="74" t="s">
        <v>6899</v>
      </c>
      <c r="C10531" s="74" t="s">
        <v>458</v>
      </c>
    </row>
    <row r="10532" spans="1:3">
      <c r="A10532" s="250">
        <v>26234</v>
      </c>
      <c r="B10532" s="74" t="s">
        <v>6900</v>
      </c>
      <c r="C10532" s="74" t="s">
        <v>458</v>
      </c>
    </row>
    <row r="10533" spans="1:3">
      <c r="A10533" s="250">
        <v>26236</v>
      </c>
      <c r="B10533" s="74" t="s">
        <v>5509</v>
      </c>
      <c r="C10533" s="74" t="s">
        <v>458</v>
      </c>
    </row>
    <row r="10534" spans="1:3">
      <c r="A10534" s="250">
        <v>26237</v>
      </c>
      <c r="B10534" s="74" t="s">
        <v>6901</v>
      </c>
      <c r="C10534" s="74" t="s">
        <v>458</v>
      </c>
    </row>
    <row r="10535" spans="1:3">
      <c r="A10535" s="250">
        <v>26238</v>
      </c>
      <c r="B10535" s="74" t="s">
        <v>6902</v>
      </c>
      <c r="C10535" s="74" t="s">
        <v>458</v>
      </c>
    </row>
    <row r="10536" spans="1:3">
      <c r="A10536" s="250">
        <v>26241</v>
      </c>
      <c r="B10536" s="74" t="s">
        <v>1186</v>
      </c>
      <c r="C10536" s="74" t="s">
        <v>458</v>
      </c>
    </row>
    <row r="10537" spans="1:3">
      <c r="A10537" s="250">
        <v>26250</v>
      </c>
      <c r="B10537" s="74" t="s">
        <v>6903</v>
      </c>
      <c r="C10537" s="74" t="s">
        <v>458</v>
      </c>
    </row>
    <row r="10538" spans="1:3">
      <c r="A10538" s="250">
        <v>26253</v>
      </c>
      <c r="B10538" s="74" t="s">
        <v>838</v>
      </c>
      <c r="C10538" s="74" t="s">
        <v>458</v>
      </c>
    </row>
    <row r="10539" spans="1:3">
      <c r="A10539" s="250">
        <v>26254</v>
      </c>
      <c r="B10539" s="74" t="s">
        <v>6904</v>
      </c>
      <c r="C10539" s="74" t="s">
        <v>458</v>
      </c>
    </row>
    <row r="10540" spans="1:3">
      <c r="A10540" s="250">
        <v>26257</v>
      </c>
      <c r="B10540" s="74" t="s">
        <v>6905</v>
      </c>
      <c r="C10540" s="74" t="s">
        <v>458</v>
      </c>
    </row>
    <row r="10541" spans="1:3">
      <c r="A10541" s="250">
        <v>26259</v>
      </c>
      <c r="B10541" s="74" t="s">
        <v>6906</v>
      </c>
      <c r="C10541" s="74" t="s">
        <v>458</v>
      </c>
    </row>
    <row r="10542" spans="1:3">
      <c r="A10542" s="250">
        <v>26260</v>
      </c>
      <c r="B10542" s="74" t="s">
        <v>6907</v>
      </c>
      <c r="C10542" s="74" t="s">
        <v>458</v>
      </c>
    </row>
    <row r="10543" spans="1:3">
      <c r="A10543" s="250">
        <v>26261</v>
      </c>
      <c r="B10543" s="74" t="s">
        <v>2419</v>
      </c>
      <c r="C10543" s="74" t="s">
        <v>458</v>
      </c>
    </row>
    <row r="10544" spans="1:3">
      <c r="A10544" s="250">
        <v>26263</v>
      </c>
      <c r="B10544" s="74" t="s">
        <v>6908</v>
      </c>
      <c r="C10544" s="74" t="s">
        <v>458</v>
      </c>
    </row>
    <row r="10545" spans="1:3">
      <c r="A10545" s="250">
        <v>26264</v>
      </c>
      <c r="B10545" s="74" t="s">
        <v>6909</v>
      </c>
      <c r="C10545" s="74" t="s">
        <v>458</v>
      </c>
    </row>
    <row r="10546" spans="1:3">
      <c r="A10546" s="250">
        <v>26266</v>
      </c>
      <c r="B10546" s="74" t="s">
        <v>6910</v>
      </c>
      <c r="C10546" s="74" t="s">
        <v>458</v>
      </c>
    </row>
    <row r="10547" spans="1:3">
      <c r="A10547" s="250">
        <v>26267</v>
      </c>
      <c r="B10547" s="74" t="s">
        <v>6911</v>
      </c>
      <c r="C10547" s="74" t="s">
        <v>458</v>
      </c>
    </row>
    <row r="10548" spans="1:3">
      <c r="A10548" s="250">
        <v>26268</v>
      </c>
      <c r="B10548" s="74" t="s">
        <v>6912</v>
      </c>
      <c r="C10548" s="74" t="s">
        <v>458</v>
      </c>
    </row>
    <row r="10549" spans="1:3">
      <c r="A10549" s="250">
        <v>26269</v>
      </c>
      <c r="B10549" s="74" t="s">
        <v>6913</v>
      </c>
      <c r="C10549" s="74" t="s">
        <v>458</v>
      </c>
    </row>
    <row r="10550" spans="1:3">
      <c r="A10550" s="250">
        <v>26270</v>
      </c>
      <c r="B10550" s="74" t="s">
        <v>6914</v>
      </c>
      <c r="C10550" s="74" t="s">
        <v>458</v>
      </c>
    </row>
    <row r="10551" spans="1:3">
      <c r="A10551" s="250">
        <v>26271</v>
      </c>
      <c r="B10551" s="74" t="s">
        <v>6915</v>
      </c>
      <c r="C10551" s="74" t="s">
        <v>458</v>
      </c>
    </row>
    <row r="10552" spans="1:3">
      <c r="A10552" s="250">
        <v>26273</v>
      </c>
      <c r="B10552" s="74" t="s">
        <v>6916</v>
      </c>
      <c r="C10552" s="74" t="s">
        <v>458</v>
      </c>
    </row>
    <row r="10553" spans="1:3">
      <c r="A10553" s="250">
        <v>26275</v>
      </c>
      <c r="B10553" s="74" t="s">
        <v>6917</v>
      </c>
      <c r="C10553" s="74" t="s">
        <v>458</v>
      </c>
    </row>
    <row r="10554" spans="1:3">
      <c r="A10554" s="250">
        <v>26276</v>
      </c>
      <c r="B10554" s="74" t="s">
        <v>6918</v>
      </c>
      <c r="C10554" s="74" t="s">
        <v>458</v>
      </c>
    </row>
    <row r="10555" spans="1:3">
      <c r="A10555" s="250">
        <v>26278</v>
      </c>
      <c r="B10555" s="74" t="s">
        <v>6919</v>
      </c>
      <c r="C10555" s="74" t="s">
        <v>458</v>
      </c>
    </row>
    <row r="10556" spans="1:3">
      <c r="A10556" s="250">
        <v>26280</v>
      </c>
      <c r="B10556" s="74" t="s">
        <v>4728</v>
      </c>
      <c r="C10556" s="74" t="s">
        <v>458</v>
      </c>
    </row>
    <row r="10557" spans="1:3">
      <c r="A10557" s="250">
        <v>26282</v>
      </c>
      <c r="B10557" s="74" t="s">
        <v>6920</v>
      </c>
      <c r="C10557" s="74" t="s">
        <v>458</v>
      </c>
    </row>
    <row r="10558" spans="1:3">
      <c r="A10558" s="250">
        <v>26283</v>
      </c>
      <c r="B10558" s="74" t="s">
        <v>2645</v>
      </c>
      <c r="C10558" s="74" t="s">
        <v>458</v>
      </c>
    </row>
    <row r="10559" spans="1:3">
      <c r="A10559" s="250">
        <v>26285</v>
      </c>
      <c r="B10559" s="74" t="s">
        <v>1081</v>
      </c>
      <c r="C10559" s="74" t="s">
        <v>458</v>
      </c>
    </row>
    <row r="10560" spans="1:3">
      <c r="A10560" s="250">
        <v>26287</v>
      </c>
      <c r="B10560" s="74" t="s">
        <v>6921</v>
      </c>
      <c r="C10560" s="74" t="s">
        <v>458</v>
      </c>
    </row>
    <row r="10561" spans="1:3">
      <c r="A10561" s="250">
        <v>26288</v>
      </c>
      <c r="B10561" s="74" t="s">
        <v>6922</v>
      </c>
      <c r="C10561" s="74" t="s">
        <v>458</v>
      </c>
    </row>
    <row r="10562" spans="1:3">
      <c r="A10562" s="250">
        <v>26289</v>
      </c>
      <c r="B10562" s="74" t="s">
        <v>3409</v>
      </c>
      <c r="C10562" s="74" t="s">
        <v>458</v>
      </c>
    </row>
    <row r="10563" spans="1:3">
      <c r="A10563" s="250">
        <v>26291</v>
      </c>
      <c r="B10563" s="74" t="s">
        <v>6923</v>
      </c>
      <c r="C10563" s="74" t="s">
        <v>458</v>
      </c>
    </row>
    <row r="10564" spans="1:3">
      <c r="A10564" s="250">
        <v>26292</v>
      </c>
      <c r="B10564" s="74" t="s">
        <v>6924</v>
      </c>
      <c r="C10564" s="74" t="s">
        <v>458</v>
      </c>
    </row>
    <row r="10565" spans="1:3">
      <c r="A10565" s="250">
        <v>26293</v>
      </c>
      <c r="B10565" s="74" t="s">
        <v>6925</v>
      </c>
      <c r="C10565" s="74" t="s">
        <v>458</v>
      </c>
    </row>
    <row r="10566" spans="1:3">
      <c r="A10566" s="250">
        <v>26294</v>
      </c>
      <c r="B10566" s="74" t="s">
        <v>6926</v>
      </c>
      <c r="C10566" s="74" t="s">
        <v>458</v>
      </c>
    </row>
    <row r="10567" spans="1:3">
      <c r="A10567" s="250">
        <v>26296</v>
      </c>
      <c r="B10567" s="74" t="s">
        <v>6927</v>
      </c>
      <c r="C10567" s="74" t="s">
        <v>458</v>
      </c>
    </row>
    <row r="10568" spans="1:3">
      <c r="A10568" s="250">
        <v>26298</v>
      </c>
      <c r="B10568" s="74" t="s">
        <v>6928</v>
      </c>
      <c r="C10568" s="74" t="s">
        <v>458</v>
      </c>
    </row>
    <row r="10569" spans="1:3">
      <c r="A10569" s="250">
        <v>26301</v>
      </c>
      <c r="B10569" s="74" t="s">
        <v>4269</v>
      </c>
      <c r="C10569" s="74" t="s">
        <v>458</v>
      </c>
    </row>
    <row r="10570" spans="1:3">
      <c r="A10570" s="250">
        <v>26302</v>
      </c>
      <c r="B10570" s="74" t="s">
        <v>4269</v>
      </c>
      <c r="C10570" s="74" t="s">
        <v>458</v>
      </c>
    </row>
    <row r="10571" spans="1:3">
      <c r="A10571" s="250">
        <v>26306</v>
      </c>
      <c r="B10571" s="74" t="s">
        <v>4269</v>
      </c>
      <c r="C10571" s="74" t="s">
        <v>458</v>
      </c>
    </row>
    <row r="10572" spans="1:3">
      <c r="A10572" s="250">
        <v>26320</v>
      </c>
      <c r="B10572" s="74" t="s">
        <v>3841</v>
      </c>
      <c r="C10572" s="74" t="s">
        <v>458</v>
      </c>
    </row>
    <row r="10573" spans="1:3">
      <c r="A10573" s="250">
        <v>26321</v>
      </c>
      <c r="B10573" s="74" t="s">
        <v>6929</v>
      </c>
      <c r="C10573" s="74" t="s">
        <v>458</v>
      </c>
    </row>
    <row r="10574" spans="1:3">
      <c r="A10574" s="250">
        <v>26323</v>
      </c>
      <c r="B10574" s="74" t="s">
        <v>6930</v>
      </c>
      <c r="C10574" s="74" t="s">
        <v>458</v>
      </c>
    </row>
    <row r="10575" spans="1:3">
      <c r="A10575" s="250">
        <v>26325</v>
      </c>
      <c r="B10575" s="74" t="s">
        <v>724</v>
      </c>
      <c r="C10575" s="74" t="s">
        <v>458</v>
      </c>
    </row>
    <row r="10576" spans="1:3">
      <c r="A10576" s="250">
        <v>26327</v>
      </c>
      <c r="B10576" s="74" t="s">
        <v>6931</v>
      </c>
      <c r="C10576" s="74" t="s">
        <v>458</v>
      </c>
    </row>
    <row r="10577" spans="1:3">
      <c r="A10577" s="250">
        <v>26330</v>
      </c>
      <c r="B10577" s="74" t="s">
        <v>2077</v>
      </c>
      <c r="C10577" s="74" t="s">
        <v>458</v>
      </c>
    </row>
    <row r="10578" spans="1:3">
      <c r="A10578" s="250">
        <v>26335</v>
      </c>
      <c r="B10578" s="74" t="s">
        <v>6932</v>
      </c>
      <c r="C10578" s="74" t="s">
        <v>458</v>
      </c>
    </row>
    <row r="10579" spans="1:3">
      <c r="A10579" s="250">
        <v>26337</v>
      </c>
      <c r="B10579" s="74" t="s">
        <v>3034</v>
      </c>
      <c r="C10579" s="74" t="s">
        <v>458</v>
      </c>
    </row>
    <row r="10580" spans="1:3">
      <c r="A10580" s="250">
        <v>26338</v>
      </c>
      <c r="B10580" s="74" t="s">
        <v>1660</v>
      </c>
      <c r="C10580" s="74" t="s">
        <v>458</v>
      </c>
    </row>
    <row r="10581" spans="1:3">
      <c r="A10581" s="250">
        <v>26339</v>
      </c>
      <c r="B10581" s="74" t="s">
        <v>6933</v>
      </c>
      <c r="C10581" s="74" t="s">
        <v>458</v>
      </c>
    </row>
    <row r="10582" spans="1:3">
      <c r="A10582" s="250">
        <v>26342</v>
      </c>
      <c r="B10582" s="74" t="s">
        <v>6934</v>
      </c>
      <c r="C10582" s="74" t="s">
        <v>458</v>
      </c>
    </row>
    <row r="10583" spans="1:3">
      <c r="A10583" s="250">
        <v>26343</v>
      </c>
      <c r="B10583" s="74" t="s">
        <v>6935</v>
      </c>
      <c r="C10583" s="74" t="s">
        <v>458</v>
      </c>
    </row>
    <row r="10584" spans="1:3">
      <c r="A10584" s="250">
        <v>26346</v>
      </c>
      <c r="B10584" s="74" t="s">
        <v>6936</v>
      </c>
      <c r="C10584" s="74" t="s">
        <v>458</v>
      </c>
    </row>
    <row r="10585" spans="1:3">
      <c r="A10585" s="250">
        <v>26347</v>
      </c>
      <c r="B10585" s="74" t="s">
        <v>2569</v>
      </c>
      <c r="C10585" s="74" t="s">
        <v>458</v>
      </c>
    </row>
    <row r="10586" spans="1:3">
      <c r="A10586" s="250">
        <v>26348</v>
      </c>
      <c r="B10586" s="74" t="s">
        <v>5333</v>
      </c>
      <c r="C10586" s="74" t="s">
        <v>458</v>
      </c>
    </row>
    <row r="10587" spans="1:3">
      <c r="A10587" s="250">
        <v>26349</v>
      </c>
      <c r="B10587" s="74" t="s">
        <v>6937</v>
      </c>
      <c r="C10587" s="74" t="s">
        <v>458</v>
      </c>
    </row>
    <row r="10588" spans="1:3">
      <c r="A10588" s="250">
        <v>26351</v>
      </c>
      <c r="B10588" s="74" t="s">
        <v>4822</v>
      </c>
      <c r="C10588" s="74" t="s">
        <v>458</v>
      </c>
    </row>
    <row r="10589" spans="1:3">
      <c r="A10589" s="250">
        <v>26354</v>
      </c>
      <c r="B10589" s="74" t="s">
        <v>737</v>
      </c>
      <c r="C10589" s="74" t="s">
        <v>458</v>
      </c>
    </row>
    <row r="10590" spans="1:3">
      <c r="A10590" s="250">
        <v>26361</v>
      </c>
      <c r="B10590" s="74" t="s">
        <v>6938</v>
      </c>
      <c r="C10590" s="74" t="s">
        <v>458</v>
      </c>
    </row>
    <row r="10591" spans="1:3">
      <c r="A10591" s="250">
        <v>26362</v>
      </c>
      <c r="B10591" s="74" t="s">
        <v>1110</v>
      </c>
      <c r="C10591" s="74" t="s">
        <v>458</v>
      </c>
    </row>
    <row r="10592" spans="1:3">
      <c r="A10592" s="250">
        <v>26366</v>
      </c>
      <c r="B10592" s="74" t="s">
        <v>5963</v>
      </c>
      <c r="C10592" s="74" t="s">
        <v>458</v>
      </c>
    </row>
    <row r="10593" spans="1:3">
      <c r="A10593" s="250">
        <v>26369</v>
      </c>
      <c r="B10593" s="74" t="s">
        <v>6939</v>
      </c>
      <c r="C10593" s="74" t="s">
        <v>458</v>
      </c>
    </row>
    <row r="10594" spans="1:3">
      <c r="A10594" s="250">
        <v>26372</v>
      </c>
      <c r="B10594" s="74" t="s">
        <v>6940</v>
      </c>
      <c r="C10594" s="74" t="s">
        <v>458</v>
      </c>
    </row>
    <row r="10595" spans="1:3">
      <c r="A10595" s="250">
        <v>26374</v>
      </c>
      <c r="B10595" s="74" t="s">
        <v>6364</v>
      </c>
      <c r="C10595" s="74" t="s">
        <v>458</v>
      </c>
    </row>
    <row r="10596" spans="1:3">
      <c r="A10596" s="250">
        <v>26376</v>
      </c>
      <c r="B10596" s="74" t="s">
        <v>6941</v>
      </c>
      <c r="C10596" s="74" t="s">
        <v>458</v>
      </c>
    </row>
    <row r="10597" spans="1:3">
      <c r="A10597" s="250">
        <v>26377</v>
      </c>
      <c r="B10597" s="74" t="s">
        <v>6942</v>
      </c>
      <c r="C10597" s="74" t="s">
        <v>458</v>
      </c>
    </row>
    <row r="10598" spans="1:3">
      <c r="A10598" s="250">
        <v>26378</v>
      </c>
      <c r="B10598" s="74" t="s">
        <v>6943</v>
      </c>
      <c r="C10598" s="74" t="s">
        <v>458</v>
      </c>
    </row>
    <row r="10599" spans="1:3">
      <c r="A10599" s="250">
        <v>26384</v>
      </c>
      <c r="B10599" s="74" t="s">
        <v>6944</v>
      </c>
      <c r="C10599" s="74" t="s">
        <v>458</v>
      </c>
    </row>
    <row r="10600" spans="1:3">
      <c r="A10600" s="250">
        <v>26385</v>
      </c>
      <c r="B10600" s="74" t="s">
        <v>5002</v>
      </c>
      <c r="C10600" s="74" t="s">
        <v>458</v>
      </c>
    </row>
    <row r="10601" spans="1:3">
      <c r="A10601" s="250">
        <v>26386</v>
      </c>
      <c r="B10601" s="74" t="s">
        <v>6945</v>
      </c>
      <c r="C10601" s="74" t="s">
        <v>458</v>
      </c>
    </row>
    <row r="10602" spans="1:3">
      <c r="A10602" s="250">
        <v>26404</v>
      </c>
      <c r="B10602" s="74" t="s">
        <v>6946</v>
      </c>
      <c r="C10602" s="74" t="s">
        <v>458</v>
      </c>
    </row>
    <row r="10603" spans="1:3">
      <c r="A10603" s="250">
        <v>26405</v>
      </c>
      <c r="B10603" s="74" t="s">
        <v>6947</v>
      </c>
      <c r="C10603" s="74" t="s">
        <v>458</v>
      </c>
    </row>
    <row r="10604" spans="1:3">
      <c r="A10604" s="250">
        <v>26408</v>
      </c>
      <c r="B10604" s="74" t="s">
        <v>6948</v>
      </c>
      <c r="C10604" s="74" t="s">
        <v>458</v>
      </c>
    </row>
    <row r="10605" spans="1:3">
      <c r="A10605" s="250">
        <v>26410</v>
      </c>
      <c r="B10605" s="74" t="s">
        <v>4779</v>
      </c>
      <c r="C10605" s="74" t="s">
        <v>458</v>
      </c>
    </row>
    <row r="10606" spans="1:3">
      <c r="A10606" s="250">
        <v>26411</v>
      </c>
      <c r="B10606" s="74" t="s">
        <v>6949</v>
      </c>
      <c r="C10606" s="74" t="s">
        <v>458</v>
      </c>
    </row>
    <row r="10607" spans="1:3">
      <c r="A10607" s="250">
        <v>26412</v>
      </c>
      <c r="B10607" s="74" t="s">
        <v>6950</v>
      </c>
      <c r="C10607" s="74" t="s">
        <v>458</v>
      </c>
    </row>
    <row r="10608" spans="1:3">
      <c r="A10608" s="250">
        <v>26415</v>
      </c>
      <c r="B10608" s="74" t="s">
        <v>6951</v>
      </c>
      <c r="C10608" s="74" t="s">
        <v>458</v>
      </c>
    </row>
    <row r="10609" spans="1:3">
      <c r="A10609" s="250">
        <v>26416</v>
      </c>
      <c r="B10609" s="74" t="s">
        <v>6952</v>
      </c>
      <c r="C10609" s="74" t="s">
        <v>458</v>
      </c>
    </row>
    <row r="10610" spans="1:3">
      <c r="A10610" s="250">
        <v>26419</v>
      </c>
      <c r="B10610" s="74" t="s">
        <v>5012</v>
      </c>
      <c r="C10610" s="74" t="s">
        <v>458</v>
      </c>
    </row>
    <row r="10611" spans="1:3">
      <c r="A10611" s="250">
        <v>26421</v>
      </c>
      <c r="B10611" s="74" t="s">
        <v>6953</v>
      </c>
      <c r="C10611" s="74" t="s">
        <v>458</v>
      </c>
    </row>
    <row r="10612" spans="1:3">
      <c r="A10612" s="250">
        <v>26422</v>
      </c>
      <c r="B10612" s="74" t="s">
        <v>4330</v>
      </c>
      <c r="C10612" s="74" t="s">
        <v>458</v>
      </c>
    </row>
    <row r="10613" spans="1:3">
      <c r="A10613" s="250">
        <v>26424</v>
      </c>
      <c r="B10613" s="74" t="s">
        <v>2526</v>
      </c>
      <c r="C10613" s="74" t="s">
        <v>458</v>
      </c>
    </row>
    <row r="10614" spans="1:3">
      <c r="A10614" s="250">
        <v>26425</v>
      </c>
      <c r="B10614" s="74" t="s">
        <v>6954</v>
      </c>
      <c r="C10614" s="74" t="s">
        <v>458</v>
      </c>
    </row>
    <row r="10615" spans="1:3">
      <c r="A10615" s="250">
        <v>26426</v>
      </c>
      <c r="B10615" s="74" t="s">
        <v>858</v>
      </c>
      <c r="C10615" s="74" t="s">
        <v>458</v>
      </c>
    </row>
    <row r="10616" spans="1:3">
      <c r="A10616" s="250">
        <v>26430</v>
      </c>
      <c r="B10616" s="74" t="s">
        <v>6955</v>
      </c>
      <c r="C10616" s="74" t="s">
        <v>458</v>
      </c>
    </row>
    <row r="10617" spans="1:3">
      <c r="A10617" s="250">
        <v>26431</v>
      </c>
      <c r="B10617" s="74" t="s">
        <v>6956</v>
      </c>
      <c r="C10617" s="74" t="s">
        <v>458</v>
      </c>
    </row>
    <row r="10618" spans="1:3">
      <c r="A10618" s="250">
        <v>26434</v>
      </c>
      <c r="B10618" s="74" t="s">
        <v>716</v>
      </c>
      <c r="C10618" s="74" t="s">
        <v>458</v>
      </c>
    </row>
    <row r="10619" spans="1:3">
      <c r="A10619" s="250">
        <v>26435</v>
      </c>
      <c r="B10619" s="74" t="s">
        <v>6957</v>
      </c>
      <c r="C10619" s="74" t="s">
        <v>458</v>
      </c>
    </row>
    <row r="10620" spans="1:3">
      <c r="A10620" s="250">
        <v>26436</v>
      </c>
      <c r="B10620" s="74" t="s">
        <v>6958</v>
      </c>
      <c r="C10620" s="74" t="s">
        <v>458</v>
      </c>
    </row>
    <row r="10621" spans="1:3">
      <c r="A10621" s="250">
        <v>26437</v>
      </c>
      <c r="B10621" s="74" t="s">
        <v>1149</v>
      </c>
      <c r="C10621" s="74" t="s">
        <v>458</v>
      </c>
    </row>
    <row r="10622" spans="1:3">
      <c r="A10622" s="250">
        <v>26438</v>
      </c>
      <c r="B10622" s="74" t="s">
        <v>6959</v>
      </c>
      <c r="C10622" s="74" t="s">
        <v>458</v>
      </c>
    </row>
    <row r="10623" spans="1:3">
      <c r="A10623" s="250">
        <v>26440</v>
      </c>
      <c r="B10623" s="74" t="s">
        <v>1218</v>
      </c>
      <c r="C10623" s="74" t="s">
        <v>458</v>
      </c>
    </row>
    <row r="10624" spans="1:3">
      <c r="A10624" s="250">
        <v>26443</v>
      </c>
      <c r="B10624" s="74" t="s">
        <v>1243</v>
      </c>
      <c r="C10624" s="74" t="s">
        <v>458</v>
      </c>
    </row>
    <row r="10625" spans="1:3">
      <c r="A10625" s="250">
        <v>26444</v>
      </c>
      <c r="B10625" s="74" t="s">
        <v>6960</v>
      </c>
      <c r="C10625" s="74" t="s">
        <v>458</v>
      </c>
    </row>
    <row r="10626" spans="1:3">
      <c r="A10626" s="250">
        <v>26447</v>
      </c>
      <c r="B10626" s="74" t="s">
        <v>5823</v>
      </c>
      <c r="C10626" s="74" t="s">
        <v>458</v>
      </c>
    </row>
    <row r="10627" spans="1:3">
      <c r="A10627" s="250">
        <v>26448</v>
      </c>
      <c r="B10627" s="74" t="s">
        <v>6961</v>
      </c>
      <c r="C10627" s="74" t="s">
        <v>458</v>
      </c>
    </row>
    <row r="10628" spans="1:3">
      <c r="A10628" s="250">
        <v>26451</v>
      </c>
      <c r="B10628" s="74" t="s">
        <v>2212</v>
      </c>
      <c r="C10628" s="74" t="s">
        <v>458</v>
      </c>
    </row>
    <row r="10629" spans="1:3">
      <c r="A10629" s="250">
        <v>26452</v>
      </c>
      <c r="B10629" s="74" t="s">
        <v>991</v>
      </c>
      <c r="C10629" s="74" t="s">
        <v>458</v>
      </c>
    </row>
    <row r="10630" spans="1:3">
      <c r="A10630" s="250">
        <v>26456</v>
      </c>
      <c r="B10630" s="74" t="s">
        <v>6962</v>
      </c>
      <c r="C10630" s="74" t="s">
        <v>458</v>
      </c>
    </row>
    <row r="10631" spans="1:3">
      <c r="A10631" s="250">
        <v>26461</v>
      </c>
      <c r="B10631" s="74" t="s">
        <v>6963</v>
      </c>
      <c r="C10631" s="74" t="s">
        <v>458</v>
      </c>
    </row>
    <row r="10632" spans="1:3">
      <c r="A10632" s="250">
        <v>26463</v>
      </c>
      <c r="B10632" s="74" t="s">
        <v>6964</v>
      </c>
      <c r="C10632" s="74" t="s">
        <v>458</v>
      </c>
    </row>
    <row r="10633" spans="1:3">
      <c r="A10633" s="250">
        <v>26501</v>
      </c>
      <c r="B10633" s="74" t="s">
        <v>5469</v>
      </c>
      <c r="C10633" s="74" t="s">
        <v>458</v>
      </c>
    </row>
    <row r="10634" spans="1:3">
      <c r="A10634" s="250">
        <v>26502</v>
      </c>
      <c r="B10634" s="74" t="s">
        <v>5469</v>
      </c>
      <c r="C10634" s="74" t="s">
        <v>458</v>
      </c>
    </row>
    <row r="10635" spans="1:3">
      <c r="A10635" s="250">
        <v>26504</v>
      </c>
      <c r="B10635" s="74" t="s">
        <v>5469</v>
      </c>
      <c r="C10635" s="74" t="s">
        <v>458</v>
      </c>
    </row>
    <row r="10636" spans="1:3">
      <c r="A10636" s="250">
        <v>26505</v>
      </c>
      <c r="B10636" s="74" t="s">
        <v>5469</v>
      </c>
      <c r="C10636" s="74" t="s">
        <v>458</v>
      </c>
    </row>
    <row r="10637" spans="1:3">
      <c r="A10637" s="250">
        <v>26506</v>
      </c>
      <c r="B10637" s="74" t="s">
        <v>5469</v>
      </c>
      <c r="C10637" s="74" t="s">
        <v>458</v>
      </c>
    </row>
    <row r="10638" spans="1:3">
      <c r="A10638" s="250">
        <v>26507</v>
      </c>
      <c r="B10638" s="74" t="s">
        <v>5469</v>
      </c>
      <c r="C10638" s="74" t="s">
        <v>458</v>
      </c>
    </row>
    <row r="10639" spans="1:3">
      <c r="A10639" s="250">
        <v>26508</v>
      </c>
      <c r="B10639" s="74" t="s">
        <v>5469</v>
      </c>
      <c r="C10639" s="74" t="s">
        <v>458</v>
      </c>
    </row>
    <row r="10640" spans="1:3">
      <c r="A10640" s="250">
        <v>26519</v>
      </c>
      <c r="B10640" s="74" t="s">
        <v>6965</v>
      </c>
      <c r="C10640" s="74" t="s">
        <v>458</v>
      </c>
    </row>
    <row r="10641" spans="1:3">
      <c r="A10641" s="250">
        <v>26520</v>
      </c>
      <c r="B10641" s="74" t="s">
        <v>6966</v>
      </c>
      <c r="C10641" s="74" t="s">
        <v>458</v>
      </c>
    </row>
    <row r="10642" spans="1:3">
      <c r="A10642" s="250">
        <v>26521</v>
      </c>
      <c r="B10642" s="74" t="s">
        <v>6967</v>
      </c>
      <c r="C10642" s="74" t="s">
        <v>458</v>
      </c>
    </row>
    <row r="10643" spans="1:3">
      <c r="A10643" s="250">
        <v>26524</v>
      </c>
      <c r="B10643" s="74" t="s">
        <v>6968</v>
      </c>
      <c r="C10643" s="74" t="s">
        <v>458</v>
      </c>
    </row>
    <row r="10644" spans="1:3">
      <c r="A10644" s="250">
        <v>26525</v>
      </c>
      <c r="B10644" s="74" t="s">
        <v>6969</v>
      </c>
      <c r="C10644" s="74" t="s">
        <v>458</v>
      </c>
    </row>
    <row r="10645" spans="1:3">
      <c r="A10645" s="250">
        <v>26527</v>
      </c>
      <c r="B10645" s="74" t="s">
        <v>3440</v>
      </c>
      <c r="C10645" s="74" t="s">
        <v>458</v>
      </c>
    </row>
    <row r="10646" spans="1:3">
      <c r="A10646" s="250">
        <v>26531</v>
      </c>
      <c r="B10646" s="74" t="s">
        <v>6970</v>
      </c>
      <c r="C10646" s="74" t="s">
        <v>458</v>
      </c>
    </row>
    <row r="10647" spans="1:3">
      <c r="A10647" s="250">
        <v>26534</v>
      </c>
      <c r="B10647" s="74" t="s">
        <v>594</v>
      </c>
      <c r="C10647" s="74" t="s">
        <v>458</v>
      </c>
    </row>
    <row r="10648" spans="1:3">
      <c r="A10648" s="250">
        <v>26537</v>
      </c>
      <c r="B10648" s="74" t="s">
        <v>6971</v>
      </c>
      <c r="C10648" s="74" t="s">
        <v>458</v>
      </c>
    </row>
    <row r="10649" spans="1:3">
      <c r="A10649" s="250">
        <v>26541</v>
      </c>
      <c r="B10649" s="74" t="s">
        <v>6972</v>
      </c>
      <c r="C10649" s="74" t="s">
        <v>458</v>
      </c>
    </row>
    <row r="10650" spans="1:3">
      <c r="A10650" s="250">
        <v>26542</v>
      </c>
      <c r="B10650" s="74" t="s">
        <v>4129</v>
      </c>
      <c r="C10650" s="74" t="s">
        <v>458</v>
      </c>
    </row>
    <row r="10651" spans="1:3">
      <c r="A10651" s="250">
        <v>26543</v>
      </c>
      <c r="B10651" s="74" t="s">
        <v>6973</v>
      </c>
      <c r="C10651" s="74" t="s">
        <v>458</v>
      </c>
    </row>
    <row r="10652" spans="1:3">
      <c r="A10652" s="250">
        <v>26544</v>
      </c>
      <c r="B10652" s="74" t="s">
        <v>6974</v>
      </c>
      <c r="C10652" s="74" t="s">
        <v>458</v>
      </c>
    </row>
    <row r="10653" spans="1:3">
      <c r="A10653" s="250">
        <v>26546</v>
      </c>
      <c r="B10653" s="74" t="s">
        <v>6975</v>
      </c>
      <c r="C10653" s="74" t="s">
        <v>458</v>
      </c>
    </row>
    <row r="10654" spans="1:3">
      <c r="A10654" s="250">
        <v>26547</v>
      </c>
      <c r="B10654" s="74" t="s">
        <v>4748</v>
      </c>
      <c r="C10654" s="74" t="s">
        <v>458</v>
      </c>
    </row>
    <row r="10655" spans="1:3">
      <c r="A10655" s="250">
        <v>26554</v>
      </c>
      <c r="B10655" s="74" t="s">
        <v>6976</v>
      </c>
      <c r="C10655" s="74" t="s">
        <v>458</v>
      </c>
    </row>
    <row r="10656" spans="1:3">
      <c r="A10656" s="250">
        <v>26555</v>
      </c>
      <c r="B10656" s="74" t="s">
        <v>6976</v>
      </c>
      <c r="C10656" s="74" t="s">
        <v>458</v>
      </c>
    </row>
    <row r="10657" spans="1:3">
      <c r="A10657" s="250">
        <v>26559</v>
      </c>
      <c r="B10657" s="74" t="s">
        <v>6977</v>
      </c>
      <c r="C10657" s="74" t="s">
        <v>458</v>
      </c>
    </row>
    <row r="10658" spans="1:3">
      <c r="A10658" s="250">
        <v>26560</v>
      </c>
      <c r="B10658" s="74" t="s">
        <v>6978</v>
      </c>
      <c r="C10658" s="74" t="s">
        <v>458</v>
      </c>
    </row>
    <row r="10659" spans="1:3">
      <c r="A10659" s="250">
        <v>26561</v>
      </c>
      <c r="B10659" s="74" t="s">
        <v>4261</v>
      </c>
      <c r="C10659" s="74" t="s">
        <v>458</v>
      </c>
    </row>
    <row r="10660" spans="1:3">
      <c r="A10660" s="250">
        <v>26562</v>
      </c>
      <c r="B10660" s="74" t="s">
        <v>6979</v>
      </c>
      <c r="C10660" s="74" t="s">
        <v>458</v>
      </c>
    </row>
    <row r="10661" spans="1:3">
      <c r="A10661" s="250">
        <v>26563</v>
      </c>
      <c r="B10661" s="74" t="s">
        <v>575</v>
      </c>
      <c r="C10661" s="74" t="s">
        <v>458</v>
      </c>
    </row>
    <row r="10662" spans="1:3">
      <c r="A10662" s="250">
        <v>26566</v>
      </c>
      <c r="B10662" s="74" t="s">
        <v>6980</v>
      </c>
      <c r="C10662" s="74" t="s">
        <v>458</v>
      </c>
    </row>
    <row r="10663" spans="1:3">
      <c r="A10663" s="250">
        <v>26568</v>
      </c>
      <c r="B10663" s="74" t="s">
        <v>6981</v>
      </c>
      <c r="C10663" s="74" t="s">
        <v>458</v>
      </c>
    </row>
    <row r="10664" spans="1:3">
      <c r="A10664" s="250">
        <v>26570</v>
      </c>
      <c r="B10664" s="74" t="s">
        <v>2122</v>
      </c>
      <c r="C10664" s="74" t="s">
        <v>458</v>
      </c>
    </row>
    <row r="10665" spans="1:3">
      <c r="A10665" s="250">
        <v>26571</v>
      </c>
      <c r="B10665" s="74" t="s">
        <v>1309</v>
      </c>
      <c r="C10665" s="74" t="s">
        <v>458</v>
      </c>
    </row>
    <row r="10666" spans="1:3">
      <c r="A10666" s="250">
        <v>26572</v>
      </c>
      <c r="B10666" s="74" t="s">
        <v>6982</v>
      </c>
      <c r="C10666" s="74" t="s">
        <v>458</v>
      </c>
    </row>
    <row r="10667" spans="1:3">
      <c r="A10667" s="250">
        <v>26574</v>
      </c>
      <c r="B10667" s="74" t="s">
        <v>6983</v>
      </c>
      <c r="C10667" s="74" t="s">
        <v>458</v>
      </c>
    </row>
    <row r="10668" spans="1:3">
      <c r="A10668" s="250">
        <v>26575</v>
      </c>
      <c r="B10668" s="74" t="s">
        <v>6984</v>
      </c>
      <c r="C10668" s="74" t="s">
        <v>458</v>
      </c>
    </row>
    <row r="10669" spans="1:3">
      <c r="A10669" s="250">
        <v>26576</v>
      </c>
      <c r="B10669" s="74" t="s">
        <v>6985</v>
      </c>
      <c r="C10669" s="74" t="s">
        <v>458</v>
      </c>
    </row>
    <row r="10670" spans="1:3">
      <c r="A10670" s="250">
        <v>26578</v>
      </c>
      <c r="B10670" s="74" t="s">
        <v>6986</v>
      </c>
      <c r="C10670" s="74" t="s">
        <v>458</v>
      </c>
    </row>
    <row r="10671" spans="1:3">
      <c r="A10671" s="250">
        <v>26581</v>
      </c>
      <c r="B10671" s="74" t="s">
        <v>713</v>
      </c>
      <c r="C10671" s="74" t="s">
        <v>458</v>
      </c>
    </row>
    <row r="10672" spans="1:3">
      <c r="A10672" s="250">
        <v>26582</v>
      </c>
      <c r="B10672" s="74" t="s">
        <v>6987</v>
      </c>
      <c r="C10672" s="74" t="s">
        <v>458</v>
      </c>
    </row>
    <row r="10673" spans="1:3">
      <c r="A10673" s="250">
        <v>26585</v>
      </c>
      <c r="B10673" s="74" t="s">
        <v>6988</v>
      </c>
      <c r="C10673" s="74" t="s">
        <v>458</v>
      </c>
    </row>
    <row r="10674" spans="1:3">
      <c r="A10674" s="250">
        <v>26586</v>
      </c>
      <c r="B10674" s="74" t="s">
        <v>6989</v>
      </c>
      <c r="C10674" s="74" t="s">
        <v>458</v>
      </c>
    </row>
    <row r="10675" spans="1:3">
      <c r="A10675" s="250">
        <v>26587</v>
      </c>
      <c r="B10675" s="74" t="s">
        <v>6990</v>
      </c>
      <c r="C10675" s="74" t="s">
        <v>458</v>
      </c>
    </row>
    <row r="10676" spans="1:3">
      <c r="A10676" s="250">
        <v>26588</v>
      </c>
      <c r="B10676" s="74" t="s">
        <v>6991</v>
      </c>
      <c r="C10676" s="74" t="s">
        <v>458</v>
      </c>
    </row>
    <row r="10677" spans="1:3">
      <c r="A10677" s="250">
        <v>26590</v>
      </c>
      <c r="B10677" s="74" t="s">
        <v>6992</v>
      </c>
      <c r="C10677" s="74" t="s">
        <v>458</v>
      </c>
    </row>
    <row r="10678" spans="1:3">
      <c r="A10678" s="250">
        <v>26591</v>
      </c>
      <c r="B10678" s="74" t="s">
        <v>633</v>
      </c>
      <c r="C10678" s="74" t="s">
        <v>458</v>
      </c>
    </row>
    <row r="10679" spans="1:3">
      <c r="A10679" s="250">
        <v>26601</v>
      </c>
      <c r="B10679" s="74" t="s">
        <v>774</v>
      </c>
      <c r="C10679" s="74" t="s">
        <v>458</v>
      </c>
    </row>
    <row r="10680" spans="1:3">
      <c r="A10680" s="250">
        <v>26610</v>
      </c>
      <c r="B10680" s="74" t="s">
        <v>6993</v>
      </c>
      <c r="C10680" s="74" t="s">
        <v>458</v>
      </c>
    </row>
    <row r="10681" spans="1:3">
      <c r="A10681" s="250">
        <v>26611</v>
      </c>
      <c r="B10681" s="74" t="s">
        <v>2475</v>
      </c>
      <c r="C10681" s="74" t="s">
        <v>458</v>
      </c>
    </row>
    <row r="10682" spans="1:3">
      <c r="A10682" s="250">
        <v>26615</v>
      </c>
      <c r="B10682" s="74" t="s">
        <v>6994</v>
      </c>
      <c r="C10682" s="74" t="s">
        <v>458</v>
      </c>
    </row>
    <row r="10683" spans="1:3">
      <c r="A10683" s="250">
        <v>26617</v>
      </c>
      <c r="B10683" s="74" t="s">
        <v>6995</v>
      </c>
      <c r="C10683" s="74" t="s">
        <v>458</v>
      </c>
    </row>
    <row r="10684" spans="1:3">
      <c r="A10684" s="250">
        <v>26619</v>
      </c>
      <c r="B10684" s="74" t="s">
        <v>6996</v>
      </c>
      <c r="C10684" s="74" t="s">
        <v>458</v>
      </c>
    </row>
    <row r="10685" spans="1:3">
      <c r="A10685" s="250">
        <v>26621</v>
      </c>
      <c r="B10685" s="74" t="s">
        <v>6997</v>
      </c>
      <c r="C10685" s="74" t="s">
        <v>458</v>
      </c>
    </row>
    <row r="10686" spans="1:3">
      <c r="A10686" s="250">
        <v>26623</v>
      </c>
      <c r="B10686" s="74" t="s">
        <v>6998</v>
      </c>
      <c r="C10686" s="74" t="s">
        <v>458</v>
      </c>
    </row>
    <row r="10687" spans="1:3">
      <c r="A10687" s="250">
        <v>26624</v>
      </c>
      <c r="B10687" s="74" t="s">
        <v>6999</v>
      </c>
      <c r="C10687" s="74" t="s">
        <v>458</v>
      </c>
    </row>
    <row r="10688" spans="1:3">
      <c r="A10688" s="250">
        <v>26627</v>
      </c>
      <c r="B10688" s="74" t="s">
        <v>7000</v>
      </c>
      <c r="C10688" s="74" t="s">
        <v>458</v>
      </c>
    </row>
    <row r="10689" spans="1:3">
      <c r="A10689" s="250">
        <v>26629</v>
      </c>
      <c r="B10689" s="74" t="s">
        <v>7001</v>
      </c>
      <c r="C10689" s="74" t="s">
        <v>458</v>
      </c>
    </row>
    <row r="10690" spans="1:3">
      <c r="A10690" s="250">
        <v>26631</v>
      </c>
      <c r="B10690" s="74" t="s">
        <v>7002</v>
      </c>
      <c r="C10690" s="74" t="s">
        <v>458</v>
      </c>
    </row>
    <row r="10691" spans="1:3">
      <c r="A10691" s="250">
        <v>26636</v>
      </c>
      <c r="B10691" s="74" t="s">
        <v>2759</v>
      </c>
      <c r="C10691" s="74" t="s">
        <v>458</v>
      </c>
    </row>
    <row r="10692" spans="1:3">
      <c r="A10692" s="250">
        <v>26638</v>
      </c>
      <c r="B10692" s="74" t="s">
        <v>7003</v>
      </c>
      <c r="C10692" s="74" t="s">
        <v>458</v>
      </c>
    </row>
    <row r="10693" spans="1:3">
      <c r="A10693" s="250">
        <v>26651</v>
      </c>
      <c r="B10693" s="74" t="s">
        <v>7004</v>
      </c>
      <c r="C10693" s="74" t="s">
        <v>458</v>
      </c>
    </row>
    <row r="10694" spans="1:3">
      <c r="A10694" s="250">
        <v>26656</v>
      </c>
      <c r="B10694" s="74" t="s">
        <v>7005</v>
      </c>
      <c r="C10694" s="74" t="s">
        <v>458</v>
      </c>
    </row>
    <row r="10695" spans="1:3">
      <c r="A10695" s="250">
        <v>26660</v>
      </c>
      <c r="B10695" s="74" t="s">
        <v>4536</v>
      </c>
      <c r="C10695" s="74" t="s">
        <v>458</v>
      </c>
    </row>
    <row r="10696" spans="1:3">
      <c r="A10696" s="250">
        <v>26662</v>
      </c>
      <c r="B10696" s="74" t="s">
        <v>7006</v>
      </c>
      <c r="C10696" s="74" t="s">
        <v>458</v>
      </c>
    </row>
    <row r="10697" spans="1:3">
      <c r="A10697" s="250">
        <v>26667</v>
      </c>
      <c r="B10697" s="74" t="s">
        <v>7007</v>
      </c>
      <c r="C10697" s="74" t="s">
        <v>458</v>
      </c>
    </row>
    <row r="10698" spans="1:3">
      <c r="A10698" s="250">
        <v>26671</v>
      </c>
      <c r="B10698" s="74" t="s">
        <v>2958</v>
      </c>
      <c r="C10698" s="74" t="s">
        <v>458</v>
      </c>
    </row>
    <row r="10699" spans="1:3">
      <c r="A10699" s="250">
        <v>26675</v>
      </c>
      <c r="B10699" s="74" t="s">
        <v>7008</v>
      </c>
      <c r="C10699" s="74" t="s">
        <v>458</v>
      </c>
    </row>
    <row r="10700" spans="1:3">
      <c r="A10700" s="250">
        <v>26676</v>
      </c>
      <c r="B10700" s="74" t="s">
        <v>7009</v>
      </c>
      <c r="C10700" s="74" t="s">
        <v>458</v>
      </c>
    </row>
    <row r="10701" spans="1:3">
      <c r="A10701" s="250">
        <v>26678</v>
      </c>
      <c r="B10701" s="74" t="s">
        <v>7010</v>
      </c>
      <c r="C10701" s="74" t="s">
        <v>458</v>
      </c>
    </row>
    <row r="10702" spans="1:3">
      <c r="A10702" s="250">
        <v>26679</v>
      </c>
      <c r="B10702" s="74" t="s">
        <v>7011</v>
      </c>
      <c r="C10702" s="74" t="s">
        <v>458</v>
      </c>
    </row>
    <row r="10703" spans="1:3">
      <c r="A10703" s="250">
        <v>26680</v>
      </c>
      <c r="B10703" s="74" t="s">
        <v>7012</v>
      </c>
      <c r="C10703" s="74" t="s">
        <v>458</v>
      </c>
    </row>
    <row r="10704" spans="1:3">
      <c r="A10704" s="250">
        <v>26681</v>
      </c>
      <c r="B10704" s="74" t="s">
        <v>7013</v>
      </c>
      <c r="C10704" s="74" t="s">
        <v>458</v>
      </c>
    </row>
    <row r="10705" spans="1:3">
      <c r="A10705" s="250">
        <v>26684</v>
      </c>
      <c r="B10705" s="74" t="s">
        <v>7014</v>
      </c>
      <c r="C10705" s="74" t="s">
        <v>458</v>
      </c>
    </row>
    <row r="10706" spans="1:3">
      <c r="A10706" s="250">
        <v>26690</v>
      </c>
      <c r="B10706" s="74" t="s">
        <v>7015</v>
      </c>
      <c r="C10706" s="74" t="s">
        <v>458</v>
      </c>
    </row>
    <row r="10707" spans="1:3">
      <c r="A10707" s="250">
        <v>26691</v>
      </c>
      <c r="B10707" s="74" t="s">
        <v>4685</v>
      </c>
      <c r="C10707" s="74" t="s">
        <v>458</v>
      </c>
    </row>
    <row r="10708" spans="1:3">
      <c r="A10708" s="250">
        <v>26704</v>
      </c>
      <c r="B10708" s="74" t="s">
        <v>1473</v>
      </c>
      <c r="C10708" s="74" t="s">
        <v>458</v>
      </c>
    </row>
    <row r="10709" spans="1:3">
      <c r="A10709" s="250">
        <v>26705</v>
      </c>
      <c r="B10709" s="74" t="s">
        <v>1489</v>
      </c>
      <c r="C10709" s="74" t="s">
        <v>458</v>
      </c>
    </row>
    <row r="10710" spans="1:3">
      <c r="A10710" s="250">
        <v>26707</v>
      </c>
      <c r="B10710" s="74" t="s">
        <v>7016</v>
      </c>
      <c r="C10710" s="74" t="s">
        <v>458</v>
      </c>
    </row>
    <row r="10711" spans="1:3">
      <c r="A10711" s="250">
        <v>26710</v>
      </c>
      <c r="B10711" s="74" t="s">
        <v>806</v>
      </c>
      <c r="C10711" s="74" t="s">
        <v>458</v>
      </c>
    </row>
    <row r="10712" spans="1:3">
      <c r="A10712" s="250">
        <v>26711</v>
      </c>
      <c r="B10712" s="74" t="s">
        <v>7017</v>
      </c>
      <c r="C10712" s="74" t="s">
        <v>458</v>
      </c>
    </row>
    <row r="10713" spans="1:3">
      <c r="A10713" s="250">
        <v>26714</v>
      </c>
      <c r="B10713" s="74" t="s">
        <v>7018</v>
      </c>
      <c r="C10713" s="74" t="s">
        <v>458</v>
      </c>
    </row>
    <row r="10714" spans="1:3">
      <c r="A10714" s="250">
        <v>26716</v>
      </c>
      <c r="B10714" s="74" t="s">
        <v>7019</v>
      </c>
      <c r="C10714" s="74" t="s">
        <v>458</v>
      </c>
    </row>
    <row r="10715" spans="1:3">
      <c r="A10715" s="250">
        <v>26717</v>
      </c>
      <c r="B10715" s="74" t="s">
        <v>7020</v>
      </c>
      <c r="C10715" s="74" t="s">
        <v>458</v>
      </c>
    </row>
    <row r="10716" spans="1:3">
      <c r="A10716" s="250">
        <v>26719</v>
      </c>
      <c r="B10716" s="74" t="s">
        <v>7021</v>
      </c>
      <c r="C10716" s="74" t="s">
        <v>458</v>
      </c>
    </row>
    <row r="10717" spans="1:3">
      <c r="A10717" s="250">
        <v>26720</v>
      </c>
      <c r="B10717" s="74" t="s">
        <v>7022</v>
      </c>
      <c r="C10717" s="74" t="s">
        <v>458</v>
      </c>
    </row>
    <row r="10718" spans="1:3">
      <c r="A10718" s="250">
        <v>26722</v>
      </c>
      <c r="B10718" s="74" t="s">
        <v>7023</v>
      </c>
      <c r="C10718" s="74" t="s">
        <v>458</v>
      </c>
    </row>
    <row r="10719" spans="1:3">
      <c r="A10719" s="250">
        <v>26726</v>
      </c>
      <c r="B10719" s="74" t="s">
        <v>7024</v>
      </c>
      <c r="C10719" s="74" t="s">
        <v>458</v>
      </c>
    </row>
    <row r="10720" spans="1:3">
      <c r="A10720" s="250">
        <v>26731</v>
      </c>
      <c r="B10720" s="74" t="s">
        <v>7025</v>
      </c>
      <c r="C10720" s="74" t="s">
        <v>458</v>
      </c>
    </row>
    <row r="10721" spans="1:3">
      <c r="A10721" s="250">
        <v>26739</v>
      </c>
      <c r="B10721" s="74" t="s">
        <v>7026</v>
      </c>
      <c r="C10721" s="74" t="s">
        <v>458</v>
      </c>
    </row>
    <row r="10722" spans="1:3">
      <c r="A10722" s="250">
        <v>26743</v>
      </c>
      <c r="B10722" s="74" t="s">
        <v>7027</v>
      </c>
      <c r="C10722" s="74" t="s">
        <v>458</v>
      </c>
    </row>
    <row r="10723" spans="1:3">
      <c r="A10723" s="250">
        <v>26750</v>
      </c>
      <c r="B10723" s="74" t="s">
        <v>7028</v>
      </c>
      <c r="C10723" s="74" t="s">
        <v>458</v>
      </c>
    </row>
    <row r="10724" spans="1:3">
      <c r="A10724" s="250">
        <v>26753</v>
      </c>
      <c r="B10724" s="74" t="s">
        <v>7029</v>
      </c>
      <c r="C10724" s="74" t="s">
        <v>458</v>
      </c>
    </row>
    <row r="10725" spans="1:3">
      <c r="A10725" s="250">
        <v>26755</v>
      </c>
      <c r="B10725" s="74" t="s">
        <v>7030</v>
      </c>
      <c r="C10725" s="74" t="s">
        <v>458</v>
      </c>
    </row>
    <row r="10726" spans="1:3">
      <c r="A10726" s="250">
        <v>26757</v>
      </c>
      <c r="B10726" s="74" t="s">
        <v>7031</v>
      </c>
      <c r="C10726" s="74" t="s">
        <v>458</v>
      </c>
    </row>
    <row r="10727" spans="1:3">
      <c r="A10727" s="250">
        <v>26761</v>
      </c>
      <c r="B10727" s="74" t="s">
        <v>7032</v>
      </c>
      <c r="C10727" s="74" t="s">
        <v>458</v>
      </c>
    </row>
    <row r="10728" spans="1:3">
      <c r="A10728" s="250">
        <v>26763</v>
      </c>
      <c r="B10728" s="74" t="s">
        <v>634</v>
      </c>
      <c r="C10728" s="74" t="s">
        <v>458</v>
      </c>
    </row>
    <row r="10729" spans="1:3">
      <c r="A10729" s="250">
        <v>26764</v>
      </c>
      <c r="B10729" s="74" t="s">
        <v>7033</v>
      </c>
      <c r="C10729" s="74" t="s">
        <v>458</v>
      </c>
    </row>
    <row r="10730" spans="1:3">
      <c r="A10730" s="250">
        <v>26767</v>
      </c>
      <c r="B10730" s="74" t="s">
        <v>7034</v>
      </c>
      <c r="C10730" s="74" t="s">
        <v>458</v>
      </c>
    </row>
    <row r="10731" spans="1:3">
      <c r="A10731" s="250">
        <v>26801</v>
      </c>
      <c r="B10731" s="74" t="s">
        <v>7035</v>
      </c>
      <c r="C10731" s="74" t="s">
        <v>458</v>
      </c>
    </row>
    <row r="10732" spans="1:3">
      <c r="A10732" s="250">
        <v>26802</v>
      </c>
      <c r="B10732" s="74" t="s">
        <v>5551</v>
      </c>
      <c r="C10732" s="74" t="s">
        <v>458</v>
      </c>
    </row>
    <row r="10733" spans="1:3">
      <c r="A10733" s="250">
        <v>26804</v>
      </c>
      <c r="B10733" s="74" t="s">
        <v>2681</v>
      </c>
      <c r="C10733" s="74" t="s">
        <v>458</v>
      </c>
    </row>
    <row r="10734" spans="1:3">
      <c r="A10734" s="250">
        <v>26807</v>
      </c>
      <c r="B10734" s="74" t="s">
        <v>873</v>
      </c>
      <c r="C10734" s="74" t="s">
        <v>458</v>
      </c>
    </row>
    <row r="10735" spans="1:3">
      <c r="A10735" s="250">
        <v>26808</v>
      </c>
      <c r="B10735" s="74" t="s">
        <v>7036</v>
      </c>
      <c r="C10735" s="74" t="s">
        <v>458</v>
      </c>
    </row>
    <row r="10736" spans="1:3">
      <c r="A10736" s="250">
        <v>26810</v>
      </c>
      <c r="B10736" s="74" t="s">
        <v>7037</v>
      </c>
      <c r="C10736" s="74" t="s">
        <v>458</v>
      </c>
    </row>
    <row r="10737" spans="1:3">
      <c r="A10737" s="250">
        <v>26812</v>
      </c>
      <c r="B10737" s="74" t="s">
        <v>7038</v>
      </c>
      <c r="C10737" s="74" t="s">
        <v>458</v>
      </c>
    </row>
    <row r="10738" spans="1:3">
      <c r="A10738" s="250">
        <v>26814</v>
      </c>
      <c r="B10738" s="74" t="s">
        <v>1953</v>
      </c>
      <c r="C10738" s="74" t="s">
        <v>458</v>
      </c>
    </row>
    <row r="10739" spans="1:3">
      <c r="A10739" s="250">
        <v>26815</v>
      </c>
      <c r="B10739" s="74" t="s">
        <v>4493</v>
      </c>
      <c r="C10739" s="74" t="s">
        <v>458</v>
      </c>
    </row>
    <row r="10740" spans="1:3">
      <c r="A10740" s="250">
        <v>26817</v>
      </c>
      <c r="B10740" s="74" t="s">
        <v>7039</v>
      </c>
      <c r="C10740" s="74" t="s">
        <v>458</v>
      </c>
    </row>
    <row r="10741" spans="1:3">
      <c r="A10741" s="250">
        <v>26818</v>
      </c>
      <c r="B10741" s="74" t="s">
        <v>4450</v>
      </c>
      <c r="C10741" s="74" t="s">
        <v>458</v>
      </c>
    </row>
    <row r="10742" spans="1:3">
      <c r="A10742" s="250">
        <v>26823</v>
      </c>
      <c r="B10742" s="74" t="s">
        <v>7040</v>
      </c>
      <c r="C10742" s="74" t="s">
        <v>458</v>
      </c>
    </row>
    <row r="10743" spans="1:3">
      <c r="A10743" s="250">
        <v>26833</v>
      </c>
      <c r="B10743" s="74" t="s">
        <v>7041</v>
      </c>
      <c r="C10743" s="74" t="s">
        <v>458</v>
      </c>
    </row>
    <row r="10744" spans="1:3">
      <c r="A10744" s="250">
        <v>26836</v>
      </c>
      <c r="B10744" s="74" t="s">
        <v>7042</v>
      </c>
      <c r="C10744" s="74" t="s">
        <v>458</v>
      </c>
    </row>
    <row r="10745" spans="1:3">
      <c r="A10745" s="250">
        <v>26838</v>
      </c>
      <c r="B10745" s="74" t="s">
        <v>7043</v>
      </c>
      <c r="C10745" s="74" t="s">
        <v>458</v>
      </c>
    </row>
    <row r="10746" spans="1:3">
      <c r="A10746" s="250">
        <v>26845</v>
      </c>
      <c r="B10746" s="74" t="s">
        <v>7044</v>
      </c>
      <c r="C10746" s="74" t="s">
        <v>458</v>
      </c>
    </row>
    <row r="10747" spans="1:3">
      <c r="A10747" s="250">
        <v>26847</v>
      </c>
      <c r="B10747" s="74" t="s">
        <v>2988</v>
      </c>
      <c r="C10747" s="74" t="s">
        <v>458</v>
      </c>
    </row>
    <row r="10748" spans="1:3">
      <c r="A10748" s="250">
        <v>26851</v>
      </c>
      <c r="B10748" s="74" t="s">
        <v>7045</v>
      </c>
      <c r="C10748" s="74" t="s">
        <v>458</v>
      </c>
    </row>
    <row r="10749" spans="1:3">
      <c r="A10749" s="250">
        <v>26852</v>
      </c>
      <c r="B10749" s="74" t="s">
        <v>7046</v>
      </c>
      <c r="C10749" s="74" t="s">
        <v>458</v>
      </c>
    </row>
    <row r="10750" spans="1:3">
      <c r="A10750" s="250">
        <v>26855</v>
      </c>
      <c r="B10750" s="74" t="s">
        <v>7047</v>
      </c>
      <c r="C10750" s="74" t="s">
        <v>458</v>
      </c>
    </row>
    <row r="10751" spans="1:3">
      <c r="A10751" s="250">
        <v>26865</v>
      </c>
      <c r="B10751" s="74" t="s">
        <v>7048</v>
      </c>
      <c r="C10751" s="74" t="s">
        <v>458</v>
      </c>
    </row>
    <row r="10752" spans="1:3">
      <c r="A10752" s="250">
        <v>26866</v>
      </c>
      <c r="B10752" s="74" t="s">
        <v>7049</v>
      </c>
      <c r="C10752" s="74" t="s">
        <v>458</v>
      </c>
    </row>
    <row r="10753" spans="1:3">
      <c r="A10753" s="250">
        <v>26884</v>
      </c>
      <c r="B10753" s="74" t="s">
        <v>7050</v>
      </c>
      <c r="C10753" s="74" t="s">
        <v>458</v>
      </c>
    </row>
    <row r="10754" spans="1:3">
      <c r="A10754" s="250">
        <v>26886</v>
      </c>
      <c r="B10754" s="74" t="s">
        <v>7051</v>
      </c>
      <c r="C10754" s="74" t="s">
        <v>458</v>
      </c>
    </row>
    <row r="10755" spans="1:3">
      <c r="A10755" s="250">
        <v>27006</v>
      </c>
      <c r="B10755" s="74" t="s">
        <v>7052</v>
      </c>
      <c r="C10755" s="74" t="s">
        <v>444</v>
      </c>
    </row>
    <row r="10756" spans="1:3">
      <c r="A10756" s="250">
        <v>27007</v>
      </c>
      <c r="B10756" s="74" t="s">
        <v>6253</v>
      </c>
      <c r="C10756" s="74" t="s">
        <v>444</v>
      </c>
    </row>
    <row r="10757" spans="1:3">
      <c r="A10757" s="250">
        <v>27009</v>
      </c>
      <c r="B10757" s="74" t="s">
        <v>7053</v>
      </c>
      <c r="C10757" s="74" t="s">
        <v>444</v>
      </c>
    </row>
    <row r="10758" spans="1:3">
      <c r="A10758" s="250">
        <v>27010</v>
      </c>
      <c r="B10758" s="74" t="s">
        <v>7054</v>
      </c>
      <c r="C10758" s="74" t="s">
        <v>444</v>
      </c>
    </row>
    <row r="10759" spans="1:3">
      <c r="A10759" s="250">
        <v>27011</v>
      </c>
      <c r="B10759" s="74" t="s">
        <v>3435</v>
      </c>
      <c r="C10759" s="74" t="s">
        <v>444</v>
      </c>
    </row>
    <row r="10760" spans="1:3">
      <c r="A10760" s="250">
        <v>27012</v>
      </c>
      <c r="B10760" s="74" t="s">
        <v>7055</v>
      </c>
      <c r="C10760" s="74" t="s">
        <v>444</v>
      </c>
    </row>
    <row r="10761" spans="1:3">
      <c r="A10761" s="250">
        <v>27013</v>
      </c>
      <c r="B10761" s="74" t="s">
        <v>3350</v>
      </c>
      <c r="C10761" s="74" t="s">
        <v>444</v>
      </c>
    </row>
    <row r="10762" spans="1:3">
      <c r="A10762" s="250">
        <v>27014</v>
      </c>
      <c r="B10762" s="74" t="s">
        <v>7056</v>
      </c>
      <c r="C10762" s="74" t="s">
        <v>444</v>
      </c>
    </row>
    <row r="10763" spans="1:3">
      <c r="A10763" s="250">
        <v>27016</v>
      </c>
      <c r="B10763" s="74" t="s">
        <v>1184</v>
      </c>
      <c r="C10763" s="74" t="s">
        <v>444</v>
      </c>
    </row>
    <row r="10764" spans="1:3">
      <c r="A10764" s="250">
        <v>27017</v>
      </c>
      <c r="B10764" s="74" t="s">
        <v>7057</v>
      </c>
      <c r="C10764" s="74" t="s">
        <v>444</v>
      </c>
    </row>
    <row r="10765" spans="1:3">
      <c r="A10765" s="250">
        <v>27018</v>
      </c>
      <c r="B10765" s="74" t="s">
        <v>7058</v>
      </c>
      <c r="C10765" s="74" t="s">
        <v>444</v>
      </c>
    </row>
    <row r="10766" spans="1:3">
      <c r="A10766" s="250">
        <v>27019</v>
      </c>
      <c r="B10766" s="74" t="s">
        <v>7059</v>
      </c>
      <c r="C10766" s="74" t="s">
        <v>444</v>
      </c>
    </row>
    <row r="10767" spans="1:3">
      <c r="A10767" s="250">
        <v>27020</v>
      </c>
      <c r="B10767" s="74" t="s">
        <v>7060</v>
      </c>
      <c r="C10767" s="74" t="s">
        <v>444</v>
      </c>
    </row>
    <row r="10768" spans="1:3">
      <c r="A10768" s="250">
        <v>27021</v>
      </c>
      <c r="B10768" s="74" t="s">
        <v>7061</v>
      </c>
      <c r="C10768" s="74" t="s">
        <v>444</v>
      </c>
    </row>
    <row r="10769" spans="1:3">
      <c r="A10769" s="250">
        <v>27022</v>
      </c>
      <c r="B10769" s="74" t="s">
        <v>7062</v>
      </c>
      <c r="C10769" s="74" t="s">
        <v>444</v>
      </c>
    </row>
    <row r="10770" spans="1:3">
      <c r="A10770" s="250">
        <v>27023</v>
      </c>
      <c r="B10770" s="74" t="s">
        <v>5387</v>
      </c>
      <c r="C10770" s="74" t="s">
        <v>444</v>
      </c>
    </row>
    <row r="10771" spans="1:3">
      <c r="A10771" s="250">
        <v>27024</v>
      </c>
      <c r="B10771" s="74" t="s">
        <v>7063</v>
      </c>
      <c r="C10771" s="74" t="s">
        <v>444</v>
      </c>
    </row>
    <row r="10772" spans="1:3">
      <c r="A10772" s="250">
        <v>27025</v>
      </c>
      <c r="B10772" s="74" t="s">
        <v>1320</v>
      </c>
      <c r="C10772" s="74" t="s">
        <v>444</v>
      </c>
    </row>
    <row r="10773" spans="1:3">
      <c r="A10773" s="250">
        <v>27027</v>
      </c>
      <c r="B10773" s="74" t="s">
        <v>7064</v>
      </c>
      <c r="C10773" s="74" t="s">
        <v>444</v>
      </c>
    </row>
    <row r="10774" spans="1:3">
      <c r="A10774" s="250">
        <v>27028</v>
      </c>
      <c r="B10774" s="74" t="s">
        <v>7065</v>
      </c>
      <c r="C10774" s="74" t="s">
        <v>444</v>
      </c>
    </row>
    <row r="10775" spans="1:3">
      <c r="A10775" s="250">
        <v>27030</v>
      </c>
      <c r="B10775" s="74" t="s">
        <v>5810</v>
      </c>
      <c r="C10775" s="74" t="s">
        <v>444</v>
      </c>
    </row>
    <row r="10776" spans="1:3">
      <c r="A10776" s="250">
        <v>27031</v>
      </c>
      <c r="B10776" s="74" t="s">
        <v>2665</v>
      </c>
      <c r="C10776" s="74" t="s">
        <v>444</v>
      </c>
    </row>
    <row r="10777" spans="1:3">
      <c r="A10777" s="250">
        <v>27040</v>
      </c>
      <c r="B10777" s="74" t="s">
        <v>7066</v>
      </c>
      <c r="C10777" s="74" t="s">
        <v>444</v>
      </c>
    </row>
    <row r="10778" spans="1:3">
      <c r="A10778" s="250">
        <v>27041</v>
      </c>
      <c r="B10778" s="74" t="s">
        <v>7067</v>
      </c>
      <c r="C10778" s="74" t="s">
        <v>444</v>
      </c>
    </row>
    <row r="10779" spans="1:3">
      <c r="A10779" s="250">
        <v>27042</v>
      </c>
      <c r="B10779" s="74" t="s">
        <v>7068</v>
      </c>
      <c r="C10779" s="74" t="s">
        <v>444</v>
      </c>
    </row>
    <row r="10780" spans="1:3">
      <c r="A10780" s="250">
        <v>27043</v>
      </c>
      <c r="B10780" s="74" t="s">
        <v>7069</v>
      </c>
      <c r="C10780" s="74" t="s">
        <v>444</v>
      </c>
    </row>
    <row r="10781" spans="1:3">
      <c r="A10781" s="250">
        <v>27045</v>
      </c>
      <c r="B10781" s="74" t="s">
        <v>7070</v>
      </c>
      <c r="C10781" s="74" t="s">
        <v>444</v>
      </c>
    </row>
    <row r="10782" spans="1:3">
      <c r="A10782" s="250">
        <v>27046</v>
      </c>
      <c r="B10782" s="74" t="s">
        <v>4574</v>
      </c>
      <c r="C10782" s="74" t="s">
        <v>444</v>
      </c>
    </row>
    <row r="10783" spans="1:3">
      <c r="A10783" s="250">
        <v>27047</v>
      </c>
      <c r="B10783" s="74" t="s">
        <v>7071</v>
      </c>
      <c r="C10783" s="74" t="s">
        <v>444</v>
      </c>
    </row>
    <row r="10784" spans="1:3">
      <c r="A10784" s="250">
        <v>27048</v>
      </c>
      <c r="B10784" s="74" t="s">
        <v>7072</v>
      </c>
      <c r="C10784" s="74" t="s">
        <v>444</v>
      </c>
    </row>
    <row r="10785" spans="1:3">
      <c r="A10785" s="250">
        <v>27049</v>
      </c>
      <c r="B10785" s="74" t="s">
        <v>7073</v>
      </c>
      <c r="C10785" s="74" t="s">
        <v>444</v>
      </c>
    </row>
    <row r="10786" spans="1:3">
      <c r="A10786" s="250">
        <v>27050</v>
      </c>
      <c r="B10786" s="74" t="s">
        <v>7074</v>
      </c>
      <c r="C10786" s="74" t="s">
        <v>444</v>
      </c>
    </row>
    <row r="10787" spans="1:3">
      <c r="A10787" s="250">
        <v>27051</v>
      </c>
      <c r="B10787" s="74" t="s">
        <v>7075</v>
      </c>
      <c r="C10787" s="74" t="s">
        <v>444</v>
      </c>
    </row>
    <row r="10788" spans="1:3">
      <c r="A10788" s="250">
        <v>27052</v>
      </c>
      <c r="B10788" s="74" t="s">
        <v>7076</v>
      </c>
      <c r="C10788" s="74" t="s">
        <v>444</v>
      </c>
    </row>
    <row r="10789" spans="1:3">
      <c r="A10789" s="250">
        <v>27053</v>
      </c>
      <c r="B10789" s="74" t="s">
        <v>624</v>
      </c>
      <c r="C10789" s="74" t="s">
        <v>444</v>
      </c>
    </row>
    <row r="10790" spans="1:3">
      <c r="A10790" s="250">
        <v>27054</v>
      </c>
      <c r="B10790" s="74" t="s">
        <v>7077</v>
      </c>
      <c r="C10790" s="74" t="s">
        <v>444</v>
      </c>
    </row>
    <row r="10791" spans="1:3">
      <c r="A10791" s="250">
        <v>27055</v>
      </c>
      <c r="B10791" s="74" t="s">
        <v>7078</v>
      </c>
      <c r="C10791" s="74" t="s">
        <v>444</v>
      </c>
    </row>
    <row r="10792" spans="1:3">
      <c r="A10792" s="250">
        <v>27094</v>
      </c>
      <c r="B10792" s="74" t="s">
        <v>7070</v>
      </c>
      <c r="C10792" s="74" t="s">
        <v>444</v>
      </c>
    </row>
    <row r="10793" spans="1:3">
      <c r="A10793" s="250">
        <v>27098</v>
      </c>
      <c r="B10793" s="74" t="s">
        <v>7070</v>
      </c>
      <c r="C10793" s="74" t="s">
        <v>444</v>
      </c>
    </row>
    <row r="10794" spans="1:3">
      <c r="A10794" s="250">
        <v>27099</v>
      </c>
      <c r="B10794" s="74" t="s">
        <v>7070</v>
      </c>
      <c r="C10794" s="74" t="s">
        <v>444</v>
      </c>
    </row>
    <row r="10795" spans="1:3">
      <c r="A10795" s="250">
        <v>27101</v>
      </c>
      <c r="B10795" s="74" t="s">
        <v>7079</v>
      </c>
      <c r="C10795" s="74" t="s">
        <v>444</v>
      </c>
    </row>
    <row r="10796" spans="1:3">
      <c r="A10796" s="250">
        <v>27102</v>
      </c>
      <c r="B10796" s="74" t="s">
        <v>7079</v>
      </c>
      <c r="C10796" s="74" t="s">
        <v>444</v>
      </c>
    </row>
    <row r="10797" spans="1:3">
      <c r="A10797" s="250">
        <v>27103</v>
      </c>
      <c r="B10797" s="74" t="s">
        <v>7079</v>
      </c>
      <c r="C10797" s="74" t="s">
        <v>444</v>
      </c>
    </row>
    <row r="10798" spans="1:3">
      <c r="A10798" s="250">
        <v>27104</v>
      </c>
      <c r="B10798" s="74" t="s">
        <v>7079</v>
      </c>
      <c r="C10798" s="74" t="s">
        <v>444</v>
      </c>
    </row>
    <row r="10799" spans="1:3">
      <c r="A10799" s="250">
        <v>27105</v>
      </c>
      <c r="B10799" s="74" t="s">
        <v>7079</v>
      </c>
      <c r="C10799" s="74" t="s">
        <v>444</v>
      </c>
    </row>
    <row r="10800" spans="1:3">
      <c r="A10800" s="250">
        <v>27106</v>
      </c>
      <c r="B10800" s="74" t="s">
        <v>7079</v>
      </c>
      <c r="C10800" s="74" t="s">
        <v>444</v>
      </c>
    </row>
    <row r="10801" spans="1:3">
      <c r="A10801" s="250">
        <v>27107</v>
      </c>
      <c r="B10801" s="74" t="s">
        <v>7079</v>
      </c>
      <c r="C10801" s="74" t="s">
        <v>444</v>
      </c>
    </row>
    <row r="10802" spans="1:3">
      <c r="A10802" s="250">
        <v>27108</v>
      </c>
      <c r="B10802" s="74" t="s">
        <v>7079</v>
      </c>
      <c r="C10802" s="74" t="s">
        <v>444</v>
      </c>
    </row>
    <row r="10803" spans="1:3">
      <c r="A10803" s="250">
        <v>27109</v>
      </c>
      <c r="B10803" s="74" t="s">
        <v>7079</v>
      </c>
      <c r="C10803" s="74" t="s">
        <v>444</v>
      </c>
    </row>
    <row r="10804" spans="1:3">
      <c r="A10804" s="250">
        <v>27110</v>
      </c>
      <c r="B10804" s="74" t="s">
        <v>7079</v>
      </c>
      <c r="C10804" s="74" t="s">
        <v>444</v>
      </c>
    </row>
    <row r="10805" spans="1:3">
      <c r="A10805" s="250">
        <v>27111</v>
      </c>
      <c r="B10805" s="74" t="s">
        <v>7079</v>
      </c>
      <c r="C10805" s="74" t="s">
        <v>444</v>
      </c>
    </row>
    <row r="10806" spans="1:3">
      <c r="A10806" s="250">
        <v>27113</v>
      </c>
      <c r="B10806" s="74" t="s">
        <v>7079</v>
      </c>
      <c r="C10806" s="74" t="s">
        <v>444</v>
      </c>
    </row>
    <row r="10807" spans="1:3">
      <c r="A10807" s="250">
        <v>27114</v>
      </c>
      <c r="B10807" s="74" t="s">
        <v>7079</v>
      </c>
      <c r="C10807" s="74" t="s">
        <v>444</v>
      </c>
    </row>
    <row r="10808" spans="1:3">
      <c r="A10808" s="250">
        <v>27115</v>
      </c>
      <c r="B10808" s="74" t="s">
        <v>7079</v>
      </c>
      <c r="C10808" s="74" t="s">
        <v>444</v>
      </c>
    </row>
    <row r="10809" spans="1:3">
      <c r="A10809" s="250">
        <v>27116</v>
      </c>
      <c r="B10809" s="74" t="s">
        <v>7079</v>
      </c>
      <c r="C10809" s="74" t="s">
        <v>444</v>
      </c>
    </row>
    <row r="10810" spans="1:3">
      <c r="A10810" s="250">
        <v>27117</v>
      </c>
      <c r="B10810" s="74" t="s">
        <v>7079</v>
      </c>
      <c r="C10810" s="74" t="s">
        <v>444</v>
      </c>
    </row>
    <row r="10811" spans="1:3">
      <c r="A10811" s="250">
        <v>27120</v>
      </c>
      <c r="B10811" s="74" t="s">
        <v>7079</v>
      </c>
      <c r="C10811" s="74" t="s">
        <v>444</v>
      </c>
    </row>
    <row r="10812" spans="1:3">
      <c r="A10812" s="250">
        <v>27127</v>
      </c>
      <c r="B10812" s="74" t="s">
        <v>7079</v>
      </c>
      <c r="C10812" s="74" t="s">
        <v>444</v>
      </c>
    </row>
    <row r="10813" spans="1:3">
      <c r="A10813" s="250">
        <v>27130</v>
      </c>
      <c r="B10813" s="74" t="s">
        <v>7079</v>
      </c>
      <c r="C10813" s="74" t="s">
        <v>444</v>
      </c>
    </row>
    <row r="10814" spans="1:3">
      <c r="A10814" s="250">
        <v>27150</v>
      </c>
      <c r="B10814" s="74" t="s">
        <v>7079</v>
      </c>
      <c r="C10814" s="74" t="s">
        <v>444</v>
      </c>
    </row>
    <row r="10815" spans="1:3">
      <c r="A10815" s="250">
        <v>27151</v>
      </c>
      <c r="B10815" s="74" t="s">
        <v>7080</v>
      </c>
      <c r="C10815" s="74" t="s">
        <v>444</v>
      </c>
    </row>
    <row r="10816" spans="1:3">
      <c r="A10816" s="250">
        <v>27152</v>
      </c>
      <c r="B10816" s="74" t="s">
        <v>7079</v>
      </c>
      <c r="C10816" s="74" t="s">
        <v>444</v>
      </c>
    </row>
    <row r="10817" spans="1:3">
      <c r="A10817" s="250">
        <v>27155</v>
      </c>
      <c r="B10817" s="74" t="s">
        <v>7079</v>
      </c>
      <c r="C10817" s="74" t="s">
        <v>444</v>
      </c>
    </row>
    <row r="10818" spans="1:3">
      <c r="A10818" s="250">
        <v>27156</v>
      </c>
      <c r="B10818" s="74" t="s">
        <v>7080</v>
      </c>
      <c r="C10818" s="74" t="s">
        <v>444</v>
      </c>
    </row>
    <row r="10819" spans="1:3">
      <c r="A10819" s="250">
        <v>27157</v>
      </c>
      <c r="B10819" s="74" t="s">
        <v>7079</v>
      </c>
      <c r="C10819" s="74" t="s">
        <v>444</v>
      </c>
    </row>
    <row r="10820" spans="1:3">
      <c r="A10820" s="250">
        <v>27198</v>
      </c>
      <c r="B10820" s="74" t="s">
        <v>7079</v>
      </c>
      <c r="C10820" s="74" t="s">
        <v>444</v>
      </c>
    </row>
    <row r="10821" spans="1:3">
      <c r="A10821" s="250">
        <v>27199</v>
      </c>
      <c r="B10821" s="74" t="s">
        <v>7079</v>
      </c>
      <c r="C10821" s="74" t="s">
        <v>444</v>
      </c>
    </row>
    <row r="10822" spans="1:3">
      <c r="A10822" s="250">
        <v>27201</v>
      </c>
      <c r="B10822" s="74" t="s">
        <v>7081</v>
      </c>
      <c r="C10822" s="74" t="s">
        <v>444</v>
      </c>
    </row>
    <row r="10823" spans="1:3">
      <c r="A10823" s="250">
        <v>27202</v>
      </c>
      <c r="B10823" s="74" t="s">
        <v>7082</v>
      </c>
      <c r="C10823" s="74" t="s">
        <v>444</v>
      </c>
    </row>
    <row r="10824" spans="1:3">
      <c r="A10824" s="250">
        <v>27203</v>
      </c>
      <c r="B10824" s="74" t="s">
        <v>7083</v>
      </c>
      <c r="C10824" s="74" t="s">
        <v>444</v>
      </c>
    </row>
    <row r="10825" spans="1:3">
      <c r="A10825" s="250">
        <v>27204</v>
      </c>
      <c r="B10825" s="74" t="s">
        <v>7083</v>
      </c>
      <c r="C10825" s="74" t="s">
        <v>444</v>
      </c>
    </row>
    <row r="10826" spans="1:3">
      <c r="A10826" s="250">
        <v>27205</v>
      </c>
      <c r="B10826" s="74" t="s">
        <v>7083</v>
      </c>
      <c r="C10826" s="74" t="s">
        <v>444</v>
      </c>
    </row>
    <row r="10827" spans="1:3">
      <c r="A10827" s="250">
        <v>27207</v>
      </c>
      <c r="B10827" s="74" t="s">
        <v>5196</v>
      </c>
      <c r="C10827" s="74" t="s">
        <v>444</v>
      </c>
    </row>
    <row r="10828" spans="1:3">
      <c r="A10828" s="250">
        <v>27208</v>
      </c>
      <c r="B10828" s="74" t="s">
        <v>7084</v>
      </c>
      <c r="C10828" s="74" t="s">
        <v>444</v>
      </c>
    </row>
    <row r="10829" spans="1:3">
      <c r="A10829" s="250">
        <v>27209</v>
      </c>
      <c r="B10829" s="74" t="s">
        <v>7085</v>
      </c>
      <c r="C10829" s="74" t="s">
        <v>444</v>
      </c>
    </row>
    <row r="10830" spans="1:3">
      <c r="A10830" s="250">
        <v>27212</v>
      </c>
      <c r="B10830" s="74" t="s">
        <v>7086</v>
      </c>
      <c r="C10830" s="74" t="s">
        <v>444</v>
      </c>
    </row>
    <row r="10831" spans="1:3">
      <c r="A10831" s="250">
        <v>27213</v>
      </c>
      <c r="B10831" s="74" t="s">
        <v>7087</v>
      </c>
      <c r="C10831" s="74" t="s">
        <v>444</v>
      </c>
    </row>
    <row r="10832" spans="1:3">
      <c r="A10832" s="250">
        <v>27214</v>
      </c>
      <c r="B10832" s="74" t="s">
        <v>7088</v>
      </c>
      <c r="C10832" s="74" t="s">
        <v>444</v>
      </c>
    </row>
    <row r="10833" spans="1:3">
      <c r="A10833" s="250">
        <v>27215</v>
      </c>
      <c r="B10833" s="74" t="s">
        <v>806</v>
      </c>
      <c r="C10833" s="74" t="s">
        <v>444</v>
      </c>
    </row>
    <row r="10834" spans="1:3">
      <c r="A10834" s="250">
        <v>27216</v>
      </c>
      <c r="B10834" s="74" t="s">
        <v>806</v>
      </c>
      <c r="C10834" s="74" t="s">
        <v>444</v>
      </c>
    </row>
    <row r="10835" spans="1:3">
      <c r="A10835" s="250">
        <v>27217</v>
      </c>
      <c r="B10835" s="74" t="s">
        <v>806</v>
      </c>
      <c r="C10835" s="74" t="s">
        <v>444</v>
      </c>
    </row>
    <row r="10836" spans="1:3">
      <c r="A10836" s="250">
        <v>27220</v>
      </c>
      <c r="B10836" s="74" t="s">
        <v>806</v>
      </c>
      <c r="C10836" s="74" t="s">
        <v>444</v>
      </c>
    </row>
    <row r="10837" spans="1:3">
      <c r="A10837" s="250">
        <v>27228</v>
      </c>
      <c r="B10837" s="74" t="s">
        <v>7089</v>
      </c>
      <c r="C10837" s="74" t="s">
        <v>444</v>
      </c>
    </row>
    <row r="10838" spans="1:3">
      <c r="A10838" s="250">
        <v>27229</v>
      </c>
      <c r="B10838" s="74" t="s">
        <v>3598</v>
      </c>
      <c r="C10838" s="74" t="s">
        <v>444</v>
      </c>
    </row>
    <row r="10839" spans="1:3">
      <c r="A10839" s="250">
        <v>27230</v>
      </c>
      <c r="B10839" s="74" t="s">
        <v>7090</v>
      </c>
      <c r="C10839" s="74" t="s">
        <v>444</v>
      </c>
    </row>
    <row r="10840" spans="1:3">
      <c r="A10840" s="250">
        <v>27231</v>
      </c>
      <c r="B10840" s="74" t="s">
        <v>2115</v>
      </c>
      <c r="C10840" s="74" t="s">
        <v>444</v>
      </c>
    </row>
    <row r="10841" spans="1:3">
      <c r="A10841" s="250">
        <v>27233</v>
      </c>
      <c r="B10841" s="74" t="s">
        <v>2927</v>
      </c>
      <c r="C10841" s="74" t="s">
        <v>444</v>
      </c>
    </row>
    <row r="10842" spans="1:3">
      <c r="A10842" s="250">
        <v>27235</v>
      </c>
      <c r="B10842" s="74" t="s">
        <v>6980</v>
      </c>
      <c r="C10842" s="74" t="s">
        <v>444</v>
      </c>
    </row>
    <row r="10843" spans="1:3">
      <c r="A10843" s="250">
        <v>27237</v>
      </c>
      <c r="B10843" s="74" t="s">
        <v>7091</v>
      </c>
      <c r="C10843" s="74" t="s">
        <v>444</v>
      </c>
    </row>
    <row r="10844" spans="1:3">
      <c r="A10844" s="250">
        <v>27239</v>
      </c>
      <c r="B10844" s="74" t="s">
        <v>5751</v>
      </c>
      <c r="C10844" s="74" t="s">
        <v>444</v>
      </c>
    </row>
    <row r="10845" spans="1:3">
      <c r="A10845" s="250">
        <v>27242</v>
      </c>
      <c r="B10845" s="74" t="s">
        <v>7092</v>
      </c>
      <c r="C10845" s="74" t="s">
        <v>444</v>
      </c>
    </row>
    <row r="10846" spans="1:3">
      <c r="A10846" s="250">
        <v>27243</v>
      </c>
      <c r="B10846" s="74" t="s">
        <v>7093</v>
      </c>
      <c r="C10846" s="74" t="s">
        <v>444</v>
      </c>
    </row>
    <row r="10847" spans="1:3">
      <c r="A10847" s="250">
        <v>27244</v>
      </c>
      <c r="B10847" s="74" t="s">
        <v>7094</v>
      </c>
      <c r="C10847" s="74" t="s">
        <v>444</v>
      </c>
    </row>
    <row r="10848" spans="1:3">
      <c r="A10848" s="250">
        <v>27247</v>
      </c>
      <c r="B10848" s="74" t="s">
        <v>7095</v>
      </c>
      <c r="C10848" s="74" t="s">
        <v>444</v>
      </c>
    </row>
    <row r="10849" spans="1:3">
      <c r="A10849" s="250">
        <v>27248</v>
      </c>
      <c r="B10849" s="74" t="s">
        <v>2485</v>
      </c>
      <c r="C10849" s="74" t="s">
        <v>444</v>
      </c>
    </row>
    <row r="10850" spans="1:3">
      <c r="A10850" s="250">
        <v>27249</v>
      </c>
      <c r="B10850" s="74" t="s">
        <v>7096</v>
      </c>
      <c r="C10850" s="74" t="s">
        <v>444</v>
      </c>
    </row>
    <row r="10851" spans="1:3">
      <c r="A10851" s="250">
        <v>27252</v>
      </c>
      <c r="B10851" s="74" t="s">
        <v>7097</v>
      </c>
      <c r="C10851" s="74" t="s">
        <v>444</v>
      </c>
    </row>
    <row r="10852" spans="1:3">
      <c r="A10852" s="250">
        <v>27253</v>
      </c>
      <c r="B10852" s="74" t="s">
        <v>7098</v>
      </c>
      <c r="C10852" s="74" t="s">
        <v>444</v>
      </c>
    </row>
    <row r="10853" spans="1:3">
      <c r="A10853" s="250">
        <v>27256</v>
      </c>
      <c r="B10853" s="74" t="s">
        <v>7099</v>
      </c>
      <c r="C10853" s="74" t="s">
        <v>444</v>
      </c>
    </row>
    <row r="10854" spans="1:3">
      <c r="A10854" s="250">
        <v>27258</v>
      </c>
      <c r="B10854" s="74" t="s">
        <v>7100</v>
      </c>
      <c r="C10854" s="74" t="s">
        <v>444</v>
      </c>
    </row>
    <row r="10855" spans="1:3">
      <c r="A10855" s="250">
        <v>27259</v>
      </c>
      <c r="B10855" s="74" t="s">
        <v>7101</v>
      </c>
      <c r="C10855" s="74" t="s">
        <v>444</v>
      </c>
    </row>
    <row r="10856" spans="1:3">
      <c r="A10856" s="250">
        <v>27260</v>
      </c>
      <c r="B10856" s="74" t="s">
        <v>7102</v>
      </c>
      <c r="C10856" s="74" t="s">
        <v>444</v>
      </c>
    </row>
    <row r="10857" spans="1:3">
      <c r="A10857" s="250">
        <v>27261</v>
      </c>
      <c r="B10857" s="74" t="s">
        <v>7102</v>
      </c>
      <c r="C10857" s="74" t="s">
        <v>444</v>
      </c>
    </row>
    <row r="10858" spans="1:3">
      <c r="A10858" s="250">
        <v>27262</v>
      </c>
      <c r="B10858" s="74" t="s">
        <v>7102</v>
      </c>
      <c r="C10858" s="74" t="s">
        <v>444</v>
      </c>
    </row>
    <row r="10859" spans="1:3">
      <c r="A10859" s="250">
        <v>27263</v>
      </c>
      <c r="B10859" s="74" t="s">
        <v>7102</v>
      </c>
      <c r="C10859" s="74" t="s">
        <v>444</v>
      </c>
    </row>
    <row r="10860" spans="1:3">
      <c r="A10860" s="250">
        <v>27264</v>
      </c>
      <c r="B10860" s="74" t="s">
        <v>7102</v>
      </c>
      <c r="C10860" s="74" t="s">
        <v>444</v>
      </c>
    </row>
    <row r="10861" spans="1:3">
      <c r="A10861" s="250">
        <v>27265</v>
      </c>
      <c r="B10861" s="74" t="s">
        <v>7102</v>
      </c>
      <c r="C10861" s="74" t="s">
        <v>444</v>
      </c>
    </row>
    <row r="10862" spans="1:3">
      <c r="A10862" s="250">
        <v>27278</v>
      </c>
      <c r="B10862" s="74" t="s">
        <v>1193</v>
      </c>
      <c r="C10862" s="74" t="s">
        <v>444</v>
      </c>
    </row>
    <row r="10863" spans="1:3">
      <c r="A10863" s="250">
        <v>27281</v>
      </c>
      <c r="B10863" s="74" t="s">
        <v>7103</v>
      </c>
      <c r="C10863" s="74" t="s">
        <v>444</v>
      </c>
    </row>
    <row r="10864" spans="1:3">
      <c r="A10864" s="250">
        <v>27282</v>
      </c>
      <c r="B10864" s="74" t="s">
        <v>1113</v>
      </c>
      <c r="C10864" s="74" t="s">
        <v>444</v>
      </c>
    </row>
    <row r="10865" spans="1:3">
      <c r="A10865" s="250">
        <v>27283</v>
      </c>
      <c r="B10865" s="74" t="s">
        <v>4629</v>
      </c>
      <c r="C10865" s="74" t="s">
        <v>444</v>
      </c>
    </row>
    <row r="10866" spans="1:3">
      <c r="A10866" s="250">
        <v>27284</v>
      </c>
      <c r="B10866" s="74" t="s">
        <v>7104</v>
      </c>
      <c r="C10866" s="74" t="s">
        <v>444</v>
      </c>
    </row>
    <row r="10867" spans="1:3">
      <c r="A10867" s="250">
        <v>27285</v>
      </c>
      <c r="B10867" s="74" t="s">
        <v>7104</v>
      </c>
      <c r="C10867" s="74" t="s">
        <v>444</v>
      </c>
    </row>
    <row r="10868" spans="1:3">
      <c r="A10868" s="250">
        <v>27288</v>
      </c>
      <c r="B10868" s="74" t="s">
        <v>1844</v>
      </c>
      <c r="C10868" s="74" t="s">
        <v>444</v>
      </c>
    </row>
    <row r="10869" spans="1:3">
      <c r="A10869" s="250">
        <v>27289</v>
      </c>
      <c r="B10869" s="74" t="s">
        <v>1844</v>
      </c>
      <c r="C10869" s="74" t="s">
        <v>444</v>
      </c>
    </row>
    <row r="10870" spans="1:3">
      <c r="A10870" s="250">
        <v>27291</v>
      </c>
      <c r="B10870" s="74" t="s">
        <v>7105</v>
      </c>
      <c r="C10870" s="74" t="s">
        <v>444</v>
      </c>
    </row>
    <row r="10871" spans="1:3">
      <c r="A10871" s="250">
        <v>27292</v>
      </c>
      <c r="B10871" s="74" t="s">
        <v>966</v>
      </c>
      <c r="C10871" s="74" t="s">
        <v>444</v>
      </c>
    </row>
    <row r="10872" spans="1:3">
      <c r="A10872" s="250">
        <v>27293</v>
      </c>
      <c r="B10872" s="74" t="s">
        <v>966</v>
      </c>
      <c r="C10872" s="74" t="s">
        <v>444</v>
      </c>
    </row>
    <row r="10873" spans="1:3">
      <c r="A10873" s="250">
        <v>27294</v>
      </c>
      <c r="B10873" s="74" t="s">
        <v>966</v>
      </c>
      <c r="C10873" s="74" t="s">
        <v>444</v>
      </c>
    </row>
    <row r="10874" spans="1:3">
      <c r="A10874" s="250">
        <v>27295</v>
      </c>
      <c r="B10874" s="74" t="s">
        <v>966</v>
      </c>
      <c r="C10874" s="74" t="s">
        <v>444</v>
      </c>
    </row>
    <row r="10875" spans="1:3">
      <c r="A10875" s="250">
        <v>27298</v>
      </c>
      <c r="B10875" s="74" t="s">
        <v>1701</v>
      </c>
      <c r="C10875" s="74" t="s">
        <v>444</v>
      </c>
    </row>
    <row r="10876" spans="1:3">
      <c r="A10876" s="250">
        <v>27299</v>
      </c>
      <c r="B10876" s="74" t="s">
        <v>743</v>
      </c>
      <c r="C10876" s="74" t="s">
        <v>444</v>
      </c>
    </row>
    <row r="10877" spans="1:3">
      <c r="A10877" s="250">
        <v>27301</v>
      </c>
      <c r="B10877" s="74" t="s">
        <v>7106</v>
      </c>
      <c r="C10877" s="74" t="s">
        <v>444</v>
      </c>
    </row>
    <row r="10878" spans="1:3">
      <c r="A10878" s="250">
        <v>27302</v>
      </c>
      <c r="B10878" s="74" t="s">
        <v>7107</v>
      </c>
      <c r="C10878" s="74" t="s">
        <v>444</v>
      </c>
    </row>
    <row r="10879" spans="1:3">
      <c r="A10879" s="250">
        <v>27305</v>
      </c>
      <c r="B10879" s="74" t="s">
        <v>927</v>
      </c>
      <c r="C10879" s="74" t="s">
        <v>444</v>
      </c>
    </row>
    <row r="10880" spans="1:3">
      <c r="A10880" s="250">
        <v>27306</v>
      </c>
      <c r="B10880" s="74" t="s">
        <v>7108</v>
      </c>
      <c r="C10880" s="74" t="s">
        <v>444</v>
      </c>
    </row>
    <row r="10881" spans="1:3">
      <c r="A10881" s="250">
        <v>27310</v>
      </c>
      <c r="B10881" s="74" t="s">
        <v>2198</v>
      </c>
      <c r="C10881" s="74" t="s">
        <v>444</v>
      </c>
    </row>
    <row r="10882" spans="1:3">
      <c r="A10882" s="250">
        <v>27311</v>
      </c>
      <c r="B10882" s="74" t="s">
        <v>1169</v>
      </c>
      <c r="C10882" s="74" t="s">
        <v>444</v>
      </c>
    </row>
    <row r="10883" spans="1:3">
      <c r="A10883" s="250">
        <v>27312</v>
      </c>
      <c r="B10883" s="74" t="s">
        <v>7109</v>
      </c>
      <c r="C10883" s="74" t="s">
        <v>444</v>
      </c>
    </row>
    <row r="10884" spans="1:3">
      <c r="A10884" s="250">
        <v>27313</v>
      </c>
      <c r="B10884" s="74" t="s">
        <v>7110</v>
      </c>
      <c r="C10884" s="74" t="s">
        <v>444</v>
      </c>
    </row>
    <row r="10885" spans="1:3">
      <c r="A10885" s="250">
        <v>27314</v>
      </c>
      <c r="B10885" s="74" t="s">
        <v>7111</v>
      </c>
      <c r="C10885" s="74" t="s">
        <v>444</v>
      </c>
    </row>
    <row r="10886" spans="1:3">
      <c r="A10886" s="250">
        <v>27315</v>
      </c>
      <c r="B10886" s="74" t="s">
        <v>1143</v>
      </c>
      <c r="C10886" s="74" t="s">
        <v>444</v>
      </c>
    </row>
    <row r="10887" spans="1:3">
      <c r="A10887" s="250">
        <v>27316</v>
      </c>
      <c r="B10887" s="74" t="s">
        <v>7112</v>
      </c>
      <c r="C10887" s="74" t="s">
        <v>444</v>
      </c>
    </row>
    <row r="10888" spans="1:3">
      <c r="A10888" s="250">
        <v>27317</v>
      </c>
      <c r="B10888" s="74" t="s">
        <v>7113</v>
      </c>
      <c r="C10888" s="74" t="s">
        <v>444</v>
      </c>
    </row>
    <row r="10889" spans="1:3">
      <c r="A10889" s="250">
        <v>27320</v>
      </c>
      <c r="B10889" s="74" t="s">
        <v>7114</v>
      </c>
      <c r="C10889" s="74" t="s">
        <v>444</v>
      </c>
    </row>
    <row r="10890" spans="1:3">
      <c r="A10890" s="250">
        <v>27321</v>
      </c>
      <c r="B10890" s="74" t="s">
        <v>7114</v>
      </c>
      <c r="C10890" s="74" t="s">
        <v>444</v>
      </c>
    </row>
    <row r="10891" spans="1:3">
      <c r="A10891" s="250">
        <v>27322</v>
      </c>
      <c r="B10891" s="74" t="s">
        <v>7114</v>
      </c>
      <c r="C10891" s="74" t="s">
        <v>444</v>
      </c>
    </row>
    <row r="10892" spans="1:3">
      <c r="A10892" s="250">
        <v>27323</v>
      </c>
      <c r="B10892" s="74" t="s">
        <v>7114</v>
      </c>
      <c r="C10892" s="74" t="s">
        <v>444</v>
      </c>
    </row>
    <row r="10893" spans="1:3">
      <c r="A10893" s="250">
        <v>27325</v>
      </c>
      <c r="B10893" s="74" t="s">
        <v>7115</v>
      </c>
      <c r="C10893" s="74" t="s">
        <v>444</v>
      </c>
    </row>
    <row r="10894" spans="1:3">
      <c r="A10894" s="250">
        <v>27326</v>
      </c>
      <c r="B10894" s="74" t="s">
        <v>7116</v>
      </c>
      <c r="C10894" s="74" t="s">
        <v>444</v>
      </c>
    </row>
    <row r="10895" spans="1:3">
      <c r="A10895" s="250">
        <v>27330</v>
      </c>
      <c r="B10895" s="74" t="s">
        <v>1408</v>
      </c>
      <c r="C10895" s="74" t="s">
        <v>444</v>
      </c>
    </row>
    <row r="10896" spans="1:3">
      <c r="A10896" s="250">
        <v>27331</v>
      </c>
      <c r="B10896" s="74" t="s">
        <v>1408</v>
      </c>
      <c r="C10896" s="74" t="s">
        <v>444</v>
      </c>
    </row>
    <row r="10897" spans="1:3">
      <c r="A10897" s="250">
        <v>27332</v>
      </c>
      <c r="B10897" s="74" t="s">
        <v>1408</v>
      </c>
      <c r="C10897" s="74" t="s">
        <v>444</v>
      </c>
    </row>
    <row r="10898" spans="1:3">
      <c r="A10898" s="250">
        <v>27340</v>
      </c>
      <c r="B10898" s="74" t="s">
        <v>7117</v>
      </c>
      <c r="C10898" s="74" t="s">
        <v>444</v>
      </c>
    </row>
    <row r="10899" spans="1:3">
      <c r="A10899" s="250">
        <v>27341</v>
      </c>
      <c r="B10899" s="74" t="s">
        <v>7118</v>
      </c>
      <c r="C10899" s="74" t="s">
        <v>444</v>
      </c>
    </row>
    <row r="10900" spans="1:3">
      <c r="A10900" s="250">
        <v>27342</v>
      </c>
      <c r="B10900" s="74" t="s">
        <v>7119</v>
      </c>
      <c r="C10900" s="74" t="s">
        <v>444</v>
      </c>
    </row>
    <row r="10901" spans="1:3">
      <c r="A10901" s="250">
        <v>27343</v>
      </c>
      <c r="B10901" s="74" t="s">
        <v>7120</v>
      </c>
      <c r="C10901" s="74" t="s">
        <v>444</v>
      </c>
    </row>
    <row r="10902" spans="1:3">
      <c r="A10902" s="250">
        <v>27344</v>
      </c>
      <c r="B10902" s="74" t="s">
        <v>7121</v>
      </c>
      <c r="C10902" s="74" t="s">
        <v>444</v>
      </c>
    </row>
    <row r="10903" spans="1:3">
      <c r="A10903" s="250">
        <v>27349</v>
      </c>
      <c r="B10903" s="74" t="s">
        <v>7122</v>
      </c>
      <c r="C10903" s="74" t="s">
        <v>444</v>
      </c>
    </row>
    <row r="10904" spans="1:3">
      <c r="A10904" s="250">
        <v>27350</v>
      </c>
      <c r="B10904" s="74" t="s">
        <v>6827</v>
      </c>
      <c r="C10904" s="74" t="s">
        <v>444</v>
      </c>
    </row>
    <row r="10905" spans="1:3">
      <c r="A10905" s="250">
        <v>27351</v>
      </c>
      <c r="B10905" s="74" t="s">
        <v>7123</v>
      </c>
      <c r="C10905" s="74" t="s">
        <v>444</v>
      </c>
    </row>
    <row r="10906" spans="1:3">
      <c r="A10906" s="250">
        <v>27355</v>
      </c>
      <c r="B10906" s="74" t="s">
        <v>7124</v>
      </c>
      <c r="C10906" s="74" t="s">
        <v>444</v>
      </c>
    </row>
    <row r="10907" spans="1:3">
      <c r="A10907" s="250">
        <v>27356</v>
      </c>
      <c r="B10907" s="74" t="s">
        <v>7125</v>
      </c>
      <c r="C10907" s="74" t="s">
        <v>444</v>
      </c>
    </row>
    <row r="10908" spans="1:3">
      <c r="A10908" s="250">
        <v>27357</v>
      </c>
      <c r="B10908" s="74" t="s">
        <v>7126</v>
      </c>
      <c r="C10908" s="74" t="s">
        <v>444</v>
      </c>
    </row>
    <row r="10909" spans="1:3">
      <c r="A10909" s="250">
        <v>27358</v>
      </c>
      <c r="B10909" s="74" t="s">
        <v>7127</v>
      </c>
      <c r="C10909" s="74" t="s">
        <v>444</v>
      </c>
    </row>
    <row r="10910" spans="1:3">
      <c r="A10910" s="250">
        <v>27359</v>
      </c>
      <c r="B10910" s="74" t="s">
        <v>7128</v>
      </c>
      <c r="C10910" s="74" t="s">
        <v>444</v>
      </c>
    </row>
    <row r="10911" spans="1:3">
      <c r="A10911" s="250">
        <v>27360</v>
      </c>
      <c r="B10911" s="74" t="s">
        <v>4841</v>
      </c>
      <c r="C10911" s="74" t="s">
        <v>444</v>
      </c>
    </row>
    <row r="10912" spans="1:3">
      <c r="A10912" s="250">
        <v>27361</v>
      </c>
      <c r="B10912" s="74" t="s">
        <v>4841</v>
      </c>
      <c r="C10912" s="74" t="s">
        <v>444</v>
      </c>
    </row>
    <row r="10913" spans="1:3">
      <c r="A10913" s="250">
        <v>27370</v>
      </c>
      <c r="B10913" s="74" t="s">
        <v>7129</v>
      </c>
      <c r="C10913" s="74" t="s">
        <v>444</v>
      </c>
    </row>
    <row r="10914" spans="1:3">
      <c r="A10914" s="250">
        <v>27371</v>
      </c>
      <c r="B10914" s="74" t="s">
        <v>1243</v>
      </c>
      <c r="C10914" s="74" t="s">
        <v>444</v>
      </c>
    </row>
    <row r="10915" spans="1:3">
      <c r="A10915" s="250">
        <v>27373</v>
      </c>
      <c r="B10915" s="74" t="s">
        <v>7130</v>
      </c>
      <c r="C10915" s="74" t="s">
        <v>444</v>
      </c>
    </row>
    <row r="10916" spans="1:3">
      <c r="A10916" s="250">
        <v>27374</v>
      </c>
      <c r="B10916" s="74" t="s">
        <v>5593</v>
      </c>
      <c r="C10916" s="74" t="s">
        <v>444</v>
      </c>
    </row>
    <row r="10917" spans="1:3">
      <c r="A10917" s="250">
        <v>27375</v>
      </c>
      <c r="B10917" s="74" t="s">
        <v>1217</v>
      </c>
      <c r="C10917" s="74" t="s">
        <v>444</v>
      </c>
    </row>
    <row r="10918" spans="1:3">
      <c r="A10918" s="250">
        <v>27376</v>
      </c>
      <c r="B10918" s="74" t="s">
        <v>7131</v>
      </c>
      <c r="C10918" s="74" t="s">
        <v>444</v>
      </c>
    </row>
    <row r="10919" spans="1:3">
      <c r="A10919" s="250">
        <v>27377</v>
      </c>
      <c r="B10919" s="74" t="s">
        <v>7132</v>
      </c>
      <c r="C10919" s="74" t="s">
        <v>444</v>
      </c>
    </row>
    <row r="10920" spans="1:3">
      <c r="A10920" s="250">
        <v>27379</v>
      </c>
      <c r="B10920" s="74" t="s">
        <v>7133</v>
      </c>
      <c r="C10920" s="74" t="s">
        <v>444</v>
      </c>
    </row>
    <row r="10921" spans="1:3">
      <c r="A10921" s="250">
        <v>27395</v>
      </c>
      <c r="B10921" s="74" t="s">
        <v>1910</v>
      </c>
      <c r="C10921" s="74" t="s">
        <v>444</v>
      </c>
    </row>
    <row r="10922" spans="1:3">
      <c r="A10922" s="250">
        <v>27401</v>
      </c>
      <c r="B10922" s="74" t="s">
        <v>1910</v>
      </c>
      <c r="C10922" s="74" t="s">
        <v>444</v>
      </c>
    </row>
    <row r="10923" spans="1:3">
      <c r="A10923" s="250">
        <v>27402</v>
      </c>
      <c r="B10923" s="74" t="s">
        <v>1910</v>
      </c>
      <c r="C10923" s="74" t="s">
        <v>444</v>
      </c>
    </row>
    <row r="10924" spans="1:3">
      <c r="A10924" s="250">
        <v>27403</v>
      </c>
      <c r="B10924" s="74" t="s">
        <v>1910</v>
      </c>
      <c r="C10924" s="74" t="s">
        <v>444</v>
      </c>
    </row>
    <row r="10925" spans="1:3">
      <c r="A10925" s="250">
        <v>27404</v>
      </c>
      <c r="B10925" s="74" t="s">
        <v>1910</v>
      </c>
      <c r="C10925" s="74" t="s">
        <v>444</v>
      </c>
    </row>
    <row r="10926" spans="1:3">
      <c r="A10926" s="250">
        <v>27405</v>
      </c>
      <c r="B10926" s="74" t="s">
        <v>1910</v>
      </c>
      <c r="C10926" s="74" t="s">
        <v>444</v>
      </c>
    </row>
    <row r="10927" spans="1:3">
      <c r="A10927" s="250">
        <v>27406</v>
      </c>
      <c r="B10927" s="74" t="s">
        <v>1910</v>
      </c>
      <c r="C10927" s="74" t="s">
        <v>444</v>
      </c>
    </row>
    <row r="10928" spans="1:3">
      <c r="A10928" s="250">
        <v>27407</v>
      </c>
      <c r="B10928" s="74" t="s">
        <v>1910</v>
      </c>
      <c r="C10928" s="74" t="s">
        <v>444</v>
      </c>
    </row>
    <row r="10929" spans="1:3">
      <c r="A10929" s="250">
        <v>27408</v>
      </c>
      <c r="B10929" s="74" t="s">
        <v>1910</v>
      </c>
      <c r="C10929" s="74" t="s">
        <v>444</v>
      </c>
    </row>
    <row r="10930" spans="1:3">
      <c r="A10930" s="250">
        <v>27409</v>
      </c>
      <c r="B10930" s="74" t="s">
        <v>1910</v>
      </c>
      <c r="C10930" s="74" t="s">
        <v>444</v>
      </c>
    </row>
    <row r="10931" spans="1:3">
      <c r="A10931" s="250">
        <v>27410</v>
      </c>
      <c r="B10931" s="74" t="s">
        <v>1910</v>
      </c>
      <c r="C10931" s="74" t="s">
        <v>444</v>
      </c>
    </row>
    <row r="10932" spans="1:3">
      <c r="A10932" s="250">
        <v>27411</v>
      </c>
      <c r="B10932" s="74" t="s">
        <v>1910</v>
      </c>
      <c r="C10932" s="74" t="s">
        <v>444</v>
      </c>
    </row>
    <row r="10933" spans="1:3">
      <c r="A10933" s="250">
        <v>27412</v>
      </c>
      <c r="B10933" s="74" t="s">
        <v>1910</v>
      </c>
      <c r="C10933" s="74" t="s">
        <v>444</v>
      </c>
    </row>
    <row r="10934" spans="1:3">
      <c r="A10934" s="250">
        <v>27413</v>
      </c>
      <c r="B10934" s="74" t="s">
        <v>1910</v>
      </c>
      <c r="C10934" s="74" t="s">
        <v>444</v>
      </c>
    </row>
    <row r="10935" spans="1:3">
      <c r="A10935" s="250">
        <v>27415</v>
      </c>
      <c r="B10935" s="74" t="s">
        <v>1910</v>
      </c>
      <c r="C10935" s="74" t="s">
        <v>444</v>
      </c>
    </row>
    <row r="10936" spans="1:3">
      <c r="A10936" s="250">
        <v>27416</v>
      </c>
      <c r="B10936" s="74" t="s">
        <v>1910</v>
      </c>
      <c r="C10936" s="74" t="s">
        <v>444</v>
      </c>
    </row>
    <row r="10937" spans="1:3">
      <c r="A10937" s="250">
        <v>27417</v>
      </c>
      <c r="B10937" s="74" t="s">
        <v>1910</v>
      </c>
      <c r="C10937" s="74" t="s">
        <v>444</v>
      </c>
    </row>
    <row r="10938" spans="1:3">
      <c r="A10938" s="250">
        <v>27419</v>
      </c>
      <c r="B10938" s="74" t="s">
        <v>1910</v>
      </c>
      <c r="C10938" s="74" t="s">
        <v>444</v>
      </c>
    </row>
    <row r="10939" spans="1:3">
      <c r="A10939" s="250">
        <v>27420</v>
      </c>
      <c r="B10939" s="74" t="s">
        <v>1910</v>
      </c>
      <c r="C10939" s="74" t="s">
        <v>444</v>
      </c>
    </row>
    <row r="10940" spans="1:3">
      <c r="A10940" s="250">
        <v>27425</v>
      </c>
      <c r="B10940" s="74" t="s">
        <v>1910</v>
      </c>
      <c r="C10940" s="74" t="s">
        <v>444</v>
      </c>
    </row>
    <row r="10941" spans="1:3">
      <c r="A10941" s="250">
        <v>27427</v>
      </c>
      <c r="B10941" s="74" t="s">
        <v>1910</v>
      </c>
      <c r="C10941" s="74" t="s">
        <v>444</v>
      </c>
    </row>
    <row r="10942" spans="1:3">
      <c r="A10942" s="250">
        <v>27429</v>
      </c>
      <c r="B10942" s="74" t="s">
        <v>1910</v>
      </c>
      <c r="C10942" s="74" t="s">
        <v>444</v>
      </c>
    </row>
    <row r="10943" spans="1:3">
      <c r="A10943" s="250">
        <v>27435</v>
      </c>
      <c r="B10943" s="74" t="s">
        <v>1910</v>
      </c>
      <c r="C10943" s="74" t="s">
        <v>444</v>
      </c>
    </row>
    <row r="10944" spans="1:3">
      <c r="A10944" s="250">
        <v>27438</v>
      </c>
      <c r="B10944" s="74" t="s">
        <v>1910</v>
      </c>
      <c r="C10944" s="74" t="s">
        <v>444</v>
      </c>
    </row>
    <row r="10945" spans="1:3">
      <c r="A10945" s="250">
        <v>27455</v>
      </c>
      <c r="B10945" s="74" t="s">
        <v>1910</v>
      </c>
      <c r="C10945" s="74" t="s">
        <v>444</v>
      </c>
    </row>
    <row r="10946" spans="1:3">
      <c r="A10946" s="250">
        <v>27480</v>
      </c>
      <c r="B10946" s="74" t="s">
        <v>1910</v>
      </c>
      <c r="C10946" s="74" t="s">
        <v>444</v>
      </c>
    </row>
    <row r="10947" spans="1:3">
      <c r="A10947" s="250">
        <v>27495</v>
      </c>
      <c r="B10947" s="74" t="s">
        <v>1910</v>
      </c>
      <c r="C10947" s="74" t="s">
        <v>444</v>
      </c>
    </row>
    <row r="10948" spans="1:3">
      <c r="A10948" s="250">
        <v>27497</v>
      </c>
      <c r="B10948" s="74" t="s">
        <v>1910</v>
      </c>
      <c r="C10948" s="74" t="s">
        <v>444</v>
      </c>
    </row>
    <row r="10949" spans="1:3">
      <c r="A10949" s="250">
        <v>27498</v>
      </c>
      <c r="B10949" s="74" t="s">
        <v>1910</v>
      </c>
      <c r="C10949" s="74" t="s">
        <v>444</v>
      </c>
    </row>
    <row r="10950" spans="1:3">
      <c r="A10950" s="250">
        <v>27499</v>
      </c>
      <c r="B10950" s="74" t="s">
        <v>1910</v>
      </c>
      <c r="C10950" s="74" t="s">
        <v>444</v>
      </c>
    </row>
    <row r="10951" spans="1:3">
      <c r="A10951" s="250">
        <v>27501</v>
      </c>
      <c r="B10951" s="74" t="s">
        <v>7134</v>
      </c>
      <c r="C10951" s="74" t="s">
        <v>444</v>
      </c>
    </row>
    <row r="10952" spans="1:3">
      <c r="A10952" s="250">
        <v>27502</v>
      </c>
      <c r="B10952" s="74" t="s">
        <v>7135</v>
      </c>
      <c r="C10952" s="74" t="s">
        <v>444</v>
      </c>
    </row>
    <row r="10953" spans="1:3">
      <c r="A10953" s="250">
        <v>27503</v>
      </c>
      <c r="B10953" s="74" t="s">
        <v>7136</v>
      </c>
      <c r="C10953" s="74" t="s">
        <v>444</v>
      </c>
    </row>
    <row r="10954" spans="1:3">
      <c r="A10954" s="250">
        <v>27504</v>
      </c>
      <c r="B10954" s="74" t="s">
        <v>1862</v>
      </c>
      <c r="C10954" s="74" t="s">
        <v>444</v>
      </c>
    </row>
    <row r="10955" spans="1:3">
      <c r="A10955" s="250">
        <v>27505</v>
      </c>
      <c r="B10955" s="74" t="s">
        <v>2563</v>
      </c>
      <c r="C10955" s="74" t="s">
        <v>444</v>
      </c>
    </row>
    <row r="10956" spans="1:3">
      <c r="A10956" s="250">
        <v>27506</v>
      </c>
      <c r="B10956" s="74" t="s">
        <v>7137</v>
      </c>
      <c r="C10956" s="74" t="s">
        <v>444</v>
      </c>
    </row>
    <row r="10957" spans="1:3">
      <c r="A10957" s="250">
        <v>27507</v>
      </c>
      <c r="B10957" s="74" t="s">
        <v>7138</v>
      </c>
      <c r="C10957" s="74" t="s">
        <v>444</v>
      </c>
    </row>
    <row r="10958" spans="1:3">
      <c r="A10958" s="250">
        <v>27508</v>
      </c>
      <c r="B10958" s="74" t="s">
        <v>7139</v>
      </c>
      <c r="C10958" s="74" t="s">
        <v>444</v>
      </c>
    </row>
    <row r="10959" spans="1:3">
      <c r="A10959" s="250">
        <v>27509</v>
      </c>
      <c r="B10959" s="74" t="s">
        <v>7140</v>
      </c>
      <c r="C10959" s="74" t="s">
        <v>444</v>
      </c>
    </row>
    <row r="10960" spans="1:3">
      <c r="A10960" s="250">
        <v>27510</v>
      </c>
      <c r="B10960" s="74" t="s">
        <v>7141</v>
      </c>
      <c r="C10960" s="74" t="s">
        <v>444</v>
      </c>
    </row>
    <row r="10961" spans="1:3">
      <c r="A10961" s="250">
        <v>27511</v>
      </c>
      <c r="B10961" s="74" t="s">
        <v>7142</v>
      </c>
      <c r="C10961" s="74" t="s">
        <v>444</v>
      </c>
    </row>
    <row r="10962" spans="1:3">
      <c r="A10962" s="250">
        <v>27512</v>
      </c>
      <c r="B10962" s="74" t="s">
        <v>7142</v>
      </c>
      <c r="C10962" s="74" t="s">
        <v>444</v>
      </c>
    </row>
    <row r="10963" spans="1:3">
      <c r="A10963" s="250">
        <v>27513</v>
      </c>
      <c r="B10963" s="74" t="s">
        <v>7142</v>
      </c>
      <c r="C10963" s="74" t="s">
        <v>444</v>
      </c>
    </row>
    <row r="10964" spans="1:3">
      <c r="A10964" s="250">
        <v>27514</v>
      </c>
      <c r="B10964" s="74" t="s">
        <v>7143</v>
      </c>
      <c r="C10964" s="74" t="s">
        <v>444</v>
      </c>
    </row>
    <row r="10965" spans="1:3">
      <c r="A10965" s="250">
        <v>27515</v>
      </c>
      <c r="B10965" s="74" t="s">
        <v>7143</v>
      </c>
      <c r="C10965" s="74" t="s">
        <v>444</v>
      </c>
    </row>
    <row r="10966" spans="1:3">
      <c r="A10966" s="250">
        <v>27516</v>
      </c>
      <c r="B10966" s="74" t="s">
        <v>7143</v>
      </c>
      <c r="C10966" s="74" t="s">
        <v>444</v>
      </c>
    </row>
    <row r="10967" spans="1:3">
      <c r="A10967" s="250">
        <v>27517</v>
      </c>
      <c r="B10967" s="74" t="s">
        <v>7143</v>
      </c>
      <c r="C10967" s="74" t="s">
        <v>444</v>
      </c>
    </row>
    <row r="10968" spans="1:3">
      <c r="A10968" s="250">
        <v>27518</v>
      </c>
      <c r="B10968" s="74" t="s">
        <v>7142</v>
      </c>
      <c r="C10968" s="74" t="s">
        <v>444</v>
      </c>
    </row>
    <row r="10969" spans="1:3">
      <c r="A10969" s="250">
        <v>27519</v>
      </c>
      <c r="B10969" s="74" t="s">
        <v>7142</v>
      </c>
      <c r="C10969" s="74" t="s">
        <v>444</v>
      </c>
    </row>
    <row r="10970" spans="1:3">
      <c r="A10970" s="250">
        <v>27520</v>
      </c>
      <c r="B10970" s="74" t="s">
        <v>2476</v>
      </c>
      <c r="C10970" s="74" t="s">
        <v>444</v>
      </c>
    </row>
    <row r="10971" spans="1:3">
      <c r="A10971" s="250">
        <v>27521</v>
      </c>
      <c r="B10971" s="74" t="s">
        <v>7144</v>
      </c>
      <c r="C10971" s="74" t="s">
        <v>444</v>
      </c>
    </row>
    <row r="10972" spans="1:3">
      <c r="A10972" s="250">
        <v>27522</v>
      </c>
      <c r="B10972" s="74" t="s">
        <v>7145</v>
      </c>
      <c r="C10972" s="74" t="s">
        <v>444</v>
      </c>
    </row>
    <row r="10973" spans="1:3">
      <c r="A10973" s="250">
        <v>27523</v>
      </c>
      <c r="B10973" s="74" t="s">
        <v>7135</v>
      </c>
      <c r="C10973" s="74" t="s">
        <v>444</v>
      </c>
    </row>
    <row r="10974" spans="1:3">
      <c r="A10974" s="250">
        <v>27524</v>
      </c>
      <c r="B10974" s="74" t="s">
        <v>7146</v>
      </c>
      <c r="C10974" s="74" t="s">
        <v>444</v>
      </c>
    </row>
    <row r="10975" spans="1:3">
      <c r="A10975" s="250">
        <v>27525</v>
      </c>
      <c r="B10975" s="74" t="s">
        <v>7147</v>
      </c>
      <c r="C10975" s="74" t="s">
        <v>444</v>
      </c>
    </row>
    <row r="10976" spans="1:3">
      <c r="A10976" s="250">
        <v>27526</v>
      </c>
      <c r="B10976" s="74" t="s">
        <v>7148</v>
      </c>
      <c r="C10976" s="74" t="s">
        <v>444</v>
      </c>
    </row>
    <row r="10977" spans="1:3">
      <c r="A10977" s="250">
        <v>27527</v>
      </c>
      <c r="B10977" s="74" t="s">
        <v>2476</v>
      </c>
      <c r="C10977" s="74" t="s">
        <v>444</v>
      </c>
    </row>
    <row r="10978" spans="1:3">
      <c r="A10978" s="250">
        <v>27528</v>
      </c>
      <c r="B10978" s="74" t="s">
        <v>2476</v>
      </c>
      <c r="C10978" s="74" t="s">
        <v>444</v>
      </c>
    </row>
    <row r="10979" spans="1:3">
      <c r="A10979" s="250">
        <v>27529</v>
      </c>
      <c r="B10979" s="74" t="s">
        <v>7149</v>
      </c>
      <c r="C10979" s="74" t="s">
        <v>444</v>
      </c>
    </row>
    <row r="10980" spans="1:3">
      <c r="A10980" s="250">
        <v>27530</v>
      </c>
      <c r="B10980" s="74" t="s">
        <v>5756</v>
      </c>
      <c r="C10980" s="74" t="s">
        <v>444</v>
      </c>
    </row>
    <row r="10981" spans="1:3">
      <c r="A10981" s="250">
        <v>27531</v>
      </c>
      <c r="B10981" s="74" t="s">
        <v>5756</v>
      </c>
      <c r="C10981" s="74" t="s">
        <v>444</v>
      </c>
    </row>
    <row r="10982" spans="1:3">
      <c r="A10982" s="250">
        <v>27532</v>
      </c>
      <c r="B10982" s="74" t="s">
        <v>5756</v>
      </c>
      <c r="C10982" s="74" t="s">
        <v>444</v>
      </c>
    </row>
    <row r="10983" spans="1:3">
      <c r="A10983" s="250">
        <v>27533</v>
      </c>
      <c r="B10983" s="74" t="s">
        <v>5756</v>
      </c>
      <c r="C10983" s="74" t="s">
        <v>444</v>
      </c>
    </row>
    <row r="10984" spans="1:3">
      <c r="A10984" s="250">
        <v>27534</v>
      </c>
      <c r="B10984" s="74" t="s">
        <v>5756</v>
      </c>
      <c r="C10984" s="74" t="s">
        <v>444</v>
      </c>
    </row>
    <row r="10985" spans="1:3">
      <c r="A10985" s="250">
        <v>27536</v>
      </c>
      <c r="B10985" s="74" t="s">
        <v>3556</v>
      </c>
      <c r="C10985" s="74" t="s">
        <v>444</v>
      </c>
    </row>
    <row r="10986" spans="1:3">
      <c r="A10986" s="250">
        <v>27537</v>
      </c>
      <c r="B10986" s="74" t="s">
        <v>3556</v>
      </c>
      <c r="C10986" s="74" t="s">
        <v>444</v>
      </c>
    </row>
    <row r="10987" spans="1:3">
      <c r="A10987" s="250">
        <v>27539</v>
      </c>
      <c r="B10987" s="74" t="s">
        <v>7135</v>
      </c>
      <c r="C10987" s="74" t="s">
        <v>444</v>
      </c>
    </row>
    <row r="10988" spans="1:3">
      <c r="A10988" s="250">
        <v>27540</v>
      </c>
      <c r="B10988" s="74" t="s">
        <v>7150</v>
      </c>
      <c r="C10988" s="74" t="s">
        <v>444</v>
      </c>
    </row>
    <row r="10989" spans="1:3">
      <c r="A10989" s="250">
        <v>27541</v>
      </c>
      <c r="B10989" s="74" t="s">
        <v>7151</v>
      </c>
      <c r="C10989" s="74" t="s">
        <v>444</v>
      </c>
    </row>
    <row r="10990" spans="1:3">
      <c r="A10990" s="250">
        <v>27542</v>
      </c>
      <c r="B10990" s="74" t="s">
        <v>7152</v>
      </c>
      <c r="C10990" s="74" t="s">
        <v>444</v>
      </c>
    </row>
    <row r="10991" spans="1:3">
      <c r="A10991" s="250">
        <v>27543</v>
      </c>
      <c r="B10991" s="74" t="s">
        <v>7153</v>
      </c>
      <c r="C10991" s="74" t="s">
        <v>444</v>
      </c>
    </row>
    <row r="10992" spans="1:3">
      <c r="A10992" s="250">
        <v>27544</v>
      </c>
      <c r="B10992" s="74" t="s">
        <v>7154</v>
      </c>
      <c r="C10992" s="74" t="s">
        <v>444</v>
      </c>
    </row>
    <row r="10993" spans="1:3">
      <c r="A10993" s="250">
        <v>27545</v>
      </c>
      <c r="B10993" s="74" t="s">
        <v>7155</v>
      </c>
      <c r="C10993" s="74" t="s">
        <v>444</v>
      </c>
    </row>
    <row r="10994" spans="1:3">
      <c r="A10994" s="250">
        <v>27546</v>
      </c>
      <c r="B10994" s="74" t="s">
        <v>7156</v>
      </c>
      <c r="C10994" s="74" t="s">
        <v>444</v>
      </c>
    </row>
    <row r="10995" spans="1:3">
      <c r="A10995" s="250">
        <v>27549</v>
      </c>
      <c r="B10995" s="74" t="s">
        <v>7157</v>
      </c>
      <c r="C10995" s="74" t="s">
        <v>444</v>
      </c>
    </row>
    <row r="10996" spans="1:3">
      <c r="A10996" s="250">
        <v>27551</v>
      </c>
      <c r="B10996" s="74" t="s">
        <v>6077</v>
      </c>
      <c r="C10996" s="74" t="s">
        <v>444</v>
      </c>
    </row>
    <row r="10997" spans="1:3">
      <c r="A10997" s="250">
        <v>27552</v>
      </c>
      <c r="B10997" s="74" t="s">
        <v>7158</v>
      </c>
      <c r="C10997" s="74" t="s">
        <v>444</v>
      </c>
    </row>
    <row r="10998" spans="1:3">
      <c r="A10998" s="250">
        <v>27553</v>
      </c>
      <c r="B10998" s="74" t="s">
        <v>7159</v>
      </c>
      <c r="C10998" s="74" t="s">
        <v>444</v>
      </c>
    </row>
    <row r="10999" spans="1:3">
      <c r="A10999" s="250">
        <v>27555</v>
      </c>
      <c r="B10999" s="74" t="s">
        <v>7160</v>
      </c>
      <c r="C10999" s="74" t="s">
        <v>444</v>
      </c>
    </row>
    <row r="11000" spans="1:3">
      <c r="A11000" s="250">
        <v>27556</v>
      </c>
      <c r="B11000" s="74" t="s">
        <v>4956</v>
      </c>
      <c r="C11000" s="74" t="s">
        <v>444</v>
      </c>
    </row>
    <row r="11001" spans="1:3">
      <c r="A11001" s="250">
        <v>27557</v>
      </c>
      <c r="B11001" s="74" t="s">
        <v>2582</v>
      </c>
      <c r="C11001" s="74" t="s">
        <v>444</v>
      </c>
    </row>
    <row r="11002" spans="1:3">
      <c r="A11002" s="250">
        <v>27559</v>
      </c>
      <c r="B11002" s="74" t="s">
        <v>7161</v>
      </c>
      <c r="C11002" s="74" t="s">
        <v>444</v>
      </c>
    </row>
    <row r="11003" spans="1:3">
      <c r="A11003" s="250">
        <v>27560</v>
      </c>
      <c r="B11003" s="74" t="s">
        <v>1850</v>
      </c>
      <c r="C11003" s="74" t="s">
        <v>444</v>
      </c>
    </row>
    <row r="11004" spans="1:3">
      <c r="A11004" s="250">
        <v>27562</v>
      </c>
      <c r="B11004" s="74" t="s">
        <v>7162</v>
      </c>
      <c r="C11004" s="74" t="s">
        <v>444</v>
      </c>
    </row>
    <row r="11005" spans="1:3">
      <c r="A11005" s="250">
        <v>27563</v>
      </c>
      <c r="B11005" s="74" t="s">
        <v>7163</v>
      </c>
      <c r="C11005" s="74" t="s">
        <v>444</v>
      </c>
    </row>
    <row r="11006" spans="1:3">
      <c r="A11006" s="250">
        <v>27564</v>
      </c>
      <c r="B11006" s="74" t="s">
        <v>7145</v>
      </c>
      <c r="C11006" s="74" t="s">
        <v>444</v>
      </c>
    </row>
    <row r="11007" spans="1:3">
      <c r="A11007" s="250">
        <v>27565</v>
      </c>
      <c r="B11007" s="74" t="s">
        <v>754</v>
      </c>
      <c r="C11007" s="74" t="s">
        <v>444</v>
      </c>
    </row>
    <row r="11008" spans="1:3">
      <c r="A11008" s="250">
        <v>27568</v>
      </c>
      <c r="B11008" s="74" t="s">
        <v>7164</v>
      </c>
      <c r="C11008" s="74" t="s">
        <v>444</v>
      </c>
    </row>
    <row r="11009" spans="1:3">
      <c r="A11009" s="250">
        <v>27569</v>
      </c>
      <c r="B11009" s="74" t="s">
        <v>755</v>
      </c>
      <c r="C11009" s="74" t="s">
        <v>444</v>
      </c>
    </row>
    <row r="11010" spans="1:3">
      <c r="A11010" s="250">
        <v>27570</v>
      </c>
      <c r="B11010" s="74" t="s">
        <v>6297</v>
      </c>
      <c r="C11010" s="74" t="s">
        <v>444</v>
      </c>
    </row>
    <row r="11011" spans="1:3">
      <c r="A11011" s="250">
        <v>27571</v>
      </c>
      <c r="B11011" s="74" t="s">
        <v>7165</v>
      </c>
      <c r="C11011" s="74" t="s">
        <v>444</v>
      </c>
    </row>
    <row r="11012" spans="1:3">
      <c r="A11012" s="250">
        <v>27572</v>
      </c>
      <c r="B11012" s="74" t="s">
        <v>7166</v>
      </c>
      <c r="C11012" s="74" t="s">
        <v>444</v>
      </c>
    </row>
    <row r="11013" spans="1:3">
      <c r="A11013" s="250">
        <v>27573</v>
      </c>
      <c r="B11013" s="74" t="s">
        <v>7167</v>
      </c>
      <c r="C11013" s="74" t="s">
        <v>444</v>
      </c>
    </row>
    <row r="11014" spans="1:3">
      <c r="A11014" s="250">
        <v>27574</v>
      </c>
      <c r="B11014" s="74" t="s">
        <v>7167</v>
      </c>
      <c r="C11014" s="74" t="s">
        <v>444</v>
      </c>
    </row>
    <row r="11015" spans="1:3">
      <c r="A11015" s="250">
        <v>27576</v>
      </c>
      <c r="B11015" s="74" t="s">
        <v>6404</v>
      </c>
      <c r="C11015" s="74" t="s">
        <v>444</v>
      </c>
    </row>
    <row r="11016" spans="1:3">
      <c r="A11016" s="250">
        <v>27577</v>
      </c>
      <c r="B11016" s="74" t="s">
        <v>1149</v>
      </c>
      <c r="C11016" s="74" t="s">
        <v>444</v>
      </c>
    </row>
    <row r="11017" spans="1:3">
      <c r="A11017" s="250">
        <v>27581</v>
      </c>
      <c r="B11017" s="74" t="s">
        <v>7168</v>
      </c>
      <c r="C11017" s="74" t="s">
        <v>444</v>
      </c>
    </row>
    <row r="11018" spans="1:3">
      <c r="A11018" s="250">
        <v>27582</v>
      </c>
      <c r="B11018" s="74" t="s">
        <v>7169</v>
      </c>
      <c r="C11018" s="74" t="s">
        <v>444</v>
      </c>
    </row>
    <row r="11019" spans="1:3">
      <c r="A11019" s="250">
        <v>27583</v>
      </c>
      <c r="B11019" s="74" t="s">
        <v>7170</v>
      </c>
      <c r="C11019" s="74" t="s">
        <v>444</v>
      </c>
    </row>
    <row r="11020" spans="1:3">
      <c r="A11020" s="250">
        <v>27584</v>
      </c>
      <c r="B11020" s="74" t="s">
        <v>7171</v>
      </c>
      <c r="C11020" s="74" t="s">
        <v>444</v>
      </c>
    </row>
    <row r="11021" spans="1:3">
      <c r="A11021" s="250">
        <v>27586</v>
      </c>
      <c r="B11021" s="74" t="s">
        <v>7172</v>
      </c>
      <c r="C11021" s="74" t="s">
        <v>444</v>
      </c>
    </row>
    <row r="11022" spans="1:3">
      <c r="A11022" s="250">
        <v>27587</v>
      </c>
      <c r="B11022" s="74" t="s">
        <v>7173</v>
      </c>
      <c r="C11022" s="74" t="s">
        <v>444</v>
      </c>
    </row>
    <row r="11023" spans="1:3">
      <c r="A11023" s="250">
        <v>27588</v>
      </c>
      <c r="B11023" s="74" t="s">
        <v>7173</v>
      </c>
      <c r="C11023" s="74" t="s">
        <v>444</v>
      </c>
    </row>
    <row r="11024" spans="1:3">
      <c r="A11024" s="250">
        <v>27589</v>
      </c>
      <c r="B11024" s="74" t="s">
        <v>5537</v>
      </c>
      <c r="C11024" s="74" t="s">
        <v>444</v>
      </c>
    </row>
    <row r="11025" spans="1:3">
      <c r="A11025" s="250">
        <v>27591</v>
      </c>
      <c r="B11025" s="74" t="s">
        <v>698</v>
      </c>
      <c r="C11025" s="74" t="s">
        <v>444</v>
      </c>
    </row>
    <row r="11026" spans="1:3">
      <c r="A11026" s="250">
        <v>27592</v>
      </c>
      <c r="B11026" s="74" t="s">
        <v>7174</v>
      </c>
      <c r="C11026" s="74" t="s">
        <v>444</v>
      </c>
    </row>
    <row r="11027" spans="1:3">
      <c r="A11027" s="250">
        <v>27593</v>
      </c>
      <c r="B11027" s="74" t="s">
        <v>7175</v>
      </c>
      <c r="C11027" s="74" t="s">
        <v>444</v>
      </c>
    </row>
    <row r="11028" spans="1:3">
      <c r="A11028" s="250">
        <v>27594</v>
      </c>
      <c r="B11028" s="74" t="s">
        <v>6344</v>
      </c>
      <c r="C11028" s="74" t="s">
        <v>444</v>
      </c>
    </row>
    <row r="11029" spans="1:3">
      <c r="A11029" s="250">
        <v>27596</v>
      </c>
      <c r="B11029" s="74" t="s">
        <v>3216</v>
      </c>
      <c r="C11029" s="74" t="s">
        <v>444</v>
      </c>
    </row>
    <row r="11030" spans="1:3">
      <c r="A11030" s="250">
        <v>27597</v>
      </c>
      <c r="B11030" s="74" t="s">
        <v>7176</v>
      </c>
      <c r="C11030" s="74" t="s">
        <v>444</v>
      </c>
    </row>
    <row r="11031" spans="1:3">
      <c r="A11031" s="250">
        <v>27599</v>
      </c>
      <c r="B11031" s="74" t="s">
        <v>7143</v>
      </c>
      <c r="C11031" s="74" t="s">
        <v>444</v>
      </c>
    </row>
    <row r="11032" spans="1:3">
      <c r="A11032" s="250">
        <v>27601</v>
      </c>
      <c r="B11032" s="74" t="s">
        <v>6819</v>
      </c>
      <c r="C11032" s="74" t="s">
        <v>444</v>
      </c>
    </row>
    <row r="11033" spans="1:3">
      <c r="A11033" s="250">
        <v>27602</v>
      </c>
      <c r="B11033" s="74" t="s">
        <v>6819</v>
      </c>
      <c r="C11033" s="74" t="s">
        <v>444</v>
      </c>
    </row>
    <row r="11034" spans="1:3">
      <c r="A11034" s="250">
        <v>27603</v>
      </c>
      <c r="B11034" s="74" t="s">
        <v>6819</v>
      </c>
      <c r="C11034" s="74" t="s">
        <v>444</v>
      </c>
    </row>
    <row r="11035" spans="1:3">
      <c r="A11035" s="250">
        <v>27604</v>
      </c>
      <c r="B11035" s="74" t="s">
        <v>6819</v>
      </c>
      <c r="C11035" s="74" t="s">
        <v>444</v>
      </c>
    </row>
    <row r="11036" spans="1:3">
      <c r="A11036" s="250">
        <v>27605</v>
      </c>
      <c r="B11036" s="74" t="s">
        <v>6819</v>
      </c>
      <c r="C11036" s="74" t="s">
        <v>444</v>
      </c>
    </row>
    <row r="11037" spans="1:3">
      <c r="A11037" s="250">
        <v>27606</v>
      </c>
      <c r="B11037" s="74" t="s">
        <v>6819</v>
      </c>
      <c r="C11037" s="74" t="s">
        <v>444</v>
      </c>
    </row>
    <row r="11038" spans="1:3">
      <c r="A11038" s="250">
        <v>27607</v>
      </c>
      <c r="B11038" s="74" t="s">
        <v>6819</v>
      </c>
      <c r="C11038" s="74" t="s">
        <v>444</v>
      </c>
    </row>
    <row r="11039" spans="1:3">
      <c r="A11039" s="250">
        <v>27608</v>
      </c>
      <c r="B11039" s="74" t="s">
        <v>6819</v>
      </c>
      <c r="C11039" s="74" t="s">
        <v>444</v>
      </c>
    </row>
    <row r="11040" spans="1:3">
      <c r="A11040" s="250">
        <v>27609</v>
      </c>
      <c r="B11040" s="74" t="s">
        <v>6819</v>
      </c>
      <c r="C11040" s="74" t="s">
        <v>444</v>
      </c>
    </row>
    <row r="11041" spans="1:3">
      <c r="A11041" s="250">
        <v>27610</v>
      </c>
      <c r="B11041" s="74" t="s">
        <v>6819</v>
      </c>
      <c r="C11041" s="74" t="s">
        <v>444</v>
      </c>
    </row>
    <row r="11042" spans="1:3">
      <c r="A11042" s="250">
        <v>27611</v>
      </c>
      <c r="B11042" s="74" t="s">
        <v>6819</v>
      </c>
      <c r="C11042" s="74" t="s">
        <v>444</v>
      </c>
    </row>
    <row r="11043" spans="1:3">
      <c r="A11043" s="250">
        <v>27612</v>
      </c>
      <c r="B11043" s="74" t="s">
        <v>6819</v>
      </c>
      <c r="C11043" s="74" t="s">
        <v>444</v>
      </c>
    </row>
    <row r="11044" spans="1:3">
      <c r="A11044" s="250">
        <v>27613</v>
      </c>
      <c r="B11044" s="74" t="s">
        <v>6819</v>
      </c>
      <c r="C11044" s="74" t="s">
        <v>444</v>
      </c>
    </row>
    <row r="11045" spans="1:3">
      <c r="A11045" s="250">
        <v>27614</v>
      </c>
      <c r="B11045" s="74" t="s">
        <v>6819</v>
      </c>
      <c r="C11045" s="74" t="s">
        <v>444</v>
      </c>
    </row>
    <row r="11046" spans="1:3">
      <c r="A11046" s="250">
        <v>27615</v>
      </c>
      <c r="B11046" s="74" t="s">
        <v>6819</v>
      </c>
      <c r="C11046" s="74" t="s">
        <v>444</v>
      </c>
    </row>
    <row r="11047" spans="1:3">
      <c r="A11047" s="250">
        <v>27616</v>
      </c>
      <c r="B11047" s="74" t="s">
        <v>6819</v>
      </c>
      <c r="C11047" s="74" t="s">
        <v>444</v>
      </c>
    </row>
    <row r="11048" spans="1:3">
      <c r="A11048" s="250">
        <v>27617</v>
      </c>
      <c r="B11048" s="74" t="s">
        <v>6819</v>
      </c>
      <c r="C11048" s="74" t="s">
        <v>444</v>
      </c>
    </row>
    <row r="11049" spans="1:3">
      <c r="A11049" s="250">
        <v>27619</v>
      </c>
      <c r="B11049" s="74" t="s">
        <v>6819</v>
      </c>
      <c r="C11049" s="74" t="s">
        <v>444</v>
      </c>
    </row>
    <row r="11050" spans="1:3">
      <c r="A11050" s="250">
        <v>27620</v>
      </c>
      <c r="B11050" s="74" t="s">
        <v>6819</v>
      </c>
      <c r="C11050" s="74" t="s">
        <v>444</v>
      </c>
    </row>
    <row r="11051" spans="1:3">
      <c r="A11051" s="250">
        <v>27621</v>
      </c>
      <c r="B11051" s="74" t="s">
        <v>6819</v>
      </c>
      <c r="C11051" s="74" t="s">
        <v>444</v>
      </c>
    </row>
    <row r="11052" spans="1:3">
      <c r="A11052" s="250">
        <v>27622</v>
      </c>
      <c r="B11052" s="74" t="s">
        <v>6819</v>
      </c>
      <c r="C11052" s="74" t="s">
        <v>444</v>
      </c>
    </row>
    <row r="11053" spans="1:3">
      <c r="A11053" s="250">
        <v>27623</v>
      </c>
      <c r="B11053" s="74" t="s">
        <v>6819</v>
      </c>
      <c r="C11053" s="74" t="s">
        <v>444</v>
      </c>
    </row>
    <row r="11054" spans="1:3">
      <c r="A11054" s="250">
        <v>27624</v>
      </c>
      <c r="B11054" s="74" t="s">
        <v>6819</v>
      </c>
      <c r="C11054" s="74" t="s">
        <v>444</v>
      </c>
    </row>
    <row r="11055" spans="1:3">
      <c r="A11055" s="250">
        <v>27625</v>
      </c>
      <c r="B11055" s="74" t="s">
        <v>6819</v>
      </c>
      <c r="C11055" s="74" t="s">
        <v>444</v>
      </c>
    </row>
    <row r="11056" spans="1:3">
      <c r="A11056" s="250">
        <v>27626</v>
      </c>
      <c r="B11056" s="74" t="s">
        <v>6819</v>
      </c>
      <c r="C11056" s="74" t="s">
        <v>444</v>
      </c>
    </row>
    <row r="11057" spans="1:3">
      <c r="A11057" s="250">
        <v>27627</v>
      </c>
      <c r="B11057" s="74" t="s">
        <v>6819</v>
      </c>
      <c r="C11057" s="74" t="s">
        <v>444</v>
      </c>
    </row>
    <row r="11058" spans="1:3">
      <c r="A11058" s="250">
        <v>27628</v>
      </c>
      <c r="B11058" s="74" t="s">
        <v>6819</v>
      </c>
      <c r="C11058" s="74" t="s">
        <v>444</v>
      </c>
    </row>
    <row r="11059" spans="1:3">
      <c r="A11059" s="250">
        <v>27629</v>
      </c>
      <c r="B11059" s="74" t="s">
        <v>6819</v>
      </c>
      <c r="C11059" s="74" t="s">
        <v>444</v>
      </c>
    </row>
    <row r="11060" spans="1:3">
      <c r="A11060" s="250">
        <v>27634</v>
      </c>
      <c r="B11060" s="74" t="s">
        <v>6819</v>
      </c>
      <c r="C11060" s="74" t="s">
        <v>444</v>
      </c>
    </row>
    <row r="11061" spans="1:3">
      <c r="A11061" s="250">
        <v>27635</v>
      </c>
      <c r="B11061" s="74" t="s">
        <v>6819</v>
      </c>
      <c r="C11061" s="74" t="s">
        <v>444</v>
      </c>
    </row>
    <row r="11062" spans="1:3">
      <c r="A11062" s="250">
        <v>27636</v>
      </c>
      <c r="B11062" s="74" t="s">
        <v>6819</v>
      </c>
      <c r="C11062" s="74" t="s">
        <v>444</v>
      </c>
    </row>
    <row r="11063" spans="1:3">
      <c r="A11063" s="250">
        <v>27640</v>
      </c>
      <c r="B11063" s="74" t="s">
        <v>6819</v>
      </c>
      <c r="C11063" s="74" t="s">
        <v>444</v>
      </c>
    </row>
    <row r="11064" spans="1:3">
      <c r="A11064" s="250">
        <v>27650</v>
      </c>
      <c r="B11064" s="74" t="s">
        <v>6819</v>
      </c>
      <c r="C11064" s="74" t="s">
        <v>444</v>
      </c>
    </row>
    <row r="11065" spans="1:3">
      <c r="A11065" s="250">
        <v>27656</v>
      </c>
      <c r="B11065" s="74" t="s">
        <v>6819</v>
      </c>
      <c r="C11065" s="74" t="s">
        <v>444</v>
      </c>
    </row>
    <row r="11066" spans="1:3">
      <c r="A11066" s="250">
        <v>27658</v>
      </c>
      <c r="B11066" s="74" t="s">
        <v>6819</v>
      </c>
      <c r="C11066" s="74" t="s">
        <v>444</v>
      </c>
    </row>
    <row r="11067" spans="1:3">
      <c r="A11067" s="250">
        <v>27661</v>
      </c>
      <c r="B11067" s="74" t="s">
        <v>6819</v>
      </c>
      <c r="C11067" s="74" t="s">
        <v>444</v>
      </c>
    </row>
    <row r="11068" spans="1:3">
      <c r="A11068" s="250">
        <v>27668</v>
      </c>
      <c r="B11068" s="74" t="s">
        <v>6819</v>
      </c>
      <c r="C11068" s="74" t="s">
        <v>444</v>
      </c>
    </row>
    <row r="11069" spans="1:3">
      <c r="A11069" s="250">
        <v>27675</v>
      </c>
      <c r="B11069" s="74" t="s">
        <v>6819</v>
      </c>
      <c r="C11069" s="74" t="s">
        <v>444</v>
      </c>
    </row>
    <row r="11070" spans="1:3">
      <c r="A11070" s="250">
        <v>27676</v>
      </c>
      <c r="B11070" s="74" t="s">
        <v>6819</v>
      </c>
      <c r="C11070" s="74" t="s">
        <v>444</v>
      </c>
    </row>
    <row r="11071" spans="1:3">
      <c r="A11071" s="250">
        <v>27690</v>
      </c>
      <c r="B11071" s="74" t="s">
        <v>6819</v>
      </c>
      <c r="C11071" s="74" t="s">
        <v>444</v>
      </c>
    </row>
    <row r="11072" spans="1:3">
      <c r="A11072" s="250">
        <v>27695</v>
      </c>
      <c r="B11072" s="74" t="s">
        <v>6819</v>
      </c>
      <c r="C11072" s="74" t="s">
        <v>444</v>
      </c>
    </row>
    <row r="11073" spans="1:3">
      <c r="A11073" s="250">
        <v>27697</v>
      </c>
      <c r="B11073" s="74" t="s">
        <v>6819</v>
      </c>
      <c r="C11073" s="74" t="s">
        <v>444</v>
      </c>
    </row>
    <row r="11074" spans="1:3">
      <c r="A11074" s="250">
        <v>27698</v>
      </c>
      <c r="B11074" s="74" t="s">
        <v>6819</v>
      </c>
      <c r="C11074" s="74" t="s">
        <v>444</v>
      </c>
    </row>
    <row r="11075" spans="1:3">
      <c r="A11075" s="250">
        <v>27699</v>
      </c>
      <c r="B11075" s="74" t="s">
        <v>6819</v>
      </c>
      <c r="C11075" s="74" t="s">
        <v>444</v>
      </c>
    </row>
    <row r="11076" spans="1:3">
      <c r="A11076" s="250">
        <v>27701</v>
      </c>
      <c r="B11076" s="74" t="s">
        <v>1304</v>
      </c>
      <c r="C11076" s="74" t="s">
        <v>444</v>
      </c>
    </row>
    <row r="11077" spans="1:3">
      <c r="A11077" s="250">
        <v>27702</v>
      </c>
      <c r="B11077" s="74" t="s">
        <v>1304</v>
      </c>
      <c r="C11077" s="74" t="s">
        <v>444</v>
      </c>
    </row>
    <row r="11078" spans="1:3">
      <c r="A11078" s="250">
        <v>27703</v>
      </c>
      <c r="B11078" s="74" t="s">
        <v>1304</v>
      </c>
      <c r="C11078" s="74" t="s">
        <v>444</v>
      </c>
    </row>
    <row r="11079" spans="1:3">
      <c r="A11079" s="250">
        <v>27704</v>
      </c>
      <c r="B11079" s="74" t="s">
        <v>1304</v>
      </c>
      <c r="C11079" s="74" t="s">
        <v>444</v>
      </c>
    </row>
    <row r="11080" spans="1:3">
      <c r="A11080" s="250">
        <v>27705</v>
      </c>
      <c r="B11080" s="74" t="s">
        <v>1304</v>
      </c>
      <c r="C11080" s="74" t="s">
        <v>444</v>
      </c>
    </row>
    <row r="11081" spans="1:3">
      <c r="A11081" s="250">
        <v>27706</v>
      </c>
      <c r="B11081" s="74" t="s">
        <v>1304</v>
      </c>
      <c r="C11081" s="74" t="s">
        <v>444</v>
      </c>
    </row>
    <row r="11082" spans="1:3">
      <c r="A11082" s="250">
        <v>27707</v>
      </c>
      <c r="B11082" s="74" t="s">
        <v>1304</v>
      </c>
      <c r="C11082" s="74" t="s">
        <v>444</v>
      </c>
    </row>
    <row r="11083" spans="1:3">
      <c r="A11083" s="250">
        <v>27708</v>
      </c>
      <c r="B11083" s="74" t="s">
        <v>1304</v>
      </c>
      <c r="C11083" s="74" t="s">
        <v>444</v>
      </c>
    </row>
    <row r="11084" spans="1:3">
      <c r="A11084" s="250">
        <v>27709</v>
      </c>
      <c r="B11084" s="74" t="s">
        <v>1304</v>
      </c>
      <c r="C11084" s="74" t="s">
        <v>444</v>
      </c>
    </row>
    <row r="11085" spans="1:3">
      <c r="A11085" s="250">
        <v>27710</v>
      </c>
      <c r="B11085" s="74" t="s">
        <v>1304</v>
      </c>
      <c r="C11085" s="74" t="s">
        <v>444</v>
      </c>
    </row>
    <row r="11086" spans="1:3">
      <c r="A11086" s="250">
        <v>27711</v>
      </c>
      <c r="B11086" s="74" t="s">
        <v>1304</v>
      </c>
      <c r="C11086" s="74" t="s">
        <v>444</v>
      </c>
    </row>
    <row r="11087" spans="1:3">
      <c r="A11087" s="250">
        <v>27712</v>
      </c>
      <c r="B11087" s="74" t="s">
        <v>1304</v>
      </c>
      <c r="C11087" s="74" t="s">
        <v>444</v>
      </c>
    </row>
    <row r="11088" spans="1:3">
      <c r="A11088" s="250">
        <v>27713</v>
      </c>
      <c r="B11088" s="74" t="s">
        <v>1304</v>
      </c>
      <c r="C11088" s="74" t="s">
        <v>444</v>
      </c>
    </row>
    <row r="11089" spans="1:3">
      <c r="A11089" s="250">
        <v>27715</v>
      </c>
      <c r="B11089" s="74" t="s">
        <v>1304</v>
      </c>
      <c r="C11089" s="74" t="s">
        <v>444</v>
      </c>
    </row>
    <row r="11090" spans="1:3">
      <c r="A11090" s="250">
        <v>27717</v>
      </c>
      <c r="B11090" s="74" t="s">
        <v>1304</v>
      </c>
      <c r="C11090" s="74" t="s">
        <v>444</v>
      </c>
    </row>
    <row r="11091" spans="1:3">
      <c r="A11091" s="250">
        <v>27722</v>
      </c>
      <c r="B11091" s="74" t="s">
        <v>1304</v>
      </c>
      <c r="C11091" s="74" t="s">
        <v>444</v>
      </c>
    </row>
    <row r="11092" spans="1:3">
      <c r="A11092" s="250">
        <v>27801</v>
      </c>
      <c r="B11092" s="74" t="s">
        <v>6300</v>
      </c>
      <c r="C11092" s="74" t="s">
        <v>444</v>
      </c>
    </row>
    <row r="11093" spans="1:3">
      <c r="A11093" s="250">
        <v>27802</v>
      </c>
      <c r="B11093" s="74" t="s">
        <v>6300</v>
      </c>
      <c r="C11093" s="74" t="s">
        <v>444</v>
      </c>
    </row>
    <row r="11094" spans="1:3">
      <c r="A11094" s="250">
        <v>27803</v>
      </c>
      <c r="B11094" s="74" t="s">
        <v>6300</v>
      </c>
      <c r="C11094" s="74" t="s">
        <v>444</v>
      </c>
    </row>
    <row r="11095" spans="1:3">
      <c r="A11095" s="250">
        <v>27804</v>
      </c>
      <c r="B11095" s="74" t="s">
        <v>6300</v>
      </c>
      <c r="C11095" s="74" t="s">
        <v>444</v>
      </c>
    </row>
    <row r="11096" spans="1:3">
      <c r="A11096" s="250">
        <v>27805</v>
      </c>
      <c r="B11096" s="74" t="s">
        <v>7177</v>
      </c>
      <c r="C11096" s="74" t="s">
        <v>444</v>
      </c>
    </row>
    <row r="11097" spans="1:3">
      <c r="A11097" s="250">
        <v>27806</v>
      </c>
      <c r="B11097" s="74" t="s">
        <v>1489</v>
      </c>
      <c r="C11097" s="74" t="s">
        <v>444</v>
      </c>
    </row>
    <row r="11098" spans="1:3">
      <c r="A11098" s="250">
        <v>27807</v>
      </c>
      <c r="B11098" s="74" t="s">
        <v>7178</v>
      </c>
      <c r="C11098" s="74" t="s">
        <v>444</v>
      </c>
    </row>
    <row r="11099" spans="1:3">
      <c r="A11099" s="250">
        <v>27808</v>
      </c>
      <c r="B11099" s="74" t="s">
        <v>1269</v>
      </c>
      <c r="C11099" s="74" t="s">
        <v>444</v>
      </c>
    </row>
    <row r="11100" spans="1:3">
      <c r="A11100" s="250">
        <v>27809</v>
      </c>
      <c r="B11100" s="74" t="s">
        <v>7179</v>
      </c>
      <c r="C11100" s="74" t="s">
        <v>444</v>
      </c>
    </row>
    <row r="11101" spans="1:3">
      <c r="A11101" s="250">
        <v>27810</v>
      </c>
      <c r="B11101" s="74" t="s">
        <v>7180</v>
      </c>
      <c r="C11101" s="74" t="s">
        <v>444</v>
      </c>
    </row>
    <row r="11102" spans="1:3">
      <c r="A11102" s="250">
        <v>27811</v>
      </c>
      <c r="B11102" s="74" t="s">
        <v>7181</v>
      </c>
      <c r="C11102" s="74" t="s">
        <v>444</v>
      </c>
    </row>
    <row r="11103" spans="1:3">
      <c r="A11103" s="250">
        <v>27812</v>
      </c>
      <c r="B11103" s="74" t="s">
        <v>1434</v>
      </c>
      <c r="C11103" s="74" t="s">
        <v>444</v>
      </c>
    </row>
    <row r="11104" spans="1:3">
      <c r="A11104" s="250">
        <v>27813</v>
      </c>
      <c r="B11104" s="74" t="s">
        <v>3845</v>
      </c>
      <c r="C11104" s="74" t="s">
        <v>444</v>
      </c>
    </row>
    <row r="11105" spans="1:3">
      <c r="A11105" s="250">
        <v>27814</v>
      </c>
      <c r="B11105" s="74" t="s">
        <v>7182</v>
      </c>
      <c r="C11105" s="74" t="s">
        <v>444</v>
      </c>
    </row>
    <row r="11106" spans="1:3">
      <c r="A11106" s="250">
        <v>27815</v>
      </c>
      <c r="B11106" s="74" t="s">
        <v>6300</v>
      </c>
      <c r="C11106" s="74" t="s">
        <v>444</v>
      </c>
    </row>
    <row r="11107" spans="1:3">
      <c r="A11107" s="250">
        <v>27816</v>
      </c>
      <c r="B11107" s="74" t="s">
        <v>7183</v>
      </c>
      <c r="C11107" s="74" t="s">
        <v>444</v>
      </c>
    </row>
    <row r="11108" spans="1:3">
      <c r="A11108" s="250">
        <v>27817</v>
      </c>
      <c r="B11108" s="74" t="s">
        <v>7184</v>
      </c>
      <c r="C11108" s="74" t="s">
        <v>444</v>
      </c>
    </row>
    <row r="11109" spans="1:3">
      <c r="A11109" s="250">
        <v>27818</v>
      </c>
      <c r="B11109" s="74" t="s">
        <v>7185</v>
      </c>
      <c r="C11109" s="74" t="s">
        <v>444</v>
      </c>
    </row>
    <row r="11110" spans="1:3">
      <c r="A11110" s="250">
        <v>27819</v>
      </c>
      <c r="B11110" s="74" t="s">
        <v>7186</v>
      </c>
      <c r="C11110" s="74" t="s">
        <v>444</v>
      </c>
    </row>
    <row r="11111" spans="1:3">
      <c r="A11111" s="250">
        <v>27820</v>
      </c>
      <c r="B11111" s="74" t="s">
        <v>677</v>
      </c>
      <c r="C11111" s="74" t="s">
        <v>444</v>
      </c>
    </row>
    <row r="11112" spans="1:3">
      <c r="A11112" s="250">
        <v>27821</v>
      </c>
      <c r="B11112" s="74" t="s">
        <v>7187</v>
      </c>
      <c r="C11112" s="74" t="s">
        <v>444</v>
      </c>
    </row>
    <row r="11113" spans="1:3">
      <c r="A11113" s="250">
        <v>27822</v>
      </c>
      <c r="B11113" s="74" t="s">
        <v>7188</v>
      </c>
      <c r="C11113" s="74" t="s">
        <v>444</v>
      </c>
    </row>
    <row r="11114" spans="1:3">
      <c r="A11114" s="250">
        <v>27823</v>
      </c>
      <c r="B11114" s="74" t="s">
        <v>1274</v>
      </c>
      <c r="C11114" s="74" t="s">
        <v>444</v>
      </c>
    </row>
    <row r="11115" spans="1:3">
      <c r="A11115" s="250">
        <v>27824</v>
      </c>
      <c r="B11115" s="74" t="s">
        <v>7189</v>
      </c>
      <c r="C11115" s="74" t="s">
        <v>444</v>
      </c>
    </row>
    <row r="11116" spans="1:3">
      <c r="A11116" s="250">
        <v>27825</v>
      </c>
      <c r="B11116" s="74" t="s">
        <v>7190</v>
      </c>
      <c r="C11116" s="74" t="s">
        <v>444</v>
      </c>
    </row>
    <row r="11117" spans="1:3">
      <c r="A11117" s="250">
        <v>27826</v>
      </c>
      <c r="B11117" s="74" t="s">
        <v>1694</v>
      </c>
      <c r="C11117" s="74" t="s">
        <v>444</v>
      </c>
    </row>
    <row r="11118" spans="1:3">
      <c r="A11118" s="250">
        <v>27827</v>
      </c>
      <c r="B11118" s="74" t="s">
        <v>7191</v>
      </c>
      <c r="C11118" s="74" t="s">
        <v>444</v>
      </c>
    </row>
    <row r="11119" spans="1:3">
      <c r="A11119" s="250">
        <v>27828</v>
      </c>
      <c r="B11119" s="74" t="s">
        <v>6220</v>
      </c>
      <c r="C11119" s="74" t="s">
        <v>444</v>
      </c>
    </row>
    <row r="11120" spans="1:3">
      <c r="A11120" s="250">
        <v>27829</v>
      </c>
      <c r="B11120" s="74" t="s">
        <v>7192</v>
      </c>
      <c r="C11120" s="74" t="s">
        <v>444</v>
      </c>
    </row>
    <row r="11121" spans="1:3">
      <c r="A11121" s="250">
        <v>27830</v>
      </c>
      <c r="B11121" s="74" t="s">
        <v>1157</v>
      </c>
      <c r="C11121" s="74" t="s">
        <v>444</v>
      </c>
    </row>
    <row r="11122" spans="1:3">
      <c r="A11122" s="250">
        <v>27831</v>
      </c>
      <c r="B11122" s="74" t="s">
        <v>7193</v>
      </c>
      <c r="C11122" s="74" t="s">
        <v>444</v>
      </c>
    </row>
    <row r="11123" spans="1:3">
      <c r="A11123" s="250">
        <v>27832</v>
      </c>
      <c r="B11123" s="74" t="s">
        <v>7194</v>
      </c>
      <c r="C11123" s="74" t="s">
        <v>444</v>
      </c>
    </row>
    <row r="11124" spans="1:3">
      <c r="A11124" s="250">
        <v>27833</v>
      </c>
      <c r="B11124" s="74" t="s">
        <v>1108</v>
      </c>
      <c r="C11124" s="74" t="s">
        <v>444</v>
      </c>
    </row>
    <row r="11125" spans="1:3">
      <c r="A11125" s="250">
        <v>27834</v>
      </c>
      <c r="B11125" s="74" t="s">
        <v>1108</v>
      </c>
      <c r="C11125" s="74" t="s">
        <v>444</v>
      </c>
    </row>
    <row r="11126" spans="1:3">
      <c r="A11126" s="250">
        <v>27835</v>
      </c>
      <c r="B11126" s="74" t="s">
        <v>1108</v>
      </c>
      <c r="C11126" s="74" t="s">
        <v>444</v>
      </c>
    </row>
    <row r="11127" spans="1:3">
      <c r="A11127" s="250">
        <v>27836</v>
      </c>
      <c r="B11127" s="74" t="s">
        <v>1108</v>
      </c>
      <c r="C11127" s="74" t="s">
        <v>444</v>
      </c>
    </row>
    <row r="11128" spans="1:3">
      <c r="A11128" s="250">
        <v>27837</v>
      </c>
      <c r="B11128" s="74" t="s">
        <v>7195</v>
      </c>
      <c r="C11128" s="74" t="s">
        <v>444</v>
      </c>
    </row>
    <row r="11129" spans="1:3">
      <c r="A11129" s="250">
        <v>27839</v>
      </c>
      <c r="B11129" s="74" t="s">
        <v>943</v>
      </c>
      <c r="C11129" s="74" t="s">
        <v>444</v>
      </c>
    </row>
    <row r="11130" spans="1:3">
      <c r="A11130" s="250">
        <v>27840</v>
      </c>
      <c r="B11130" s="74" t="s">
        <v>844</v>
      </c>
      <c r="C11130" s="74" t="s">
        <v>444</v>
      </c>
    </row>
    <row r="11131" spans="1:3">
      <c r="A11131" s="250">
        <v>27841</v>
      </c>
      <c r="B11131" s="74" t="s">
        <v>7196</v>
      </c>
      <c r="C11131" s="74" t="s">
        <v>444</v>
      </c>
    </row>
    <row r="11132" spans="1:3">
      <c r="A11132" s="250">
        <v>27842</v>
      </c>
      <c r="B11132" s="74" t="s">
        <v>6066</v>
      </c>
      <c r="C11132" s="74" t="s">
        <v>444</v>
      </c>
    </row>
    <row r="11133" spans="1:3">
      <c r="A11133" s="250">
        <v>27843</v>
      </c>
      <c r="B11133" s="74" t="s">
        <v>7197</v>
      </c>
      <c r="C11133" s="74" t="s">
        <v>444</v>
      </c>
    </row>
    <row r="11134" spans="1:3">
      <c r="A11134" s="250">
        <v>27844</v>
      </c>
      <c r="B11134" s="74" t="s">
        <v>7198</v>
      </c>
      <c r="C11134" s="74" t="s">
        <v>444</v>
      </c>
    </row>
    <row r="11135" spans="1:3">
      <c r="A11135" s="250">
        <v>27845</v>
      </c>
      <c r="B11135" s="74" t="s">
        <v>1318</v>
      </c>
      <c r="C11135" s="74" t="s">
        <v>444</v>
      </c>
    </row>
    <row r="11136" spans="1:3">
      <c r="A11136" s="250">
        <v>27846</v>
      </c>
      <c r="B11136" s="74" t="s">
        <v>3370</v>
      </c>
      <c r="C11136" s="74" t="s">
        <v>444</v>
      </c>
    </row>
    <row r="11137" spans="1:3">
      <c r="A11137" s="250">
        <v>27847</v>
      </c>
      <c r="B11137" s="74" t="s">
        <v>7199</v>
      </c>
      <c r="C11137" s="74" t="s">
        <v>444</v>
      </c>
    </row>
    <row r="11138" spans="1:3">
      <c r="A11138" s="250">
        <v>27849</v>
      </c>
      <c r="B11138" s="74" t="s">
        <v>7200</v>
      </c>
      <c r="C11138" s="74" t="s">
        <v>444</v>
      </c>
    </row>
    <row r="11139" spans="1:3">
      <c r="A11139" s="250">
        <v>27850</v>
      </c>
      <c r="B11139" s="74" t="s">
        <v>713</v>
      </c>
      <c r="C11139" s="74" t="s">
        <v>444</v>
      </c>
    </row>
    <row r="11140" spans="1:3">
      <c r="A11140" s="250">
        <v>27851</v>
      </c>
      <c r="B11140" s="74" t="s">
        <v>7201</v>
      </c>
      <c r="C11140" s="74" t="s">
        <v>444</v>
      </c>
    </row>
    <row r="11141" spans="1:3">
      <c r="A11141" s="250">
        <v>27852</v>
      </c>
      <c r="B11141" s="74" t="s">
        <v>7202</v>
      </c>
      <c r="C11141" s="74" t="s">
        <v>444</v>
      </c>
    </row>
    <row r="11142" spans="1:3">
      <c r="A11142" s="250">
        <v>27853</v>
      </c>
      <c r="B11142" s="74" t="s">
        <v>7203</v>
      </c>
      <c r="C11142" s="74" t="s">
        <v>444</v>
      </c>
    </row>
    <row r="11143" spans="1:3">
      <c r="A11143" s="250">
        <v>27854</v>
      </c>
      <c r="B11143" s="74" t="s">
        <v>7204</v>
      </c>
      <c r="C11143" s="74" t="s">
        <v>444</v>
      </c>
    </row>
    <row r="11144" spans="1:3">
      <c r="A11144" s="250">
        <v>27855</v>
      </c>
      <c r="B11144" s="74" t="s">
        <v>7205</v>
      </c>
      <c r="C11144" s="74" t="s">
        <v>444</v>
      </c>
    </row>
    <row r="11145" spans="1:3">
      <c r="A11145" s="250">
        <v>27856</v>
      </c>
      <c r="B11145" s="74" t="s">
        <v>7206</v>
      </c>
      <c r="C11145" s="74" t="s">
        <v>444</v>
      </c>
    </row>
    <row r="11146" spans="1:3">
      <c r="A11146" s="250">
        <v>27857</v>
      </c>
      <c r="B11146" s="74" t="s">
        <v>7207</v>
      </c>
      <c r="C11146" s="74" t="s">
        <v>444</v>
      </c>
    </row>
    <row r="11147" spans="1:3">
      <c r="A11147" s="250">
        <v>27858</v>
      </c>
      <c r="B11147" s="74" t="s">
        <v>1108</v>
      </c>
      <c r="C11147" s="74" t="s">
        <v>444</v>
      </c>
    </row>
    <row r="11148" spans="1:3">
      <c r="A11148" s="250">
        <v>27860</v>
      </c>
      <c r="B11148" s="74" t="s">
        <v>7208</v>
      </c>
      <c r="C11148" s="74" t="s">
        <v>444</v>
      </c>
    </row>
    <row r="11149" spans="1:3">
      <c r="A11149" s="250">
        <v>27861</v>
      </c>
      <c r="B11149" s="74" t="s">
        <v>7209</v>
      </c>
      <c r="C11149" s="74" t="s">
        <v>444</v>
      </c>
    </row>
    <row r="11150" spans="1:3">
      <c r="A11150" s="250">
        <v>27862</v>
      </c>
      <c r="B11150" s="74" t="s">
        <v>7210</v>
      </c>
      <c r="C11150" s="74" t="s">
        <v>444</v>
      </c>
    </row>
    <row r="11151" spans="1:3">
      <c r="A11151" s="250">
        <v>27863</v>
      </c>
      <c r="B11151" s="74" t="s">
        <v>7211</v>
      </c>
      <c r="C11151" s="74" t="s">
        <v>444</v>
      </c>
    </row>
    <row r="11152" spans="1:3">
      <c r="A11152" s="250">
        <v>27864</v>
      </c>
      <c r="B11152" s="74" t="s">
        <v>7212</v>
      </c>
      <c r="C11152" s="74" t="s">
        <v>444</v>
      </c>
    </row>
    <row r="11153" spans="1:3">
      <c r="A11153" s="250">
        <v>27865</v>
      </c>
      <c r="B11153" s="74" t="s">
        <v>7213</v>
      </c>
      <c r="C11153" s="74" t="s">
        <v>444</v>
      </c>
    </row>
    <row r="11154" spans="1:3">
      <c r="A11154" s="250">
        <v>27866</v>
      </c>
      <c r="B11154" s="74" t="s">
        <v>7214</v>
      </c>
      <c r="C11154" s="74" t="s">
        <v>444</v>
      </c>
    </row>
    <row r="11155" spans="1:3">
      <c r="A11155" s="250">
        <v>27867</v>
      </c>
      <c r="B11155" s="74" t="s">
        <v>7215</v>
      </c>
      <c r="C11155" s="74" t="s">
        <v>444</v>
      </c>
    </row>
    <row r="11156" spans="1:3">
      <c r="A11156" s="250">
        <v>27868</v>
      </c>
      <c r="B11156" s="74" t="s">
        <v>6245</v>
      </c>
      <c r="C11156" s="74" t="s">
        <v>444</v>
      </c>
    </row>
    <row r="11157" spans="1:3">
      <c r="A11157" s="250">
        <v>27869</v>
      </c>
      <c r="B11157" s="74" t="s">
        <v>7216</v>
      </c>
      <c r="C11157" s="74" t="s">
        <v>444</v>
      </c>
    </row>
    <row r="11158" spans="1:3">
      <c r="A11158" s="250">
        <v>27870</v>
      </c>
      <c r="B11158" s="74" t="s">
        <v>7217</v>
      </c>
      <c r="C11158" s="74" t="s">
        <v>444</v>
      </c>
    </row>
    <row r="11159" spans="1:3">
      <c r="A11159" s="250">
        <v>27871</v>
      </c>
      <c r="B11159" s="74" t="s">
        <v>7218</v>
      </c>
      <c r="C11159" s="74" t="s">
        <v>444</v>
      </c>
    </row>
    <row r="11160" spans="1:3">
      <c r="A11160" s="250">
        <v>27872</v>
      </c>
      <c r="B11160" s="74" t="s">
        <v>7219</v>
      </c>
      <c r="C11160" s="74" t="s">
        <v>444</v>
      </c>
    </row>
    <row r="11161" spans="1:3">
      <c r="A11161" s="250">
        <v>27873</v>
      </c>
      <c r="B11161" s="74" t="s">
        <v>7220</v>
      </c>
      <c r="C11161" s="74" t="s">
        <v>444</v>
      </c>
    </row>
    <row r="11162" spans="1:3">
      <c r="A11162" s="250">
        <v>27874</v>
      </c>
      <c r="B11162" s="74" t="s">
        <v>7221</v>
      </c>
      <c r="C11162" s="74" t="s">
        <v>444</v>
      </c>
    </row>
    <row r="11163" spans="1:3">
      <c r="A11163" s="250">
        <v>27875</v>
      </c>
      <c r="B11163" s="74" t="s">
        <v>5193</v>
      </c>
      <c r="C11163" s="74" t="s">
        <v>444</v>
      </c>
    </row>
    <row r="11164" spans="1:3">
      <c r="A11164" s="250">
        <v>27876</v>
      </c>
      <c r="B11164" s="74" t="s">
        <v>7222</v>
      </c>
      <c r="C11164" s="74" t="s">
        <v>444</v>
      </c>
    </row>
    <row r="11165" spans="1:3">
      <c r="A11165" s="250">
        <v>27877</v>
      </c>
      <c r="B11165" s="74" t="s">
        <v>5700</v>
      </c>
      <c r="C11165" s="74" t="s">
        <v>444</v>
      </c>
    </row>
    <row r="11166" spans="1:3">
      <c r="A11166" s="250">
        <v>27878</v>
      </c>
      <c r="B11166" s="74" t="s">
        <v>5818</v>
      </c>
      <c r="C11166" s="74" t="s">
        <v>444</v>
      </c>
    </row>
    <row r="11167" spans="1:3">
      <c r="A11167" s="250">
        <v>27879</v>
      </c>
      <c r="B11167" s="74" t="s">
        <v>6957</v>
      </c>
      <c r="C11167" s="74" t="s">
        <v>444</v>
      </c>
    </row>
    <row r="11168" spans="1:3">
      <c r="A11168" s="250">
        <v>27880</v>
      </c>
      <c r="B11168" s="74" t="s">
        <v>7223</v>
      </c>
      <c r="C11168" s="74" t="s">
        <v>444</v>
      </c>
    </row>
    <row r="11169" spans="1:3">
      <c r="A11169" s="250">
        <v>27881</v>
      </c>
      <c r="B11169" s="74" t="s">
        <v>7224</v>
      </c>
      <c r="C11169" s="74" t="s">
        <v>444</v>
      </c>
    </row>
    <row r="11170" spans="1:3">
      <c r="A11170" s="250">
        <v>27882</v>
      </c>
      <c r="B11170" s="74" t="s">
        <v>7225</v>
      </c>
      <c r="C11170" s="74" t="s">
        <v>444</v>
      </c>
    </row>
    <row r="11171" spans="1:3">
      <c r="A11171" s="250">
        <v>27883</v>
      </c>
      <c r="B11171" s="74" t="s">
        <v>7226</v>
      </c>
      <c r="C11171" s="74" t="s">
        <v>444</v>
      </c>
    </row>
    <row r="11172" spans="1:3">
      <c r="A11172" s="250">
        <v>27884</v>
      </c>
      <c r="B11172" s="74" t="s">
        <v>7227</v>
      </c>
      <c r="C11172" s="74" t="s">
        <v>444</v>
      </c>
    </row>
    <row r="11173" spans="1:3">
      <c r="A11173" s="250">
        <v>27885</v>
      </c>
      <c r="B11173" s="74" t="s">
        <v>7228</v>
      </c>
      <c r="C11173" s="74" t="s">
        <v>444</v>
      </c>
    </row>
    <row r="11174" spans="1:3">
      <c r="A11174" s="250">
        <v>27886</v>
      </c>
      <c r="B11174" s="74" t="s">
        <v>7229</v>
      </c>
      <c r="C11174" s="74" t="s">
        <v>444</v>
      </c>
    </row>
    <row r="11175" spans="1:3">
      <c r="A11175" s="250">
        <v>27887</v>
      </c>
      <c r="B11175" s="74" t="s">
        <v>7230</v>
      </c>
      <c r="C11175" s="74" t="s">
        <v>444</v>
      </c>
    </row>
    <row r="11176" spans="1:3">
      <c r="A11176" s="250">
        <v>27888</v>
      </c>
      <c r="B11176" s="74" t="s">
        <v>7231</v>
      </c>
      <c r="C11176" s="74" t="s">
        <v>444</v>
      </c>
    </row>
    <row r="11177" spans="1:3">
      <c r="A11177" s="250">
        <v>27889</v>
      </c>
      <c r="B11177" s="74" t="s">
        <v>1215</v>
      </c>
      <c r="C11177" s="74" t="s">
        <v>444</v>
      </c>
    </row>
    <row r="11178" spans="1:3">
      <c r="A11178" s="250">
        <v>27890</v>
      </c>
      <c r="B11178" s="74" t="s">
        <v>7232</v>
      </c>
      <c r="C11178" s="74" t="s">
        <v>444</v>
      </c>
    </row>
    <row r="11179" spans="1:3">
      <c r="A11179" s="250">
        <v>27891</v>
      </c>
      <c r="B11179" s="74" t="s">
        <v>7233</v>
      </c>
      <c r="C11179" s="74" t="s">
        <v>444</v>
      </c>
    </row>
    <row r="11180" spans="1:3">
      <c r="A11180" s="250">
        <v>27892</v>
      </c>
      <c r="B11180" s="74" t="s">
        <v>7234</v>
      </c>
      <c r="C11180" s="74" t="s">
        <v>444</v>
      </c>
    </row>
    <row r="11181" spans="1:3">
      <c r="A11181" s="250">
        <v>27893</v>
      </c>
      <c r="B11181" s="74" t="s">
        <v>3748</v>
      </c>
      <c r="C11181" s="74" t="s">
        <v>444</v>
      </c>
    </row>
    <row r="11182" spans="1:3">
      <c r="A11182" s="250">
        <v>27894</v>
      </c>
      <c r="B11182" s="74" t="s">
        <v>3748</v>
      </c>
      <c r="C11182" s="74" t="s">
        <v>444</v>
      </c>
    </row>
    <row r="11183" spans="1:3">
      <c r="A11183" s="250">
        <v>27895</v>
      </c>
      <c r="B11183" s="74" t="s">
        <v>3748</v>
      </c>
      <c r="C11183" s="74" t="s">
        <v>444</v>
      </c>
    </row>
    <row r="11184" spans="1:3">
      <c r="A11184" s="250">
        <v>27896</v>
      </c>
      <c r="B11184" s="74" t="s">
        <v>3748</v>
      </c>
      <c r="C11184" s="74" t="s">
        <v>444</v>
      </c>
    </row>
    <row r="11185" spans="1:3">
      <c r="A11185" s="250">
        <v>27897</v>
      </c>
      <c r="B11185" s="74" t="s">
        <v>4660</v>
      </c>
      <c r="C11185" s="74" t="s">
        <v>444</v>
      </c>
    </row>
    <row r="11186" spans="1:3">
      <c r="A11186" s="250">
        <v>27906</v>
      </c>
      <c r="B11186" s="74" t="s">
        <v>7235</v>
      </c>
      <c r="C11186" s="74" t="s">
        <v>444</v>
      </c>
    </row>
    <row r="11187" spans="1:3">
      <c r="A11187" s="250">
        <v>27907</v>
      </c>
      <c r="B11187" s="74" t="s">
        <v>7235</v>
      </c>
      <c r="C11187" s="74" t="s">
        <v>444</v>
      </c>
    </row>
    <row r="11188" spans="1:3">
      <c r="A11188" s="250">
        <v>27909</v>
      </c>
      <c r="B11188" s="74" t="s">
        <v>7235</v>
      </c>
      <c r="C11188" s="74" t="s">
        <v>444</v>
      </c>
    </row>
    <row r="11189" spans="1:3">
      <c r="A11189" s="250">
        <v>27910</v>
      </c>
      <c r="B11189" s="74" t="s">
        <v>7236</v>
      </c>
      <c r="C11189" s="74" t="s">
        <v>444</v>
      </c>
    </row>
    <row r="11190" spans="1:3">
      <c r="A11190" s="250">
        <v>27915</v>
      </c>
      <c r="B11190" s="74" t="s">
        <v>935</v>
      </c>
      <c r="C11190" s="74" t="s">
        <v>444</v>
      </c>
    </row>
    <row r="11191" spans="1:3">
      <c r="A11191" s="250">
        <v>27916</v>
      </c>
      <c r="B11191" s="74" t="s">
        <v>7237</v>
      </c>
      <c r="C11191" s="74" t="s">
        <v>444</v>
      </c>
    </row>
    <row r="11192" spans="1:3">
      <c r="A11192" s="250">
        <v>27917</v>
      </c>
      <c r="B11192" s="74" t="s">
        <v>7238</v>
      </c>
      <c r="C11192" s="74" t="s">
        <v>444</v>
      </c>
    </row>
    <row r="11193" spans="1:3">
      <c r="A11193" s="250">
        <v>27919</v>
      </c>
      <c r="B11193" s="74" t="s">
        <v>2296</v>
      </c>
      <c r="C11193" s="74" t="s">
        <v>444</v>
      </c>
    </row>
    <row r="11194" spans="1:3">
      <c r="A11194" s="250">
        <v>27920</v>
      </c>
      <c r="B11194" s="74" t="s">
        <v>1424</v>
      </c>
      <c r="C11194" s="74" t="s">
        <v>444</v>
      </c>
    </row>
    <row r="11195" spans="1:3">
      <c r="A11195" s="250">
        <v>27921</v>
      </c>
      <c r="B11195" s="74" t="s">
        <v>1660</v>
      </c>
      <c r="C11195" s="74" t="s">
        <v>444</v>
      </c>
    </row>
    <row r="11196" spans="1:3">
      <c r="A11196" s="250">
        <v>27922</v>
      </c>
      <c r="B11196" s="74" t="s">
        <v>7239</v>
      </c>
      <c r="C11196" s="74" t="s">
        <v>444</v>
      </c>
    </row>
    <row r="11197" spans="1:3">
      <c r="A11197" s="250">
        <v>27923</v>
      </c>
      <c r="B11197" s="74" t="s">
        <v>7240</v>
      </c>
      <c r="C11197" s="74" t="s">
        <v>444</v>
      </c>
    </row>
    <row r="11198" spans="1:3">
      <c r="A11198" s="250">
        <v>27924</v>
      </c>
      <c r="B11198" s="74" t="s">
        <v>7241</v>
      </c>
      <c r="C11198" s="74" t="s">
        <v>444</v>
      </c>
    </row>
    <row r="11199" spans="1:3">
      <c r="A11199" s="250">
        <v>27925</v>
      </c>
      <c r="B11199" s="74" t="s">
        <v>1985</v>
      </c>
      <c r="C11199" s="74" t="s">
        <v>444</v>
      </c>
    </row>
    <row r="11200" spans="1:3">
      <c r="A11200" s="250">
        <v>27926</v>
      </c>
      <c r="B11200" s="74" t="s">
        <v>7242</v>
      </c>
      <c r="C11200" s="74" t="s">
        <v>444</v>
      </c>
    </row>
    <row r="11201" spans="1:3">
      <c r="A11201" s="250">
        <v>27927</v>
      </c>
      <c r="B11201" s="74" t="s">
        <v>7243</v>
      </c>
      <c r="C11201" s="74" t="s">
        <v>444</v>
      </c>
    </row>
    <row r="11202" spans="1:3">
      <c r="A11202" s="250">
        <v>27928</v>
      </c>
      <c r="B11202" s="74" t="s">
        <v>7244</v>
      </c>
      <c r="C11202" s="74" t="s">
        <v>444</v>
      </c>
    </row>
    <row r="11203" spans="1:3">
      <c r="A11203" s="250">
        <v>27929</v>
      </c>
      <c r="B11203" s="74" t="s">
        <v>7245</v>
      </c>
      <c r="C11203" s="74" t="s">
        <v>444</v>
      </c>
    </row>
    <row r="11204" spans="1:3">
      <c r="A11204" s="250">
        <v>27930</v>
      </c>
      <c r="B11204" s="74" t="s">
        <v>7246</v>
      </c>
      <c r="C11204" s="74" t="s">
        <v>444</v>
      </c>
    </row>
    <row r="11205" spans="1:3">
      <c r="A11205" s="250">
        <v>27932</v>
      </c>
      <c r="B11205" s="74" t="s">
        <v>7247</v>
      </c>
      <c r="C11205" s="74" t="s">
        <v>444</v>
      </c>
    </row>
    <row r="11206" spans="1:3">
      <c r="A11206" s="250">
        <v>27935</v>
      </c>
      <c r="B11206" s="74" t="s">
        <v>7248</v>
      </c>
      <c r="C11206" s="74" t="s">
        <v>444</v>
      </c>
    </row>
    <row r="11207" spans="1:3">
      <c r="A11207" s="250">
        <v>27936</v>
      </c>
      <c r="B11207" s="74" t="s">
        <v>7249</v>
      </c>
      <c r="C11207" s="74" t="s">
        <v>444</v>
      </c>
    </row>
    <row r="11208" spans="1:3">
      <c r="A11208" s="250">
        <v>27937</v>
      </c>
      <c r="B11208" s="74" t="s">
        <v>7250</v>
      </c>
      <c r="C11208" s="74" t="s">
        <v>444</v>
      </c>
    </row>
    <row r="11209" spans="1:3">
      <c r="A11209" s="250">
        <v>27938</v>
      </c>
      <c r="B11209" s="74" t="s">
        <v>7251</v>
      </c>
      <c r="C11209" s="74" t="s">
        <v>444</v>
      </c>
    </row>
    <row r="11210" spans="1:3">
      <c r="A11210" s="250">
        <v>27939</v>
      </c>
      <c r="B11210" s="74" t="s">
        <v>7252</v>
      </c>
      <c r="C11210" s="74" t="s">
        <v>444</v>
      </c>
    </row>
    <row r="11211" spans="1:3">
      <c r="A11211" s="250">
        <v>27941</v>
      </c>
      <c r="B11211" s="74" t="s">
        <v>7253</v>
      </c>
      <c r="C11211" s="74" t="s">
        <v>444</v>
      </c>
    </row>
    <row r="11212" spans="1:3">
      <c r="A11212" s="250">
        <v>27942</v>
      </c>
      <c r="B11212" s="74" t="s">
        <v>7254</v>
      </c>
      <c r="C11212" s="74" t="s">
        <v>444</v>
      </c>
    </row>
    <row r="11213" spans="1:3">
      <c r="A11213" s="250">
        <v>27943</v>
      </c>
      <c r="B11213" s="74" t="s">
        <v>7255</v>
      </c>
      <c r="C11213" s="74" t="s">
        <v>444</v>
      </c>
    </row>
    <row r="11214" spans="1:3">
      <c r="A11214" s="250">
        <v>27944</v>
      </c>
      <c r="B11214" s="74" t="s">
        <v>7256</v>
      </c>
      <c r="C11214" s="74" t="s">
        <v>444</v>
      </c>
    </row>
    <row r="11215" spans="1:3">
      <c r="A11215" s="250">
        <v>27946</v>
      </c>
      <c r="B11215" s="74" t="s">
        <v>7257</v>
      </c>
      <c r="C11215" s="74" t="s">
        <v>444</v>
      </c>
    </row>
    <row r="11216" spans="1:3">
      <c r="A11216" s="250">
        <v>27947</v>
      </c>
      <c r="B11216" s="74" t="s">
        <v>7258</v>
      </c>
      <c r="C11216" s="74" t="s">
        <v>444</v>
      </c>
    </row>
    <row r="11217" spans="1:3">
      <c r="A11217" s="250">
        <v>27948</v>
      </c>
      <c r="B11217" s="74" t="s">
        <v>7259</v>
      </c>
      <c r="C11217" s="74" t="s">
        <v>444</v>
      </c>
    </row>
    <row r="11218" spans="1:3">
      <c r="A11218" s="250">
        <v>27949</v>
      </c>
      <c r="B11218" s="74" t="s">
        <v>7260</v>
      </c>
      <c r="C11218" s="74" t="s">
        <v>444</v>
      </c>
    </row>
    <row r="11219" spans="1:3">
      <c r="A11219" s="250">
        <v>27950</v>
      </c>
      <c r="B11219" s="74" t="s">
        <v>7261</v>
      </c>
      <c r="C11219" s="74" t="s">
        <v>444</v>
      </c>
    </row>
    <row r="11220" spans="1:3">
      <c r="A11220" s="250">
        <v>27953</v>
      </c>
      <c r="B11220" s="74" t="s">
        <v>7262</v>
      </c>
      <c r="C11220" s="74" t="s">
        <v>444</v>
      </c>
    </row>
    <row r="11221" spans="1:3">
      <c r="A11221" s="250">
        <v>27954</v>
      </c>
      <c r="B11221" s="74" t="s">
        <v>7263</v>
      </c>
      <c r="C11221" s="74" t="s">
        <v>444</v>
      </c>
    </row>
    <row r="11222" spans="1:3">
      <c r="A11222" s="250">
        <v>27956</v>
      </c>
      <c r="B11222" s="74" t="s">
        <v>7264</v>
      </c>
      <c r="C11222" s="74" t="s">
        <v>444</v>
      </c>
    </row>
    <row r="11223" spans="1:3">
      <c r="A11223" s="250">
        <v>27957</v>
      </c>
      <c r="B11223" s="74" t="s">
        <v>7265</v>
      </c>
      <c r="C11223" s="74" t="s">
        <v>444</v>
      </c>
    </row>
    <row r="11224" spans="1:3">
      <c r="A11224" s="250">
        <v>27958</v>
      </c>
      <c r="B11224" s="74" t="s">
        <v>7266</v>
      </c>
      <c r="C11224" s="74" t="s">
        <v>444</v>
      </c>
    </row>
    <row r="11225" spans="1:3">
      <c r="A11225" s="250">
        <v>27959</v>
      </c>
      <c r="B11225" s="74" t="s">
        <v>7267</v>
      </c>
      <c r="C11225" s="74" t="s">
        <v>444</v>
      </c>
    </row>
    <row r="11226" spans="1:3">
      <c r="A11226" s="250">
        <v>27960</v>
      </c>
      <c r="B11226" s="74" t="s">
        <v>7268</v>
      </c>
      <c r="C11226" s="74" t="s">
        <v>444</v>
      </c>
    </row>
    <row r="11227" spans="1:3">
      <c r="A11227" s="250">
        <v>27962</v>
      </c>
      <c r="B11227" s="74" t="s">
        <v>956</v>
      </c>
      <c r="C11227" s="74" t="s">
        <v>444</v>
      </c>
    </row>
    <row r="11228" spans="1:3">
      <c r="A11228" s="250">
        <v>27964</v>
      </c>
      <c r="B11228" s="74" t="s">
        <v>7269</v>
      </c>
      <c r="C11228" s="74" t="s">
        <v>444</v>
      </c>
    </row>
    <row r="11229" spans="1:3">
      <c r="A11229" s="250">
        <v>27965</v>
      </c>
      <c r="B11229" s="74" t="s">
        <v>7270</v>
      </c>
      <c r="C11229" s="74" t="s">
        <v>444</v>
      </c>
    </row>
    <row r="11230" spans="1:3">
      <c r="A11230" s="250">
        <v>27966</v>
      </c>
      <c r="B11230" s="74" t="s">
        <v>7271</v>
      </c>
      <c r="C11230" s="74" t="s">
        <v>444</v>
      </c>
    </row>
    <row r="11231" spans="1:3">
      <c r="A11231" s="250">
        <v>27967</v>
      </c>
      <c r="B11231" s="74" t="s">
        <v>7272</v>
      </c>
      <c r="C11231" s="74" t="s">
        <v>444</v>
      </c>
    </row>
    <row r="11232" spans="1:3">
      <c r="A11232" s="250">
        <v>27968</v>
      </c>
      <c r="B11232" s="74" t="s">
        <v>7273</v>
      </c>
      <c r="C11232" s="74" t="s">
        <v>444</v>
      </c>
    </row>
    <row r="11233" spans="1:3">
      <c r="A11233" s="250">
        <v>27969</v>
      </c>
      <c r="B11233" s="74" t="s">
        <v>7274</v>
      </c>
      <c r="C11233" s="74" t="s">
        <v>444</v>
      </c>
    </row>
    <row r="11234" spans="1:3">
      <c r="A11234" s="250">
        <v>27970</v>
      </c>
      <c r="B11234" s="74" t="s">
        <v>7275</v>
      </c>
      <c r="C11234" s="74" t="s">
        <v>444</v>
      </c>
    </row>
    <row r="11235" spans="1:3">
      <c r="A11235" s="250">
        <v>27972</v>
      </c>
      <c r="B11235" s="74" t="s">
        <v>7276</v>
      </c>
      <c r="C11235" s="74" t="s">
        <v>444</v>
      </c>
    </row>
    <row r="11236" spans="1:3">
      <c r="A11236" s="250">
        <v>27973</v>
      </c>
      <c r="B11236" s="74" t="s">
        <v>7277</v>
      </c>
      <c r="C11236" s="74" t="s">
        <v>444</v>
      </c>
    </row>
    <row r="11237" spans="1:3">
      <c r="A11237" s="250">
        <v>27974</v>
      </c>
      <c r="B11237" s="74" t="s">
        <v>2501</v>
      </c>
      <c r="C11237" s="74" t="s">
        <v>444</v>
      </c>
    </row>
    <row r="11238" spans="1:3">
      <c r="A11238" s="250">
        <v>27976</v>
      </c>
      <c r="B11238" s="74" t="s">
        <v>7278</v>
      </c>
      <c r="C11238" s="74" t="s">
        <v>444</v>
      </c>
    </row>
    <row r="11239" spans="1:3">
      <c r="A11239" s="250">
        <v>27978</v>
      </c>
      <c r="B11239" s="74" t="s">
        <v>7279</v>
      </c>
      <c r="C11239" s="74" t="s">
        <v>444</v>
      </c>
    </row>
    <row r="11240" spans="1:3">
      <c r="A11240" s="250">
        <v>27979</v>
      </c>
      <c r="B11240" s="74" t="s">
        <v>4935</v>
      </c>
      <c r="C11240" s="74" t="s">
        <v>444</v>
      </c>
    </row>
    <row r="11241" spans="1:3">
      <c r="A11241" s="250">
        <v>27980</v>
      </c>
      <c r="B11241" s="74" t="s">
        <v>7280</v>
      </c>
      <c r="C11241" s="74" t="s">
        <v>444</v>
      </c>
    </row>
    <row r="11242" spans="1:3">
      <c r="A11242" s="250">
        <v>27981</v>
      </c>
      <c r="B11242" s="74" t="s">
        <v>7281</v>
      </c>
      <c r="C11242" s="74" t="s">
        <v>444</v>
      </c>
    </row>
    <row r="11243" spans="1:3">
      <c r="A11243" s="250">
        <v>27982</v>
      </c>
      <c r="B11243" s="74" t="s">
        <v>7282</v>
      </c>
      <c r="C11243" s="74" t="s">
        <v>444</v>
      </c>
    </row>
    <row r="11244" spans="1:3">
      <c r="A11244" s="250">
        <v>27983</v>
      </c>
      <c r="B11244" s="74" t="s">
        <v>669</v>
      </c>
      <c r="C11244" s="74" t="s">
        <v>444</v>
      </c>
    </row>
    <row r="11245" spans="1:3">
      <c r="A11245" s="250">
        <v>27985</v>
      </c>
      <c r="B11245" s="74" t="s">
        <v>7283</v>
      </c>
      <c r="C11245" s="74" t="s">
        <v>444</v>
      </c>
    </row>
    <row r="11246" spans="1:3">
      <c r="A11246" s="250">
        <v>27986</v>
      </c>
      <c r="B11246" s="74" t="s">
        <v>7284</v>
      </c>
      <c r="C11246" s="74" t="s">
        <v>444</v>
      </c>
    </row>
    <row r="11247" spans="1:3">
      <c r="A11247" s="250">
        <v>28001</v>
      </c>
      <c r="B11247" s="74" t="s">
        <v>7285</v>
      </c>
      <c r="C11247" s="74" t="s">
        <v>444</v>
      </c>
    </row>
    <row r="11248" spans="1:3">
      <c r="A11248" s="250">
        <v>28002</v>
      </c>
      <c r="B11248" s="74" t="s">
        <v>7285</v>
      </c>
      <c r="C11248" s="74" t="s">
        <v>444</v>
      </c>
    </row>
    <row r="11249" spans="1:3">
      <c r="A11249" s="250">
        <v>28006</v>
      </c>
      <c r="B11249" s="74" t="s">
        <v>7286</v>
      </c>
      <c r="C11249" s="74" t="s">
        <v>444</v>
      </c>
    </row>
    <row r="11250" spans="1:3">
      <c r="A11250" s="250">
        <v>28007</v>
      </c>
      <c r="B11250" s="74" t="s">
        <v>7287</v>
      </c>
      <c r="C11250" s="74" t="s">
        <v>444</v>
      </c>
    </row>
    <row r="11251" spans="1:3">
      <c r="A11251" s="250">
        <v>28009</v>
      </c>
      <c r="B11251" s="74" t="s">
        <v>7288</v>
      </c>
      <c r="C11251" s="74" t="s">
        <v>444</v>
      </c>
    </row>
    <row r="11252" spans="1:3">
      <c r="A11252" s="250">
        <v>28010</v>
      </c>
      <c r="B11252" s="74" t="s">
        <v>7289</v>
      </c>
      <c r="C11252" s="74" t="s">
        <v>444</v>
      </c>
    </row>
    <row r="11253" spans="1:3">
      <c r="A11253" s="250">
        <v>28012</v>
      </c>
      <c r="B11253" s="74" t="s">
        <v>986</v>
      </c>
      <c r="C11253" s="74" t="s">
        <v>444</v>
      </c>
    </row>
    <row r="11254" spans="1:3">
      <c r="A11254" s="250">
        <v>28016</v>
      </c>
      <c r="B11254" s="74" t="s">
        <v>7290</v>
      </c>
      <c r="C11254" s="74" t="s">
        <v>444</v>
      </c>
    </row>
    <row r="11255" spans="1:3">
      <c r="A11255" s="250">
        <v>28017</v>
      </c>
      <c r="B11255" s="74" t="s">
        <v>4692</v>
      </c>
      <c r="C11255" s="74" t="s">
        <v>444</v>
      </c>
    </row>
    <row r="11256" spans="1:3">
      <c r="A11256" s="250">
        <v>28018</v>
      </c>
      <c r="B11256" s="74" t="s">
        <v>7291</v>
      </c>
      <c r="C11256" s="74" t="s">
        <v>444</v>
      </c>
    </row>
    <row r="11257" spans="1:3">
      <c r="A11257" s="250">
        <v>28019</v>
      </c>
      <c r="B11257" s="74" t="s">
        <v>7292</v>
      </c>
      <c r="C11257" s="74" t="s">
        <v>444</v>
      </c>
    </row>
    <row r="11258" spans="1:3">
      <c r="A11258" s="250">
        <v>28020</v>
      </c>
      <c r="B11258" s="74" t="s">
        <v>7293</v>
      </c>
      <c r="C11258" s="74" t="s">
        <v>444</v>
      </c>
    </row>
    <row r="11259" spans="1:3">
      <c r="A11259" s="250">
        <v>28021</v>
      </c>
      <c r="B11259" s="74" t="s">
        <v>5035</v>
      </c>
      <c r="C11259" s="74" t="s">
        <v>444</v>
      </c>
    </row>
    <row r="11260" spans="1:3">
      <c r="A11260" s="250">
        <v>28023</v>
      </c>
      <c r="B11260" s="74" t="s">
        <v>7294</v>
      </c>
      <c r="C11260" s="74" t="s">
        <v>444</v>
      </c>
    </row>
    <row r="11261" spans="1:3">
      <c r="A11261" s="250">
        <v>28024</v>
      </c>
      <c r="B11261" s="74" t="s">
        <v>7295</v>
      </c>
      <c r="C11261" s="74" t="s">
        <v>444</v>
      </c>
    </row>
    <row r="11262" spans="1:3">
      <c r="A11262" s="250">
        <v>28025</v>
      </c>
      <c r="B11262" s="74" t="s">
        <v>787</v>
      </c>
      <c r="C11262" s="74" t="s">
        <v>444</v>
      </c>
    </row>
    <row r="11263" spans="1:3">
      <c r="A11263" s="250">
        <v>28026</v>
      </c>
      <c r="B11263" s="74" t="s">
        <v>787</v>
      </c>
      <c r="C11263" s="74" t="s">
        <v>444</v>
      </c>
    </row>
    <row r="11264" spans="1:3">
      <c r="A11264" s="250">
        <v>28027</v>
      </c>
      <c r="B11264" s="74" t="s">
        <v>787</v>
      </c>
      <c r="C11264" s="74" t="s">
        <v>444</v>
      </c>
    </row>
    <row r="11265" spans="1:3">
      <c r="A11265" s="250">
        <v>28031</v>
      </c>
      <c r="B11265" s="74" t="s">
        <v>7296</v>
      </c>
      <c r="C11265" s="74" t="s">
        <v>444</v>
      </c>
    </row>
    <row r="11266" spans="1:3">
      <c r="A11266" s="250">
        <v>28032</v>
      </c>
      <c r="B11266" s="74" t="s">
        <v>7297</v>
      </c>
      <c r="C11266" s="74" t="s">
        <v>444</v>
      </c>
    </row>
    <row r="11267" spans="1:3">
      <c r="A11267" s="250">
        <v>28033</v>
      </c>
      <c r="B11267" s="74" t="s">
        <v>7298</v>
      </c>
      <c r="C11267" s="74" t="s">
        <v>444</v>
      </c>
    </row>
    <row r="11268" spans="1:3">
      <c r="A11268" s="250">
        <v>28034</v>
      </c>
      <c r="B11268" s="74" t="s">
        <v>5199</v>
      </c>
      <c r="C11268" s="74" t="s">
        <v>444</v>
      </c>
    </row>
    <row r="11269" spans="1:3">
      <c r="A11269" s="250">
        <v>28035</v>
      </c>
      <c r="B11269" s="74" t="s">
        <v>7299</v>
      </c>
      <c r="C11269" s="74" t="s">
        <v>444</v>
      </c>
    </row>
    <row r="11270" spans="1:3">
      <c r="A11270" s="250">
        <v>28036</v>
      </c>
      <c r="B11270" s="74" t="s">
        <v>7299</v>
      </c>
      <c r="C11270" s="74" t="s">
        <v>444</v>
      </c>
    </row>
    <row r="11271" spans="1:3">
      <c r="A11271" s="250">
        <v>28037</v>
      </c>
      <c r="B11271" s="74" t="s">
        <v>3040</v>
      </c>
      <c r="C11271" s="74" t="s">
        <v>444</v>
      </c>
    </row>
    <row r="11272" spans="1:3">
      <c r="A11272" s="250">
        <v>28038</v>
      </c>
      <c r="B11272" s="74" t="s">
        <v>7300</v>
      </c>
      <c r="C11272" s="74" t="s">
        <v>444</v>
      </c>
    </row>
    <row r="11273" spans="1:3">
      <c r="A11273" s="250">
        <v>28039</v>
      </c>
      <c r="B11273" s="74" t="s">
        <v>7301</v>
      </c>
      <c r="C11273" s="74" t="s">
        <v>444</v>
      </c>
    </row>
    <row r="11274" spans="1:3">
      <c r="A11274" s="250">
        <v>28040</v>
      </c>
      <c r="B11274" s="74" t="s">
        <v>6936</v>
      </c>
      <c r="C11274" s="74" t="s">
        <v>444</v>
      </c>
    </row>
    <row r="11275" spans="1:3">
      <c r="A11275" s="250">
        <v>28041</v>
      </c>
      <c r="B11275" s="74" t="s">
        <v>7302</v>
      </c>
      <c r="C11275" s="74" t="s">
        <v>444</v>
      </c>
    </row>
    <row r="11276" spans="1:3">
      <c r="A11276" s="250">
        <v>28042</v>
      </c>
      <c r="B11276" s="74" t="s">
        <v>5664</v>
      </c>
      <c r="C11276" s="74" t="s">
        <v>444</v>
      </c>
    </row>
    <row r="11277" spans="1:3">
      <c r="A11277" s="250">
        <v>28043</v>
      </c>
      <c r="B11277" s="74" t="s">
        <v>5158</v>
      </c>
      <c r="C11277" s="74" t="s">
        <v>444</v>
      </c>
    </row>
    <row r="11278" spans="1:3">
      <c r="A11278" s="250">
        <v>28052</v>
      </c>
      <c r="B11278" s="74" t="s">
        <v>7303</v>
      </c>
      <c r="C11278" s="74" t="s">
        <v>444</v>
      </c>
    </row>
    <row r="11279" spans="1:3">
      <c r="A11279" s="250">
        <v>28053</v>
      </c>
      <c r="B11279" s="74" t="s">
        <v>7303</v>
      </c>
      <c r="C11279" s="74" t="s">
        <v>444</v>
      </c>
    </row>
    <row r="11280" spans="1:3">
      <c r="A11280" s="250">
        <v>28054</v>
      </c>
      <c r="B11280" s="74" t="s">
        <v>7303</v>
      </c>
      <c r="C11280" s="74" t="s">
        <v>444</v>
      </c>
    </row>
    <row r="11281" spans="1:3">
      <c r="A11281" s="250">
        <v>28055</v>
      </c>
      <c r="B11281" s="74" t="s">
        <v>7303</v>
      </c>
      <c r="C11281" s="74" t="s">
        <v>444</v>
      </c>
    </row>
    <row r="11282" spans="1:3">
      <c r="A11282" s="250">
        <v>28056</v>
      </c>
      <c r="B11282" s="74" t="s">
        <v>7303</v>
      </c>
      <c r="C11282" s="74" t="s">
        <v>444</v>
      </c>
    </row>
    <row r="11283" spans="1:3">
      <c r="A11283" s="250">
        <v>28070</v>
      </c>
      <c r="B11283" s="74" t="s">
        <v>7304</v>
      </c>
      <c r="C11283" s="74" t="s">
        <v>444</v>
      </c>
    </row>
    <row r="11284" spans="1:3">
      <c r="A11284" s="250">
        <v>28071</v>
      </c>
      <c r="B11284" s="74" t="s">
        <v>7305</v>
      </c>
      <c r="C11284" s="74" t="s">
        <v>444</v>
      </c>
    </row>
    <row r="11285" spans="1:3">
      <c r="A11285" s="250">
        <v>28072</v>
      </c>
      <c r="B11285" s="74" t="s">
        <v>7306</v>
      </c>
      <c r="C11285" s="74" t="s">
        <v>444</v>
      </c>
    </row>
    <row r="11286" spans="1:3">
      <c r="A11286" s="250">
        <v>28073</v>
      </c>
      <c r="B11286" s="74" t="s">
        <v>4907</v>
      </c>
      <c r="C11286" s="74" t="s">
        <v>444</v>
      </c>
    </row>
    <row r="11287" spans="1:3">
      <c r="A11287" s="250">
        <v>28074</v>
      </c>
      <c r="B11287" s="74" t="s">
        <v>3179</v>
      </c>
      <c r="C11287" s="74" t="s">
        <v>444</v>
      </c>
    </row>
    <row r="11288" spans="1:3">
      <c r="A11288" s="250">
        <v>28075</v>
      </c>
      <c r="B11288" s="74" t="s">
        <v>4757</v>
      </c>
      <c r="C11288" s="74" t="s">
        <v>444</v>
      </c>
    </row>
    <row r="11289" spans="1:3">
      <c r="A11289" s="250">
        <v>28076</v>
      </c>
      <c r="B11289" s="74" t="s">
        <v>3780</v>
      </c>
      <c r="C11289" s="74" t="s">
        <v>444</v>
      </c>
    </row>
    <row r="11290" spans="1:3">
      <c r="A11290" s="250">
        <v>28077</v>
      </c>
      <c r="B11290" s="74" t="s">
        <v>7307</v>
      </c>
      <c r="C11290" s="74" t="s">
        <v>444</v>
      </c>
    </row>
    <row r="11291" spans="1:3">
      <c r="A11291" s="250">
        <v>28078</v>
      </c>
      <c r="B11291" s="74" t="s">
        <v>7304</v>
      </c>
      <c r="C11291" s="74" t="s">
        <v>444</v>
      </c>
    </row>
    <row r="11292" spans="1:3">
      <c r="A11292" s="250">
        <v>28079</v>
      </c>
      <c r="B11292" s="74" t="s">
        <v>7308</v>
      </c>
      <c r="C11292" s="74" t="s">
        <v>444</v>
      </c>
    </row>
    <row r="11293" spans="1:3">
      <c r="A11293" s="250">
        <v>28080</v>
      </c>
      <c r="B11293" s="74" t="s">
        <v>7309</v>
      </c>
      <c r="C11293" s="74" t="s">
        <v>444</v>
      </c>
    </row>
    <row r="11294" spans="1:3">
      <c r="A11294" s="250">
        <v>28081</v>
      </c>
      <c r="B11294" s="74" t="s">
        <v>7310</v>
      </c>
      <c r="C11294" s="74" t="s">
        <v>444</v>
      </c>
    </row>
    <row r="11295" spans="1:3">
      <c r="A11295" s="250">
        <v>28082</v>
      </c>
      <c r="B11295" s="74" t="s">
        <v>7310</v>
      </c>
      <c r="C11295" s="74" t="s">
        <v>444</v>
      </c>
    </row>
    <row r="11296" spans="1:3">
      <c r="A11296" s="250">
        <v>28083</v>
      </c>
      <c r="B11296" s="74" t="s">
        <v>7310</v>
      </c>
      <c r="C11296" s="74" t="s">
        <v>444</v>
      </c>
    </row>
    <row r="11297" spans="1:3">
      <c r="A11297" s="250">
        <v>28086</v>
      </c>
      <c r="B11297" s="74" t="s">
        <v>7311</v>
      </c>
      <c r="C11297" s="74" t="s">
        <v>444</v>
      </c>
    </row>
    <row r="11298" spans="1:3">
      <c r="A11298" s="250">
        <v>28088</v>
      </c>
      <c r="B11298" s="74" t="s">
        <v>7312</v>
      </c>
      <c r="C11298" s="74" t="s">
        <v>444</v>
      </c>
    </row>
    <row r="11299" spans="1:3">
      <c r="A11299" s="250">
        <v>28089</v>
      </c>
      <c r="B11299" s="74" t="s">
        <v>7313</v>
      </c>
      <c r="C11299" s="74" t="s">
        <v>444</v>
      </c>
    </row>
    <row r="11300" spans="1:3">
      <c r="A11300" s="250">
        <v>28090</v>
      </c>
      <c r="B11300" s="74" t="s">
        <v>7314</v>
      </c>
      <c r="C11300" s="74" t="s">
        <v>444</v>
      </c>
    </row>
    <row r="11301" spans="1:3">
      <c r="A11301" s="250">
        <v>28091</v>
      </c>
      <c r="B11301" s="74" t="s">
        <v>7315</v>
      </c>
      <c r="C11301" s="74" t="s">
        <v>444</v>
      </c>
    </row>
    <row r="11302" spans="1:3">
      <c r="A11302" s="250">
        <v>28092</v>
      </c>
      <c r="B11302" s="74" t="s">
        <v>7316</v>
      </c>
      <c r="C11302" s="74" t="s">
        <v>444</v>
      </c>
    </row>
    <row r="11303" spans="1:3">
      <c r="A11303" s="250">
        <v>28093</v>
      </c>
      <c r="B11303" s="74" t="s">
        <v>7316</v>
      </c>
      <c r="C11303" s="74" t="s">
        <v>444</v>
      </c>
    </row>
    <row r="11304" spans="1:3">
      <c r="A11304" s="250">
        <v>28097</v>
      </c>
      <c r="B11304" s="74" t="s">
        <v>7317</v>
      </c>
      <c r="C11304" s="74" t="s">
        <v>444</v>
      </c>
    </row>
    <row r="11305" spans="1:3">
      <c r="A11305" s="250">
        <v>28098</v>
      </c>
      <c r="B11305" s="74" t="s">
        <v>818</v>
      </c>
      <c r="C11305" s="74" t="s">
        <v>444</v>
      </c>
    </row>
    <row r="11306" spans="1:3">
      <c r="A11306" s="250">
        <v>28101</v>
      </c>
      <c r="B11306" s="74" t="s">
        <v>7318</v>
      </c>
      <c r="C11306" s="74" t="s">
        <v>444</v>
      </c>
    </row>
    <row r="11307" spans="1:3">
      <c r="A11307" s="250">
        <v>28102</v>
      </c>
      <c r="B11307" s="74" t="s">
        <v>7319</v>
      </c>
      <c r="C11307" s="74" t="s">
        <v>444</v>
      </c>
    </row>
    <row r="11308" spans="1:3">
      <c r="A11308" s="250">
        <v>28103</v>
      </c>
      <c r="B11308" s="74" t="s">
        <v>7320</v>
      </c>
      <c r="C11308" s="74" t="s">
        <v>444</v>
      </c>
    </row>
    <row r="11309" spans="1:3">
      <c r="A11309" s="250">
        <v>28104</v>
      </c>
      <c r="B11309" s="74" t="s">
        <v>7321</v>
      </c>
      <c r="C11309" s="74" t="s">
        <v>444</v>
      </c>
    </row>
    <row r="11310" spans="1:3">
      <c r="A11310" s="250">
        <v>28105</v>
      </c>
      <c r="B11310" s="74" t="s">
        <v>7321</v>
      </c>
      <c r="C11310" s="74" t="s">
        <v>444</v>
      </c>
    </row>
    <row r="11311" spans="1:3">
      <c r="A11311" s="250">
        <v>28106</v>
      </c>
      <c r="B11311" s="74" t="s">
        <v>7321</v>
      </c>
      <c r="C11311" s="74" t="s">
        <v>444</v>
      </c>
    </row>
    <row r="11312" spans="1:3">
      <c r="A11312" s="250">
        <v>28107</v>
      </c>
      <c r="B11312" s="74" t="s">
        <v>3994</v>
      </c>
      <c r="C11312" s="74" t="s">
        <v>444</v>
      </c>
    </row>
    <row r="11313" spans="1:3">
      <c r="A11313" s="250">
        <v>28108</v>
      </c>
      <c r="B11313" s="74" t="s">
        <v>4639</v>
      </c>
      <c r="C11313" s="74" t="s">
        <v>444</v>
      </c>
    </row>
    <row r="11314" spans="1:3">
      <c r="A11314" s="250">
        <v>28109</v>
      </c>
      <c r="B11314" s="74" t="s">
        <v>7322</v>
      </c>
      <c r="C11314" s="74" t="s">
        <v>444</v>
      </c>
    </row>
    <row r="11315" spans="1:3">
      <c r="A11315" s="250">
        <v>28110</v>
      </c>
      <c r="B11315" s="74" t="s">
        <v>1284</v>
      </c>
      <c r="C11315" s="74" t="s">
        <v>444</v>
      </c>
    </row>
    <row r="11316" spans="1:3">
      <c r="A11316" s="250">
        <v>28111</v>
      </c>
      <c r="B11316" s="74" t="s">
        <v>1284</v>
      </c>
      <c r="C11316" s="74" t="s">
        <v>444</v>
      </c>
    </row>
    <row r="11317" spans="1:3">
      <c r="A11317" s="250">
        <v>28112</v>
      </c>
      <c r="B11317" s="74" t="s">
        <v>1284</v>
      </c>
      <c r="C11317" s="74" t="s">
        <v>444</v>
      </c>
    </row>
    <row r="11318" spans="1:3">
      <c r="A11318" s="250">
        <v>28114</v>
      </c>
      <c r="B11318" s="74" t="s">
        <v>7323</v>
      </c>
      <c r="C11318" s="74" t="s">
        <v>444</v>
      </c>
    </row>
    <row r="11319" spans="1:3">
      <c r="A11319" s="250">
        <v>28115</v>
      </c>
      <c r="B11319" s="74" t="s">
        <v>7324</v>
      </c>
      <c r="C11319" s="74" t="s">
        <v>444</v>
      </c>
    </row>
    <row r="11320" spans="1:3">
      <c r="A11320" s="250">
        <v>28117</v>
      </c>
      <c r="B11320" s="74" t="s">
        <v>7324</v>
      </c>
      <c r="C11320" s="74" t="s">
        <v>444</v>
      </c>
    </row>
    <row r="11321" spans="1:3">
      <c r="A11321" s="250">
        <v>28119</v>
      </c>
      <c r="B11321" s="74" t="s">
        <v>7325</v>
      </c>
      <c r="C11321" s="74" t="s">
        <v>444</v>
      </c>
    </row>
    <row r="11322" spans="1:3">
      <c r="A11322" s="250">
        <v>28120</v>
      </c>
      <c r="B11322" s="74" t="s">
        <v>1881</v>
      </c>
      <c r="C11322" s="74" t="s">
        <v>444</v>
      </c>
    </row>
    <row r="11323" spans="1:3">
      <c r="A11323" s="250">
        <v>28123</v>
      </c>
      <c r="B11323" s="74" t="s">
        <v>7326</v>
      </c>
      <c r="C11323" s="74" t="s">
        <v>444</v>
      </c>
    </row>
    <row r="11324" spans="1:3">
      <c r="A11324" s="250">
        <v>28124</v>
      </c>
      <c r="B11324" s="74" t="s">
        <v>4226</v>
      </c>
      <c r="C11324" s="74" t="s">
        <v>444</v>
      </c>
    </row>
    <row r="11325" spans="1:3">
      <c r="A11325" s="250">
        <v>28125</v>
      </c>
      <c r="B11325" s="74" t="s">
        <v>7327</v>
      </c>
      <c r="C11325" s="74" t="s">
        <v>444</v>
      </c>
    </row>
    <row r="11326" spans="1:3">
      <c r="A11326" s="250">
        <v>28126</v>
      </c>
      <c r="B11326" s="74" t="s">
        <v>4134</v>
      </c>
      <c r="C11326" s="74" t="s">
        <v>444</v>
      </c>
    </row>
    <row r="11327" spans="1:3">
      <c r="A11327" s="250">
        <v>28127</v>
      </c>
      <c r="B11327" s="74" t="s">
        <v>1201</v>
      </c>
      <c r="C11327" s="74" t="s">
        <v>444</v>
      </c>
    </row>
    <row r="11328" spans="1:3">
      <c r="A11328" s="250">
        <v>28128</v>
      </c>
      <c r="B11328" s="74" t="s">
        <v>890</v>
      </c>
      <c r="C11328" s="74" t="s">
        <v>444</v>
      </c>
    </row>
    <row r="11329" spans="1:3">
      <c r="A11329" s="250">
        <v>28129</v>
      </c>
      <c r="B11329" s="74" t="s">
        <v>7328</v>
      </c>
      <c r="C11329" s="74" t="s">
        <v>444</v>
      </c>
    </row>
    <row r="11330" spans="1:3">
      <c r="A11330" s="250">
        <v>28130</v>
      </c>
      <c r="B11330" s="74" t="s">
        <v>7329</v>
      </c>
      <c r="C11330" s="74" t="s">
        <v>444</v>
      </c>
    </row>
    <row r="11331" spans="1:3">
      <c r="A11331" s="250">
        <v>28133</v>
      </c>
      <c r="B11331" s="74" t="s">
        <v>7330</v>
      </c>
      <c r="C11331" s="74" t="s">
        <v>444</v>
      </c>
    </row>
    <row r="11332" spans="1:3">
      <c r="A11332" s="250">
        <v>28134</v>
      </c>
      <c r="B11332" s="74" t="s">
        <v>5286</v>
      </c>
      <c r="C11332" s="74" t="s">
        <v>444</v>
      </c>
    </row>
    <row r="11333" spans="1:3">
      <c r="A11333" s="250">
        <v>28135</v>
      </c>
      <c r="B11333" s="74" t="s">
        <v>7331</v>
      </c>
      <c r="C11333" s="74" t="s">
        <v>444</v>
      </c>
    </row>
    <row r="11334" spans="1:3">
      <c r="A11334" s="250">
        <v>28136</v>
      </c>
      <c r="B11334" s="74" t="s">
        <v>7332</v>
      </c>
      <c r="C11334" s="74" t="s">
        <v>444</v>
      </c>
    </row>
    <row r="11335" spans="1:3">
      <c r="A11335" s="250">
        <v>28137</v>
      </c>
      <c r="B11335" s="74" t="s">
        <v>4750</v>
      </c>
      <c r="C11335" s="74" t="s">
        <v>444</v>
      </c>
    </row>
    <row r="11336" spans="1:3">
      <c r="A11336" s="250">
        <v>28138</v>
      </c>
      <c r="B11336" s="74" t="s">
        <v>7333</v>
      </c>
      <c r="C11336" s="74" t="s">
        <v>444</v>
      </c>
    </row>
    <row r="11337" spans="1:3">
      <c r="A11337" s="250">
        <v>28139</v>
      </c>
      <c r="B11337" s="74" t="s">
        <v>7334</v>
      </c>
      <c r="C11337" s="74" t="s">
        <v>444</v>
      </c>
    </row>
    <row r="11338" spans="1:3">
      <c r="A11338" s="250">
        <v>28144</v>
      </c>
      <c r="B11338" s="74" t="s">
        <v>853</v>
      </c>
      <c r="C11338" s="74" t="s">
        <v>444</v>
      </c>
    </row>
    <row r="11339" spans="1:3">
      <c r="A11339" s="250">
        <v>28145</v>
      </c>
      <c r="B11339" s="74" t="s">
        <v>853</v>
      </c>
      <c r="C11339" s="74" t="s">
        <v>444</v>
      </c>
    </row>
    <row r="11340" spans="1:3">
      <c r="A11340" s="250">
        <v>28146</v>
      </c>
      <c r="B11340" s="74" t="s">
        <v>853</v>
      </c>
      <c r="C11340" s="74" t="s">
        <v>444</v>
      </c>
    </row>
    <row r="11341" spans="1:3">
      <c r="A11341" s="250">
        <v>28147</v>
      </c>
      <c r="B11341" s="74" t="s">
        <v>853</v>
      </c>
      <c r="C11341" s="74" t="s">
        <v>444</v>
      </c>
    </row>
    <row r="11342" spans="1:3">
      <c r="A11342" s="250">
        <v>28150</v>
      </c>
      <c r="B11342" s="74" t="s">
        <v>7335</v>
      </c>
      <c r="C11342" s="74" t="s">
        <v>444</v>
      </c>
    </row>
    <row r="11343" spans="1:3">
      <c r="A11343" s="250">
        <v>28151</v>
      </c>
      <c r="B11343" s="74" t="s">
        <v>7335</v>
      </c>
      <c r="C11343" s="74" t="s">
        <v>444</v>
      </c>
    </row>
    <row r="11344" spans="1:3">
      <c r="A11344" s="250">
        <v>28152</v>
      </c>
      <c r="B11344" s="74" t="s">
        <v>7335</v>
      </c>
      <c r="C11344" s="74" t="s">
        <v>444</v>
      </c>
    </row>
    <row r="11345" spans="1:3">
      <c r="A11345" s="250">
        <v>28159</v>
      </c>
      <c r="B11345" s="74" t="s">
        <v>762</v>
      </c>
      <c r="C11345" s="74" t="s">
        <v>444</v>
      </c>
    </row>
    <row r="11346" spans="1:3">
      <c r="A11346" s="250">
        <v>28160</v>
      </c>
      <c r="B11346" s="74" t="s">
        <v>7336</v>
      </c>
      <c r="C11346" s="74" t="s">
        <v>444</v>
      </c>
    </row>
    <row r="11347" spans="1:3">
      <c r="A11347" s="250">
        <v>28163</v>
      </c>
      <c r="B11347" s="74" t="s">
        <v>7337</v>
      </c>
      <c r="C11347" s="74" t="s">
        <v>444</v>
      </c>
    </row>
    <row r="11348" spans="1:3">
      <c r="A11348" s="250">
        <v>28164</v>
      </c>
      <c r="B11348" s="74" t="s">
        <v>3830</v>
      </c>
      <c r="C11348" s="74" t="s">
        <v>444</v>
      </c>
    </row>
    <row r="11349" spans="1:3">
      <c r="A11349" s="250">
        <v>28166</v>
      </c>
      <c r="B11349" s="74" t="s">
        <v>7338</v>
      </c>
      <c r="C11349" s="74" t="s">
        <v>444</v>
      </c>
    </row>
    <row r="11350" spans="1:3">
      <c r="A11350" s="250">
        <v>28167</v>
      </c>
      <c r="B11350" s="74" t="s">
        <v>7339</v>
      </c>
      <c r="C11350" s="74" t="s">
        <v>444</v>
      </c>
    </row>
    <row r="11351" spans="1:3">
      <c r="A11351" s="250">
        <v>28168</v>
      </c>
      <c r="B11351" s="74" t="s">
        <v>7340</v>
      </c>
      <c r="C11351" s="74" t="s">
        <v>444</v>
      </c>
    </row>
    <row r="11352" spans="1:3">
      <c r="A11352" s="250">
        <v>28169</v>
      </c>
      <c r="B11352" s="74" t="s">
        <v>7341</v>
      </c>
      <c r="C11352" s="74" t="s">
        <v>444</v>
      </c>
    </row>
    <row r="11353" spans="1:3">
      <c r="A11353" s="250">
        <v>28170</v>
      </c>
      <c r="B11353" s="74" t="s">
        <v>7342</v>
      </c>
      <c r="C11353" s="74" t="s">
        <v>444</v>
      </c>
    </row>
    <row r="11354" spans="1:3">
      <c r="A11354" s="250">
        <v>28173</v>
      </c>
      <c r="B11354" s="74" t="s">
        <v>7343</v>
      </c>
      <c r="C11354" s="74" t="s">
        <v>444</v>
      </c>
    </row>
    <row r="11355" spans="1:3">
      <c r="A11355" s="250">
        <v>28174</v>
      </c>
      <c r="B11355" s="74" t="s">
        <v>5782</v>
      </c>
      <c r="C11355" s="74" t="s">
        <v>444</v>
      </c>
    </row>
    <row r="11356" spans="1:3">
      <c r="A11356" s="250">
        <v>28201</v>
      </c>
      <c r="B11356" s="74" t="s">
        <v>1806</v>
      </c>
      <c r="C11356" s="74" t="s">
        <v>444</v>
      </c>
    </row>
    <row r="11357" spans="1:3">
      <c r="A11357" s="250">
        <v>28202</v>
      </c>
      <c r="B11357" s="74" t="s">
        <v>1806</v>
      </c>
      <c r="C11357" s="74" t="s">
        <v>444</v>
      </c>
    </row>
    <row r="11358" spans="1:3">
      <c r="A11358" s="250">
        <v>28203</v>
      </c>
      <c r="B11358" s="74" t="s">
        <v>1806</v>
      </c>
      <c r="C11358" s="74" t="s">
        <v>444</v>
      </c>
    </row>
    <row r="11359" spans="1:3">
      <c r="A11359" s="250">
        <v>28204</v>
      </c>
      <c r="B11359" s="74" t="s">
        <v>1806</v>
      </c>
      <c r="C11359" s="74" t="s">
        <v>444</v>
      </c>
    </row>
    <row r="11360" spans="1:3">
      <c r="A11360" s="250">
        <v>28205</v>
      </c>
      <c r="B11360" s="74" t="s">
        <v>1806</v>
      </c>
      <c r="C11360" s="74" t="s">
        <v>444</v>
      </c>
    </row>
    <row r="11361" spans="1:3">
      <c r="A11361" s="250">
        <v>28206</v>
      </c>
      <c r="B11361" s="74" t="s">
        <v>1806</v>
      </c>
      <c r="C11361" s="74" t="s">
        <v>444</v>
      </c>
    </row>
    <row r="11362" spans="1:3">
      <c r="A11362" s="250">
        <v>28207</v>
      </c>
      <c r="B11362" s="74" t="s">
        <v>1806</v>
      </c>
      <c r="C11362" s="74" t="s">
        <v>444</v>
      </c>
    </row>
    <row r="11363" spans="1:3">
      <c r="A11363" s="250">
        <v>28208</v>
      </c>
      <c r="B11363" s="74" t="s">
        <v>1806</v>
      </c>
      <c r="C11363" s="74" t="s">
        <v>444</v>
      </c>
    </row>
    <row r="11364" spans="1:3">
      <c r="A11364" s="250">
        <v>28209</v>
      </c>
      <c r="B11364" s="74" t="s">
        <v>1806</v>
      </c>
      <c r="C11364" s="74" t="s">
        <v>444</v>
      </c>
    </row>
    <row r="11365" spans="1:3">
      <c r="A11365" s="250">
        <v>28210</v>
      </c>
      <c r="B11365" s="74" t="s">
        <v>1806</v>
      </c>
      <c r="C11365" s="74" t="s">
        <v>444</v>
      </c>
    </row>
    <row r="11366" spans="1:3">
      <c r="A11366" s="250">
        <v>28211</v>
      </c>
      <c r="B11366" s="74" t="s">
        <v>1806</v>
      </c>
      <c r="C11366" s="74" t="s">
        <v>444</v>
      </c>
    </row>
    <row r="11367" spans="1:3">
      <c r="A11367" s="250">
        <v>28212</v>
      </c>
      <c r="B11367" s="74" t="s">
        <v>1806</v>
      </c>
      <c r="C11367" s="74" t="s">
        <v>444</v>
      </c>
    </row>
    <row r="11368" spans="1:3">
      <c r="A11368" s="250">
        <v>28213</v>
      </c>
      <c r="B11368" s="74" t="s">
        <v>1806</v>
      </c>
      <c r="C11368" s="74" t="s">
        <v>444</v>
      </c>
    </row>
    <row r="11369" spans="1:3">
      <c r="A11369" s="250">
        <v>28214</v>
      </c>
      <c r="B11369" s="74" t="s">
        <v>1806</v>
      </c>
      <c r="C11369" s="74" t="s">
        <v>444</v>
      </c>
    </row>
    <row r="11370" spans="1:3">
      <c r="A11370" s="250">
        <v>28215</v>
      </c>
      <c r="B11370" s="74" t="s">
        <v>1806</v>
      </c>
      <c r="C11370" s="74" t="s">
        <v>444</v>
      </c>
    </row>
    <row r="11371" spans="1:3">
      <c r="A11371" s="250">
        <v>28216</v>
      </c>
      <c r="B11371" s="74" t="s">
        <v>1806</v>
      </c>
      <c r="C11371" s="74" t="s">
        <v>444</v>
      </c>
    </row>
    <row r="11372" spans="1:3">
      <c r="A11372" s="250">
        <v>28217</v>
      </c>
      <c r="B11372" s="74" t="s">
        <v>1806</v>
      </c>
      <c r="C11372" s="74" t="s">
        <v>444</v>
      </c>
    </row>
    <row r="11373" spans="1:3">
      <c r="A11373" s="250">
        <v>28218</v>
      </c>
      <c r="B11373" s="74" t="s">
        <v>1806</v>
      </c>
      <c r="C11373" s="74" t="s">
        <v>444</v>
      </c>
    </row>
    <row r="11374" spans="1:3">
      <c r="A11374" s="250">
        <v>28219</v>
      </c>
      <c r="B11374" s="74" t="s">
        <v>1806</v>
      </c>
      <c r="C11374" s="74" t="s">
        <v>444</v>
      </c>
    </row>
    <row r="11375" spans="1:3">
      <c r="A11375" s="250">
        <v>28220</v>
      </c>
      <c r="B11375" s="74" t="s">
        <v>1806</v>
      </c>
      <c r="C11375" s="74" t="s">
        <v>444</v>
      </c>
    </row>
    <row r="11376" spans="1:3">
      <c r="A11376" s="250">
        <v>28221</v>
      </c>
      <c r="B11376" s="74" t="s">
        <v>1806</v>
      </c>
      <c r="C11376" s="74" t="s">
        <v>444</v>
      </c>
    </row>
    <row r="11377" spans="1:3">
      <c r="A11377" s="250">
        <v>28222</v>
      </c>
      <c r="B11377" s="74" t="s">
        <v>1806</v>
      </c>
      <c r="C11377" s="74" t="s">
        <v>444</v>
      </c>
    </row>
    <row r="11378" spans="1:3">
      <c r="A11378" s="250">
        <v>28223</v>
      </c>
      <c r="B11378" s="74" t="s">
        <v>1806</v>
      </c>
      <c r="C11378" s="74" t="s">
        <v>444</v>
      </c>
    </row>
    <row r="11379" spans="1:3">
      <c r="A11379" s="250">
        <v>28224</v>
      </c>
      <c r="B11379" s="74" t="s">
        <v>1806</v>
      </c>
      <c r="C11379" s="74" t="s">
        <v>444</v>
      </c>
    </row>
    <row r="11380" spans="1:3">
      <c r="A11380" s="250">
        <v>28226</v>
      </c>
      <c r="B11380" s="74" t="s">
        <v>1806</v>
      </c>
      <c r="C11380" s="74" t="s">
        <v>444</v>
      </c>
    </row>
    <row r="11381" spans="1:3">
      <c r="A11381" s="250">
        <v>28227</v>
      </c>
      <c r="B11381" s="74" t="s">
        <v>1806</v>
      </c>
      <c r="C11381" s="74" t="s">
        <v>444</v>
      </c>
    </row>
    <row r="11382" spans="1:3">
      <c r="A11382" s="250">
        <v>28228</v>
      </c>
      <c r="B11382" s="74" t="s">
        <v>1806</v>
      </c>
      <c r="C11382" s="74" t="s">
        <v>444</v>
      </c>
    </row>
    <row r="11383" spans="1:3">
      <c r="A11383" s="250">
        <v>28229</v>
      </c>
      <c r="B11383" s="74" t="s">
        <v>1806</v>
      </c>
      <c r="C11383" s="74" t="s">
        <v>444</v>
      </c>
    </row>
    <row r="11384" spans="1:3">
      <c r="A11384" s="250">
        <v>28230</v>
      </c>
      <c r="B11384" s="74" t="s">
        <v>1806</v>
      </c>
      <c r="C11384" s="74" t="s">
        <v>444</v>
      </c>
    </row>
    <row r="11385" spans="1:3">
      <c r="A11385" s="250">
        <v>28231</v>
      </c>
      <c r="B11385" s="74" t="s">
        <v>1806</v>
      </c>
      <c r="C11385" s="74" t="s">
        <v>444</v>
      </c>
    </row>
    <row r="11386" spans="1:3">
      <c r="A11386" s="250">
        <v>28232</v>
      </c>
      <c r="B11386" s="74" t="s">
        <v>1806</v>
      </c>
      <c r="C11386" s="74" t="s">
        <v>444</v>
      </c>
    </row>
    <row r="11387" spans="1:3">
      <c r="A11387" s="250">
        <v>28233</v>
      </c>
      <c r="B11387" s="74" t="s">
        <v>1806</v>
      </c>
      <c r="C11387" s="74" t="s">
        <v>444</v>
      </c>
    </row>
    <row r="11388" spans="1:3">
      <c r="A11388" s="250">
        <v>28234</v>
      </c>
      <c r="B11388" s="74" t="s">
        <v>1806</v>
      </c>
      <c r="C11388" s="74" t="s">
        <v>444</v>
      </c>
    </row>
    <row r="11389" spans="1:3">
      <c r="A11389" s="250">
        <v>28235</v>
      </c>
      <c r="B11389" s="74" t="s">
        <v>1806</v>
      </c>
      <c r="C11389" s="74" t="s">
        <v>444</v>
      </c>
    </row>
    <row r="11390" spans="1:3">
      <c r="A11390" s="250">
        <v>28236</v>
      </c>
      <c r="B11390" s="74" t="s">
        <v>1806</v>
      </c>
      <c r="C11390" s="74" t="s">
        <v>444</v>
      </c>
    </row>
    <row r="11391" spans="1:3">
      <c r="A11391" s="250">
        <v>28237</v>
      </c>
      <c r="B11391" s="74" t="s">
        <v>1806</v>
      </c>
      <c r="C11391" s="74" t="s">
        <v>444</v>
      </c>
    </row>
    <row r="11392" spans="1:3">
      <c r="A11392" s="250">
        <v>28241</v>
      </c>
      <c r="B11392" s="74" t="s">
        <v>1806</v>
      </c>
      <c r="C11392" s="74" t="s">
        <v>444</v>
      </c>
    </row>
    <row r="11393" spans="1:3">
      <c r="A11393" s="250">
        <v>28242</v>
      </c>
      <c r="B11393" s="74" t="s">
        <v>1806</v>
      </c>
      <c r="C11393" s="74" t="s">
        <v>444</v>
      </c>
    </row>
    <row r="11394" spans="1:3">
      <c r="A11394" s="250">
        <v>28243</v>
      </c>
      <c r="B11394" s="74" t="s">
        <v>1806</v>
      </c>
      <c r="C11394" s="74" t="s">
        <v>444</v>
      </c>
    </row>
    <row r="11395" spans="1:3">
      <c r="A11395" s="250">
        <v>28244</v>
      </c>
      <c r="B11395" s="74" t="s">
        <v>1806</v>
      </c>
      <c r="C11395" s="74" t="s">
        <v>444</v>
      </c>
    </row>
    <row r="11396" spans="1:3">
      <c r="A11396" s="250">
        <v>28246</v>
      </c>
      <c r="B11396" s="74" t="s">
        <v>1806</v>
      </c>
      <c r="C11396" s="74" t="s">
        <v>444</v>
      </c>
    </row>
    <row r="11397" spans="1:3">
      <c r="A11397" s="250">
        <v>28247</v>
      </c>
      <c r="B11397" s="74" t="s">
        <v>1806</v>
      </c>
      <c r="C11397" s="74" t="s">
        <v>444</v>
      </c>
    </row>
    <row r="11398" spans="1:3">
      <c r="A11398" s="250">
        <v>28250</v>
      </c>
      <c r="B11398" s="74" t="s">
        <v>1806</v>
      </c>
      <c r="C11398" s="74" t="s">
        <v>444</v>
      </c>
    </row>
    <row r="11399" spans="1:3">
      <c r="A11399" s="250">
        <v>28253</v>
      </c>
      <c r="B11399" s="74" t="s">
        <v>1806</v>
      </c>
      <c r="C11399" s="74" t="s">
        <v>444</v>
      </c>
    </row>
    <row r="11400" spans="1:3">
      <c r="A11400" s="250">
        <v>28254</v>
      </c>
      <c r="B11400" s="74" t="s">
        <v>1806</v>
      </c>
      <c r="C11400" s="74" t="s">
        <v>444</v>
      </c>
    </row>
    <row r="11401" spans="1:3">
      <c r="A11401" s="250">
        <v>28255</v>
      </c>
      <c r="B11401" s="74" t="s">
        <v>1806</v>
      </c>
      <c r="C11401" s="74" t="s">
        <v>444</v>
      </c>
    </row>
    <row r="11402" spans="1:3">
      <c r="A11402" s="250">
        <v>28256</v>
      </c>
      <c r="B11402" s="74" t="s">
        <v>1806</v>
      </c>
      <c r="C11402" s="74" t="s">
        <v>444</v>
      </c>
    </row>
    <row r="11403" spans="1:3">
      <c r="A11403" s="250">
        <v>28258</v>
      </c>
      <c r="B11403" s="74" t="s">
        <v>1806</v>
      </c>
      <c r="C11403" s="74" t="s">
        <v>444</v>
      </c>
    </row>
    <row r="11404" spans="1:3">
      <c r="A11404" s="250">
        <v>28260</v>
      </c>
      <c r="B11404" s="74" t="s">
        <v>1806</v>
      </c>
      <c r="C11404" s="74" t="s">
        <v>444</v>
      </c>
    </row>
    <row r="11405" spans="1:3">
      <c r="A11405" s="250">
        <v>28262</v>
      </c>
      <c r="B11405" s="74" t="s">
        <v>1806</v>
      </c>
      <c r="C11405" s="74" t="s">
        <v>444</v>
      </c>
    </row>
    <row r="11406" spans="1:3">
      <c r="A11406" s="250">
        <v>28263</v>
      </c>
      <c r="B11406" s="74" t="s">
        <v>1806</v>
      </c>
      <c r="C11406" s="74" t="s">
        <v>444</v>
      </c>
    </row>
    <row r="11407" spans="1:3">
      <c r="A11407" s="250">
        <v>28265</v>
      </c>
      <c r="B11407" s="74" t="s">
        <v>1806</v>
      </c>
      <c r="C11407" s="74" t="s">
        <v>444</v>
      </c>
    </row>
    <row r="11408" spans="1:3">
      <c r="A11408" s="250">
        <v>28266</v>
      </c>
      <c r="B11408" s="74" t="s">
        <v>1806</v>
      </c>
      <c r="C11408" s="74" t="s">
        <v>444</v>
      </c>
    </row>
    <row r="11409" spans="1:3">
      <c r="A11409" s="250">
        <v>28269</v>
      </c>
      <c r="B11409" s="74" t="s">
        <v>1806</v>
      </c>
      <c r="C11409" s="74" t="s">
        <v>444</v>
      </c>
    </row>
    <row r="11410" spans="1:3">
      <c r="A11410" s="250">
        <v>28270</v>
      </c>
      <c r="B11410" s="74" t="s">
        <v>1806</v>
      </c>
      <c r="C11410" s="74" t="s">
        <v>444</v>
      </c>
    </row>
    <row r="11411" spans="1:3">
      <c r="A11411" s="250">
        <v>28271</v>
      </c>
      <c r="B11411" s="74" t="s">
        <v>1806</v>
      </c>
      <c r="C11411" s="74" t="s">
        <v>444</v>
      </c>
    </row>
    <row r="11412" spans="1:3">
      <c r="A11412" s="250">
        <v>28272</v>
      </c>
      <c r="B11412" s="74" t="s">
        <v>1806</v>
      </c>
      <c r="C11412" s="74" t="s">
        <v>444</v>
      </c>
    </row>
    <row r="11413" spans="1:3">
      <c r="A11413" s="250">
        <v>28273</v>
      </c>
      <c r="B11413" s="74" t="s">
        <v>1806</v>
      </c>
      <c r="C11413" s="74" t="s">
        <v>444</v>
      </c>
    </row>
    <row r="11414" spans="1:3">
      <c r="A11414" s="250">
        <v>28274</v>
      </c>
      <c r="B11414" s="74" t="s">
        <v>1806</v>
      </c>
      <c r="C11414" s="74" t="s">
        <v>444</v>
      </c>
    </row>
    <row r="11415" spans="1:3">
      <c r="A11415" s="250">
        <v>28275</v>
      </c>
      <c r="B11415" s="74" t="s">
        <v>1806</v>
      </c>
      <c r="C11415" s="74" t="s">
        <v>444</v>
      </c>
    </row>
    <row r="11416" spans="1:3">
      <c r="A11416" s="250">
        <v>28277</v>
      </c>
      <c r="B11416" s="74" t="s">
        <v>1806</v>
      </c>
      <c r="C11416" s="74" t="s">
        <v>444</v>
      </c>
    </row>
    <row r="11417" spans="1:3">
      <c r="A11417" s="250">
        <v>28278</v>
      </c>
      <c r="B11417" s="74" t="s">
        <v>1806</v>
      </c>
      <c r="C11417" s="74" t="s">
        <v>444</v>
      </c>
    </row>
    <row r="11418" spans="1:3">
      <c r="A11418" s="250">
        <v>28280</v>
      </c>
      <c r="B11418" s="74" t="s">
        <v>1806</v>
      </c>
      <c r="C11418" s="74" t="s">
        <v>444</v>
      </c>
    </row>
    <row r="11419" spans="1:3">
      <c r="A11419" s="250">
        <v>28281</v>
      </c>
      <c r="B11419" s="74" t="s">
        <v>1806</v>
      </c>
      <c r="C11419" s="74" t="s">
        <v>444</v>
      </c>
    </row>
    <row r="11420" spans="1:3">
      <c r="A11420" s="250">
        <v>28282</v>
      </c>
      <c r="B11420" s="74" t="s">
        <v>1806</v>
      </c>
      <c r="C11420" s="74" t="s">
        <v>444</v>
      </c>
    </row>
    <row r="11421" spans="1:3">
      <c r="A11421" s="250">
        <v>28284</v>
      </c>
      <c r="B11421" s="74" t="s">
        <v>1806</v>
      </c>
      <c r="C11421" s="74" t="s">
        <v>444</v>
      </c>
    </row>
    <row r="11422" spans="1:3">
      <c r="A11422" s="250">
        <v>28285</v>
      </c>
      <c r="B11422" s="74" t="s">
        <v>1806</v>
      </c>
      <c r="C11422" s="74" t="s">
        <v>444</v>
      </c>
    </row>
    <row r="11423" spans="1:3">
      <c r="A11423" s="250">
        <v>28287</v>
      </c>
      <c r="B11423" s="74" t="s">
        <v>1806</v>
      </c>
      <c r="C11423" s="74" t="s">
        <v>444</v>
      </c>
    </row>
    <row r="11424" spans="1:3">
      <c r="A11424" s="250">
        <v>28288</v>
      </c>
      <c r="B11424" s="74" t="s">
        <v>1806</v>
      </c>
      <c r="C11424" s="74" t="s">
        <v>444</v>
      </c>
    </row>
    <row r="11425" spans="1:3">
      <c r="A11425" s="250">
        <v>28289</v>
      </c>
      <c r="B11425" s="74" t="s">
        <v>1806</v>
      </c>
      <c r="C11425" s="74" t="s">
        <v>444</v>
      </c>
    </row>
    <row r="11426" spans="1:3">
      <c r="A11426" s="250">
        <v>28290</v>
      </c>
      <c r="B11426" s="74" t="s">
        <v>1806</v>
      </c>
      <c r="C11426" s="74" t="s">
        <v>444</v>
      </c>
    </row>
    <row r="11427" spans="1:3">
      <c r="A11427" s="250">
        <v>28296</v>
      </c>
      <c r="B11427" s="74" t="s">
        <v>1806</v>
      </c>
      <c r="C11427" s="74" t="s">
        <v>444</v>
      </c>
    </row>
    <row r="11428" spans="1:3">
      <c r="A11428" s="250">
        <v>28297</v>
      </c>
      <c r="B11428" s="74" t="s">
        <v>1806</v>
      </c>
      <c r="C11428" s="74" t="s">
        <v>444</v>
      </c>
    </row>
    <row r="11429" spans="1:3">
      <c r="A11429" s="250">
        <v>28299</v>
      </c>
      <c r="B11429" s="74" t="s">
        <v>1806</v>
      </c>
      <c r="C11429" s="74" t="s">
        <v>444</v>
      </c>
    </row>
    <row r="11430" spans="1:3">
      <c r="A11430" s="250">
        <v>28301</v>
      </c>
      <c r="B11430" s="74" t="s">
        <v>3363</v>
      </c>
      <c r="C11430" s="74" t="s">
        <v>444</v>
      </c>
    </row>
    <row r="11431" spans="1:3">
      <c r="A11431" s="250">
        <v>28302</v>
      </c>
      <c r="B11431" s="74" t="s">
        <v>3363</v>
      </c>
      <c r="C11431" s="74" t="s">
        <v>444</v>
      </c>
    </row>
    <row r="11432" spans="1:3">
      <c r="A11432" s="250">
        <v>28303</v>
      </c>
      <c r="B11432" s="74" t="s">
        <v>3363</v>
      </c>
      <c r="C11432" s="74" t="s">
        <v>444</v>
      </c>
    </row>
    <row r="11433" spans="1:3">
      <c r="A11433" s="250">
        <v>28304</v>
      </c>
      <c r="B11433" s="74" t="s">
        <v>3363</v>
      </c>
      <c r="C11433" s="74" t="s">
        <v>444</v>
      </c>
    </row>
    <row r="11434" spans="1:3">
      <c r="A11434" s="250">
        <v>28305</v>
      </c>
      <c r="B11434" s="74" t="s">
        <v>3363</v>
      </c>
      <c r="C11434" s="74" t="s">
        <v>444</v>
      </c>
    </row>
    <row r="11435" spans="1:3">
      <c r="A11435" s="250">
        <v>28306</v>
      </c>
      <c r="B11435" s="74" t="s">
        <v>3363</v>
      </c>
      <c r="C11435" s="74" t="s">
        <v>444</v>
      </c>
    </row>
    <row r="11436" spans="1:3">
      <c r="A11436" s="250">
        <v>28307</v>
      </c>
      <c r="B11436" s="74" t="s">
        <v>7344</v>
      </c>
      <c r="C11436" s="74" t="s">
        <v>444</v>
      </c>
    </row>
    <row r="11437" spans="1:3">
      <c r="A11437" s="250">
        <v>28308</v>
      </c>
      <c r="B11437" s="74" t="s">
        <v>7345</v>
      </c>
      <c r="C11437" s="74" t="s">
        <v>444</v>
      </c>
    </row>
    <row r="11438" spans="1:3">
      <c r="A11438" s="250">
        <v>28309</v>
      </c>
      <c r="B11438" s="74" t="s">
        <v>3363</v>
      </c>
      <c r="C11438" s="74" t="s">
        <v>444</v>
      </c>
    </row>
    <row r="11439" spans="1:3">
      <c r="A11439" s="250">
        <v>28310</v>
      </c>
      <c r="B11439" s="74" t="s">
        <v>7344</v>
      </c>
      <c r="C11439" s="74" t="s">
        <v>444</v>
      </c>
    </row>
    <row r="11440" spans="1:3">
      <c r="A11440" s="250">
        <v>28311</v>
      </c>
      <c r="B11440" s="74" t="s">
        <v>3363</v>
      </c>
      <c r="C11440" s="74" t="s">
        <v>444</v>
      </c>
    </row>
    <row r="11441" spans="1:3">
      <c r="A11441" s="250">
        <v>28312</v>
      </c>
      <c r="B11441" s="74" t="s">
        <v>3363</v>
      </c>
      <c r="C11441" s="74" t="s">
        <v>444</v>
      </c>
    </row>
    <row r="11442" spans="1:3">
      <c r="A11442" s="250">
        <v>28314</v>
      </c>
      <c r="B11442" s="74" t="s">
        <v>3363</v>
      </c>
      <c r="C11442" s="74" t="s">
        <v>444</v>
      </c>
    </row>
    <row r="11443" spans="1:3">
      <c r="A11443" s="250">
        <v>28315</v>
      </c>
      <c r="B11443" s="74" t="s">
        <v>5648</v>
      </c>
      <c r="C11443" s="74" t="s">
        <v>444</v>
      </c>
    </row>
    <row r="11444" spans="1:3">
      <c r="A11444" s="250">
        <v>28318</v>
      </c>
      <c r="B11444" s="74" t="s">
        <v>7346</v>
      </c>
      <c r="C11444" s="74" t="s">
        <v>444</v>
      </c>
    </row>
    <row r="11445" spans="1:3">
      <c r="A11445" s="250">
        <v>28319</v>
      </c>
      <c r="B11445" s="74" t="s">
        <v>5080</v>
      </c>
      <c r="C11445" s="74" t="s">
        <v>444</v>
      </c>
    </row>
    <row r="11446" spans="1:3">
      <c r="A11446" s="250">
        <v>28320</v>
      </c>
      <c r="B11446" s="74" t="s">
        <v>7347</v>
      </c>
      <c r="C11446" s="74" t="s">
        <v>444</v>
      </c>
    </row>
    <row r="11447" spans="1:3">
      <c r="A11447" s="250">
        <v>28323</v>
      </c>
      <c r="B11447" s="74" t="s">
        <v>7348</v>
      </c>
      <c r="C11447" s="74" t="s">
        <v>444</v>
      </c>
    </row>
    <row r="11448" spans="1:3">
      <c r="A11448" s="250">
        <v>28325</v>
      </c>
      <c r="B11448" s="74" t="s">
        <v>7349</v>
      </c>
      <c r="C11448" s="74" t="s">
        <v>444</v>
      </c>
    </row>
    <row r="11449" spans="1:3">
      <c r="A11449" s="250">
        <v>28326</v>
      </c>
      <c r="B11449" s="74" t="s">
        <v>3902</v>
      </c>
      <c r="C11449" s="74" t="s">
        <v>444</v>
      </c>
    </row>
    <row r="11450" spans="1:3">
      <c r="A11450" s="250">
        <v>28327</v>
      </c>
      <c r="B11450" s="74" t="s">
        <v>3531</v>
      </c>
      <c r="C11450" s="74" t="s">
        <v>444</v>
      </c>
    </row>
    <row r="11451" spans="1:3">
      <c r="A11451" s="250">
        <v>28328</v>
      </c>
      <c r="B11451" s="74" t="s">
        <v>732</v>
      </c>
      <c r="C11451" s="74" t="s">
        <v>444</v>
      </c>
    </row>
    <row r="11452" spans="1:3">
      <c r="A11452" s="250">
        <v>28329</v>
      </c>
      <c r="B11452" s="74" t="s">
        <v>732</v>
      </c>
      <c r="C11452" s="74" t="s">
        <v>444</v>
      </c>
    </row>
    <row r="11453" spans="1:3">
      <c r="A11453" s="250">
        <v>28330</v>
      </c>
      <c r="B11453" s="74" t="s">
        <v>5747</v>
      </c>
      <c r="C11453" s="74" t="s">
        <v>444</v>
      </c>
    </row>
    <row r="11454" spans="1:3">
      <c r="A11454" s="250">
        <v>28331</v>
      </c>
      <c r="B11454" s="74" t="s">
        <v>1125</v>
      </c>
      <c r="C11454" s="74" t="s">
        <v>444</v>
      </c>
    </row>
    <row r="11455" spans="1:3">
      <c r="A11455" s="250">
        <v>28332</v>
      </c>
      <c r="B11455" s="74" t="s">
        <v>1230</v>
      </c>
      <c r="C11455" s="74" t="s">
        <v>444</v>
      </c>
    </row>
    <row r="11456" spans="1:3">
      <c r="A11456" s="250">
        <v>28333</v>
      </c>
      <c r="B11456" s="74" t="s">
        <v>768</v>
      </c>
      <c r="C11456" s="74" t="s">
        <v>444</v>
      </c>
    </row>
    <row r="11457" spans="1:3">
      <c r="A11457" s="250">
        <v>28334</v>
      </c>
      <c r="B11457" s="74" t="s">
        <v>7350</v>
      </c>
      <c r="C11457" s="74" t="s">
        <v>444</v>
      </c>
    </row>
    <row r="11458" spans="1:3">
      <c r="A11458" s="250">
        <v>28335</v>
      </c>
      <c r="B11458" s="74" t="s">
        <v>7350</v>
      </c>
      <c r="C11458" s="74" t="s">
        <v>444</v>
      </c>
    </row>
    <row r="11459" spans="1:3">
      <c r="A11459" s="250">
        <v>28337</v>
      </c>
      <c r="B11459" s="74" t="s">
        <v>3293</v>
      </c>
      <c r="C11459" s="74" t="s">
        <v>444</v>
      </c>
    </row>
    <row r="11460" spans="1:3">
      <c r="A11460" s="250">
        <v>28338</v>
      </c>
      <c r="B11460" s="74" t="s">
        <v>7351</v>
      </c>
      <c r="C11460" s="74" t="s">
        <v>444</v>
      </c>
    </row>
    <row r="11461" spans="1:3">
      <c r="A11461" s="250">
        <v>28339</v>
      </c>
      <c r="B11461" s="74" t="s">
        <v>7352</v>
      </c>
      <c r="C11461" s="74" t="s">
        <v>444</v>
      </c>
    </row>
    <row r="11462" spans="1:3">
      <c r="A11462" s="250">
        <v>28340</v>
      </c>
      <c r="B11462" s="74" t="s">
        <v>6976</v>
      </c>
      <c r="C11462" s="74" t="s">
        <v>444</v>
      </c>
    </row>
    <row r="11463" spans="1:3">
      <c r="A11463" s="250">
        <v>28341</v>
      </c>
      <c r="B11463" s="74" t="s">
        <v>7353</v>
      </c>
      <c r="C11463" s="74" t="s">
        <v>444</v>
      </c>
    </row>
    <row r="11464" spans="1:3">
      <c r="A11464" s="250">
        <v>28342</v>
      </c>
      <c r="B11464" s="74" t="s">
        <v>7354</v>
      </c>
      <c r="C11464" s="74" t="s">
        <v>444</v>
      </c>
    </row>
    <row r="11465" spans="1:3">
      <c r="A11465" s="250">
        <v>28343</v>
      </c>
      <c r="B11465" s="74" t="s">
        <v>5239</v>
      </c>
      <c r="C11465" s="74" t="s">
        <v>444</v>
      </c>
    </row>
    <row r="11466" spans="1:3">
      <c r="A11466" s="250">
        <v>28344</v>
      </c>
      <c r="B11466" s="74" t="s">
        <v>7355</v>
      </c>
      <c r="C11466" s="74" t="s">
        <v>444</v>
      </c>
    </row>
    <row r="11467" spans="1:3">
      <c r="A11467" s="250">
        <v>28345</v>
      </c>
      <c r="B11467" s="74" t="s">
        <v>7356</v>
      </c>
      <c r="C11467" s="74" t="s">
        <v>444</v>
      </c>
    </row>
    <row r="11468" spans="1:3">
      <c r="A11468" s="250">
        <v>28347</v>
      </c>
      <c r="B11468" s="74" t="s">
        <v>7357</v>
      </c>
      <c r="C11468" s="74" t="s">
        <v>444</v>
      </c>
    </row>
    <row r="11469" spans="1:3">
      <c r="A11469" s="250">
        <v>28348</v>
      </c>
      <c r="B11469" s="74" t="s">
        <v>7358</v>
      </c>
      <c r="C11469" s="74" t="s">
        <v>444</v>
      </c>
    </row>
    <row r="11470" spans="1:3">
      <c r="A11470" s="250">
        <v>28349</v>
      </c>
      <c r="B11470" s="74" t="s">
        <v>7359</v>
      </c>
      <c r="C11470" s="74" t="s">
        <v>444</v>
      </c>
    </row>
    <row r="11471" spans="1:3">
      <c r="A11471" s="250">
        <v>28350</v>
      </c>
      <c r="B11471" s="74" t="s">
        <v>7360</v>
      </c>
      <c r="C11471" s="74" t="s">
        <v>444</v>
      </c>
    </row>
    <row r="11472" spans="1:3">
      <c r="A11472" s="250">
        <v>28351</v>
      </c>
      <c r="B11472" s="74" t="s">
        <v>7361</v>
      </c>
      <c r="C11472" s="74" t="s">
        <v>444</v>
      </c>
    </row>
    <row r="11473" spans="1:3">
      <c r="A11473" s="250">
        <v>28352</v>
      </c>
      <c r="B11473" s="74" t="s">
        <v>7362</v>
      </c>
      <c r="C11473" s="74" t="s">
        <v>444</v>
      </c>
    </row>
    <row r="11474" spans="1:3">
      <c r="A11474" s="250">
        <v>28353</v>
      </c>
      <c r="B11474" s="74" t="s">
        <v>7362</v>
      </c>
      <c r="C11474" s="74" t="s">
        <v>444</v>
      </c>
    </row>
    <row r="11475" spans="1:3">
      <c r="A11475" s="250">
        <v>28355</v>
      </c>
      <c r="B11475" s="74" t="s">
        <v>7363</v>
      </c>
      <c r="C11475" s="74" t="s">
        <v>444</v>
      </c>
    </row>
    <row r="11476" spans="1:3">
      <c r="A11476" s="250">
        <v>28356</v>
      </c>
      <c r="B11476" s="74" t="s">
        <v>2134</v>
      </c>
      <c r="C11476" s="74" t="s">
        <v>444</v>
      </c>
    </row>
    <row r="11477" spans="1:3">
      <c r="A11477" s="250">
        <v>28357</v>
      </c>
      <c r="B11477" s="74" t="s">
        <v>7364</v>
      </c>
      <c r="C11477" s="74" t="s">
        <v>444</v>
      </c>
    </row>
    <row r="11478" spans="1:3">
      <c r="A11478" s="250">
        <v>28358</v>
      </c>
      <c r="B11478" s="74" t="s">
        <v>2397</v>
      </c>
      <c r="C11478" s="74" t="s">
        <v>444</v>
      </c>
    </row>
    <row r="11479" spans="1:3">
      <c r="A11479" s="250">
        <v>28359</v>
      </c>
      <c r="B11479" s="74" t="s">
        <v>2397</v>
      </c>
      <c r="C11479" s="74" t="s">
        <v>444</v>
      </c>
    </row>
    <row r="11480" spans="1:3">
      <c r="A11480" s="250">
        <v>28360</v>
      </c>
      <c r="B11480" s="74" t="s">
        <v>2397</v>
      </c>
      <c r="C11480" s="74" t="s">
        <v>444</v>
      </c>
    </row>
    <row r="11481" spans="1:3">
      <c r="A11481" s="250">
        <v>28362</v>
      </c>
      <c r="B11481" s="74" t="s">
        <v>3385</v>
      </c>
      <c r="C11481" s="74" t="s">
        <v>444</v>
      </c>
    </row>
    <row r="11482" spans="1:3">
      <c r="A11482" s="250">
        <v>28363</v>
      </c>
      <c r="B11482" s="74" t="s">
        <v>7365</v>
      </c>
      <c r="C11482" s="74" t="s">
        <v>444</v>
      </c>
    </row>
    <row r="11483" spans="1:3">
      <c r="A11483" s="250">
        <v>28364</v>
      </c>
      <c r="B11483" s="74" t="s">
        <v>7366</v>
      </c>
      <c r="C11483" s="74" t="s">
        <v>444</v>
      </c>
    </row>
    <row r="11484" spans="1:3">
      <c r="A11484" s="250">
        <v>28365</v>
      </c>
      <c r="B11484" s="74" t="s">
        <v>6650</v>
      </c>
      <c r="C11484" s="74" t="s">
        <v>444</v>
      </c>
    </row>
    <row r="11485" spans="1:3">
      <c r="A11485" s="250">
        <v>28366</v>
      </c>
      <c r="B11485" s="74" t="s">
        <v>7367</v>
      </c>
      <c r="C11485" s="74" t="s">
        <v>444</v>
      </c>
    </row>
    <row r="11486" spans="1:3">
      <c r="A11486" s="250">
        <v>28367</v>
      </c>
      <c r="B11486" s="74" t="s">
        <v>7368</v>
      </c>
      <c r="C11486" s="74" t="s">
        <v>444</v>
      </c>
    </row>
    <row r="11487" spans="1:3">
      <c r="A11487" s="250">
        <v>28368</v>
      </c>
      <c r="B11487" s="74" t="s">
        <v>7369</v>
      </c>
      <c r="C11487" s="74" t="s">
        <v>444</v>
      </c>
    </row>
    <row r="11488" spans="1:3">
      <c r="A11488" s="250">
        <v>28369</v>
      </c>
      <c r="B11488" s="74" t="s">
        <v>7370</v>
      </c>
      <c r="C11488" s="74" t="s">
        <v>444</v>
      </c>
    </row>
    <row r="11489" spans="1:3">
      <c r="A11489" s="250">
        <v>28370</v>
      </c>
      <c r="B11489" s="74" t="s">
        <v>824</v>
      </c>
      <c r="C11489" s="74" t="s">
        <v>444</v>
      </c>
    </row>
    <row r="11490" spans="1:3">
      <c r="A11490" s="250">
        <v>28371</v>
      </c>
      <c r="B11490" s="74" t="s">
        <v>5691</v>
      </c>
      <c r="C11490" s="74" t="s">
        <v>444</v>
      </c>
    </row>
    <row r="11491" spans="1:3">
      <c r="A11491" s="250">
        <v>28372</v>
      </c>
      <c r="B11491" s="74" t="s">
        <v>955</v>
      </c>
      <c r="C11491" s="74" t="s">
        <v>444</v>
      </c>
    </row>
    <row r="11492" spans="1:3">
      <c r="A11492" s="250">
        <v>28373</v>
      </c>
      <c r="B11492" s="74" t="s">
        <v>7371</v>
      </c>
      <c r="C11492" s="74" t="s">
        <v>444</v>
      </c>
    </row>
    <row r="11493" spans="1:3">
      <c r="A11493" s="250">
        <v>28374</v>
      </c>
      <c r="B11493" s="74" t="s">
        <v>824</v>
      </c>
      <c r="C11493" s="74" t="s">
        <v>444</v>
      </c>
    </row>
    <row r="11494" spans="1:3">
      <c r="A11494" s="250">
        <v>28375</v>
      </c>
      <c r="B11494" s="74" t="s">
        <v>7372</v>
      </c>
      <c r="C11494" s="74" t="s">
        <v>444</v>
      </c>
    </row>
    <row r="11495" spans="1:3">
      <c r="A11495" s="250">
        <v>28376</v>
      </c>
      <c r="B11495" s="74" t="s">
        <v>7373</v>
      </c>
      <c r="C11495" s="74" t="s">
        <v>444</v>
      </c>
    </row>
    <row r="11496" spans="1:3">
      <c r="A11496" s="250">
        <v>28377</v>
      </c>
      <c r="B11496" s="74" t="s">
        <v>7374</v>
      </c>
      <c r="C11496" s="74" t="s">
        <v>444</v>
      </c>
    </row>
    <row r="11497" spans="1:3">
      <c r="A11497" s="250">
        <v>28378</v>
      </c>
      <c r="B11497" s="74" t="s">
        <v>7375</v>
      </c>
      <c r="C11497" s="74" t="s">
        <v>444</v>
      </c>
    </row>
    <row r="11498" spans="1:3">
      <c r="A11498" s="250">
        <v>28379</v>
      </c>
      <c r="B11498" s="74" t="s">
        <v>7376</v>
      </c>
      <c r="C11498" s="74" t="s">
        <v>444</v>
      </c>
    </row>
    <row r="11499" spans="1:3">
      <c r="A11499" s="250">
        <v>28380</v>
      </c>
      <c r="B11499" s="74" t="s">
        <v>7376</v>
      </c>
      <c r="C11499" s="74" t="s">
        <v>444</v>
      </c>
    </row>
    <row r="11500" spans="1:3">
      <c r="A11500" s="250">
        <v>28382</v>
      </c>
      <c r="B11500" s="74" t="s">
        <v>7377</v>
      </c>
      <c r="C11500" s="74" t="s">
        <v>444</v>
      </c>
    </row>
    <row r="11501" spans="1:3">
      <c r="A11501" s="250">
        <v>28383</v>
      </c>
      <c r="B11501" s="74" t="s">
        <v>5181</v>
      </c>
      <c r="C11501" s="74" t="s">
        <v>444</v>
      </c>
    </row>
    <row r="11502" spans="1:3">
      <c r="A11502" s="250">
        <v>28384</v>
      </c>
      <c r="B11502" s="74" t="s">
        <v>7378</v>
      </c>
      <c r="C11502" s="74" t="s">
        <v>444</v>
      </c>
    </row>
    <row r="11503" spans="1:3">
      <c r="A11503" s="250">
        <v>28385</v>
      </c>
      <c r="B11503" s="74" t="s">
        <v>7379</v>
      </c>
      <c r="C11503" s="74" t="s">
        <v>444</v>
      </c>
    </row>
    <row r="11504" spans="1:3">
      <c r="A11504" s="250">
        <v>28386</v>
      </c>
      <c r="B11504" s="74" t="s">
        <v>7380</v>
      </c>
      <c r="C11504" s="74" t="s">
        <v>444</v>
      </c>
    </row>
    <row r="11505" spans="1:3">
      <c r="A11505" s="250">
        <v>28387</v>
      </c>
      <c r="B11505" s="74" t="s">
        <v>7381</v>
      </c>
      <c r="C11505" s="74" t="s">
        <v>444</v>
      </c>
    </row>
    <row r="11506" spans="1:3">
      <c r="A11506" s="250">
        <v>28388</v>
      </c>
      <c r="B11506" s="74" t="s">
        <v>7381</v>
      </c>
      <c r="C11506" s="74" t="s">
        <v>444</v>
      </c>
    </row>
    <row r="11507" spans="1:3">
      <c r="A11507" s="250">
        <v>28390</v>
      </c>
      <c r="B11507" s="74" t="s">
        <v>2289</v>
      </c>
      <c r="C11507" s="74" t="s">
        <v>444</v>
      </c>
    </row>
    <row r="11508" spans="1:3">
      <c r="A11508" s="250">
        <v>28391</v>
      </c>
      <c r="B11508" s="74" t="s">
        <v>7382</v>
      </c>
      <c r="C11508" s="74" t="s">
        <v>444</v>
      </c>
    </row>
    <row r="11509" spans="1:3">
      <c r="A11509" s="250">
        <v>28392</v>
      </c>
      <c r="B11509" s="74" t="s">
        <v>7383</v>
      </c>
      <c r="C11509" s="74" t="s">
        <v>444</v>
      </c>
    </row>
    <row r="11510" spans="1:3">
      <c r="A11510" s="250">
        <v>28393</v>
      </c>
      <c r="B11510" s="74" t="s">
        <v>7384</v>
      </c>
      <c r="C11510" s="74" t="s">
        <v>444</v>
      </c>
    </row>
    <row r="11511" spans="1:3">
      <c r="A11511" s="250">
        <v>28394</v>
      </c>
      <c r="B11511" s="74" t="s">
        <v>7385</v>
      </c>
      <c r="C11511" s="74" t="s">
        <v>444</v>
      </c>
    </row>
    <row r="11512" spans="1:3">
      <c r="A11512" s="250">
        <v>28395</v>
      </c>
      <c r="B11512" s="74" t="s">
        <v>7386</v>
      </c>
      <c r="C11512" s="74" t="s">
        <v>444</v>
      </c>
    </row>
    <row r="11513" spans="1:3">
      <c r="A11513" s="250">
        <v>28396</v>
      </c>
      <c r="B11513" s="74" t="s">
        <v>7387</v>
      </c>
      <c r="C11513" s="74" t="s">
        <v>444</v>
      </c>
    </row>
    <row r="11514" spans="1:3">
      <c r="A11514" s="250">
        <v>28398</v>
      </c>
      <c r="B11514" s="74" t="s">
        <v>3834</v>
      </c>
      <c r="C11514" s="74" t="s">
        <v>444</v>
      </c>
    </row>
    <row r="11515" spans="1:3">
      <c r="A11515" s="250">
        <v>28399</v>
      </c>
      <c r="B11515" s="74" t="s">
        <v>6847</v>
      </c>
      <c r="C11515" s="74" t="s">
        <v>444</v>
      </c>
    </row>
    <row r="11516" spans="1:3">
      <c r="A11516" s="250">
        <v>28401</v>
      </c>
      <c r="B11516" s="74" t="s">
        <v>831</v>
      </c>
      <c r="C11516" s="74" t="s">
        <v>444</v>
      </c>
    </row>
    <row r="11517" spans="1:3">
      <c r="A11517" s="250">
        <v>28402</v>
      </c>
      <c r="B11517" s="74" t="s">
        <v>831</v>
      </c>
      <c r="C11517" s="74" t="s">
        <v>444</v>
      </c>
    </row>
    <row r="11518" spans="1:3">
      <c r="A11518" s="250">
        <v>28403</v>
      </c>
      <c r="B11518" s="74" t="s">
        <v>831</v>
      </c>
      <c r="C11518" s="74" t="s">
        <v>444</v>
      </c>
    </row>
    <row r="11519" spans="1:3">
      <c r="A11519" s="250">
        <v>28404</v>
      </c>
      <c r="B11519" s="74" t="s">
        <v>831</v>
      </c>
      <c r="C11519" s="74" t="s">
        <v>444</v>
      </c>
    </row>
    <row r="11520" spans="1:3">
      <c r="A11520" s="250">
        <v>28405</v>
      </c>
      <c r="B11520" s="74" t="s">
        <v>831</v>
      </c>
      <c r="C11520" s="74" t="s">
        <v>444</v>
      </c>
    </row>
    <row r="11521" spans="1:3">
      <c r="A11521" s="250">
        <v>28406</v>
      </c>
      <c r="B11521" s="74" t="s">
        <v>831</v>
      </c>
      <c r="C11521" s="74" t="s">
        <v>444</v>
      </c>
    </row>
    <row r="11522" spans="1:3">
      <c r="A11522" s="250">
        <v>28407</v>
      </c>
      <c r="B11522" s="74" t="s">
        <v>831</v>
      </c>
      <c r="C11522" s="74" t="s">
        <v>444</v>
      </c>
    </row>
    <row r="11523" spans="1:3">
      <c r="A11523" s="250">
        <v>28408</v>
      </c>
      <c r="B11523" s="74" t="s">
        <v>831</v>
      </c>
      <c r="C11523" s="74" t="s">
        <v>444</v>
      </c>
    </row>
    <row r="11524" spans="1:3">
      <c r="A11524" s="250">
        <v>28409</v>
      </c>
      <c r="B11524" s="74" t="s">
        <v>831</v>
      </c>
      <c r="C11524" s="74" t="s">
        <v>444</v>
      </c>
    </row>
    <row r="11525" spans="1:3">
      <c r="A11525" s="250">
        <v>28410</v>
      </c>
      <c r="B11525" s="74" t="s">
        <v>831</v>
      </c>
      <c r="C11525" s="74" t="s">
        <v>444</v>
      </c>
    </row>
    <row r="11526" spans="1:3">
      <c r="A11526" s="250">
        <v>28411</v>
      </c>
      <c r="B11526" s="74" t="s">
        <v>831</v>
      </c>
      <c r="C11526" s="74" t="s">
        <v>444</v>
      </c>
    </row>
    <row r="11527" spans="1:3">
      <c r="A11527" s="250">
        <v>28412</v>
      </c>
      <c r="B11527" s="74" t="s">
        <v>831</v>
      </c>
      <c r="C11527" s="74" t="s">
        <v>444</v>
      </c>
    </row>
    <row r="11528" spans="1:3">
      <c r="A11528" s="250">
        <v>28420</v>
      </c>
      <c r="B11528" s="74" t="s">
        <v>7388</v>
      </c>
      <c r="C11528" s="74" t="s">
        <v>444</v>
      </c>
    </row>
    <row r="11529" spans="1:3">
      <c r="A11529" s="250">
        <v>28421</v>
      </c>
      <c r="B11529" s="74" t="s">
        <v>1295</v>
      </c>
      <c r="C11529" s="74" t="s">
        <v>444</v>
      </c>
    </row>
    <row r="11530" spans="1:3">
      <c r="A11530" s="250">
        <v>28422</v>
      </c>
      <c r="B11530" s="74" t="s">
        <v>7389</v>
      </c>
      <c r="C11530" s="74" t="s">
        <v>444</v>
      </c>
    </row>
    <row r="11531" spans="1:3">
      <c r="A11531" s="250">
        <v>28423</v>
      </c>
      <c r="B11531" s="74" t="s">
        <v>785</v>
      </c>
      <c r="C11531" s="74" t="s">
        <v>444</v>
      </c>
    </row>
    <row r="11532" spans="1:3">
      <c r="A11532" s="250">
        <v>28424</v>
      </c>
      <c r="B11532" s="74" t="s">
        <v>1370</v>
      </c>
      <c r="C11532" s="74" t="s">
        <v>444</v>
      </c>
    </row>
    <row r="11533" spans="1:3">
      <c r="A11533" s="250">
        <v>28425</v>
      </c>
      <c r="B11533" s="74" t="s">
        <v>7390</v>
      </c>
      <c r="C11533" s="74" t="s">
        <v>444</v>
      </c>
    </row>
    <row r="11534" spans="1:3">
      <c r="A11534" s="250">
        <v>28428</v>
      </c>
      <c r="B11534" s="74" t="s">
        <v>7391</v>
      </c>
      <c r="C11534" s="74" t="s">
        <v>444</v>
      </c>
    </row>
    <row r="11535" spans="1:3">
      <c r="A11535" s="250">
        <v>28429</v>
      </c>
      <c r="B11535" s="74" t="s">
        <v>7392</v>
      </c>
      <c r="C11535" s="74" t="s">
        <v>444</v>
      </c>
    </row>
    <row r="11536" spans="1:3">
      <c r="A11536" s="250">
        <v>28430</v>
      </c>
      <c r="B11536" s="74" t="s">
        <v>7393</v>
      </c>
      <c r="C11536" s="74" t="s">
        <v>444</v>
      </c>
    </row>
    <row r="11537" spans="1:3">
      <c r="A11537" s="250">
        <v>28431</v>
      </c>
      <c r="B11537" s="74" t="s">
        <v>7394</v>
      </c>
      <c r="C11537" s="74" t="s">
        <v>444</v>
      </c>
    </row>
    <row r="11538" spans="1:3">
      <c r="A11538" s="250">
        <v>28432</v>
      </c>
      <c r="B11538" s="74" t="s">
        <v>3763</v>
      </c>
      <c r="C11538" s="74" t="s">
        <v>444</v>
      </c>
    </row>
    <row r="11539" spans="1:3">
      <c r="A11539" s="250">
        <v>28433</v>
      </c>
      <c r="B11539" s="74" t="s">
        <v>7395</v>
      </c>
      <c r="C11539" s="74" t="s">
        <v>444</v>
      </c>
    </row>
    <row r="11540" spans="1:3">
      <c r="A11540" s="250">
        <v>28434</v>
      </c>
      <c r="B11540" s="74" t="s">
        <v>7396</v>
      </c>
      <c r="C11540" s="74" t="s">
        <v>444</v>
      </c>
    </row>
    <row r="11541" spans="1:3">
      <c r="A11541" s="250">
        <v>28435</v>
      </c>
      <c r="B11541" s="74" t="s">
        <v>7397</v>
      </c>
      <c r="C11541" s="74" t="s">
        <v>444</v>
      </c>
    </row>
    <row r="11542" spans="1:3">
      <c r="A11542" s="250">
        <v>28436</v>
      </c>
      <c r="B11542" s="74" t="s">
        <v>7398</v>
      </c>
      <c r="C11542" s="74" t="s">
        <v>444</v>
      </c>
    </row>
    <row r="11543" spans="1:3">
      <c r="A11543" s="250">
        <v>28438</v>
      </c>
      <c r="B11543" s="74" t="s">
        <v>6233</v>
      </c>
      <c r="C11543" s="74" t="s">
        <v>444</v>
      </c>
    </row>
    <row r="11544" spans="1:3">
      <c r="A11544" s="250">
        <v>28439</v>
      </c>
      <c r="B11544" s="74" t="s">
        <v>7399</v>
      </c>
      <c r="C11544" s="74" t="s">
        <v>444</v>
      </c>
    </row>
    <row r="11545" spans="1:3">
      <c r="A11545" s="250">
        <v>28441</v>
      </c>
      <c r="B11545" s="74" t="s">
        <v>1695</v>
      </c>
      <c r="C11545" s="74" t="s">
        <v>444</v>
      </c>
    </row>
    <row r="11546" spans="1:3">
      <c r="A11546" s="250">
        <v>28442</v>
      </c>
      <c r="B11546" s="74" t="s">
        <v>7400</v>
      </c>
      <c r="C11546" s="74" t="s">
        <v>444</v>
      </c>
    </row>
    <row r="11547" spans="1:3">
      <c r="A11547" s="250">
        <v>28443</v>
      </c>
      <c r="B11547" s="74" t="s">
        <v>1314</v>
      </c>
      <c r="C11547" s="74" t="s">
        <v>444</v>
      </c>
    </row>
    <row r="11548" spans="1:3">
      <c r="A11548" s="250">
        <v>28444</v>
      </c>
      <c r="B11548" s="74" t="s">
        <v>7401</v>
      </c>
      <c r="C11548" s="74" t="s">
        <v>444</v>
      </c>
    </row>
    <row r="11549" spans="1:3">
      <c r="A11549" s="250">
        <v>28445</v>
      </c>
      <c r="B11549" s="74" t="s">
        <v>7402</v>
      </c>
      <c r="C11549" s="74" t="s">
        <v>444</v>
      </c>
    </row>
    <row r="11550" spans="1:3">
      <c r="A11550" s="250">
        <v>28447</v>
      </c>
      <c r="B11550" s="74" t="s">
        <v>6365</v>
      </c>
      <c r="C11550" s="74" t="s">
        <v>444</v>
      </c>
    </row>
    <row r="11551" spans="1:3">
      <c r="A11551" s="250">
        <v>28448</v>
      </c>
      <c r="B11551" s="74" t="s">
        <v>7403</v>
      </c>
      <c r="C11551" s="74" t="s">
        <v>444</v>
      </c>
    </row>
    <row r="11552" spans="1:3">
      <c r="A11552" s="250">
        <v>28449</v>
      </c>
      <c r="B11552" s="74" t="s">
        <v>7404</v>
      </c>
      <c r="C11552" s="74" t="s">
        <v>444</v>
      </c>
    </row>
    <row r="11553" spans="1:3">
      <c r="A11553" s="250">
        <v>28450</v>
      </c>
      <c r="B11553" s="74" t="s">
        <v>7405</v>
      </c>
      <c r="C11553" s="74" t="s">
        <v>444</v>
      </c>
    </row>
    <row r="11554" spans="1:3">
      <c r="A11554" s="250">
        <v>28451</v>
      </c>
      <c r="B11554" s="74" t="s">
        <v>7406</v>
      </c>
      <c r="C11554" s="74" t="s">
        <v>444</v>
      </c>
    </row>
    <row r="11555" spans="1:3">
      <c r="A11555" s="250">
        <v>28452</v>
      </c>
      <c r="B11555" s="74" t="s">
        <v>7407</v>
      </c>
      <c r="C11555" s="74" t="s">
        <v>444</v>
      </c>
    </row>
    <row r="11556" spans="1:3">
      <c r="A11556" s="250">
        <v>28453</v>
      </c>
      <c r="B11556" s="74" t="s">
        <v>2398</v>
      </c>
      <c r="C11556" s="74" t="s">
        <v>444</v>
      </c>
    </row>
    <row r="11557" spans="1:3">
      <c r="A11557" s="250">
        <v>28454</v>
      </c>
      <c r="B11557" s="74" t="s">
        <v>7408</v>
      </c>
      <c r="C11557" s="74" t="s">
        <v>444</v>
      </c>
    </row>
    <row r="11558" spans="1:3">
      <c r="A11558" s="250">
        <v>28455</v>
      </c>
      <c r="B11558" s="74" t="s">
        <v>7409</v>
      </c>
      <c r="C11558" s="74" t="s">
        <v>444</v>
      </c>
    </row>
    <row r="11559" spans="1:3">
      <c r="A11559" s="250">
        <v>28456</v>
      </c>
      <c r="B11559" s="74" t="s">
        <v>7410</v>
      </c>
      <c r="C11559" s="74" t="s">
        <v>444</v>
      </c>
    </row>
    <row r="11560" spans="1:3">
      <c r="A11560" s="250">
        <v>28457</v>
      </c>
      <c r="B11560" s="74" t="s">
        <v>2851</v>
      </c>
      <c r="C11560" s="74" t="s">
        <v>444</v>
      </c>
    </row>
    <row r="11561" spans="1:3">
      <c r="A11561" s="250">
        <v>28458</v>
      </c>
      <c r="B11561" s="74" t="s">
        <v>6339</v>
      </c>
      <c r="C11561" s="74" t="s">
        <v>444</v>
      </c>
    </row>
    <row r="11562" spans="1:3">
      <c r="A11562" s="250">
        <v>28459</v>
      </c>
      <c r="B11562" s="74" t="s">
        <v>7411</v>
      </c>
      <c r="C11562" s="74" t="s">
        <v>444</v>
      </c>
    </row>
    <row r="11563" spans="1:3">
      <c r="A11563" s="250">
        <v>28460</v>
      </c>
      <c r="B11563" s="74" t="s">
        <v>7412</v>
      </c>
      <c r="C11563" s="74" t="s">
        <v>444</v>
      </c>
    </row>
    <row r="11564" spans="1:3">
      <c r="A11564" s="250">
        <v>28461</v>
      </c>
      <c r="B11564" s="74" t="s">
        <v>1560</v>
      </c>
      <c r="C11564" s="74" t="s">
        <v>444</v>
      </c>
    </row>
    <row r="11565" spans="1:3">
      <c r="A11565" s="250">
        <v>28462</v>
      </c>
      <c r="B11565" s="74" t="s">
        <v>7413</v>
      </c>
      <c r="C11565" s="74" t="s">
        <v>444</v>
      </c>
    </row>
    <row r="11566" spans="1:3">
      <c r="A11566" s="250">
        <v>28463</v>
      </c>
      <c r="B11566" s="74" t="s">
        <v>7414</v>
      </c>
      <c r="C11566" s="74" t="s">
        <v>444</v>
      </c>
    </row>
    <row r="11567" spans="1:3">
      <c r="A11567" s="250">
        <v>28464</v>
      </c>
      <c r="B11567" s="74" t="s">
        <v>7415</v>
      </c>
      <c r="C11567" s="74" t="s">
        <v>444</v>
      </c>
    </row>
    <row r="11568" spans="1:3">
      <c r="A11568" s="250">
        <v>28465</v>
      </c>
      <c r="B11568" s="74" t="s">
        <v>7416</v>
      </c>
      <c r="C11568" s="74" t="s">
        <v>444</v>
      </c>
    </row>
    <row r="11569" spans="1:3">
      <c r="A11569" s="250">
        <v>28466</v>
      </c>
      <c r="B11569" s="74" t="s">
        <v>6961</v>
      </c>
      <c r="C11569" s="74" t="s">
        <v>444</v>
      </c>
    </row>
    <row r="11570" spans="1:3">
      <c r="A11570" s="250">
        <v>28467</v>
      </c>
      <c r="B11570" s="74" t="s">
        <v>7417</v>
      </c>
      <c r="C11570" s="74" t="s">
        <v>444</v>
      </c>
    </row>
    <row r="11571" spans="1:3">
      <c r="A11571" s="250">
        <v>28468</v>
      </c>
      <c r="B11571" s="74" t="s">
        <v>7418</v>
      </c>
      <c r="C11571" s="74" t="s">
        <v>444</v>
      </c>
    </row>
    <row r="11572" spans="1:3">
      <c r="A11572" s="250">
        <v>28469</v>
      </c>
      <c r="B11572" s="74" t="s">
        <v>7419</v>
      </c>
      <c r="C11572" s="74" t="s">
        <v>444</v>
      </c>
    </row>
    <row r="11573" spans="1:3">
      <c r="A11573" s="250">
        <v>28470</v>
      </c>
      <c r="B11573" s="74" t="s">
        <v>7411</v>
      </c>
      <c r="C11573" s="74" t="s">
        <v>444</v>
      </c>
    </row>
    <row r="11574" spans="1:3">
      <c r="A11574" s="250">
        <v>28472</v>
      </c>
      <c r="B11574" s="74" t="s">
        <v>7420</v>
      </c>
      <c r="C11574" s="74" t="s">
        <v>444</v>
      </c>
    </row>
    <row r="11575" spans="1:3">
      <c r="A11575" s="250">
        <v>28478</v>
      </c>
      <c r="B11575" s="74" t="s">
        <v>3838</v>
      </c>
      <c r="C11575" s="74" t="s">
        <v>444</v>
      </c>
    </row>
    <row r="11576" spans="1:3">
      <c r="A11576" s="250">
        <v>28479</v>
      </c>
      <c r="B11576" s="74" t="s">
        <v>7421</v>
      </c>
      <c r="C11576" s="74" t="s">
        <v>444</v>
      </c>
    </row>
    <row r="11577" spans="1:3">
      <c r="A11577" s="250">
        <v>28480</v>
      </c>
      <c r="B11577" s="74" t="s">
        <v>7422</v>
      </c>
      <c r="C11577" s="74" t="s">
        <v>444</v>
      </c>
    </row>
    <row r="11578" spans="1:3">
      <c r="A11578" s="250">
        <v>28501</v>
      </c>
      <c r="B11578" s="74" t="s">
        <v>7423</v>
      </c>
      <c r="C11578" s="74" t="s">
        <v>444</v>
      </c>
    </row>
    <row r="11579" spans="1:3">
      <c r="A11579" s="250">
        <v>28502</v>
      </c>
      <c r="B11579" s="74" t="s">
        <v>7423</v>
      </c>
      <c r="C11579" s="74" t="s">
        <v>444</v>
      </c>
    </row>
    <row r="11580" spans="1:3">
      <c r="A11580" s="250">
        <v>28503</v>
      </c>
      <c r="B11580" s="74" t="s">
        <v>7423</v>
      </c>
      <c r="C11580" s="74" t="s">
        <v>444</v>
      </c>
    </row>
    <row r="11581" spans="1:3">
      <c r="A11581" s="250">
        <v>28504</v>
      </c>
      <c r="B11581" s="74" t="s">
        <v>7423</v>
      </c>
      <c r="C11581" s="74" t="s">
        <v>444</v>
      </c>
    </row>
    <row r="11582" spans="1:3">
      <c r="A11582" s="250">
        <v>28508</v>
      </c>
      <c r="B11582" s="74" t="s">
        <v>2763</v>
      </c>
      <c r="C11582" s="74" t="s">
        <v>444</v>
      </c>
    </row>
    <row r="11583" spans="1:3">
      <c r="A11583" s="250">
        <v>28509</v>
      </c>
      <c r="B11583" s="74" t="s">
        <v>7424</v>
      </c>
      <c r="C11583" s="74" t="s">
        <v>444</v>
      </c>
    </row>
    <row r="11584" spans="1:3">
      <c r="A11584" s="250">
        <v>28510</v>
      </c>
      <c r="B11584" s="74" t="s">
        <v>7425</v>
      </c>
      <c r="C11584" s="74" t="s">
        <v>444</v>
      </c>
    </row>
    <row r="11585" spans="1:3">
      <c r="A11585" s="250">
        <v>28511</v>
      </c>
      <c r="B11585" s="74" t="s">
        <v>4409</v>
      </c>
      <c r="C11585" s="74" t="s">
        <v>444</v>
      </c>
    </row>
    <row r="11586" spans="1:3">
      <c r="A11586" s="250">
        <v>28512</v>
      </c>
      <c r="B11586" s="74" t="s">
        <v>2764</v>
      </c>
      <c r="C11586" s="74" t="s">
        <v>444</v>
      </c>
    </row>
    <row r="11587" spans="1:3">
      <c r="A11587" s="250">
        <v>28513</v>
      </c>
      <c r="B11587" s="74" t="s">
        <v>7426</v>
      </c>
      <c r="C11587" s="74" t="s">
        <v>444</v>
      </c>
    </row>
    <row r="11588" spans="1:3">
      <c r="A11588" s="250">
        <v>28515</v>
      </c>
      <c r="B11588" s="74" t="s">
        <v>7427</v>
      </c>
      <c r="C11588" s="74" t="s">
        <v>444</v>
      </c>
    </row>
    <row r="11589" spans="1:3">
      <c r="A11589" s="250">
        <v>28516</v>
      </c>
      <c r="B11589" s="74" t="s">
        <v>7428</v>
      </c>
      <c r="C11589" s="74" t="s">
        <v>444</v>
      </c>
    </row>
    <row r="11590" spans="1:3">
      <c r="A11590" s="250">
        <v>28518</v>
      </c>
      <c r="B11590" s="74" t="s">
        <v>7429</v>
      </c>
      <c r="C11590" s="74" t="s">
        <v>444</v>
      </c>
    </row>
    <row r="11591" spans="1:3">
      <c r="A11591" s="250">
        <v>28519</v>
      </c>
      <c r="B11591" s="74" t="s">
        <v>2473</v>
      </c>
      <c r="C11591" s="74" t="s">
        <v>444</v>
      </c>
    </row>
    <row r="11592" spans="1:3">
      <c r="A11592" s="250">
        <v>28520</v>
      </c>
      <c r="B11592" s="74" t="s">
        <v>7430</v>
      </c>
      <c r="C11592" s="74" t="s">
        <v>444</v>
      </c>
    </row>
    <row r="11593" spans="1:3">
      <c r="A11593" s="250">
        <v>28521</v>
      </c>
      <c r="B11593" s="74" t="s">
        <v>7431</v>
      </c>
      <c r="C11593" s="74" t="s">
        <v>444</v>
      </c>
    </row>
    <row r="11594" spans="1:3">
      <c r="A11594" s="250">
        <v>28522</v>
      </c>
      <c r="B11594" s="74" t="s">
        <v>6592</v>
      </c>
      <c r="C11594" s="74" t="s">
        <v>444</v>
      </c>
    </row>
    <row r="11595" spans="1:3">
      <c r="A11595" s="250">
        <v>28523</v>
      </c>
      <c r="B11595" s="74" t="s">
        <v>7432</v>
      </c>
      <c r="C11595" s="74" t="s">
        <v>444</v>
      </c>
    </row>
    <row r="11596" spans="1:3">
      <c r="A11596" s="250">
        <v>28524</v>
      </c>
      <c r="B11596" s="74" t="s">
        <v>6907</v>
      </c>
      <c r="C11596" s="74" t="s">
        <v>444</v>
      </c>
    </row>
    <row r="11597" spans="1:3">
      <c r="A11597" s="250">
        <v>28525</v>
      </c>
      <c r="B11597" s="74" t="s">
        <v>7433</v>
      </c>
      <c r="C11597" s="74" t="s">
        <v>444</v>
      </c>
    </row>
    <row r="11598" spans="1:3">
      <c r="A11598" s="250">
        <v>28526</v>
      </c>
      <c r="B11598" s="74" t="s">
        <v>869</v>
      </c>
      <c r="C11598" s="74" t="s">
        <v>444</v>
      </c>
    </row>
    <row r="11599" spans="1:3">
      <c r="A11599" s="250">
        <v>28527</v>
      </c>
      <c r="B11599" s="74" t="s">
        <v>7434</v>
      </c>
      <c r="C11599" s="74" t="s">
        <v>444</v>
      </c>
    </row>
    <row r="11600" spans="1:3">
      <c r="A11600" s="250">
        <v>28528</v>
      </c>
      <c r="B11600" s="74" t="s">
        <v>843</v>
      </c>
      <c r="C11600" s="74" t="s">
        <v>444</v>
      </c>
    </row>
    <row r="11601" spans="1:3">
      <c r="A11601" s="250">
        <v>28529</v>
      </c>
      <c r="B11601" s="74" t="s">
        <v>7435</v>
      </c>
      <c r="C11601" s="74" t="s">
        <v>444</v>
      </c>
    </row>
    <row r="11602" spans="1:3">
      <c r="A11602" s="250">
        <v>28530</v>
      </c>
      <c r="B11602" s="74" t="s">
        <v>7436</v>
      </c>
      <c r="C11602" s="74" t="s">
        <v>444</v>
      </c>
    </row>
    <row r="11603" spans="1:3">
      <c r="A11603" s="250">
        <v>28531</v>
      </c>
      <c r="B11603" s="74" t="s">
        <v>7437</v>
      </c>
      <c r="C11603" s="74" t="s">
        <v>444</v>
      </c>
    </row>
    <row r="11604" spans="1:3">
      <c r="A11604" s="250">
        <v>28532</v>
      </c>
      <c r="B11604" s="74" t="s">
        <v>7438</v>
      </c>
      <c r="C11604" s="74" t="s">
        <v>444</v>
      </c>
    </row>
    <row r="11605" spans="1:3">
      <c r="A11605" s="250">
        <v>28533</v>
      </c>
      <c r="B11605" s="74" t="s">
        <v>7439</v>
      </c>
      <c r="C11605" s="74" t="s">
        <v>444</v>
      </c>
    </row>
    <row r="11606" spans="1:3">
      <c r="A11606" s="250">
        <v>28537</v>
      </c>
      <c r="B11606" s="74" t="s">
        <v>7440</v>
      </c>
      <c r="C11606" s="74" t="s">
        <v>444</v>
      </c>
    </row>
    <row r="11607" spans="1:3">
      <c r="A11607" s="250">
        <v>28538</v>
      </c>
      <c r="B11607" s="74" t="s">
        <v>7441</v>
      </c>
      <c r="C11607" s="74" t="s">
        <v>444</v>
      </c>
    </row>
    <row r="11608" spans="1:3">
      <c r="A11608" s="250">
        <v>28539</v>
      </c>
      <c r="B11608" s="74" t="s">
        <v>7442</v>
      </c>
      <c r="C11608" s="74" t="s">
        <v>444</v>
      </c>
    </row>
    <row r="11609" spans="1:3">
      <c r="A11609" s="250">
        <v>28540</v>
      </c>
      <c r="B11609" s="74" t="s">
        <v>1782</v>
      </c>
      <c r="C11609" s="74" t="s">
        <v>444</v>
      </c>
    </row>
    <row r="11610" spans="1:3">
      <c r="A11610" s="250">
        <v>28541</v>
      </c>
      <c r="B11610" s="74" t="s">
        <v>1782</v>
      </c>
      <c r="C11610" s="74" t="s">
        <v>444</v>
      </c>
    </row>
    <row r="11611" spans="1:3">
      <c r="A11611" s="250">
        <v>28542</v>
      </c>
      <c r="B11611" s="74" t="s">
        <v>7443</v>
      </c>
      <c r="C11611" s="74" t="s">
        <v>444</v>
      </c>
    </row>
    <row r="11612" spans="1:3">
      <c r="A11612" s="250">
        <v>28543</v>
      </c>
      <c r="B11612" s="74" t="s">
        <v>7444</v>
      </c>
      <c r="C11612" s="74" t="s">
        <v>444</v>
      </c>
    </row>
    <row r="11613" spans="1:3">
      <c r="A11613" s="250">
        <v>28544</v>
      </c>
      <c r="B11613" s="74" t="s">
        <v>7445</v>
      </c>
      <c r="C11613" s="74" t="s">
        <v>444</v>
      </c>
    </row>
    <row r="11614" spans="1:3">
      <c r="A11614" s="250">
        <v>28545</v>
      </c>
      <c r="B11614" s="74" t="s">
        <v>7446</v>
      </c>
      <c r="C11614" s="74" t="s">
        <v>444</v>
      </c>
    </row>
    <row r="11615" spans="1:3">
      <c r="A11615" s="250">
        <v>28546</v>
      </c>
      <c r="B11615" s="74" t="s">
        <v>1782</v>
      </c>
      <c r="C11615" s="74" t="s">
        <v>444</v>
      </c>
    </row>
    <row r="11616" spans="1:3">
      <c r="A11616" s="250">
        <v>28547</v>
      </c>
      <c r="B11616" s="74" t="s">
        <v>7443</v>
      </c>
      <c r="C11616" s="74" t="s">
        <v>444</v>
      </c>
    </row>
    <row r="11617" spans="1:3">
      <c r="A11617" s="250">
        <v>28551</v>
      </c>
      <c r="B11617" s="74" t="s">
        <v>7447</v>
      </c>
      <c r="C11617" s="74" t="s">
        <v>444</v>
      </c>
    </row>
    <row r="11618" spans="1:3">
      <c r="A11618" s="250">
        <v>28552</v>
      </c>
      <c r="B11618" s="74" t="s">
        <v>7448</v>
      </c>
      <c r="C11618" s="74" t="s">
        <v>444</v>
      </c>
    </row>
    <row r="11619" spans="1:3">
      <c r="A11619" s="250">
        <v>28553</v>
      </c>
      <c r="B11619" s="74" t="s">
        <v>7449</v>
      </c>
      <c r="C11619" s="74" t="s">
        <v>444</v>
      </c>
    </row>
    <row r="11620" spans="1:3">
      <c r="A11620" s="250">
        <v>28554</v>
      </c>
      <c r="B11620" s="74" t="s">
        <v>7450</v>
      </c>
      <c r="C11620" s="74" t="s">
        <v>444</v>
      </c>
    </row>
    <row r="11621" spans="1:3">
      <c r="A11621" s="250">
        <v>28555</v>
      </c>
      <c r="B11621" s="74" t="s">
        <v>7041</v>
      </c>
      <c r="C11621" s="74" t="s">
        <v>444</v>
      </c>
    </row>
    <row r="11622" spans="1:3">
      <c r="A11622" s="250">
        <v>28556</v>
      </c>
      <c r="B11622" s="74" t="s">
        <v>7451</v>
      </c>
      <c r="C11622" s="74" t="s">
        <v>444</v>
      </c>
    </row>
    <row r="11623" spans="1:3">
      <c r="A11623" s="250">
        <v>28557</v>
      </c>
      <c r="B11623" s="74" t="s">
        <v>7452</v>
      </c>
      <c r="C11623" s="74" t="s">
        <v>444</v>
      </c>
    </row>
    <row r="11624" spans="1:3">
      <c r="A11624" s="250">
        <v>28560</v>
      </c>
      <c r="B11624" s="74" t="s">
        <v>7453</v>
      </c>
      <c r="C11624" s="74" t="s">
        <v>444</v>
      </c>
    </row>
    <row r="11625" spans="1:3">
      <c r="A11625" s="250">
        <v>28561</v>
      </c>
      <c r="B11625" s="74" t="s">
        <v>7453</v>
      </c>
      <c r="C11625" s="74" t="s">
        <v>444</v>
      </c>
    </row>
    <row r="11626" spans="1:3">
      <c r="A11626" s="250">
        <v>28562</v>
      </c>
      <c r="B11626" s="74" t="s">
        <v>7453</v>
      </c>
      <c r="C11626" s="74" t="s">
        <v>444</v>
      </c>
    </row>
    <row r="11627" spans="1:3">
      <c r="A11627" s="250">
        <v>28563</v>
      </c>
      <c r="B11627" s="74" t="s">
        <v>7453</v>
      </c>
      <c r="C11627" s="74" t="s">
        <v>444</v>
      </c>
    </row>
    <row r="11628" spans="1:3">
      <c r="A11628" s="250">
        <v>28564</v>
      </c>
      <c r="B11628" s="74" t="s">
        <v>7453</v>
      </c>
      <c r="C11628" s="74" t="s">
        <v>444</v>
      </c>
    </row>
    <row r="11629" spans="1:3">
      <c r="A11629" s="250">
        <v>28570</v>
      </c>
      <c r="B11629" s="74" t="s">
        <v>1118</v>
      </c>
      <c r="C11629" s="74" t="s">
        <v>444</v>
      </c>
    </row>
    <row r="11630" spans="1:3">
      <c r="A11630" s="250">
        <v>28571</v>
      </c>
      <c r="B11630" s="74" t="s">
        <v>7454</v>
      </c>
      <c r="C11630" s="74" t="s">
        <v>444</v>
      </c>
    </row>
    <row r="11631" spans="1:3">
      <c r="A11631" s="250">
        <v>28572</v>
      </c>
      <c r="B11631" s="74" t="s">
        <v>7455</v>
      </c>
      <c r="C11631" s="74" t="s">
        <v>444</v>
      </c>
    </row>
    <row r="11632" spans="1:3">
      <c r="A11632" s="250">
        <v>28573</v>
      </c>
      <c r="B11632" s="74" t="s">
        <v>7456</v>
      </c>
      <c r="C11632" s="74" t="s">
        <v>444</v>
      </c>
    </row>
    <row r="11633" spans="1:3">
      <c r="A11633" s="250">
        <v>28574</v>
      </c>
      <c r="B11633" s="74" t="s">
        <v>6472</v>
      </c>
      <c r="C11633" s="74" t="s">
        <v>444</v>
      </c>
    </row>
    <row r="11634" spans="1:3">
      <c r="A11634" s="250">
        <v>28575</v>
      </c>
      <c r="B11634" s="74" t="s">
        <v>7457</v>
      </c>
      <c r="C11634" s="74" t="s">
        <v>444</v>
      </c>
    </row>
    <row r="11635" spans="1:3">
      <c r="A11635" s="250">
        <v>28577</v>
      </c>
      <c r="B11635" s="74" t="s">
        <v>7458</v>
      </c>
      <c r="C11635" s="74" t="s">
        <v>444</v>
      </c>
    </row>
    <row r="11636" spans="1:3">
      <c r="A11636" s="250">
        <v>28578</v>
      </c>
      <c r="B11636" s="74" t="s">
        <v>7459</v>
      </c>
      <c r="C11636" s="74" t="s">
        <v>444</v>
      </c>
    </row>
    <row r="11637" spans="1:3">
      <c r="A11637" s="250">
        <v>28579</v>
      </c>
      <c r="B11637" s="74" t="s">
        <v>3502</v>
      </c>
      <c r="C11637" s="74" t="s">
        <v>444</v>
      </c>
    </row>
    <row r="11638" spans="1:3">
      <c r="A11638" s="250">
        <v>28580</v>
      </c>
      <c r="B11638" s="74" t="s">
        <v>5847</v>
      </c>
      <c r="C11638" s="74" t="s">
        <v>444</v>
      </c>
    </row>
    <row r="11639" spans="1:3">
      <c r="A11639" s="250">
        <v>28581</v>
      </c>
      <c r="B11639" s="74" t="s">
        <v>7460</v>
      </c>
      <c r="C11639" s="74" t="s">
        <v>444</v>
      </c>
    </row>
    <row r="11640" spans="1:3">
      <c r="A11640" s="250">
        <v>28582</v>
      </c>
      <c r="B11640" s="74" t="s">
        <v>7461</v>
      </c>
      <c r="C11640" s="74" t="s">
        <v>444</v>
      </c>
    </row>
    <row r="11641" spans="1:3">
      <c r="A11641" s="250">
        <v>28583</v>
      </c>
      <c r="B11641" s="74" t="s">
        <v>7462</v>
      </c>
      <c r="C11641" s="74" t="s">
        <v>444</v>
      </c>
    </row>
    <row r="11642" spans="1:3">
      <c r="A11642" s="250">
        <v>28584</v>
      </c>
      <c r="B11642" s="74" t="s">
        <v>7463</v>
      </c>
      <c r="C11642" s="74" t="s">
        <v>444</v>
      </c>
    </row>
    <row r="11643" spans="1:3">
      <c r="A11643" s="250">
        <v>28585</v>
      </c>
      <c r="B11643" s="74" t="s">
        <v>2532</v>
      </c>
      <c r="C11643" s="74" t="s">
        <v>444</v>
      </c>
    </row>
    <row r="11644" spans="1:3">
      <c r="A11644" s="250">
        <v>28586</v>
      </c>
      <c r="B11644" s="74" t="s">
        <v>1531</v>
      </c>
      <c r="C11644" s="74" t="s">
        <v>444</v>
      </c>
    </row>
    <row r="11645" spans="1:3">
      <c r="A11645" s="250">
        <v>28587</v>
      </c>
      <c r="B11645" s="74" t="s">
        <v>7464</v>
      </c>
      <c r="C11645" s="74" t="s">
        <v>444</v>
      </c>
    </row>
    <row r="11646" spans="1:3">
      <c r="A11646" s="250">
        <v>28589</v>
      </c>
      <c r="B11646" s="74" t="s">
        <v>1837</v>
      </c>
      <c r="C11646" s="74" t="s">
        <v>444</v>
      </c>
    </row>
    <row r="11647" spans="1:3">
      <c r="A11647" s="250">
        <v>28590</v>
      </c>
      <c r="B11647" s="74" t="s">
        <v>7465</v>
      </c>
      <c r="C11647" s="74" t="s">
        <v>444</v>
      </c>
    </row>
    <row r="11648" spans="1:3">
      <c r="A11648" s="250">
        <v>28594</v>
      </c>
      <c r="B11648" s="74" t="s">
        <v>7466</v>
      </c>
      <c r="C11648" s="74" t="s">
        <v>444</v>
      </c>
    </row>
    <row r="11649" spans="1:3">
      <c r="A11649" s="250">
        <v>28601</v>
      </c>
      <c r="B11649" s="74" t="s">
        <v>4062</v>
      </c>
      <c r="C11649" s="74" t="s">
        <v>444</v>
      </c>
    </row>
    <row r="11650" spans="1:3">
      <c r="A11650" s="250">
        <v>28602</v>
      </c>
      <c r="B11650" s="74" t="s">
        <v>4062</v>
      </c>
      <c r="C11650" s="74" t="s">
        <v>444</v>
      </c>
    </row>
    <row r="11651" spans="1:3">
      <c r="A11651" s="250">
        <v>28603</v>
      </c>
      <c r="B11651" s="74" t="s">
        <v>4062</v>
      </c>
      <c r="C11651" s="74" t="s">
        <v>444</v>
      </c>
    </row>
    <row r="11652" spans="1:3">
      <c r="A11652" s="250">
        <v>28604</v>
      </c>
      <c r="B11652" s="74" t="s">
        <v>7467</v>
      </c>
      <c r="C11652" s="74" t="s">
        <v>444</v>
      </c>
    </row>
    <row r="11653" spans="1:3">
      <c r="A11653" s="250">
        <v>28605</v>
      </c>
      <c r="B11653" s="74" t="s">
        <v>7468</v>
      </c>
      <c r="C11653" s="74" t="s">
        <v>444</v>
      </c>
    </row>
    <row r="11654" spans="1:3">
      <c r="A11654" s="250">
        <v>28606</v>
      </c>
      <c r="B11654" s="74" t="s">
        <v>6584</v>
      </c>
      <c r="C11654" s="74" t="s">
        <v>444</v>
      </c>
    </row>
    <row r="11655" spans="1:3">
      <c r="A11655" s="250">
        <v>28607</v>
      </c>
      <c r="B11655" s="74" t="s">
        <v>7469</v>
      </c>
      <c r="C11655" s="74" t="s">
        <v>444</v>
      </c>
    </row>
    <row r="11656" spans="1:3">
      <c r="A11656" s="250">
        <v>28608</v>
      </c>
      <c r="B11656" s="74" t="s">
        <v>7469</v>
      </c>
      <c r="C11656" s="74" t="s">
        <v>444</v>
      </c>
    </row>
    <row r="11657" spans="1:3">
      <c r="A11657" s="250">
        <v>28609</v>
      </c>
      <c r="B11657" s="74" t="s">
        <v>6262</v>
      </c>
      <c r="C11657" s="74" t="s">
        <v>444</v>
      </c>
    </row>
    <row r="11658" spans="1:3">
      <c r="A11658" s="250">
        <v>28610</v>
      </c>
      <c r="B11658" s="74" t="s">
        <v>1271</v>
      </c>
      <c r="C11658" s="74" t="s">
        <v>444</v>
      </c>
    </row>
    <row r="11659" spans="1:3">
      <c r="A11659" s="250">
        <v>28611</v>
      </c>
      <c r="B11659" s="74" t="s">
        <v>7470</v>
      </c>
      <c r="C11659" s="74" t="s">
        <v>444</v>
      </c>
    </row>
    <row r="11660" spans="1:3">
      <c r="A11660" s="250">
        <v>28612</v>
      </c>
      <c r="B11660" s="74" t="s">
        <v>7471</v>
      </c>
      <c r="C11660" s="74" t="s">
        <v>444</v>
      </c>
    </row>
    <row r="11661" spans="1:3">
      <c r="A11661" s="250">
        <v>28613</v>
      </c>
      <c r="B11661" s="74" t="s">
        <v>7472</v>
      </c>
      <c r="C11661" s="74" t="s">
        <v>444</v>
      </c>
    </row>
    <row r="11662" spans="1:3">
      <c r="A11662" s="250">
        <v>28615</v>
      </c>
      <c r="B11662" s="74" t="s">
        <v>6869</v>
      </c>
      <c r="C11662" s="74" t="s">
        <v>444</v>
      </c>
    </row>
    <row r="11663" spans="1:3">
      <c r="A11663" s="250">
        <v>28616</v>
      </c>
      <c r="B11663" s="74" t="s">
        <v>7473</v>
      </c>
      <c r="C11663" s="74" t="s">
        <v>444</v>
      </c>
    </row>
    <row r="11664" spans="1:3">
      <c r="A11664" s="250">
        <v>28617</v>
      </c>
      <c r="B11664" s="74" t="s">
        <v>7474</v>
      </c>
      <c r="C11664" s="74" t="s">
        <v>444</v>
      </c>
    </row>
    <row r="11665" spans="1:3">
      <c r="A11665" s="250">
        <v>28618</v>
      </c>
      <c r="B11665" s="74" t="s">
        <v>7475</v>
      </c>
      <c r="C11665" s="74" t="s">
        <v>444</v>
      </c>
    </row>
    <row r="11666" spans="1:3">
      <c r="A11666" s="250">
        <v>28619</v>
      </c>
      <c r="B11666" s="74" t="s">
        <v>7476</v>
      </c>
      <c r="C11666" s="74" t="s">
        <v>444</v>
      </c>
    </row>
    <row r="11667" spans="1:3">
      <c r="A11667" s="250">
        <v>28621</v>
      </c>
      <c r="B11667" s="74" t="s">
        <v>7477</v>
      </c>
      <c r="C11667" s="74" t="s">
        <v>444</v>
      </c>
    </row>
    <row r="11668" spans="1:3">
      <c r="A11668" s="250">
        <v>28622</v>
      </c>
      <c r="B11668" s="74" t="s">
        <v>7478</v>
      </c>
      <c r="C11668" s="74" t="s">
        <v>444</v>
      </c>
    </row>
    <row r="11669" spans="1:3">
      <c r="A11669" s="250">
        <v>28623</v>
      </c>
      <c r="B11669" s="74" t="s">
        <v>7479</v>
      </c>
      <c r="C11669" s="74" t="s">
        <v>444</v>
      </c>
    </row>
    <row r="11670" spans="1:3">
      <c r="A11670" s="250">
        <v>28624</v>
      </c>
      <c r="B11670" s="74" t="s">
        <v>7480</v>
      </c>
      <c r="C11670" s="74" t="s">
        <v>444</v>
      </c>
    </row>
    <row r="11671" spans="1:3">
      <c r="A11671" s="250">
        <v>28625</v>
      </c>
      <c r="B11671" s="74" t="s">
        <v>7481</v>
      </c>
      <c r="C11671" s="74" t="s">
        <v>444</v>
      </c>
    </row>
    <row r="11672" spans="1:3">
      <c r="A11672" s="250">
        <v>28626</v>
      </c>
      <c r="B11672" s="74" t="s">
        <v>5456</v>
      </c>
      <c r="C11672" s="74" t="s">
        <v>444</v>
      </c>
    </row>
    <row r="11673" spans="1:3">
      <c r="A11673" s="250">
        <v>28627</v>
      </c>
      <c r="B11673" s="74" t="s">
        <v>7482</v>
      </c>
      <c r="C11673" s="74" t="s">
        <v>444</v>
      </c>
    </row>
    <row r="11674" spans="1:3">
      <c r="A11674" s="250">
        <v>28628</v>
      </c>
      <c r="B11674" s="74" t="s">
        <v>7483</v>
      </c>
      <c r="C11674" s="74" t="s">
        <v>444</v>
      </c>
    </row>
    <row r="11675" spans="1:3">
      <c r="A11675" s="250">
        <v>28629</v>
      </c>
      <c r="B11675" s="74" t="s">
        <v>7484</v>
      </c>
      <c r="C11675" s="74" t="s">
        <v>444</v>
      </c>
    </row>
    <row r="11676" spans="1:3">
      <c r="A11676" s="250">
        <v>28630</v>
      </c>
      <c r="B11676" s="74" t="s">
        <v>7485</v>
      </c>
      <c r="C11676" s="74" t="s">
        <v>444</v>
      </c>
    </row>
    <row r="11677" spans="1:3">
      <c r="A11677" s="250">
        <v>28631</v>
      </c>
      <c r="B11677" s="74" t="s">
        <v>7486</v>
      </c>
      <c r="C11677" s="74" t="s">
        <v>444</v>
      </c>
    </row>
    <row r="11678" spans="1:3">
      <c r="A11678" s="250">
        <v>28633</v>
      </c>
      <c r="B11678" s="74" t="s">
        <v>7487</v>
      </c>
      <c r="C11678" s="74" t="s">
        <v>444</v>
      </c>
    </row>
    <row r="11679" spans="1:3">
      <c r="A11679" s="250">
        <v>28634</v>
      </c>
      <c r="B11679" s="74" t="s">
        <v>1109</v>
      </c>
      <c r="C11679" s="74" t="s">
        <v>444</v>
      </c>
    </row>
    <row r="11680" spans="1:3">
      <c r="A11680" s="250">
        <v>28635</v>
      </c>
      <c r="B11680" s="74" t="s">
        <v>7488</v>
      </c>
      <c r="C11680" s="74" t="s">
        <v>444</v>
      </c>
    </row>
    <row r="11681" spans="1:3">
      <c r="A11681" s="250">
        <v>28636</v>
      </c>
      <c r="B11681" s="74" t="s">
        <v>7489</v>
      </c>
      <c r="C11681" s="74" t="s">
        <v>444</v>
      </c>
    </row>
    <row r="11682" spans="1:3">
      <c r="A11682" s="250">
        <v>28637</v>
      </c>
      <c r="B11682" s="74" t="s">
        <v>7490</v>
      </c>
      <c r="C11682" s="74" t="s">
        <v>444</v>
      </c>
    </row>
    <row r="11683" spans="1:3">
      <c r="A11683" s="250">
        <v>28638</v>
      </c>
      <c r="B11683" s="74" t="s">
        <v>792</v>
      </c>
      <c r="C11683" s="74" t="s">
        <v>444</v>
      </c>
    </row>
    <row r="11684" spans="1:3">
      <c r="A11684" s="250">
        <v>28640</v>
      </c>
      <c r="B11684" s="74" t="s">
        <v>740</v>
      </c>
      <c r="C11684" s="74" t="s">
        <v>444</v>
      </c>
    </row>
    <row r="11685" spans="1:3">
      <c r="A11685" s="250">
        <v>28641</v>
      </c>
      <c r="B11685" s="74" t="s">
        <v>7491</v>
      </c>
      <c r="C11685" s="74" t="s">
        <v>444</v>
      </c>
    </row>
    <row r="11686" spans="1:3">
      <c r="A11686" s="250">
        <v>28642</v>
      </c>
      <c r="B11686" s="74" t="s">
        <v>1819</v>
      </c>
      <c r="C11686" s="74" t="s">
        <v>444</v>
      </c>
    </row>
    <row r="11687" spans="1:3">
      <c r="A11687" s="250">
        <v>28643</v>
      </c>
      <c r="B11687" s="74" t="s">
        <v>3943</v>
      </c>
      <c r="C11687" s="74" t="s">
        <v>444</v>
      </c>
    </row>
    <row r="11688" spans="1:3">
      <c r="A11688" s="250">
        <v>28644</v>
      </c>
      <c r="B11688" s="74" t="s">
        <v>7492</v>
      </c>
      <c r="C11688" s="74" t="s">
        <v>444</v>
      </c>
    </row>
    <row r="11689" spans="1:3">
      <c r="A11689" s="250">
        <v>28645</v>
      </c>
      <c r="B11689" s="74" t="s">
        <v>7487</v>
      </c>
      <c r="C11689" s="74" t="s">
        <v>444</v>
      </c>
    </row>
    <row r="11690" spans="1:3">
      <c r="A11690" s="250">
        <v>28646</v>
      </c>
      <c r="B11690" s="74" t="s">
        <v>5991</v>
      </c>
      <c r="C11690" s="74" t="s">
        <v>444</v>
      </c>
    </row>
    <row r="11691" spans="1:3">
      <c r="A11691" s="250">
        <v>28647</v>
      </c>
      <c r="B11691" s="74" t="s">
        <v>7493</v>
      </c>
      <c r="C11691" s="74" t="s">
        <v>444</v>
      </c>
    </row>
    <row r="11692" spans="1:3">
      <c r="A11692" s="250">
        <v>28649</v>
      </c>
      <c r="B11692" s="74" t="s">
        <v>7494</v>
      </c>
      <c r="C11692" s="74" t="s">
        <v>444</v>
      </c>
    </row>
    <row r="11693" spans="1:3">
      <c r="A11693" s="250">
        <v>28650</v>
      </c>
      <c r="B11693" s="74" t="s">
        <v>7495</v>
      </c>
      <c r="C11693" s="74" t="s">
        <v>444</v>
      </c>
    </row>
    <row r="11694" spans="1:3">
      <c r="A11694" s="250">
        <v>28651</v>
      </c>
      <c r="B11694" s="74" t="s">
        <v>7496</v>
      </c>
      <c r="C11694" s="74" t="s">
        <v>444</v>
      </c>
    </row>
    <row r="11695" spans="1:3">
      <c r="A11695" s="250">
        <v>28652</v>
      </c>
      <c r="B11695" s="74" t="s">
        <v>7497</v>
      </c>
      <c r="C11695" s="74" t="s">
        <v>444</v>
      </c>
    </row>
    <row r="11696" spans="1:3">
      <c r="A11696" s="250">
        <v>28653</v>
      </c>
      <c r="B11696" s="74" t="s">
        <v>3391</v>
      </c>
      <c r="C11696" s="74" t="s">
        <v>444</v>
      </c>
    </row>
    <row r="11697" spans="1:3">
      <c r="A11697" s="250">
        <v>28654</v>
      </c>
      <c r="B11697" s="74" t="s">
        <v>7498</v>
      </c>
      <c r="C11697" s="74" t="s">
        <v>444</v>
      </c>
    </row>
    <row r="11698" spans="1:3">
      <c r="A11698" s="250">
        <v>28655</v>
      </c>
      <c r="B11698" s="74" t="s">
        <v>7499</v>
      </c>
      <c r="C11698" s="74" t="s">
        <v>444</v>
      </c>
    </row>
    <row r="11699" spans="1:3">
      <c r="A11699" s="250">
        <v>28656</v>
      </c>
      <c r="B11699" s="74" t="s">
        <v>7500</v>
      </c>
      <c r="C11699" s="74" t="s">
        <v>444</v>
      </c>
    </row>
    <row r="11700" spans="1:3">
      <c r="A11700" s="250">
        <v>28657</v>
      </c>
      <c r="B11700" s="74" t="s">
        <v>7501</v>
      </c>
      <c r="C11700" s="74" t="s">
        <v>444</v>
      </c>
    </row>
    <row r="11701" spans="1:3">
      <c r="A11701" s="250">
        <v>28658</v>
      </c>
      <c r="B11701" s="74" t="s">
        <v>973</v>
      </c>
      <c r="C11701" s="74" t="s">
        <v>444</v>
      </c>
    </row>
    <row r="11702" spans="1:3">
      <c r="A11702" s="250">
        <v>28659</v>
      </c>
      <c r="B11702" s="74" t="s">
        <v>7500</v>
      </c>
      <c r="C11702" s="74" t="s">
        <v>444</v>
      </c>
    </row>
    <row r="11703" spans="1:3">
      <c r="A11703" s="250">
        <v>28660</v>
      </c>
      <c r="B11703" s="74" t="s">
        <v>7502</v>
      </c>
      <c r="C11703" s="74" t="s">
        <v>444</v>
      </c>
    </row>
    <row r="11704" spans="1:3">
      <c r="A11704" s="250">
        <v>28661</v>
      </c>
      <c r="B11704" s="74" t="s">
        <v>3134</v>
      </c>
      <c r="C11704" s="74" t="s">
        <v>444</v>
      </c>
    </row>
    <row r="11705" spans="1:3">
      <c r="A11705" s="250">
        <v>28662</v>
      </c>
      <c r="B11705" s="74" t="s">
        <v>7503</v>
      </c>
      <c r="C11705" s="74" t="s">
        <v>444</v>
      </c>
    </row>
    <row r="11706" spans="1:3">
      <c r="A11706" s="250">
        <v>28663</v>
      </c>
      <c r="B11706" s="74" t="s">
        <v>7504</v>
      </c>
      <c r="C11706" s="74" t="s">
        <v>444</v>
      </c>
    </row>
    <row r="11707" spans="1:3">
      <c r="A11707" s="250">
        <v>28664</v>
      </c>
      <c r="B11707" s="74" t="s">
        <v>7505</v>
      </c>
      <c r="C11707" s="74" t="s">
        <v>444</v>
      </c>
    </row>
    <row r="11708" spans="1:3">
      <c r="A11708" s="250">
        <v>28665</v>
      </c>
      <c r="B11708" s="74" t="s">
        <v>7506</v>
      </c>
      <c r="C11708" s="74" t="s">
        <v>444</v>
      </c>
    </row>
    <row r="11709" spans="1:3">
      <c r="A11709" s="250">
        <v>28666</v>
      </c>
      <c r="B11709" s="74" t="s">
        <v>7507</v>
      </c>
      <c r="C11709" s="74" t="s">
        <v>444</v>
      </c>
    </row>
    <row r="11710" spans="1:3">
      <c r="A11710" s="250">
        <v>28667</v>
      </c>
      <c r="B11710" s="74" t="s">
        <v>7508</v>
      </c>
      <c r="C11710" s="74" t="s">
        <v>444</v>
      </c>
    </row>
    <row r="11711" spans="1:3">
      <c r="A11711" s="250">
        <v>28668</v>
      </c>
      <c r="B11711" s="74" t="s">
        <v>7509</v>
      </c>
      <c r="C11711" s="74" t="s">
        <v>444</v>
      </c>
    </row>
    <row r="11712" spans="1:3">
      <c r="A11712" s="250">
        <v>28669</v>
      </c>
      <c r="B11712" s="74" t="s">
        <v>7510</v>
      </c>
      <c r="C11712" s="74" t="s">
        <v>444</v>
      </c>
    </row>
    <row r="11713" spans="1:3">
      <c r="A11713" s="250">
        <v>28670</v>
      </c>
      <c r="B11713" s="74" t="s">
        <v>7511</v>
      </c>
      <c r="C11713" s="74" t="s">
        <v>444</v>
      </c>
    </row>
    <row r="11714" spans="1:3">
      <c r="A11714" s="250">
        <v>28671</v>
      </c>
      <c r="B11714" s="74" t="s">
        <v>7512</v>
      </c>
      <c r="C11714" s="74" t="s">
        <v>444</v>
      </c>
    </row>
    <row r="11715" spans="1:3">
      <c r="A11715" s="250">
        <v>28672</v>
      </c>
      <c r="B11715" s="74" t="s">
        <v>7513</v>
      </c>
      <c r="C11715" s="74" t="s">
        <v>444</v>
      </c>
    </row>
    <row r="11716" spans="1:3">
      <c r="A11716" s="250">
        <v>28673</v>
      </c>
      <c r="B11716" s="74" t="s">
        <v>7514</v>
      </c>
      <c r="C11716" s="74" t="s">
        <v>444</v>
      </c>
    </row>
    <row r="11717" spans="1:3">
      <c r="A11717" s="250">
        <v>28674</v>
      </c>
      <c r="B11717" s="74" t="s">
        <v>7500</v>
      </c>
      <c r="C11717" s="74" t="s">
        <v>444</v>
      </c>
    </row>
    <row r="11718" spans="1:3">
      <c r="A11718" s="250">
        <v>28675</v>
      </c>
      <c r="B11718" s="74" t="s">
        <v>2327</v>
      </c>
      <c r="C11718" s="74" t="s">
        <v>444</v>
      </c>
    </row>
    <row r="11719" spans="1:3">
      <c r="A11719" s="250">
        <v>28676</v>
      </c>
      <c r="B11719" s="74" t="s">
        <v>7515</v>
      </c>
      <c r="C11719" s="74" t="s">
        <v>444</v>
      </c>
    </row>
    <row r="11720" spans="1:3">
      <c r="A11720" s="250">
        <v>28677</v>
      </c>
      <c r="B11720" s="74" t="s">
        <v>7481</v>
      </c>
      <c r="C11720" s="74" t="s">
        <v>444</v>
      </c>
    </row>
    <row r="11721" spans="1:3">
      <c r="A11721" s="250">
        <v>28678</v>
      </c>
      <c r="B11721" s="74" t="s">
        <v>2708</v>
      </c>
      <c r="C11721" s="74" t="s">
        <v>444</v>
      </c>
    </row>
    <row r="11722" spans="1:3">
      <c r="A11722" s="250">
        <v>28679</v>
      </c>
      <c r="B11722" s="74" t="s">
        <v>4493</v>
      </c>
      <c r="C11722" s="74" t="s">
        <v>444</v>
      </c>
    </row>
    <row r="11723" spans="1:3">
      <c r="A11723" s="250">
        <v>28680</v>
      </c>
      <c r="B11723" s="74" t="s">
        <v>7499</v>
      </c>
      <c r="C11723" s="74" t="s">
        <v>444</v>
      </c>
    </row>
    <row r="11724" spans="1:3">
      <c r="A11724" s="250">
        <v>28681</v>
      </c>
      <c r="B11724" s="74" t="s">
        <v>7516</v>
      </c>
      <c r="C11724" s="74" t="s">
        <v>444</v>
      </c>
    </row>
    <row r="11725" spans="1:3">
      <c r="A11725" s="250">
        <v>28682</v>
      </c>
      <c r="B11725" s="74" t="s">
        <v>7517</v>
      </c>
      <c r="C11725" s="74" t="s">
        <v>444</v>
      </c>
    </row>
    <row r="11726" spans="1:3">
      <c r="A11726" s="250">
        <v>28683</v>
      </c>
      <c r="B11726" s="74" t="s">
        <v>6831</v>
      </c>
      <c r="C11726" s="74" t="s">
        <v>444</v>
      </c>
    </row>
    <row r="11727" spans="1:3">
      <c r="A11727" s="250">
        <v>28684</v>
      </c>
      <c r="B11727" s="74" t="s">
        <v>4582</v>
      </c>
      <c r="C11727" s="74" t="s">
        <v>444</v>
      </c>
    </row>
    <row r="11728" spans="1:3">
      <c r="A11728" s="250">
        <v>28685</v>
      </c>
      <c r="B11728" s="74" t="s">
        <v>7518</v>
      </c>
      <c r="C11728" s="74" t="s">
        <v>444</v>
      </c>
    </row>
    <row r="11729" spans="1:3">
      <c r="A11729" s="250">
        <v>28687</v>
      </c>
      <c r="B11729" s="74" t="s">
        <v>7481</v>
      </c>
      <c r="C11729" s="74" t="s">
        <v>444</v>
      </c>
    </row>
    <row r="11730" spans="1:3">
      <c r="A11730" s="250">
        <v>28688</v>
      </c>
      <c r="B11730" s="74" t="s">
        <v>7519</v>
      </c>
      <c r="C11730" s="74" t="s">
        <v>444</v>
      </c>
    </row>
    <row r="11731" spans="1:3">
      <c r="A11731" s="250">
        <v>28689</v>
      </c>
      <c r="B11731" s="74" t="s">
        <v>7520</v>
      </c>
      <c r="C11731" s="74" t="s">
        <v>444</v>
      </c>
    </row>
    <row r="11732" spans="1:3">
      <c r="A11732" s="250">
        <v>28690</v>
      </c>
      <c r="B11732" s="74" t="s">
        <v>7521</v>
      </c>
      <c r="C11732" s="74" t="s">
        <v>444</v>
      </c>
    </row>
    <row r="11733" spans="1:3">
      <c r="A11733" s="250">
        <v>28691</v>
      </c>
      <c r="B11733" s="74" t="s">
        <v>7522</v>
      </c>
      <c r="C11733" s="74" t="s">
        <v>444</v>
      </c>
    </row>
    <row r="11734" spans="1:3">
      <c r="A11734" s="250">
        <v>28692</v>
      </c>
      <c r="B11734" s="74" t="s">
        <v>7523</v>
      </c>
      <c r="C11734" s="74" t="s">
        <v>444</v>
      </c>
    </row>
    <row r="11735" spans="1:3">
      <c r="A11735" s="250">
        <v>28693</v>
      </c>
      <c r="B11735" s="74" t="s">
        <v>7524</v>
      </c>
      <c r="C11735" s="74" t="s">
        <v>444</v>
      </c>
    </row>
    <row r="11736" spans="1:3">
      <c r="A11736" s="250">
        <v>28694</v>
      </c>
      <c r="B11736" s="74" t="s">
        <v>7525</v>
      </c>
      <c r="C11736" s="74" t="s">
        <v>444</v>
      </c>
    </row>
    <row r="11737" spans="1:3">
      <c r="A11737" s="250">
        <v>28697</v>
      </c>
      <c r="B11737" s="74" t="s">
        <v>7526</v>
      </c>
      <c r="C11737" s="74" t="s">
        <v>444</v>
      </c>
    </row>
    <row r="11738" spans="1:3">
      <c r="A11738" s="250">
        <v>28698</v>
      </c>
      <c r="B11738" s="74" t="s">
        <v>7527</v>
      </c>
      <c r="C11738" s="74" t="s">
        <v>444</v>
      </c>
    </row>
    <row r="11739" spans="1:3">
      <c r="A11739" s="250">
        <v>28699</v>
      </c>
      <c r="B11739" s="74" t="s">
        <v>7528</v>
      </c>
      <c r="C11739" s="74" t="s">
        <v>444</v>
      </c>
    </row>
    <row r="11740" spans="1:3">
      <c r="A11740" s="250">
        <v>28701</v>
      </c>
      <c r="B11740" s="74" t="s">
        <v>3669</v>
      </c>
      <c r="C11740" s="74" t="s">
        <v>444</v>
      </c>
    </row>
    <row r="11741" spans="1:3">
      <c r="A11741" s="250">
        <v>28702</v>
      </c>
      <c r="B11741" s="74" t="s">
        <v>3893</v>
      </c>
      <c r="C11741" s="74" t="s">
        <v>444</v>
      </c>
    </row>
    <row r="11742" spans="1:3">
      <c r="A11742" s="250">
        <v>28704</v>
      </c>
      <c r="B11742" s="74" t="s">
        <v>2673</v>
      </c>
      <c r="C11742" s="74" t="s">
        <v>444</v>
      </c>
    </row>
    <row r="11743" spans="1:3">
      <c r="A11743" s="250">
        <v>28705</v>
      </c>
      <c r="B11743" s="74" t="s">
        <v>7529</v>
      </c>
      <c r="C11743" s="74" t="s">
        <v>444</v>
      </c>
    </row>
    <row r="11744" spans="1:3">
      <c r="A11744" s="250">
        <v>28707</v>
      </c>
      <c r="B11744" s="74" t="s">
        <v>7530</v>
      </c>
      <c r="C11744" s="74" t="s">
        <v>444</v>
      </c>
    </row>
    <row r="11745" spans="1:3">
      <c r="A11745" s="250">
        <v>28708</v>
      </c>
      <c r="B11745" s="74" t="s">
        <v>7531</v>
      </c>
      <c r="C11745" s="74" t="s">
        <v>444</v>
      </c>
    </row>
    <row r="11746" spans="1:3">
      <c r="A11746" s="250">
        <v>28709</v>
      </c>
      <c r="B11746" s="74" t="s">
        <v>7532</v>
      </c>
      <c r="C11746" s="74" t="s">
        <v>444</v>
      </c>
    </row>
    <row r="11747" spans="1:3">
      <c r="A11747" s="250">
        <v>28710</v>
      </c>
      <c r="B11747" s="74" t="s">
        <v>7533</v>
      </c>
      <c r="C11747" s="74" t="s">
        <v>444</v>
      </c>
    </row>
    <row r="11748" spans="1:3">
      <c r="A11748" s="250">
        <v>28711</v>
      </c>
      <c r="B11748" s="74" t="s">
        <v>7534</v>
      </c>
      <c r="C11748" s="74" t="s">
        <v>444</v>
      </c>
    </row>
    <row r="11749" spans="1:3">
      <c r="A11749" s="250">
        <v>28712</v>
      </c>
      <c r="B11749" s="74" t="s">
        <v>7535</v>
      </c>
      <c r="C11749" s="74" t="s">
        <v>444</v>
      </c>
    </row>
    <row r="11750" spans="1:3">
      <c r="A11750" s="250">
        <v>28713</v>
      </c>
      <c r="B11750" s="74" t="s">
        <v>7536</v>
      </c>
      <c r="C11750" s="74" t="s">
        <v>444</v>
      </c>
    </row>
    <row r="11751" spans="1:3">
      <c r="A11751" s="250">
        <v>28714</v>
      </c>
      <c r="B11751" s="74" t="s">
        <v>6932</v>
      </c>
      <c r="C11751" s="74" t="s">
        <v>444</v>
      </c>
    </row>
    <row r="11752" spans="1:3">
      <c r="A11752" s="250">
        <v>28715</v>
      </c>
      <c r="B11752" s="74" t="s">
        <v>7537</v>
      </c>
      <c r="C11752" s="74" t="s">
        <v>444</v>
      </c>
    </row>
    <row r="11753" spans="1:3">
      <c r="A11753" s="250">
        <v>28716</v>
      </c>
      <c r="B11753" s="74" t="s">
        <v>866</v>
      </c>
      <c r="C11753" s="74" t="s">
        <v>444</v>
      </c>
    </row>
    <row r="11754" spans="1:3">
      <c r="A11754" s="250">
        <v>28717</v>
      </c>
      <c r="B11754" s="74" t="s">
        <v>7538</v>
      </c>
      <c r="C11754" s="74" t="s">
        <v>444</v>
      </c>
    </row>
    <row r="11755" spans="1:3">
      <c r="A11755" s="250">
        <v>28718</v>
      </c>
      <c r="B11755" s="74" t="s">
        <v>7539</v>
      </c>
      <c r="C11755" s="74" t="s">
        <v>444</v>
      </c>
    </row>
    <row r="11756" spans="1:3">
      <c r="A11756" s="250">
        <v>28719</v>
      </c>
      <c r="B11756" s="74" t="s">
        <v>7540</v>
      </c>
      <c r="C11756" s="74" t="s">
        <v>444</v>
      </c>
    </row>
    <row r="11757" spans="1:3">
      <c r="A11757" s="250">
        <v>28720</v>
      </c>
      <c r="B11757" s="74" t="s">
        <v>7541</v>
      </c>
      <c r="C11757" s="74" t="s">
        <v>444</v>
      </c>
    </row>
    <row r="11758" spans="1:3">
      <c r="A11758" s="250">
        <v>28721</v>
      </c>
      <c r="B11758" s="74" t="s">
        <v>3766</v>
      </c>
      <c r="C11758" s="74" t="s">
        <v>444</v>
      </c>
    </row>
    <row r="11759" spans="1:3">
      <c r="A11759" s="250">
        <v>28722</v>
      </c>
      <c r="B11759" s="74" t="s">
        <v>2376</v>
      </c>
      <c r="C11759" s="74" t="s">
        <v>444</v>
      </c>
    </row>
    <row r="11760" spans="1:3">
      <c r="A11760" s="250">
        <v>28723</v>
      </c>
      <c r="B11760" s="74" t="s">
        <v>7542</v>
      </c>
      <c r="C11760" s="74" t="s">
        <v>444</v>
      </c>
    </row>
    <row r="11761" spans="1:3">
      <c r="A11761" s="250">
        <v>28724</v>
      </c>
      <c r="B11761" s="74" t="s">
        <v>7543</v>
      </c>
      <c r="C11761" s="74" t="s">
        <v>444</v>
      </c>
    </row>
    <row r="11762" spans="1:3">
      <c r="A11762" s="250">
        <v>28725</v>
      </c>
      <c r="B11762" s="74" t="s">
        <v>7544</v>
      </c>
      <c r="C11762" s="74" t="s">
        <v>444</v>
      </c>
    </row>
    <row r="11763" spans="1:3">
      <c r="A11763" s="250">
        <v>28726</v>
      </c>
      <c r="B11763" s="74" t="s">
        <v>7545</v>
      </c>
      <c r="C11763" s="74" t="s">
        <v>444</v>
      </c>
    </row>
    <row r="11764" spans="1:3">
      <c r="A11764" s="250">
        <v>28727</v>
      </c>
      <c r="B11764" s="74" t="s">
        <v>7546</v>
      </c>
      <c r="C11764" s="74" t="s">
        <v>444</v>
      </c>
    </row>
    <row r="11765" spans="1:3">
      <c r="A11765" s="250">
        <v>28728</v>
      </c>
      <c r="B11765" s="74" t="s">
        <v>7547</v>
      </c>
      <c r="C11765" s="74" t="s">
        <v>444</v>
      </c>
    </row>
    <row r="11766" spans="1:3">
      <c r="A11766" s="250">
        <v>28729</v>
      </c>
      <c r="B11766" s="74" t="s">
        <v>7548</v>
      </c>
      <c r="C11766" s="74" t="s">
        <v>444</v>
      </c>
    </row>
    <row r="11767" spans="1:3">
      <c r="A11767" s="250">
        <v>28730</v>
      </c>
      <c r="B11767" s="74" t="s">
        <v>2122</v>
      </c>
      <c r="C11767" s="74" t="s">
        <v>444</v>
      </c>
    </row>
    <row r="11768" spans="1:3">
      <c r="A11768" s="250">
        <v>28731</v>
      </c>
      <c r="B11768" s="74" t="s">
        <v>7549</v>
      </c>
      <c r="C11768" s="74" t="s">
        <v>444</v>
      </c>
    </row>
    <row r="11769" spans="1:3">
      <c r="A11769" s="250">
        <v>28732</v>
      </c>
      <c r="B11769" s="74" t="s">
        <v>7550</v>
      </c>
      <c r="C11769" s="74" t="s">
        <v>444</v>
      </c>
    </row>
    <row r="11770" spans="1:3">
      <c r="A11770" s="250">
        <v>28733</v>
      </c>
      <c r="B11770" s="74" t="s">
        <v>7551</v>
      </c>
      <c r="C11770" s="74" t="s">
        <v>444</v>
      </c>
    </row>
    <row r="11771" spans="1:3">
      <c r="A11771" s="250">
        <v>28734</v>
      </c>
      <c r="B11771" s="74" t="s">
        <v>873</v>
      </c>
      <c r="C11771" s="74" t="s">
        <v>444</v>
      </c>
    </row>
    <row r="11772" spans="1:3">
      <c r="A11772" s="250">
        <v>28735</v>
      </c>
      <c r="B11772" s="74" t="s">
        <v>7552</v>
      </c>
      <c r="C11772" s="74" t="s">
        <v>444</v>
      </c>
    </row>
    <row r="11773" spans="1:3">
      <c r="A11773" s="250">
        <v>28736</v>
      </c>
      <c r="B11773" s="74" t="s">
        <v>4822</v>
      </c>
      <c r="C11773" s="74" t="s">
        <v>444</v>
      </c>
    </row>
    <row r="11774" spans="1:3">
      <c r="A11774" s="250">
        <v>28737</v>
      </c>
      <c r="B11774" s="74" t="s">
        <v>2187</v>
      </c>
      <c r="C11774" s="74" t="s">
        <v>444</v>
      </c>
    </row>
    <row r="11775" spans="1:3">
      <c r="A11775" s="250">
        <v>28738</v>
      </c>
      <c r="B11775" s="74" t="s">
        <v>7553</v>
      </c>
      <c r="C11775" s="74" t="s">
        <v>444</v>
      </c>
    </row>
    <row r="11776" spans="1:3">
      <c r="A11776" s="250">
        <v>28739</v>
      </c>
      <c r="B11776" s="74" t="s">
        <v>4061</v>
      </c>
      <c r="C11776" s="74" t="s">
        <v>444</v>
      </c>
    </row>
    <row r="11777" spans="1:3">
      <c r="A11777" s="250">
        <v>28740</v>
      </c>
      <c r="B11777" s="74" t="s">
        <v>7554</v>
      </c>
      <c r="C11777" s="74" t="s">
        <v>444</v>
      </c>
    </row>
    <row r="11778" spans="1:3">
      <c r="A11778" s="250">
        <v>28741</v>
      </c>
      <c r="B11778" s="74" t="s">
        <v>2271</v>
      </c>
      <c r="C11778" s="74" t="s">
        <v>444</v>
      </c>
    </row>
    <row r="11779" spans="1:3">
      <c r="A11779" s="250">
        <v>28742</v>
      </c>
      <c r="B11779" s="74" t="s">
        <v>7555</v>
      </c>
      <c r="C11779" s="74" t="s">
        <v>444</v>
      </c>
    </row>
    <row r="11780" spans="1:3">
      <c r="A11780" s="250">
        <v>28743</v>
      </c>
      <c r="B11780" s="74" t="s">
        <v>6392</v>
      </c>
      <c r="C11780" s="74" t="s">
        <v>444</v>
      </c>
    </row>
    <row r="11781" spans="1:3">
      <c r="A11781" s="250">
        <v>28744</v>
      </c>
      <c r="B11781" s="74" t="s">
        <v>873</v>
      </c>
      <c r="C11781" s="74" t="s">
        <v>444</v>
      </c>
    </row>
    <row r="11782" spans="1:3">
      <c r="A11782" s="250">
        <v>28745</v>
      </c>
      <c r="B11782" s="74" t="s">
        <v>7556</v>
      </c>
      <c r="C11782" s="74" t="s">
        <v>444</v>
      </c>
    </row>
    <row r="11783" spans="1:3">
      <c r="A11783" s="250">
        <v>28746</v>
      </c>
      <c r="B11783" s="74" t="s">
        <v>7557</v>
      </c>
      <c r="C11783" s="74" t="s">
        <v>444</v>
      </c>
    </row>
    <row r="11784" spans="1:3">
      <c r="A11784" s="250">
        <v>28747</v>
      </c>
      <c r="B11784" s="74" t="s">
        <v>7558</v>
      </c>
      <c r="C11784" s="74" t="s">
        <v>444</v>
      </c>
    </row>
    <row r="11785" spans="1:3">
      <c r="A11785" s="250">
        <v>28748</v>
      </c>
      <c r="B11785" s="74" t="s">
        <v>742</v>
      </c>
      <c r="C11785" s="74" t="s">
        <v>444</v>
      </c>
    </row>
    <row r="11786" spans="1:3">
      <c r="A11786" s="250">
        <v>28749</v>
      </c>
      <c r="B11786" s="74" t="s">
        <v>7559</v>
      </c>
      <c r="C11786" s="74" t="s">
        <v>444</v>
      </c>
    </row>
    <row r="11787" spans="1:3">
      <c r="A11787" s="250">
        <v>28750</v>
      </c>
      <c r="B11787" s="74" t="s">
        <v>833</v>
      </c>
      <c r="C11787" s="74" t="s">
        <v>444</v>
      </c>
    </row>
    <row r="11788" spans="1:3">
      <c r="A11788" s="250">
        <v>28751</v>
      </c>
      <c r="B11788" s="74" t="s">
        <v>7560</v>
      </c>
      <c r="C11788" s="74" t="s">
        <v>444</v>
      </c>
    </row>
    <row r="11789" spans="1:3">
      <c r="A11789" s="250">
        <v>28752</v>
      </c>
      <c r="B11789" s="74" t="s">
        <v>1071</v>
      </c>
      <c r="C11789" s="74" t="s">
        <v>444</v>
      </c>
    </row>
    <row r="11790" spans="1:3">
      <c r="A11790" s="250">
        <v>28753</v>
      </c>
      <c r="B11790" s="74" t="s">
        <v>5516</v>
      </c>
      <c r="C11790" s="74" t="s">
        <v>444</v>
      </c>
    </row>
    <row r="11791" spans="1:3">
      <c r="A11791" s="250">
        <v>28754</v>
      </c>
      <c r="B11791" s="74" t="s">
        <v>1638</v>
      </c>
      <c r="C11791" s="74" t="s">
        <v>444</v>
      </c>
    </row>
    <row r="11792" spans="1:3">
      <c r="A11792" s="250">
        <v>28755</v>
      </c>
      <c r="B11792" s="74" t="s">
        <v>7561</v>
      </c>
      <c r="C11792" s="74" t="s">
        <v>444</v>
      </c>
    </row>
    <row r="11793" spans="1:3">
      <c r="A11793" s="250">
        <v>28756</v>
      </c>
      <c r="B11793" s="74" t="s">
        <v>7562</v>
      </c>
      <c r="C11793" s="74" t="s">
        <v>444</v>
      </c>
    </row>
    <row r="11794" spans="1:3">
      <c r="A11794" s="250">
        <v>28757</v>
      </c>
      <c r="B11794" s="74" t="s">
        <v>7563</v>
      </c>
      <c r="C11794" s="74" t="s">
        <v>444</v>
      </c>
    </row>
    <row r="11795" spans="1:3">
      <c r="A11795" s="250">
        <v>28758</v>
      </c>
      <c r="B11795" s="74" t="s">
        <v>7564</v>
      </c>
      <c r="C11795" s="74" t="s">
        <v>444</v>
      </c>
    </row>
    <row r="11796" spans="1:3">
      <c r="A11796" s="250">
        <v>28759</v>
      </c>
      <c r="B11796" s="74" t="s">
        <v>7565</v>
      </c>
      <c r="C11796" s="74" t="s">
        <v>444</v>
      </c>
    </row>
    <row r="11797" spans="1:3">
      <c r="A11797" s="250">
        <v>28760</v>
      </c>
      <c r="B11797" s="74" t="s">
        <v>1397</v>
      </c>
      <c r="C11797" s="74" t="s">
        <v>444</v>
      </c>
    </row>
    <row r="11798" spans="1:3">
      <c r="A11798" s="250">
        <v>28761</v>
      </c>
      <c r="B11798" s="74" t="s">
        <v>6630</v>
      </c>
      <c r="C11798" s="74" t="s">
        <v>444</v>
      </c>
    </row>
    <row r="11799" spans="1:3">
      <c r="A11799" s="250">
        <v>28762</v>
      </c>
      <c r="B11799" s="74" t="s">
        <v>7566</v>
      </c>
      <c r="C11799" s="74" t="s">
        <v>444</v>
      </c>
    </row>
    <row r="11800" spans="1:3">
      <c r="A11800" s="250">
        <v>28763</v>
      </c>
      <c r="B11800" s="74" t="s">
        <v>3880</v>
      </c>
      <c r="C11800" s="74" t="s">
        <v>444</v>
      </c>
    </row>
    <row r="11801" spans="1:3">
      <c r="A11801" s="250">
        <v>28765</v>
      </c>
      <c r="B11801" s="74" t="s">
        <v>7567</v>
      </c>
      <c r="C11801" s="74" t="s">
        <v>444</v>
      </c>
    </row>
    <row r="11802" spans="1:3">
      <c r="A11802" s="250">
        <v>28766</v>
      </c>
      <c r="B11802" s="74" t="s">
        <v>7568</v>
      </c>
      <c r="C11802" s="74" t="s">
        <v>444</v>
      </c>
    </row>
    <row r="11803" spans="1:3">
      <c r="A11803" s="250">
        <v>28768</v>
      </c>
      <c r="B11803" s="74" t="s">
        <v>7569</v>
      </c>
      <c r="C11803" s="74" t="s">
        <v>444</v>
      </c>
    </row>
    <row r="11804" spans="1:3">
      <c r="A11804" s="250">
        <v>28770</v>
      </c>
      <c r="B11804" s="74" t="s">
        <v>7570</v>
      </c>
      <c r="C11804" s="74" t="s">
        <v>444</v>
      </c>
    </row>
    <row r="11805" spans="1:3">
      <c r="A11805" s="250">
        <v>28771</v>
      </c>
      <c r="B11805" s="74" t="s">
        <v>7571</v>
      </c>
      <c r="C11805" s="74" t="s">
        <v>444</v>
      </c>
    </row>
    <row r="11806" spans="1:3">
      <c r="A11806" s="250">
        <v>28772</v>
      </c>
      <c r="B11806" s="74" t="s">
        <v>7572</v>
      </c>
      <c r="C11806" s="74" t="s">
        <v>444</v>
      </c>
    </row>
    <row r="11807" spans="1:3">
      <c r="A11807" s="250">
        <v>28773</v>
      </c>
      <c r="B11807" s="74" t="s">
        <v>6103</v>
      </c>
      <c r="C11807" s="74" t="s">
        <v>444</v>
      </c>
    </row>
    <row r="11808" spans="1:3">
      <c r="A11808" s="250">
        <v>28774</v>
      </c>
      <c r="B11808" s="74" t="s">
        <v>7573</v>
      </c>
      <c r="C11808" s="74" t="s">
        <v>444</v>
      </c>
    </row>
    <row r="11809" spans="1:3">
      <c r="A11809" s="250">
        <v>28775</v>
      </c>
      <c r="B11809" s="74" t="s">
        <v>7574</v>
      </c>
      <c r="C11809" s="74" t="s">
        <v>444</v>
      </c>
    </row>
    <row r="11810" spans="1:3">
      <c r="A11810" s="250">
        <v>28776</v>
      </c>
      <c r="B11810" s="74" t="s">
        <v>7575</v>
      </c>
      <c r="C11810" s="74" t="s">
        <v>444</v>
      </c>
    </row>
    <row r="11811" spans="1:3">
      <c r="A11811" s="250">
        <v>28777</v>
      </c>
      <c r="B11811" s="74" t="s">
        <v>7576</v>
      </c>
      <c r="C11811" s="74" t="s">
        <v>444</v>
      </c>
    </row>
    <row r="11812" spans="1:3">
      <c r="A11812" s="250">
        <v>28778</v>
      </c>
      <c r="B11812" s="74" t="s">
        <v>7577</v>
      </c>
      <c r="C11812" s="74" t="s">
        <v>444</v>
      </c>
    </row>
    <row r="11813" spans="1:3">
      <c r="A11813" s="250">
        <v>28779</v>
      </c>
      <c r="B11813" s="74" t="s">
        <v>7578</v>
      </c>
      <c r="C11813" s="74" t="s">
        <v>444</v>
      </c>
    </row>
    <row r="11814" spans="1:3">
      <c r="A11814" s="250">
        <v>28781</v>
      </c>
      <c r="B11814" s="74" t="s">
        <v>5480</v>
      </c>
      <c r="C11814" s="74" t="s">
        <v>444</v>
      </c>
    </row>
    <row r="11815" spans="1:3">
      <c r="A11815" s="250">
        <v>28782</v>
      </c>
      <c r="B11815" s="74" t="s">
        <v>7579</v>
      </c>
      <c r="C11815" s="74" t="s">
        <v>444</v>
      </c>
    </row>
    <row r="11816" spans="1:3">
      <c r="A11816" s="250">
        <v>28783</v>
      </c>
      <c r="B11816" s="74" t="s">
        <v>7580</v>
      </c>
      <c r="C11816" s="74" t="s">
        <v>444</v>
      </c>
    </row>
    <row r="11817" spans="1:3">
      <c r="A11817" s="250">
        <v>28784</v>
      </c>
      <c r="B11817" s="74" t="s">
        <v>7581</v>
      </c>
      <c r="C11817" s="74" t="s">
        <v>444</v>
      </c>
    </row>
    <row r="11818" spans="1:3">
      <c r="A11818" s="250">
        <v>28785</v>
      </c>
      <c r="B11818" s="74" t="s">
        <v>7582</v>
      </c>
      <c r="C11818" s="74" t="s">
        <v>444</v>
      </c>
    </row>
    <row r="11819" spans="1:3">
      <c r="A11819" s="250">
        <v>28786</v>
      </c>
      <c r="B11819" s="74" t="s">
        <v>7582</v>
      </c>
      <c r="C11819" s="74" t="s">
        <v>444</v>
      </c>
    </row>
    <row r="11820" spans="1:3">
      <c r="A11820" s="250">
        <v>28787</v>
      </c>
      <c r="B11820" s="74" t="s">
        <v>7583</v>
      </c>
      <c r="C11820" s="74" t="s">
        <v>444</v>
      </c>
    </row>
    <row r="11821" spans="1:3">
      <c r="A11821" s="250">
        <v>28788</v>
      </c>
      <c r="B11821" s="74" t="s">
        <v>767</v>
      </c>
      <c r="C11821" s="74" t="s">
        <v>444</v>
      </c>
    </row>
    <row r="11822" spans="1:3">
      <c r="A11822" s="250">
        <v>28789</v>
      </c>
      <c r="B11822" s="74" t="s">
        <v>7584</v>
      </c>
      <c r="C11822" s="74" t="s">
        <v>444</v>
      </c>
    </row>
    <row r="11823" spans="1:3">
      <c r="A11823" s="250">
        <v>28790</v>
      </c>
      <c r="B11823" s="74" t="s">
        <v>7585</v>
      </c>
      <c r="C11823" s="74" t="s">
        <v>444</v>
      </c>
    </row>
    <row r="11824" spans="1:3">
      <c r="A11824" s="250">
        <v>28791</v>
      </c>
      <c r="B11824" s="74" t="s">
        <v>4061</v>
      </c>
      <c r="C11824" s="74" t="s">
        <v>444</v>
      </c>
    </row>
    <row r="11825" spans="1:3">
      <c r="A11825" s="250">
        <v>28792</v>
      </c>
      <c r="B11825" s="74" t="s">
        <v>4061</v>
      </c>
      <c r="C11825" s="74" t="s">
        <v>444</v>
      </c>
    </row>
    <row r="11826" spans="1:3">
      <c r="A11826" s="250">
        <v>28793</v>
      </c>
      <c r="B11826" s="74" t="s">
        <v>4061</v>
      </c>
      <c r="C11826" s="74" t="s">
        <v>444</v>
      </c>
    </row>
    <row r="11827" spans="1:3">
      <c r="A11827" s="250">
        <v>28801</v>
      </c>
      <c r="B11827" s="74" t="s">
        <v>7586</v>
      </c>
      <c r="C11827" s="74" t="s">
        <v>444</v>
      </c>
    </row>
    <row r="11828" spans="1:3">
      <c r="A11828" s="250">
        <v>28802</v>
      </c>
      <c r="B11828" s="74" t="s">
        <v>7586</v>
      </c>
      <c r="C11828" s="74" t="s">
        <v>444</v>
      </c>
    </row>
    <row r="11829" spans="1:3">
      <c r="A11829" s="250">
        <v>28803</v>
      </c>
      <c r="B11829" s="74" t="s">
        <v>7586</v>
      </c>
      <c r="C11829" s="74" t="s">
        <v>444</v>
      </c>
    </row>
    <row r="11830" spans="1:3">
      <c r="A11830" s="250">
        <v>28804</v>
      </c>
      <c r="B11830" s="74" t="s">
        <v>7586</v>
      </c>
      <c r="C11830" s="74" t="s">
        <v>444</v>
      </c>
    </row>
    <row r="11831" spans="1:3">
      <c r="A11831" s="250">
        <v>28805</v>
      </c>
      <c r="B11831" s="74" t="s">
        <v>7586</v>
      </c>
      <c r="C11831" s="74" t="s">
        <v>444</v>
      </c>
    </row>
    <row r="11832" spans="1:3">
      <c r="A11832" s="250">
        <v>28806</v>
      </c>
      <c r="B11832" s="74" t="s">
        <v>7586</v>
      </c>
      <c r="C11832" s="74" t="s">
        <v>444</v>
      </c>
    </row>
    <row r="11833" spans="1:3">
      <c r="A11833" s="250">
        <v>28810</v>
      </c>
      <c r="B11833" s="74" t="s">
        <v>7586</v>
      </c>
      <c r="C11833" s="74" t="s">
        <v>444</v>
      </c>
    </row>
    <row r="11834" spans="1:3">
      <c r="A11834" s="250">
        <v>28813</v>
      </c>
      <c r="B11834" s="74" t="s">
        <v>7586</v>
      </c>
      <c r="C11834" s="74" t="s">
        <v>444</v>
      </c>
    </row>
    <row r="11835" spans="1:3">
      <c r="A11835" s="250">
        <v>28814</v>
      </c>
      <c r="B11835" s="74" t="s">
        <v>7586</v>
      </c>
      <c r="C11835" s="74" t="s">
        <v>444</v>
      </c>
    </row>
    <row r="11836" spans="1:3">
      <c r="A11836" s="250">
        <v>28815</v>
      </c>
      <c r="B11836" s="74" t="s">
        <v>7586</v>
      </c>
      <c r="C11836" s="74" t="s">
        <v>444</v>
      </c>
    </row>
    <row r="11837" spans="1:3">
      <c r="A11837" s="250">
        <v>28816</v>
      </c>
      <c r="B11837" s="74" t="s">
        <v>7586</v>
      </c>
      <c r="C11837" s="74" t="s">
        <v>444</v>
      </c>
    </row>
    <row r="11838" spans="1:3">
      <c r="A11838" s="250">
        <v>28901</v>
      </c>
      <c r="B11838" s="74" t="s">
        <v>7587</v>
      </c>
      <c r="C11838" s="74" t="s">
        <v>444</v>
      </c>
    </row>
    <row r="11839" spans="1:3">
      <c r="A11839" s="250">
        <v>28902</v>
      </c>
      <c r="B11839" s="74" t="s">
        <v>7588</v>
      </c>
      <c r="C11839" s="74" t="s">
        <v>444</v>
      </c>
    </row>
    <row r="11840" spans="1:3">
      <c r="A11840" s="250">
        <v>28903</v>
      </c>
      <c r="B11840" s="74" t="s">
        <v>7589</v>
      </c>
      <c r="C11840" s="74" t="s">
        <v>444</v>
      </c>
    </row>
    <row r="11841" spans="1:3">
      <c r="A11841" s="250">
        <v>28904</v>
      </c>
      <c r="B11841" s="74" t="s">
        <v>7590</v>
      </c>
      <c r="C11841" s="74" t="s">
        <v>444</v>
      </c>
    </row>
    <row r="11842" spans="1:3">
      <c r="A11842" s="250">
        <v>28905</v>
      </c>
      <c r="B11842" s="74" t="s">
        <v>4487</v>
      </c>
      <c r="C11842" s="74" t="s">
        <v>444</v>
      </c>
    </row>
    <row r="11843" spans="1:3">
      <c r="A11843" s="250">
        <v>28906</v>
      </c>
      <c r="B11843" s="74" t="s">
        <v>7591</v>
      </c>
      <c r="C11843" s="74" t="s">
        <v>444</v>
      </c>
    </row>
    <row r="11844" spans="1:3">
      <c r="A11844" s="250">
        <v>28909</v>
      </c>
      <c r="B11844" s="74" t="s">
        <v>7592</v>
      </c>
      <c r="C11844" s="74" t="s">
        <v>444</v>
      </c>
    </row>
    <row r="11845" spans="1:3">
      <c r="A11845" s="250">
        <v>29001</v>
      </c>
      <c r="B11845" s="74" t="s">
        <v>7593</v>
      </c>
      <c r="C11845" s="74" t="s">
        <v>450</v>
      </c>
    </row>
    <row r="11846" spans="1:3">
      <c r="A11846" s="250">
        <v>29002</v>
      </c>
      <c r="B11846" s="74" t="s">
        <v>7594</v>
      </c>
      <c r="C11846" s="74" t="s">
        <v>450</v>
      </c>
    </row>
    <row r="11847" spans="1:3">
      <c r="A11847" s="250">
        <v>29003</v>
      </c>
      <c r="B11847" s="74" t="s">
        <v>7595</v>
      </c>
      <c r="C11847" s="74" t="s">
        <v>450</v>
      </c>
    </row>
    <row r="11848" spans="1:3">
      <c r="A11848" s="250">
        <v>29006</v>
      </c>
      <c r="B11848" s="74" t="s">
        <v>7596</v>
      </c>
      <c r="C11848" s="74" t="s">
        <v>450</v>
      </c>
    </row>
    <row r="11849" spans="1:3">
      <c r="A11849" s="250">
        <v>29009</v>
      </c>
      <c r="B11849" s="74" t="s">
        <v>7597</v>
      </c>
      <c r="C11849" s="74" t="s">
        <v>450</v>
      </c>
    </row>
    <row r="11850" spans="1:3">
      <c r="A11850" s="250">
        <v>29010</v>
      </c>
      <c r="B11850" s="74" t="s">
        <v>5827</v>
      </c>
      <c r="C11850" s="74" t="s">
        <v>450</v>
      </c>
    </row>
    <row r="11851" spans="1:3">
      <c r="A11851" s="250">
        <v>29014</v>
      </c>
      <c r="B11851" s="74" t="s">
        <v>7598</v>
      </c>
      <c r="C11851" s="74" t="s">
        <v>450</v>
      </c>
    </row>
    <row r="11852" spans="1:3">
      <c r="A11852" s="250">
        <v>29015</v>
      </c>
      <c r="B11852" s="74" t="s">
        <v>6578</v>
      </c>
      <c r="C11852" s="74" t="s">
        <v>450</v>
      </c>
    </row>
    <row r="11853" spans="1:3">
      <c r="A11853" s="250">
        <v>29016</v>
      </c>
      <c r="B11853" s="74" t="s">
        <v>7599</v>
      </c>
      <c r="C11853" s="74" t="s">
        <v>450</v>
      </c>
    </row>
    <row r="11854" spans="1:3">
      <c r="A11854" s="250">
        <v>29018</v>
      </c>
      <c r="B11854" s="74" t="s">
        <v>7600</v>
      </c>
      <c r="C11854" s="74" t="s">
        <v>450</v>
      </c>
    </row>
    <row r="11855" spans="1:3">
      <c r="A11855" s="250">
        <v>29020</v>
      </c>
      <c r="B11855" s="74" t="s">
        <v>1660</v>
      </c>
      <c r="C11855" s="74" t="s">
        <v>450</v>
      </c>
    </row>
    <row r="11856" spans="1:3">
      <c r="A11856" s="250">
        <v>29021</v>
      </c>
      <c r="B11856" s="74" t="s">
        <v>1660</v>
      </c>
      <c r="C11856" s="74" t="s">
        <v>450</v>
      </c>
    </row>
    <row r="11857" spans="1:3">
      <c r="A11857" s="250">
        <v>29030</v>
      </c>
      <c r="B11857" s="74" t="s">
        <v>3902</v>
      </c>
      <c r="C11857" s="74" t="s">
        <v>450</v>
      </c>
    </row>
    <row r="11858" spans="1:3">
      <c r="A11858" s="250">
        <v>29031</v>
      </c>
      <c r="B11858" s="74" t="s">
        <v>786</v>
      </c>
      <c r="C11858" s="74" t="s">
        <v>450</v>
      </c>
    </row>
    <row r="11859" spans="1:3">
      <c r="A11859" s="250">
        <v>29032</v>
      </c>
      <c r="B11859" s="74" t="s">
        <v>7601</v>
      </c>
      <c r="C11859" s="74" t="s">
        <v>450</v>
      </c>
    </row>
    <row r="11860" spans="1:3">
      <c r="A11860" s="250">
        <v>29033</v>
      </c>
      <c r="B11860" s="74" t="s">
        <v>7602</v>
      </c>
      <c r="C11860" s="74" t="s">
        <v>450</v>
      </c>
    </row>
    <row r="11861" spans="1:3">
      <c r="A11861" s="250">
        <v>29036</v>
      </c>
      <c r="B11861" s="74" t="s">
        <v>7603</v>
      </c>
      <c r="C11861" s="74" t="s">
        <v>450</v>
      </c>
    </row>
    <row r="11862" spans="1:3">
      <c r="A11862" s="250">
        <v>29037</v>
      </c>
      <c r="B11862" s="74" t="s">
        <v>7604</v>
      </c>
      <c r="C11862" s="74" t="s">
        <v>450</v>
      </c>
    </row>
    <row r="11863" spans="1:3">
      <c r="A11863" s="250">
        <v>29038</v>
      </c>
      <c r="B11863" s="74" t="s">
        <v>7605</v>
      </c>
      <c r="C11863" s="74" t="s">
        <v>450</v>
      </c>
    </row>
    <row r="11864" spans="1:3">
      <c r="A11864" s="250">
        <v>29039</v>
      </c>
      <c r="B11864" s="74" t="s">
        <v>5747</v>
      </c>
      <c r="C11864" s="74" t="s">
        <v>450</v>
      </c>
    </row>
    <row r="11865" spans="1:3">
      <c r="A11865" s="250">
        <v>29040</v>
      </c>
      <c r="B11865" s="74" t="s">
        <v>7606</v>
      </c>
      <c r="C11865" s="74" t="s">
        <v>450</v>
      </c>
    </row>
    <row r="11866" spans="1:3">
      <c r="A11866" s="250">
        <v>29041</v>
      </c>
      <c r="B11866" s="74" t="s">
        <v>7607</v>
      </c>
      <c r="C11866" s="74" t="s">
        <v>450</v>
      </c>
    </row>
    <row r="11867" spans="1:3">
      <c r="A11867" s="250">
        <v>29042</v>
      </c>
      <c r="B11867" s="74" t="s">
        <v>1378</v>
      </c>
      <c r="C11867" s="74" t="s">
        <v>450</v>
      </c>
    </row>
    <row r="11868" spans="1:3">
      <c r="A11868" s="250">
        <v>29044</v>
      </c>
      <c r="B11868" s="74" t="s">
        <v>7608</v>
      </c>
      <c r="C11868" s="74" t="s">
        <v>450</v>
      </c>
    </row>
    <row r="11869" spans="1:3">
      <c r="A11869" s="250">
        <v>29045</v>
      </c>
      <c r="B11869" s="74" t="s">
        <v>4511</v>
      </c>
      <c r="C11869" s="74" t="s">
        <v>450</v>
      </c>
    </row>
    <row r="11870" spans="1:3">
      <c r="A11870" s="250">
        <v>29046</v>
      </c>
      <c r="B11870" s="74" t="s">
        <v>7609</v>
      </c>
      <c r="C11870" s="74" t="s">
        <v>450</v>
      </c>
    </row>
    <row r="11871" spans="1:3">
      <c r="A11871" s="250">
        <v>29047</v>
      </c>
      <c r="B11871" s="74" t="s">
        <v>7610</v>
      </c>
      <c r="C11871" s="74" t="s">
        <v>450</v>
      </c>
    </row>
    <row r="11872" spans="1:3">
      <c r="A11872" s="250">
        <v>29048</v>
      </c>
      <c r="B11872" s="74" t="s">
        <v>7611</v>
      </c>
      <c r="C11872" s="74" t="s">
        <v>450</v>
      </c>
    </row>
    <row r="11873" spans="1:3">
      <c r="A11873" s="250">
        <v>29051</v>
      </c>
      <c r="B11873" s="74" t="s">
        <v>7612</v>
      </c>
      <c r="C11873" s="74" t="s">
        <v>450</v>
      </c>
    </row>
    <row r="11874" spans="1:3">
      <c r="A11874" s="250">
        <v>29052</v>
      </c>
      <c r="B11874" s="74" t="s">
        <v>7613</v>
      </c>
      <c r="C11874" s="74" t="s">
        <v>450</v>
      </c>
    </row>
    <row r="11875" spans="1:3">
      <c r="A11875" s="250">
        <v>29053</v>
      </c>
      <c r="B11875" s="74" t="s">
        <v>7194</v>
      </c>
      <c r="C11875" s="74" t="s">
        <v>450</v>
      </c>
    </row>
    <row r="11876" spans="1:3">
      <c r="A11876" s="250">
        <v>29054</v>
      </c>
      <c r="B11876" s="74" t="s">
        <v>5122</v>
      </c>
      <c r="C11876" s="74" t="s">
        <v>450</v>
      </c>
    </row>
    <row r="11877" spans="1:3">
      <c r="A11877" s="250">
        <v>29055</v>
      </c>
      <c r="B11877" s="74" t="s">
        <v>5870</v>
      </c>
      <c r="C11877" s="74" t="s">
        <v>450</v>
      </c>
    </row>
    <row r="11878" spans="1:3">
      <c r="A11878" s="250">
        <v>29056</v>
      </c>
      <c r="B11878" s="74" t="s">
        <v>7614</v>
      </c>
      <c r="C11878" s="74" t="s">
        <v>450</v>
      </c>
    </row>
    <row r="11879" spans="1:3">
      <c r="A11879" s="250">
        <v>29058</v>
      </c>
      <c r="B11879" s="74" t="s">
        <v>7615</v>
      </c>
      <c r="C11879" s="74" t="s">
        <v>450</v>
      </c>
    </row>
    <row r="11880" spans="1:3">
      <c r="A11880" s="250">
        <v>29059</v>
      </c>
      <c r="B11880" s="74" t="s">
        <v>7616</v>
      </c>
      <c r="C11880" s="74" t="s">
        <v>450</v>
      </c>
    </row>
    <row r="11881" spans="1:3">
      <c r="A11881" s="250">
        <v>29061</v>
      </c>
      <c r="B11881" s="74" t="s">
        <v>7617</v>
      </c>
      <c r="C11881" s="74" t="s">
        <v>450</v>
      </c>
    </row>
    <row r="11882" spans="1:3">
      <c r="A11882" s="250">
        <v>29062</v>
      </c>
      <c r="B11882" s="74" t="s">
        <v>7618</v>
      </c>
      <c r="C11882" s="74" t="s">
        <v>450</v>
      </c>
    </row>
    <row r="11883" spans="1:3">
      <c r="A11883" s="250">
        <v>29063</v>
      </c>
      <c r="B11883" s="74" t="s">
        <v>7619</v>
      </c>
      <c r="C11883" s="74" t="s">
        <v>450</v>
      </c>
    </row>
    <row r="11884" spans="1:3">
      <c r="A11884" s="250">
        <v>29065</v>
      </c>
      <c r="B11884" s="74" t="s">
        <v>7620</v>
      </c>
      <c r="C11884" s="74" t="s">
        <v>450</v>
      </c>
    </row>
    <row r="11885" spans="1:3">
      <c r="A11885" s="250">
        <v>29067</v>
      </c>
      <c r="B11885" s="74" t="s">
        <v>7621</v>
      </c>
      <c r="C11885" s="74" t="s">
        <v>450</v>
      </c>
    </row>
    <row r="11886" spans="1:3">
      <c r="A11886" s="250">
        <v>29069</v>
      </c>
      <c r="B11886" s="74" t="s">
        <v>4632</v>
      </c>
      <c r="C11886" s="74" t="s">
        <v>450</v>
      </c>
    </row>
    <row r="11887" spans="1:3">
      <c r="A11887" s="250">
        <v>29070</v>
      </c>
      <c r="B11887" s="74" t="s">
        <v>7622</v>
      </c>
      <c r="C11887" s="74" t="s">
        <v>450</v>
      </c>
    </row>
    <row r="11888" spans="1:3">
      <c r="A11888" s="250">
        <v>29071</v>
      </c>
      <c r="B11888" s="74" t="s">
        <v>966</v>
      </c>
      <c r="C11888" s="74" t="s">
        <v>450</v>
      </c>
    </row>
    <row r="11889" spans="1:3">
      <c r="A11889" s="250">
        <v>29072</v>
      </c>
      <c r="B11889" s="74" t="s">
        <v>966</v>
      </c>
      <c r="C11889" s="74" t="s">
        <v>450</v>
      </c>
    </row>
    <row r="11890" spans="1:3">
      <c r="A11890" s="250">
        <v>29073</v>
      </c>
      <c r="B11890" s="74" t="s">
        <v>966</v>
      </c>
      <c r="C11890" s="74" t="s">
        <v>450</v>
      </c>
    </row>
    <row r="11891" spans="1:3">
      <c r="A11891" s="250">
        <v>29074</v>
      </c>
      <c r="B11891" s="74" t="s">
        <v>7623</v>
      </c>
      <c r="C11891" s="74" t="s">
        <v>450</v>
      </c>
    </row>
    <row r="11892" spans="1:3">
      <c r="A11892" s="250">
        <v>29075</v>
      </c>
      <c r="B11892" s="74" t="s">
        <v>7624</v>
      </c>
      <c r="C11892" s="74" t="s">
        <v>450</v>
      </c>
    </row>
    <row r="11893" spans="1:3">
      <c r="A11893" s="250">
        <v>29078</v>
      </c>
      <c r="B11893" s="74" t="s">
        <v>7625</v>
      </c>
      <c r="C11893" s="74" t="s">
        <v>450</v>
      </c>
    </row>
    <row r="11894" spans="1:3">
      <c r="A11894" s="250">
        <v>29079</v>
      </c>
      <c r="B11894" s="74" t="s">
        <v>7626</v>
      </c>
      <c r="C11894" s="74" t="s">
        <v>450</v>
      </c>
    </row>
    <row r="11895" spans="1:3">
      <c r="A11895" s="250">
        <v>29080</v>
      </c>
      <c r="B11895" s="74" t="s">
        <v>6412</v>
      </c>
      <c r="C11895" s="74" t="s">
        <v>450</v>
      </c>
    </row>
    <row r="11896" spans="1:3">
      <c r="A11896" s="250">
        <v>29081</v>
      </c>
      <c r="B11896" s="74" t="s">
        <v>7627</v>
      </c>
      <c r="C11896" s="74" t="s">
        <v>450</v>
      </c>
    </row>
    <row r="11897" spans="1:3">
      <c r="A11897" s="250">
        <v>29082</v>
      </c>
      <c r="B11897" s="74" t="s">
        <v>7628</v>
      </c>
      <c r="C11897" s="74" t="s">
        <v>450</v>
      </c>
    </row>
    <row r="11898" spans="1:3">
      <c r="A11898" s="250">
        <v>29101</v>
      </c>
      <c r="B11898" s="74" t="s">
        <v>7629</v>
      </c>
      <c r="C11898" s="74" t="s">
        <v>450</v>
      </c>
    </row>
    <row r="11899" spans="1:3">
      <c r="A11899" s="250">
        <v>29102</v>
      </c>
      <c r="B11899" s="74" t="s">
        <v>7630</v>
      </c>
      <c r="C11899" s="74" t="s">
        <v>450</v>
      </c>
    </row>
    <row r="11900" spans="1:3">
      <c r="A11900" s="250">
        <v>29104</v>
      </c>
      <c r="B11900" s="74" t="s">
        <v>7631</v>
      </c>
      <c r="C11900" s="74" t="s">
        <v>450</v>
      </c>
    </row>
    <row r="11901" spans="1:3">
      <c r="A11901" s="250">
        <v>29105</v>
      </c>
      <c r="B11901" s="74" t="s">
        <v>7632</v>
      </c>
      <c r="C11901" s="74" t="s">
        <v>450</v>
      </c>
    </row>
    <row r="11902" spans="1:3">
      <c r="A11902" s="250">
        <v>29107</v>
      </c>
      <c r="B11902" s="74" t="s">
        <v>7633</v>
      </c>
      <c r="C11902" s="74" t="s">
        <v>450</v>
      </c>
    </row>
    <row r="11903" spans="1:3">
      <c r="A11903" s="250">
        <v>29108</v>
      </c>
      <c r="B11903" s="74" t="s">
        <v>7634</v>
      </c>
      <c r="C11903" s="74" t="s">
        <v>450</v>
      </c>
    </row>
    <row r="11904" spans="1:3">
      <c r="A11904" s="250">
        <v>29111</v>
      </c>
      <c r="B11904" s="74" t="s">
        <v>7635</v>
      </c>
      <c r="C11904" s="74" t="s">
        <v>450</v>
      </c>
    </row>
    <row r="11905" spans="1:3">
      <c r="A11905" s="250">
        <v>29112</v>
      </c>
      <c r="B11905" s="74" t="s">
        <v>6094</v>
      </c>
      <c r="C11905" s="74" t="s">
        <v>450</v>
      </c>
    </row>
    <row r="11906" spans="1:3">
      <c r="A11906" s="250">
        <v>29113</v>
      </c>
      <c r="B11906" s="74" t="s">
        <v>1458</v>
      </c>
      <c r="C11906" s="74" t="s">
        <v>450</v>
      </c>
    </row>
    <row r="11907" spans="1:3">
      <c r="A11907" s="250">
        <v>29114</v>
      </c>
      <c r="B11907" s="74" t="s">
        <v>4645</v>
      </c>
      <c r="C11907" s="74" t="s">
        <v>450</v>
      </c>
    </row>
    <row r="11908" spans="1:3">
      <c r="A11908" s="250">
        <v>29115</v>
      </c>
      <c r="B11908" s="74" t="s">
        <v>2697</v>
      </c>
      <c r="C11908" s="74" t="s">
        <v>450</v>
      </c>
    </row>
    <row r="11909" spans="1:3">
      <c r="A11909" s="250">
        <v>29116</v>
      </c>
      <c r="B11909" s="74" t="s">
        <v>2697</v>
      </c>
      <c r="C11909" s="74" t="s">
        <v>450</v>
      </c>
    </row>
    <row r="11910" spans="1:3">
      <c r="A11910" s="250">
        <v>29117</v>
      </c>
      <c r="B11910" s="74" t="s">
        <v>2697</v>
      </c>
      <c r="C11910" s="74" t="s">
        <v>450</v>
      </c>
    </row>
    <row r="11911" spans="1:3">
      <c r="A11911" s="250">
        <v>29118</v>
      </c>
      <c r="B11911" s="74" t="s">
        <v>2697</v>
      </c>
      <c r="C11911" s="74" t="s">
        <v>450</v>
      </c>
    </row>
    <row r="11912" spans="1:3">
      <c r="A11912" s="250">
        <v>29122</v>
      </c>
      <c r="B11912" s="74" t="s">
        <v>7636</v>
      </c>
      <c r="C11912" s="74" t="s">
        <v>450</v>
      </c>
    </row>
    <row r="11913" spans="1:3">
      <c r="A11913" s="250">
        <v>29123</v>
      </c>
      <c r="B11913" s="74" t="s">
        <v>7637</v>
      </c>
      <c r="C11913" s="74" t="s">
        <v>450</v>
      </c>
    </row>
    <row r="11914" spans="1:3">
      <c r="A11914" s="250">
        <v>29125</v>
      </c>
      <c r="B11914" s="74" t="s">
        <v>7638</v>
      </c>
      <c r="C11914" s="74" t="s">
        <v>450</v>
      </c>
    </row>
    <row r="11915" spans="1:3">
      <c r="A11915" s="250">
        <v>29126</v>
      </c>
      <c r="B11915" s="74" t="s">
        <v>7639</v>
      </c>
      <c r="C11915" s="74" t="s">
        <v>450</v>
      </c>
    </row>
    <row r="11916" spans="1:3">
      <c r="A11916" s="250">
        <v>29127</v>
      </c>
      <c r="B11916" s="74" t="s">
        <v>4054</v>
      </c>
      <c r="C11916" s="74" t="s">
        <v>450</v>
      </c>
    </row>
    <row r="11917" spans="1:3">
      <c r="A11917" s="250">
        <v>29128</v>
      </c>
      <c r="B11917" s="74" t="s">
        <v>7640</v>
      </c>
      <c r="C11917" s="74" t="s">
        <v>450</v>
      </c>
    </row>
    <row r="11918" spans="1:3">
      <c r="A11918" s="250">
        <v>29129</v>
      </c>
      <c r="B11918" s="74" t="s">
        <v>7641</v>
      </c>
      <c r="C11918" s="74" t="s">
        <v>450</v>
      </c>
    </row>
    <row r="11919" spans="1:3">
      <c r="A11919" s="250">
        <v>29130</v>
      </c>
      <c r="B11919" s="74" t="s">
        <v>6297</v>
      </c>
      <c r="C11919" s="74" t="s">
        <v>450</v>
      </c>
    </row>
    <row r="11920" spans="1:3">
      <c r="A11920" s="250">
        <v>29132</v>
      </c>
      <c r="B11920" s="74" t="s">
        <v>7642</v>
      </c>
      <c r="C11920" s="74" t="s">
        <v>450</v>
      </c>
    </row>
    <row r="11921" spans="1:3">
      <c r="A11921" s="250">
        <v>29133</v>
      </c>
      <c r="B11921" s="74" t="s">
        <v>7643</v>
      </c>
      <c r="C11921" s="74" t="s">
        <v>450</v>
      </c>
    </row>
    <row r="11922" spans="1:3">
      <c r="A11922" s="250">
        <v>29135</v>
      </c>
      <c r="B11922" s="74" t="s">
        <v>7644</v>
      </c>
      <c r="C11922" s="74" t="s">
        <v>450</v>
      </c>
    </row>
    <row r="11923" spans="1:3">
      <c r="A11923" s="250">
        <v>29137</v>
      </c>
      <c r="B11923" s="74" t="s">
        <v>7645</v>
      </c>
      <c r="C11923" s="74" t="s">
        <v>450</v>
      </c>
    </row>
    <row r="11924" spans="1:3">
      <c r="A11924" s="250">
        <v>29138</v>
      </c>
      <c r="B11924" s="74" t="s">
        <v>6103</v>
      </c>
      <c r="C11924" s="74" t="s">
        <v>450</v>
      </c>
    </row>
    <row r="11925" spans="1:3">
      <c r="A11925" s="250">
        <v>29142</v>
      </c>
      <c r="B11925" s="74" t="s">
        <v>7646</v>
      </c>
      <c r="C11925" s="74" t="s">
        <v>450</v>
      </c>
    </row>
    <row r="11926" spans="1:3">
      <c r="A11926" s="250">
        <v>29143</v>
      </c>
      <c r="B11926" s="74" t="s">
        <v>3734</v>
      </c>
      <c r="C11926" s="74" t="s">
        <v>450</v>
      </c>
    </row>
    <row r="11927" spans="1:3">
      <c r="A11927" s="250">
        <v>29145</v>
      </c>
      <c r="B11927" s="74" t="s">
        <v>7647</v>
      </c>
      <c r="C11927" s="74" t="s">
        <v>450</v>
      </c>
    </row>
    <row r="11928" spans="1:3">
      <c r="A11928" s="250">
        <v>29146</v>
      </c>
      <c r="B11928" s="74" t="s">
        <v>634</v>
      </c>
      <c r="C11928" s="74" t="s">
        <v>450</v>
      </c>
    </row>
    <row r="11929" spans="1:3">
      <c r="A11929" s="250">
        <v>29147</v>
      </c>
      <c r="B11929" s="74" t="s">
        <v>7648</v>
      </c>
      <c r="C11929" s="74" t="s">
        <v>450</v>
      </c>
    </row>
    <row r="11930" spans="1:3">
      <c r="A11930" s="250">
        <v>29148</v>
      </c>
      <c r="B11930" s="74" t="s">
        <v>7649</v>
      </c>
      <c r="C11930" s="74" t="s">
        <v>450</v>
      </c>
    </row>
    <row r="11931" spans="1:3">
      <c r="A11931" s="250">
        <v>29150</v>
      </c>
      <c r="B11931" s="74" t="s">
        <v>7650</v>
      </c>
      <c r="C11931" s="74" t="s">
        <v>450</v>
      </c>
    </row>
    <row r="11932" spans="1:3">
      <c r="A11932" s="250">
        <v>29151</v>
      </c>
      <c r="B11932" s="74" t="s">
        <v>7650</v>
      </c>
      <c r="C11932" s="74" t="s">
        <v>450</v>
      </c>
    </row>
    <row r="11933" spans="1:3">
      <c r="A11933" s="250">
        <v>29152</v>
      </c>
      <c r="B11933" s="74" t="s">
        <v>7651</v>
      </c>
      <c r="C11933" s="74" t="s">
        <v>450</v>
      </c>
    </row>
    <row r="11934" spans="1:3">
      <c r="A11934" s="250">
        <v>29153</v>
      </c>
      <c r="B11934" s="74" t="s">
        <v>7650</v>
      </c>
      <c r="C11934" s="74" t="s">
        <v>450</v>
      </c>
    </row>
    <row r="11935" spans="1:3">
      <c r="A11935" s="250">
        <v>29154</v>
      </c>
      <c r="B11935" s="74" t="s">
        <v>7650</v>
      </c>
      <c r="C11935" s="74" t="s">
        <v>450</v>
      </c>
    </row>
    <row r="11936" spans="1:3">
      <c r="A11936" s="250">
        <v>29160</v>
      </c>
      <c r="B11936" s="74" t="s">
        <v>1087</v>
      </c>
      <c r="C11936" s="74" t="s">
        <v>450</v>
      </c>
    </row>
    <row r="11937" spans="1:3">
      <c r="A11937" s="250">
        <v>29161</v>
      </c>
      <c r="B11937" s="74" t="s">
        <v>7652</v>
      </c>
      <c r="C11937" s="74" t="s">
        <v>450</v>
      </c>
    </row>
    <row r="11938" spans="1:3">
      <c r="A11938" s="250">
        <v>29162</v>
      </c>
      <c r="B11938" s="74" t="s">
        <v>7653</v>
      </c>
      <c r="C11938" s="74" t="s">
        <v>450</v>
      </c>
    </row>
    <row r="11939" spans="1:3">
      <c r="A11939" s="250">
        <v>29163</v>
      </c>
      <c r="B11939" s="74" t="s">
        <v>7654</v>
      </c>
      <c r="C11939" s="74" t="s">
        <v>450</v>
      </c>
    </row>
    <row r="11940" spans="1:3">
      <c r="A11940" s="250">
        <v>29164</v>
      </c>
      <c r="B11940" s="74" t="s">
        <v>7655</v>
      </c>
      <c r="C11940" s="74" t="s">
        <v>450</v>
      </c>
    </row>
    <row r="11941" spans="1:3">
      <c r="A11941" s="250">
        <v>29166</v>
      </c>
      <c r="B11941" s="74" t="s">
        <v>7656</v>
      </c>
      <c r="C11941" s="74" t="s">
        <v>450</v>
      </c>
    </row>
    <row r="11942" spans="1:3">
      <c r="A11942" s="250">
        <v>29168</v>
      </c>
      <c r="B11942" s="74" t="s">
        <v>7657</v>
      </c>
      <c r="C11942" s="74" t="s">
        <v>450</v>
      </c>
    </row>
    <row r="11943" spans="1:3">
      <c r="A11943" s="250">
        <v>29169</v>
      </c>
      <c r="B11943" s="74" t="s">
        <v>6681</v>
      </c>
      <c r="C11943" s="74" t="s">
        <v>450</v>
      </c>
    </row>
    <row r="11944" spans="1:3">
      <c r="A11944" s="250">
        <v>29170</v>
      </c>
      <c r="B11944" s="74" t="s">
        <v>6681</v>
      </c>
      <c r="C11944" s="74" t="s">
        <v>450</v>
      </c>
    </row>
    <row r="11945" spans="1:3">
      <c r="A11945" s="250">
        <v>29171</v>
      </c>
      <c r="B11945" s="74" t="s">
        <v>6681</v>
      </c>
      <c r="C11945" s="74" t="s">
        <v>450</v>
      </c>
    </row>
    <row r="11946" spans="1:3">
      <c r="A11946" s="250">
        <v>29172</v>
      </c>
      <c r="B11946" s="74" t="s">
        <v>6681</v>
      </c>
      <c r="C11946" s="74" t="s">
        <v>450</v>
      </c>
    </row>
    <row r="11947" spans="1:3">
      <c r="A11947" s="250">
        <v>29175</v>
      </c>
      <c r="B11947" s="74" t="s">
        <v>2432</v>
      </c>
      <c r="C11947" s="74" t="s">
        <v>450</v>
      </c>
    </row>
    <row r="11948" spans="1:3">
      <c r="A11948" s="250">
        <v>29177</v>
      </c>
      <c r="B11948" s="74" t="s">
        <v>7658</v>
      </c>
      <c r="C11948" s="74" t="s">
        <v>450</v>
      </c>
    </row>
    <row r="11949" spans="1:3">
      <c r="A11949" s="250">
        <v>29178</v>
      </c>
      <c r="B11949" s="74" t="s">
        <v>7659</v>
      </c>
      <c r="C11949" s="74" t="s">
        <v>450</v>
      </c>
    </row>
    <row r="11950" spans="1:3">
      <c r="A11950" s="250">
        <v>29180</v>
      </c>
      <c r="B11950" s="74" t="s">
        <v>7660</v>
      </c>
      <c r="C11950" s="74" t="s">
        <v>450</v>
      </c>
    </row>
    <row r="11951" spans="1:3">
      <c r="A11951" s="250">
        <v>29201</v>
      </c>
      <c r="B11951" s="74" t="s">
        <v>1985</v>
      </c>
      <c r="C11951" s="74" t="s">
        <v>450</v>
      </c>
    </row>
    <row r="11952" spans="1:3">
      <c r="A11952" s="250">
        <v>29202</v>
      </c>
      <c r="B11952" s="74" t="s">
        <v>1985</v>
      </c>
      <c r="C11952" s="74" t="s">
        <v>450</v>
      </c>
    </row>
    <row r="11953" spans="1:3">
      <c r="A11953" s="250">
        <v>29203</v>
      </c>
      <c r="B11953" s="74" t="s">
        <v>1985</v>
      </c>
      <c r="C11953" s="74" t="s">
        <v>450</v>
      </c>
    </row>
    <row r="11954" spans="1:3">
      <c r="A11954" s="250">
        <v>29204</v>
      </c>
      <c r="B11954" s="74" t="s">
        <v>1985</v>
      </c>
      <c r="C11954" s="74" t="s">
        <v>450</v>
      </c>
    </row>
    <row r="11955" spans="1:3">
      <c r="A11955" s="250">
        <v>29205</v>
      </c>
      <c r="B11955" s="74" t="s">
        <v>1985</v>
      </c>
      <c r="C11955" s="74" t="s">
        <v>450</v>
      </c>
    </row>
    <row r="11956" spans="1:3">
      <c r="A11956" s="250">
        <v>29206</v>
      </c>
      <c r="B11956" s="74" t="s">
        <v>1985</v>
      </c>
      <c r="C11956" s="74" t="s">
        <v>450</v>
      </c>
    </row>
    <row r="11957" spans="1:3">
      <c r="A11957" s="250">
        <v>29207</v>
      </c>
      <c r="B11957" s="74" t="s">
        <v>1985</v>
      </c>
      <c r="C11957" s="74" t="s">
        <v>450</v>
      </c>
    </row>
    <row r="11958" spans="1:3">
      <c r="A11958" s="250">
        <v>29208</v>
      </c>
      <c r="B11958" s="74" t="s">
        <v>1985</v>
      </c>
      <c r="C11958" s="74" t="s">
        <v>450</v>
      </c>
    </row>
    <row r="11959" spans="1:3">
      <c r="A11959" s="250">
        <v>29209</v>
      </c>
      <c r="B11959" s="74" t="s">
        <v>1985</v>
      </c>
      <c r="C11959" s="74" t="s">
        <v>450</v>
      </c>
    </row>
    <row r="11960" spans="1:3">
      <c r="A11960" s="250">
        <v>29210</v>
      </c>
      <c r="B11960" s="74" t="s">
        <v>1985</v>
      </c>
      <c r="C11960" s="74" t="s">
        <v>450</v>
      </c>
    </row>
    <row r="11961" spans="1:3">
      <c r="A11961" s="250">
        <v>29211</v>
      </c>
      <c r="B11961" s="74" t="s">
        <v>1985</v>
      </c>
      <c r="C11961" s="74" t="s">
        <v>450</v>
      </c>
    </row>
    <row r="11962" spans="1:3">
      <c r="A11962" s="250">
        <v>29212</v>
      </c>
      <c r="B11962" s="74" t="s">
        <v>1985</v>
      </c>
      <c r="C11962" s="74" t="s">
        <v>450</v>
      </c>
    </row>
    <row r="11963" spans="1:3">
      <c r="A11963" s="250">
        <v>29214</v>
      </c>
      <c r="B11963" s="74" t="s">
        <v>1985</v>
      </c>
      <c r="C11963" s="74" t="s">
        <v>450</v>
      </c>
    </row>
    <row r="11964" spans="1:3">
      <c r="A11964" s="250">
        <v>29215</v>
      </c>
      <c r="B11964" s="74" t="s">
        <v>1985</v>
      </c>
      <c r="C11964" s="74" t="s">
        <v>450</v>
      </c>
    </row>
    <row r="11965" spans="1:3">
      <c r="A11965" s="250">
        <v>29216</v>
      </c>
      <c r="B11965" s="74" t="s">
        <v>1985</v>
      </c>
      <c r="C11965" s="74" t="s">
        <v>450</v>
      </c>
    </row>
    <row r="11966" spans="1:3">
      <c r="A11966" s="250">
        <v>29217</v>
      </c>
      <c r="B11966" s="74" t="s">
        <v>1985</v>
      </c>
      <c r="C11966" s="74" t="s">
        <v>450</v>
      </c>
    </row>
    <row r="11967" spans="1:3">
      <c r="A11967" s="250">
        <v>29218</v>
      </c>
      <c r="B11967" s="74" t="s">
        <v>1985</v>
      </c>
      <c r="C11967" s="74" t="s">
        <v>450</v>
      </c>
    </row>
    <row r="11968" spans="1:3">
      <c r="A11968" s="250">
        <v>29219</v>
      </c>
      <c r="B11968" s="74" t="s">
        <v>1985</v>
      </c>
      <c r="C11968" s="74" t="s">
        <v>450</v>
      </c>
    </row>
    <row r="11969" spans="1:3">
      <c r="A11969" s="250">
        <v>29220</v>
      </c>
      <c r="B11969" s="74" t="s">
        <v>1985</v>
      </c>
      <c r="C11969" s="74" t="s">
        <v>450</v>
      </c>
    </row>
    <row r="11970" spans="1:3">
      <c r="A11970" s="250">
        <v>29221</v>
      </c>
      <c r="B11970" s="74" t="s">
        <v>1985</v>
      </c>
      <c r="C11970" s="74" t="s">
        <v>450</v>
      </c>
    </row>
    <row r="11971" spans="1:3">
      <c r="A11971" s="250">
        <v>29222</v>
      </c>
      <c r="B11971" s="74" t="s">
        <v>1985</v>
      </c>
      <c r="C11971" s="74" t="s">
        <v>450</v>
      </c>
    </row>
    <row r="11972" spans="1:3">
      <c r="A11972" s="250">
        <v>29223</v>
      </c>
      <c r="B11972" s="74" t="s">
        <v>1985</v>
      </c>
      <c r="C11972" s="74" t="s">
        <v>450</v>
      </c>
    </row>
    <row r="11973" spans="1:3">
      <c r="A11973" s="250">
        <v>29224</v>
      </c>
      <c r="B11973" s="74" t="s">
        <v>1985</v>
      </c>
      <c r="C11973" s="74" t="s">
        <v>450</v>
      </c>
    </row>
    <row r="11974" spans="1:3">
      <c r="A11974" s="250">
        <v>29225</v>
      </c>
      <c r="B11974" s="74" t="s">
        <v>1985</v>
      </c>
      <c r="C11974" s="74" t="s">
        <v>450</v>
      </c>
    </row>
    <row r="11975" spans="1:3">
      <c r="A11975" s="250">
        <v>29226</v>
      </c>
      <c r="B11975" s="74" t="s">
        <v>1985</v>
      </c>
      <c r="C11975" s="74" t="s">
        <v>450</v>
      </c>
    </row>
    <row r="11976" spans="1:3">
      <c r="A11976" s="250">
        <v>29227</v>
      </c>
      <c r="B11976" s="74" t="s">
        <v>1985</v>
      </c>
      <c r="C11976" s="74" t="s">
        <v>450</v>
      </c>
    </row>
    <row r="11977" spans="1:3">
      <c r="A11977" s="250">
        <v>29228</v>
      </c>
      <c r="B11977" s="74" t="s">
        <v>1985</v>
      </c>
      <c r="C11977" s="74" t="s">
        <v>450</v>
      </c>
    </row>
    <row r="11978" spans="1:3">
      <c r="A11978" s="250">
        <v>29229</v>
      </c>
      <c r="B11978" s="74" t="s">
        <v>1985</v>
      </c>
      <c r="C11978" s="74" t="s">
        <v>450</v>
      </c>
    </row>
    <row r="11979" spans="1:3">
      <c r="A11979" s="250">
        <v>29230</v>
      </c>
      <c r="B11979" s="74" t="s">
        <v>1985</v>
      </c>
      <c r="C11979" s="74" t="s">
        <v>450</v>
      </c>
    </row>
    <row r="11980" spans="1:3">
      <c r="A11980" s="250">
        <v>29240</v>
      </c>
      <c r="B11980" s="74" t="s">
        <v>1985</v>
      </c>
      <c r="C11980" s="74" t="s">
        <v>450</v>
      </c>
    </row>
    <row r="11981" spans="1:3">
      <c r="A11981" s="250">
        <v>29250</v>
      </c>
      <c r="B11981" s="74" t="s">
        <v>1985</v>
      </c>
      <c r="C11981" s="74" t="s">
        <v>450</v>
      </c>
    </row>
    <row r="11982" spans="1:3">
      <c r="A11982" s="250">
        <v>29260</v>
      </c>
      <c r="B11982" s="74" t="s">
        <v>1985</v>
      </c>
      <c r="C11982" s="74" t="s">
        <v>450</v>
      </c>
    </row>
    <row r="11983" spans="1:3">
      <c r="A11983" s="250">
        <v>29290</v>
      </c>
      <c r="B11983" s="74" t="s">
        <v>1985</v>
      </c>
      <c r="C11983" s="74" t="s">
        <v>450</v>
      </c>
    </row>
    <row r="11984" spans="1:3">
      <c r="A11984" s="250">
        <v>29292</v>
      </c>
      <c r="B11984" s="74" t="s">
        <v>1985</v>
      </c>
      <c r="C11984" s="74" t="s">
        <v>450</v>
      </c>
    </row>
    <row r="11985" spans="1:3">
      <c r="A11985" s="250">
        <v>29301</v>
      </c>
      <c r="B11985" s="74" t="s">
        <v>7661</v>
      </c>
      <c r="C11985" s="74" t="s">
        <v>450</v>
      </c>
    </row>
    <row r="11986" spans="1:3">
      <c r="A11986" s="250">
        <v>29302</v>
      </c>
      <c r="B11986" s="74" t="s">
        <v>7661</v>
      </c>
      <c r="C11986" s="74" t="s">
        <v>450</v>
      </c>
    </row>
    <row r="11987" spans="1:3">
      <c r="A11987" s="250">
        <v>29303</v>
      </c>
      <c r="B11987" s="74" t="s">
        <v>7661</v>
      </c>
      <c r="C11987" s="74" t="s">
        <v>450</v>
      </c>
    </row>
    <row r="11988" spans="1:3">
      <c r="A11988" s="250">
        <v>29304</v>
      </c>
      <c r="B11988" s="74" t="s">
        <v>7661</v>
      </c>
      <c r="C11988" s="74" t="s">
        <v>450</v>
      </c>
    </row>
    <row r="11989" spans="1:3">
      <c r="A11989" s="250">
        <v>29305</v>
      </c>
      <c r="B11989" s="74" t="s">
        <v>7661</v>
      </c>
      <c r="C11989" s="74" t="s">
        <v>450</v>
      </c>
    </row>
    <row r="11990" spans="1:3">
      <c r="A11990" s="250">
        <v>29306</v>
      </c>
      <c r="B11990" s="74" t="s">
        <v>7661</v>
      </c>
      <c r="C11990" s="74" t="s">
        <v>450</v>
      </c>
    </row>
    <row r="11991" spans="1:3">
      <c r="A11991" s="250">
        <v>29307</v>
      </c>
      <c r="B11991" s="74" t="s">
        <v>7661</v>
      </c>
      <c r="C11991" s="74" t="s">
        <v>450</v>
      </c>
    </row>
    <row r="11992" spans="1:3">
      <c r="A11992" s="250">
        <v>29316</v>
      </c>
      <c r="B11992" s="74" t="s">
        <v>4692</v>
      </c>
      <c r="C11992" s="74" t="s">
        <v>450</v>
      </c>
    </row>
    <row r="11993" spans="1:3">
      <c r="A11993" s="250">
        <v>29318</v>
      </c>
      <c r="B11993" s="74" t="s">
        <v>4692</v>
      </c>
      <c r="C11993" s="74" t="s">
        <v>450</v>
      </c>
    </row>
    <row r="11994" spans="1:3">
      <c r="A11994" s="250">
        <v>29319</v>
      </c>
      <c r="B11994" s="74" t="s">
        <v>7661</v>
      </c>
      <c r="C11994" s="74" t="s">
        <v>450</v>
      </c>
    </row>
    <row r="11995" spans="1:3">
      <c r="A11995" s="250">
        <v>29320</v>
      </c>
      <c r="B11995" s="74" t="s">
        <v>4258</v>
      </c>
      <c r="C11995" s="74" t="s">
        <v>450</v>
      </c>
    </row>
    <row r="11996" spans="1:3">
      <c r="A11996" s="250">
        <v>29321</v>
      </c>
      <c r="B11996" s="74" t="s">
        <v>3751</v>
      </c>
      <c r="C11996" s="74" t="s">
        <v>450</v>
      </c>
    </row>
    <row r="11997" spans="1:3">
      <c r="A11997" s="250">
        <v>29322</v>
      </c>
      <c r="B11997" s="74" t="s">
        <v>7662</v>
      </c>
      <c r="C11997" s="74" t="s">
        <v>450</v>
      </c>
    </row>
    <row r="11998" spans="1:3">
      <c r="A11998" s="250">
        <v>29323</v>
      </c>
      <c r="B11998" s="74" t="s">
        <v>7663</v>
      </c>
      <c r="C11998" s="74" t="s">
        <v>450</v>
      </c>
    </row>
    <row r="11999" spans="1:3">
      <c r="A11999" s="250">
        <v>29324</v>
      </c>
      <c r="B11999" s="74" t="s">
        <v>2117</v>
      </c>
      <c r="C11999" s="74" t="s">
        <v>450</v>
      </c>
    </row>
    <row r="12000" spans="1:3">
      <c r="A12000" s="250">
        <v>29325</v>
      </c>
      <c r="B12000" s="74" t="s">
        <v>732</v>
      </c>
      <c r="C12000" s="74" t="s">
        <v>450</v>
      </c>
    </row>
    <row r="12001" spans="1:3">
      <c r="A12001" s="250">
        <v>29329</v>
      </c>
      <c r="B12001" s="74" t="s">
        <v>7664</v>
      </c>
      <c r="C12001" s="74" t="s">
        <v>450</v>
      </c>
    </row>
    <row r="12002" spans="1:3">
      <c r="A12002" s="250">
        <v>29330</v>
      </c>
      <c r="B12002" s="74" t="s">
        <v>7665</v>
      </c>
      <c r="C12002" s="74" t="s">
        <v>450</v>
      </c>
    </row>
    <row r="12003" spans="1:3">
      <c r="A12003" s="250">
        <v>29331</v>
      </c>
      <c r="B12003" s="74" t="s">
        <v>7666</v>
      </c>
      <c r="C12003" s="74" t="s">
        <v>450</v>
      </c>
    </row>
    <row r="12004" spans="1:3">
      <c r="A12004" s="250">
        <v>29332</v>
      </c>
      <c r="B12004" s="74" t="s">
        <v>7667</v>
      </c>
      <c r="C12004" s="74" t="s">
        <v>450</v>
      </c>
    </row>
    <row r="12005" spans="1:3">
      <c r="A12005" s="250">
        <v>29333</v>
      </c>
      <c r="B12005" s="74" t="s">
        <v>7668</v>
      </c>
      <c r="C12005" s="74" t="s">
        <v>450</v>
      </c>
    </row>
    <row r="12006" spans="1:3">
      <c r="A12006" s="250">
        <v>29334</v>
      </c>
      <c r="B12006" s="74" t="s">
        <v>7669</v>
      </c>
      <c r="C12006" s="74" t="s">
        <v>450</v>
      </c>
    </row>
    <row r="12007" spans="1:3">
      <c r="A12007" s="250">
        <v>29335</v>
      </c>
      <c r="B12007" s="74" t="s">
        <v>7670</v>
      </c>
      <c r="C12007" s="74" t="s">
        <v>450</v>
      </c>
    </row>
    <row r="12008" spans="1:3">
      <c r="A12008" s="250">
        <v>29336</v>
      </c>
      <c r="B12008" s="74" t="s">
        <v>7671</v>
      </c>
      <c r="C12008" s="74" t="s">
        <v>450</v>
      </c>
    </row>
    <row r="12009" spans="1:3">
      <c r="A12009" s="250">
        <v>29338</v>
      </c>
      <c r="B12009" s="74" t="s">
        <v>7672</v>
      </c>
      <c r="C12009" s="74" t="s">
        <v>450</v>
      </c>
    </row>
    <row r="12010" spans="1:3">
      <c r="A12010" s="250">
        <v>29340</v>
      </c>
      <c r="B12010" s="74" t="s">
        <v>7673</v>
      </c>
      <c r="C12010" s="74" t="s">
        <v>450</v>
      </c>
    </row>
    <row r="12011" spans="1:3">
      <c r="A12011" s="250">
        <v>29341</v>
      </c>
      <c r="B12011" s="74" t="s">
        <v>7673</v>
      </c>
      <c r="C12011" s="74" t="s">
        <v>450</v>
      </c>
    </row>
    <row r="12012" spans="1:3">
      <c r="A12012" s="250">
        <v>29342</v>
      </c>
      <c r="B12012" s="74" t="s">
        <v>7673</v>
      </c>
      <c r="C12012" s="74" t="s">
        <v>450</v>
      </c>
    </row>
    <row r="12013" spans="1:3">
      <c r="A12013" s="250">
        <v>29346</v>
      </c>
      <c r="B12013" s="74" t="s">
        <v>644</v>
      </c>
      <c r="C12013" s="74" t="s">
        <v>450</v>
      </c>
    </row>
    <row r="12014" spans="1:3">
      <c r="A12014" s="250">
        <v>29348</v>
      </c>
      <c r="B12014" s="74" t="s">
        <v>7674</v>
      </c>
      <c r="C12014" s="74" t="s">
        <v>450</v>
      </c>
    </row>
    <row r="12015" spans="1:3">
      <c r="A12015" s="250">
        <v>29349</v>
      </c>
      <c r="B12015" s="74" t="s">
        <v>7675</v>
      </c>
      <c r="C12015" s="74" t="s">
        <v>450</v>
      </c>
    </row>
    <row r="12016" spans="1:3">
      <c r="A12016" s="250">
        <v>29351</v>
      </c>
      <c r="B12016" s="74" t="s">
        <v>7676</v>
      </c>
      <c r="C12016" s="74" t="s">
        <v>450</v>
      </c>
    </row>
    <row r="12017" spans="1:3">
      <c r="A12017" s="250">
        <v>29353</v>
      </c>
      <c r="B12017" s="74" t="s">
        <v>1819</v>
      </c>
      <c r="C12017" s="74" t="s">
        <v>450</v>
      </c>
    </row>
    <row r="12018" spans="1:3">
      <c r="A12018" s="250">
        <v>29355</v>
      </c>
      <c r="B12018" s="74" t="s">
        <v>7677</v>
      </c>
      <c r="C12018" s="74" t="s">
        <v>450</v>
      </c>
    </row>
    <row r="12019" spans="1:3">
      <c r="A12019" s="250">
        <v>29356</v>
      </c>
      <c r="B12019" s="74" t="s">
        <v>7678</v>
      </c>
      <c r="C12019" s="74" t="s">
        <v>450</v>
      </c>
    </row>
    <row r="12020" spans="1:3">
      <c r="A12020" s="250">
        <v>29360</v>
      </c>
      <c r="B12020" s="74" t="s">
        <v>3626</v>
      </c>
      <c r="C12020" s="74" t="s">
        <v>450</v>
      </c>
    </row>
    <row r="12021" spans="1:3">
      <c r="A12021" s="250">
        <v>29364</v>
      </c>
      <c r="B12021" s="74" t="s">
        <v>7679</v>
      </c>
      <c r="C12021" s="74" t="s">
        <v>450</v>
      </c>
    </row>
    <row r="12022" spans="1:3">
      <c r="A12022" s="250">
        <v>29365</v>
      </c>
      <c r="B12022" s="74" t="s">
        <v>7680</v>
      </c>
      <c r="C12022" s="74" t="s">
        <v>450</v>
      </c>
    </row>
    <row r="12023" spans="1:3">
      <c r="A12023" s="250">
        <v>29368</v>
      </c>
      <c r="B12023" s="74" t="s">
        <v>5687</v>
      </c>
      <c r="C12023" s="74" t="s">
        <v>450</v>
      </c>
    </row>
    <row r="12024" spans="1:3">
      <c r="A12024" s="250">
        <v>29369</v>
      </c>
      <c r="B12024" s="74" t="s">
        <v>7681</v>
      </c>
      <c r="C12024" s="74" t="s">
        <v>450</v>
      </c>
    </row>
    <row r="12025" spans="1:3">
      <c r="A12025" s="250">
        <v>29370</v>
      </c>
      <c r="B12025" s="74" t="s">
        <v>4874</v>
      </c>
      <c r="C12025" s="74" t="s">
        <v>450</v>
      </c>
    </row>
    <row r="12026" spans="1:3">
      <c r="A12026" s="250">
        <v>29372</v>
      </c>
      <c r="B12026" s="74" t="s">
        <v>7682</v>
      </c>
      <c r="C12026" s="74" t="s">
        <v>450</v>
      </c>
    </row>
    <row r="12027" spans="1:3">
      <c r="A12027" s="250">
        <v>29373</v>
      </c>
      <c r="B12027" s="74" t="s">
        <v>7683</v>
      </c>
      <c r="C12027" s="74" t="s">
        <v>450</v>
      </c>
    </row>
    <row r="12028" spans="1:3">
      <c r="A12028" s="250">
        <v>29374</v>
      </c>
      <c r="B12028" s="74" t="s">
        <v>7684</v>
      </c>
      <c r="C12028" s="74" t="s">
        <v>450</v>
      </c>
    </row>
    <row r="12029" spans="1:3">
      <c r="A12029" s="250">
        <v>29375</v>
      </c>
      <c r="B12029" s="74" t="s">
        <v>7685</v>
      </c>
      <c r="C12029" s="74" t="s">
        <v>450</v>
      </c>
    </row>
    <row r="12030" spans="1:3">
      <c r="A12030" s="250">
        <v>29376</v>
      </c>
      <c r="B12030" s="74" t="s">
        <v>7686</v>
      </c>
      <c r="C12030" s="74" t="s">
        <v>450</v>
      </c>
    </row>
    <row r="12031" spans="1:3">
      <c r="A12031" s="250">
        <v>29377</v>
      </c>
      <c r="B12031" s="74" t="s">
        <v>7687</v>
      </c>
      <c r="C12031" s="74" t="s">
        <v>450</v>
      </c>
    </row>
    <row r="12032" spans="1:3">
      <c r="A12032" s="250">
        <v>29378</v>
      </c>
      <c r="B12032" s="74" t="s">
        <v>7688</v>
      </c>
      <c r="C12032" s="74" t="s">
        <v>450</v>
      </c>
    </row>
    <row r="12033" spans="1:3">
      <c r="A12033" s="250">
        <v>29379</v>
      </c>
      <c r="B12033" s="74" t="s">
        <v>1346</v>
      </c>
      <c r="C12033" s="74" t="s">
        <v>450</v>
      </c>
    </row>
    <row r="12034" spans="1:3">
      <c r="A12034" s="250">
        <v>29384</v>
      </c>
      <c r="B12034" s="74" t="s">
        <v>3425</v>
      </c>
      <c r="C12034" s="74" t="s">
        <v>450</v>
      </c>
    </row>
    <row r="12035" spans="1:3">
      <c r="A12035" s="250">
        <v>29385</v>
      </c>
      <c r="B12035" s="74" t="s">
        <v>7689</v>
      </c>
      <c r="C12035" s="74" t="s">
        <v>450</v>
      </c>
    </row>
    <row r="12036" spans="1:3">
      <c r="A12036" s="250">
        <v>29386</v>
      </c>
      <c r="B12036" s="74" t="s">
        <v>5928</v>
      </c>
      <c r="C12036" s="74" t="s">
        <v>450</v>
      </c>
    </row>
    <row r="12037" spans="1:3">
      <c r="A12037" s="250">
        <v>29388</v>
      </c>
      <c r="B12037" s="74" t="s">
        <v>7690</v>
      </c>
      <c r="C12037" s="74" t="s">
        <v>450</v>
      </c>
    </row>
    <row r="12038" spans="1:3">
      <c r="A12038" s="250">
        <v>29390</v>
      </c>
      <c r="B12038" s="74" t="s">
        <v>7669</v>
      </c>
      <c r="C12038" s="74" t="s">
        <v>450</v>
      </c>
    </row>
    <row r="12039" spans="1:3">
      <c r="A12039" s="250">
        <v>29391</v>
      </c>
      <c r="B12039" s="74" t="s">
        <v>7669</v>
      </c>
      <c r="C12039" s="74" t="s">
        <v>450</v>
      </c>
    </row>
    <row r="12040" spans="1:3">
      <c r="A12040" s="250">
        <v>29395</v>
      </c>
      <c r="B12040" s="74" t="s">
        <v>1819</v>
      </c>
      <c r="C12040" s="74" t="s">
        <v>450</v>
      </c>
    </row>
    <row r="12041" spans="1:3">
      <c r="A12041" s="250">
        <v>29401</v>
      </c>
      <c r="B12041" s="74" t="s">
        <v>1498</v>
      </c>
      <c r="C12041" s="74" t="s">
        <v>450</v>
      </c>
    </row>
    <row r="12042" spans="1:3">
      <c r="A12042" s="250">
        <v>29402</v>
      </c>
      <c r="B12042" s="74" t="s">
        <v>1498</v>
      </c>
      <c r="C12042" s="74" t="s">
        <v>450</v>
      </c>
    </row>
    <row r="12043" spans="1:3">
      <c r="A12043" s="250">
        <v>29403</v>
      </c>
      <c r="B12043" s="74" t="s">
        <v>1498</v>
      </c>
      <c r="C12043" s="74" t="s">
        <v>450</v>
      </c>
    </row>
    <row r="12044" spans="1:3">
      <c r="A12044" s="250">
        <v>29404</v>
      </c>
      <c r="B12044" s="74" t="s">
        <v>7691</v>
      </c>
      <c r="C12044" s="74" t="s">
        <v>450</v>
      </c>
    </row>
    <row r="12045" spans="1:3">
      <c r="A12045" s="250">
        <v>29405</v>
      </c>
      <c r="B12045" s="74" t="s">
        <v>7692</v>
      </c>
      <c r="C12045" s="74" t="s">
        <v>450</v>
      </c>
    </row>
    <row r="12046" spans="1:3">
      <c r="A12046" s="250">
        <v>29406</v>
      </c>
      <c r="B12046" s="74" t="s">
        <v>1498</v>
      </c>
      <c r="C12046" s="74" t="s">
        <v>450</v>
      </c>
    </row>
    <row r="12047" spans="1:3">
      <c r="A12047" s="250">
        <v>29407</v>
      </c>
      <c r="B12047" s="74" t="s">
        <v>1498</v>
      </c>
      <c r="C12047" s="74" t="s">
        <v>450</v>
      </c>
    </row>
    <row r="12048" spans="1:3">
      <c r="A12048" s="250">
        <v>29409</v>
      </c>
      <c r="B12048" s="74" t="s">
        <v>1498</v>
      </c>
      <c r="C12048" s="74" t="s">
        <v>450</v>
      </c>
    </row>
    <row r="12049" spans="1:3">
      <c r="A12049" s="250">
        <v>29410</v>
      </c>
      <c r="B12049" s="74" t="s">
        <v>7693</v>
      </c>
      <c r="C12049" s="74" t="s">
        <v>450</v>
      </c>
    </row>
    <row r="12050" spans="1:3">
      <c r="A12050" s="250">
        <v>29412</v>
      </c>
      <c r="B12050" s="74" t="s">
        <v>1498</v>
      </c>
      <c r="C12050" s="74" t="s">
        <v>450</v>
      </c>
    </row>
    <row r="12051" spans="1:3">
      <c r="A12051" s="250">
        <v>29413</v>
      </c>
      <c r="B12051" s="74" t="s">
        <v>1498</v>
      </c>
      <c r="C12051" s="74" t="s">
        <v>450</v>
      </c>
    </row>
    <row r="12052" spans="1:3">
      <c r="A12052" s="250">
        <v>29414</v>
      </c>
      <c r="B12052" s="74" t="s">
        <v>1498</v>
      </c>
      <c r="C12052" s="74" t="s">
        <v>450</v>
      </c>
    </row>
    <row r="12053" spans="1:3">
      <c r="A12053" s="250">
        <v>29415</v>
      </c>
      <c r="B12053" s="74" t="s">
        <v>7692</v>
      </c>
      <c r="C12053" s="74" t="s">
        <v>450</v>
      </c>
    </row>
    <row r="12054" spans="1:3">
      <c r="A12054" s="250">
        <v>29416</v>
      </c>
      <c r="B12054" s="74" t="s">
        <v>1498</v>
      </c>
      <c r="C12054" s="74" t="s">
        <v>450</v>
      </c>
    </row>
    <row r="12055" spans="1:3">
      <c r="A12055" s="250">
        <v>29417</v>
      </c>
      <c r="B12055" s="74" t="s">
        <v>1498</v>
      </c>
      <c r="C12055" s="74" t="s">
        <v>450</v>
      </c>
    </row>
    <row r="12056" spans="1:3">
      <c r="A12056" s="250">
        <v>29418</v>
      </c>
      <c r="B12056" s="74" t="s">
        <v>7692</v>
      </c>
      <c r="C12056" s="74" t="s">
        <v>450</v>
      </c>
    </row>
    <row r="12057" spans="1:3">
      <c r="A12057" s="250">
        <v>29419</v>
      </c>
      <c r="B12057" s="74" t="s">
        <v>7692</v>
      </c>
      <c r="C12057" s="74" t="s">
        <v>450</v>
      </c>
    </row>
    <row r="12058" spans="1:3">
      <c r="A12058" s="250">
        <v>29420</v>
      </c>
      <c r="B12058" s="74" t="s">
        <v>7692</v>
      </c>
      <c r="C12058" s="74" t="s">
        <v>450</v>
      </c>
    </row>
    <row r="12059" spans="1:3">
      <c r="A12059" s="250">
        <v>29422</v>
      </c>
      <c r="B12059" s="74" t="s">
        <v>1498</v>
      </c>
      <c r="C12059" s="74" t="s">
        <v>450</v>
      </c>
    </row>
    <row r="12060" spans="1:3">
      <c r="A12060" s="250">
        <v>29423</v>
      </c>
      <c r="B12060" s="74" t="s">
        <v>1498</v>
      </c>
      <c r="C12060" s="74" t="s">
        <v>450</v>
      </c>
    </row>
    <row r="12061" spans="1:3">
      <c r="A12061" s="250">
        <v>29424</v>
      </c>
      <c r="B12061" s="74" t="s">
        <v>1498</v>
      </c>
      <c r="C12061" s="74" t="s">
        <v>450</v>
      </c>
    </row>
    <row r="12062" spans="1:3">
      <c r="A12062" s="250">
        <v>29425</v>
      </c>
      <c r="B12062" s="74" t="s">
        <v>1498</v>
      </c>
      <c r="C12062" s="74" t="s">
        <v>450</v>
      </c>
    </row>
    <row r="12063" spans="1:3">
      <c r="A12063" s="250">
        <v>29426</v>
      </c>
      <c r="B12063" s="74" t="s">
        <v>7694</v>
      </c>
      <c r="C12063" s="74" t="s">
        <v>450</v>
      </c>
    </row>
    <row r="12064" spans="1:3">
      <c r="A12064" s="250">
        <v>29429</v>
      </c>
      <c r="B12064" s="74" t="s">
        <v>7695</v>
      </c>
      <c r="C12064" s="74" t="s">
        <v>450</v>
      </c>
    </row>
    <row r="12065" spans="1:3">
      <c r="A12065" s="250">
        <v>29430</v>
      </c>
      <c r="B12065" s="74" t="s">
        <v>7696</v>
      </c>
      <c r="C12065" s="74" t="s">
        <v>450</v>
      </c>
    </row>
    <row r="12066" spans="1:3">
      <c r="A12066" s="250">
        <v>29431</v>
      </c>
      <c r="B12066" s="74" t="s">
        <v>7697</v>
      </c>
      <c r="C12066" s="74" t="s">
        <v>450</v>
      </c>
    </row>
    <row r="12067" spans="1:3">
      <c r="A12067" s="250">
        <v>29432</v>
      </c>
      <c r="B12067" s="74" t="s">
        <v>2298</v>
      </c>
      <c r="C12067" s="74" t="s">
        <v>450</v>
      </c>
    </row>
    <row r="12068" spans="1:3">
      <c r="A12068" s="250">
        <v>29433</v>
      </c>
      <c r="B12068" s="74" t="s">
        <v>7698</v>
      </c>
      <c r="C12068" s="74" t="s">
        <v>450</v>
      </c>
    </row>
    <row r="12069" spans="1:3">
      <c r="A12069" s="250">
        <v>29434</v>
      </c>
      <c r="B12069" s="74" t="s">
        <v>7699</v>
      </c>
      <c r="C12069" s="74" t="s">
        <v>450</v>
      </c>
    </row>
    <row r="12070" spans="1:3">
      <c r="A12070" s="250">
        <v>29435</v>
      </c>
      <c r="B12070" s="74" t="s">
        <v>6664</v>
      </c>
      <c r="C12070" s="74" t="s">
        <v>450</v>
      </c>
    </row>
    <row r="12071" spans="1:3">
      <c r="A12071" s="250">
        <v>29436</v>
      </c>
      <c r="B12071" s="74" t="s">
        <v>7700</v>
      </c>
      <c r="C12071" s="74" t="s">
        <v>450</v>
      </c>
    </row>
    <row r="12072" spans="1:3">
      <c r="A12072" s="250">
        <v>29437</v>
      </c>
      <c r="B12072" s="74" t="s">
        <v>903</v>
      </c>
      <c r="C12072" s="74" t="s">
        <v>450</v>
      </c>
    </row>
    <row r="12073" spans="1:3">
      <c r="A12073" s="250">
        <v>29438</v>
      </c>
      <c r="B12073" s="74" t="s">
        <v>7701</v>
      </c>
      <c r="C12073" s="74" t="s">
        <v>450</v>
      </c>
    </row>
    <row r="12074" spans="1:3">
      <c r="A12074" s="250">
        <v>29439</v>
      </c>
      <c r="B12074" s="74" t="s">
        <v>7702</v>
      </c>
      <c r="C12074" s="74" t="s">
        <v>450</v>
      </c>
    </row>
    <row r="12075" spans="1:3">
      <c r="A12075" s="250">
        <v>29440</v>
      </c>
      <c r="B12075" s="74" t="s">
        <v>813</v>
      </c>
      <c r="C12075" s="74" t="s">
        <v>450</v>
      </c>
    </row>
    <row r="12076" spans="1:3">
      <c r="A12076" s="250">
        <v>29442</v>
      </c>
      <c r="B12076" s="74" t="s">
        <v>813</v>
      </c>
      <c r="C12076" s="74" t="s">
        <v>450</v>
      </c>
    </row>
    <row r="12077" spans="1:3">
      <c r="A12077" s="250">
        <v>29445</v>
      </c>
      <c r="B12077" s="74" t="s">
        <v>7703</v>
      </c>
      <c r="C12077" s="74" t="s">
        <v>450</v>
      </c>
    </row>
    <row r="12078" spans="1:3">
      <c r="A12078" s="250">
        <v>29446</v>
      </c>
      <c r="B12078" s="74" t="s">
        <v>7704</v>
      </c>
      <c r="C12078" s="74" t="s">
        <v>450</v>
      </c>
    </row>
    <row r="12079" spans="1:3">
      <c r="A12079" s="250">
        <v>29447</v>
      </c>
      <c r="B12079" s="74" t="s">
        <v>4907</v>
      </c>
      <c r="C12079" s="74" t="s">
        <v>450</v>
      </c>
    </row>
    <row r="12080" spans="1:3">
      <c r="A12080" s="250">
        <v>29448</v>
      </c>
      <c r="B12080" s="74" t="s">
        <v>7705</v>
      </c>
      <c r="C12080" s="74" t="s">
        <v>450</v>
      </c>
    </row>
    <row r="12081" spans="1:3">
      <c r="A12081" s="250">
        <v>29449</v>
      </c>
      <c r="B12081" s="74" t="s">
        <v>5569</v>
      </c>
      <c r="C12081" s="74" t="s">
        <v>450</v>
      </c>
    </row>
    <row r="12082" spans="1:3">
      <c r="A12082" s="250">
        <v>29450</v>
      </c>
      <c r="B12082" s="74" t="s">
        <v>7706</v>
      </c>
      <c r="C12082" s="74" t="s">
        <v>450</v>
      </c>
    </row>
    <row r="12083" spans="1:3">
      <c r="A12083" s="250">
        <v>29451</v>
      </c>
      <c r="B12083" s="74" t="s">
        <v>7707</v>
      </c>
      <c r="C12083" s="74" t="s">
        <v>450</v>
      </c>
    </row>
    <row r="12084" spans="1:3">
      <c r="A12084" s="250">
        <v>29452</v>
      </c>
      <c r="B12084" s="74" t="s">
        <v>7708</v>
      </c>
      <c r="C12084" s="74" t="s">
        <v>450</v>
      </c>
    </row>
    <row r="12085" spans="1:3">
      <c r="A12085" s="250">
        <v>29453</v>
      </c>
      <c r="B12085" s="74" t="s">
        <v>1113</v>
      </c>
      <c r="C12085" s="74" t="s">
        <v>450</v>
      </c>
    </row>
    <row r="12086" spans="1:3">
      <c r="A12086" s="250">
        <v>29455</v>
      </c>
      <c r="B12086" s="74" t="s">
        <v>7709</v>
      </c>
      <c r="C12086" s="74" t="s">
        <v>450</v>
      </c>
    </row>
    <row r="12087" spans="1:3">
      <c r="A12087" s="250">
        <v>29456</v>
      </c>
      <c r="B12087" s="74" t="s">
        <v>7710</v>
      </c>
      <c r="C12087" s="74" t="s">
        <v>450</v>
      </c>
    </row>
    <row r="12088" spans="1:3">
      <c r="A12088" s="250">
        <v>29457</v>
      </c>
      <c r="B12088" s="74" t="s">
        <v>7709</v>
      </c>
      <c r="C12088" s="74" t="s">
        <v>450</v>
      </c>
    </row>
    <row r="12089" spans="1:3">
      <c r="A12089" s="250">
        <v>29458</v>
      </c>
      <c r="B12089" s="74" t="s">
        <v>7711</v>
      </c>
      <c r="C12089" s="74" t="s">
        <v>450</v>
      </c>
    </row>
    <row r="12090" spans="1:3">
      <c r="A12090" s="250">
        <v>29461</v>
      </c>
      <c r="B12090" s="74" t="s">
        <v>7712</v>
      </c>
      <c r="C12090" s="74" t="s">
        <v>450</v>
      </c>
    </row>
    <row r="12091" spans="1:3">
      <c r="A12091" s="250">
        <v>29464</v>
      </c>
      <c r="B12091" s="74" t="s">
        <v>4226</v>
      </c>
      <c r="C12091" s="74" t="s">
        <v>450</v>
      </c>
    </row>
    <row r="12092" spans="1:3">
      <c r="A12092" s="250">
        <v>29465</v>
      </c>
      <c r="B12092" s="74" t="s">
        <v>4226</v>
      </c>
      <c r="C12092" s="74" t="s">
        <v>450</v>
      </c>
    </row>
    <row r="12093" spans="1:3">
      <c r="A12093" s="250">
        <v>29466</v>
      </c>
      <c r="B12093" s="74" t="s">
        <v>4226</v>
      </c>
      <c r="C12093" s="74" t="s">
        <v>450</v>
      </c>
    </row>
    <row r="12094" spans="1:3">
      <c r="A12094" s="250">
        <v>29468</v>
      </c>
      <c r="B12094" s="74" t="s">
        <v>5286</v>
      </c>
      <c r="C12094" s="74" t="s">
        <v>450</v>
      </c>
    </row>
    <row r="12095" spans="1:3">
      <c r="A12095" s="250">
        <v>29469</v>
      </c>
      <c r="B12095" s="74" t="s">
        <v>7713</v>
      </c>
      <c r="C12095" s="74" t="s">
        <v>450</v>
      </c>
    </row>
    <row r="12096" spans="1:3">
      <c r="A12096" s="250">
        <v>29470</v>
      </c>
      <c r="B12096" s="74" t="s">
        <v>7714</v>
      </c>
      <c r="C12096" s="74" t="s">
        <v>450</v>
      </c>
    </row>
    <row r="12097" spans="1:3">
      <c r="A12097" s="250">
        <v>29471</v>
      </c>
      <c r="B12097" s="74" t="s">
        <v>7715</v>
      </c>
      <c r="C12097" s="74" t="s">
        <v>450</v>
      </c>
    </row>
    <row r="12098" spans="1:3">
      <c r="A12098" s="250">
        <v>29472</v>
      </c>
      <c r="B12098" s="74" t="s">
        <v>7716</v>
      </c>
      <c r="C12098" s="74" t="s">
        <v>450</v>
      </c>
    </row>
    <row r="12099" spans="1:3">
      <c r="A12099" s="250">
        <v>29474</v>
      </c>
      <c r="B12099" s="74" t="s">
        <v>7717</v>
      </c>
      <c r="C12099" s="74" t="s">
        <v>450</v>
      </c>
    </row>
    <row r="12100" spans="1:3">
      <c r="A12100" s="250">
        <v>29475</v>
      </c>
      <c r="B12100" s="74" t="s">
        <v>7116</v>
      </c>
      <c r="C12100" s="74" t="s">
        <v>450</v>
      </c>
    </row>
    <row r="12101" spans="1:3">
      <c r="A12101" s="250">
        <v>29476</v>
      </c>
      <c r="B12101" s="74" t="s">
        <v>7718</v>
      </c>
      <c r="C12101" s="74" t="s">
        <v>450</v>
      </c>
    </row>
    <row r="12102" spans="1:3">
      <c r="A12102" s="250">
        <v>29477</v>
      </c>
      <c r="B12102" s="74" t="s">
        <v>7719</v>
      </c>
      <c r="C12102" s="74" t="s">
        <v>450</v>
      </c>
    </row>
    <row r="12103" spans="1:3">
      <c r="A12103" s="250">
        <v>29479</v>
      </c>
      <c r="B12103" s="74" t="s">
        <v>7720</v>
      </c>
      <c r="C12103" s="74" t="s">
        <v>450</v>
      </c>
    </row>
    <row r="12104" spans="1:3">
      <c r="A12104" s="250">
        <v>29481</v>
      </c>
      <c r="B12104" s="74" t="s">
        <v>7721</v>
      </c>
      <c r="C12104" s="74" t="s">
        <v>450</v>
      </c>
    </row>
    <row r="12105" spans="1:3">
      <c r="A12105" s="250">
        <v>29482</v>
      </c>
      <c r="B12105" s="74" t="s">
        <v>7722</v>
      </c>
      <c r="C12105" s="74" t="s">
        <v>450</v>
      </c>
    </row>
    <row r="12106" spans="1:3">
      <c r="A12106" s="250">
        <v>29483</v>
      </c>
      <c r="B12106" s="74" t="s">
        <v>4337</v>
      </c>
      <c r="C12106" s="74" t="s">
        <v>450</v>
      </c>
    </row>
    <row r="12107" spans="1:3">
      <c r="A12107" s="250">
        <v>29484</v>
      </c>
      <c r="B12107" s="74" t="s">
        <v>4337</v>
      </c>
      <c r="C12107" s="74" t="s">
        <v>450</v>
      </c>
    </row>
    <row r="12108" spans="1:3">
      <c r="A12108" s="250">
        <v>29485</v>
      </c>
      <c r="B12108" s="74" t="s">
        <v>4337</v>
      </c>
      <c r="C12108" s="74" t="s">
        <v>450</v>
      </c>
    </row>
    <row r="12109" spans="1:3">
      <c r="A12109" s="250">
        <v>29487</v>
      </c>
      <c r="B12109" s="74" t="s">
        <v>7723</v>
      </c>
      <c r="C12109" s="74" t="s">
        <v>450</v>
      </c>
    </row>
    <row r="12110" spans="1:3">
      <c r="A12110" s="250">
        <v>29488</v>
      </c>
      <c r="B12110" s="74" t="s">
        <v>7724</v>
      </c>
      <c r="C12110" s="74" t="s">
        <v>450</v>
      </c>
    </row>
    <row r="12111" spans="1:3">
      <c r="A12111" s="250">
        <v>29492</v>
      </c>
      <c r="B12111" s="74" t="s">
        <v>1498</v>
      </c>
      <c r="C12111" s="74" t="s">
        <v>450</v>
      </c>
    </row>
    <row r="12112" spans="1:3">
      <c r="A12112" s="250">
        <v>29493</v>
      </c>
      <c r="B12112" s="74" t="s">
        <v>7725</v>
      </c>
      <c r="C12112" s="74" t="s">
        <v>450</v>
      </c>
    </row>
    <row r="12113" spans="1:3">
      <c r="A12113" s="250">
        <v>29501</v>
      </c>
      <c r="B12113" s="74" t="s">
        <v>608</v>
      </c>
      <c r="C12113" s="74" t="s">
        <v>450</v>
      </c>
    </row>
    <row r="12114" spans="1:3">
      <c r="A12114" s="250">
        <v>29502</v>
      </c>
      <c r="B12114" s="74" t="s">
        <v>608</v>
      </c>
      <c r="C12114" s="74" t="s">
        <v>450</v>
      </c>
    </row>
    <row r="12115" spans="1:3">
      <c r="A12115" s="250">
        <v>29503</v>
      </c>
      <c r="B12115" s="74" t="s">
        <v>608</v>
      </c>
      <c r="C12115" s="74" t="s">
        <v>450</v>
      </c>
    </row>
    <row r="12116" spans="1:3">
      <c r="A12116" s="250">
        <v>29504</v>
      </c>
      <c r="B12116" s="74" t="s">
        <v>608</v>
      </c>
      <c r="C12116" s="74" t="s">
        <v>450</v>
      </c>
    </row>
    <row r="12117" spans="1:3">
      <c r="A12117" s="250">
        <v>29505</v>
      </c>
      <c r="B12117" s="74" t="s">
        <v>608</v>
      </c>
      <c r="C12117" s="74" t="s">
        <v>450</v>
      </c>
    </row>
    <row r="12118" spans="1:3">
      <c r="A12118" s="250">
        <v>29506</v>
      </c>
      <c r="B12118" s="74" t="s">
        <v>608</v>
      </c>
      <c r="C12118" s="74" t="s">
        <v>450</v>
      </c>
    </row>
    <row r="12119" spans="1:3">
      <c r="A12119" s="250">
        <v>29510</v>
      </c>
      <c r="B12119" s="74" t="s">
        <v>7587</v>
      </c>
      <c r="C12119" s="74" t="s">
        <v>450</v>
      </c>
    </row>
    <row r="12120" spans="1:3">
      <c r="A12120" s="250">
        <v>29511</v>
      </c>
      <c r="B12120" s="74" t="s">
        <v>7726</v>
      </c>
      <c r="C12120" s="74" t="s">
        <v>450</v>
      </c>
    </row>
    <row r="12121" spans="1:3">
      <c r="A12121" s="250">
        <v>29512</v>
      </c>
      <c r="B12121" s="74" t="s">
        <v>7727</v>
      </c>
      <c r="C12121" s="74" t="s">
        <v>450</v>
      </c>
    </row>
    <row r="12122" spans="1:3">
      <c r="A12122" s="250">
        <v>29516</v>
      </c>
      <c r="B12122" s="74" t="s">
        <v>7728</v>
      </c>
      <c r="C12122" s="74" t="s">
        <v>450</v>
      </c>
    </row>
    <row r="12123" spans="1:3">
      <c r="A12123" s="250">
        <v>29518</v>
      </c>
      <c r="B12123" s="74" t="s">
        <v>7729</v>
      </c>
      <c r="C12123" s="74" t="s">
        <v>450</v>
      </c>
    </row>
    <row r="12124" spans="1:3">
      <c r="A12124" s="250">
        <v>29519</v>
      </c>
      <c r="B12124" s="74" t="s">
        <v>7730</v>
      </c>
      <c r="C12124" s="74" t="s">
        <v>450</v>
      </c>
    </row>
    <row r="12125" spans="1:3">
      <c r="A12125" s="250">
        <v>29520</v>
      </c>
      <c r="B12125" s="74" t="s">
        <v>7731</v>
      </c>
      <c r="C12125" s="74" t="s">
        <v>450</v>
      </c>
    </row>
    <row r="12126" spans="1:3">
      <c r="A12126" s="250">
        <v>29525</v>
      </c>
      <c r="B12126" s="74" t="s">
        <v>7732</v>
      </c>
      <c r="C12126" s="74" t="s">
        <v>450</v>
      </c>
    </row>
    <row r="12127" spans="1:3">
      <c r="A12127" s="250">
        <v>29526</v>
      </c>
      <c r="B12127" s="74" t="s">
        <v>677</v>
      </c>
      <c r="C12127" s="74" t="s">
        <v>450</v>
      </c>
    </row>
    <row r="12128" spans="1:3">
      <c r="A12128" s="250">
        <v>29527</v>
      </c>
      <c r="B12128" s="74" t="s">
        <v>677</v>
      </c>
      <c r="C12128" s="74" t="s">
        <v>450</v>
      </c>
    </row>
    <row r="12129" spans="1:3">
      <c r="A12129" s="250">
        <v>29528</v>
      </c>
      <c r="B12129" s="74" t="s">
        <v>677</v>
      </c>
      <c r="C12129" s="74" t="s">
        <v>450</v>
      </c>
    </row>
    <row r="12130" spans="1:3">
      <c r="A12130" s="250">
        <v>29530</v>
      </c>
      <c r="B12130" s="74" t="s">
        <v>7733</v>
      </c>
      <c r="C12130" s="74" t="s">
        <v>450</v>
      </c>
    </row>
    <row r="12131" spans="1:3">
      <c r="A12131" s="250">
        <v>29532</v>
      </c>
      <c r="B12131" s="74" t="s">
        <v>4412</v>
      </c>
      <c r="C12131" s="74" t="s">
        <v>450</v>
      </c>
    </row>
    <row r="12132" spans="1:3">
      <c r="A12132" s="250">
        <v>29536</v>
      </c>
      <c r="B12132" s="74" t="s">
        <v>7734</v>
      </c>
      <c r="C12132" s="74" t="s">
        <v>450</v>
      </c>
    </row>
    <row r="12133" spans="1:3">
      <c r="A12133" s="250">
        <v>29540</v>
      </c>
      <c r="B12133" s="74" t="s">
        <v>4412</v>
      </c>
      <c r="C12133" s="74" t="s">
        <v>450</v>
      </c>
    </row>
    <row r="12134" spans="1:3">
      <c r="A12134" s="250">
        <v>29541</v>
      </c>
      <c r="B12134" s="74" t="s">
        <v>1341</v>
      </c>
      <c r="C12134" s="74" t="s">
        <v>450</v>
      </c>
    </row>
    <row r="12135" spans="1:3">
      <c r="A12135" s="250">
        <v>29543</v>
      </c>
      <c r="B12135" s="74" t="s">
        <v>5667</v>
      </c>
      <c r="C12135" s="74" t="s">
        <v>450</v>
      </c>
    </row>
    <row r="12136" spans="1:3">
      <c r="A12136" s="250">
        <v>29544</v>
      </c>
      <c r="B12136" s="74" t="s">
        <v>7735</v>
      </c>
      <c r="C12136" s="74" t="s">
        <v>450</v>
      </c>
    </row>
    <row r="12137" spans="1:3">
      <c r="A12137" s="250">
        <v>29545</v>
      </c>
      <c r="B12137" s="74" t="s">
        <v>7736</v>
      </c>
      <c r="C12137" s="74" t="s">
        <v>450</v>
      </c>
    </row>
    <row r="12138" spans="1:3">
      <c r="A12138" s="250">
        <v>29546</v>
      </c>
      <c r="B12138" s="74" t="s">
        <v>7737</v>
      </c>
      <c r="C12138" s="74" t="s">
        <v>450</v>
      </c>
    </row>
    <row r="12139" spans="1:3">
      <c r="A12139" s="250">
        <v>29547</v>
      </c>
      <c r="B12139" s="74" t="s">
        <v>7738</v>
      </c>
      <c r="C12139" s="74" t="s">
        <v>450</v>
      </c>
    </row>
    <row r="12140" spans="1:3">
      <c r="A12140" s="250">
        <v>29550</v>
      </c>
      <c r="B12140" s="74" t="s">
        <v>7739</v>
      </c>
      <c r="C12140" s="74" t="s">
        <v>450</v>
      </c>
    </row>
    <row r="12141" spans="1:3">
      <c r="A12141" s="250">
        <v>29551</v>
      </c>
      <c r="B12141" s="74" t="s">
        <v>7739</v>
      </c>
      <c r="C12141" s="74" t="s">
        <v>450</v>
      </c>
    </row>
    <row r="12142" spans="1:3">
      <c r="A12142" s="250">
        <v>29554</v>
      </c>
      <c r="B12142" s="74" t="s">
        <v>7740</v>
      </c>
      <c r="C12142" s="74" t="s">
        <v>450</v>
      </c>
    </row>
    <row r="12143" spans="1:3">
      <c r="A12143" s="250">
        <v>29555</v>
      </c>
      <c r="B12143" s="74" t="s">
        <v>2968</v>
      </c>
      <c r="C12143" s="74" t="s">
        <v>450</v>
      </c>
    </row>
    <row r="12144" spans="1:3">
      <c r="A12144" s="250">
        <v>29556</v>
      </c>
      <c r="B12144" s="74" t="s">
        <v>7741</v>
      </c>
      <c r="C12144" s="74" t="s">
        <v>450</v>
      </c>
    </row>
    <row r="12145" spans="1:3">
      <c r="A12145" s="250">
        <v>29560</v>
      </c>
      <c r="B12145" s="74" t="s">
        <v>4516</v>
      </c>
      <c r="C12145" s="74" t="s">
        <v>450</v>
      </c>
    </row>
    <row r="12146" spans="1:3">
      <c r="A12146" s="250">
        <v>29563</v>
      </c>
      <c r="B12146" s="74" t="s">
        <v>3715</v>
      </c>
      <c r="C12146" s="74" t="s">
        <v>450</v>
      </c>
    </row>
    <row r="12147" spans="1:3">
      <c r="A12147" s="250">
        <v>29564</v>
      </c>
      <c r="B12147" s="74" t="s">
        <v>7742</v>
      </c>
      <c r="C12147" s="74" t="s">
        <v>450</v>
      </c>
    </row>
    <row r="12148" spans="1:3">
      <c r="A12148" s="250">
        <v>29565</v>
      </c>
      <c r="B12148" s="74" t="s">
        <v>7743</v>
      </c>
      <c r="C12148" s="74" t="s">
        <v>450</v>
      </c>
    </row>
    <row r="12149" spans="1:3">
      <c r="A12149" s="250">
        <v>29566</v>
      </c>
      <c r="B12149" s="74" t="s">
        <v>7744</v>
      </c>
      <c r="C12149" s="74" t="s">
        <v>450</v>
      </c>
    </row>
    <row r="12150" spans="1:3">
      <c r="A12150" s="250">
        <v>29567</v>
      </c>
      <c r="B12150" s="74" t="s">
        <v>7745</v>
      </c>
      <c r="C12150" s="74" t="s">
        <v>450</v>
      </c>
    </row>
    <row r="12151" spans="1:3">
      <c r="A12151" s="250">
        <v>29568</v>
      </c>
      <c r="B12151" s="74" t="s">
        <v>7746</v>
      </c>
      <c r="C12151" s="74" t="s">
        <v>450</v>
      </c>
    </row>
    <row r="12152" spans="1:3">
      <c r="A12152" s="250">
        <v>29569</v>
      </c>
      <c r="B12152" s="74" t="s">
        <v>7747</v>
      </c>
      <c r="C12152" s="74" t="s">
        <v>450</v>
      </c>
    </row>
    <row r="12153" spans="1:3">
      <c r="A12153" s="250">
        <v>29570</v>
      </c>
      <c r="B12153" s="74" t="s">
        <v>7748</v>
      </c>
      <c r="C12153" s="74" t="s">
        <v>450</v>
      </c>
    </row>
    <row r="12154" spans="1:3">
      <c r="A12154" s="250">
        <v>29571</v>
      </c>
      <c r="B12154" s="74" t="s">
        <v>1071</v>
      </c>
      <c r="C12154" s="74" t="s">
        <v>450</v>
      </c>
    </row>
    <row r="12155" spans="1:3">
      <c r="A12155" s="250">
        <v>29572</v>
      </c>
      <c r="B12155" s="74" t="s">
        <v>7749</v>
      </c>
      <c r="C12155" s="74" t="s">
        <v>450</v>
      </c>
    </row>
    <row r="12156" spans="1:3">
      <c r="A12156" s="250">
        <v>29573</v>
      </c>
      <c r="B12156" s="74" t="s">
        <v>7750</v>
      </c>
      <c r="C12156" s="74" t="s">
        <v>450</v>
      </c>
    </row>
    <row r="12157" spans="1:3">
      <c r="A12157" s="250">
        <v>29574</v>
      </c>
      <c r="B12157" s="74" t="s">
        <v>7751</v>
      </c>
      <c r="C12157" s="74" t="s">
        <v>450</v>
      </c>
    </row>
    <row r="12158" spans="1:3">
      <c r="A12158" s="250">
        <v>29575</v>
      </c>
      <c r="B12158" s="74" t="s">
        <v>7749</v>
      </c>
      <c r="C12158" s="74" t="s">
        <v>450</v>
      </c>
    </row>
    <row r="12159" spans="1:3">
      <c r="A12159" s="250">
        <v>29576</v>
      </c>
      <c r="B12159" s="74" t="s">
        <v>7752</v>
      </c>
      <c r="C12159" s="74" t="s">
        <v>450</v>
      </c>
    </row>
    <row r="12160" spans="1:3">
      <c r="A12160" s="250">
        <v>29577</v>
      </c>
      <c r="B12160" s="74" t="s">
        <v>7749</v>
      </c>
      <c r="C12160" s="74" t="s">
        <v>450</v>
      </c>
    </row>
    <row r="12161" spans="1:3">
      <c r="A12161" s="250">
        <v>29578</v>
      </c>
      <c r="B12161" s="74" t="s">
        <v>7749</v>
      </c>
      <c r="C12161" s="74" t="s">
        <v>450</v>
      </c>
    </row>
    <row r="12162" spans="1:3">
      <c r="A12162" s="250">
        <v>29579</v>
      </c>
      <c r="B12162" s="74" t="s">
        <v>7749</v>
      </c>
      <c r="C12162" s="74" t="s">
        <v>450</v>
      </c>
    </row>
    <row r="12163" spans="1:3">
      <c r="A12163" s="250">
        <v>29580</v>
      </c>
      <c r="B12163" s="74" t="s">
        <v>7753</v>
      </c>
      <c r="C12163" s="74" t="s">
        <v>450</v>
      </c>
    </row>
    <row r="12164" spans="1:3">
      <c r="A12164" s="250">
        <v>29581</v>
      </c>
      <c r="B12164" s="74" t="s">
        <v>3636</v>
      </c>
      <c r="C12164" s="74" t="s">
        <v>450</v>
      </c>
    </row>
    <row r="12165" spans="1:3">
      <c r="A12165" s="250">
        <v>29582</v>
      </c>
      <c r="B12165" s="74" t="s">
        <v>7754</v>
      </c>
      <c r="C12165" s="74" t="s">
        <v>450</v>
      </c>
    </row>
    <row r="12166" spans="1:3">
      <c r="A12166" s="250">
        <v>29583</v>
      </c>
      <c r="B12166" s="74" t="s">
        <v>7755</v>
      </c>
      <c r="C12166" s="74" t="s">
        <v>450</v>
      </c>
    </row>
    <row r="12167" spans="1:3">
      <c r="A12167" s="250">
        <v>29584</v>
      </c>
      <c r="B12167" s="74" t="s">
        <v>7756</v>
      </c>
      <c r="C12167" s="74" t="s">
        <v>450</v>
      </c>
    </row>
    <row r="12168" spans="1:3">
      <c r="A12168" s="250">
        <v>29585</v>
      </c>
      <c r="B12168" s="74" t="s">
        <v>7757</v>
      </c>
      <c r="C12168" s="74" t="s">
        <v>450</v>
      </c>
    </row>
    <row r="12169" spans="1:3">
      <c r="A12169" s="250">
        <v>29587</v>
      </c>
      <c r="B12169" s="74" t="s">
        <v>7749</v>
      </c>
      <c r="C12169" s="74" t="s">
        <v>450</v>
      </c>
    </row>
    <row r="12170" spans="1:3">
      <c r="A12170" s="250">
        <v>29588</v>
      </c>
      <c r="B12170" s="74" t="s">
        <v>7749</v>
      </c>
      <c r="C12170" s="74" t="s">
        <v>450</v>
      </c>
    </row>
    <row r="12171" spans="1:3">
      <c r="A12171" s="250">
        <v>29589</v>
      </c>
      <c r="B12171" s="74" t="s">
        <v>7758</v>
      </c>
      <c r="C12171" s="74" t="s">
        <v>450</v>
      </c>
    </row>
    <row r="12172" spans="1:3">
      <c r="A12172" s="250">
        <v>29590</v>
      </c>
      <c r="B12172" s="74" t="s">
        <v>7759</v>
      </c>
      <c r="C12172" s="74" t="s">
        <v>450</v>
      </c>
    </row>
    <row r="12173" spans="1:3">
      <c r="A12173" s="250">
        <v>29591</v>
      </c>
      <c r="B12173" s="74" t="s">
        <v>5193</v>
      </c>
      <c r="C12173" s="74" t="s">
        <v>450</v>
      </c>
    </row>
    <row r="12174" spans="1:3">
      <c r="A12174" s="250">
        <v>29592</v>
      </c>
      <c r="B12174" s="74" t="s">
        <v>7760</v>
      </c>
      <c r="C12174" s="74" t="s">
        <v>450</v>
      </c>
    </row>
    <row r="12175" spans="1:3">
      <c r="A12175" s="250">
        <v>29593</v>
      </c>
      <c r="B12175" s="74" t="s">
        <v>7761</v>
      </c>
      <c r="C12175" s="74" t="s">
        <v>450</v>
      </c>
    </row>
    <row r="12176" spans="1:3">
      <c r="A12176" s="250">
        <v>29594</v>
      </c>
      <c r="B12176" s="74" t="s">
        <v>7762</v>
      </c>
      <c r="C12176" s="74" t="s">
        <v>450</v>
      </c>
    </row>
    <row r="12177" spans="1:3">
      <c r="A12177" s="250">
        <v>29596</v>
      </c>
      <c r="B12177" s="74" t="s">
        <v>6961</v>
      </c>
      <c r="C12177" s="74" t="s">
        <v>450</v>
      </c>
    </row>
    <row r="12178" spans="1:3">
      <c r="A12178" s="250">
        <v>29597</v>
      </c>
      <c r="B12178" s="74" t="s">
        <v>7754</v>
      </c>
      <c r="C12178" s="74" t="s">
        <v>450</v>
      </c>
    </row>
    <row r="12179" spans="1:3">
      <c r="A12179" s="250">
        <v>29598</v>
      </c>
      <c r="B12179" s="74" t="s">
        <v>7754</v>
      </c>
      <c r="C12179" s="74" t="s">
        <v>450</v>
      </c>
    </row>
    <row r="12180" spans="1:3">
      <c r="A12180" s="250">
        <v>29601</v>
      </c>
      <c r="B12180" s="74" t="s">
        <v>1108</v>
      </c>
      <c r="C12180" s="74" t="s">
        <v>450</v>
      </c>
    </row>
    <row r="12181" spans="1:3">
      <c r="A12181" s="250">
        <v>29602</v>
      </c>
      <c r="B12181" s="74" t="s">
        <v>1108</v>
      </c>
      <c r="C12181" s="74" t="s">
        <v>450</v>
      </c>
    </row>
    <row r="12182" spans="1:3">
      <c r="A12182" s="250">
        <v>29603</v>
      </c>
      <c r="B12182" s="74" t="s">
        <v>1108</v>
      </c>
      <c r="C12182" s="74" t="s">
        <v>450</v>
      </c>
    </row>
    <row r="12183" spans="1:3">
      <c r="A12183" s="250">
        <v>29604</v>
      </c>
      <c r="B12183" s="74" t="s">
        <v>1108</v>
      </c>
      <c r="C12183" s="74" t="s">
        <v>450</v>
      </c>
    </row>
    <row r="12184" spans="1:3">
      <c r="A12184" s="250">
        <v>29605</v>
      </c>
      <c r="B12184" s="74" t="s">
        <v>1108</v>
      </c>
      <c r="C12184" s="74" t="s">
        <v>450</v>
      </c>
    </row>
    <row r="12185" spans="1:3">
      <c r="A12185" s="250">
        <v>29606</v>
      </c>
      <c r="B12185" s="74" t="s">
        <v>1108</v>
      </c>
      <c r="C12185" s="74" t="s">
        <v>450</v>
      </c>
    </row>
    <row r="12186" spans="1:3">
      <c r="A12186" s="250">
        <v>29607</v>
      </c>
      <c r="B12186" s="74" t="s">
        <v>1108</v>
      </c>
      <c r="C12186" s="74" t="s">
        <v>450</v>
      </c>
    </row>
    <row r="12187" spans="1:3">
      <c r="A12187" s="250">
        <v>29608</v>
      </c>
      <c r="B12187" s="74" t="s">
        <v>1108</v>
      </c>
      <c r="C12187" s="74" t="s">
        <v>450</v>
      </c>
    </row>
    <row r="12188" spans="1:3">
      <c r="A12188" s="250">
        <v>29609</v>
      </c>
      <c r="B12188" s="74" t="s">
        <v>1108</v>
      </c>
      <c r="C12188" s="74" t="s">
        <v>450</v>
      </c>
    </row>
    <row r="12189" spans="1:3">
      <c r="A12189" s="250">
        <v>29610</v>
      </c>
      <c r="B12189" s="74" t="s">
        <v>1108</v>
      </c>
      <c r="C12189" s="74" t="s">
        <v>450</v>
      </c>
    </row>
    <row r="12190" spans="1:3">
      <c r="A12190" s="250">
        <v>29611</v>
      </c>
      <c r="B12190" s="74" t="s">
        <v>1108</v>
      </c>
      <c r="C12190" s="74" t="s">
        <v>450</v>
      </c>
    </row>
    <row r="12191" spans="1:3">
      <c r="A12191" s="250">
        <v>29612</v>
      </c>
      <c r="B12191" s="74" t="s">
        <v>1108</v>
      </c>
      <c r="C12191" s="74" t="s">
        <v>450</v>
      </c>
    </row>
    <row r="12192" spans="1:3">
      <c r="A12192" s="250">
        <v>29613</v>
      </c>
      <c r="B12192" s="74" t="s">
        <v>1108</v>
      </c>
      <c r="C12192" s="74" t="s">
        <v>450</v>
      </c>
    </row>
    <row r="12193" spans="1:3">
      <c r="A12193" s="250">
        <v>29614</v>
      </c>
      <c r="B12193" s="74" t="s">
        <v>1108</v>
      </c>
      <c r="C12193" s="74" t="s">
        <v>450</v>
      </c>
    </row>
    <row r="12194" spans="1:3">
      <c r="A12194" s="250">
        <v>29615</v>
      </c>
      <c r="B12194" s="74" t="s">
        <v>1108</v>
      </c>
      <c r="C12194" s="74" t="s">
        <v>450</v>
      </c>
    </row>
    <row r="12195" spans="1:3">
      <c r="A12195" s="250">
        <v>29616</v>
      </c>
      <c r="B12195" s="74" t="s">
        <v>1108</v>
      </c>
      <c r="C12195" s="74" t="s">
        <v>450</v>
      </c>
    </row>
    <row r="12196" spans="1:3">
      <c r="A12196" s="250">
        <v>29617</v>
      </c>
      <c r="B12196" s="74" t="s">
        <v>1108</v>
      </c>
      <c r="C12196" s="74" t="s">
        <v>450</v>
      </c>
    </row>
    <row r="12197" spans="1:3">
      <c r="A12197" s="250">
        <v>29620</v>
      </c>
      <c r="B12197" s="74" t="s">
        <v>7763</v>
      </c>
      <c r="C12197" s="74" t="s">
        <v>450</v>
      </c>
    </row>
    <row r="12198" spans="1:3">
      <c r="A12198" s="250">
        <v>29621</v>
      </c>
      <c r="B12198" s="74" t="s">
        <v>7764</v>
      </c>
      <c r="C12198" s="74" t="s">
        <v>450</v>
      </c>
    </row>
    <row r="12199" spans="1:3">
      <c r="A12199" s="250">
        <v>29622</v>
      </c>
      <c r="B12199" s="74" t="s">
        <v>7764</v>
      </c>
      <c r="C12199" s="74" t="s">
        <v>450</v>
      </c>
    </row>
    <row r="12200" spans="1:3">
      <c r="A12200" s="250">
        <v>29623</v>
      </c>
      <c r="B12200" s="74" t="s">
        <v>7764</v>
      </c>
      <c r="C12200" s="74" t="s">
        <v>450</v>
      </c>
    </row>
    <row r="12201" spans="1:3">
      <c r="A12201" s="250">
        <v>29624</v>
      </c>
      <c r="B12201" s="74" t="s">
        <v>7764</v>
      </c>
      <c r="C12201" s="74" t="s">
        <v>450</v>
      </c>
    </row>
    <row r="12202" spans="1:3">
      <c r="A12202" s="250">
        <v>29625</v>
      </c>
      <c r="B12202" s="74" t="s">
        <v>7764</v>
      </c>
      <c r="C12202" s="74" t="s">
        <v>450</v>
      </c>
    </row>
    <row r="12203" spans="1:3">
      <c r="A12203" s="250">
        <v>29626</v>
      </c>
      <c r="B12203" s="74" t="s">
        <v>7764</v>
      </c>
      <c r="C12203" s="74" t="s">
        <v>450</v>
      </c>
    </row>
    <row r="12204" spans="1:3">
      <c r="A12204" s="250">
        <v>29627</v>
      </c>
      <c r="B12204" s="74" t="s">
        <v>7765</v>
      </c>
      <c r="C12204" s="74" t="s">
        <v>450</v>
      </c>
    </row>
    <row r="12205" spans="1:3">
      <c r="A12205" s="250">
        <v>29628</v>
      </c>
      <c r="B12205" s="74" t="s">
        <v>7766</v>
      </c>
      <c r="C12205" s="74" t="s">
        <v>450</v>
      </c>
    </row>
    <row r="12206" spans="1:3">
      <c r="A12206" s="250">
        <v>29630</v>
      </c>
      <c r="B12206" s="74" t="s">
        <v>7767</v>
      </c>
      <c r="C12206" s="74" t="s">
        <v>450</v>
      </c>
    </row>
    <row r="12207" spans="1:3">
      <c r="A12207" s="250">
        <v>29631</v>
      </c>
      <c r="B12207" s="74" t="s">
        <v>7768</v>
      </c>
      <c r="C12207" s="74" t="s">
        <v>450</v>
      </c>
    </row>
    <row r="12208" spans="1:3">
      <c r="A12208" s="250">
        <v>29632</v>
      </c>
      <c r="B12208" s="74" t="s">
        <v>7768</v>
      </c>
      <c r="C12208" s="74" t="s">
        <v>450</v>
      </c>
    </row>
    <row r="12209" spans="1:3">
      <c r="A12209" s="250">
        <v>29633</v>
      </c>
      <c r="B12209" s="74" t="s">
        <v>7768</v>
      </c>
      <c r="C12209" s="74" t="s">
        <v>450</v>
      </c>
    </row>
    <row r="12210" spans="1:3">
      <c r="A12210" s="250">
        <v>29634</v>
      </c>
      <c r="B12210" s="74" t="s">
        <v>7768</v>
      </c>
      <c r="C12210" s="74" t="s">
        <v>450</v>
      </c>
    </row>
    <row r="12211" spans="1:3">
      <c r="A12211" s="250">
        <v>29635</v>
      </c>
      <c r="B12211" s="74" t="s">
        <v>3350</v>
      </c>
      <c r="C12211" s="74" t="s">
        <v>450</v>
      </c>
    </row>
    <row r="12212" spans="1:3">
      <c r="A12212" s="250">
        <v>29636</v>
      </c>
      <c r="B12212" s="74" t="s">
        <v>7769</v>
      </c>
      <c r="C12212" s="74" t="s">
        <v>450</v>
      </c>
    </row>
    <row r="12213" spans="1:3">
      <c r="A12213" s="250">
        <v>29638</v>
      </c>
      <c r="B12213" s="74" t="s">
        <v>7770</v>
      </c>
      <c r="C12213" s="74" t="s">
        <v>450</v>
      </c>
    </row>
    <row r="12214" spans="1:3">
      <c r="A12214" s="250">
        <v>29639</v>
      </c>
      <c r="B12214" s="74" t="s">
        <v>7771</v>
      </c>
      <c r="C12214" s="74" t="s">
        <v>450</v>
      </c>
    </row>
    <row r="12215" spans="1:3">
      <c r="A12215" s="250">
        <v>29640</v>
      </c>
      <c r="B12215" s="74" t="s">
        <v>7772</v>
      </c>
      <c r="C12215" s="74" t="s">
        <v>450</v>
      </c>
    </row>
    <row r="12216" spans="1:3">
      <c r="A12216" s="250">
        <v>29641</v>
      </c>
      <c r="B12216" s="74" t="s">
        <v>7772</v>
      </c>
      <c r="C12216" s="74" t="s">
        <v>450</v>
      </c>
    </row>
    <row r="12217" spans="1:3">
      <c r="A12217" s="250">
        <v>29642</v>
      </c>
      <c r="B12217" s="74" t="s">
        <v>7772</v>
      </c>
      <c r="C12217" s="74" t="s">
        <v>450</v>
      </c>
    </row>
    <row r="12218" spans="1:3">
      <c r="A12218" s="250">
        <v>29643</v>
      </c>
      <c r="B12218" s="74" t="s">
        <v>7773</v>
      </c>
      <c r="C12218" s="74" t="s">
        <v>450</v>
      </c>
    </row>
    <row r="12219" spans="1:3">
      <c r="A12219" s="250">
        <v>29644</v>
      </c>
      <c r="B12219" s="74" t="s">
        <v>7774</v>
      </c>
      <c r="C12219" s="74" t="s">
        <v>450</v>
      </c>
    </row>
    <row r="12220" spans="1:3">
      <c r="A12220" s="250">
        <v>29645</v>
      </c>
      <c r="B12220" s="74" t="s">
        <v>7775</v>
      </c>
      <c r="C12220" s="74" t="s">
        <v>450</v>
      </c>
    </row>
    <row r="12221" spans="1:3">
      <c r="A12221" s="250">
        <v>29646</v>
      </c>
      <c r="B12221" s="74" t="s">
        <v>1448</v>
      </c>
      <c r="C12221" s="74" t="s">
        <v>450</v>
      </c>
    </row>
    <row r="12222" spans="1:3">
      <c r="A12222" s="250">
        <v>29647</v>
      </c>
      <c r="B12222" s="74" t="s">
        <v>1448</v>
      </c>
      <c r="C12222" s="74" t="s">
        <v>450</v>
      </c>
    </row>
    <row r="12223" spans="1:3">
      <c r="A12223" s="250">
        <v>29648</v>
      </c>
      <c r="B12223" s="74" t="s">
        <v>1448</v>
      </c>
      <c r="C12223" s="74" t="s">
        <v>450</v>
      </c>
    </row>
    <row r="12224" spans="1:3">
      <c r="A12224" s="250">
        <v>29649</v>
      </c>
      <c r="B12224" s="74" t="s">
        <v>1448</v>
      </c>
      <c r="C12224" s="74" t="s">
        <v>450</v>
      </c>
    </row>
    <row r="12225" spans="1:3">
      <c r="A12225" s="250">
        <v>29650</v>
      </c>
      <c r="B12225" s="74" t="s">
        <v>7776</v>
      </c>
      <c r="C12225" s="74" t="s">
        <v>450</v>
      </c>
    </row>
    <row r="12226" spans="1:3">
      <c r="A12226" s="250">
        <v>29651</v>
      </c>
      <c r="B12226" s="74" t="s">
        <v>7776</v>
      </c>
      <c r="C12226" s="74" t="s">
        <v>450</v>
      </c>
    </row>
    <row r="12227" spans="1:3">
      <c r="A12227" s="250">
        <v>29652</v>
      </c>
      <c r="B12227" s="74" t="s">
        <v>7776</v>
      </c>
      <c r="C12227" s="74" t="s">
        <v>450</v>
      </c>
    </row>
    <row r="12228" spans="1:3">
      <c r="A12228" s="250">
        <v>29653</v>
      </c>
      <c r="B12228" s="74" t="s">
        <v>7777</v>
      </c>
      <c r="C12228" s="74" t="s">
        <v>450</v>
      </c>
    </row>
    <row r="12229" spans="1:3">
      <c r="A12229" s="250">
        <v>29654</v>
      </c>
      <c r="B12229" s="74" t="s">
        <v>7778</v>
      </c>
      <c r="C12229" s="74" t="s">
        <v>450</v>
      </c>
    </row>
    <row r="12230" spans="1:3">
      <c r="A12230" s="250">
        <v>29655</v>
      </c>
      <c r="B12230" s="74" t="s">
        <v>7779</v>
      </c>
      <c r="C12230" s="74" t="s">
        <v>450</v>
      </c>
    </row>
    <row r="12231" spans="1:3">
      <c r="A12231" s="250">
        <v>29656</v>
      </c>
      <c r="B12231" s="74" t="s">
        <v>7780</v>
      </c>
      <c r="C12231" s="74" t="s">
        <v>450</v>
      </c>
    </row>
    <row r="12232" spans="1:3">
      <c r="A12232" s="250">
        <v>29657</v>
      </c>
      <c r="B12232" s="74" t="s">
        <v>1701</v>
      </c>
      <c r="C12232" s="74" t="s">
        <v>450</v>
      </c>
    </row>
    <row r="12233" spans="1:3">
      <c r="A12233" s="250">
        <v>29658</v>
      </c>
      <c r="B12233" s="74" t="s">
        <v>7781</v>
      </c>
      <c r="C12233" s="74" t="s">
        <v>450</v>
      </c>
    </row>
    <row r="12234" spans="1:3">
      <c r="A12234" s="250">
        <v>29659</v>
      </c>
      <c r="B12234" s="74" t="s">
        <v>7782</v>
      </c>
      <c r="C12234" s="74" t="s">
        <v>450</v>
      </c>
    </row>
    <row r="12235" spans="1:3">
      <c r="A12235" s="250">
        <v>29661</v>
      </c>
      <c r="B12235" s="74" t="s">
        <v>3385</v>
      </c>
      <c r="C12235" s="74" t="s">
        <v>450</v>
      </c>
    </row>
    <row r="12236" spans="1:3">
      <c r="A12236" s="250">
        <v>29662</v>
      </c>
      <c r="B12236" s="74" t="s">
        <v>7783</v>
      </c>
      <c r="C12236" s="74" t="s">
        <v>450</v>
      </c>
    </row>
    <row r="12237" spans="1:3">
      <c r="A12237" s="250">
        <v>29664</v>
      </c>
      <c r="B12237" s="74" t="s">
        <v>7784</v>
      </c>
      <c r="C12237" s="74" t="s">
        <v>450</v>
      </c>
    </row>
    <row r="12238" spans="1:3">
      <c r="A12238" s="250">
        <v>29665</v>
      </c>
      <c r="B12238" s="74" t="s">
        <v>1453</v>
      </c>
      <c r="C12238" s="74" t="s">
        <v>450</v>
      </c>
    </row>
    <row r="12239" spans="1:3">
      <c r="A12239" s="250">
        <v>29666</v>
      </c>
      <c r="B12239" s="74" t="s">
        <v>7785</v>
      </c>
      <c r="C12239" s="74" t="s">
        <v>450</v>
      </c>
    </row>
    <row r="12240" spans="1:3">
      <c r="A12240" s="250">
        <v>29667</v>
      </c>
      <c r="B12240" s="74" t="s">
        <v>7786</v>
      </c>
      <c r="C12240" s="74" t="s">
        <v>450</v>
      </c>
    </row>
    <row r="12241" spans="1:3">
      <c r="A12241" s="250">
        <v>29669</v>
      </c>
      <c r="B12241" s="74" t="s">
        <v>7787</v>
      </c>
      <c r="C12241" s="74" t="s">
        <v>450</v>
      </c>
    </row>
    <row r="12242" spans="1:3">
      <c r="A12242" s="250">
        <v>29670</v>
      </c>
      <c r="B12242" s="74" t="s">
        <v>7210</v>
      </c>
      <c r="C12242" s="74" t="s">
        <v>450</v>
      </c>
    </row>
    <row r="12243" spans="1:3">
      <c r="A12243" s="250">
        <v>29671</v>
      </c>
      <c r="B12243" s="74" t="s">
        <v>6899</v>
      </c>
      <c r="C12243" s="74" t="s">
        <v>450</v>
      </c>
    </row>
    <row r="12244" spans="1:3">
      <c r="A12244" s="250">
        <v>29672</v>
      </c>
      <c r="B12244" s="74" t="s">
        <v>4492</v>
      </c>
      <c r="C12244" s="74" t="s">
        <v>450</v>
      </c>
    </row>
    <row r="12245" spans="1:3">
      <c r="A12245" s="250">
        <v>29673</v>
      </c>
      <c r="B12245" s="74" t="s">
        <v>7028</v>
      </c>
      <c r="C12245" s="74" t="s">
        <v>450</v>
      </c>
    </row>
    <row r="12246" spans="1:3">
      <c r="A12246" s="250">
        <v>29675</v>
      </c>
      <c r="B12246" s="74" t="s">
        <v>2499</v>
      </c>
      <c r="C12246" s="74" t="s">
        <v>450</v>
      </c>
    </row>
    <row r="12247" spans="1:3">
      <c r="A12247" s="250">
        <v>29676</v>
      </c>
      <c r="B12247" s="74" t="s">
        <v>858</v>
      </c>
      <c r="C12247" s="74" t="s">
        <v>450</v>
      </c>
    </row>
    <row r="12248" spans="1:3">
      <c r="A12248" s="250">
        <v>29677</v>
      </c>
      <c r="B12248" s="74" t="s">
        <v>7788</v>
      </c>
      <c r="C12248" s="74" t="s">
        <v>450</v>
      </c>
    </row>
    <row r="12249" spans="1:3">
      <c r="A12249" s="250">
        <v>29678</v>
      </c>
      <c r="B12249" s="74" t="s">
        <v>4492</v>
      </c>
      <c r="C12249" s="74" t="s">
        <v>450</v>
      </c>
    </row>
    <row r="12250" spans="1:3">
      <c r="A12250" s="250">
        <v>29679</v>
      </c>
      <c r="B12250" s="74" t="s">
        <v>4492</v>
      </c>
      <c r="C12250" s="74" t="s">
        <v>450</v>
      </c>
    </row>
    <row r="12251" spans="1:3">
      <c r="A12251" s="250">
        <v>29680</v>
      </c>
      <c r="B12251" s="74" t="s">
        <v>5702</v>
      </c>
      <c r="C12251" s="74" t="s">
        <v>450</v>
      </c>
    </row>
    <row r="12252" spans="1:3">
      <c r="A12252" s="250">
        <v>29681</v>
      </c>
      <c r="B12252" s="74" t="s">
        <v>5702</v>
      </c>
      <c r="C12252" s="74" t="s">
        <v>450</v>
      </c>
    </row>
    <row r="12253" spans="1:3">
      <c r="A12253" s="250">
        <v>29682</v>
      </c>
      <c r="B12253" s="74" t="s">
        <v>7789</v>
      </c>
      <c r="C12253" s="74" t="s">
        <v>450</v>
      </c>
    </row>
    <row r="12254" spans="1:3">
      <c r="A12254" s="250">
        <v>29683</v>
      </c>
      <c r="B12254" s="74" t="s">
        <v>7790</v>
      </c>
      <c r="C12254" s="74" t="s">
        <v>450</v>
      </c>
    </row>
    <row r="12255" spans="1:3">
      <c r="A12255" s="250">
        <v>29684</v>
      </c>
      <c r="B12255" s="74" t="s">
        <v>7791</v>
      </c>
      <c r="C12255" s="74" t="s">
        <v>450</v>
      </c>
    </row>
    <row r="12256" spans="1:3">
      <c r="A12256" s="250">
        <v>29685</v>
      </c>
      <c r="B12256" s="74" t="s">
        <v>1614</v>
      </c>
      <c r="C12256" s="74" t="s">
        <v>450</v>
      </c>
    </row>
    <row r="12257" spans="1:3">
      <c r="A12257" s="250">
        <v>29686</v>
      </c>
      <c r="B12257" s="74" t="s">
        <v>7792</v>
      </c>
      <c r="C12257" s="74" t="s">
        <v>450</v>
      </c>
    </row>
    <row r="12258" spans="1:3">
      <c r="A12258" s="250">
        <v>29687</v>
      </c>
      <c r="B12258" s="74" t="s">
        <v>7793</v>
      </c>
      <c r="C12258" s="74" t="s">
        <v>450</v>
      </c>
    </row>
    <row r="12259" spans="1:3">
      <c r="A12259" s="250">
        <v>29688</v>
      </c>
      <c r="B12259" s="74" t="s">
        <v>7794</v>
      </c>
      <c r="C12259" s="74" t="s">
        <v>450</v>
      </c>
    </row>
    <row r="12260" spans="1:3">
      <c r="A12260" s="250">
        <v>29689</v>
      </c>
      <c r="B12260" s="74" t="s">
        <v>4497</v>
      </c>
      <c r="C12260" s="74" t="s">
        <v>450</v>
      </c>
    </row>
    <row r="12261" spans="1:3">
      <c r="A12261" s="250">
        <v>29690</v>
      </c>
      <c r="B12261" s="74" t="s">
        <v>7795</v>
      </c>
      <c r="C12261" s="74" t="s">
        <v>450</v>
      </c>
    </row>
    <row r="12262" spans="1:3">
      <c r="A12262" s="250">
        <v>29691</v>
      </c>
      <c r="B12262" s="74" t="s">
        <v>7796</v>
      </c>
      <c r="C12262" s="74" t="s">
        <v>450</v>
      </c>
    </row>
    <row r="12263" spans="1:3">
      <c r="A12263" s="250">
        <v>29692</v>
      </c>
      <c r="B12263" s="74" t="s">
        <v>7797</v>
      </c>
      <c r="C12263" s="74" t="s">
        <v>450</v>
      </c>
    </row>
    <row r="12264" spans="1:3">
      <c r="A12264" s="250">
        <v>29693</v>
      </c>
      <c r="B12264" s="74" t="s">
        <v>708</v>
      </c>
      <c r="C12264" s="74" t="s">
        <v>450</v>
      </c>
    </row>
    <row r="12265" spans="1:3">
      <c r="A12265" s="250">
        <v>29695</v>
      </c>
      <c r="B12265" s="74" t="s">
        <v>7777</v>
      </c>
      <c r="C12265" s="74" t="s">
        <v>450</v>
      </c>
    </row>
    <row r="12266" spans="1:3">
      <c r="A12266" s="250">
        <v>29696</v>
      </c>
      <c r="B12266" s="74" t="s">
        <v>6962</v>
      </c>
      <c r="C12266" s="74" t="s">
        <v>450</v>
      </c>
    </row>
    <row r="12267" spans="1:3">
      <c r="A12267" s="250">
        <v>29697</v>
      </c>
      <c r="B12267" s="74" t="s">
        <v>7234</v>
      </c>
      <c r="C12267" s="74" t="s">
        <v>450</v>
      </c>
    </row>
    <row r="12268" spans="1:3">
      <c r="A12268" s="250">
        <v>29698</v>
      </c>
      <c r="B12268" s="74" t="s">
        <v>1108</v>
      </c>
      <c r="C12268" s="74" t="s">
        <v>450</v>
      </c>
    </row>
    <row r="12269" spans="1:3">
      <c r="A12269" s="250">
        <v>29702</v>
      </c>
      <c r="B12269" s="74" t="s">
        <v>6258</v>
      </c>
      <c r="C12269" s="74" t="s">
        <v>450</v>
      </c>
    </row>
    <row r="12270" spans="1:3">
      <c r="A12270" s="250">
        <v>29703</v>
      </c>
      <c r="B12270" s="74" t="s">
        <v>5879</v>
      </c>
      <c r="C12270" s="74" t="s">
        <v>450</v>
      </c>
    </row>
    <row r="12271" spans="1:3">
      <c r="A12271" s="250">
        <v>29704</v>
      </c>
      <c r="B12271" s="74" t="s">
        <v>6262</v>
      </c>
      <c r="C12271" s="74" t="s">
        <v>450</v>
      </c>
    </row>
    <row r="12272" spans="1:3">
      <c r="A12272" s="250">
        <v>29706</v>
      </c>
      <c r="B12272" s="74" t="s">
        <v>583</v>
      </c>
      <c r="C12272" s="74" t="s">
        <v>450</v>
      </c>
    </row>
    <row r="12273" spans="1:3">
      <c r="A12273" s="250">
        <v>29707</v>
      </c>
      <c r="B12273" s="74" t="s">
        <v>7798</v>
      </c>
      <c r="C12273" s="74" t="s">
        <v>450</v>
      </c>
    </row>
    <row r="12274" spans="1:3">
      <c r="A12274" s="250">
        <v>29708</v>
      </c>
      <c r="B12274" s="74" t="s">
        <v>7798</v>
      </c>
      <c r="C12274" s="74" t="s">
        <v>450</v>
      </c>
    </row>
    <row r="12275" spans="1:3">
      <c r="A12275" s="250">
        <v>29709</v>
      </c>
      <c r="B12275" s="74" t="s">
        <v>584</v>
      </c>
      <c r="C12275" s="74" t="s">
        <v>450</v>
      </c>
    </row>
    <row r="12276" spans="1:3">
      <c r="A12276" s="250">
        <v>29710</v>
      </c>
      <c r="B12276" s="74" t="s">
        <v>6420</v>
      </c>
      <c r="C12276" s="74" t="s">
        <v>450</v>
      </c>
    </row>
    <row r="12277" spans="1:3">
      <c r="A12277" s="250">
        <v>29712</v>
      </c>
      <c r="B12277" s="74" t="s">
        <v>7799</v>
      </c>
      <c r="C12277" s="74" t="s">
        <v>450</v>
      </c>
    </row>
    <row r="12278" spans="1:3">
      <c r="A12278" s="250">
        <v>29714</v>
      </c>
      <c r="B12278" s="74" t="s">
        <v>7800</v>
      </c>
      <c r="C12278" s="74" t="s">
        <v>450</v>
      </c>
    </row>
    <row r="12279" spans="1:3">
      <c r="A12279" s="250">
        <v>29715</v>
      </c>
      <c r="B12279" s="74" t="s">
        <v>7798</v>
      </c>
      <c r="C12279" s="74" t="s">
        <v>450</v>
      </c>
    </row>
    <row r="12280" spans="1:3">
      <c r="A12280" s="250">
        <v>29716</v>
      </c>
      <c r="B12280" s="74" t="s">
        <v>7798</v>
      </c>
      <c r="C12280" s="74" t="s">
        <v>450</v>
      </c>
    </row>
    <row r="12281" spans="1:3">
      <c r="A12281" s="250">
        <v>29717</v>
      </c>
      <c r="B12281" s="74" t="s">
        <v>7801</v>
      </c>
      <c r="C12281" s="74" t="s">
        <v>450</v>
      </c>
    </row>
    <row r="12282" spans="1:3">
      <c r="A12282" s="250">
        <v>29718</v>
      </c>
      <c r="B12282" s="74" t="s">
        <v>740</v>
      </c>
      <c r="C12282" s="74" t="s">
        <v>450</v>
      </c>
    </row>
    <row r="12283" spans="1:3">
      <c r="A12283" s="250">
        <v>29720</v>
      </c>
      <c r="B12283" s="74" t="s">
        <v>741</v>
      </c>
      <c r="C12283" s="74" t="s">
        <v>450</v>
      </c>
    </row>
    <row r="12284" spans="1:3">
      <c r="A12284" s="250">
        <v>29721</v>
      </c>
      <c r="B12284" s="74" t="s">
        <v>741</v>
      </c>
      <c r="C12284" s="74" t="s">
        <v>450</v>
      </c>
    </row>
    <row r="12285" spans="1:3">
      <c r="A12285" s="250">
        <v>29722</v>
      </c>
      <c r="B12285" s="74" t="s">
        <v>741</v>
      </c>
      <c r="C12285" s="74" t="s">
        <v>450</v>
      </c>
    </row>
    <row r="12286" spans="1:3">
      <c r="A12286" s="250">
        <v>29724</v>
      </c>
      <c r="B12286" s="74" t="s">
        <v>7802</v>
      </c>
      <c r="C12286" s="74" t="s">
        <v>450</v>
      </c>
    </row>
    <row r="12287" spans="1:3">
      <c r="A12287" s="250">
        <v>29726</v>
      </c>
      <c r="B12287" s="74" t="s">
        <v>7803</v>
      </c>
      <c r="C12287" s="74" t="s">
        <v>450</v>
      </c>
    </row>
    <row r="12288" spans="1:3">
      <c r="A12288" s="250">
        <v>29727</v>
      </c>
      <c r="B12288" s="74" t="s">
        <v>7804</v>
      </c>
      <c r="C12288" s="74" t="s">
        <v>450</v>
      </c>
    </row>
    <row r="12289" spans="1:3">
      <c r="A12289" s="250">
        <v>29728</v>
      </c>
      <c r="B12289" s="74" t="s">
        <v>7805</v>
      </c>
      <c r="C12289" s="74" t="s">
        <v>450</v>
      </c>
    </row>
    <row r="12290" spans="1:3">
      <c r="A12290" s="250">
        <v>29729</v>
      </c>
      <c r="B12290" s="74" t="s">
        <v>3883</v>
      </c>
      <c r="C12290" s="74" t="s">
        <v>450</v>
      </c>
    </row>
    <row r="12291" spans="1:3">
      <c r="A12291" s="250">
        <v>29730</v>
      </c>
      <c r="B12291" s="74" t="s">
        <v>3201</v>
      </c>
      <c r="C12291" s="74" t="s">
        <v>450</v>
      </c>
    </row>
    <row r="12292" spans="1:3">
      <c r="A12292" s="250">
        <v>29731</v>
      </c>
      <c r="B12292" s="74" t="s">
        <v>3201</v>
      </c>
      <c r="C12292" s="74" t="s">
        <v>450</v>
      </c>
    </row>
    <row r="12293" spans="1:3">
      <c r="A12293" s="250">
        <v>29732</v>
      </c>
      <c r="B12293" s="74" t="s">
        <v>3201</v>
      </c>
      <c r="C12293" s="74" t="s">
        <v>450</v>
      </c>
    </row>
    <row r="12294" spans="1:3">
      <c r="A12294" s="250">
        <v>29733</v>
      </c>
      <c r="B12294" s="74" t="s">
        <v>3201</v>
      </c>
      <c r="C12294" s="74" t="s">
        <v>450</v>
      </c>
    </row>
    <row r="12295" spans="1:3">
      <c r="A12295" s="250">
        <v>29734</v>
      </c>
      <c r="B12295" s="74" t="s">
        <v>3201</v>
      </c>
      <c r="C12295" s="74" t="s">
        <v>450</v>
      </c>
    </row>
    <row r="12296" spans="1:3">
      <c r="A12296" s="250">
        <v>29741</v>
      </c>
      <c r="B12296" s="74" t="s">
        <v>3082</v>
      </c>
      <c r="C12296" s="74" t="s">
        <v>450</v>
      </c>
    </row>
    <row r="12297" spans="1:3">
      <c r="A12297" s="250">
        <v>29742</v>
      </c>
      <c r="B12297" s="74" t="s">
        <v>893</v>
      </c>
      <c r="C12297" s="74" t="s">
        <v>450</v>
      </c>
    </row>
    <row r="12298" spans="1:3">
      <c r="A12298" s="250">
        <v>29743</v>
      </c>
      <c r="B12298" s="74" t="s">
        <v>3502</v>
      </c>
      <c r="C12298" s="74" t="s">
        <v>450</v>
      </c>
    </row>
    <row r="12299" spans="1:3">
      <c r="A12299" s="250">
        <v>29744</v>
      </c>
      <c r="B12299" s="74" t="s">
        <v>7806</v>
      </c>
      <c r="C12299" s="74" t="s">
        <v>450</v>
      </c>
    </row>
    <row r="12300" spans="1:3">
      <c r="A12300" s="250">
        <v>29745</v>
      </c>
      <c r="B12300" s="74" t="s">
        <v>1359</v>
      </c>
      <c r="C12300" s="74" t="s">
        <v>450</v>
      </c>
    </row>
    <row r="12301" spans="1:3">
      <c r="A12301" s="250">
        <v>29801</v>
      </c>
      <c r="B12301" s="74" t="s">
        <v>7807</v>
      </c>
      <c r="C12301" s="74" t="s">
        <v>450</v>
      </c>
    </row>
    <row r="12302" spans="1:3">
      <c r="A12302" s="250">
        <v>29802</v>
      </c>
      <c r="B12302" s="74" t="s">
        <v>7807</v>
      </c>
      <c r="C12302" s="74" t="s">
        <v>450</v>
      </c>
    </row>
    <row r="12303" spans="1:3">
      <c r="A12303" s="250">
        <v>29803</v>
      </c>
      <c r="B12303" s="74" t="s">
        <v>7807</v>
      </c>
      <c r="C12303" s="74" t="s">
        <v>450</v>
      </c>
    </row>
    <row r="12304" spans="1:3">
      <c r="A12304" s="250">
        <v>29804</v>
      </c>
      <c r="B12304" s="74" t="s">
        <v>7807</v>
      </c>
      <c r="C12304" s="74" t="s">
        <v>450</v>
      </c>
    </row>
    <row r="12305" spans="1:3">
      <c r="A12305" s="250">
        <v>29805</v>
      </c>
      <c r="B12305" s="74" t="s">
        <v>7807</v>
      </c>
      <c r="C12305" s="74" t="s">
        <v>450</v>
      </c>
    </row>
    <row r="12306" spans="1:3">
      <c r="A12306" s="250">
        <v>29808</v>
      </c>
      <c r="B12306" s="74" t="s">
        <v>7807</v>
      </c>
      <c r="C12306" s="74" t="s">
        <v>450</v>
      </c>
    </row>
    <row r="12307" spans="1:3">
      <c r="A12307" s="250">
        <v>29809</v>
      </c>
      <c r="B12307" s="74" t="s">
        <v>7808</v>
      </c>
      <c r="C12307" s="74" t="s">
        <v>450</v>
      </c>
    </row>
    <row r="12308" spans="1:3">
      <c r="A12308" s="250">
        <v>29810</v>
      </c>
      <c r="B12308" s="74" t="s">
        <v>2181</v>
      </c>
      <c r="C12308" s="74" t="s">
        <v>450</v>
      </c>
    </row>
    <row r="12309" spans="1:3">
      <c r="A12309" s="250">
        <v>29812</v>
      </c>
      <c r="B12309" s="74" t="s">
        <v>7809</v>
      </c>
      <c r="C12309" s="74" t="s">
        <v>450</v>
      </c>
    </row>
    <row r="12310" spans="1:3">
      <c r="A12310" s="250">
        <v>29813</v>
      </c>
      <c r="B12310" s="74" t="s">
        <v>7810</v>
      </c>
      <c r="C12310" s="74" t="s">
        <v>450</v>
      </c>
    </row>
    <row r="12311" spans="1:3">
      <c r="A12311" s="250">
        <v>29816</v>
      </c>
      <c r="B12311" s="74" t="s">
        <v>1269</v>
      </c>
      <c r="C12311" s="74" t="s">
        <v>450</v>
      </c>
    </row>
    <row r="12312" spans="1:3">
      <c r="A12312" s="250">
        <v>29817</v>
      </c>
      <c r="B12312" s="74" t="s">
        <v>7811</v>
      </c>
      <c r="C12312" s="74" t="s">
        <v>450</v>
      </c>
    </row>
    <row r="12313" spans="1:3">
      <c r="A12313" s="250">
        <v>29819</v>
      </c>
      <c r="B12313" s="74" t="s">
        <v>1490</v>
      </c>
      <c r="C12313" s="74" t="s">
        <v>450</v>
      </c>
    </row>
    <row r="12314" spans="1:3">
      <c r="A12314" s="250">
        <v>29821</v>
      </c>
      <c r="B12314" s="74" t="s">
        <v>7812</v>
      </c>
      <c r="C12314" s="74" t="s">
        <v>450</v>
      </c>
    </row>
    <row r="12315" spans="1:3">
      <c r="A12315" s="250">
        <v>29822</v>
      </c>
      <c r="B12315" s="74" t="s">
        <v>7813</v>
      </c>
      <c r="C12315" s="74" t="s">
        <v>450</v>
      </c>
    </row>
    <row r="12316" spans="1:3">
      <c r="A12316" s="250">
        <v>29824</v>
      </c>
      <c r="B12316" s="74" t="s">
        <v>7814</v>
      </c>
      <c r="C12316" s="74" t="s">
        <v>450</v>
      </c>
    </row>
    <row r="12317" spans="1:3">
      <c r="A12317" s="250">
        <v>29826</v>
      </c>
      <c r="B12317" s="74" t="s">
        <v>7815</v>
      </c>
      <c r="C12317" s="74" t="s">
        <v>450</v>
      </c>
    </row>
    <row r="12318" spans="1:3">
      <c r="A12318" s="250">
        <v>29827</v>
      </c>
      <c r="B12318" s="74" t="s">
        <v>1811</v>
      </c>
      <c r="C12318" s="74" t="s">
        <v>450</v>
      </c>
    </row>
    <row r="12319" spans="1:3">
      <c r="A12319" s="250">
        <v>29828</v>
      </c>
      <c r="B12319" s="74" t="s">
        <v>7816</v>
      </c>
      <c r="C12319" s="74" t="s">
        <v>450</v>
      </c>
    </row>
    <row r="12320" spans="1:3">
      <c r="A12320" s="250">
        <v>29829</v>
      </c>
      <c r="B12320" s="74" t="s">
        <v>1846</v>
      </c>
      <c r="C12320" s="74" t="s">
        <v>450</v>
      </c>
    </row>
    <row r="12321" spans="1:3">
      <c r="A12321" s="250">
        <v>29831</v>
      </c>
      <c r="B12321" s="74" t="s">
        <v>1318</v>
      </c>
      <c r="C12321" s="74" t="s">
        <v>450</v>
      </c>
    </row>
    <row r="12322" spans="1:3">
      <c r="A12322" s="250">
        <v>29832</v>
      </c>
      <c r="B12322" s="74" t="s">
        <v>1150</v>
      </c>
      <c r="C12322" s="74" t="s">
        <v>450</v>
      </c>
    </row>
    <row r="12323" spans="1:3">
      <c r="A12323" s="250">
        <v>29834</v>
      </c>
      <c r="B12323" s="74" t="s">
        <v>7817</v>
      </c>
      <c r="C12323" s="74" t="s">
        <v>450</v>
      </c>
    </row>
    <row r="12324" spans="1:3">
      <c r="A12324" s="250">
        <v>29835</v>
      </c>
      <c r="B12324" s="74" t="s">
        <v>7818</v>
      </c>
      <c r="C12324" s="74" t="s">
        <v>450</v>
      </c>
    </row>
    <row r="12325" spans="1:3">
      <c r="A12325" s="250">
        <v>29836</v>
      </c>
      <c r="B12325" s="74" t="s">
        <v>4128</v>
      </c>
      <c r="C12325" s="74" t="s">
        <v>450</v>
      </c>
    </row>
    <row r="12326" spans="1:3">
      <c r="A12326" s="250">
        <v>29838</v>
      </c>
      <c r="B12326" s="74" t="s">
        <v>7819</v>
      </c>
      <c r="C12326" s="74" t="s">
        <v>450</v>
      </c>
    </row>
    <row r="12327" spans="1:3">
      <c r="A12327" s="250">
        <v>29839</v>
      </c>
      <c r="B12327" s="74" t="s">
        <v>7820</v>
      </c>
      <c r="C12327" s="74" t="s">
        <v>450</v>
      </c>
    </row>
    <row r="12328" spans="1:3">
      <c r="A12328" s="250">
        <v>29840</v>
      </c>
      <c r="B12328" s="74" t="s">
        <v>4960</v>
      </c>
      <c r="C12328" s="74" t="s">
        <v>450</v>
      </c>
    </row>
    <row r="12329" spans="1:3">
      <c r="A12329" s="250">
        <v>29841</v>
      </c>
      <c r="B12329" s="74" t="s">
        <v>7821</v>
      </c>
      <c r="C12329" s="74" t="s">
        <v>450</v>
      </c>
    </row>
    <row r="12330" spans="1:3">
      <c r="A12330" s="250">
        <v>29842</v>
      </c>
      <c r="B12330" s="74" t="s">
        <v>7822</v>
      </c>
      <c r="C12330" s="74" t="s">
        <v>450</v>
      </c>
    </row>
    <row r="12331" spans="1:3">
      <c r="A12331" s="250">
        <v>29843</v>
      </c>
      <c r="B12331" s="74" t="s">
        <v>7823</v>
      </c>
      <c r="C12331" s="74" t="s">
        <v>450</v>
      </c>
    </row>
    <row r="12332" spans="1:3">
      <c r="A12332" s="250">
        <v>29844</v>
      </c>
      <c r="B12332" s="74" t="s">
        <v>3197</v>
      </c>
      <c r="C12332" s="74" t="s">
        <v>450</v>
      </c>
    </row>
    <row r="12333" spans="1:3">
      <c r="A12333" s="250">
        <v>29845</v>
      </c>
      <c r="B12333" s="74" t="s">
        <v>7824</v>
      </c>
      <c r="C12333" s="74" t="s">
        <v>450</v>
      </c>
    </row>
    <row r="12334" spans="1:3">
      <c r="A12334" s="250">
        <v>29846</v>
      </c>
      <c r="B12334" s="74" t="s">
        <v>4078</v>
      </c>
      <c r="C12334" s="74" t="s">
        <v>450</v>
      </c>
    </row>
    <row r="12335" spans="1:3">
      <c r="A12335" s="250">
        <v>29847</v>
      </c>
      <c r="B12335" s="74" t="s">
        <v>2532</v>
      </c>
      <c r="C12335" s="74" t="s">
        <v>450</v>
      </c>
    </row>
    <row r="12336" spans="1:3">
      <c r="A12336" s="250">
        <v>29848</v>
      </c>
      <c r="B12336" s="74" t="s">
        <v>1243</v>
      </c>
      <c r="C12336" s="74" t="s">
        <v>450</v>
      </c>
    </row>
    <row r="12337" spans="1:3">
      <c r="A12337" s="250">
        <v>29849</v>
      </c>
      <c r="B12337" s="74" t="s">
        <v>7825</v>
      </c>
      <c r="C12337" s="74" t="s">
        <v>450</v>
      </c>
    </row>
    <row r="12338" spans="1:3">
      <c r="A12338" s="250">
        <v>29850</v>
      </c>
      <c r="B12338" s="74" t="s">
        <v>7826</v>
      </c>
      <c r="C12338" s="74" t="s">
        <v>450</v>
      </c>
    </row>
    <row r="12339" spans="1:3">
      <c r="A12339" s="250">
        <v>29851</v>
      </c>
      <c r="B12339" s="74" t="s">
        <v>7827</v>
      </c>
      <c r="C12339" s="74" t="s">
        <v>450</v>
      </c>
    </row>
    <row r="12340" spans="1:3">
      <c r="A12340" s="250">
        <v>29853</v>
      </c>
      <c r="B12340" s="74" t="s">
        <v>1837</v>
      </c>
      <c r="C12340" s="74" t="s">
        <v>450</v>
      </c>
    </row>
    <row r="12341" spans="1:3">
      <c r="A12341" s="250">
        <v>29856</v>
      </c>
      <c r="B12341" s="74" t="s">
        <v>669</v>
      </c>
      <c r="C12341" s="74" t="s">
        <v>450</v>
      </c>
    </row>
    <row r="12342" spans="1:3">
      <c r="A12342" s="250">
        <v>29860</v>
      </c>
      <c r="B12342" s="74" t="s">
        <v>7821</v>
      </c>
      <c r="C12342" s="74" t="s">
        <v>450</v>
      </c>
    </row>
    <row r="12343" spans="1:3">
      <c r="A12343" s="250">
        <v>29861</v>
      </c>
      <c r="B12343" s="74" t="s">
        <v>7821</v>
      </c>
      <c r="C12343" s="74" t="s">
        <v>450</v>
      </c>
    </row>
    <row r="12344" spans="1:3">
      <c r="A12344" s="250">
        <v>29899</v>
      </c>
      <c r="B12344" s="74" t="s">
        <v>7818</v>
      </c>
      <c r="C12344" s="74" t="s">
        <v>450</v>
      </c>
    </row>
    <row r="12345" spans="1:3">
      <c r="A12345" s="250">
        <v>29901</v>
      </c>
      <c r="B12345" s="74" t="s">
        <v>7428</v>
      </c>
      <c r="C12345" s="74" t="s">
        <v>450</v>
      </c>
    </row>
    <row r="12346" spans="1:3">
      <c r="A12346" s="250">
        <v>29902</v>
      </c>
      <c r="B12346" s="74" t="s">
        <v>7428</v>
      </c>
      <c r="C12346" s="74" t="s">
        <v>450</v>
      </c>
    </row>
    <row r="12347" spans="1:3">
      <c r="A12347" s="250">
        <v>29903</v>
      </c>
      <c r="B12347" s="74" t="s">
        <v>7428</v>
      </c>
      <c r="C12347" s="74" t="s">
        <v>450</v>
      </c>
    </row>
    <row r="12348" spans="1:3">
      <c r="A12348" s="250">
        <v>29904</v>
      </c>
      <c r="B12348" s="74" t="s">
        <v>7428</v>
      </c>
      <c r="C12348" s="74" t="s">
        <v>450</v>
      </c>
    </row>
    <row r="12349" spans="1:3">
      <c r="A12349" s="250">
        <v>29905</v>
      </c>
      <c r="B12349" s="74" t="s">
        <v>7428</v>
      </c>
      <c r="C12349" s="74" t="s">
        <v>450</v>
      </c>
    </row>
    <row r="12350" spans="1:3">
      <c r="A12350" s="250">
        <v>29906</v>
      </c>
      <c r="B12350" s="74" t="s">
        <v>7428</v>
      </c>
      <c r="C12350" s="74" t="s">
        <v>450</v>
      </c>
    </row>
    <row r="12351" spans="1:3">
      <c r="A12351" s="250">
        <v>29907</v>
      </c>
      <c r="B12351" s="74" t="s">
        <v>7828</v>
      </c>
      <c r="C12351" s="74" t="s">
        <v>450</v>
      </c>
    </row>
    <row r="12352" spans="1:3">
      <c r="A12352" s="250">
        <v>29909</v>
      </c>
      <c r="B12352" s="74" t="s">
        <v>7829</v>
      </c>
      <c r="C12352" s="74" t="s">
        <v>450</v>
      </c>
    </row>
    <row r="12353" spans="1:3">
      <c r="A12353" s="250">
        <v>29910</v>
      </c>
      <c r="B12353" s="74" t="s">
        <v>7830</v>
      </c>
      <c r="C12353" s="74" t="s">
        <v>450</v>
      </c>
    </row>
    <row r="12354" spans="1:3">
      <c r="A12354" s="250">
        <v>29911</v>
      </c>
      <c r="B12354" s="74" t="s">
        <v>7831</v>
      </c>
      <c r="C12354" s="74" t="s">
        <v>450</v>
      </c>
    </row>
    <row r="12355" spans="1:3">
      <c r="A12355" s="250">
        <v>29912</v>
      </c>
      <c r="B12355" s="74" t="s">
        <v>7832</v>
      </c>
      <c r="C12355" s="74" t="s">
        <v>450</v>
      </c>
    </row>
    <row r="12356" spans="1:3">
      <c r="A12356" s="250">
        <v>29913</v>
      </c>
      <c r="B12356" s="74" t="s">
        <v>7833</v>
      </c>
      <c r="C12356" s="74" t="s">
        <v>450</v>
      </c>
    </row>
    <row r="12357" spans="1:3">
      <c r="A12357" s="250">
        <v>29914</v>
      </c>
      <c r="B12357" s="74" t="s">
        <v>3691</v>
      </c>
      <c r="C12357" s="74" t="s">
        <v>450</v>
      </c>
    </row>
    <row r="12358" spans="1:3">
      <c r="A12358" s="250">
        <v>29915</v>
      </c>
      <c r="B12358" s="74" t="s">
        <v>7834</v>
      </c>
      <c r="C12358" s="74" t="s">
        <v>450</v>
      </c>
    </row>
    <row r="12359" spans="1:3">
      <c r="A12359" s="250">
        <v>29916</v>
      </c>
      <c r="B12359" s="74" t="s">
        <v>7835</v>
      </c>
      <c r="C12359" s="74" t="s">
        <v>450</v>
      </c>
    </row>
    <row r="12360" spans="1:3">
      <c r="A12360" s="250">
        <v>29918</v>
      </c>
      <c r="B12360" s="74" t="s">
        <v>7836</v>
      </c>
      <c r="C12360" s="74" t="s">
        <v>450</v>
      </c>
    </row>
    <row r="12361" spans="1:3">
      <c r="A12361" s="250">
        <v>29920</v>
      </c>
      <c r="B12361" s="74" t="s">
        <v>7837</v>
      </c>
      <c r="C12361" s="74" t="s">
        <v>450</v>
      </c>
    </row>
    <row r="12362" spans="1:3">
      <c r="A12362" s="250">
        <v>29921</v>
      </c>
      <c r="B12362" s="74" t="s">
        <v>7838</v>
      </c>
      <c r="C12362" s="74" t="s">
        <v>450</v>
      </c>
    </row>
    <row r="12363" spans="1:3">
      <c r="A12363" s="250">
        <v>29922</v>
      </c>
      <c r="B12363" s="74" t="s">
        <v>7839</v>
      </c>
      <c r="C12363" s="74" t="s">
        <v>450</v>
      </c>
    </row>
    <row r="12364" spans="1:3">
      <c r="A12364" s="250">
        <v>29923</v>
      </c>
      <c r="B12364" s="74" t="s">
        <v>4595</v>
      </c>
      <c r="C12364" s="74" t="s">
        <v>450</v>
      </c>
    </row>
    <row r="12365" spans="1:3">
      <c r="A12365" s="250">
        <v>29924</v>
      </c>
      <c r="B12365" s="74" t="s">
        <v>1315</v>
      </c>
      <c r="C12365" s="74" t="s">
        <v>450</v>
      </c>
    </row>
    <row r="12366" spans="1:3">
      <c r="A12366" s="250">
        <v>29925</v>
      </c>
      <c r="B12366" s="74" t="s">
        <v>7840</v>
      </c>
      <c r="C12366" s="74" t="s">
        <v>450</v>
      </c>
    </row>
    <row r="12367" spans="1:3">
      <c r="A12367" s="250">
        <v>29926</v>
      </c>
      <c r="B12367" s="74" t="s">
        <v>7840</v>
      </c>
      <c r="C12367" s="74" t="s">
        <v>450</v>
      </c>
    </row>
    <row r="12368" spans="1:3">
      <c r="A12368" s="250">
        <v>29927</v>
      </c>
      <c r="B12368" s="74" t="s">
        <v>7841</v>
      </c>
      <c r="C12368" s="74" t="s">
        <v>450</v>
      </c>
    </row>
    <row r="12369" spans="1:3">
      <c r="A12369" s="250">
        <v>29928</v>
      </c>
      <c r="B12369" s="74" t="s">
        <v>7840</v>
      </c>
      <c r="C12369" s="74" t="s">
        <v>450</v>
      </c>
    </row>
    <row r="12370" spans="1:3">
      <c r="A12370" s="250">
        <v>29929</v>
      </c>
      <c r="B12370" s="74" t="s">
        <v>7842</v>
      </c>
      <c r="C12370" s="74" t="s">
        <v>450</v>
      </c>
    </row>
    <row r="12371" spans="1:3">
      <c r="A12371" s="250">
        <v>29931</v>
      </c>
      <c r="B12371" s="74" t="s">
        <v>7843</v>
      </c>
      <c r="C12371" s="74" t="s">
        <v>450</v>
      </c>
    </row>
    <row r="12372" spans="1:3">
      <c r="A12372" s="250">
        <v>29932</v>
      </c>
      <c r="B12372" s="74" t="s">
        <v>5992</v>
      </c>
      <c r="C12372" s="74" t="s">
        <v>450</v>
      </c>
    </row>
    <row r="12373" spans="1:3">
      <c r="A12373" s="250">
        <v>29933</v>
      </c>
      <c r="B12373" s="74" t="s">
        <v>7844</v>
      </c>
      <c r="C12373" s="74" t="s">
        <v>450</v>
      </c>
    </row>
    <row r="12374" spans="1:3">
      <c r="A12374" s="250">
        <v>29934</v>
      </c>
      <c r="B12374" s="74" t="s">
        <v>7845</v>
      </c>
      <c r="C12374" s="74" t="s">
        <v>450</v>
      </c>
    </row>
    <row r="12375" spans="1:3">
      <c r="A12375" s="250">
        <v>29935</v>
      </c>
      <c r="B12375" s="74" t="s">
        <v>4746</v>
      </c>
      <c r="C12375" s="74" t="s">
        <v>450</v>
      </c>
    </row>
    <row r="12376" spans="1:3">
      <c r="A12376" s="250">
        <v>29936</v>
      </c>
      <c r="B12376" s="74" t="s">
        <v>7846</v>
      </c>
      <c r="C12376" s="74" t="s">
        <v>450</v>
      </c>
    </row>
    <row r="12377" spans="1:3">
      <c r="A12377" s="250">
        <v>29938</v>
      </c>
      <c r="B12377" s="74" t="s">
        <v>7840</v>
      </c>
      <c r="C12377" s="74" t="s">
        <v>450</v>
      </c>
    </row>
    <row r="12378" spans="1:3">
      <c r="A12378" s="250">
        <v>29939</v>
      </c>
      <c r="B12378" s="74" t="s">
        <v>7847</v>
      </c>
      <c r="C12378" s="74" t="s">
        <v>450</v>
      </c>
    </row>
    <row r="12379" spans="1:3">
      <c r="A12379" s="250">
        <v>29940</v>
      </c>
      <c r="B12379" s="74" t="s">
        <v>1338</v>
      </c>
      <c r="C12379" s="74" t="s">
        <v>450</v>
      </c>
    </row>
    <row r="12380" spans="1:3">
      <c r="A12380" s="250">
        <v>29941</v>
      </c>
      <c r="B12380" s="74" t="s">
        <v>1829</v>
      </c>
      <c r="C12380" s="74" t="s">
        <v>450</v>
      </c>
    </row>
    <row r="12381" spans="1:3">
      <c r="A12381" s="250">
        <v>29943</v>
      </c>
      <c r="B12381" s="74" t="s">
        <v>7848</v>
      </c>
      <c r="C12381" s="74" t="s">
        <v>450</v>
      </c>
    </row>
    <row r="12382" spans="1:3">
      <c r="A12382" s="250">
        <v>29944</v>
      </c>
      <c r="B12382" s="74" t="s">
        <v>7849</v>
      </c>
      <c r="C12382" s="74" t="s">
        <v>450</v>
      </c>
    </row>
    <row r="12383" spans="1:3">
      <c r="A12383" s="250">
        <v>29945</v>
      </c>
      <c r="B12383" s="74" t="s">
        <v>7850</v>
      </c>
      <c r="C12383" s="74" t="s">
        <v>450</v>
      </c>
    </row>
    <row r="12384" spans="1:3">
      <c r="A12384" s="250">
        <v>30002</v>
      </c>
      <c r="B12384" s="74" t="s">
        <v>7851</v>
      </c>
      <c r="C12384" s="74" t="s">
        <v>421</v>
      </c>
    </row>
    <row r="12385" spans="1:3">
      <c r="A12385" s="250">
        <v>30003</v>
      </c>
      <c r="B12385" s="74" t="s">
        <v>7852</v>
      </c>
      <c r="C12385" s="74" t="s">
        <v>421</v>
      </c>
    </row>
    <row r="12386" spans="1:3">
      <c r="A12386" s="250">
        <v>30004</v>
      </c>
      <c r="B12386" s="74" t="s">
        <v>7853</v>
      </c>
      <c r="C12386" s="74" t="s">
        <v>421</v>
      </c>
    </row>
    <row r="12387" spans="1:3">
      <c r="A12387" s="250">
        <v>30005</v>
      </c>
      <c r="B12387" s="74" t="s">
        <v>7853</v>
      </c>
      <c r="C12387" s="74" t="s">
        <v>421</v>
      </c>
    </row>
    <row r="12388" spans="1:3">
      <c r="A12388" s="250">
        <v>30006</v>
      </c>
      <c r="B12388" s="74" t="s">
        <v>3385</v>
      </c>
      <c r="C12388" s="74" t="s">
        <v>421</v>
      </c>
    </row>
    <row r="12389" spans="1:3">
      <c r="A12389" s="250">
        <v>30007</v>
      </c>
      <c r="B12389" s="74" t="s">
        <v>3385</v>
      </c>
      <c r="C12389" s="74" t="s">
        <v>421</v>
      </c>
    </row>
    <row r="12390" spans="1:3">
      <c r="A12390" s="250">
        <v>30008</v>
      </c>
      <c r="B12390" s="74" t="s">
        <v>3385</v>
      </c>
      <c r="C12390" s="74" t="s">
        <v>421</v>
      </c>
    </row>
    <row r="12391" spans="1:3">
      <c r="A12391" s="250">
        <v>30009</v>
      </c>
      <c r="B12391" s="74" t="s">
        <v>7853</v>
      </c>
      <c r="C12391" s="74" t="s">
        <v>421</v>
      </c>
    </row>
    <row r="12392" spans="1:3">
      <c r="A12392" s="250">
        <v>30010</v>
      </c>
      <c r="B12392" s="74" t="s">
        <v>7852</v>
      </c>
      <c r="C12392" s="74" t="s">
        <v>421</v>
      </c>
    </row>
    <row r="12393" spans="1:3">
      <c r="A12393" s="250">
        <v>30011</v>
      </c>
      <c r="B12393" s="74" t="s">
        <v>724</v>
      </c>
      <c r="C12393" s="74" t="s">
        <v>421</v>
      </c>
    </row>
    <row r="12394" spans="1:3">
      <c r="A12394" s="250">
        <v>30012</v>
      </c>
      <c r="B12394" s="74" t="s">
        <v>7854</v>
      </c>
      <c r="C12394" s="74" t="s">
        <v>421</v>
      </c>
    </row>
    <row r="12395" spans="1:3">
      <c r="A12395" s="250">
        <v>30013</v>
      </c>
      <c r="B12395" s="74" t="s">
        <v>7854</v>
      </c>
      <c r="C12395" s="74" t="s">
        <v>421</v>
      </c>
    </row>
    <row r="12396" spans="1:3">
      <c r="A12396" s="250">
        <v>30014</v>
      </c>
      <c r="B12396" s="74" t="s">
        <v>4668</v>
      </c>
      <c r="C12396" s="74" t="s">
        <v>421</v>
      </c>
    </row>
    <row r="12397" spans="1:3">
      <c r="A12397" s="250">
        <v>30015</v>
      </c>
      <c r="B12397" s="74" t="s">
        <v>4668</v>
      </c>
      <c r="C12397" s="74" t="s">
        <v>421</v>
      </c>
    </row>
    <row r="12398" spans="1:3">
      <c r="A12398" s="250">
        <v>30016</v>
      </c>
      <c r="B12398" s="74" t="s">
        <v>4668</v>
      </c>
      <c r="C12398" s="74" t="s">
        <v>421</v>
      </c>
    </row>
    <row r="12399" spans="1:3">
      <c r="A12399" s="250">
        <v>30017</v>
      </c>
      <c r="B12399" s="74" t="s">
        <v>7855</v>
      </c>
      <c r="C12399" s="74" t="s">
        <v>421</v>
      </c>
    </row>
    <row r="12400" spans="1:3">
      <c r="A12400" s="250">
        <v>30018</v>
      </c>
      <c r="B12400" s="74" t="s">
        <v>5898</v>
      </c>
      <c r="C12400" s="74" t="s">
        <v>421</v>
      </c>
    </row>
    <row r="12401" spans="1:3">
      <c r="A12401" s="250">
        <v>30019</v>
      </c>
      <c r="B12401" s="74" t="s">
        <v>7856</v>
      </c>
      <c r="C12401" s="74" t="s">
        <v>421</v>
      </c>
    </row>
    <row r="12402" spans="1:3">
      <c r="A12402" s="250">
        <v>30021</v>
      </c>
      <c r="B12402" s="74" t="s">
        <v>7857</v>
      </c>
      <c r="C12402" s="74" t="s">
        <v>421</v>
      </c>
    </row>
    <row r="12403" spans="1:3">
      <c r="A12403" s="250">
        <v>30022</v>
      </c>
      <c r="B12403" s="74" t="s">
        <v>7853</v>
      </c>
      <c r="C12403" s="74" t="s">
        <v>421</v>
      </c>
    </row>
    <row r="12404" spans="1:3">
      <c r="A12404" s="250">
        <v>30023</v>
      </c>
      <c r="B12404" s="74" t="s">
        <v>7853</v>
      </c>
      <c r="C12404" s="74" t="s">
        <v>421</v>
      </c>
    </row>
    <row r="12405" spans="1:3">
      <c r="A12405" s="250">
        <v>30024</v>
      </c>
      <c r="B12405" s="74" t="s">
        <v>7858</v>
      </c>
      <c r="C12405" s="74" t="s">
        <v>421</v>
      </c>
    </row>
    <row r="12406" spans="1:3">
      <c r="A12406" s="250">
        <v>30025</v>
      </c>
      <c r="B12406" s="74" t="s">
        <v>7859</v>
      </c>
      <c r="C12406" s="74" t="s">
        <v>421</v>
      </c>
    </row>
    <row r="12407" spans="1:3">
      <c r="A12407" s="250">
        <v>30026</v>
      </c>
      <c r="B12407" s="74" t="s">
        <v>7860</v>
      </c>
      <c r="C12407" s="74" t="s">
        <v>421</v>
      </c>
    </row>
    <row r="12408" spans="1:3">
      <c r="A12408" s="250">
        <v>30028</v>
      </c>
      <c r="B12408" s="74" t="s">
        <v>7861</v>
      </c>
      <c r="C12408" s="74" t="s">
        <v>421</v>
      </c>
    </row>
    <row r="12409" spans="1:3">
      <c r="A12409" s="250">
        <v>30029</v>
      </c>
      <c r="B12409" s="74" t="s">
        <v>7860</v>
      </c>
      <c r="C12409" s="74" t="s">
        <v>421</v>
      </c>
    </row>
    <row r="12410" spans="1:3">
      <c r="A12410" s="250">
        <v>30030</v>
      </c>
      <c r="B12410" s="74" t="s">
        <v>7862</v>
      </c>
      <c r="C12410" s="74" t="s">
        <v>421</v>
      </c>
    </row>
    <row r="12411" spans="1:3">
      <c r="A12411" s="250">
        <v>30031</v>
      </c>
      <c r="B12411" s="74" t="s">
        <v>7862</v>
      </c>
      <c r="C12411" s="74" t="s">
        <v>421</v>
      </c>
    </row>
    <row r="12412" spans="1:3">
      <c r="A12412" s="250">
        <v>30032</v>
      </c>
      <c r="B12412" s="74" t="s">
        <v>7862</v>
      </c>
      <c r="C12412" s="74" t="s">
        <v>421</v>
      </c>
    </row>
    <row r="12413" spans="1:3">
      <c r="A12413" s="250">
        <v>30033</v>
      </c>
      <c r="B12413" s="74" t="s">
        <v>7862</v>
      </c>
      <c r="C12413" s="74" t="s">
        <v>421</v>
      </c>
    </row>
    <row r="12414" spans="1:3">
      <c r="A12414" s="250">
        <v>30034</v>
      </c>
      <c r="B12414" s="74" t="s">
        <v>7862</v>
      </c>
      <c r="C12414" s="74" t="s">
        <v>421</v>
      </c>
    </row>
    <row r="12415" spans="1:3">
      <c r="A12415" s="250">
        <v>30035</v>
      </c>
      <c r="B12415" s="74" t="s">
        <v>7862</v>
      </c>
      <c r="C12415" s="74" t="s">
        <v>421</v>
      </c>
    </row>
    <row r="12416" spans="1:3">
      <c r="A12416" s="250">
        <v>30036</v>
      </c>
      <c r="B12416" s="74" t="s">
        <v>7862</v>
      </c>
      <c r="C12416" s="74" t="s">
        <v>421</v>
      </c>
    </row>
    <row r="12417" spans="1:3">
      <c r="A12417" s="250">
        <v>30037</v>
      </c>
      <c r="B12417" s="74" t="s">
        <v>7862</v>
      </c>
      <c r="C12417" s="74" t="s">
        <v>421</v>
      </c>
    </row>
    <row r="12418" spans="1:3">
      <c r="A12418" s="250">
        <v>30038</v>
      </c>
      <c r="B12418" s="74" t="s">
        <v>7863</v>
      </c>
      <c r="C12418" s="74" t="s">
        <v>421</v>
      </c>
    </row>
    <row r="12419" spans="1:3">
      <c r="A12419" s="250">
        <v>30039</v>
      </c>
      <c r="B12419" s="74" t="s">
        <v>7864</v>
      </c>
      <c r="C12419" s="74" t="s">
        <v>421</v>
      </c>
    </row>
    <row r="12420" spans="1:3">
      <c r="A12420" s="250">
        <v>30040</v>
      </c>
      <c r="B12420" s="74" t="s">
        <v>7861</v>
      </c>
      <c r="C12420" s="74" t="s">
        <v>421</v>
      </c>
    </row>
    <row r="12421" spans="1:3">
      <c r="A12421" s="250">
        <v>30041</v>
      </c>
      <c r="B12421" s="74" t="s">
        <v>7861</v>
      </c>
      <c r="C12421" s="74" t="s">
        <v>421</v>
      </c>
    </row>
    <row r="12422" spans="1:3">
      <c r="A12422" s="250">
        <v>30042</v>
      </c>
      <c r="B12422" s="74" t="s">
        <v>3302</v>
      </c>
      <c r="C12422" s="74" t="s">
        <v>421</v>
      </c>
    </row>
    <row r="12423" spans="1:3">
      <c r="A12423" s="250">
        <v>30043</v>
      </c>
      <c r="B12423" s="74" t="s">
        <v>3302</v>
      </c>
      <c r="C12423" s="74" t="s">
        <v>421</v>
      </c>
    </row>
    <row r="12424" spans="1:3">
      <c r="A12424" s="250">
        <v>30044</v>
      </c>
      <c r="B12424" s="74" t="s">
        <v>3302</v>
      </c>
      <c r="C12424" s="74" t="s">
        <v>421</v>
      </c>
    </row>
    <row r="12425" spans="1:3">
      <c r="A12425" s="250">
        <v>30045</v>
      </c>
      <c r="B12425" s="74" t="s">
        <v>3302</v>
      </c>
      <c r="C12425" s="74" t="s">
        <v>421</v>
      </c>
    </row>
    <row r="12426" spans="1:3">
      <c r="A12426" s="250">
        <v>30046</v>
      </c>
      <c r="B12426" s="74" t="s">
        <v>3302</v>
      </c>
      <c r="C12426" s="74" t="s">
        <v>421</v>
      </c>
    </row>
    <row r="12427" spans="1:3">
      <c r="A12427" s="250">
        <v>30047</v>
      </c>
      <c r="B12427" s="74" t="s">
        <v>7865</v>
      </c>
      <c r="C12427" s="74" t="s">
        <v>421</v>
      </c>
    </row>
    <row r="12428" spans="1:3">
      <c r="A12428" s="250">
        <v>30048</v>
      </c>
      <c r="B12428" s="74" t="s">
        <v>7865</v>
      </c>
      <c r="C12428" s="74" t="s">
        <v>421</v>
      </c>
    </row>
    <row r="12429" spans="1:3">
      <c r="A12429" s="250">
        <v>30049</v>
      </c>
      <c r="B12429" s="74" t="s">
        <v>3302</v>
      </c>
      <c r="C12429" s="74" t="s">
        <v>421</v>
      </c>
    </row>
    <row r="12430" spans="1:3">
      <c r="A12430" s="250">
        <v>30052</v>
      </c>
      <c r="B12430" s="74" t="s">
        <v>4826</v>
      </c>
      <c r="C12430" s="74" t="s">
        <v>421</v>
      </c>
    </row>
    <row r="12431" spans="1:3">
      <c r="A12431" s="250">
        <v>30054</v>
      </c>
      <c r="B12431" s="74" t="s">
        <v>754</v>
      </c>
      <c r="C12431" s="74" t="s">
        <v>421</v>
      </c>
    </row>
    <row r="12432" spans="1:3">
      <c r="A12432" s="250">
        <v>30055</v>
      </c>
      <c r="B12432" s="74" t="s">
        <v>879</v>
      </c>
      <c r="C12432" s="74" t="s">
        <v>421</v>
      </c>
    </row>
    <row r="12433" spans="1:3">
      <c r="A12433" s="250">
        <v>30056</v>
      </c>
      <c r="B12433" s="74" t="s">
        <v>7866</v>
      </c>
      <c r="C12433" s="74" t="s">
        <v>421</v>
      </c>
    </row>
    <row r="12434" spans="1:3">
      <c r="A12434" s="250">
        <v>30058</v>
      </c>
      <c r="B12434" s="74" t="s">
        <v>7863</v>
      </c>
      <c r="C12434" s="74" t="s">
        <v>421</v>
      </c>
    </row>
    <row r="12435" spans="1:3">
      <c r="A12435" s="250">
        <v>30060</v>
      </c>
      <c r="B12435" s="74" t="s">
        <v>3385</v>
      </c>
      <c r="C12435" s="74" t="s">
        <v>421</v>
      </c>
    </row>
    <row r="12436" spans="1:3">
      <c r="A12436" s="250">
        <v>30061</v>
      </c>
      <c r="B12436" s="74" t="s">
        <v>3385</v>
      </c>
      <c r="C12436" s="74" t="s">
        <v>421</v>
      </c>
    </row>
    <row r="12437" spans="1:3">
      <c r="A12437" s="250">
        <v>30062</v>
      </c>
      <c r="B12437" s="74" t="s">
        <v>3385</v>
      </c>
      <c r="C12437" s="74" t="s">
        <v>421</v>
      </c>
    </row>
    <row r="12438" spans="1:3">
      <c r="A12438" s="250">
        <v>30063</v>
      </c>
      <c r="B12438" s="74" t="s">
        <v>3385</v>
      </c>
      <c r="C12438" s="74" t="s">
        <v>421</v>
      </c>
    </row>
    <row r="12439" spans="1:3">
      <c r="A12439" s="250">
        <v>30064</v>
      </c>
      <c r="B12439" s="74" t="s">
        <v>3385</v>
      </c>
      <c r="C12439" s="74" t="s">
        <v>421</v>
      </c>
    </row>
    <row r="12440" spans="1:3">
      <c r="A12440" s="250">
        <v>30065</v>
      </c>
      <c r="B12440" s="74" t="s">
        <v>3385</v>
      </c>
      <c r="C12440" s="74" t="s">
        <v>421</v>
      </c>
    </row>
    <row r="12441" spans="1:3">
      <c r="A12441" s="250">
        <v>30066</v>
      </c>
      <c r="B12441" s="74" t="s">
        <v>3385</v>
      </c>
      <c r="C12441" s="74" t="s">
        <v>421</v>
      </c>
    </row>
    <row r="12442" spans="1:3">
      <c r="A12442" s="250">
        <v>30067</v>
      </c>
      <c r="B12442" s="74" t="s">
        <v>3385</v>
      </c>
      <c r="C12442" s="74" t="s">
        <v>421</v>
      </c>
    </row>
    <row r="12443" spans="1:3">
      <c r="A12443" s="250">
        <v>30068</v>
      </c>
      <c r="B12443" s="74" t="s">
        <v>3385</v>
      </c>
      <c r="C12443" s="74" t="s">
        <v>421</v>
      </c>
    </row>
    <row r="12444" spans="1:3">
      <c r="A12444" s="250">
        <v>30069</v>
      </c>
      <c r="B12444" s="74" t="s">
        <v>3385</v>
      </c>
      <c r="C12444" s="74" t="s">
        <v>421</v>
      </c>
    </row>
    <row r="12445" spans="1:3">
      <c r="A12445" s="250">
        <v>30070</v>
      </c>
      <c r="B12445" s="74" t="s">
        <v>7867</v>
      </c>
      <c r="C12445" s="74" t="s">
        <v>421</v>
      </c>
    </row>
    <row r="12446" spans="1:3">
      <c r="A12446" s="250">
        <v>30071</v>
      </c>
      <c r="B12446" s="74" t="s">
        <v>7852</v>
      </c>
      <c r="C12446" s="74" t="s">
        <v>421</v>
      </c>
    </row>
    <row r="12447" spans="1:3">
      <c r="A12447" s="250">
        <v>30072</v>
      </c>
      <c r="B12447" s="74" t="s">
        <v>7868</v>
      </c>
      <c r="C12447" s="74" t="s">
        <v>421</v>
      </c>
    </row>
    <row r="12448" spans="1:3">
      <c r="A12448" s="250">
        <v>30073</v>
      </c>
      <c r="B12448" s="74" t="s">
        <v>7862</v>
      </c>
      <c r="C12448" s="74" t="s">
        <v>421</v>
      </c>
    </row>
    <row r="12449" spans="1:3">
      <c r="A12449" s="250">
        <v>30074</v>
      </c>
      <c r="B12449" s="74" t="s">
        <v>7869</v>
      </c>
      <c r="C12449" s="74" t="s">
        <v>421</v>
      </c>
    </row>
    <row r="12450" spans="1:3">
      <c r="A12450" s="250">
        <v>30075</v>
      </c>
      <c r="B12450" s="74" t="s">
        <v>7870</v>
      </c>
      <c r="C12450" s="74" t="s">
        <v>421</v>
      </c>
    </row>
    <row r="12451" spans="1:3">
      <c r="A12451" s="250">
        <v>30076</v>
      </c>
      <c r="B12451" s="74" t="s">
        <v>7870</v>
      </c>
      <c r="C12451" s="74" t="s">
        <v>421</v>
      </c>
    </row>
    <row r="12452" spans="1:3">
      <c r="A12452" s="250">
        <v>30077</v>
      </c>
      <c r="B12452" s="74" t="s">
        <v>7870</v>
      </c>
      <c r="C12452" s="74" t="s">
        <v>421</v>
      </c>
    </row>
    <row r="12453" spans="1:3">
      <c r="A12453" s="250">
        <v>30078</v>
      </c>
      <c r="B12453" s="74" t="s">
        <v>7864</v>
      </c>
      <c r="C12453" s="74" t="s">
        <v>421</v>
      </c>
    </row>
    <row r="12454" spans="1:3">
      <c r="A12454" s="250">
        <v>30079</v>
      </c>
      <c r="B12454" s="74" t="s">
        <v>4241</v>
      </c>
      <c r="C12454" s="74" t="s">
        <v>421</v>
      </c>
    </row>
    <row r="12455" spans="1:3">
      <c r="A12455" s="250">
        <v>30080</v>
      </c>
      <c r="B12455" s="74" t="s">
        <v>3502</v>
      </c>
      <c r="C12455" s="74" t="s">
        <v>421</v>
      </c>
    </row>
    <row r="12456" spans="1:3">
      <c r="A12456" s="250">
        <v>30081</v>
      </c>
      <c r="B12456" s="74" t="s">
        <v>3502</v>
      </c>
      <c r="C12456" s="74" t="s">
        <v>421</v>
      </c>
    </row>
    <row r="12457" spans="1:3">
      <c r="A12457" s="250">
        <v>30082</v>
      </c>
      <c r="B12457" s="74" t="s">
        <v>3502</v>
      </c>
      <c r="C12457" s="74" t="s">
        <v>421</v>
      </c>
    </row>
    <row r="12458" spans="1:3">
      <c r="A12458" s="250">
        <v>30083</v>
      </c>
      <c r="B12458" s="74" t="s">
        <v>7871</v>
      </c>
      <c r="C12458" s="74" t="s">
        <v>421</v>
      </c>
    </row>
    <row r="12459" spans="1:3">
      <c r="A12459" s="250">
        <v>30084</v>
      </c>
      <c r="B12459" s="74" t="s">
        <v>7872</v>
      </c>
      <c r="C12459" s="74" t="s">
        <v>421</v>
      </c>
    </row>
    <row r="12460" spans="1:3">
      <c r="A12460" s="250">
        <v>30085</v>
      </c>
      <c r="B12460" s="74" t="s">
        <v>7872</v>
      </c>
      <c r="C12460" s="74" t="s">
        <v>421</v>
      </c>
    </row>
    <row r="12461" spans="1:3">
      <c r="A12461" s="250">
        <v>30086</v>
      </c>
      <c r="B12461" s="74" t="s">
        <v>7871</v>
      </c>
      <c r="C12461" s="74" t="s">
        <v>421</v>
      </c>
    </row>
    <row r="12462" spans="1:3">
      <c r="A12462" s="250">
        <v>30087</v>
      </c>
      <c r="B12462" s="74" t="s">
        <v>7871</v>
      </c>
      <c r="C12462" s="74" t="s">
        <v>421</v>
      </c>
    </row>
    <row r="12463" spans="1:3">
      <c r="A12463" s="250">
        <v>30088</v>
      </c>
      <c r="B12463" s="74" t="s">
        <v>7871</v>
      </c>
      <c r="C12463" s="74" t="s">
        <v>421</v>
      </c>
    </row>
    <row r="12464" spans="1:3">
      <c r="A12464" s="250">
        <v>30090</v>
      </c>
      <c r="B12464" s="74" t="s">
        <v>3385</v>
      </c>
      <c r="C12464" s="74" t="s">
        <v>421</v>
      </c>
    </row>
    <row r="12465" spans="1:3">
      <c r="A12465" s="250">
        <v>30091</v>
      </c>
      <c r="B12465" s="74" t="s">
        <v>7852</v>
      </c>
      <c r="C12465" s="74" t="s">
        <v>421</v>
      </c>
    </row>
    <row r="12466" spans="1:3">
      <c r="A12466" s="250">
        <v>30092</v>
      </c>
      <c r="B12466" s="74" t="s">
        <v>7852</v>
      </c>
      <c r="C12466" s="74" t="s">
        <v>421</v>
      </c>
    </row>
    <row r="12467" spans="1:3">
      <c r="A12467" s="250">
        <v>30093</v>
      </c>
      <c r="B12467" s="74" t="s">
        <v>7852</v>
      </c>
      <c r="C12467" s="74" t="s">
        <v>421</v>
      </c>
    </row>
    <row r="12468" spans="1:3">
      <c r="A12468" s="250">
        <v>30094</v>
      </c>
      <c r="B12468" s="74" t="s">
        <v>7854</v>
      </c>
      <c r="C12468" s="74" t="s">
        <v>421</v>
      </c>
    </row>
    <row r="12469" spans="1:3">
      <c r="A12469" s="250">
        <v>30095</v>
      </c>
      <c r="B12469" s="74" t="s">
        <v>7873</v>
      </c>
      <c r="C12469" s="74" t="s">
        <v>421</v>
      </c>
    </row>
    <row r="12470" spans="1:3">
      <c r="A12470" s="250">
        <v>30096</v>
      </c>
      <c r="B12470" s="74" t="s">
        <v>7873</v>
      </c>
      <c r="C12470" s="74" t="s">
        <v>421</v>
      </c>
    </row>
    <row r="12471" spans="1:3">
      <c r="A12471" s="250">
        <v>30097</v>
      </c>
      <c r="B12471" s="74" t="s">
        <v>7873</v>
      </c>
      <c r="C12471" s="74" t="s">
        <v>421</v>
      </c>
    </row>
    <row r="12472" spans="1:3">
      <c r="A12472" s="250">
        <v>30098</v>
      </c>
      <c r="B12472" s="74" t="s">
        <v>7873</v>
      </c>
      <c r="C12472" s="74" t="s">
        <v>421</v>
      </c>
    </row>
    <row r="12473" spans="1:3">
      <c r="A12473" s="250">
        <v>30099</v>
      </c>
      <c r="B12473" s="74" t="s">
        <v>7873</v>
      </c>
      <c r="C12473" s="74" t="s">
        <v>421</v>
      </c>
    </row>
    <row r="12474" spans="1:3">
      <c r="A12474" s="250">
        <v>30101</v>
      </c>
      <c r="B12474" s="74" t="s">
        <v>1263</v>
      </c>
      <c r="C12474" s="74" t="s">
        <v>421</v>
      </c>
    </row>
    <row r="12475" spans="1:3">
      <c r="A12475" s="250">
        <v>30102</v>
      </c>
      <c r="B12475" s="74" t="s">
        <v>1263</v>
      </c>
      <c r="C12475" s="74" t="s">
        <v>421</v>
      </c>
    </row>
    <row r="12476" spans="1:3">
      <c r="A12476" s="250">
        <v>30103</v>
      </c>
      <c r="B12476" s="74" t="s">
        <v>7874</v>
      </c>
      <c r="C12476" s="74" t="s">
        <v>421</v>
      </c>
    </row>
    <row r="12477" spans="1:3">
      <c r="A12477" s="250">
        <v>30104</v>
      </c>
      <c r="B12477" s="74" t="s">
        <v>7875</v>
      </c>
      <c r="C12477" s="74" t="s">
        <v>421</v>
      </c>
    </row>
    <row r="12478" spans="1:3">
      <c r="A12478" s="250">
        <v>30105</v>
      </c>
      <c r="B12478" s="74" t="s">
        <v>7876</v>
      </c>
      <c r="C12478" s="74" t="s">
        <v>421</v>
      </c>
    </row>
    <row r="12479" spans="1:3">
      <c r="A12479" s="250">
        <v>30106</v>
      </c>
      <c r="B12479" s="74" t="s">
        <v>7877</v>
      </c>
      <c r="C12479" s="74" t="s">
        <v>421</v>
      </c>
    </row>
    <row r="12480" spans="1:3">
      <c r="A12480" s="250">
        <v>30107</v>
      </c>
      <c r="B12480" s="74" t="s">
        <v>7878</v>
      </c>
      <c r="C12480" s="74" t="s">
        <v>421</v>
      </c>
    </row>
    <row r="12481" spans="1:3">
      <c r="A12481" s="250">
        <v>30108</v>
      </c>
      <c r="B12481" s="74" t="s">
        <v>7879</v>
      </c>
      <c r="C12481" s="74" t="s">
        <v>421</v>
      </c>
    </row>
    <row r="12482" spans="1:3">
      <c r="A12482" s="250">
        <v>30109</v>
      </c>
      <c r="B12482" s="74" t="s">
        <v>7880</v>
      </c>
      <c r="C12482" s="74" t="s">
        <v>421</v>
      </c>
    </row>
    <row r="12483" spans="1:3">
      <c r="A12483" s="250">
        <v>30110</v>
      </c>
      <c r="B12483" s="74" t="s">
        <v>1545</v>
      </c>
      <c r="C12483" s="74" t="s">
        <v>421</v>
      </c>
    </row>
    <row r="12484" spans="1:3">
      <c r="A12484" s="250">
        <v>30111</v>
      </c>
      <c r="B12484" s="74" t="s">
        <v>7881</v>
      </c>
      <c r="C12484" s="74" t="s">
        <v>421</v>
      </c>
    </row>
    <row r="12485" spans="1:3">
      <c r="A12485" s="250">
        <v>30112</v>
      </c>
      <c r="B12485" s="74" t="s">
        <v>6129</v>
      </c>
      <c r="C12485" s="74" t="s">
        <v>421</v>
      </c>
    </row>
    <row r="12486" spans="1:3">
      <c r="A12486" s="250">
        <v>30113</v>
      </c>
      <c r="B12486" s="74" t="s">
        <v>2621</v>
      </c>
      <c r="C12486" s="74" t="s">
        <v>421</v>
      </c>
    </row>
    <row r="12487" spans="1:3">
      <c r="A12487" s="250">
        <v>30114</v>
      </c>
      <c r="B12487" s="74" t="s">
        <v>866</v>
      </c>
      <c r="C12487" s="74" t="s">
        <v>421</v>
      </c>
    </row>
    <row r="12488" spans="1:3">
      <c r="A12488" s="250">
        <v>30115</v>
      </c>
      <c r="B12488" s="74" t="s">
        <v>866</v>
      </c>
      <c r="C12488" s="74" t="s">
        <v>421</v>
      </c>
    </row>
    <row r="12489" spans="1:3">
      <c r="A12489" s="250">
        <v>30116</v>
      </c>
      <c r="B12489" s="74" t="s">
        <v>6129</v>
      </c>
      <c r="C12489" s="74" t="s">
        <v>421</v>
      </c>
    </row>
    <row r="12490" spans="1:3">
      <c r="A12490" s="250">
        <v>30117</v>
      </c>
      <c r="B12490" s="74" t="s">
        <v>6129</v>
      </c>
      <c r="C12490" s="74" t="s">
        <v>421</v>
      </c>
    </row>
    <row r="12491" spans="1:3">
      <c r="A12491" s="250">
        <v>30118</v>
      </c>
      <c r="B12491" s="74" t="s">
        <v>6129</v>
      </c>
      <c r="C12491" s="74" t="s">
        <v>421</v>
      </c>
    </row>
    <row r="12492" spans="1:3">
      <c r="A12492" s="250">
        <v>30119</v>
      </c>
      <c r="B12492" s="74" t="s">
        <v>6129</v>
      </c>
      <c r="C12492" s="74" t="s">
        <v>421</v>
      </c>
    </row>
    <row r="12493" spans="1:3">
      <c r="A12493" s="250">
        <v>30120</v>
      </c>
      <c r="B12493" s="74" t="s">
        <v>6044</v>
      </c>
      <c r="C12493" s="74" t="s">
        <v>421</v>
      </c>
    </row>
    <row r="12494" spans="1:3">
      <c r="A12494" s="250">
        <v>30121</v>
      </c>
      <c r="B12494" s="74" t="s">
        <v>6044</v>
      </c>
      <c r="C12494" s="74" t="s">
        <v>421</v>
      </c>
    </row>
    <row r="12495" spans="1:3">
      <c r="A12495" s="250">
        <v>30122</v>
      </c>
      <c r="B12495" s="74" t="s">
        <v>7882</v>
      </c>
      <c r="C12495" s="74" t="s">
        <v>421</v>
      </c>
    </row>
    <row r="12496" spans="1:3">
      <c r="A12496" s="250">
        <v>30123</v>
      </c>
      <c r="B12496" s="74" t="s">
        <v>3440</v>
      </c>
      <c r="C12496" s="74" t="s">
        <v>421</v>
      </c>
    </row>
    <row r="12497" spans="1:3">
      <c r="A12497" s="250">
        <v>30124</v>
      </c>
      <c r="B12497" s="74" t="s">
        <v>7883</v>
      </c>
      <c r="C12497" s="74" t="s">
        <v>421</v>
      </c>
    </row>
    <row r="12498" spans="1:3">
      <c r="A12498" s="250">
        <v>30125</v>
      </c>
      <c r="B12498" s="74" t="s">
        <v>7884</v>
      </c>
      <c r="C12498" s="74" t="s">
        <v>421</v>
      </c>
    </row>
    <row r="12499" spans="1:3">
      <c r="A12499" s="250">
        <v>30126</v>
      </c>
      <c r="B12499" s="74" t="s">
        <v>7885</v>
      </c>
      <c r="C12499" s="74" t="s">
        <v>421</v>
      </c>
    </row>
    <row r="12500" spans="1:3">
      <c r="A12500" s="250">
        <v>30127</v>
      </c>
      <c r="B12500" s="74" t="s">
        <v>7886</v>
      </c>
      <c r="C12500" s="74" t="s">
        <v>421</v>
      </c>
    </row>
    <row r="12501" spans="1:3">
      <c r="A12501" s="250">
        <v>30129</v>
      </c>
      <c r="B12501" s="74" t="s">
        <v>7887</v>
      </c>
      <c r="C12501" s="74" t="s">
        <v>421</v>
      </c>
    </row>
    <row r="12502" spans="1:3">
      <c r="A12502" s="250">
        <v>30132</v>
      </c>
      <c r="B12502" s="74" t="s">
        <v>5199</v>
      </c>
      <c r="C12502" s="74" t="s">
        <v>421</v>
      </c>
    </row>
    <row r="12503" spans="1:3">
      <c r="A12503" s="250">
        <v>30133</v>
      </c>
      <c r="B12503" s="74" t="s">
        <v>7888</v>
      </c>
      <c r="C12503" s="74" t="s">
        <v>421</v>
      </c>
    </row>
    <row r="12504" spans="1:3">
      <c r="A12504" s="250">
        <v>30134</v>
      </c>
      <c r="B12504" s="74" t="s">
        <v>7888</v>
      </c>
      <c r="C12504" s="74" t="s">
        <v>421</v>
      </c>
    </row>
    <row r="12505" spans="1:3">
      <c r="A12505" s="250">
        <v>30135</v>
      </c>
      <c r="B12505" s="74" t="s">
        <v>7888</v>
      </c>
      <c r="C12505" s="74" t="s">
        <v>421</v>
      </c>
    </row>
    <row r="12506" spans="1:3">
      <c r="A12506" s="250">
        <v>30137</v>
      </c>
      <c r="B12506" s="74" t="s">
        <v>2231</v>
      </c>
      <c r="C12506" s="74" t="s">
        <v>421</v>
      </c>
    </row>
    <row r="12507" spans="1:3">
      <c r="A12507" s="250">
        <v>30138</v>
      </c>
      <c r="B12507" s="74" t="s">
        <v>7889</v>
      </c>
      <c r="C12507" s="74" t="s">
        <v>421</v>
      </c>
    </row>
    <row r="12508" spans="1:3">
      <c r="A12508" s="250">
        <v>30139</v>
      </c>
      <c r="B12508" s="74" t="s">
        <v>7890</v>
      </c>
      <c r="C12508" s="74" t="s">
        <v>421</v>
      </c>
    </row>
    <row r="12509" spans="1:3">
      <c r="A12509" s="250">
        <v>30140</v>
      </c>
      <c r="B12509" s="74" t="s">
        <v>4818</v>
      </c>
      <c r="C12509" s="74" t="s">
        <v>421</v>
      </c>
    </row>
    <row r="12510" spans="1:3">
      <c r="A12510" s="250">
        <v>30141</v>
      </c>
      <c r="B12510" s="74" t="s">
        <v>1387</v>
      </c>
      <c r="C12510" s="74" t="s">
        <v>421</v>
      </c>
    </row>
    <row r="12511" spans="1:3">
      <c r="A12511" s="250">
        <v>30142</v>
      </c>
      <c r="B12511" s="74" t="s">
        <v>7150</v>
      </c>
      <c r="C12511" s="74" t="s">
        <v>421</v>
      </c>
    </row>
    <row r="12512" spans="1:3">
      <c r="A12512" s="250">
        <v>30143</v>
      </c>
      <c r="B12512" s="74" t="s">
        <v>3922</v>
      </c>
      <c r="C12512" s="74" t="s">
        <v>421</v>
      </c>
    </row>
    <row r="12513" spans="1:3">
      <c r="A12513" s="250">
        <v>30144</v>
      </c>
      <c r="B12513" s="74" t="s">
        <v>7891</v>
      </c>
      <c r="C12513" s="74" t="s">
        <v>421</v>
      </c>
    </row>
    <row r="12514" spans="1:3">
      <c r="A12514" s="250">
        <v>30145</v>
      </c>
      <c r="B12514" s="74" t="s">
        <v>957</v>
      </c>
      <c r="C12514" s="74" t="s">
        <v>421</v>
      </c>
    </row>
    <row r="12515" spans="1:3">
      <c r="A12515" s="250">
        <v>30146</v>
      </c>
      <c r="B12515" s="74" t="s">
        <v>1280</v>
      </c>
      <c r="C12515" s="74" t="s">
        <v>421</v>
      </c>
    </row>
    <row r="12516" spans="1:3">
      <c r="A12516" s="250">
        <v>30147</v>
      </c>
      <c r="B12516" s="74" t="s">
        <v>7892</v>
      </c>
      <c r="C12516" s="74" t="s">
        <v>421</v>
      </c>
    </row>
    <row r="12517" spans="1:3">
      <c r="A12517" s="250">
        <v>30148</v>
      </c>
      <c r="B12517" s="74" t="s">
        <v>7893</v>
      </c>
      <c r="C12517" s="74" t="s">
        <v>421</v>
      </c>
    </row>
    <row r="12518" spans="1:3">
      <c r="A12518" s="250">
        <v>30149</v>
      </c>
      <c r="B12518" s="74" t="s">
        <v>7894</v>
      </c>
      <c r="C12518" s="74" t="s">
        <v>421</v>
      </c>
    </row>
    <row r="12519" spans="1:3">
      <c r="A12519" s="250">
        <v>30150</v>
      </c>
      <c r="B12519" s="74" t="s">
        <v>6874</v>
      </c>
      <c r="C12519" s="74" t="s">
        <v>421</v>
      </c>
    </row>
    <row r="12520" spans="1:3">
      <c r="A12520" s="250">
        <v>30151</v>
      </c>
      <c r="B12520" s="74" t="s">
        <v>1238</v>
      </c>
      <c r="C12520" s="74" t="s">
        <v>421</v>
      </c>
    </row>
    <row r="12521" spans="1:3">
      <c r="A12521" s="250">
        <v>30152</v>
      </c>
      <c r="B12521" s="74" t="s">
        <v>7891</v>
      </c>
      <c r="C12521" s="74" t="s">
        <v>421</v>
      </c>
    </row>
    <row r="12522" spans="1:3">
      <c r="A12522" s="250">
        <v>30153</v>
      </c>
      <c r="B12522" s="74" t="s">
        <v>7895</v>
      </c>
      <c r="C12522" s="74" t="s">
        <v>421</v>
      </c>
    </row>
    <row r="12523" spans="1:3">
      <c r="A12523" s="250">
        <v>30154</v>
      </c>
      <c r="B12523" s="74" t="s">
        <v>7888</v>
      </c>
      <c r="C12523" s="74" t="s">
        <v>421</v>
      </c>
    </row>
    <row r="12524" spans="1:3">
      <c r="A12524" s="250">
        <v>30156</v>
      </c>
      <c r="B12524" s="74" t="s">
        <v>7891</v>
      </c>
      <c r="C12524" s="74" t="s">
        <v>421</v>
      </c>
    </row>
    <row r="12525" spans="1:3">
      <c r="A12525" s="250">
        <v>30157</v>
      </c>
      <c r="B12525" s="74" t="s">
        <v>5199</v>
      </c>
      <c r="C12525" s="74" t="s">
        <v>421</v>
      </c>
    </row>
    <row r="12526" spans="1:3">
      <c r="A12526" s="250">
        <v>30160</v>
      </c>
      <c r="B12526" s="74" t="s">
        <v>7891</v>
      </c>
      <c r="C12526" s="74" t="s">
        <v>421</v>
      </c>
    </row>
    <row r="12527" spans="1:3">
      <c r="A12527" s="250">
        <v>30161</v>
      </c>
      <c r="B12527" s="74" t="s">
        <v>3492</v>
      </c>
      <c r="C12527" s="74" t="s">
        <v>421</v>
      </c>
    </row>
    <row r="12528" spans="1:3">
      <c r="A12528" s="250">
        <v>30162</v>
      </c>
      <c r="B12528" s="74" t="s">
        <v>3492</v>
      </c>
      <c r="C12528" s="74" t="s">
        <v>421</v>
      </c>
    </row>
    <row r="12529" spans="1:3">
      <c r="A12529" s="250">
        <v>30163</v>
      </c>
      <c r="B12529" s="74" t="s">
        <v>3492</v>
      </c>
      <c r="C12529" s="74" t="s">
        <v>421</v>
      </c>
    </row>
    <row r="12530" spans="1:3">
      <c r="A12530" s="250">
        <v>30164</v>
      </c>
      <c r="B12530" s="74" t="s">
        <v>3492</v>
      </c>
      <c r="C12530" s="74" t="s">
        <v>421</v>
      </c>
    </row>
    <row r="12531" spans="1:3">
      <c r="A12531" s="250">
        <v>30165</v>
      </c>
      <c r="B12531" s="74" t="s">
        <v>3492</v>
      </c>
      <c r="C12531" s="74" t="s">
        <v>421</v>
      </c>
    </row>
    <row r="12532" spans="1:3">
      <c r="A12532" s="250">
        <v>30168</v>
      </c>
      <c r="B12532" s="74" t="s">
        <v>7877</v>
      </c>
      <c r="C12532" s="74" t="s">
        <v>421</v>
      </c>
    </row>
    <row r="12533" spans="1:3">
      <c r="A12533" s="250">
        <v>30169</v>
      </c>
      <c r="B12533" s="74" t="s">
        <v>866</v>
      </c>
      <c r="C12533" s="74" t="s">
        <v>421</v>
      </c>
    </row>
    <row r="12534" spans="1:3">
      <c r="A12534" s="250">
        <v>30170</v>
      </c>
      <c r="B12534" s="74" t="s">
        <v>7896</v>
      </c>
      <c r="C12534" s="74" t="s">
        <v>421</v>
      </c>
    </row>
    <row r="12535" spans="1:3">
      <c r="A12535" s="250">
        <v>30171</v>
      </c>
      <c r="B12535" s="74" t="s">
        <v>7897</v>
      </c>
      <c r="C12535" s="74" t="s">
        <v>421</v>
      </c>
    </row>
    <row r="12536" spans="1:3">
      <c r="A12536" s="250">
        <v>30172</v>
      </c>
      <c r="B12536" s="74" t="s">
        <v>7380</v>
      </c>
      <c r="C12536" s="74" t="s">
        <v>421</v>
      </c>
    </row>
    <row r="12537" spans="1:3">
      <c r="A12537" s="250">
        <v>30173</v>
      </c>
      <c r="B12537" s="74" t="s">
        <v>3735</v>
      </c>
      <c r="C12537" s="74" t="s">
        <v>421</v>
      </c>
    </row>
    <row r="12538" spans="1:3">
      <c r="A12538" s="250">
        <v>30175</v>
      </c>
      <c r="B12538" s="74" t="s">
        <v>7898</v>
      </c>
      <c r="C12538" s="74" t="s">
        <v>421</v>
      </c>
    </row>
    <row r="12539" spans="1:3">
      <c r="A12539" s="250">
        <v>30176</v>
      </c>
      <c r="B12539" s="74" t="s">
        <v>7899</v>
      </c>
      <c r="C12539" s="74" t="s">
        <v>421</v>
      </c>
    </row>
    <row r="12540" spans="1:3">
      <c r="A12540" s="250">
        <v>30177</v>
      </c>
      <c r="B12540" s="74" t="s">
        <v>7900</v>
      </c>
      <c r="C12540" s="74" t="s">
        <v>421</v>
      </c>
    </row>
    <row r="12541" spans="1:3">
      <c r="A12541" s="250">
        <v>30178</v>
      </c>
      <c r="B12541" s="74" t="s">
        <v>7516</v>
      </c>
      <c r="C12541" s="74" t="s">
        <v>421</v>
      </c>
    </row>
    <row r="12542" spans="1:3">
      <c r="A12542" s="250">
        <v>30179</v>
      </c>
      <c r="B12542" s="74" t="s">
        <v>1172</v>
      </c>
      <c r="C12542" s="74" t="s">
        <v>421</v>
      </c>
    </row>
    <row r="12543" spans="1:3">
      <c r="A12543" s="250">
        <v>30180</v>
      </c>
      <c r="B12543" s="74" t="s">
        <v>7901</v>
      </c>
      <c r="C12543" s="74" t="s">
        <v>421</v>
      </c>
    </row>
    <row r="12544" spans="1:3">
      <c r="A12544" s="250">
        <v>30182</v>
      </c>
      <c r="B12544" s="74" t="s">
        <v>7341</v>
      </c>
      <c r="C12544" s="74" t="s">
        <v>421</v>
      </c>
    </row>
    <row r="12545" spans="1:3">
      <c r="A12545" s="250">
        <v>30183</v>
      </c>
      <c r="B12545" s="74" t="s">
        <v>7902</v>
      </c>
      <c r="C12545" s="74" t="s">
        <v>421</v>
      </c>
    </row>
    <row r="12546" spans="1:3">
      <c r="A12546" s="250">
        <v>30184</v>
      </c>
      <c r="B12546" s="74" t="s">
        <v>4152</v>
      </c>
      <c r="C12546" s="74" t="s">
        <v>421</v>
      </c>
    </row>
    <row r="12547" spans="1:3">
      <c r="A12547" s="250">
        <v>30185</v>
      </c>
      <c r="B12547" s="74" t="s">
        <v>7903</v>
      </c>
      <c r="C12547" s="74" t="s">
        <v>421</v>
      </c>
    </row>
    <row r="12548" spans="1:3">
      <c r="A12548" s="250">
        <v>30187</v>
      </c>
      <c r="B12548" s="74" t="s">
        <v>7904</v>
      </c>
      <c r="C12548" s="74" t="s">
        <v>421</v>
      </c>
    </row>
    <row r="12549" spans="1:3">
      <c r="A12549" s="250">
        <v>30188</v>
      </c>
      <c r="B12549" s="74" t="s">
        <v>1223</v>
      </c>
      <c r="C12549" s="74" t="s">
        <v>421</v>
      </c>
    </row>
    <row r="12550" spans="1:3">
      <c r="A12550" s="250">
        <v>30189</v>
      </c>
      <c r="B12550" s="74" t="s">
        <v>1223</v>
      </c>
      <c r="C12550" s="74" t="s">
        <v>421</v>
      </c>
    </row>
    <row r="12551" spans="1:3">
      <c r="A12551" s="250">
        <v>30204</v>
      </c>
      <c r="B12551" s="74" t="s">
        <v>5080</v>
      </c>
      <c r="C12551" s="74" t="s">
        <v>421</v>
      </c>
    </row>
    <row r="12552" spans="1:3">
      <c r="A12552" s="250">
        <v>30205</v>
      </c>
      <c r="B12552" s="74" t="s">
        <v>1683</v>
      </c>
      <c r="C12552" s="74" t="s">
        <v>421</v>
      </c>
    </row>
    <row r="12553" spans="1:3">
      <c r="A12553" s="250">
        <v>30206</v>
      </c>
      <c r="B12553" s="74" t="s">
        <v>787</v>
      </c>
      <c r="C12553" s="74" t="s">
        <v>421</v>
      </c>
    </row>
    <row r="12554" spans="1:3">
      <c r="A12554" s="250">
        <v>30212</v>
      </c>
      <c r="B12554" s="74" t="s">
        <v>7905</v>
      </c>
      <c r="C12554" s="74" t="s">
        <v>421</v>
      </c>
    </row>
    <row r="12555" spans="1:3">
      <c r="A12555" s="250">
        <v>30213</v>
      </c>
      <c r="B12555" s="74" t="s">
        <v>7906</v>
      </c>
      <c r="C12555" s="74" t="s">
        <v>421</v>
      </c>
    </row>
    <row r="12556" spans="1:3">
      <c r="A12556" s="250">
        <v>30214</v>
      </c>
      <c r="B12556" s="74" t="s">
        <v>3363</v>
      </c>
      <c r="C12556" s="74" t="s">
        <v>421</v>
      </c>
    </row>
    <row r="12557" spans="1:3">
      <c r="A12557" s="250">
        <v>30215</v>
      </c>
      <c r="B12557" s="74" t="s">
        <v>3363</v>
      </c>
      <c r="C12557" s="74" t="s">
        <v>421</v>
      </c>
    </row>
    <row r="12558" spans="1:3">
      <c r="A12558" s="250">
        <v>30216</v>
      </c>
      <c r="B12558" s="74" t="s">
        <v>7907</v>
      </c>
      <c r="C12558" s="74" t="s">
        <v>421</v>
      </c>
    </row>
    <row r="12559" spans="1:3">
      <c r="A12559" s="250">
        <v>30217</v>
      </c>
      <c r="B12559" s="74" t="s">
        <v>873</v>
      </c>
      <c r="C12559" s="74" t="s">
        <v>421</v>
      </c>
    </row>
    <row r="12560" spans="1:3">
      <c r="A12560" s="250">
        <v>30218</v>
      </c>
      <c r="B12560" s="74" t="s">
        <v>6667</v>
      </c>
      <c r="C12560" s="74" t="s">
        <v>421</v>
      </c>
    </row>
    <row r="12561" spans="1:3">
      <c r="A12561" s="250">
        <v>30219</v>
      </c>
      <c r="B12561" s="74" t="s">
        <v>7908</v>
      </c>
      <c r="C12561" s="74" t="s">
        <v>421</v>
      </c>
    </row>
    <row r="12562" spans="1:3">
      <c r="A12562" s="250">
        <v>30220</v>
      </c>
      <c r="B12562" s="74" t="s">
        <v>4705</v>
      </c>
      <c r="C12562" s="74" t="s">
        <v>421</v>
      </c>
    </row>
    <row r="12563" spans="1:3">
      <c r="A12563" s="250">
        <v>30222</v>
      </c>
      <c r="B12563" s="74" t="s">
        <v>1108</v>
      </c>
      <c r="C12563" s="74" t="s">
        <v>421</v>
      </c>
    </row>
    <row r="12564" spans="1:3">
      <c r="A12564" s="250">
        <v>30223</v>
      </c>
      <c r="B12564" s="74" t="s">
        <v>7909</v>
      </c>
      <c r="C12564" s="74" t="s">
        <v>421</v>
      </c>
    </row>
    <row r="12565" spans="1:3">
      <c r="A12565" s="250">
        <v>30224</v>
      </c>
      <c r="B12565" s="74" t="s">
        <v>7909</v>
      </c>
      <c r="C12565" s="74" t="s">
        <v>421</v>
      </c>
    </row>
    <row r="12566" spans="1:3">
      <c r="A12566" s="250">
        <v>30228</v>
      </c>
      <c r="B12566" s="74" t="s">
        <v>1315</v>
      </c>
      <c r="C12566" s="74" t="s">
        <v>421</v>
      </c>
    </row>
    <row r="12567" spans="1:3">
      <c r="A12567" s="250">
        <v>30229</v>
      </c>
      <c r="B12567" s="74" t="s">
        <v>7910</v>
      </c>
      <c r="C12567" s="74" t="s">
        <v>421</v>
      </c>
    </row>
    <row r="12568" spans="1:3">
      <c r="A12568" s="250">
        <v>30230</v>
      </c>
      <c r="B12568" s="74" t="s">
        <v>7911</v>
      </c>
      <c r="C12568" s="74" t="s">
        <v>421</v>
      </c>
    </row>
    <row r="12569" spans="1:3">
      <c r="A12569" s="250">
        <v>30233</v>
      </c>
      <c r="B12569" s="74" t="s">
        <v>1318</v>
      </c>
      <c r="C12569" s="74" t="s">
        <v>421</v>
      </c>
    </row>
    <row r="12570" spans="1:3">
      <c r="A12570" s="250">
        <v>30234</v>
      </c>
      <c r="B12570" s="74" t="s">
        <v>7912</v>
      </c>
      <c r="C12570" s="74" t="s">
        <v>421</v>
      </c>
    </row>
    <row r="12571" spans="1:3">
      <c r="A12571" s="250">
        <v>30236</v>
      </c>
      <c r="B12571" s="74" t="s">
        <v>1591</v>
      </c>
      <c r="C12571" s="74" t="s">
        <v>421</v>
      </c>
    </row>
    <row r="12572" spans="1:3">
      <c r="A12572" s="250">
        <v>30237</v>
      </c>
      <c r="B12572" s="74" t="s">
        <v>1591</v>
      </c>
      <c r="C12572" s="74" t="s">
        <v>421</v>
      </c>
    </row>
    <row r="12573" spans="1:3">
      <c r="A12573" s="250">
        <v>30238</v>
      </c>
      <c r="B12573" s="74" t="s">
        <v>1591</v>
      </c>
      <c r="C12573" s="74" t="s">
        <v>421</v>
      </c>
    </row>
    <row r="12574" spans="1:3">
      <c r="A12574" s="250">
        <v>30240</v>
      </c>
      <c r="B12574" s="74" t="s">
        <v>1511</v>
      </c>
      <c r="C12574" s="74" t="s">
        <v>421</v>
      </c>
    </row>
    <row r="12575" spans="1:3">
      <c r="A12575" s="250">
        <v>30241</v>
      </c>
      <c r="B12575" s="74" t="s">
        <v>1511</v>
      </c>
      <c r="C12575" s="74" t="s">
        <v>421</v>
      </c>
    </row>
    <row r="12576" spans="1:3">
      <c r="A12576" s="250">
        <v>30248</v>
      </c>
      <c r="B12576" s="74" t="s">
        <v>5905</v>
      </c>
      <c r="C12576" s="74" t="s">
        <v>421</v>
      </c>
    </row>
    <row r="12577" spans="1:3">
      <c r="A12577" s="250">
        <v>30250</v>
      </c>
      <c r="B12577" s="74" t="s">
        <v>7913</v>
      </c>
      <c r="C12577" s="74" t="s">
        <v>421</v>
      </c>
    </row>
    <row r="12578" spans="1:3">
      <c r="A12578" s="250">
        <v>30251</v>
      </c>
      <c r="B12578" s="74" t="s">
        <v>7914</v>
      </c>
      <c r="C12578" s="74" t="s">
        <v>421</v>
      </c>
    </row>
    <row r="12579" spans="1:3">
      <c r="A12579" s="250">
        <v>30252</v>
      </c>
      <c r="B12579" s="74" t="s">
        <v>7915</v>
      </c>
      <c r="C12579" s="74" t="s">
        <v>421</v>
      </c>
    </row>
    <row r="12580" spans="1:3">
      <c r="A12580" s="250">
        <v>30253</v>
      </c>
      <c r="B12580" s="74" t="s">
        <v>7915</v>
      </c>
      <c r="C12580" s="74" t="s">
        <v>421</v>
      </c>
    </row>
    <row r="12581" spans="1:3">
      <c r="A12581" s="250">
        <v>30256</v>
      </c>
      <c r="B12581" s="74" t="s">
        <v>7916</v>
      </c>
      <c r="C12581" s="74" t="s">
        <v>421</v>
      </c>
    </row>
    <row r="12582" spans="1:3">
      <c r="A12582" s="250">
        <v>30257</v>
      </c>
      <c r="B12582" s="74" t="s">
        <v>7917</v>
      </c>
      <c r="C12582" s="74" t="s">
        <v>421</v>
      </c>
    </row>
    <row r="12583" spans="1:3">
      <c r="A12583" s="250">
        <v>30258</v>
      </c>
      <c r="B12583" s="74" t="s">
        <v>7918</v>
      </c>
      <c r="C12583" s="74" t="s">
        <v>421</v>
      </c>
    </row>
    <row r="12584" spans="1:3">
      <c r="A12584" s="250">
        <v>30259</v>
      </c>
      <c r="B12584" s="74" t="s">
        <v>7919</v>
      </c>
      <c r="C12584" s="74" t="s">
        <v>421</v>
      </c>
    </row>
    <row r="12585" spans="1:3">
      <c r="A12585" s="250">
        <v>30260</v>
      </c>
      <c r="B12585" s="74" t="s">
        <v>7920</v>
      </c>
      <c r="C12585" s="74" t="s">
        <v>421</v>
      </c>
    </row>
    <row r="12586" spans="1:3">
      <c r="A12586" s="250">
        <v>30261</v>
      </c>
      <c r="B12586" s="74" t="s">
        <v>1511</v>
      </c>
      <c r="C12586" s="74" t="s">
        <v>421</v>
      </c>
    </row>
    <row r="12587" spans="1:3">
      <c r="A12587" s="250">
        <v>30263</v>
      </c>
      <c r="B12587" s="74" t="s">
        <v>7921</v>
      </c>
      <c r="C12587" s="74" t="s">
        <v>421</v>
      </c>
    </row>
    <row r="12588" spans="1:3">
      <c r="A12588" s="250">
        <v>30264</v>
      </c>
      <c r="B12588" s="74" t="s">
        <v>7921</v>
      </c>
      <c r="C12588" s="74" t="s">
        <v>421</v>
      </c>
    </row>
    <row r="12589" spans="1:3">
      <c r="A12589" s="250">
        <v>30265</v>
      </c>
      <c r="B12589" s="74" t="s">
        <v>7921</v>
      </c>
      <c r="C12589" s="74" t="s">
        <v>421</v>
      </c>
    </row>
    <row r="12590" spans="1:3">
      <c r="A12590" s="250">
        <v>30266</v>
      </c>
      <c r="B12590" s="74" t="s">
        <v>7922</v>
      </c>
      <c r="C12590" s="74" t="s">
        <v>421</v>
      </c>
    </row>
    <row r="12591" spans="1:3">
      <c r="A12591" s="250">
        <v>30268</v>
      </c>
      <c r="B12591" s="74" t="s">
        <v>7923</v>
      </c>
      <c r="C12591" s="74" t="s">
        <v>421</v>
      </c>
    </row>
    <row r="12592" spans="1:3">
      <c r="A12592" s="250">
        <v>30269</v>
      </c>
      <c r="B12592" s="74" t="s">
        <v>7924</v>
      </c>
      <c r="C12592" s="74" t="s">
        <v>421</v>
      </c>
    </row>
    <row r="12593" spans="1:3">
      <c r="A12593" s="250">
        <v>30270</v>
      </c>
      <c r="B12593" s="74" t="s">
        <v>7924</v>
      </c>
      <c r="C12593" s="74" t="s">
        <v>421</v>
      </c>
    </row>
    <row r="12594" spans="1:3">
      <c r="A12594" s="250">
        <v>30271</v>
      </c>
      <c r="B12594" s="74" t="s">
        <v>7921</v>
      </c>
      <c r="C12594" s="74" t="s">
        <v>421</v>
      </c>
    </row>
    <row r="12595" spans="1:3">
      <c r="A12595" s="250">
        <v>30272</v>
      </c>
      <c r="B12595" s="74" t="s">
        <v>6245</v>
      </c>
      <c r="C12595" s="74" t="s">
        <v>421</v>
      </c>
    </row>
    <row r="12596" spans="1:3">
      <c r="A12596" s="250">
        <v>30273</v>
      </c>
      <c r="B12596" s="74" t="s">
        <v>7375</v>
      </c>
      <c r="C12596" s="74" t="s">
        <v>421</v>
      </c>
    </row>
    <row r="12597" spans="1:3">
      <c r="A12597" s="250">
        <v>30274</v>
      </c>
      <c r="B12597" s="74" t="s">
        <v>2207</v>
      </c>
      <c r="C12597" s="74" t="s">
        <v>421</v>
      </c>
    </row>
    <row r="12598" spans="1:3">
      <c r="A12598" s="250">
        <v>30275</v>
      </c>
      <c r="B12598" s="74" t="s">
        <v>7925</v>
      </c>
      <c r="C12598" s="74" t="s">
        <v>421</v>
      </c>
    </row>
    <row r="12599" spans="1:3">
      <c r="A12599" s="250">
        <v>30276</v>
      </c>
      <c r="B12599" s="74" t="s">
        <v>7926</v>
      </c>
      <c r="C12599" s="74" t="s">
        <v>421</v>
      </c>
    </row>
    <row r="12600" spans="1:3">
      <c r="A12600" s="250">
        <v>30277</v>
      </c>
      <c r="B12600" s="74" t="s">
        <v>5818</v>
      </c>
      <c r="C12600" s="74" t="s">
        <v>421</v>
      </c>
    </row>
    <row r="12601" spans="1:3">
      <c r="A12601" s="250">
        <v>30281</v>
      </c>
      <c r="B12601" s="74" t="s">
        <v>665</v>
      </c>
      <c r="C12601" s="74" t="s">
        <v>421</v>
      </c>
    </row>
    <row r="12602" spans="1:3">
      <c r="A12602" s="250">
        <v>30284</v>
      </c>
      <c r="B12602" s="74" t="s">
        <v>7927</v>
      </c>
      <c r="C12602" s="74" t="s">
        <v>421</v>
      </c>
    </row>
    <row r="12603" spans="1:3">
      <c r="A12603" s="250">
        <v>30285</v>
      </c>
      <c r="B12603" s="74" t="s">
        <v>7928</v>
      </c>
      <c r="C12603" s="74" t="s">
        <v>421</v>
      </c>
    </row>
    <row r="12604" spans="1:3">
      <c r="A12604" s="250">
        <v>30286</v>
      </c>
      <c r="B12604" s="74" t="s">
        <v>1673</v>
      </c>
      <c r="C12604" s="74" t="s">
        <v>421</v>
      </c>
    </row>
    <row r="12605" spans="1:3">
      <c r="A12605" s="250">
        <v>30287</v>
      </c>
      <c r="B12605" s="74" t="s">
        <v>7920</v>
      </c>
      <c r="C12605" s="74" t="s">
        <v>421</v>
      </c>
    </row>
    <row r="12606" spans="1:3">
      <c r="A12606" s="250">
        <v>30288</v>
      </c>
      <c r="B12606" s="74" t="s">
        <v>7929</v>
      </c>
      <c r="C12606" s="74" t="s">
        <v>421</v>
      </c>
    </row>
    <row r="12607" spans="1:3">
      <c r="A12607" s="250">
        <v>30289</v>
      </c>
      <c r="B12607" s="74" t="s">
        <v>3508</v>
      </c>
      <c r="C12607" s="74" t="s">
        <v>421</v>
      </c>
    </row>
    <row r="12608" spans="1:3">
      <c r="A12608" s="250">
        <v>30290</v>
      </c>
      <c r="B12608" s="74" t="s">
        <v>3947</v>
      </c>
      <c r="C12608" s="74" t="s">
        <v>421</v>
      </c>
    </row>
    <row r="12609" spans="1:3">
      <c r="A12609" s="250">
        <v>30291</v>
      </c>
      <c r="B12609" s="74" t="s">
        <v>2166</v>
      </c>
      <c r="C12609" s="74" t="s">
        <v>421</v>
      </c>
    </row>
    <row r="12610" spans="1:3">
      <c r="A12610" s="250">
        <v>30292</v>
      </c>
      <c r="B12610" s="74" t="s">
        <v>3839</v>
      </c>
      <c r="C12610" s="74" t="s">
        <v>421</v>
      </c>
    </row>
    <row r="12611" spans="1:3">
      <c r="A12611" s="250">
        <v>30293</v>
      </c>
      <c r="B12611" s="74" t="s">
        <v>1861</v>
      </c>
      <c r="C12611" s="74" t="s">
        <v>421</v>
      </c>
    </row>
    <row r="12612" spans="1:3">
      <c r="A12612" s="250">
        <v>30294</v>
      </c>
      <c r="B12612" s="74" t="s">
        <v>7930</v>
      </c>
      <c r="C12612" s="74" t="s">
        <v>421</v>
      </c>
    </row>
    <row r="12613" spans="1:3">
      <c r="A12613" s="250">
        <v>30295</v>
      </c>
      <c r="B12613" s="74" t="s">
        <v>7176</v>
      </c>
      <c r="C12613" s="74" t="s">
        <v>421</v>
      </c>
    </row>
    <row r="12614" spans="1:3">
      <c r="A12614" s="250">
        <v>30296</v>
      </c>
      <c r="B12614" s="74" t="s">
        <v>2207</v>
      </c>
      <c r="C12614" s="74" t="s">
        <v>421</v>
      </c>
    </row>
    <row r="12615" spans="1:3">
      <c r="A12615" s="250">
        <v>30297</v>
      </c>
      <c r="B12615" s="74" t="s">
        <v>7931</v>
      </c>
      <c r="C12615" s="74" t="s">
        <v>421</v>
      </c>
    </row>
    <row r="12616" spans="1:3">
      <c r="A12616" s="250">
        <v>30298</v>
      </c>
      <c r="B12616" s="74" t="s">
        <v>7931</v>
      </c>
      <c r="C12616" s="74" t="s">
        <v>421</v>
      </c>
    </row>
    <row r="12617" spans="1:3">
      <c r="A12617" s="250">
        <v>30301</v>
      </c>
      <c r="B12617" s="74" t="s">
        <v>3895</v>
      </c>
      <c r="C12617" s="74" t="s">
        <v>421</v>
      </c>
    </row>
    <row r="12618" spans="1:3">
      <c r="A12618" s="250">
        <v>30302</v>
      </c>
      <c r="B12618" s="74" t="s">
        <v>3895</v>
      </c>
      <c r="C12618" s="74" t="s">
        <v>421</v>
      </c>
    </row>
    <row r="12619" spans="1:3">
      <c r="A12619" s="250">
        <v>30303</v>
      </c>
      <c r="B12619" s="74" t="s">
        <v>3895</v>
      </c>
      <c r="C12619" s="74" t="s">
        <v>421</v>
      </c>
    </row>
    <row r="12620" spans="1:3">
      <c r="A12620" s="250">
        <v>30304</v>
      </c>
      <c r="B12620" s="74" t="s">
        <v>3895</v>
      </c>
      <c r="C12620" s="74" t="s">
        <v>421</v>
      </c>
    </row>
    <row r="12621" spans="1:3">
      <c r="A12621" s="250">
        <v>30305</v>
      </c>
      <c r="B12621" s="74" t="s">
        <v>3895</v>
      </c>
      <c r="C12621" s="74" t="s">
        <v>421</v>
      </c>
    </row>
    <row r="12622" spans="1:3">
      <c r="A12622" s="250">
        <v>30306</v>
      </c>
      <c r="B12622" s="74" t="s">
        <v>3895</v>
      </c>
      <c r="C12622" s="74" t="s">
        <v>421</v>
      </c>
    </row>
    <row r="12623" spans="1:3">
      <c r="A12623" s="250">
        <v>30307</v>
      </c>
      <c r="B12623" s="74" t="s">
        <v>3895</v>
      </c>
      <c r="C12623" s="74" t="s">
        <v>421</v>
      </c>
    </row>
    <row r="12624" spans="1:3">
      <c r="A12624" s="250">
        <v>30308</v>
      </c>
      <c r="B12624" s="74" t="s">
        <v>3895</v>
      </c>
      <c r="C12624" s="74" t="s">
        <v>421</v>
      </c>
    </row>
    <row r="12625" spans="1:3">
      <c r="A12625" s="250">
        <v>30309</v>
      </c>
      <c r="B12625" s="74" t="s">
        <v>3895</v>
      </c>
      <c r="C12625" s="74" t="s">
        <v>421</v>
      </c>
    </row>
    <row r="12626" spans="1:3">
      <c r="A12626" s="250">
        <v>30310</v>
      </c>
      <c r="B12626" s="74" t="s">
        <v>3895</v>
      </c>
      <c r="C12626" s="74" t="s">
        <v>421</v>
      </c>
    </row>
    <row r="12627" spans="1:3">
      <c r="A12627" s="250">
        <v>30311</v>
      </c>
      <c r="B12627" s="74" t="s">
        <v>3895</v>
      </c>
      <c r="C12627" s="74" t="s">
        <v>421</v>
      </c>
    </row>
    <row r="12628" spans="1:3">
      <c r="A12628" s="250">
        <v>30312</v>
      </c>
      <c r="B12628" s="74" t="s">
        <v>3895</v>
      </c>
      <c r="C12628" s="74" t="s">
        <v>421</v>
      </c>
    </row>
    <row r="12629" spans="1:3">
      <c r="A12629" s="250">
        <v>30313</v>
      </c>
      <c r="B12629" s="74" t="s">
        <v>3895</v>
      </c>
      <c r="C12629" s="74" t="s">
        <v>421</v>
      </c>
    </row>
    <row r="12630" spans="1:3">
      <c r="A12630" s="250">
        <v>30314</v>
      </c>
      <c r="B12630" s="74" t="s">
        <v>3895</v>
      </c>
      <c r="C12630" s="74" t="s">
        <v>421</v>
      </c>
    </row>
    <row r="12631" spans="1:3">
      <c r="A12631" s="250">
        <v>30315</v>
      </c>
      <c r="B12631" s="74" t="s">
        <v>3895</v>
      </c>
      <c r="C12631" s="74" t="s">
        <v>421</v>
      </c>
    </row>
    <row r="12632" spans="1:3">
      <c r="A12632" s="250">
        <v>30316</v>
      </c>
      <c r="B12632" s="74" t="s">
        <v>3895</v>
      </c>
      <c r="C12632" s="74" t="s">
        <v>421</v>
      </c>
    </row>
    <row r="12633" spans="1:3">
      <c r="A12633" s="250">
        <v>30317</v>
      </c>
      <c r="B12633" s="74" t="s">
        <v>3895</v>
      </c>
      <c r="C12633" s="74" t="s">
        <v>421</v>
      </c>
    </row>
    <row r="12634" spans="1:3">
      <c r="A12634" s="250">
        <v>30318</v>
      </c>
      <c r="B12634" s="74" t="s">
        <v>3895</v>
      </c>
      <c r="C12634" s="74" t="s">
        <v>421</v>
      </c>
    </row>
    <row r="12635" spans="1:3">
      <c r="A12635" s="250">
        <v>30319</v>
      </c>
      <c r="B12635" s="74" t="s">
        <v>3895</v>
      </c>
      <c r="C12635" s="74" t="s">
        <v>421</v>
      </c>
    </row>
    <row r="12636" spans="1:3">
      <c r="A12636" s="250">
        <v>30320</v>
      </c>
      <c r="B12636" s="74" t="s">
        <v>3895</v>
      </c>
      <c r="C12636" s="74" t="s">
        <v>421</v>
      </c>
    </row>
    <row r="12637" spans="1:3">
      <c r="A12637" s="250">
        <v>30321</v>
      </c>
      <c r="B12637" s="74" t="s">
        <v>3895</v>
      </c>
      <c r="C12637" s="74" t="s">
        <v>421</v>
      </c>
    </row>
    <row r="12638" spans="1:3">
      <c r="A12638" s="250">
        <v>30322</v>
      </c>
      <c r="B12638" s="74" t="s">
        <v>3895</v>
      </c>
      <c r="C12638" s="74" t="s">
        <v>421</v>
      </c>
    </row>
    <row r="12639" spans="1:3">
      <c r="A12639" s="250">
        <v>30324</v>
      </c>
      <c r="B12639" s="74" t="s">
        <v>3895</v>
      </c>
      <c r="C12639" s="74" t="s">
        <v>421</v>
      </c>
    </row>
    <row r="12640" spans="1:3">
      <c r="A12640" s="250">
        <v>30325</v>
      </c>
      <c r="B12640" s="74" t="s">
        <v>3895</v>
      </c>
      <c r="C12640" s="74" t="s">
        <v>421</v>
      </c>
    </row>
    <row r="12641" spans="1:3">
      <c r="A12641" s="250">
        <v>30326</v>
      </c>
      <c r="B12641" s="74" t="s">
        <v>3895</v>
      </c>
      <c r="C12641" s="74" t="s">
        <v>421</v>
      </c>
    </row>
    <row r="12642" spans="1:3">
      <c r="A12642" s="250">
        <v>30327</v>
      </c>
      <c r="B12642" s="74" t="s">
        <v>3895</v>
      </c>
      <c r="C12642" s="74" t="s">
        <v>421</v>
      </c>
    </row>
    <row r="12643" spans="1:3">
      <c r="A12643" s="250">
        <v>30328</v>
      </c>
      <c r="B12643" s="74" t="s">
        <v>3895</v>
      </c>
      <c r="C12643" s="74" t="s">
        <v>421</v>
      </c>
    </row>
    <row r="12644" spans="1:3">
      <c r="A12644" s="250">
        <v>30329</v>
      </c>
      <c r="B12644" s="74" t="s">
        <v>3895</v>
      </c>
      <c r="C12644" s="74" t="s">
        <v>421</v>
      </c>
    </row>
    <row r="12645" spans="1:3">
      <c r="A12645" s="250">
        <v>30330</v>
      </c>
      <c r="B12645" s="74" t="s">
        <v>3895</v>
      </c>
      <c r="C12645" s="74" t="s">
        <v>421</v>
      </c>
    </row>
    <row r="12646" spans="1:3">
      <c r="A12646" s="250">
        <v>30331</v>
      </c>
      <c r="B12646" s="74" t="s">
        <v>3895</v>
      </c>
      <c r="C12646" s="74" t="s">
        <v>421</v>
      </c>
    </row>
    <row r="12647" spans="1:3">
      <c r="A12647" s="250">
        <v>30332</v>
      </c>
      <c r="B12647" s="74" t="s">
        <v>3895</v>
      </c>
      <c r="C12647" s="74" t="s">
        <v>421</v>
      </c>
    </row>
    <row r="12648" spans="1:3">
      <c r="A12648" s="250">
        <v>30333</v>
      </c>
      <c r="B12648" s="74" t="s">
        <v>3895</v>
      </c>
      <c r="C12648" s="74" t="s">
        <v>421</v>
      </c>
    </row>
    <row r="12649" spans="1:3">
      <c r="A12649" s="250">
        <v>30334</v>
      </c>
      <c r="B12649" s="74" t="s">
        <v>3895</v>
      </c>
      <c r="C12649" s="74" t="s">
        <v>421</v>
      </c>
    </row>
    <row r="12650" spans="1:3">
      <c r="A12650" s="250">
        <v>30336</v>
      </c>
      <c r="B12650" s="74" t="s">
        <v>3895</v>
      </c>
      <c r="C12650" s="74" t="s">
        <v>421</v>
      </c>
    </row>
    <row r="12651" spans="1:3">
      <c r="A12651" s="250">
        <v>30337</v>
      </c>
      <c r="B12651" s="74" t="s">
        <v>3895</v>
      </c>
      <c r="C12651" s="74" t="s">
        <v>421</v>
      </c>
    </row>
    <row r="12652" spans="1:3">
      <c r="A12652" s="250">
        <v>30338</v>
      </c>
      <c r="B12652" s="74" t="s">
        <v>3895</v>
      </c>
      <c r="C12652" s="74" t="s">
        <v>421</v>
      </c>
    </row>
    <row r="12653" spans="1:3">
      <c r="A12653" s="250">
        <v>30339</v>
      </c>
      <c r="B12653" s="74" t="s">
        <v>3895</v>
      </c>
      <c r="C12653" s="74" t="s">
        <v>421</v>
      </c>
    </row>
    <row r="12654" spans="1:3">
      <c r="A12654" s="250">
        <v>30340</v>
      </c>
      <c r="B12654" s="74" t="s">
        <v>3895</v>
      </c>
      <c r="C12654" s="74" t="s">
        <v>421</v>
      </c>
    </row>
    <row r="12655" spans="1:3">
      <c r="A12655" s="250">
        <v>30341</v>
      </c>
      <c r="B12655" s="74" t="s">
        <v>3895</v>
      </c>
      <c r="C12655" s="74" t="s">
        <v>421</v>
      </c>
    </row>
    <row r="12656" spans="1:3">
      <c r="A12656" s="250">
        <v>30342</v>
      </c>
      <c r="B12656" s="74" t="s">
        <v>3895</v>
      </c>
      <c r="C12656" s="74" t="s">
        <v>421</v>
      </c>
    </row>
    <row r="12657" spans="1:3">
      <c r="A12657" s="250">
        <v>30343</v>
      </c>
      <c r="B12657" s="74" t="s">
        <v>3895</v>
      </c>
      <c r="C12657" s="74" t="s">
        <v>421</v>
      </c>
    </row>
    <row r="12658" spans="1:3">
      <c r="A12658" s="250">
        <v>30344</v>
      </c>
      <c r="B12658" s="74" t="s">
        <v>3895</v>
      </c>
      <c r="C12658" s="74" t="s">
        <v>421</v>
      </c>
    </row>
    <row r="12659" spans="1:3">
      <c r="A12659" s="250">
        <v>30345</v>
      </c>
      <c r="B12659" s="74" t="s">
        <v>3895</v>
      </c>
      <c r="C12659" s="74" t="s">
        <v>421</v>
      </c>
    </row>
    <row r="12660" spans="1:3">
      <c r="A12660" s="250">
        <v>30346</v>
      </c>
      <c r="B12660" s="74" t="s">
        <v>3895</v>
      </c>
      <c r="C12660" s="74" t="s">
        <v>421</v>
      </c>
    </row>
    <row r="12661" spans="1:3">
      <c r="A12661" s="250">
        <v>30347</v>
      </c>
      <c r="B12661" s="74" t="s">
        <v>3895</v>
      </c>
      <c r="C12661" s="74" t="s">
        <v>421</v>
      </c>
    </row>
    <row r="12662" spans="1:3">
      <c r="A12662" s="250">
        <v>30348</v>
      </c>
      <c r="B12662" s="74" t="s">
        <v>3895</v>
      </c>
      <c r="C12662" s="74" t="s">
        <v>421</v>
      </c>
    </row>
    <row r="12663" spans="1:3">
      <c r="A12663" s="250">
        <v>30349</v>
      </c>
      <c r="B12663" s="74" t="s">
        <v>3895</v>
      </c>
      <c r="C12663" s="74" t="s">
        <v>421</v>
      </c>
    </row>
    <row r="12664" spans="1:3">
      <c r="A12664" s="250">
        <v>30350</v>
      </c>
      <c r="B12664" s="74" t="s">
        <v>3895</v>
      </c>
      <c r="C12664" s="74" t="s">
        <v>421</v>
      </c>
    </row>
    <row r="12665" spans="1:3">
      <c r="A12665" s="250">
        <v>30353</v>
      </c>
      <c r="B12665" s="74" t="s">
        <v>3895</v>
      </c>
      <c r="C12665" s="74" t="s">
        <v>421</v>
      </c>
    </row>
    <row r="12666" spans="1:3">
      <c r="A12666" s="250">
        <v>30354</v>
      </c>
      <c r="B12666" s="74" t="s">
        <v>3895</v>
      </c>
      <c r="C12666" s="74" t="s">
        <v>421</v>
      </c>
    </row>
    <row r="12667" spans="1:3">
      <c r="A12667" s="250">
        <v>30355</v>
      </c>
      <c r="B12667" s="74" t="s">
        <v>3895</v>
      </c>
      <c r="C12667" s="74" t="s">
        <v>421</v>
      </c>
    </row>
    <row r="12668" spans="1:3">
      <c r="A12668" s="250">
        <v>30356</v>
      </c>
      <c r="B12668" s="74" t="s">
        <v>3895</v>
      </c>
      <c r="C12668" s="74" t="s">
        <v>421</v>
      </c>
    </row>
    <row r="12669" spans="1:3">
      <c r="A12669" s="250">
        <v>30357</v>
      </c>
      <c r="B12669" s="74" t="s">
        <v>3895</v>
      </c>
      <c r="C12669" s="74" t="s">
        <v>421</v>
      </c>
    </row>
    <row r="12670" spans="1:3">
      <c r="A12670" s="250">
        <v>30358</v>
      </c>
      <c r="B12670" s="74" t="s">
        <v>3895</v>
      </c>
      <c r="C12670" s="74" t="s">
        <v>421</v>
      </c>
    </row>
    <row r="12671" spans="1:3">
      <c r="A12671" s="250">
        <v>30359</v>
      </c>
      <c r="B12671" s="74" t="s">
        <v>3895</v>
      </c>
      <c r="C12671" s="74" t="s">
        <v>421</v>
      </c>
    </row>
    <row r="12672" spans="1:3">
      <c r="A12672" s="250">
        <v>30360</v>
      </c>
      <c r="B12672" s="74" t="s">
        <v>3895</v>
      </c>
      <c r="C12672" s="74" t="s">
        <v>421</v>
      </c>
    </row>
    <row r="12673" spans="1:3">
      <c r="A12673" s="250">
        <v>30361</v>
      </c>
      <c r="B12673" s="74" t="s">
        <v>3895</v>
      </c>
      <c r="C12673" s="74" t="s">
        <v>421</v>
      </c>
    </row>
    <row r="12674" spans="1:3">
      <c r="A12674" s="250">
        <v>30362</v>
      </c>
      <c r="B12674" s="74" t="s">
        <v>3895</v>
      </c>
      <c r="C12674" s="74" t="s">
        <v>421</v>
      </c>
    </row>
    <row r="12675" spans="1:3">
      <c r="A12675" s="250">
        <v>30363</v>
      </c>
      <c r="B12675" s="74" t="s">
        <v>3895</v>
      </c>
      <c r="C12675" s="74" t="s">
        <v>421</v>
      </c>
    </row>
    <row r="12676" spans="1:3">
      <c r="A12676" s="250">
        <v>30364</v>
      </c>
      <c r="B12676" s="74" t="s">
        <v>3895</v>
      </c>
      <c r="C12676" s="74" t="s">
        <v>421</v>
      </c>
    </row>
    <row r="12677" spans="1:3">
      <c r="A12677" s="250">
        <v>30366</v>
      </c>
      <c r="B12677" s="74" t="s">
        <v>3895</v>
      </c>
      <c r="C12677" s="74" t="s">
        <v>421</v>
      </c>
    </row>
    <row r="12678" spans="1:3">
      <c r="A12678" s="250">
        <v>30368</v>
      </c>
      <c r="B12678" s="74" t="s">
        <v>3895</v>
      </c>
      <c r="C12678" s="74" t="s">
        <v>421</v>
      </c>
    </row>
    <row r="12679" spans="1:3">
      <c r="A12679" s="250">
        <v>30369</v>
      </c>
      <c r="B12679" s="74" t="s">
        <v>3895</v>
      </c>
      <c r="C12679" s="74" t="s">
        <v>421</v>
      </c>
    </row>
    <row r="12680" spans="1:3">
      <c r="A12680" s="250">
        <v>30370</v>
      </c>
      <c r="B12680" s="74" t="s">
        <v>3895</v>
      </c>
      <c r="C12680" s="74" t="s">
        <v>421</v>
      </c>
    </row>
    <row r="12681" spans="1:3">
      <c r="A12681" s="250">
        <v>30371</v>
      </c>
      <c r="B12681" s="74" t="s">
        <v>3895</v>
      </c>
      <c r="C12681" s="74" t="s">
        <v>421</v>
      </c>
    </row>
    <row r="12682" spans="1:3">
      <c r="A12682" s="250">
        <v>30374</v>
      </c>
      <c r="B12682" s="74" t="s">
        <v>3895</v>
      </c>
      <c r="C12682" s="74" t="s">
        <v>421</v>
      </c>
    </row>
    <row r="12683" spans="1:3">
      <c r="A12683" s="250">
        <v>30375</v>
      </c>
      <c r="B12683" s="74" t="s">
        <v>3895</v>
      </c>
      <c r="C12683" s="74" t="s">
        <v>421</v>
      </c>
    </row>
    <row r="12684" spans="1:3">
      <c r="A12684" s="250">
        <v>30376</v>
      </c>
      <c r="B12684" s="74" t="s">
        <v>3895</v>
      </c>
      <c r="C12684" s="74" t="s">
        <v>421</v>
      </c>
    </row>
    <row r="12685" spans="1:3">
      <c r="A12685" s="250">
        <v>30377</v>
      </c>
      <c r="B12685" s="74" t="s">
        <v>3895</v>
      </c>
      <c r="C12685" s="74" t="s">
        <v>421</v>
      </c>
    </row>
    <row r="12686" spans="1:3">
      <c r="A12686" s="250">
        <v>30378</v>
      </c>
      <c r="B12686" s="74" t="s">
        <v>3895</v>
      </c>
      <c r="C12686" s="74" t="s">
        <v>421</v>
      </c>
    </row>
    <row r="12687" spans="1:3">
      <c r="A12687" s="250">
        <v>30379</v>
      </c>
      <c r="B12687" s="74" t="s">
        <v>3895</v>
      </c>
      <c r="C12687" s="74" t="s">
        <v>421</v>
      </c>
    </row>
    <row r="12688" spans="1:3">
      <c r="A12688" s="250">
        <v>30380</v>
      </c>
      <c r="B12688" s="74" t="s">
        <v>3895</v>
      </c>
      <c r="C12688" s="74" t="s">
        <v>421</v>
      </c>
    </row>
    <row r="12689" spans="1:3">
      <c r="A12689" s="250">
        <v>30384</v>
      </c>
      <c r="B12689" s="74" t="s">
        <v>3895</v>
      </c>
      <c r="C12689" s="74" t="s">
        <v>421</v>
      </c>
    </row>
    <row r="12690" spans="1:3">
      <c r="A12690" s="250">
        <v>30385</v>
      </c>
      <c r="B12690" s="74" t="s">
        <v>3895</v>
      </c>
      <c r="C12690" s="74" t="s">
        <v>421</v>
      </c>
    </row>
    <row r="12691" spans="1:3">
      <c r="A12691" s="250">
        <v>30386</v>
      </c>
      <c r="B12691" s="74" t="s">
        <v>3895</v>
      </c>
      <c r="C12691" s="74" t="s">
        <v>421</v>
      </c>
    </row>
    <row r="12692" spans="1:3">
      <c r="A12692" s="250">
        <v>30387</v>
      </c>
      <c r="B12692" s="74" t="s">
        <v>3895</v>
      </c>
      <c r="C12692" s="74" t="s">
        <v>421</v>
      </c>
    </row>
    <row r="12693" spans="1:3">
      <c r="A12693" s="250">
        <v>30388</v>
      </c>
      <c r="B12693" s="74" t="s">
        <v>3895</v>
      </c>
      <c r="C12693" s="74" t="s">
        <v>421</v>
      </c>
    </row>
    <row r="12694" spans="1:3">
      <c r="A12694" s="250">
        <v>30389</v>
      </c>
      <c r="B12694" s="74" t="s">
        <v>3895</v>
      </c>
      <c r="C12694" s="74" t="s">
        <v>421</v>
      </c>
    </row>
    <row r="12695" spans="1:3">
      <c r="A12695" s="250">
        <v>30390</v>
      </c>
      <c r="B12695" s="74" t="s">
        <v>3895</v>
      </c>
      <c r="C12695" s="74" t="s">
        <v>421</v>
      </c>
    </row>
    <row r="12696" spans="1:3">
      <c r="A12696" s="250">
        <v>30392</v>
      </c>
      <c r="B12696" s="74" t="s">
        <v>3895</v>
      </c>
      <c r="C12696" s="74" t="s">
        <v>421</v>
      </c>
    </row>
    <row r="12697" spans="1:3">
      <c r="A12697" s="250">
        <v>30394</v>
      </c>
      <c r="B12697" s="74" t="s">
        <v>3895</v>
      </c>
      <c r="C12697" s="74" t="s">
        <v>421</v>
      </c>
    </row>
    <row r="12698" spans="1:3">
      <c r="A12698" s="250">
        <v>30396</v>
      </c>
      <c r="B12698" s="74" t="s">
        <v>3895</v>
      </c>
      <c r="C12698" s="74" t="s">
        <v>421</v>
      </c>
    </row>
    <row r="12699" spans="1:3">
      <c r="A12699" s="250">
        <v>30398</v>
      </c>
      <c r="B12699" s="74" t="s">
        <v>3895</v>
      </c>
      <c r="C12699" s="74" t="s">
        <v>421</v>
      </c>
    </row>
    <row r="12700" spans="1:3">
      <c r="A12700" s="250">
        <v>30399</v>
      </c>
      <c r="B12700" s="74" t="s">
        <v>3895</v>
      </c>
      <c r="C12700" s="74" t="s">
        <v>421</v>
      </c>
    </row>
    <row r="12701" spans="1:3">
      <c r="A12701" s="250">
        <v>30401</v>
      </c>
      <c r="B12701" s="74" t="s">
        <v>7932</v>
      </c>
      <c r="C12701" s="74" t="s">
        <v>421</v>
      </c>
    </row>
    <row r="12702" spans="1:3">
      <c r="A12702" s="250">
        <v>30410</v>
      </c>
      <c r="B12702" s="74" t="s">
        <v>7933</v>
      </c>
      <c r="C12702" s="74" t="s">
        <v>421</v>
      </c>
    </row>
    <row r="12703" spans="1:3">
      <c r="A12703" s="250">
        <v>30411</v>
      </c>
      <c r="B12703" s="74" t="s">
        <v>7934</v>
      </c>
      <c r="C12703" s="74" t="s">
        <v>421</v>
      </c>
    </row>
    <row r="12704" spans="1:3">
      <c r="A12704" s="250">
        <v>30412</v>
      </c>
      <c r="B12704" s="74" t="s">
        <v>7935</v>
      </c>
      <c r="C12704" s="74" t="s">
        <v>421</v>
      </c>
    </row>
    <row r="12705" spans="1:3">
      <c r="A12705" s="250">
        <v>30413</v>
      </c>
      <c r="B12705" s="74" t="s">
        <v>6547</v>
      </c>
      <c r="C12705" s="74" t="s">
        <v>421</v>
      </c>
    </row>
    <row r="12706" spans="1:3">
      <c r="A12706" s="250">
        <v>30414</v>
      </c>
      <c r="B12706" s="74" t="s">
        <v>7936</v>
      </c>
      <c r="C12706" s="74" t="s">
        <v>421</v>
      </c>
    </row>
    <row r="12707" spans="1:3">
      <c r="A12707" s="250">
        <v>30415</v>
      </c>
      <c r="B12707" s="74" t="s">
        <v>7937</v>
      </c>
      <c r="C12707" s="74" t="s">
        <v>421</v>
      </c>
    </row>
    <row r="12708" spans="1:3">
      <c r="A12708" s="250">
        <v>30417</v>
      </c>
      <c r="B12708" s="74" t="s">
        <v>7938</v>
      </c>
      <c r="C12708" s="74" t="s">
        <v>421</v>
      </c>
    </row>
    <row r="12709" spans="1:3">
      <c r="A12709" s="250">
        <v>30420</v>
      </c>
      <c r="B12709" s="74" t="s">
        <v>7939</v>
      </c>
      <c r="C12709" s="74" t="s">
        <v>421</v>
      </c>
    </row>
    <row r="12710" spans="1:3">
      <c r="A12710" s="250">
        <v>30421</v>
      </c>
      <c r="B12710" s="74" t="s">
        <v>3686</v>
      </c>
      <c r="C12710" s="74" t="s">
        <v>421</v>
      </c>
    </row>
    <row r="12711" spans="1:3">
      <c r="A12711" s="250">
        <v>30423</v>
      </c>
      <c r="B12711" s="74" t="s">
        <v>7940</v>
      </c>
      <c r="C12711" s="74" t="s">
        <v>421</v>
      </c>
    </row>
    <row r="12712" spans="1:3">
      <c r="A12712" s="250">
        <v>30424</v>
      </c>
      <c r="B12712" s="74" t="s">
        <v>869</v>
      </c>
      <c r="C12712" s="74" t="s">
        <v>421</v>
      </c>
    </row>
    <row r="12713" spans="1:3">
      <c r="A12713" s="250">
        <v>30425</v>
      </c>
      <c r="B12713" s="74" t="s">
        <v>2125</v>
      </c>
      <c r="C12713" s="74" t="s">
        <v>421</v>
      </c>
    </row>
    <row r="12714" spans="1:3">
      <c r="A12714" s="250">
        <v>30426</v>
      </c>
      <c r="B12714" s="74" t="s">
        <v>4512</v>
      </c>
      <c r="C12714" s="74" t="s">
        <v>421</v>
      </c>
    </row>
    <row r="12715" spans="1:3">
      <c r="A12715" s="250">
        <v>30427</v>
      </c>
      <c r="B12715" s="74" t="s">
        <v>7941</v>
      </c>
      <c r="C12715" s="74" t="s">
        <v>421</v>
      </c>
    </row>
    <row r="12716" spans="1:3">
      <c r="A12716" s="250">
        <v>30428</v>
      </c>
      <c r="B12716" s="74" t="s">
        <v>2187</v>
      </c>
      <c r="C12716" s="74" t="s">
        <v>421</v>
      </c>
    </row>
    <row r="12717" spans="1:3">
      <c r="A12717" s="250">
        <v>30429</v>
      </c>
      <c r="B12717" s="74" t="s">
        <v>7942</v>
      </c>
      <c r="C12717" s="74" t="s">
        <v>421</v>
      </c>
    </row>
    <row r="12718" spans="1:3">
      <c r="A12718" s="250">
        <v>30434</v>
      </c>
      <c r="B12718" s="74" t="s">
        <v>7943</v>
      </c>
      <c r="C12718" s="74" t="s">
        <v>421</v>
      </c>
    </row>
    <row r="12719" spans="1:3">
      <c r="A12719" s="250">
        <v>30436</v>
      </c>
      <c r="B12719" s="74" t="s">
        <v>2349</v>
      </c>
      <c r="C12719" s="74" t="s">
        <v>421</v>
      </c>
    </row>
    <row r="12720" spans="1:3">
      <c r="A12720" s="250">
        <v>30438</v>
      </c>
      <c r="B12720" s="74" t="s">
        <v>5515</v>
      </c>
      <c r="C12720" s="74" t="s">
        <v>421</v>
      </c>
    </row>
    <row r="12721" spans="1:3">
      <c r="A12721" s="250">
        <v>30439</v>
      </c>
      <c r="B12721" s="74" t="s">
        <v>7944</v>
      </c>
      <c r="C12721" s="74" t="s">
        <v>421</v>
      </c>
    </row>
    <row r="12722" spans="1:3">
      <c r="A12722" s="250">
        <v>30441</v>
      </c>
      <c r="B12722" s="74" t="s">
        <v>7945</v>
      </c>
      <c r="C12722" s="74" t="s">
        <v>421</v>
      </c>
    </row>
    <row r="12723" spans="1:3">
      <c r="A12723" s="250">
        <v>30442</v>
      </c>
      <c r="B12723" s="74" t="s">
        <v>7946</v>
      </c>
      <c r="C12723" s="74" t="s">
        <v>421</v>
      </c>
    </row>
    <row r="12724" spans="1:3">
      <c r="A12724" s="250">
        <v>30445</v>
      </c>
      <c r="B12724" s="74" t="s">
        <v>1481</v>
      </c>
      <c r="C12724" s="74" t="s">
        <v>421</v>
      </c>
    </row>
    <row r="12725" spans="1:3">
      <c r="A12725" s="250">
        <v>30446</v>
      </c>
      <c r="B12725" s="74" t="s">
        <v>1292</v>
      </c>
      <c r="C12725" s="74" t="s">
        <v>421</v>
      </c>
    </row>
    <row r="12726" spans="1:3">
      <c r="A12726" s="250">
        <v>30447</v>
      </c>
      <c r="B12726" s="74" t="s">
        <v>5404</v>
      </c>
      <c r="C12726" s="74" t="s">
        <v>421</v>
      </c>
    </row>
    <row r="12727" spans="1:3">
      <c r="A12727" s="250">
        <v>30448</v>
      </c>
      <c r="B12727" s="74" t="s">
        <v>7947</v>
      </c>
      <c r="C12727" s="74" t="s">
        <v>421</v>
      </c>
    </row>
    <row r="12728" spans="1:3">
      <c r="A12728" s="250">
        <v>30449</v>
      </c>
      <c r="B12728" s="74" t="s">
        <v>4138</v>
      </c>
      <c r="C12728" s="74" t="s">
        <v>421</v>
      </c>
    </row>
    <row r="12729" spans="1:3">
      <c r="A12729" s="250">
        <v>30450</v>
      </c>
      <c r="B12729" s="74" t="s">
        <v>7948</v>
      </c>
      <c r="C12729" s="74" t="s">
        <v>421</v>
      </c>
    </row>
    <row r="12730" spans="1:3">
      <c r="A12730" s="250">
        <v>30451</v>
      </c>
      <c r="B12730" s="74" t="s">
        <v>3408</v>
      </c>
      <c r="C12730" s="74" t="s">
        <v>421</v>
      </c>
    </row>
    <row r="12731" spans="1:3">
      <c r="A12731" s="250">
        <v>30452</v>
      </c>
      <c r="B12731" s="74" t="s">
        <v>7949</v>
      </c>
      <c r="C12731" s="74" t="s">
        <v>421</v>
      </c>
    </row>
    <row r="12732" spans="1:3">
      <c r="A12732" s="250">
        <v>30453</v>
      </c>
      <c r="B12732" s="74" t="s">
        <v>7114</v>
      </c>
      <c r="C12732" s="74" t="s">
        <v>421</v>
      </c>
    </row>
    <row r="12733" spans="1:3">
      <c r="A12733" s="250">
        <v>30454</v>
      </c>
      <c r="B12733" s="74" t="s">
        <v>7950</v>
      </c>
      <c r="C12733" s="74" t="s">
        <v>421</v>
      </c>
    </row>
    <row r="12734" spans="1:3">
      <c r="A12734" s="250">
        <v>30455</v>
      </c>
      <c r="B12734" s="74" t="s">
        <v>7951</v>
      </c>
      <c r="C12734" s="74" t="s">
        <v>421</v>
      </c>
    </row>
    <row r="12735" spans="1:3">
      <c r="A12735" s="250">
        <v>30456</v>
      </c>
      <c r="B12735" s="74" t="s">
        <v>7952</v>
      </c>
      <c r="C12735" s="74" t="s">
        <v>421</v>
      </c>
    </row>
    <row r="12736" spans="1:3">
      <c r="A12736" s="250">
        <v>30457</v>
      </c>
      <c r="B12736" s="74" t="s">
        <v>7953</v>
      </c>
      <c r="C12736" s="74" t="s">
        <v>421</v>
      </c>
    </row>
    <row r="12737" spans="1:3">
      <c r="A12737" s="250">
        <v>30458</v>
      </c>
      <c r="B12737" s="74" t="s">
        <v>7954</v>
      </c>
      <c r="C12737" s="74" t="s">
        <v>421</v>
      </c>
    </row>
    <row r="12738" spans="1:3">
      <c r="A12738" s="250">
        <v>30459</v>
      </c>
      <c r="B12738" s="74" t="s">
        <v>7954</v>
      </c>
      <c r="C12738" s="74" t="s">
        <v>421</v>
      </c>
    </row>
    <row r="12739" spans="1:3">
      <c r="A12739" s="250">
        <v>30460</v>
      </c>
      <c r="B12739" s="74" t="s">
        <v>7954</v>
      </c>
      <c r="C12739" s="74" t="s">
        <v>421</v>
      </c>
    </row>
    <row r="12740" spans="1:3">
      <c r="A12740" s="250">
        <v>30461</v>
      </c>
      <c r="B12740" s="74" t="s">
        <v>7954</v>
      </c>
      <c r="C12740" s="74" t="s">
        <v>421</v>
      </c>
    </row>
    <row r="12741" spans="1:3">
      <c r="A12741" s="250">
        <v>30464</v>
      </c>
      <c r="B12741" s="74" t="s">
        <v>7955</v>
      </c>
      <c r="C12741" s="74" t="s">
        <v>421</v>
      </c>
    </row>
    <row r="12742" spans="1:3">
      <c r="A12742" s="250">
        <v>30467</v>
      </c>
      <c r="B12742" s="74" t="s">
        <v>4684</v>
      </c>
      <c r="C12742" s="74" t="s">
        <v>421</v>
      </c>
    </row>
    <row r="12743" spans="1:3">
      <c r="A12743" s="250">
        <v>30470</v>
      </c>
      <c r="B12743" s="74" t="s">
        <v>2659</v>
      </c>
      <c r="C12743" s="74" t="s">
        <v>421</v>
      </c>
    </row>
    <row r="12744" spans="1:3">
      <c r="A12744" s="250">
        <v>30471</v>
      </c>
      <c r="B12744" s="74" t="s">
        <v>7956</v>
      </c>
      <c r="C12744" s="74" t="s">
        <v>421</v>
      </c>
    </row>
    <row r="12745" spans="1:3">
      <c r="A12745" s="250">
        <v>30473</v>
      </c>
      <c r="B12745" s="74" t="s">
        <v>7957</v>
      </c>
      <c r="C12745" s="74" t="s">
        <v>421</v>
      </c>
    </row>
    <row r="12746" spans="1:3">
      <c r="A12746" s="250">
        <v>30474</v>
      </c>
      <c r="B12746" s="74" t="s">
        <v>7958</v>
      </c>
      <c r="C12746" s="74" t="s">
        <v>421</v>
      </c>
    </row>
    <row r="12747" spans="1:3">
      <c r="A12747" s="250">
        <v>30475</v>
      </c>
      <c r="B12747" s="74" t="s">
        <v>7958</v>
      </c>
      <c r="C12747" s="74" t="s">
        <v>421</v>
      </c>
    </row>
    <row r="12748" spans="1:3">
      <c r="A12748" s="250">
        <v>30477</v>
      </c>
      <c r="B12748" s="74" t="s">
        <v>7959</v>
      </c>
      <c r="C12748" s="74" t="s">
        <v>421</v>
      </c>
    </row>
    <row r="12749" spans="1:3">
      <c r="A12749" s="250">
        <v>30499</v>
      </c>
      <c r="B12749" s="74" t="s">
        <v>7114</v>
      </c>
      <c r="C12749" s="74" t="s">
        <v>421</v>
      </c>
    </row>
    <row r="12750" spans="1:3">
      <c r="A12750" s="250">
        <v>30501</v>
      </c>
      <c r="B12750" s="74" t="s">
        <v>3707</v>
      </c>
      <c r="C12750" s="74" t="s">
        <v>421</v>
      </c>
    </row>
    <row r="12751" spans="1:3">
      <c r="A12751" s="250">
        <v>30502</v>
      </c>
      <c r="B12751" s="74" t="s">
        <v>7960</v>
      </c>
      <c r="C12751" s="74" t="s">
        <v>421</v>
      </c>
    </row>
    <row r="12752" spans="1:3">
      <c r="A12752" s="250">
        <v>30503</v>
      </c>
      <c r="B12752" s="74" t="s">
        <v>3707</v>
      </c>
      <c r="C12752" s="74" t="s">
        <v>421</v>
      </c>
    </row>
    <row r="12753" spans="1:3">
      <c r="A12753" s="250">
        <v>30504</v>
      </c>
      <c r="B12753" s="74" t="s">
        <v>3707</v>
      </c>
      <c r="C12753" s="74" t="s">
        <v>421</v>
      </c>
    </row>
    <row r="12754" spans="1:3">
      <c r="A12754" s="250">
        <v>30506</v>
      </c>
      <c r="B12754" s="74" t="s">
        <v>3707</v>
      </c>
      <c r="C12754" s="74" t="s">
        <v>421</v>
      </c>
    </row>
    <row r="12755" spans="1:3">
      <c r="A12755" s="250">
        <v>30507</v>
      </c>
      <c r="B12755" s="74" t="s">
        <v>3707</v>
      </c>
      <c r="C12755" s="74" t="s">
        <v>421</v>
      </c>
    </row>
    <row r="12756" spans="1:3">
      <c r="A12756" s="250">
        <v>30510</v>
      </c>
      <c r="B12756" s="74" t="s">
        <v>7961</v>
      </c>
      <c r="C12756" s="74" t="s">
        <v>421</v>
      </c>
    </row>
    <row r="12757" spans="1:3">
      <c r="A12757" s="250">
        <v>30511</v>
      </c>
      <c r="B12757" s="74" t="s">
        <v>2765</v>
      </c>
      <c r="C12757" s="74" t="s">
        <v>421</v>
      </c>
    </row>
    <row r="12758" spans="1:3">
      <c r="A12758" s="250">
        <v>30512</v>
      </c>
      <c r="B12758" s="74" t="s">
        <v>4263</v>
      </c>
      <c r="C12758" s="74" t="s">
        <v>421</v>
      </c>
    </row>
    <row r="12759" spans="1:3">
      <c r="A12759" s="250">
        <v>30513</v>
      </c>
      <c r="B12759" s="74" t="s">
        <v>6259</v>
      </c>
      <c r="C12759" s="74" t="s">
        <v>421</v>
      </c>
    </row>
    <row r="12760" spans="1:3">
      <c r="A12760" s="250">
        <v>30514</v>
      </c>
      <c r="B12760" s="74" t="s">
        <v>4263</v>
      </c>
      <c r="C12760" s="74" t="s">
        <v>421</v>
      </c>
    </row>
    <row r="12761" spans="1:3">
      <c r="A12761" s="250">
        <v>30515</v>
      </c>
      <c r="B12761" s="74" t="s">
        <v>7962</v>
      </c>
      <c r="C12761" s="74" t="s">
        <v>421</v>
      </c>
    </row>
    <row r="12762" spans="1:3">
      <c r="A12762" s="250">
        <v>30516</v>
      </c>
      <c r="B12762" s="74" t="s">
        <v>7963</v>
      </c>
      <c r="C12762" s="74" t="s">
        <v>421</v>
      </c>
    </row>
    <row r="12763" spans="1:3">
      <c r="A12763" s="250">
        <v>30517</v>
      </c>
      <c r="B12763" s="74" t="s">
        <v>7964</v>
      </c>
      <c r="C12763" s="74" t="s">
        <v>421</v>
      </c>
    </row>
    <row r="12764" spans="1:3">
      <c r="A12764" s="250">
        <v>30518</v>
      </c>
      <c r="B12764" s="74" t="s">
        <v>7962</v>
      </c>
      <c r="C12764" s="74" t="s">
        <v>421</v>
      </c>
    </row>
    <row r="12765" spans="1:3">
      <c r="A12765" s="250">
        <v>30519</v>
      </c>
      <c r="B12765" s="74" t="s">
        <v>7962</v>
      </c>
      <c r="C12765" s="74" t="s">
        <v>421</v>
      </c>
    </row>
    <row r="12766" spans="1:3">
      <c r="A12766" s="250">
        <v>30520</v>
      </c>
      <c r="B12766" s="74" t="s">
        <v>7965</v>
      </c>
      <c r="C12766" s="74" t="s">
        <v>421</v>
      </c>
    </row>
    <row r="12767" spans="1:3">
      <c r="A12767" s="250">
        <v>30521</v>
      </c>
      <c r="B12767" s="74" t="s">
        <v>7966</v>
      </c>
      <c r="C12767" s="74" t="s">
        <v>421</v>
      </c>
    </row>
    <row r="12768" spans="1:3">
      <c r="A12768" s="250">
        <v>30522</v>
      </c>
      <c r="B12768" s="74" t="s">
        <v>7967</v>
      </c>
      <c r="C12768" s="74" t="s">
        <v>421</v>
      </c>
    </row>
    <row r="12769" spans="1:3">
      <c r="A12769" s="250">
        <v>30523</v>
      </c>
      <c r="B12769" s="74" t="s">
        <v>7968</v>
      </c>
      <c r="C12769" s="74" t="s">
        <v>421</v>
      </c>
    </row>
    <row r="12770" spans="1:3">
      <c r="A12770" s="250">
        <v>30525</v>
      </c>
      <c r="B12770" s="74" t="s">
        <v>2476</v>
      </c>
      <c r="C12770" s="74" t="s">
        <v>421</v>
      </c>
    </row>
    <row r="12771" spans="1:3">
      <c r="A12771" s="250">
        <v>30527</v>
      </c>
      <c r="B12771" s="74" t="s">
        <v>7969</v>
      </c>
      <c r="C12771" s="74" t="s">
        <v>421</v>
      </c>
    </row>
    <row r="12772" spans="1:3">
      <c r="A12772" s="250">
        <v>30528</v>
      </c>
      <c r="B12772" s="74" t="s">
        <v>3350</v>
      </c>
      <c r="C12772" s="74" t="s">
        <v>421</v>
      </c>
    </row>
    <row r="12773" spans="1:3">
      <c r="A12773" s="250">
        <v>30529</v>
      </c>
      <c r="B12773" s="74" t="s">
        <v>7970</v>
      </c>
      <c r="C12773" s="74" t="s">
        <v>421</v>
      </c>
    </row>
    <row r="12774" spans="1:3">
      <c r="A12774" s="250">
        <v>30530</v>
      </c>
      <c r="B12774" s="74" t="s">
        <v>7970</v>
      </c>
      <c r="C12774" s="74" t="s">
        <v>421</v>
      </c>
    </row>
    <row r="12775" spans="1:3">
      <c r="A12775" s="250">
        <v>30531</v>
      </c>
      <c r="B12775" s="74" t="s">
        <v>7971</v>
      </c>
      <c r="C12775" s="74" t="s">
        <v>421</v>
      </c>
    </row>
    <row r="12776" spans="1:3">
      <c r="A12776" s="250">
        <v>30533</v>
      </c>
      <c r="B12776" s="74" t="s">
        <v>7972</v>
      </c>
      <c r="C12776" s="74" t="s">
        <v>421</v>
      </c>
    </row>
    <row r="12777" spans="1:3">
      <c r="A12777" s="250">
        <v>30534</v>
      </c>
      <c r="B12777" s="74" t="s">
        <v>7973</v>
      </c>
      <c r="C12777" s="74" t="s">
        <v>421</v>
      </c>
    </row>
    <row r="12778" spans="1:3">
      <c r="A12778" s="250">
        <v>30535</v>
      </c>
      <c r="B12778" s="74" t="s">
        <v>7974</v>
      </c>
      <c r="C12778" s="74" t="s">
        <v>421</v>
      </c>
    </row>
    <row r="12779" spans="1:3">
      <c r="A12779" s="250">
        <v>30536</v>
      </c>
      <c r="B12779" s="74" t="s">
        <v>7975</v>
      </c>
      <c r="C12779" s="74" t="s">
        <v>421</v>
      </c>
    </row>
    <row r="12780" spans="1:3">
      <c r="A12780" s="250">
        <v>30537</v>
      </c>
      <c r="B12780" s="74" t="s">
        <v>7976</v>
      </c>
      <c r="C12780" s="74" t="s">
        <v>421</v>
      </c>
    </row>
    <row r="12781" spans="1:3">
      <c r="A12781" s="250">
        <v>30538</v>
      </c>
      <c r="B12781" s="74" t="s">
        <v>7977</v>
      </c>
      <c r="C12781" s="74" t="s">
        <v>421</v>
      </c>
    </row>
    <row r="12782" spans="1:3">
      <c r="A12782" s="250">
        <v>30539</v>
      </c>
      <c r="B12782" s="74" t="s">
        <v>7978</v>
      </c>
      <c r="C12782" s="74" t="s">
        <v>421</v>
      </c>
    </row>
    <row r="12783" spans="1:3">
      <c r="A12783" s="250">
        <v>30540</v>
      </c>
      <c r="B12783" s="74" t="s">
        <v>7975</v>
      </c>
      <c r="C12783" s="74" t="s">
        <v>421</v>
      </c>
    </row>
    <row r="12784" spans="1:3">
      <c r="A12784" s="250">
        <v>30541</v>
      </c>
      <c r="B12784" s="74" t="s">
        <v>7979</v>
      </c>
      <c r="C12784" s="74" t="s">
        <v>421</v>
      </c>
    </row>
    <row r="12785" spans="1:3">
      <c r="A12785" s="250">
        <v>30542</v>
      </c>
      <c r="B12785" s="74" t="s">
        <v>7980</v>
      </c>
      <c r="C12785" s="74" t="s">
        <v>421</v>
      </c>
    </row>
    <row r="12786" spans="1:3">
      <c r="A12786" s="250">
        <v>30543</v>
      </c>
      <c r="B12786" s="74" t="s">
        <v>7981</v>
      </c>
      <c r="C12786" s="74" t="s">
        <v>421</v>
      </c>
    </row>
    <row r="12787" spans="1:3">
      <c r="A12787" s="250">
        <v>30544</v>
      </c>
      <c r="B12787" s="74" t="s">
        <v>7982</v>
      </c>
      <c r="C12787" s="74" t="s">
        <v>421</v>
      </c>
    </row>
    <row r="12788" spans="1:3">
      <c r="A12788" s="250">
        <v>30545</v>
      </c>
      <c r="B12788" s="74" t="s">
        <v>5568</v>
      </c>
      <c r="C12788" s="74" t="s">
        <v>421</v>
      </c>
    </row>
    <row r="12789" spans="1:3">
      <c r="A12789" s="250">
        <v>30546</v>
      </c>
      <c r="B12789" s="74" t="s">
        <v>7983</v>
      </c>
      <c r="C12789" s="74" t="s">
        <v>421</v>
      </c>
    </row>
    <row r="12790" spans="1:3">
      <c r="A12790" s="250">
        <v>30547</v>
      </c>
      <c r="B12790" s="74" t="s">
        <v>3369</v>
      </c>
      <c r="C12790" s="74" t="s">
        <v>421</v>
      </c>
    </row>
    <row r="12791" spans="1:3">
      <c r="A12791" s="250">
        <v>30548</v>
      </c>
      <c r="B12791" s="74" t="s">
        <v>7984</v>
      </c>
      <c r="C12791" s="74" t="s">
        <v>421</v>
      </c>
    </row>
    <row r="12792" spans="1:3">
      <c r="A12792" s="250">
        <v>30549</v>
      </c>
      <c r="B12792" s="74" t="s">
        <v>740</v>
      </c>
      <c r="C12792" s="74" t="s">
        <v>421</v>
      </c>
    </row>
    <row r="12793" spans="1:3">
      <c r="A12793" s="250">
        <v>30552</v>
      </c>
      <c r="B12793" s="74" t="s">
        <v>3924</v>
      </c>
      <c r="C12793" s="74" t="s">
        <v>421</v>
      </c>
    </row>
    <row r="12794" spans="1:3">
      <c r="A12794" s="250">
        <v>30553</v>
      </c>
      <c r="B12794" s="74" t="s">
        <v>7985</v>
      </c>
      <c r="C12794" s="74" t="s">
        <v>421</v>
      </c>
    </row>
    <row r="12795" spans="1:3">
      <c r="A12795" s="250">
        <v>30554</v>
      </c>
      <c r="B12795" s="74" t="s">
        <v>7986</v>
      </c>
      <c r="C12795" s="74" t="s">
        <v>421</v>
      </c>
    </row>
    <row r="12796" spans="1:3">
      <c r="A12796" s="250">
        <v>30555</v>
      </c>
      <c r="B12796" s="74" t="s">
        <v>7987</v>
      </c>
      <c r="C12796" s="74" t="s">
        <v>421</v>
      </c>
    </row>
    <row r="12797" spans="1:3">
      <c r="A12797" s="250">
        <v>30557</v>
      </c>
      <c r="B12797" s="74" t="s">
        <v>4128</v>
      </c>
      <c r="C12797" s="74" t="s">
        <v>421</v>
      </c>
    </row>
    <row r="12798" spans="1:3">
      <c r="A12798" s="250">
        <v>30558</v>
      </c>
      <c r="B12798" s="74" t="s">
        <v>7041</v>
      </c>
      <c r="C12798" s="74" t="s">
        <v>421</v>
      </c>
    </row>
    <row r="12799" spans="1:3">
      <c r="A12799" s="250">
        <v>30559</v>
      </c>
      <c r="B12799" s="74" t="s">
        <v>7988</v>
      </c>
      <c r="C12799" s="74" t="s">
        <v>421</v>
      </c>
    </row>
    <row r="12800" spans="1:3">
      <c r="A12800" s="250">
        <v>30560</v>
      </c>
      <c r="B12800" s="74" t="s">
        <v>7499</v>
      </c>
      <c r="C12800" s="74" t="s">
        <v>421</v>
      </c>
    </row>
    <row r="12801" spans="1:3">
      <c r="A12801" s="250">
        <v>30562</v>
      </c>
      <c r="B12801" s="74" t="s">
        <v>7989</v>
      </c>
      <c r="C12801" s="74" t="s">
        <v>421</v>
      </c>
    </row>
    <row r="12802" spans="1:3">
      <c r="A12802" s="250">
        <v>30563</v>
      </c>
      <c r="B12802" s="74" t="s">
        <v>5810</v>
      </c>
      <c r="C12802" s="74" t="s">
        <v>421</v>
      </c>
    </row>
    <row r="12803" spans="1:3">
      <c r="A12803" s="250">
        <v>30564</v>
      </c>
      <c r="B12803" s="74" t="s">
        <v>7990</v>
      </c>
      <c r="C12803" s="74" t="s">
        <v>421</v>
      </c>
    </row>
    <row r="12804" spans="1:3">
      <c r="A12804" s="250">
        <v>30565</v>
      </c>
      <c r="B12804" s="74" t="s">
        <v>5172</v>
      </c>
      <c r="C12804" s="74" t="s">
        <v>421</v>
      </c>
    </row>
    <row r="12805" spans="1:3">
      <c r="A12805" s="250">
        <v>30566</v>
      </c>
      <c r="B12805" s="74" t="s">
        <v>6466</v>
      </c>
      <c r="C12805" s="74" t="s">
        <v>421</v>
      </c>
    </row>
    <row r="12806" spans="1:3">
      <c r="A12806" s="250">
        <v>30567</v>
      </c>
      <c r="B12806" s="74" t="s">
        <v>7991</v>
      </c>
      <c r="C12806" s="74" t="s">
        <v>421</v>
      </c>
    </row>
    <row r="12807" spans="1:3">
      <c r="A12807" s="250">
        <v>30568</v>
      </c>
      <c r="B12807" s="74" t="s">
        <v>7992</v>
      </c>
      <c r="C12807" s="74" t="s">
        <v>421</v>
      </c>
    </row>
    <row r="12808" spans="1:3">
      <c r="A12808" s="250">
        <v>30571</v>
      </c>
      <c r="B12808" s="74" t="s">
        <v>7993</v>
      </c>
      <c r="C12808" s="74" t="s">
        <v>421</v>
      </c>
    </row>
    <row r="12809" spans="1:3">
      <c r="A12809" s="250">
        <v>30572</v>
      </c>
      <c r="B12809" s="74" t="s">
        <v>7994</v>
      </c>
      <c r="C12809" s="74" t="s">
        <v>421</v>
      </c>
    </row>
    <row r="12810" spans="1:3">
      <c r="A12810" s="250">
        <v>30573</v>
      </c>
      <c r="B12810" s="74" t="s">
        <v>7995</v>
      </c>
      <c r="C12810" s="74" t="s">
        <v>421</v>
      </c>
    </row>
    <row r="12811" spans="1:3">
      <c r="A12811" s="250">
        <v>30575</v>
      </c>
      <c r="B12811" s="74" t="s">
        <v>7996</v>
      </c>
      <c r="C12811" s="74" t="s">
        <v>421</v>
      </c>
    </row>
    <row r="12812" spans="1:3">
      <c r="A12812" s="250">
        <v>30576</v>
      </c>
      <c r="B12812" s="74" t="s">
        <v>7997</v>
      </c>
      <c r="C12812" s="74" t="s">
        <v>421</v>
      </c>
    </row>
    <row r="12813" spans="1:3">
      <c r="A12813" s="250">
        <v>30577</v>
      </c>
      <c r="B12813" s="74" t="s">
        <v>7998</v>
      </c>
      <c r="C12813" s="74" t="s">
        <v>421</v>
      </c>
    </row>
    <row r="12814" spans="1:3">
      <c r="A12814" s="250">
        <v>30580</v>
      </c>
      <c r="B12814" s="74" t="s">
        <v>7999</v>
      </c>
      <c r="C12814" s="74" t="s">
        <v>421</v>
      </c>
    </row>
    <row r="12815" spans="1:3">
      <c r="A12815" s="250">
        <v>30581</v>
      </c>
      <c r="B12815" s="74" t="s">
        <v>8000</v>
      </c>
      <c r="C12815" s="74" t="s">
        <v>421</v>
      </c>
    </row>
    <row r="12816" spans="1:3">
      <c r="A12816" s="250">
        <v>30582</v>
      </c>
      <c r="B12816" s="74" t="s">
        <v>8001</v>
      </c>
      <c r="C12816" s="74" t="s">
        <v>421</v>
      </c>
    </row>
    <row r="12817" spans="1:3">
      <c r="A12817" s="250">
        <v>30596</v>
      </c>
      <c r="B12817" s="74" t="s">
        <v>7961</v>
      </c>
      <c r="C12817" s="74" t="s">
        <v>421</v>
      </c>
    </row>
    <row r="12818" spans="1:3">
      <c r="A12818" s="250">
        <v>30597</v>
      </c>
      <c r="B12818" s="74" t="s">
        <v>7972</v>
      </c>
      <c r="C12818" s="74" t="s">
        <v>421</v>
      </c>
    </row>
    <row r="12819" spans="1:3">
      <c r="A12819" s="250">
        <v>30598</v>
      </c>
      <c r="B12819" s="74" t="s">
        <v>8002</v>
      </c>
      <c r="C12819" s="74" t="s">
        <v>421</v>
      </c>
    </row>
    <row r="12820" spans="1:3">
      <c r="A12820" s="250">
        <v>30599</v>
      </c>
      <c r="B12820" s="74" t="s">
        <v>7970</v>
      </c>
      <c r="C12820" s="74" t="s">
        <v>421</v>
      </c>
    </row>
    <row r="12821" spans="1:3">
      <c r="A12821" s="250">
        <v>30601</v>
      </c>
      <c r="B12821" s="74" t="s">
        <v>1678</v>
      </c>
      <c r="C12821" s="74" t="s">
        <v>421</v>
      </c>
    </row>
    <row r="12822" spans="1:3">
      <c r="A12822" s="250">
        <v>30602</v>
      </c>
      <c r="B12822" s="74" t="s">
        <v>1678</v>
      </c>
      <c r="C12822" s="74" t="s">
        <v>421</v>
      </c>
    </row>
    <row r="12823" spans="1:3">
      <c r="A12823" s="250">
        <v>30603</v>
      </c>
      <c r="B12823" s="74" t="s">
        <v>1678</v>
      </c>
      <c r="C12823" s="74" t="s">
        <v>421</v>
      </c>
    </row>
    <row r="12824" spans="1:3">
      <c r="A12824" s="250">
        <v>30604</v>
      </c>
      <c r="B12824" s="74" t="s">
        <v>1678</v>
      </c>
      <c r="C12824" s="74" t="s">
        <v>421</v>
      </c>
    </row>
    <row r="12825" spans="1:3">
      <c r="A12825" s="250">
        <v>30605</v>
      </c>
      <c r="B12825" s="74" t="s">
        <v>1678</v>
      </c>
      <c r="C12825" s="74" t="s">
        <v>421</v>
      </c>
    </row>
    <row r="12826" spans="1:3">
      <c r="A12826" s="250">
        <v>30606</v>
      </c>
      <c r="B12826" s="74" t="s">
        <v>1678</v>
      </c>
      <c r="C12826" s="74" t="s">
        <v>421</v>
      </c>
    </row>
    <row r="12827" spans="1:3">
      <c r="A12827" s="250">
        <v>30607</v>
      </c>
      <c r="B12827" s="74" t="s">
        <v>1678</v>
      </c>
      <c r="C12827" s="74" t="s">
        <v>421</v>
      </c>
    </row>
    <row r="12828" spans="1:3">
      <c r="A12828" s="250">
        <v>30608</v>
      </c>
      <c r="B12828" s="74" t="s">
        <v>1678</v>
      </c>
      <c r="C12828" s="74" t="s">
        <v>421</v>
      </c>
    </row>
    <row r="12829" spans="1:3">
      <c r="A12829" s="250">
        <v>30609</v>
      </c>
      <c r="B12829" s="74" t="s">
        <v>1678</v>
      </c>
      <c r="C12829" s="74" t="s">
        <v>421</v>
      </c>
    </row>
    <row r="12830" spans="1:3">
      <c r="A12830" s="250">
        <v>30612</v>
      </c>
      <c r="B12830" s="74" t="s">
        <v>1678</v>
      </c>
      <c r="C12830" s="74" t="s">
        <v>421</v>
      </c>
    </row>
    <row r="12831" spans="1:3">
      <c r="A12831" s="250">
        <v>30619</v>
      </c>
      <c r="B12831" s="74" t="s">
        <v>8003</v>
      </c>
      <c r="C12831" s="74" t="s">
        <v>421</v>
      </c>
    </row>
    <row r="12832" spans="1:3">
      <c r="A12832" s="250">
        <v>30620</v>
      </c>
      <c r="B12832" s="74" t="s">
        <v>1247</v>
      </c>
      <c r="C12832" s="74" t="s">
        <v>421</v>
      </c>
    </row>
    <row r="12833" spans="1:3">
      <c r="A12833" s="250">
        <v>30621</v>
      </c>
      <c r="B12833" s="74" t="s">
        <v>6451</v>
      </c>
      <c r="C12833" s="74" t="s">
        <v>421</v>
      </c>
    </row>
    <row r="12834" spans="1:3">
      <c r="A12834" s="250">
        <v>30622</v>
      </c>
      <c r="B12834" s="74" t="s">
        <v>8004</v>
      </c>
      <c r="C12834" s="74" t="s">
        <v>421</v>
      </c>
    </row>
    <row r="12835" spans="1:3">
      <c r="A12835" s="250">
        <v>30623</v>
      </c>
      <c r="B12835" s="74" t="s">
        <v>8005</v>
      </c>
      <c r="C12835" s="74" t="s">
        <v>421</v>
      </c>
    </row>
    <row r="12836" spans="1:3">
      <c r="A12836" s="250">
        <v>30624</v>
      </c>
      <c r="B12836" s="74" t="s">
        <v>7600</v>
      </c>
      <c r="C12836" s="74" t="s">
        <v>421</v>
      </c>
    </row>
    <row r="12837" spans="1:3">
      <c r="A12837" s="250">
        <v>30625</v>
      </c>
      <c r="B12837" s="74" t="s">
        <v>8006</v>
      </c>
      <c r="C12837" s="74" t="s">
        <v>421</v>
      </c>
    </row>
    <row r="12838" spans="1:3">
      <c r="A12838" s="250">
        <v>30627</v>
      </c>
      <c r="B12838" s="74" t="s">
        <v>4474</v>
      </c>
      <c r="C12838" s="74" t="s">
        <v>421</v>
      </c>
    </row>
    <row r="12839" spans="1:3">
      <c r="A12839" s="250">
        <v>30628</v>
      </c>
      <c r="B12839" s="74" t="s">
        <v>8007</v>
      </c>
      <c r="C12839" s="74" t="s">
        <v>421</v>
      </c>
    </row>
    <row r="12840" spans="1:3">
      <c r="A12840" s="250">
        <v>30629</v>
      </c>
      <c r="B12840" s="74" t="s">
        <v>8008</v>
      </c>
      <c r="C12840" s="74" t="s">
        <v>421</v>
      </c>
    </row>
    <row r="12841" spans="1:3">
      <c r="A12841" s="250">
        <v>30630</v>
      </c>
      <c r="B12841" s="74" t="s">
        <v>6935</v>
      </c>
      <c r="C12841" s="74" t="s">
        <v>421</v>
      </c>
    </row>
    <row r="12842" spans="1:3">
      <c r="A12842" s="250">
        <v>30631</v>
      </c>
      <c r="B12842" s="74" t="s">
        <v>8009</v>
      </c>
      <c r="C12842" s="74" t="s">
        <v>421</v>
      </c>
    </row>
    <row r="12843" spans="1:3">
      <c r="A12843" s="250">
        <v>30633</v>
      </c>
      <c r="B12843" s="74" t="s">
        <v>5038</v>
      </c>
      <c r="C12843" s="74" t="s">
        <v>421</v>
      </c>
    </row>
    <row r="12844" spans="1:3">
      <c r="A12844" s="250">
        <v>30634</v>
      </c>
      <c r="B12844" s="74" t="s">
        <v>8010</v>
      </c>
      <c r="C12844" s="74" t="s">
        <v>421</v>
      </c>
    </row>
    <row r="12845" spans="1:3">
      <c r="A12845" s="250">
        <v>30635</v>
      </c>
      <c r="B12845" s="74" t="s">
        <v>8011</v>
      </c>
      <c r="C12845" s="74" t="s">
        <v>421</v>
      </c>
    </row>
    <row r="12846" spans="1:3">
      <c r="A12846" s="250">
        <v>30638</v>
      </c>
      <c r="B12846" s="74" t="s">
        <v>1309</v>
      </c>
      <c r="C12846" s="74" t="s">
        <v>421</v>
      </c>
    </row>
    <row r="12847" spans="1:3">
      <c r="A12847" s="250">
        <v>30639</v>
      </c>
      <c r="B12847" s="74" t="s">
        <v>3457</v>
      </c>
      <c r="C12847" s="74" t="s">
        <v>421</v>
      </c>
    </row>
    <row r="12848" spans="1:3">
      <c r="A12848" s="250">
        <v>30641</v>
      </c>
      <c r="B12848" s="74" t="s">
        <v>8012</v>
      </c>
      <c r="C12848" s="74" t="s">
        <v>421</v>
      </c>
    </row>
    <row r="12849" spans="1:3">
      <c r="A12849" s="250">
        <v>30642</v>
      </c>
      <c r="B12849" s="74" t="s">
        <v>1910</v>
      </c>
      <c r="C12849" s="74" t="s">
        <v>421</v>
      </c>
    </row>
    <row r="12850" spans="1:3">
      <c r="A12850" s="250">
        <v>30643</v>
      </c>
      <c r="B12850" s="74" t="s">
        <v>8013</v>
      </c>
      <c r="C12850" s="74" t="s">
        <v>421</v>
      </c>
    </row>
    <row r="12851" spans="1:3">
      <c r="A12851" s="250">
        <v>30645</v>
      </c>
      <c r="B12851" s="74" t="s">
        <v>7307</v>
      </c>
      <c r="C12851" s="74" t="s">
        <v>421</v>
      </c>
    </row>
    <row r="12852" spans="1:3">
      <c r="A12852" s="250">
        <v>30646</v>
      </c>
      <c r="B12852" s="74" t="s">
        <v>877</v>
      </c>
      <c r="C12852" s="74" t="s">
        <v>421</v>
      </c>
    </row>
    <row r="12853" spans="1:3">
      <c r="A12853" s="250">
        <v>30647</v>
      </c>
      <c r="B12853" s="74" t="s">
        <v>8014</v>
      </c>
      <c r="C12853" s="74" t="s">
        <v>421</v>
      </c>
    </row>
    <row r="12854" spans="1:3">
      <c r="A12854" s="250">
        <v>30648</v>
      </c>
      <c r="B12854" s="74" t="s">
        <v>966</v>
      </c>
      <c r="C12854" s="74" t="s">
        <v>421</v>
      </c>
    </row>
    <row r="12855" spans="1:3">
      <c r="A12855" s="250">
        <v>30650</v>
      </c>
      <c r="B12855" s="74" t="s">
        <v>1320</v>
      </c>
      <c r="C12855" s="74" t="s">
        <v>421</v>
      </c>
    </row>
    <row r="12856" spans="1:3">
      <c r="A12856" s="250">
        <v>30655</v>
      </c>
      <c r="B12856" s="74" t="s">
        <v>1284</v>
      </c>
      <c r="C12856" s="74" t="s">
        <v>421</v>
      </c>
    </row>
    <row r="12857" spans="1:3">
      <c r="A12857" s="250">
        <v>30656</v>
      </c>
      <c r="B12857" s="74" t="s">
        <v>1284</v>
      </c>
      <c r="C12857" s="74" t="s">
        <v>421</v>
      </c>
    </row>
    <row r="12858" spans="1:3">
      <c r="A12858" s="250">
        <v>30660</v>
      </c>
      <c r="B12858" s="74" t="s">
        <v>8015</v>
      </c>
      <c r="C12858" s="74" t="s">
        <v>421</v>
      </c>
    </row>
    <row r="12859" spans="1:3">
      <c r="A12859" s="250">
        <v>30662</v>
      </c>
      <c r="B12859" s="74" t="s">
        <v>8016</v>
      </c>
      <c r="C12859" s="74" t="s">
        <v>421</v>
      </c>
    </row>
    <row r="12860" spans="1:3">
      <c r="A12860" s="250">
        <v>30663</v>
      </c>
      <c r="B12860" s="74" t="s">
        <v>8017</v>
      </c>
      <c r="C12860" s="74" t="s">
        <v>421</v>
      </c>
    </row>
    <row r="12861" spans="1:3">
      <c r="A12861" s="250">
        <v>30664</v>
      </c>
      <c r="B12861" s="74" t="s">
        <v>893</v>
      </c>
      <c r="C12861" s="74" t="s">
        <v>421</v>
      </c>
    </row>
    <row r="12862" spans="1:3">
      <c r="A12862" s="250">
        <v>30665</v>
      </c>
      <c r="B12862" s="74" t="s">
        <v>7071</v>
      </c>
      <c r="C12862" s="74" t="s">
        <v>421</v>
      </c>
    </row>
    <row r="12863" spans="1:3">
      <c r="A12863" s="250">
        <v>30666</v>
      </c>
      <c r="B12863" s="74" t="s">
        <v>8018</v>
      </c>
      <c r="C12863" s="74" t="s">
        <v>421</v>
      </c>
    </row>
    <row r="12864" spans="1:3">
      <c r="A12864" s="250">
        <v>30667</v>
      </c>
      <c r="B12864" s="74" t="s">
        <v>8019</v>
      </c>
      <c r="C12864" s="74" t="s">
        <v>421</v>
      </c>
    </row>
    <row r="12865" spans="1:3">
      <c r="A12865" s="250">
        <v>30668</v>
      </c>
      <c r="B12865" s="74" t="s">
        <v>8020</v>
      </c>
      <c r="C12865" s="74" t="s">
        <v>421</v>
      </c>
    </row>
    <row r="12866" spans="1:3">
      <c r="A12866" s="250">
        <v>30669</v>
      </c>
      <c r="B12866" s="74" t="s">
        <v>8021</v>
      </c>
      <c r="C12866" s="74" t="s">
        <v>421</v>
      </c>
    </row>
    <row r="12867" spans="1:3">
      <c r="A12867" s="250">
        <v>30671</v>
      </c>
      <c r="B12867" s="74" t="s">
        <v>8022</v>
      </c>
      <c r="C12867" s="74" t="s">
        <v>421</v>
      </c>
    </row>
    <row r="12868" spans="1:3">
      <c r="A12868" s="250">
        <v>30673</v>
      </c>
      <c r="B12868" s="74" t="s">
        <v>1215</v>
      </c>
      <c r="C12868" s="74" t="s">
        <v>421</v>
      </c>
    </row>
    <row r="12869" spans="1:3">
      <c r="A12869" s="250">
        <v>30677</v>
      </c>
      <c r="B12869" s="74" t="s">
        <v>8023</v>
      </c>
      <c r="C12869" s="74" t="s">
        <v>421</v>
      </c>
    </row>
    <row r="12870" spans="1:3">
      <c r="A12870" s="250">
        <v>30678</v>
      </c>
      <c r="B12870" s="74" t="s">
        <v>2665</v>
      </c>
      <c r="C12870" s="74" t="s">
        <v>421</v>
      </c>
    </row>
    <row r="12871" spans="1:3">
      <c r="A12871" s="250">
        <v>30680</v>
      </c>
      <c r="B12871" s="74" t="s">
        <v>8024</v>
      </c>
      <c r="C12871" s="74" t="s">
        <v>421</v>
      </c>
    </row>
    <row r="12872" spans="1:3">
      <c r="A12872" s="250">
        <v>30683</v>
      </c>
      <c r="B12872" s="74" t="s">
        <v>7465</v>
      </c>
      <c r="C12872" s="74" t="s">
        <v>421</v>
      </c>
    </row>
    <row r="12873" spans="1:3">
      <c r="A12873" s="250">
        <v>30701</v>
      </c>
      <c r="B12873" s="74" t="s">
        <v>8025</v>
      </c>
      <c r="C12873" s="74" t="s">
        <v>421</v>
      </c>
    </row>
    <row r="12874" spans="1:3">
      <c r="A12874" s="250">
        <v>30703</v>
      </c>
      <c r="B12874" s="74" t="s">
        <v>8025</v>
      </c>
      <c r="C12874" s="74" t="s">
        <v>421</v>
      </c>
    </row>
    <row r="12875" spans="1:3">
      <c r="A12875" s="250">
        <v>30705</v>
      </c>
      <c r="B12875" s="74" t="s">
        <v>2373</v>
      </c>
      <c r="C12875" s="74" t="s">
        <v>421</v>
      </c>
    </row>
    <row r="12876" spans="1:3">
      <c r="A12876" s="250">
        <v>30707</v>
      </c>
      <c r="B12876" s="74" t="s">
        <v>8026</v>
      </c>
      <c r="C12876" s="74" t="s">
        <v>421</v>
      </c>
    </row>
    <row r="12877" spans="1:3">
      <c r="A12877" s="250">
        <v>30708</v>
      </c>
      <c r="B12877" s="74" t="s">
        <v>8027</v>
      </c>
      <c r="C12877" s="74" t="s">
        <v>421</v>
      </c>
    </row>
    <row r="12878" spans="1:3">
      <c r="A12878" s="250">
        <v>30710</v>
      </c>
      <c r="B12878" s="74" t="s">
        <v>8028</v>
      </c>
      <c r="C12878" s="74" t="s">
        <v>421</v>
      </c>
    </row>
    <row r="12879" spans="1:3">
      <c r="A12879" s="250">
        <v>30711</v>
      </c>
      <c r="B12879" s="74" t="s">
        <v>8029</v>
      </c>
      <c r="C12879" s="74" t="s">
        <v>421</v>
      </c>
    </row>
    <row r="12880" spans="1:3">
      <c r="A12880" s="250">
        <v>30719</v>
      </c>
      <c r="B12880" s="74" t="s">
        <v>643</v>
      </c>
      <c r="C12880" s="74" t="s">
        <v>421</v>
      </c>
    </row>
    <row r="12881" spans="1:3">
      <c r="A12881" s="250">
        <v>30720</v>
      </c>
      <c r="B12881" s="74" t="s">
        <v>643</v>
      </c>
      <c r="C12881" s="74" t="s">
        <v>421</v>
      </c>
    </row>
    <row r="12882" spans="1:3">
      <c r="A12882" s="250">
        <v>30721</v>
      </c>
      <c r="B12882" s="74" t="s">
        <v>643</v>
      </c>
      <c r="C12882" s="74" t="s">
        <v>421</v>
      </c>
    </row>
    <row r="12883" spans="1:3">
      <c r="A12883" s="250">
        <v>30722</v>
      </c>
      <c r="B12883" s="74" t="s">
        <v>643</v>
      </c>
      <c r="C12883" s="74" t="s">
        <v>421</v>
      </c>
    </row>
    <row r="12884" spans="1:3">
      <c r="A12884" s="250">
        <v>30724</v>
      </c>
      <c r="B12884" s="74" t="s">
        <v>8030</v>
      </c>
      <c r="C12884" s="74" t="s">
        <v>421</v>
      </c>
    </row>
    <row r="12885" spans="1:3">
      <c r="A12885" s="250">
        <v>30725</v>
      </c>
      <c r="B12885" s="74" t="s">
        <v>5728</v>
      </c>
      <c r="C12885" s="74" t="s">
        <v>421</v>
      </c>
    </row>
    <row r="12886" spans="1:3">
      <c r="A12886" s="250">
        <v>30726</v>
      </c>
      <c r="B12886" s="74" t="s">
        <v>4060</v>
      </c>
      <c r="C12886" s="74" t="s">
        <v>421</v>
      </c>
    </row>
    <row r="12887" spans="1:3">
      <c r="A12887" s="250">
        <v>30728</v>
      </c>
      <c r="B12887" s="74" t="s">
        <v>3375</v>
      </c>
      <c r="C12887" s="74" t="s">
        <v>421</v>
      </c>
    </row>
    <row r="12888" spans="1:3">
      <c r="A12888" s="250">
        <v>30730</v>
      </c>
      <c r="B12888" s="74" t="s">
        <v>8031</v>
      </c>
      <c r="C12888" s="74" t="s">
        <v>421</v>
      </c>
    </row>
    <row r="12889" spans="1:3">
      <c r="A12889" s="250">
        <v>30731</v>
      </c>
      <c r="B12889" s="74" t="s">
        <v>8032</v>
      </c>
      <c r="C12889" s="74" t="s">
        <v>421</v>
      </c>
    </row>
    <row r="12890" spans="1:3">
      <c r="A12890" s="250">
        <v>30732</v>
      </c>
      <c r="B12890" s="74" t="s">
        <v>8033</v>
      </c>
      <c r="C12890" s="74" t="s">
        <v>421</v>
      </c>
    </row>
    <row r="12891" spans="1:3">
      <c r="A12891" s="250">
        <v>30733</v>
      </c>
      <c r="B12891" s="74" t="s">
        <v>1078</v>
      </c>
      <c r="C12891" s="74" t="s">
        <v>421</v>
      </c>
    </row>
    <row r="12892" spans="1:3">
      <c r="A12892" s="250">
        <v>30734</v>
      </c>
      <c r="B12892" s="74" t="s">
        <v>6726</v>
      </c>
      <c r="C12892" s="74" t="s">
        <v>421</v>
      </c>
    </row>
    <row r="12893" spans="1:3">
      <c r="A12893" s="250">
        <v>30735</v>
      </c>
      <c r="B12893" s="74" t="s">
        <v>8034</v>
      </c>
      <c r="C12893" s="74" t="s">
        <v>421</v>
      </c>
    </row>
    <row r="12894" spans="1:3">
      <c r="A12894" s="250">
        <v>30736</v>
      </c>
      <c r="B12894" s="74" t="s">
        <v>4301</v>
      </c>
      <c r="C12894" s="74" t="s">
        <v>421</v>
      </c>
    </row>
    <row r="12895" spans="1:3">
      <c r="A12895" s="250">
        <v>30738</v>
      </c>
      <c r="B12895" s="74" t="s">
        <v>8035</v>
      </c>
      <c r="C12895" s="74" t="s">
        <v>421</v>
      </c>
    </row>
    <row r="12896" spans="1:3">
      <c r="A12896" s="250">
        <v>30739</v>
      </c>
      <c r="B12896" s="74" t="s">
        <v>8036</v>
      </c>
      <c r="C12896" s="74" t="s">
        <v>421</v>
      </c>
    </row>
    <row r="12897" spans="1:3">
      <c r="A12897" s="250">
        <v>30740</v>
      </c>
      <c r="B12897" s="74" t="s">
        <v>8037</v>
      </c>
      <c r="C12897" s="74" t="s">
        <v>421</v>
      </c>
    </row>
    <row r="12898" spans="1:3">
      <c r="A12898" s="250">
        <v>30741</v>
      </c>
      <c r="B12898" s="74" t="s">
        <v>4837</v>
      </c>
      <c r="C12898" s="74" t="s">
        <v>421</v>
      </c>
    </row>
    <row r="12899" spans="1:3">
      <c r="A12899" s="250">
        <v>30742</v>
      </c>
      <c r="B12899" s="74" t="s">
        <v>8038</v>
      </c>
      <c r="C12899" s="74" t="s">
        <v>421</v>
      </c>
    </row>
    <row r="12900" spans="1:3">
      <c r="A12900" s="250">
        <v>30746</v>
      </c>
      <c r="B12900" s="74" t="s">
        <v>8039</v>
      </c>
      <c r="C12900" s="74" t="s">
        <v>421</v>
      </c>
    </row>
    <row r="12901" spans="1:3">
      <c r="A12901" s="250">
        <v>30747</v>
      </c>
      <c r="B12901" s="74" t="s">
        <v>4337</v>
      </c>
      <c r="C12901" s="74" t="s">
        <v>421</v>
      </c>
    </row>
    <row r="12902" spans="1:3">
      <c r="A12902" s="250">
        <v>30750</v>
      </c>
      <c r="B12902" s="74" t="s">
        <v>8040</v>
      </c>
      <c r="C12902" s="74" t="s">
        <v>421</v>
      </c>
    </row>
    <row r="12903" spans="1:3">
      <c r="A12903" s="250">
        <v>30751</v>
      </c>
      <c r="B12903" s="74" t="s">
        <v>8041</v>
      </c>
      <c r="C12903" s="74" t="s">
        <v>421</v>
      </c>
    </row>
    <row r="12904" spans="1:3">
      <c r="A12904" s="250">
        <v>30752</v>
      </c>
      <c r="B12904" s="74" t="s">
        <v>2532</v>
      </c>
      <c r="C12904" s="74" t="s">
        <v>421</v>
      </c>
    </row>
    <row r="12905" spans="1:3">
      <c r="A12905" s="250">
        <v>30753</v>
      </c>
      <c r="B12905" s="74" t="s">
        <v>8042</v>
      </c>
      <c r="C12905" s="74" t="s">
        <v>421</v>
      </c>
    </row>
    <row r="12906" spans="1:3">
      <c r="A12906" s="250">
        <v>30755</v>
      </c>
      <c r="B12906" s="74" t="s">
        <v>8043</v>
      </c>
      <c r="C12906" s="74" t="s">
        <v>421</v>
      </c>
    </row>
    <row r="12907" spans="1:3">
      <c r="A12907" s="250">
        <v>30756</v>
      </c>
      <c r="B12907" s="74" t="s">
        <v>8044</v>
      </c>
      <c r="C12907" s="74" t="s">
        <v>421</v>
      </c>
    </row>
    <row r="12908" spans="1:3">
      <c r="A12908" s="250">
        <v>30757</v>
      </c>
      <c r="B12908" s="74" t="s">
        <v>2471</v>
      </c>
      <c r="C12908" s="74" t="s">
        <v>421</v>
      </c>
    </row>
    <row r="12909" spans="1:3">
      <c r="A12909" s="250">
        <v>30802</v>
      </c>
      <c r="B12909" s="74" t="s">
        <v>8045</v>
      </c>
      <c r="C12909" s="74" t="s">
        <v>421</v>
      </c>
    </row>
    <row r="12910" spans="1:3">
      <c r="A12910" s="250">
        <v>30803</v>
      </c>
      <c r="B12910" s="74" t="s">
        <v>8046</v>
      </c>
      <c r="C12910" s="74" t="s">
        <v>421</v>
      </c>
    </row>
    <row r="12911" spans="1:3">
      <c r="A12911" s="250">
        <v>30805</v>
      </c>
      <c r="B12911" s="74" t="s">
        <v>8047</v>
      </c>
      <c r="C12911" s="74" t="s">
        <v>421</v>
      </c>
    </row>
    <row r="12912" spans="1:3">
      <c r="A12912" s="250">
        <v>30806</v>
      </c>
      <c r="B12912" s="74" t="s">
        <v>8048</v>
      </c>
      <c r="C12912" s="74" t="s">
        <v>421</v>
      </c>
    </row>
    <row r="12913" spans="1:3">
      <c r="A12913" s="250">
        <v>30807</v>
      </c>
      <c r="B12913" s="74" t="s">
        <v>8049</v>
      </c>
      <c r="C12913" s="74" t="s">
        <v>421</v>
      </c>
    </row>
    <row r="12914" spans="1:3">
      <c r="A12914" s="250">
        <v>30808</v>
      </c>
      <c r="B12914" s="74" t="s">
        <v>8050</v>
      </c>
      <c r="C12914" s="74" t="s">
        <v>421</v>
      </c>
    </row>
    <row r="12915" spans="1:3">
      <c r="A12915" s="250">
        <v>30809</v>
      </c>
      <c r="B12915" s="74" t="s">
        <v>6665</v>
      </c>
      <c r="C12915" s="74" t="s">
        <v>421</v>
      </c>
    </row>
    <row r="12916" spans="1:3">
      <c r="A12916" s="250">
        <v>30810</v>
      </c>
      <c r="B12916" s="74" t="s">
        <v>5239</v>
      </c>
      <c r="C12916" s="74" t="s">
        <v>421</v>
      </c>
    </row>
    <row r="12917" spans="1:3">
      <c r="A12917" s="250">
        <v>30811</v>
      </c>
      <c r="B12917" s="74" t="s">
        <v>8051</v>
      </c>
      <c r="C12917" s="74" t="s">
        <v>421</v>
      </c>
    </row>
    <row r="12918" spans="1:3">
      <c r="A12918" s="250">
        <v>30812</v>
      </c>
      <c r="B12918" s="74" t="s">
        <v>8052</v>
      </c>
      <c r="C12918" s="74" t="s">
        <v>421</v>
      </c>
    </row>
    <row r="12919" spans="1:3">
      <c r="A12919" s="250">
        <v>30813</v>
      </c>
      <c r="B12919" s="74" t="s">
        <v>8053</v>
      </c>
      <c r="C12919" s="74" t="s">
        <v>421</v>
      </c>
    </row>
    <row r="12920" spans="1:3">
      <c r="A12920" s="250">
        <v>30814</v>
      </c>
      <c r="B12920" s="74" t="s">
        <v>8054</v>
      </c>
      <c r="C12920" s="74" t="s">
        <v>421</v>
      </c>
    </row>
    <row r="12921" spans="1:3">
      <c r="A12921" s="250">
        <v>30815</v>
      </c>
      <c r="B12921" s="74" t="s">
        <v>8055</v>
      </c>
      <c r="C12921" s="74" t="s">
        <v>421</v>
      </c>
    </row>
    <row r="12922" spans="1:3">
      <c r="A12922" s="250">
        <v>30816</v>
      </c>
      <c r="B12922" s="74" t="s">
        <v>6238</v>
      </c>
      <c r="C12922" s="74" t="s">
        <v>421</v>
      </c>
    </row>
    <row r="12923" spans="1:3">
      <c r="A12923" s="250">
        <v>30817</v>
      </c>
      <c r="B12923" s="74" t="s">
        <v>7316</v>
      </c>
      <c r="C12923" s="74" t="s">
        <v>421</v>
      </c>
    </row>
    <row r="12924" spans="1:3">
      <c r="A12924" s="250">
        <v>30818</v>
      </c>
      <c r="B12924" s="74" t="s">
        <v>7321</v>
      </c>
      <c r="C12924" s="74" t="s">
        <v>421</v>
      </c>
    </row>
    <row r="12925" spans="1:3">
      <c r="A12925" s="250">
        <v>30819</v>
      </c>
      <c r="B12925" s="74" t="s">
        <v>8056</v>
      </c>
      <c r="C12925" s="74" t="s">
        <v>421</v>
      </c>
    </row>
    <row r="12926" spans="1:3">
      <c r="A12926" s="250">
        <v>30820</v>
      </c>
      <c r="B12926" s="74" t="s">
        <v>8057</v>
      </c>
      <c r="C12926" s="74" t="s">
        <v>421</v>
      </c>
    </row>
    <row r="12927" spans="1:3">
      <c r="A12927" s="250">
        <v>30821</v>
      </c>
      <c r="B12927" s="74" t="s">
        <v>890</v>
      </c>
      <c r="C12927" s="74" t="s">
        <v>421</v>
      </c>
    </row>
    <row r="12928" spans="1:3">
      <c r="A12928" s="250">
        <v>30822</v>
      </c>
      <c r="B12928" s="74" t="s">
        <v>8058</v>
      </c>
      <c r="C12928" s="74" t="s">
        <v>421</v>
      </c>
    </row>
    <row r="12929" spans="1:3">
      <c r="A12929" s="250">
        <v>30823</v>
      </c>
      <c r="B12929" s="74" t="s">
        <v>8059</v>
      </c>
      <c r="C12929" s="74" t="s">
        <v>421</v>
      </c>
    </row>
    <row r="12930" spans="1:3">
      <c r="A12930" s="250">
        <v>30824</v>
      </c>
      <c r="B12930" s="74" t="s">
        <v>8060</v>
      </c>
      <c r="C12930" s="74" t="s">
        <v>421</v>
      </c>
    </row>
    <row r="12931" spans="1:3">
      <c r="A12931" s="250">
        <v>30828</v>
      </c>
      <c r="B12931" s="74" t="s">
        <v>5537</v>
      </c>
      <c r="C12931" s="74" t="s">
        <v>421</v>
      </c>
    </row>
    <row r="12932" spans="1:3">
      <c r="A12932" s="250">
        <v>30830</v>
      </c>
      <c r="B12932" s="74" t="s">
        <v>4799</v>
      </c>
      <c r="C12932" s="74" t="s">
        <v>421</v>
      </c>
    </row>
    <row r="12933" spans="1:3">
      <c r="A12933" s="250">
        <v>30833</v>
      </c>
      <c r="B12933" s="74" t="s">
        <v>8061</v>
      </c>
      <c r="C12933" s="74" t="s">
        <v>421</v>
      </c>
    </row>
    <row r="12934" spans="1:3">
      <c r="A12934" s="250">
        <v>30901</v>
      </c>
      <c r="B12934" s="74" t="s">
        <v>1473</v>
      </c>
      <c r="C12934" s="74" t="s">
        <v>421</v>
      </c>
    </row>
    <row r="12935" spans="1:3">
      <c r="A12935" s="250">
        <v>30903</v>
      </c>
      <c r="B12935" s="74" t="s">
        <v>1473</v>
      </c>
      <c r="C12935" s="74" t="s">
        <v>421</v>
      </c>
    </row>
    <row r="12936" spans="1:3">
      <c r="A12936" s="250">
        <v>30904</v>
      </c>
      <c r="B12936" s="74" t="s">
        <v>1473</v>
      </c>
      <c r="C12936" s="74" t="s">
        <v>421</v>
      </c>
    </row>
    <row r="12937" spans="1:3">
      <c r="A12937" s="250">
        <v>30905</v>
      </c>
      <c r="B12937" s="74" t="s">
        <v>1473</v>
      </c>
      <c r="C12937" s="74" t="s">
        <v>421</v>
      </c>
    </row>
    <row r="12938" spans="1:3">
      <c r="A12938" s="250">
        <v>30906</v>
      </c>
      <c r="B12938" s="74" t="s">
        <v>1473</v>
      </c>
      <c r="C12938" s="74" t="s">
        <v>421</v>
      </c>
    </row>
    <row r="12939" spans="1:3">
      <c r="A12939" s="250">
        <v>30907</v>
      </c>
      <c r="B12939" s="74" t="s">
        <v>1473</v>
      </c>
      <c r="C12939" s="74" t="s">
        <v>421</v>
      </c>
    </row>
    <row r="12940" spans="1:3">
      <c r="A12940" s="250">
        <v>30909</v>
      </c>
      <c r="B12940" s="74" t="s">
        <v>1473</v>
      </c>
      <c r="C12940" s="74" t="s">
        <v>421</v>
      </c>
    </row>
    <row r="12941" spans="1:3">
      <c r="A12941" s="250">
        <v>30911</v>
      </c>
      <c r="B12941" s="74" t="s">
        <v>1473</v>
      </c>
      <c r="C12941" s="74" t="s">
        <v>421</v>
      </c>
    </row>
    <row r="12942" spans="1:3">
      <c r="A12942" s="250">
        <v>30912</v>
      </c>
      <c r="B12942" s="74" t="s">
        <v>1473</v>
      </c>
      <c r="C12942" s="74" t="s">
        <v>421</v>
      </c>
    </row>
    <row r="12943" spans="1:3">
      <c r="A12943" s="250">
        <v>30913</v>
      </c>
      <c r="B12943" s="74" t="s">
        <v>1473</v>
      </c>
      <c r="C12943" s="74" t="s">
        <v>421</v>
      </c>
    </row>
    <row r="12944" spans="1:3">
      <c r="A12944" s="250">
        <v>30914</v>
      </c>
      <c r="B12944" s="74" t="s">
        <v>1473</v>
      </c>
      <c r="C12944" s="74" t="s">
        <v>421</v>
      </c>
    </row>
    <row r="12945" spans="1:3">
      <c r="A12945" s="250">
        <v>30916</v>
      </c>
      <c r="B12945" s="74" t="s">
        <v>1473</v>
      </c>
      <c r="C12945" s="74" t="s">
        <v>421</v>
      </c>
    </row>
    <row r="12946" spans="1:3">
      <c r="A12946" s="250">
        <v>30917</v>
      </c>
      <c r="B12946" s="74" t="s">
        <v>1473</v>
      </c>
      <c r="C12946" s="74" t="s">
        <v>421</v>
      </c>
    </row>
    <row r="12947" spans="1:3">
      <c r="A12947" s="250">
        <v>30919</v>
      </c>
      <c r="B12947" s="74" t="s">
        <v>1473</v>
      </c>
      <c r="C12947" s="74" t="s">
        <v>421</v>
      </c>
    </row>
    <row r="12948" spans="1:3">
      <c r="A12948" s="250">
        <v>30999</v>
      </c>
      <c r="B12948" s="74" t="s">
        <v>1473</v>
      </c>
      <c r="C12948" s="74" t="s">
        <v>421</v>
      </c>
    </row>
    <row r="12949" spans="1:3">
      <c r="A12949" s="250">
        <v>31001</v>
      </c>
      <c r="B12949" s="74" t="s">
        <v>7763</v>
      </c>
      <c r="C12949" s="74" t="s">
        <v>421</v>
      </c>
    </row>
    <row r="12950" spans="1:3">
      <c r="A12950" s="250">
        <v>31002</v>
      </c>
      <c r="B12950" s="74" t="s">
        <v>4439</v>
      </c>
      <c r="C12950" s="74" t="s">
        <v>421</v>
      </c>
    </row>
    <row r="12951" spans="1:3">
      <c r="A12951" s="250">
        <v>31003</v>
      </c>
      <c r="B12951" s="74" t="s">
        <v>2507</v>
      </c>
      <c r="C12951" s="74" t="s">
        <v>421</v>
      </c>
    </row>
    <row r="12952" spans="1:3">
      <c r="A12952" s="250">
        <v>31004</v>
      </c>
      <c r="B12952" s="74" t="s">
        <v>8062</v>
      </c>
      <c r="C12952" s="74" t="s">
        <v>421</v>
      </c>
    </row>
    <row r="12953" spans="1:3">
      <c r="A12953" s="250">
        <v>31005</v>
      </c>
      <c r="B12953" s="74" t="s">
        <v>8063</v>
      </c>
      <c r="C12953" s="74" t="s">
        <v>421</v>
      </c>
    </row>
    <row r="12954" spans="1:3">
      <c r="A12954" s="250">
        <v>31006</v>
      </c>
      <c r="B12954" s="74" t="s">
        <v>2183</v>
      </c>
      <c r="C12954" s="74" t="s">
        <v>421</v>
      </c>
    </row>
    <row r="12955" spans="1:3">
      <c r="A12955" s="250">
        <v>31007</v>
      </c>
      <c r="B12955" s="74" t="s">
        <v>8064</v>
      </c>
      <c r="C12955" s="74" t="s">
        <v>421</v>
      </c>
    </row>
    <row r="12956" spans="1:3">
      <c r="A12956" s="250">
        <v>31008</v>
      </c>
      <c r="B12956" s="74" t="s">
        <v>3758</v>
      </c>
      <c r="C12956" s="74" t="s">
        <v>421</v>
      </c>
    </row>
    <row r="12957" spans="1:3">
      <c r="A12957" s="250">
        <v>31009</v>
      </c>
      <c r="B12957" s="74" t="s">
        <v>8065</v>
      </c>
      <c r="C12957" s="74" t="s">
        <v>421</v>
      </c>
    </row>
    <row r="12958" spans="1:3">
      <c r="A12958" s="250">
        <v>31010</v>
      </c>
      <c r="B12958" s="74" t="s">
        <v>8066</v>
      </c>
      <c r="C12958" s="74" t="s">
        <v>421</v>
      </c>
    </row>
    <row r="12959" spans="1:3">
      <c r="A12959" s="250">
        <v>31011</v>
      </c>
      <c r="B12959" s="74" t="s">
        <v>6741</v>
      </c>
      <c r="C12959" s="74" t="s">
        <v>421</v>
      </c>
    </row>
    <row r="12960" spans="1:3">
      <c r="A12960" s="250">
        <v>31012</v>
      </c>
      <c r="B12960" s="74" t="s">
        <v>583</v>
      </c>
      <c r="C12960" s="74" t="s">
        <v>421</v>
      </c>
    </row>
    <row r="12961" spans="1:3">
      <c r="A12961" s="250">
        <v>31013</v>
      </c>
      <c r="B12961" s="74" t="s">
        <v>8067</v>
      </c>
      <c r="C12961" s="74" t="s">
        <v>421</v>
      </c>
    </row>
    <row r="12962" spans="1:3">
      <c r="A12962" s="250">
        <v>31014</v>
      </c>
      <c r="B12962" s="74" t="s">
        <v>8068</v>
      </c>
      <c r="C12962" s="74" t="s">
        <v>421</v>
      </c>
    </row>
    <row r="12963" spans="1:3">
      <c r="A12963" s="250">
        <v>31015</v>
      </c>
      <c r="B12963" s="74" t="s">
        <v>8066</v>
      </c>
      <c r="C12963" s="74" t="s">
        <v>421</v>
      </c>
    </row>
    <row r="12964" spans="1:3">
      <c r="A12964" s="250">
        <v>31016</v>
      </c>
      <c r="B12964" s="74" t="s">
        <v>6709</v>
      </c>
      <c r="C12964" s="74" t="s">
        <v>421</v>
      </c>
    </row>
    <row r="12965" spans="1:3">
      <c r="A12965" s="250">
        <v>31017</v>
      </c>
      <c r="B12965" s="74" t="s">
        <v>1302</v>
      </c>
      <c r="C12965" s="74" t="s">
        <v>421</v>
      </c>
    </row>
    <row r="12966" spans="1:3">
      <c r="A12966" s="250">
        <v>31018</v>
      </c>
      <c r="B12966" s="74" t="s">
        <v>8069</v>
      </c>
      <c r="C12966" s="74" t="s">
        <v>421</v>
      </c>
    </row>
    <row r="12967" spans="1:3">
      <c r="A12967" s="250">
        <v>31019</v>
      </c>
      <c r="B12967" s="74" t="s">
        <v>1689</v>
      </c>
      <c r="C12967" s="74" t="s">
        <v>421</v>
      </c>
    </row>
    <row r="12968" spans="1:3">
      <c r="A12968" s="250">
        <v>31020</v>
      </c>
      <c r="B12968" s="74" t="s">
        <v>8070</v>
      </c>
      <c r="C12968" s="74" t="s">
        <v>421</v>
      </c>
    </row>
    <row r="12969" spans="1:3">
      <c r="A12969" s="250">
        <v>31021</v>
      </c>
      <c r="B12969" s="74" t="s">
        <v>1230</v>
      </c>
      <c r="C12969" s="74" t="s">
        <v>421</v>
      </c>
    </row>
    <row r="12970" spans="1:3">
      <c r="A12970" s="250">
        <v>31022</v>
      </c>
      <c r="B12970" s="74" t="s">
        <v>768</v>
      </c>
      <c r="C12970" s="74" t="s">
        <v>421</v>
      </c>
    </row>
    <row r="12971" spans="1:3">
      <c r="A12971" s="250">
        <v>31023</v>
      </c>
      <c r="B12971" s="74" t="s">
        <v>8071</v>
      </c>
      <c r="C12971" s="74" t="s">
        <v>421</v>
      </c>
    </row>
    <row r="12972" spans="1:3">
      <c r="A12972" s="250">
        <v>31024</v>
      </c>
      <c r="B12972" s="74" t="s">
        <v>8072</v>
      </c>
      <c r="C12972" s="74" t="s">
        <v>421</v>
      </c>
    </row>
    <row r="12973" spans="1:3">
      <c r="A12973" s="250">
        <v>31025</v>
      </c>
      <c r="B12973" s="74" t="s">
        <v>7815</v>
      </c>
      <c r="C12973" s="74" t="s">
        <v>421</v>
      </c>
    </row>
    <row r="12974" spans="1:3">
      <c r="A12974" s="250">
        <v>31026</v>
      </c>
      <c r="B12974" s="74" t="s">
        <v>8072</v>
      </c>
      <c r="C12974" s="74" t="s">
        <v>421</v>
      </c>
    </row>
    <row r="12975" spans="1:3">
      <c r="A12975" s="250">
        <v>31027</v>
      </c>
      <c r="B12975" s="74" t="s">
        <v>8073</v>
      </c>
      <c r="C12975" s="74" t="s">
        <v>421</v>
      </c>
    </row>
    <row r="12976" spans="1:3">
      <c r="A12976" s="250">
        <v>31028</v>
      </c>
      <c r="B12976" s="74" t="s">
        <v>1024</v>
      </c>
      <c r="C12976" s="74" t="s">
        <v>421</v>
      </c>
    </row>
    <row r="12977" spans="1:3">
      <c r="A12977" s="250">
        <v>31029</v>
      </c>
      <c r="B12977" s="74" t="s">
        <v>8074</v>
      </c>
      <c r="C12977" s="74" t="s">
        <v>421</v>
      </c>
    </row>
    <row r="12978" spans="1:3">
      <c r="A12978" s="250">
        <v>31030</v>
      </c>
      <c r="B12978" s="74" t="s">
        <v>5947</v>
      </c>
      <c r="C12978" s="74" t="s">
        <v>421</v>
      </c>
    </row>
    <row r="12979" spans="1:3">
      <c r="A12979" s="250">
        <v>31031</v>
      </c>
      <c r="B12979" s="74" t="s">
        <v>4995</v>
      </c>
      <c r="C12979" s="74" t="s">
        <v>421</v>
      </c>
    </row>
    <row r="12980" spans="1:3">
      <c r="A12980" s="250">
        <v>31032</v>
      </c>
      <c r="B12980" s="74" t="s">
        <v>1385</v>
      </c>
      <c r="C12980" s="74" t="s">
        <v>421</v>
      </c>
    </row>
    <row r="12981" spans="1:3">
      <c r="A12981" s="250">
        <v>31033</v>
      </c>
      <c r="B12981" s="74" t="s">
        <v>8075</v>
      </c>
      <c r="C12981" s="74" t="s">
        <v>421</v>
      </c>
    </row>
    <row r="12982" spans="1:3">
      <c r="A12982" s="250">
        <v>31034</v>
      </c>
      <c r="B12982" s="74" t="s">
        <v>597</v>
      </c>
      <c r="C12982" s="74" t="s">
        <v>421</v>
      </c>
    </row>
    <row r="12983" spans="1:3">
      <c r="A12983" s="250">
        <v>31035</v>
      </c>
      <c r="B12983" s="74" t="s">
        <v>1386</v>
      </c>
      <c r="C12983" s="74" t="s">
        <v>421</v>
      </c>
    </row>
    <row r="12984" spans="1:3">
      <c r="A12984" s="250">
        <v>31036</v>
      </c>
      <c r="B12984" s="74" t="s">
        <v>8076</v>
      </c>
      <c r="C12984" s="74" t="s">
        <v>421</v>
      </c>
    </row>
    <row r="12985" spans="1:3">
      <c r="A12985" s="250">
        <v>31037</v>
      </c>
      <c r="B12985" s="74" t="s">
        <v>3555</v>
      </c>
      <c r="C12985" s="74" t="s">
        <v>421</v>
      </c>
    </row>
    <row r="12986" spans="1:3">
      <c r="A12986" s="250">
        <v>31038</v>
      </c>
      <c r="B12986" s="74" t="s">
        <v>5758</v>
      </c>
      <c r="C12986" s="74" t="s">
        <v>421</v>
      </c>
    </row>
    <row r="12987" spans="1:3">
      <c r="A12987" s="250">
        <v>31039</v>
      </c>
      <c r="B12987" s="74" t="s">
        <v>4627</v>
      </c>
      <c r="C12987" s="74" t="s">
        <v>421</v>
      </c>
    </row>
    <row r="12988" spans="1:3">
      <c r="A12988" s="250">
        <v>31040</v>
      </c>
      <c r="B12988" s="74" t="s">
        <v>1230</v>
      </c>
      <c r="C12988" s="74" t="s">
        <v>421</v>
      </c>
    </row>
    <row r="12989" spans="1:3">
      <c r="A12989" s="250">
        <v>31041</v>
      </c>
      <c r="B12989" s="74" t="s">
        <v>8077</v>
      </c>
      <c r="C12989" s="74" t="s">
        <v>421</v>
      </c>
    </row>
    <row r="12990" spans="1:3">
      <c r="A12990" s="250">
        <v>31042</v>
      </c>
      <c r="B12990" s="74" t="s">
        <v>8078</v>
      </c>
      <c r="C12990" s="74" t="s">
        <v>421</v>
      </c>
    </row>
    <row r="12991" spans="1:3">
      <c r="A12991" s="250">
        <v>31044</v>
      </c>
      <c r="B12991" s="74" t="s">
        <v>1817</v>
      </c>
      <c r="C12991" s="74" t="s">
        <v>421</v>
      </c>
    </row>
    <row r="12992" spans="1:3">
      <c r="A12992" s="250">
        <v>31045</v>
      </c>
      <c r="B12992" s="74" t="s">
        <v>8079</v>
      </c>
      <c r="C12992" s="74" t="s">
        <v>421</v>
      </c>
    </row>
    <row r="12993" spans="1:3">
      <c r="A12993" s="250">
        <v>31046</v>
      </c>
      <c r="B12993" s="74" t="s">
        <v>8080</v>
      </c>
      <c r="C12993" s="74" t="s">
        <v>421</v>
      </c>
    </row>
    <row r="12994" spans="1:3">
      <c r="A12994" s="250">
        <v>31047</v>
      </c>
      <c r="B12994" s="74" t="s">
        <v>8081</v>
      </c>
      <c r="C12994" s="74" t="s">
        <v>421</v>
      </c>
    </row>
    <row r="12995" spans="1:3">
      <c r="A12995" s="250">
        <v>31049</v>
      </c>
      <c r="B12995" s="74" t="s">
        <v>8082</v>
      </c>
      <c r="C12995" s="74" t="s">
        <v>421</v>
      </c>
    </row>
    <row r="12996" spans="1:3">
      <c r="A12996" s="250">
        <v>31050</v>
      </c>
      <c r="B12996" s="74" t="s">
        <v>4677</v>
      </c>
      <c r="C12996" s="74" t="s">
        <v>421</v>
      </c>
    </row>
    <row r="12997" spans="1:3">
      <c r="A12997" s="250">
        <v>31051</v>
      </c>
      <c r="B12997" s="74" t="s">
        <v>4357</v>
      </c>
      <c r="C12997" s="74" t="s">
        <v>421</v>
      </c>
    </row>
    <row r="12998" spans="1:3">
      <c r="A12998" s="250">
        <v>31052</v>
      </c>
      <c r="B12998" s="74" t="s">
        <v>8083</v>
      </c>
      <c r="C12998" s="74" t="s">
        <v>421</v>
      </c>
    </row>
    <row r="12999" spans="1:3">
      <c r="A12999" s="250">
        <v>31054</v>
      </c>
      <c r="B12999" s="74" t="s">
        <v>4290</v>
      </c>
      <c r="C12999" s="74" t="s">
        <v>421</v>
      </c>
    </row>
    <row r="13000" spans="1:3">
      <c r="A13000" s="250">
        <v>31055</v>
      </c>
      <c r="B13000" s="74" t="s">
        <v>8084</v>
      </c>
      <c r="C13000" s="74" t="s">
        <v>421</v>
      </c>
    </row>
    <row r="13001" spans="1:3">
      <c r="A13001" s="250">
        <v>31057</v>
      </c>
      <c r="B13001" s="74" t="s">
        <v>8085</v>
      </c>
      <c r="C13001" s="74" t="s">
        <v>421</v>
      </c>
    </row>
    <row r="13002" spans="1:3">
      <c r="A13002" s="250">
        <v>31058</v>
      </c>
      <c r="B13002" s="74" t="s">
        <v>8086</v>
      </c>
      <c r="C13002" s="74" t="s">
        <v>421</v>
      </c>
    </row>
    <row r="13003" spans="1:3">
      <c r="A13003" s="250">
        <v>31059</v>
      </c>
      <c r="B13003" s="74" t="s">
        <v>8087</v>
      </c>
      <c r="C13003" s="74" t="s">
        <v>421</v>
      </c>
    </row>
    <row r="13004" spans="1:3">
      <c r="A13004" s="250">
        <v>31060</v>
      </c>
      <c r="B13004" s="74" t="s">
        <v>1256</v>
      </c>
      <c r="C13004" s="74" t="s">
        <v>421</v>
      </c>
    </row>
    <row r="13005" spans="1:3">
      <c r="A13005" s="250">
        <v>31061</v>
      </c>
      <c r="B13005" s="74" t="s">
        <v>8087</v>
      </c>
      <c r="C13005" s="74" t="s">
        <v>421</v>
      </c>
    </row>
    <row r="13006" spans="1:3">
      <c r="A13006" s="250">
        <v>31062</v>
      </c>
      <c r="B13006" s="74" t="s">
        <v>8087</v>
      </c>
      <c r="C13006" s="74" t="s">
        <v>421</v>
      </c>
    </row>
    <row r="13007" spans="1:3">
      <c r="A13007" s="250">
        <v>31063</v>
      </c>
      <c r="B13007" s="74" t="s">
        <v>3391</v>
      </c>
      <c r="C13007" s="74" t="s">
        <v>421</v>
      </c>
    </row>
    <row r="13008" spans="1:3">
      <c r="A13008" s="250">
        <v>31064</v>
      </c>
      <c r="B13008" s="74" t="s">
        <v>1639</v>
      </c>
      <c r="C13008" s="74" t="s">
        <v>421</v>
      </c>
    </row>
    <row r="13009" spans="1:3">
      <c r="A13009" s="250">
        <v>31065</v>
      </c>
      <c r="B13009" s="74" t="s">
        <v>2645</v>
      </c>
      <c r="C13009" s="74" t="s">
        <v>421</v>
      </c>
    </row>
    <row r="13010" spans="1:3">
      <c r="A13010" s="250">
        <v>31066</v>
      </c>
      <c r="B13010" s="74" t="s">
        <v>8088</v>
      </c>
      <c r="C13010" s="74" t="s">
        <v>421</v>
      </c>
    </row>
    <row r="13011" spans="1:3">
      <c r="A13011" s="250">
        <v>31067</v>
      </c>
      <c r="B13011" s="74" t="s">
        <v>8089</v>
      </c>
      <c r="C13011" s="74" t="s">
        <v>421</v>
      </c>
    </row>
    <row r="13012" spans="1:3">
      <c r="A13012" s="250">
        <v>31068</v>
      </c>
      <c r="B13012" s="74" t="s">
        <v>8090</v>
      </c>
      <c r="C13012" s="74" t="s">
        <v>421</v>
      </c>
    </row>
    <row r="13013" spans="1:3">
      <c r="A13013" s="250">
        <v>31069</v>
      </c>
      <c r="B13013" s="74" t="s">
        <v>1602</v>
      </c>
      <c r="C13013" s="74" t="s">
        <v>421</v>
      </c>
    </row>
    <row r="13014" spans="1:3">
      <c r="A13014" s="250">
        <v>31070</v>
      </c>
      <c r="B13014" s="74" t="s">
        <v>824</v>
      </c>
      <c r="C13014" s="74" t="s">
        <v>421</v>
      </c>
    </row>
    <row r="13015" spans="1:3">
      <c r="A13015" s="250">
        <v>31071</v>
      </c>
      <c r="B13015" s="74" t="s">
        <v>8091</v>
      </c>
      <c r="C13015" s="74" t="s">
        <v>421</v>
      </c>
    </row>
    <row r="13016" spans="1:3">
      <c r="A13016" s="250">
        <v>31072</v>
      </c>
      <c r="B13016" s="74" t="s">
        <v>8092</v>
      </c>
      <c r="C13016" s="74" t="s">
        <v>421</v>
      </c>
    </row>
    <row r="13017" spans="1:3">
      <c r="A13017" s="250">
        <v>31075</v>
      </c>
      <c r="B13017" s="74" t="s">
        <v>8093</v>
      </c>
      <c r="C13017" s="74" t="s">
        <v>421</v>
      </c>
    </row>
    <row r="13018" spans="1:3">
      <c r="A13018" s="250">
        <v>31076</v>
      </c>
      <c r="B13018" s="74" t="s">
        <v>8094</v>
      </c>
      <c r="C13018" s="74" t="s">
        <v>421</v>
      </c>
    </row>
    <row r="13019" spans="1:3">
      <c r="A13019" s="250">
        <v>31077</v>
      </c>
      <c r="B13019" s="74" t="s">
        <v>8095</v>
      </c>
      <c r="C13019" s="74" t="s">
        <v>421</v>
      </c>
    </row>
    <row r="13020" spans="1:3">
      <c r="A13020" s="250">
        <v>31078</v>
      </c>
      <c r="B13020" s="74" t="s">
        <v>8096</v>
      </c>
      <c r="C13020" s="74" t="s">
        <v>421</v>
      </c>
    </row>
    <row r="13021" spans="1:3">
      <c r="A13021" s="250">
        <v>31079</v>
      </c>
      <c r="B13021" s="74" t="s">
        <v>5976</v>
      </c>
      <c r="C13021" s="74" t="s">
        <v>421</v>
      </c>
    </row>
    <row r="13022" spans="1:3">
      <c r="A13022" s="250">
        <v>31081</v>
      </c>
      <c r="B13022" s="74" t="s">
        <v>1889</v>
      </c>
      <c r="C13022" s="74" t="s">
        <v>421</v>
      </c>
    </row>
    <row r="13023" spans="1:3">
      <c r="A13023" s="250">
        <v>31082</v>
      </c>
      <c r="B13023" s="74" t="s">
        <v>8097</v>
      </c>
      <c r="C13023" s="74" t="s">
        <v>421</v>
      </c>
    </row>
    <row r="13024" spans="1:3">
      <c r="A13024" s="250">
        <v>31083</v>
      </c>
      <c r="B13024" s="74" t="s">
        <v>2003</v>
      </c>
      <c r="C13024" s="74" t="s">
        <v>421</v>
      </c>
    </row>
    <row r="13025" spans="1:3">
      <c r="A13025" s="250">
        <v>31084</v>
      </c>
      <c r="B13025" s="74" t="s">
        <v>8098</v>
      </c>
      <c r="C13025" s="74" t="s">
        <v>421</v>
      </c>
    </row>
    <row r="13026" spans="1:3">
      <c r="A13026" s="250">
        <v>31085</v>
      </c>
      <c r="B13026" s="74" t="s">
        <v>8099</v>
      </c>
      <c r="C13026" s="74" t="s">
        <v>421</v>
      </c>
    </row>
    <row r="13027" spans="1:3">
      <c r="A13027" s="250">
        <v>31086</v>
      </c>
      <c r="B13027" s="74" t="s">
        <v>8100</v>
      </c>
      <c r="C13027" s="74" t="s">
        <v>421</v>
      </c>
    </row>
    <row r="13028" spans="1:3">
      <c r="A13028" s="250">
        <v>31087</v>
      </c>
      <c r="B13028" s="74" t="s">
        <v>2327</v>
      </c>
      <c r="C13028" s="74" t="s">
        <v>421</v>
      </c>
    </row>
    <row r="13029" spans="1:3">
      <c r="A13029" s="250">
        <v>31088</v>
      </c>
      <c r="B13029" s="74" t="s">
        <v>8101</v>
      </c>
      <c r="C13029" s="74" t="s">
        <v>421</v>
      </c>
    </row>
    <row r="13030" spans="1:3">
      <c r="A13030" s="250">
        <v>31089</v>
      </c>
      <c r="B13030" s="74" t="s">
        <v>8102</v>
      </c>
      <c r="C13030" s="74" t="s">
        <v>421</v>
      </c>
    </row>
    <row r="13031" spans="1:3">
      <c r="A13031" s="250">
        <v>31090</v>
      </c>
      <c r="B13031" s="74" t="s">
        <v>8103</v>
      </c>
      <c r="C13031" s="74" t="s">
        <v>421</v>
      </c>
    </row>
    <row r="13032" spans="1:3">
      <c r="A13032" s="250">
        <v>31091</v>
      </c>
      <c r="B13032" s="74" t="s">
        <v>3657</v>
      </c>
      <c r="C13032" s="74" t="s">
        <v>421</v>
      </c>
    </row>
    <row r="13033" spans="1:3">
      <c r="A13033" s="250">
        <v>31092</v>
      </c>
      <c r="B13033" s="74" t="s">
        <v>1486</v>
      </c>
      <c r="C13033" s="74" t="s">
        <v>421</v>
      </c>
    </row>
    <row r="13034" spans="1:3">
      <c r="A13034" s="250">
        <v>31093</v>
      </c>
      <c r="B13034" s="74" t="s">
        <v>8101</v>
      </c>
      <c r="C13034" s="74" t="s">
        <v>421</v>
      </c>
    </row>
    <row r="13035" spans="1:3">
      <c r="A13035" s="250">
        <v>31094</v>
      </c>
      <c r="B13035" s="74" t="s">
        <v>8104</v>
      </c>
      <c r="C13035" s="74" t="s">
        <v>421</v>
      </c>
    </row>
    <row r="13036" spans="1:3">
      <c r="A13036" s="250">
        <v>31095</v>
      </c>
      <c r="B13036" s="74" t="s">
        <v>8101</v>
      </c>
      <c r="C13036" s="74" t="s">
        <v>421</v>
      </c>
    </row>
    <row r="13037" spans="1:3">
      <c r="A13037" s="250">
        <v>31096</v>
      </c>
      <c r="B13037" s="74" t="s">
        <v>4842</v>
      </c>
      <c r="C13037" s="74" t="s">
        <v>421</v>
      </c>
    </row>
    <row r="13038" spans="1:3">
      <c r="A13038" s="250">
        <v>31097</v>
      </c>
      <c r="B13038" s="74" t="s">
        <v>8105</v>
      </c>
      <c r="C13038" s="74" t="s">
        <v>421</v>
      </c>
    </row>
    <row r="13039" spans="1:3">
      <c r="A13039" s="250">
        <v>31098</v>
      </c>
      <c r="B13039" s="74" t="s">
        <v>8101</v>
      </c>
      <c r="C13039" s="74" t="s">
        <v>421</v>
      </c>
    </row>
    <row r="13040" spans="1:3">
      <c r="A13040" s="250">
        <v>31099</v>
      </c>
      <c r="B13040" s="74" t="s">
        <v>8101</v>
      </c>
      <c r="C13040" s="74" t="s">
        <v>421</v>
      </c>
    </row>
    <row r="13041" spans="1:3">
      <c r="A13041" s="250">
        <v>31106</v>
      </c>
      <c r="B13041" s="74" t="s">
        <v>3895</v>
      </c>
      <c r="C13041" s="74" t="s">
        <v>421</v>
      </c>
    </row>
    <row r="13042" spans="1:3">
      <c r="A13042" s="250">
        <v>31107</v>
      </c>
      <c r="B13042" s="74" t="s">
        <v>3895</v>
      </c>
      <c r="C13042" s="74" t="s">
        <v>421</v>
      </c>
    </row>
    <row r="13043" spans="1:3">
      <c r="A13043" s="250">
        <v>31119</v>
      </c>
      <c r="B13043" s="74" t="s">
        <v>3895</v>
      </c>
      <c r="C13043" s="74" t="s">
        <v>421</v>
      </c>
    </row>
    <row r="13044" spans="1:3">
      <c r="A13044" s="250">
        <v>31120</v>
      </c>
      <c r="B13044" s="74" t="s">
        <v>3895</v>
      </c>
      <c r="C13044" s="74" t="s">
        <v>421</v>
      </c>
    </row>
    <row r="13045" spans="1:3">
      <c r="A13045" s="250">
        <v>31126</v>
      </c>
      <c r="B13045" s="74" t="s">
        <v>3895</v>
      </c>
      <c r="C13045" s="74" t="s">
        <v>421</v>
      </c>
    </row>
    <row r="13046" spans="1:3">
      <c r="A13046" s="250">
        <v>31131</v>
      </c>
      <c r="B13046" s="74" t="s">
        <v>3895</v>
      </c>
      <c r="C13046" s="74" t="s">
        <v>421</v>
      </c>
    </row>
    <row r="13047" spans="1:3">
      <c r="A13047" s="250">
        <v>31136</v>
      </c>
      <c r="B13047" s="74" t="s">
        <v>3895</v>
      </c>
      <c r="C13047" s="74" t="s">
        <v>421</v>
      </c>
    </row>
    <row r="13048" spans="1:3">
      <c r="A13048" s="250">
        <v>31139</v>
      </c>
      <c r="B13048" s="74" t="s">
        <v>3895</v>
      </c>
      <c r="C13048" s="74" t="s">
        <v>421</v>
      </c>
    </row>
    <row r="13049" spans="1:3">
      <c r="A13049" s="250">
        <v>31141</v>
      </c>
      <c r="B13049" s="74" t="s">
        <v>3895</v>
      </c>
      <c r="C13049" s="74" t="s">
        <v>421</v>
      </c>
    </row>
    <row r="13050" spans="1:3">
      <c r="A13050" s="250">
        <v>31144</v>
      </c>
      <c r="B13050" s="74" t="s">
        <v>7891</v>
      </c>
      <c r="C13050" s="74" t="s">
        <v>421</v>
      </c>
    </row>
    <row r="13051" spans="1:3">
      <c r="A13051" s="250">
        <v>31145</v>
      </c>
      <c r="B13051" s="74" t="s">
        <v>3895</v>
      </c>
      <c r="C13051" s="74" t="s">
        <v>421</v>
      </c>
    </row>
    <row r="13052" spans="1:3">
      <c r="A13052" s="250">
        <v>31146</v>
      </c>
      <c r="B13052" s="74" t="s">
        <v>3895</v>
      </c>
      <c r="C13052" s="74" t="s">
        <v>421</v>
      </c>
    </row>
    <row r="13053" spans="1:3">
      <c r="A13053" s="250">
        <v>31150</v>
      </c>
      <c r="B13053" s="74" t="s">
        <v>3895</v>
      </c>
      <c r="C13053" s="74" t="s">
        <v>421</v>
      </c>
    </row>
    <row r="13054" spans="1:3">
      <c r="A13054" s="250">
        <v>31156</v>
      </c>
      <c r="B13054" s="74" t="s">
        <v>3895</v>
      </c>
      <c r="C13054" s="74" t="s">
        <v>421</v>
      </c>
    </row>
    <row r="13055" spans="1:3">
      <c r="A13055" s="250">
        <v>31169</v>
      </c>
      <c r="B13055" s="74" t="s">
        <v>7924</v>
      </c>
      <c r="C13055" s="74" t="s">
        <v>421</v>
      </c>
    </row>
    <row r="13056" spans="1:3">
      <c r="A13056" s="250">
        <v>31191</v>
      </c>
      <c r="B13056" s="74" t="s">
        <v>3895</v>
      </c>
      <c r="C13056" s="74" t="s">
        <v>421</v>
      </c>
    </row>
    <row r="13057" spans="1:3">
      <c r="A13057" s="250">
        <v>31192</v>
      </c>
      <c r="B13057" s="74" t="s">
        <v>3895</v>
      </c>
      <c r="C13057" s="74" t="s">
        <v>421</v>
      </c>
    </row>
    <row r="13058" spans="1:3">
      <c r="A13058" s="250">
        <v>31193</v>
      </c>
      <c r="B13058" s="74" t="s">
        <v>3895</v>
      </c>
      <c r="C13058" s="74" t="s">
        <v>421</v>
      </c>
    </row>
    <row r="13059" spans="1:3">
      <c r="A13059" s="250">
        <v>31195</v>
      </c>
      <c r="B13059" s="74" t="s">
        <v>3895</v>
      </c>
      <c r="C13059" s="74" t="s">
        <v>421</v>
      </c>
    </row>
    <row r="13060" spans="1:3">
      <c r="A13060" s="250">
        <v>31196</v>
      </c>
      <c r="B13060" s="74" t="s">
        <v>3895</v>
      </c>
      <c r="C13060" s="74" t="s">
        <v>421</v>
      </c>
    </row>
    <row r="13061" spans="1:3">
      <c r="A13061" s="250">
        <v>31197</v>
      </c>
      <c r="B13061" s="74" t="s">
        <v>3895</v>
      </c>
      <c r="C13061" s="74" t="s">
        <v>421</v>
      </c>
    </row>
    <row r="13062" spans="1:3">
      <c r="A13062" s="250">
        <v>31198</v>
      </c>
      <c r="B13062" s="74" t="s">
        <v>3895</v>
      </c>
      <c r="C13062" s="74" t="s">
        <v>421</v>
      </c>
    </row>
    <row r="13063" spans="1:3">
      <c r="A13063" s="250">
        <v>31199</v>
      </c>
      <c r="B13063" s="74" t="s">
        <v>3895</v>
      </c>
      <c r="C13063" s="74" t="s">
        <v>421</v>
      </c>
    </row>
    <row r="13064" spans="1:3">
      <c r="A13064" s="250">
        <v>31201</v>
      </c>
      <c r="B13064" s="74" t="s">
        <v>6077</v>
      </c>
      <c r="C13064" s="74" t="s">
        <v>421</v>
      </c>
    </row>
    <row r="13065" spans="1:3">
      <c r="A13065" s="250">
        <v>31202</v>
      </c>
      <c r="B13065" s="74" t="s">
        <v>6077</v>
      </c>
      <c r="C13065" s="74" t="s">
        <v>421</v>
      </c>
    </row>
    <row r="13066" spans="1:3">
      <c r="A13066" s="250">
        <v>31203</v>
      </c>
      <c r="B13066" s="74" t="s">
        <v>6077</v>
      </c>
      <c r="C13066" s="74" t="s">
        <v>421</v>
      </c>
    </row>
    <row r="13067" spans="1:3">
      <c r="A13067" s="250">
        <v>31204</v>
      </c>
      <c r="B13067" s="74" t="s">
        <v>6077</v>
      </c>
      <c r="C13067" s="74" t="s">
        <v>421</v>
      </c>
    </row>
    <row r="13068" spans="1:3">
      <c r="A13068" s="250">
        <v>31205</v>
      </c>
      <c r="B13068" s="74" t="s">
        <v>6077</v>
      </c>
      <c r="C13068" s="74" t="s">
        <v>421</v>
      </c>
    </row>
    <row r="13069" spans="1:3">
      <c r="A13069" s="250">
        <v>31206</v>
      </c>
      <c r="B13069" s="74" t="s">
        <v>6077</v>
      </c>
      <c r="C13069" s="74" t="s">
        <v>421</v>
      </c>
    </row>
    <row r="13070" spans="1:3">
      <c r="A13070" s="250">
        <v>31207</v>
      </c>
      <c r="B13070" s="74" t="s">
        <v>6077</v>
      </c>
      <c r="C13070" s="74" t="s">
        <v>421</v>
      </c>
    </row>
    <row r="13071" spans="1:3">
      <c r="A13071" s="250">
        <v>31208</v>
      </c>
      <c r="B13071" s="74" t="s">
        <v>6077</v>
      </c>
      <c r="C13071" s="74" t="s">
        <v>421</v>
      </c>
    </row>
    <row r="13072" spans="1:3">
      <c r="A13072" s="250">
        <v>31209</v>
      </c>
      <c r="B13072" s="74" t="s">
        <v>6077</v>
      </c>
      <c r="C13072" s="74" t="s">
        <v>421</v>
      </c>
    </row>
    <row r="13073" spans="1:3">
      <c r="A13073" s="250">
        <v>31210</v>
      </c>
      <c r="B13073" s="74" t="s">
        <v>6077</v>
      </c>
      <c r="C13073" s="74" t="s">
        <v>421</v>
      </c>
    </row>
    <row r="13074" spans="1:3">
      <c r="A13074" s="250">
        <v>31211</v>
      </c>
      <c r="B13074" s="74" t="s">
        <v>6077</v>
      </c>
      <c r="C13074" s="74" t="s">
        <v>421</v>
      </c>
    </row>
    <row r="13075" spans="1:3">
      <c r="A13075" s="250">
        <v>31212</v>
      </c>
      <c r="B13075" s="74" t="s">
        <v>6077</v>
      </c>
      <c r="C13075" s="74" t="s">
        <v>421</v>
      </c>
    </row>
    <row r="13076" spans="1:3">
      <c r="A13076" s="250">
        <v>31213</v>
      </c>
      <c r="B13076" s="74" t="s">
        <v>6077</v>
      </c>
      <c r="C13076" s="74" t="s">
        <v>421</v>
      </c>
    </row>
    <row r="13077" spans="1:3">
      <c r="A13077" s="250">
        <v>31216</v>
      </c>
      <c r="B13077" s="74" t="s">
        <v>6077</v>
      </c>
      <c r="C13077" s="74" t="s">
        <v>421</v>
      </c>
    </row>
    <row r="13078" spans="1:3">
      <c r="A13078" s="250">
        <v>31217</v>
      </c>
      <c r="B13078" s="74" t="s">
        <v>6077</v>
      </c>
      <c r="C13078" s="74" t="s">
        <v>421</v>
      </c>
    </row>
    <row r="13079" spans="1:3">
      <c r="A13079" s="250">
        <v>31220</v>
      </c>
      <c r="B13079" s="74" t="s">
        <v>6077</v>
      </c>
      <c r="C13079" s="74" t="s">
        <v>421</v>
      </c>
    </row>
    <row r="13080" spans="1:3">
      <c r="A13080" s="250">
        <v>31221</v>
      </c>
      <c r="B13080" s="74" t="s">
        <v>6077</v>
      </c>
      <c r="C13080" s="74" t="s">
        <v>421</v>
      </c>
    </row>
    <row r="13081" spans="1:3">
      <c r="A13081" s="250">
        <v>31294</v>
      </c>
      <c r="B13081" s="74" t="s">
        <v>6077</v>
      </c>
      <c r="C13081" s="74" t="s">
        <v>421</v>
      </c>
    </row>
    <row r="13082" spans="1:3">
      <c r="A13082" s="250">
        <v>31295</v>
      </c>
      <c r="B13082" s="74" t="s">
        <v>6077</v>
      </c>
      <c r="C13082" s="74" t="s">
        <v>421</v>
      </c>
    </row>
    <row r="13083" spans="1:3">
      <c r="A13083" s="250">
        <v>31296</v>
      </c>
      <c r="B13083" s="74" t="s">
        <v>6077</v>
      </c>
      <c r="C13083" s="74" t="s">
        <v>421</v>
      </c>
    </row>
    <row r="13084" spans="1:3">
      <c r="A13084" s="250">
        <v>31297</v>
      </c>
      <c r="B13084" s="74" t="s">
        <v>6077</v>
      </c>
      <c r="C13084" s="74" t="s">
        <v>421</v>
      </c>
    </row>
    <row r="13085" spans="1:3">
      <c r="A13085" s="250">
        <v>31301</v>
      </c>
      <c r="B13085" s="74" t="s">
        <v>2256</v>
      </c>
      <c r="C13085" s="74" t="s">
        <v>421</v>
      </c>
    </row>
    <row r="13086" spans="1:3">
      <c r="A13086" s="250">
        <v>31302</v>
      </c>
      <c r="B13086" s="74" t="s">
        <v>2182</v>
      </c>
      <c r="C13086" s="74" t="s">
        <v>421</v>
      </c>
    </row>
    <row r="13087" spans="1:3">
      <c r="A13087" s="250">
        <v>31303</v>
      </c>
      <c r="B13087" s="74" t="s">
        <v>8106</v>
      </c>
      <c r="C13087" s="74" t="s">
        <v>421</v>
      </c>
    </row>
    <row r="13088" spans="1:3">
      <c r="A13088" s="250">
        <v>31304</v>
      </c>
      <c r="B13088" s="74" t="s">
        <v>3984</v>
      </c>
      <c r="C13088" s="74" t="s">
        <v>421</v>
      </c>
    </row>
    <row r="13089" spans="1:3">
      <c r="A13089" s="250">
        <v>31305</v>
      </c>
      <c r="B13089" s="74" t="s">
        <v>2100</v>
      </c>
      <c r="C13089" s="74" t="s">
        <v>421</v>
      </c>
    </row>
    <row r="13090" spans="1:3">
      <c r="A13090" s="250">
        <v>31307</v>
      </c>
      <c r="B13090" s="74" t="s">
        <v>1844</v>
      </c>
      <c r="C13090" s="74" t="s">
        <v>421</v>
      </c>
    </row>
    <row r="13091" spans="1:3">
      <c r="A13091" s="250">
        <v>31308</v>
      </c>
      <c r="B13091" s="74" t="s">
        <v>8107</v>
      </c>
      <c r="C13091" s="74" t="s">
        <v>421</v>
      </c>
    </row>
    <row r="13092" spans="1:3">
      <c r="A13092" s="250">
        <v>31309</v>
      </c>
      <c r="B13092" s="74" t="s">
        <v>4622</v>
      </c>
      <c r="C13092" s="74" t="s">
        <v>421</v>
      </c>
    </row>
    <row r="13093" spans="1:3">
      <c r="A13093" s="250">
        <v>31310</v>
      </c>
      <c r="B13093" s="74" t="s">
        <v>8108</v>
      </c>
      <c r="C13093" s="74" t="s">
        <v>421</v>
      </c>
    </row>
    <row r="13094" spans="1:3">
      <c r="A13094" s="250">
        <v>31312</v>
      </c>
      <c r="B13094" s="74" t="s">
        <v>8109</v>
      </c>
      <c r="C13094" s="74" t="s">
        <v>421</v>
      </c>
    </row>
    <row r="13095" spans="1:3">
      <c r="A13095" s="250">
        <v>31313</v>
      </c>
      <c r="B13095" s="74" t="s">
        <v>8108</v>
      </c>
      <c r="C13095" s="74" t="s">
        <v>421</v>
      </c>
    </row>
    <row r="13096" spans="1:3">
      <c r="A13096" s="250">
        <v>31314</v>
      </c>
      <c r="B13096" s="74" t="s">
        <v>8110</v>
      </c>
      <c r="C13096" s="74" t="s">
        <v>421</v>
      </c>
    </row>
    <row r="13097" spans="1:3">
      <c r="A13097" s="250">
        <v>31315</v>
      </c>
      <c r="B13097" s="74" t="s">
        <v>8110</v>
      </c>
      <c r="C13097" s="74" t="s">
        <v>421</v>
      </c>
    </row>
    <row r="13098" spans="1:3">
      <c r="A13098" s="250">
        <v>31316</v>
      </c>
      <c r="B13098" s="74" t="s">
        <v>8111</v>
      </c>
      <c r="C13098" s="74" t="s">
        <v>421</v>
      </c>
    </row>
    <row r="13099" spans="1:3">
      <c r="A13099" s="250">
        <v>31318</v>
      </c>
      <c r="B13099" s="74" t="s">
        <v>8112</v>
      </c>
      <c r="C13099" s="74" t="s">
        <v>421</v>
      </c>
    </row>
    <row r="13100" spans="1:3">
      <c r="A13100" s="250">
        <v>31319</v>
      </c>
      <c r="B13100" s="74" t="s">
        <v>3388</v>
      </c>
      <c r="C13100" s="74" t="s">
        <v>421</v>
      </c>
    </row>
    <row r="13101" spans="1:3">
      <c r="A13101" s="250">
        <v>31320</v>
      </c>
      <c r="B13101" s="74" t="s">
        <v>3995</v>
      </c>
      <c r="C13101" s="74" t="s">
        <v>421</v>
      </c>
    </row>
    <row r="13102" spans="1:3">
      <c r="A13102" s="250">
        <v>31321</v>
      </c>
      <c r="B13102" s="74" t="s">
        <v>955</v>
      </c>
      <c r="C13102" s="74" t="s">
        <v>421</v>
      </c>
    </row>
    <row r="13103" spans="1:3">
      <c r="A13103" s="250">
        <v>31322</v>
      </c>
      <c r="B13103" s="74" t="s">
        <v>8113</v>
      </c>
      <c r="C13103" s="74" t="s">
        <v>421</v>
      </c>
    </row>
    <row r="13104" spans="1:3">
      <c r="A13104" s="250">
        <v>31323</v>
      </c>
      <c r="B13104" s="74" t="s">
        <v>8114</v>
      </c>
      <c r="C13104" s="74" t="s">
        <v>421</v>
      </c>
    </row>
    <row r="13105" spans="1:3">
      <c r="A13105" s="250">
        <v>31324</v>
      </c>
      <c r="B13105" s="74" t="s">
        <v>2755</v>
      </c>
      <c r="C13105" s="74" t="s">
        <v>421</v>
      </c>
    </row>
    <row r="13106" spans="1:3">
      <c r="A13106" s="250">
        <v>31326</v>
      </c>
      <c r="B13106" s="74" t="s">
        <v>505</v>
      </c>
      <c r="C13106" s="74" t="s">
        <v>421</v>
      </c>
    </row>
    <row r="13107" spans="1:3">
      <c r="A13107" s="250">
        <v>31327</v>
      </c>
      <c r="B13107" s="74" t="s">
        <v>8115</v>
      </c>
      <c r="C13107" s="74" t="s">
        <v>421</v>
      </c>
    </row>
    <row r="13108" spans="1:3">
      <c r="A13108" s="250">
        <v>31328</v>
      </c>
      <c r="B13108" s="74" t="s">
        <v>8116</v>
      </c>
      <c r="C13108" s="74" t="s">
        <v>421</v>
      </c>
    </row>
    <row r="13109" spans="1:3">
      <c r="A13109" s="250">
        <v>31329</v>
      </c>
      <c r="B13109" s="74" t="s">
        <v>634</v>
      </c>
      <c r="C13109" s="74" t="s">
        <v>421</v>
      </c>
    </row>
    <row r="13110" spans="1:3">
      <c r="A13110" s="250">
        <v>31331</v>
      </c>
      <c r="B13110" s="74" t="s">
        <v>719</v>
      </c>
      <c r="C13110" s="74" t="s">
        <v>421</v>
      </c>
    </row>
    <row r="13111" spans="1:3">
      <c r="A13111" s="250">
        <v>31333</v>
      </c>
      <c r="B13111" s="74" t="s">
        <v>8117</v>
      </c>
      <c r="C13111" s="74" t="s">
        <v>421</v>
      </c>
    </row>
    <row r="13112" spans="1:3">
      <c r="A13112" s="250">
        <v>31401</v>
      </c>
      <c r="B13112" s="74" t="s">
        <v>3411</v>
      </c>
      <c r="C13112" s="74" t="s">
        <v>421</v>
      </c>
    </row>
    <row r="13113" spans="1:3">
      <c r="A13113" s="250">
        <v>31402</v>
      </c>
      <c r="B13113" s="74" t="s">
        <v>3411</v>
      </c>
      <c r="C13113" s="74" t="s">
        <v>421</v>
      </c>
    </row>
    <row r="13114" spans="1:3">
      <c r="A13114" s="250">
        <v>31403</v>
      </c>
      <c r="B13114" s="74" t="s">
        <v>3411</v>
      </c>
      <c r="C13114" s="74" t="s">
        <v>421</v>
      </c>
    </row>
    <row r="13115" spans="1:3">
      <c r="A13115" s="250">
        <v>31404</v>
      </c>
      <c r="B13115" s="74" t="s">
        <v>3411</v>
      </c>
      <c r="C13115" s="74" t="s">
        <v>421</v>
      </c>
    </row>
    <row r="13116" spans="1:3">
      <c r="A13116" s="250">
        <v>31405</v>
      </c>
      <c r="B13116" s="74" t="s">
        <v>3411</v>
      </c>
      <c r="C13116" s="74" t="s">
        <v>421</v>
      </c>
    </row>
    <row r="13117" spans="1:3">
      <c r="A13117" s="250">
        <v>31406</v>
      </c>
      <c r="B13117" s="74" t="s">
        <v>3411</v>
      </c>
      <c r="C13117" s="74" t="s">
        <v>421</v>
      </c>
    </row>
    <row r="13118" spans="1:3">
      <c r="A13118" s="250">
        <v>31407</v>
      </c>
      <c r="B13118" s="74" t="s">
        <v>3411</v>
      </c>
      <c r="C13118" s="74" t="s">
        <v>421</v>
      </c>
    </row>
    <row r="13119" spans="1:3">
      <c r="A13119" s="250">
        <v>31408</v>
      </c>
      <c r="B13119" s="74" t="s">
        <v>3411</v>
      </c>
      <c r="C13119" s="74" t="s">
        <v>421</v>
      </c>
    </row>
    <row r="13120" spans="1:3">
      <c r="A13120" s="250">
        <v>31409</v>
      </c>
      <c r="B13120" s="74" t="s">
        <v>3411</v>
      </c>
      <c r="C13120" s="74" t="s">
        <v>421</v>
      </c>
    </row>
    <row r="13121" spans="1:3">
      <c r="A13121" s="250">
        <v>31410</v>
      </c>
      <c r="B13121" s="74" t="s">
        <v>3411</v>
      </c>
      <c r="C13121" s="74" t="s">
        <v>421</v>
      </c>
    </row>
    <row r="13122" spans="1:3">
      <c r="A13122" s="250">
        <v>31411</v>
      </c>
      <c r="B13122" s="74" t="s">
        <v>3411</v>
      </c>
      <c r="C13122" s="74" t="s">
        <v>421</v>
      </c>
    </row>
    <row r="13123" spans="1:3">
      <c r="A13123" s="250">
        <v>31412</v>
      </c>
      <c r="B13123" s="74" t="s">
        <v>3411</v>
      </c>
      <c r="C13123" s="74" t="s">
        <v>421</v>
      </c>
    </row>
    <row r="13124" spans="1:3">
      <c r="A13124" s="250">
        <v>31414</v>
      </c>
      <c r="B13124" s="74" t="s">
        <v>3411</v>
      </c>
      <c r="C13124" s="74" t="s">
        <v>421</v>
      </c>
    </row>
    <row r="13125" spans="1:3">
      <c r="A13125" s="250">
        <v>31415</v>
      </c>
      <c r="B13125" s="74" t="s">
        <v>3411</v>
      </c>
      <c r="C13125" s="74" t="s">
        <v>421</v>
      </c>
    </row>
    <row r="13126" spans="1:3">
      <c r="A13126" s="250">
        <v>31416</v>
      </c>
      <c r="B13126" s="74" t="s">
        <v>3411</v>
      </c>
      <c r="C13126" s="74" t="s">
        <v>421</v>
      </c>
    </row>
    <row r="13127" spans="1:3">
      <c r="A13127" s="250">
        <v>31418</v>
      </c>
      <c r="B13127" s="74" t="s">
        <v>3411</v>
      </c>
      <c r="C13127" s="74" t="s">
        <v>421</v>
      </c>
    </row>
    <row r="13128" spans="1:3">
      <c r="A13128" s="250">
        <v>31419</v>
      </c>
      <c r="B13128" s="74" t="s">
        <v>3411</v>
      </c>
      <c r="C13128" s="74" t="s">
        <v>421</v>
      </c>
    </row>
    <row r="13129" spans="1:3">
      <c r="A13129" s="250">
        <v>31420</v>
      </c>
      <c r="B13129" s="74" t="s">
        <v>3411</v>
      </c>
      <c r="C13129" s="74" t="s">
        <v>421</v>
      </c>
    </row>
    <row r="13130" spans="1:3">
      <c r="A13130" s="250">
        <v>31421</v>
      </c>
      <c r="B13130" s="74" t="s">
        <v>3411</v>
      </c>
      <c r="C13130" s="74" t="s">
        <v>421</v>
      </c>
    </row>
    <row r="13131" spans="1:3">
      <c r="A13131" s="250">
        <v>31501</v>
      </c>
      <c r="B13131" s="74" t="s">
        <v>8118</v>
      </c>
      <c r="C13131" s="74" t="s">
        <v>421</v>
      </c>
    </row>
    <row r="13132" spans="1:3">
      <c r="A13132" s="250">
        <v>31502</v>
      </c>
      <c r="B13132" s="74" t="s">
        <v>8118</v>
      </c>
      <c r="C13132" s="74" t="s">
        <v>421</v>
      </c>
    </row>
    <row r="13133" spans="1:3">
      <c r="A13133" s="250">
        <v>31503</v>
      </c>
      <c r="B13133" s="74" t="s">
        <v>8118</v>
      </c>
      <c r="C13133" s="74" t="s">
        <v>421</v>
      </c>
    </row>
    <row r="13134" spans="1:3">
      <c r="A13134" s="250">
        <v>31510</v>
      </c>
      <c r="B13134" s="74" t="s">
        <v>3841</v>
      </c>
      <c r="C13134" s="74" t="s">
        <v>421</v>
      </c>
    </row>
    <row r="13135" spans="1:3">
      <c r="A13135" s="250">
        <v>31512</v>
      </c>
      <c r="B13135" s="74" t="s">
        <v>8119</v>
      </c>
      <c r="C13135" s="74" t="s">
        <v>421</v>
      </c>
    </row>
    <row r="13136" spans="1:3">
      <c r="A13136" s="250">
        <v>31513</v>
      </c>
      <c r="B13136" s="74" t="s">
        <v>8120</v>
      </c>
      <c r="C13136" s="74" t="s">
        <v>421</v>
      </c>
    </row>
    <row r="13137" spans="1:3">
      <c r="A13137" s="250">
        <v>31515</v>
      </c>
      <c r="B13137" s="74" t="s">
        <v>8120</v>
      </c>
      <c r="C13137" s="74" t="s">
        <v>421</v>
      </c>
    </row>
    <row r="13138" spans="1:3">
      <c r="A13138" s="250">
        <v>31516</v>
      </c>
      <c r="B13138" s="74" t="s">
        <v>8121</v>
      </c>
      <c r="C13138" s="74" t="s">
        <v>421</v>
      </c>
    </row>
    <row r="13139" spans="1:3">
      <c r="A13139" s="250">
        <v>31518</v>
      </c>
      <c r="B13139" s="74" t="s">
        <v>1098</v>
      </c>
      <c r="C13139" s="74" t="s">
        <v>421</v>
      </c>
    </row>
    <row r="13140" spans="1:3">
      <c r="A13140" s="250">
        <v>31519</v>
      </c>
      <c r="B13140" s="74" t="s">
        <v>8122</v>
      </c>
      <c r="C13140" s="74" t="s">
        <v>421</v>
      </c>
    </row>
    <row r="13141" spans="1:3">
      <c r="A13141" s="250">
        <v>31520</v>
      </c>
      <c r="B13141" s="74" t="s">
        <v>1370</v>
      </c>
      <c r="C13141" s="74" t="s">
        <v>421</v>
      </c>
    </row>
    <row r="13142" spans="1:3">
      <c r="A13142" s="250">
        <v>31521</v>
      </c>
      <c r="B13142" s="74" t="s">
        <v>1370</v>
      </c>
      <c r="C13142" s="74" t="s">
        <v>421</v>
      </c>
    </row>
    <row r="13143" spans="1:3">
      <c r="A13143" s="250">
        <v>31522</v>
      </c>
      <c r="B13143" s="74" t="s">
        <v>8123</v>
      </c>
      <c r="C13143" s="74" t="s">
        <v>421</v>
      </c>
    </row>
    <row r="13144" spans="1:3">
      <c r="A13144" s="250">
        <v>31523</v>
      </c>
      <c r="B13144" s="74" t="s">
        <v>1370</v>
      </c>
      <c r="C13144" s="74" t="s">
        <v>421</v>
      </c>
    </row>
    <row r="13145" spans="1:3">
      <c r="A13145" s="250">
        <v>31524</v>
      </c>
      <c r="B13145" s="74" t="s">
        <v>1370</v>
      </c>
      <c r="C13145" s="74" t="s">
        <v>421</v>
      </c>
    </row>
    <row r="13146" spans="1:3">
      <c r="A13146" s="250">
        <v>31525</v>
      </c>
      <c r="B13146" s="74" t="s">
        <v>1370</v>
      </c>
      <c r="C13146" s="74" t="s">
        <v>421</v>
      </c>
    </row>
    <row r="13147" spans="1:3">
      <c r="A13147" s="250">
        <v>31527</v>
      </c>
      <c r="B13147" s="74" t="s">
        <v>8124</v>
      </c>
      <c r="C13147" s="74" t="s">
        <v>421</v>
      </c>
    </row>
    <row r="13148" spans="1:3">
      <c r="A13148" s="250">
        <v>31532</v>
      </c>
      <c r="B13148" s="74" t="s">
        <v>5751</v>
      </c>
      <c r="C13148" s="74" t="s">
        <v>421</v>
      </c>
    </row>
    <row r="13149" spans="1:3">
      <c r="A13149" s="250">
        <v>31533</v>
      </c>
      <c r="B13149" s="74" t="s">
        <v>734</v>
      </c>
      <c r="C13149" s="74" t="s">
        <v>421</v>
      </c>
    </row>
    <row r="13150" spans="1:3">
      <c r="A13150" s="250">
        <v>31534</v>
      </c>
      <c r="B13150" s="74" t="s">
        <v>734</v>
      </c>
      <c r="C13150" s="74" t="s">
        <v>421</v>
      </c>
    </row>
    <row r="13151" spans="1:3">
      <c r="A13151" s="250">
        <v>31535</v>
      </c>
      <c r="B13151" s="74" t="s">
        <v>734</v>
      </c>
      <c r="C13151" s="74" t="s">
        <v>421</v>
      </c>
    </row>
    <row r="13152" spans="1:3">
      <c r="A13152" s="250">
        <v>31537</v>
      </c>
      <c r="B13152" s="74" t="s">
        <v>8125</v>
      </c>
      <c r="C13152" s="74" t="s">
        <v>421</v>
      </c>
    </row>
    <row r="13153" spans="1:3">
      <c r="A13153" s="250">
        <v>31539</v>
      </c>
      <c r="B13153" s="74" t="s">
        <v>8126</v>
      </c>
      <c r="C13153" s="74" t="s">
        <v>421</v>
      </c>
    </row>
    <row r="13154" spans="1:3">
      <c r="A13154" s="250">
        <v>31542</v>
      </c>
      <c r="B13154" s="74" t="s">
        <v>2128</v>
      </c>
      <c r="C13154" s="74" t="s">
        <v>421</v>
      </c>
    </row>
    <row r="13155" spans="1:3">
      <c r="A13155" s="250">
        <v>31543</v>
      </c>
      <c r="B13155" s="74" t="s">
        <v>8127</v>
      </c>
      <c r="C13155" s="74" t="s">
        <v>421</v>
      </c>
    </row>
    <row r="13156" spans="1:3">
      <c r="A13156" s="250">
        <v>31544</v>
      </c>
      <c r="B13156" s="74" t="s">
        <v>1782</v>
      </c>
      <c r="C13156" s="74" t="s">
        <v>421</v>
      </c>
    </row>
    <row r="13157" spans="1:3">
      <c r="A13157" s="250">
        <v>31545</v>
      </c>
      <c r="B13157" s="74" t="s">
        <v>8128</v>
      </c>
      <c r="C13157" s="74" t="s">
        <v>421</v>
      </c>
    </row>
    <row r="13158" spans="1:3">
      <c r="A13158" s="250">
        <v>31546</v>
      </c>
      <c r="B13158" s="74" t="s">
        <v>8128</v>
      </c>
      <c r="C13158" s="74" t="s">
        <v>421</v>
      </c>
    </row>
    <row r="13159" spans="1:3">
      <c r="A13159" s="250">
        <v>31547</v>
      </c>
      <c r="B13159" s="74" t="s">
        <v>8129</v>
      </c>
      <c r="C13159" s="74" t="s">
        <v>421</v>
      </c>
    </row>
    <row r="13160" spans="1:3">
      <c r="A13160" s="250">
        <v>31548</v>
      </c>
      <c r="B13160" s="74" t="s">
        <v>8130</v>
      </c>
      <c r="C13160" s="74" t="s">
        <v>421</v>
      </c>
    </row>
    <row r="13161" spans="1:3">
      <c r="A13161" s="250">
        <v>31549</v>
      </c>
      <c r="B13161" s="74" t="s">
        <v>8131</v>
      </c>
      <c r="C13161" s="74" t="s">
        <v>421</v>
      </c>
    </row>
    <row r="13162" spans="1:3">
      <c r="A13162" s="250">
        <v>31550</v>
      </c>
      <c r="B13162" s="74" t="s">
        <v>4225</v>
      </c>
      <c r="C13162" s="74" t="s">
        <v>421</v>
      </c>
    </row>
    <row r="13163" spans="1:3">
      <c r="A13163" s="250">
        <v>31551</v>
      </c>
      <c r="B13163" s="74" t="s">
        <v>8132</v>
      </c>
      <c r="C13163" s="74" t="s">
        <v>421</v>
      </c>
    </row>
    <row r="13164" spans="1:3">
      <c r="A13164" s="250">
        <v>31552</v>
      </c>
      <c r="B13164" s="74" t="s">
        <v>2643</v>
      </c>
      <c r="C13164" s="74" t="s">
        <v>421</v>
      </c>
    </row>
    <row r="13165" spans="1:3">
      <c r="A13165" s="250">
        <v>31553</v>
      </c>
      <c r="B13165" s="74" t="s">
        <v>8133</v>
      </c>
      <c r="C13165" s="74" t="s">
        <v>421</v>
      </c>
    </row>
    <row r="13166" spans="1:3">
      <c r="A13166" s="250">
        <v>31554</v>
      </c>
      <c r="B13166" s="74" t="s">
        <v>8134</v>
      </c>
      <c r="C13166" s="74" t="s">
        <v>421</v>
      </c>
    </row>
    <row r="13167" spans="1:3">
      <c r="A13167" s="250">
        <v>31555</v>
      </c>
      <c r="B13167" s="74" t="s">
        <v>8135</v>
      </c>
      <c r="C13167" s="74" t="s">
        <v>421</v>
      </c>
    </row>
    <row r="13168" spans="1:3">
      <c r="A13168" s="250">
        <v>31556</v>
      </c>
      <c r="B13168" s="74" t="s">
        <v>8136</v>
      </c>
      <c r="C13168" s="74" t="s">
        <v>421</v>
      </c>
    </row>
    <row r="13169" spans="1:3">
      <c r="A13169" s="250">
        <v>31557</v>
      </c>
      <c r="B13169" s="74" t="s">
        <v>3134</v>
      </c>
      <c r="C13169" s="74" t="s">
        <v>421</v>
      </c>
    </row>
    <row r="13170" spans="1:3">
      <c r="A13170" s="250">
        <v>31558</v>
      </c>
      <c r="B13170" s="74" t="s">
        <v>4333</v>
      </c>
      <c r="C13170" s="74" t="s">
        <v>421</v>
      </c>
    </row>
    <row r="13171" spans="1:3">
      <c r="A13171" s="250">
        <v>31560</v>
      </c>
      <c r="B13171" s="74" t="s">
        <v>8137</v>
      </c>
      <c r="C13171" s="74" t="s">
        <v>421</v>
      </c>
    </row>
    <row r="13172" spans="1:3">
      <c r="A13172" s="250">
        <v>31561</v>
      </c>
      <c r="B13172" s="74" t="s">
        <v>8138</v>
      </c>
      <c r="C13172" s="74" t="s">
        <v>421</v>
      </c>
    </row>
    <row r="13173" spans="1:3">
      <c r="A13173" s="250">
        <v>31562</v>
      </c>
      <c r="B13173" s="74" t="s">
        <v>7719</v>
      </c>
      <c r="C13173" s="74" t="s">
        <v>421</v>
      </c>
    </row>
    <row r="13174" spans="1:3">
      <c r="A13174" s="250">
        <v>31563</v>
      </c>
      <c r="B13174" s="74" t="s">
        <v>8139</v>
      </c>
      <c r="C13174" s="74" t="s">
        <v>421</v>
      </c>
    </row>
    <row r="13175" spans="1:3">
      <c r="A13175" s="250">
        <v>31564</v>
      </c>
      <c r="B13175" s="74" t="s">
        <v>8140</v>
      </c>
      <c r="C13175" s="74" t="s">
        <v>421</v>
      </c>
    </row>
    <row r="13176" spans="1:3">
      <c r="A13176" s="250">
        <v>31565</v>
      </c>
      <c r="B13176" s="74" t="s">
        <v>3950</v>
      </c>
      <c r="C13176" s="74" t="s">
        <v>421</v>
      </c>
    </row>
    <row r="13177" spans="1:3">
      <c r="A13177" s="250">
        <v>31566</v>
      </c>
      <c r="B13177" s="74" t="s">
        <v>7582</v>
      </c>
      <c r="C13177" s="74" t="s">
        <v>421</v>
      </c>
    </row>
    <row r="13178" spans="1:3">
      <c r="A13178" s="250">
        <v>31567</v>
      </c>
      <c r="B13178" s="74" t="s">
        <v>8141</v>
      </c>
      <c r="C13178" s="74" t="s">
        <v>421</v>
      </c>
    </row>
    <row r="13179" spans="1:3">
      <c r="A13179" s="250">
        <v>31568</v>
      </c>
      <c r="B13179" s="74" t="s">
        <v>6847</v>
      </c>
      <c r="C13179" s="74" t="s">
        <v>421</v>
      </c>
    </row>
    <row r="13180" spans="1:3">
      <c r="A13180" s="250">
        <v>31569</v>
      </c>
      <c r="B13180" s="74" t="s">
        <v>2472</v>
      </c>
      <c r="C13180" s="74" t="s">
        <v>421</v>
      </c>
    </row>
    <row r="13181" spans="1:3">
      <c r="A13181" s="250">
        <v>31598</v>
      </c>
      <c r="B13181" s="74" t="s">
        <v>8128</v>
      </c>
      <c r="C13181" s="74" t="s">
        <v>421</v>
      </c>
    </row>
    <row r="13182" spans="1:3">
      <c r="A13182" s="250">
        <v>31599</v>
      </c>
      <c r="B13182" s="74" t="s">
        <v>8128</v>
      </c>
      <c r="C13182" s="74" t="s">
        <v>421</v>
      </c>
    </row>
    <row r="13183" spans="1:3">
      <c r="A13183" s="250">
        <v>31601</v>
      </c>
      <c r="B13183" s="74" t="s">
        <v>8142</v>
      </c>
      <c r="C13183" s="74" t="s">
        <v>421</v>
      </c>
    </row>
    <row r="13184" spans="1:3">
      <c r="A13184" s="250">
        <v>31602</v>
      </c>
      <c r="B13184" s="74" t="s">
        <v>8142</v>
      </c>
      <c r="C13184" s="74" t="s">
        <v>421</v>
      </c>
    </row>
    <row r="13185" spans="1:3">
      <c r="A13185" s="250">
        <v>31603</v>
      </c>
      <c r="B13185" s="74" t="s">
        <v>8142</v>
      </c>
      <c r="C13185" s="74" t="s">
        <v>421</v>
      </c>
    </row>
    <row r="13186" spans="1:3">
      <c r="A13186" s="250">
        <v>31604</v>
      </c>
      <c r="B13186" s="74" t="s">
        <v>8142</v>
      </c>
      <c r="C13186" s="74" t="s">
        <v>421</v>
      </c>
    </row>
    <row r="13187" spans="1:3">
      <c r="A13187" s="250">
        <v>31605</v>
      </c>
      <c r="B13187" s="74" t="s">
        <v>8142</v>
      </c>
      <c r="C13187" s="74" t="s">
        <v>421</v>
      </c>
    </row>
    <row r="13188" spans="1:3">
      <c r="A13188" s="250">
        <v>31606</v>
      </c>
      <c r="B13188" s="74" t="s">
        <v>8142</v>
      </c>
      <c r="C13188" s="74" t="s">
        <v>421</v>
      </c>
    </row>
    <row r="13189" spans="1:3">
      <c r="A13189" s="250">
        <v>31620</v>
      </c>
      <c r="B13189" s="74" t="s">
        <v>8143</v>
      </c>
      <c r="C13189" s="74" t="s">
        <v>421</v>
      </c>
    </row>
    <row r="13190" spans="1:3">
      <c r="A13190" s="250">
        <v>31622</v>
      </c>
      <c r="B13190" s="74" t="s">
        <v>8144</v>
      </c>
      <c r="C13190" s="74" t="s">
        <v>421</v>
      </c>
    </row>
    <row r="13191" spans="1:3">
      <c r="A13191" s="250">
        <v>31623</v>
      </c>
      <c r="B13191" s="74" t="s">
        <v>3222</v>
      </c>
      <c r="C13191" s="74" t="s">
        <v>421</v>
      </c>
    </row>
    <row r="13192" spans="1:3">
      <c r="A13192" s="250">
        <v>31624</v>
      </c>
      <c r="B13192" s="74" t="s">
        <v>8145</v>
      </c>
      <c r="C13192" s="74" t="s">
        <v>421</v>
      </c>
    </row>
    <row r="13193" spans="1:3">
      <c r="A13193" s="250">
        <v>31625</v>
      </c>
      <c r="B13193" s="74" t="s">
        <v>8146</v>
      </c>
      <c r="C13193" s="74" t="s">
        <v>421</v>
      </c>
    </row>
    <row r="13194" spans="1:3">
      <c r="A13194" s="250">
        <v>31626</v>
      </c>
      <c r="B13194" s="74" t="s">
        <v>900</v>
      </c>
      <c r="C13194" s="74" t="s">
        <v>421</v>
      </c>
    </row>
    <row r="13195" spans="1:3">
      <c r="A13195" s="250">
        <v>31627</v>
      </c>
      <c r="B13195" s="74" t="s">
        <v>4049</v>
      </c>
      <c r="C13195" s="74" t="s">
        <v>421</v>
      </c>
    </row>
    <row r="13196" spans="1:3">
      <c r="A13196" s="250">
        <v>31629</v>
      </c>
      <c r="B13196" s="74" t="s">
        <v>6596</v>
      </c>
      <c r="C13196" s="74" t="s">
        <v>421</v>
      </c>
    </row>
    <row r="13197" spans="1:3">
      <c r="A13197" s="250">
        <v>31630</v>
      </c>
      <c r="B13197" s="74" t="s">
        <v>8147</v>
      </c>
      <c r="C13197" s="74" t="s">
        <v>421</v>
      </c>
    </row>
    <row r="13198" spans="1:3">
      <c r="A13198" s="250">
        <v>31631</v>
      </c>
      <c r="B13198" s="74" t="s">
        <v>8148</v>
      </c>
      <c r="C13198" s="74" t="s">
        <v>421</v>
      </c>
    </row>
    <row r="13199" spans="1:3">
      <c r="A13199" s="250">
        <v>31632</v>
      </c>
      <c r="B13199" s="74" t="s">
        <v>8149</v>
      </c>
      <c r="C13199" s="74" t="s">
        <v>421</v>
      </c>
    </row>
    <row r="13200" spans="1:3">
      <c r="A13200" s="250">
        <v>31634</v>
      </c>
      <c r="B13200" s="74" t="s">
        <v>8150</v>
      </c>
      <c r="C13200" s="74" t="s">
        <v>421</v>
      </c>
    </row>
    <row r="13201" spans="1:3">
      <c r="A13201" s="250">
        <v>31635</v>
      </c>
      <c r="B13201" s="74" t="s">
        <v>8151</v>
      </c>
      <c r="C13201" s="74" t="s">
        <v>421</v>
      </c>
    </row>
    <row r="13202" spans="1:3">
      <c r="A13202" s="250">
        <v>31636</v>
      </c>
      <c r="B13202" s="74" t="s">
        <v>8152</v>
      </c>
      <c r="C13202" s="74" t="s">
        <v>421</v>
      </c>
    </row>
    <row r="13203" spans="1:3">
      <c r="A13203" s="250">
        <v>31637</v>
      </c>
      <c r="B13203" s="74" t="s">
        <v>650</v>
      </c>
      <c r="C13203" s="74" t="s">
        <v>421</v>
      </c>
    </row>
    <row r="13204" spans="1:3">
      <c r="A13204" s="250">
        <v>31638</v>
      </c>
      <c r="B13204" s="74" t="s">
        <v>7325</v>
      </c>
      <c r="C13204" s="74" t="s">
        <v>421</v>
      </c>
    </row>
    <row r="13205" spans="1:3">
      <c r="A13205" s="250">
        <v>31639</v>
      </c>
      <c r="B13205" s="74" t="s">
        <v>7206</v>
      </c>
      <c r="C13205" s="74" t="s">
        <v>421</v>
      </c>
    </row>
    <row r="13206" spans="1:3">
      <c r="A13206" s="250">
        <v>31641</v>
      </c>
      <c r="B13206" s="74" t="s">
        <v>8153</v>
      </c>
      <c r="C13206" s="74" t="s">
        <v>421</v>
      </c>
    </row>
    <row r="13207" spans="1:3">
      <c r="A13207" s="250">
        <v>31642</v>
      </c>
      <c r="B13207" s="74" t="s">
        <v>8154</v>
      </c>
      <c r="C13207" s="74" t="s">
        <v>421</v>
      </c>
    </row>
    <row r="13208" spans="1:3">
      <c r="A13208" s="250">
        <v>31643</v>
      </c>
      <c r="B13208" s="74" t="s">
        <v>8155</v>
      </c>
      <c r="C13208" s="74" t="s">
        <v>421</v>
      </c>
    </row>
    <row r="13209" spans="1:3">
      <c r="A13209" s="250">
        <v>31645</v>
      </c>
      <c r="B13209" s="74" t="s">
        <v>8156</v>
      </c>
      <c r="C13209" s="74" t="s">
        <v>421</v>
      </c>
    </row>
    <row r="13210" spans="1:3">
      <c r="A13210" s="250">
        <v>31647</v>
      </c>
      <c r="B13210" s="74" t="s">
        <v>8157</v>
      </c>
      <c r="C13210" s="74" t="s">
        <v>421</v>
      </c>
    </row>
    <row r="13211" spans="1:3">
      <c r="A13211" s="250">
        <v>31648</v>
      </c>
      <c r="B13211" s="74" t="s">
        <v>8158</v>
      </c>
      <c r="C13211" s="74" t="s">
        <v>421</v>
      </c>
    </row>
    <row r="13212" spans="1:3">
      <c r="A13212" s="250">
        <v>31649</v>
      </c>
      <c r="B13212" s="74" t="s">
        <v>2529</v>
      </c>
      <c r="C13212" s="74" t="s">
        <v>421</v>
      </c>
    </row>
    <row r="13213" spans="1:3">
      <c r="A13213" s="250">
        <v>31650</v>
      </c>
      <c r="B13213" s="74" t="s">
        <v>8159</v>
      </c>
      <c r="C13213" s="74" t="s">
        <v>421</v>
      </c>
    </row>
    <row r="13214" spans="1:3">
      <c r="A13214" s="250">
        <v>31698</v>
      </c>
      <c r="B13214" s="74" t="s">
        <v>8142</v>
      </c>
      <c r="C13214" s="74" t="s">
        <v>421</v>
      </c>
    </row>
    <row r="13215" spans="1:3">
      <c r="A13215" s="250">
        <v>31699</v>
      </c>
      <c r="B13215" s="74" t="s">
        <v>8160</v>
      </c>
      <c r="C13215" s="74" t="s">
        <v>421</v>
      </c>
    </row>
    <row r="13216" spans="1:3">
      <c r="A13216" s="250">
        <v>31701</v>
      </c>
      <c r="B13216" s="74" t="s">
        <v>1896</v>
      </c>
      <c r="C13216" s="74" t="s">
        <v>421</v>
      </c>
    </row>
    <row r="13217" spans="1:3">
      <c r="A13217" s="250">
        <v>31702</v>
      </c>
      <c r="B13217" s="74" t="s">
        <v>1896</v>
      </c>
      <c r="C13217" s="74" t="s">
        <v>421</v>
      </c>
    </row>
    <row r="13218" spans="1:3">
      <c r="A13218" s="250">
        <v>31703</v>
      </c>
      <c r="B13218" s="74" t="s">
        <v>1896</v>
      </c>
      <c r="C13218" s="74" t="s">
        <v>421</v>
      </c>
    </row>
    <row r="13219" spans="1:3">
      <c r="A13219" s="250">
        <v>31704</v>
      </c>
      <c r="B13219" s="74" t="s">
        <v>1896</v>
      </c>
      <c r="C13219" s="74" t="s">
        <v>421</v>
      </c>
    </row>
    <row r="13220" spans="1:3">
      <c r="A13220" s="250">
        <v>31705</v>
      </c>
      <c r="B13220" s="74" t="s">
        <v>1896</v>
      </c>
      <c r="C13220" s="74" t="s">
        <v>421</v>
      </c>
    </row>
    <row r="13221" spans="1:3">
      <c r="A13221" s="250">
        <v>31706</v>
      </c>
      <c r="B13221" s="74" t="s">
        <v>1896</v>
      </c>
      <c r="C13221" s="74" t="s">
        <v>421</v>
      </c>
    </row>
    <row r="13222" spans="1:3">
      <c r="A13222" s="250">
        <v>31707</v>
      </c>
      <c r="B13222" s="74" t="s">
        <v>1896</v>
      </c>
      <c r="C13222" s="74" t="s">
        <v>421</v>
      </c>
    </row>
    <row r="13223" spans="1:3">
      <c r="A13223" s="250">
        <v>31708</v>
      </c>
      <c r="B13223" s="74" t="s">
        <v>1896</v>
      </c>
      <c r="C13223" s="74" t="s">
        <v>421</v>
      </c>
    </row>
    <row r="13224" spans="1:3">
      <c r="A13224" s="250">
        <v>31709</v>
      </c>
      <c r="B13224" s="74" t="s">
        <v>8161</v>
      </c>
      <c r="C13224" s="74" t="s">
        <v>421</v>
      </c>
    </row>
    <row r="13225" spans="1:3">
      <c r="A13225" s="250">
        <v>31711</v>
      </c>
      <c r="B13225" s="74" t="s">
        <v>8162</v>
      </c>
      <c r="C13225" s="74" t="s">
        <v>421</v>
      </c>
    </row>
    <row r="13226" spans="1:3">
      <c r="A13226" s="250">
        <v>31712</v>
      </c>
      <c r="B13226" s="74" t="s">
        <v>8163</v>
      </c>
      <c r="C13226" s="74" t="s">
        <v>421</v>
      </c>
    </row>
    <row r="13227" spans="1:3">
      <c r="A13227" s="250">
        <v>31714</v>
      </c>
      <c r="B13227" s="74" t="s">
        <v>5531</v>
      </c>
      <c r="C13227" s="74" t="s">
        <v>421</v>
      </c>
    </row>
    <row r="13228" spans="1:3">
      <c r="A13228" s="250">
        <v>31716</v>
      </c>
      <c r="B13228" s="74" t="s">
        <v>8164</v>
      </c>
      <c r="C13228" s="74" t="s">
        <v>421</v>
      </c>
    </row>
    <row r="13229" spans="1:3">
      <c r="A13229" s="250">
        <v>31719</v>
      </c>
      <c r="B13229" s="74" t="s">
        <v>8161</v>
      </c>
      <c r="C13229" s="74" t="s">
        <v>421</v>
      </c>
    </row>
    <row r="13230" spans="1:3">
      <c r="A13230" s="250">
        <v>31720</v>
      </c>
      <c r="B13230" s="74" t="s">
        <v>8165</v>
      </c>
      <c r="C13230" s="74" t="s">
        <v>421</v>
      </c>
    </row>
    <row r="13231" spans="1:3">
      <c r="A13231" s="250">
        <v>31721</v>
      </c>
      <c r="B13231" s="74" t="s">
        <v>1896</v>
      </c>
      <c r="C13231" s="74" t="s">
        <v>421</v>
      </c>
    </row>
    <row r="13232" spans="1:3">
      <c r="A13232" s="250">
        <v>31722</v>
      </c>
      <c r="B13232" s="74" t="s">
        <v>725</v>
      </c>
      <c r="C13232" s="74" t="s">
        <v>421</v>
      </c>
    </row>
    <row r="13233" spans="1:3">
      <c r="A13233" s="250">
        <v>31727</v>
      </c>
      <c r="B13233" s="74" t="s">
        <v>728</v>
      </c>
      <c r="C13233" s="74" t="s">
        <v>421</v>
      </c>
    </row>
    <row r="13234" spans="1:3">
      <c r="A13234" s="250">
        <v>31730</v>
      </c>
      <c r="B13234" s="74" t="s">
        <v>8166</v>
      </c>
      <c r="C13234" s="74" t="s">
        <v>421</v>
      </c>
    </row>
    <row r="13235" spans="1:3">
      <c r="A13235" s="250">
        <v>31733</v>
      </c>
      <c r="B13235" s="74" t="s">
        <v>8167</v>
      </c>
      <c r="C13235" s="74" t="s">
        <v>421</v>
      </c>
    </row>
    <row r="13236" spans="1:3">
      <c r="A13236" s="250">
        <v>31735</v>
      </c>
      <c r="B13236" s="74" t="s">
        <v>8168</v>
      </c>
      <c r="C13236" s="74" t="s">
        <v>421</v>
      </c>
    </row>
    <row r="13237" spans="1:3">
      <c r="A13237" s="250">
        <v>31738</v>
      </c>
      <c r="B13237" s="74" t="s">
        <v>8169</v>
      </c>
      <c r="C13237" s="74" t="s">
        <v>421</v>
      </c>
    </row>
    <row r="13238" spans="1:3">
      <c r="A13238" s="250">
        <v>31739</v>
      </c>
      <c r="B13238" s="74" t="s">
        <v>8170</v>
      </c>
      <c r="C13238" s="74" t="s">
        <v>421</v>
      </c>
    </row>
    <row r="13239" spans="1:3">
      <c r="A13239" s="250">
        <v>31743</v>
      </c>
      <c r="B13239" s="74" t="s">
        <v>8171</v>
      </c>
      <c r="C13239" s="74" t="s">
        <v>421</v>
      </c>
    </row>
    <row r="13240" spans="1:3">
      <c r="A13240" s="250">
        <v>31744</v>
      </c>
      <c r="B13240" s="74" t="s">
        <v>8172</v>
      </c>
      <c r="C13240" s="74" t="s">
        <v>421</v>
      </c>
    </row>
    <row r="13241" spans="1:3">
      <c r="A13241" s="250">
        <v>31747</v>
      </c>
      <c r="B13241" s="74" t="s">
        <v>8173</v>
      </c>
      <c r="C13241" s="74" t="s">
        <v>421</v>
      </c>
    </row>
    <row r="13242" spans="1:3">
      <c r="A13242" s="250">
        <v>31749</v>
      </c>
      <c r="B13242" s="74" t="s">
        <v>8174</v>
      </c>
      <c r="C13242" s="74" t="s">
        <v>421</v>
      </c>
    </row>
    <row r="13243" spans="1:3">
      <c r="A13243" s="250">
        <v>31750</v>
      </c>
      <c r="B13243" s="74" t="s">
        <v>8175</v>
      </c>
      <c r="C13243" s="74" t="s">
        <v>421</v>
      </c>
    </row>
    <row r="13244" spans="1:3">
      <c r="A13244" s="250">
        <v>31753</v>
      </c>
      <c r="B13244" s="74" t="s">
        <v>8176</v>
      </c>
      <c r="C13244" s="74" t="s">
        <v>421</v>
      </c>
    </row>
    <row r="13245" spans="1:3">
      <c r="A13245" s="250">
        <v>31756</v>
      </c>
      <c r="B13245" s="74" t="s">
        <v>8177</v>
      </c>
      <c r="C13245" s="74" t="s">
        <v>421</v>
      </c>
    </row>
    <row r="13246" spans="1:3">
      <c r="A13246" s="250">
        <v>31757</v>
      </c>
      <c r="B13246" s="74" t="s">
        <v>4841</v>
      </c>
      <c r="C13246" s="74" t="s">
        <v>421</v>
      </c>
    </row>
    <row r="13247" spans="1:3">
      <c r="A13247" s="250">
        <v>31758</v>
      </c>
      <c r="B13247" s="74" t="s">
        <v>4841</v>
      </c>
      <c r="C13247" s="74" t="s">
        <v>421</v>
      </c>
    </row>
    <row r="13248" spans="1:3">
      <c r="A13248" s="250">
        <v>31760</v>
      </c>
      <c r="B13248" s="74" t="s">
        <v>8178</v>
      </c>
      <c r="C13248" s="74" t="s">
        <v>421</v>
      </c>
    </row>
    <row r="13249" spans="1:3">
      <c r="A13249" s="250">
        <v>31763</v>
      </c>
      <c r="B13249" s="74" t="s">
        <v>2488</v>
      </c>
      <c r="C13249" s="74" t="s">
        <v>421</v>
      </c>
    </row>
    <row r="13250" spans="1:3">
      <c r="A13250" s="250">
        <v>31764</v>
      </c>
      <c r="B13250" s="74" t="s">
        <v>6839</v>
      </c>
      <c r="C13250" s="74" t="s">
        <v>421</v>
      </c>
    </row>
    <row r="13251" spans="1:3">
      <c r="A13251" s="250">
        <v>31765</v>
      </c>
      <c r="B13251" s="74" t="s">
        <v>8179</v>
      </c>
      <c r="C13251" s="74" t="s">
        <v>421</v>
      </c>
    </row>
    <row r="13252" spans="1:3">
      <c r="A13252" s="250">
        <v>31768</v>
      </c>
      <c r="B13252" s="74" t="s">
        <v>8180</v>
      </c>
      <c r="C13252" s="74" t="s">
        <v>421</v>
      </c>
    </row>
    <row r="13253" spans="1:3">
      <c r="A13253" s="250">
        <v>31769</v>
      </c>
      <c r="B13253" s="74" t="s">
        <v>2020</v>
      </c>
      <c r="C13253" s="74" t="s">
        <v>421</v>
      </c>
    </row>
    <row r="13254" spans="1:3">
      <c r="A13254" s="250">
        <v>31771</v>
      </c>
      <c r="B13254" s="74" t="s">
        <v>8181</v>
      </c>
      <c r="C13254" s="74" t="s">
        <v>421</v>
      </c>
    </row>
    <row r="13255" spans="1:3">
      <c r="A13255" s="250">
        <v>31772</v>
      </c>
      <c r="B13255" s="74" t="s">
        <v>1642</v>
      </c>
      <c r="C13255" s="74" t="s">
        <v>421</v>
      </c>
    </row>
    <row r="13256" spans="1:3">
      <c r="A13256" s="250">
        <v>31773</v>
      </c>
      <c r="B13256" s="74" t="s">
        <v>8182</v>
      </c>
      <c r="C13256" s="74" t="s">
        <v>421</v>
      </c>
    </row>
    <row r="13257" spans="1:3">
      <c r="A13257" s="250">
        <v>31774</v>
      </c>
      <c r="B13257" s="74" t="s">
        <v>8183</v>
      </c>
      <c r="C13257" s="74" t="s">
        <v>421</v>
      </c>
    </row>
    <row r="13258" spans="1:3">
      <c r="A13258" s="250">
        <v>31775</v>
      </c>
      <c r="B13258" s="74" t="s">
        <v>8184</v>
      </c>
      <c r="C13258" s="74" t="s">
        <v>421</v>
      </c>
    </row>
    <row r="13259" spans="1:3">
      <c r="A13259" s="250">
        <v>31776</v>
      </c>
      <c r="B13259" s="74" t="s">
        <v>8180</v>
      </c>
      <c r="C13259" s="74" t="s">
        <v>421</v>
      </c>
    </row>
    <row r="13260" spans="1:3">
      <c r="A13260" s="250">
        <v>31778</v>
      </c>
      <c r="B13260" s="74" t="s">
        <v>8185</v>
      </c>
      <c r="C13260" s="74" t="s">
        <v>421</v>
      </c>
    </row>
    <row r="13261" spans="1:3">
      <c r="A13261" s="250">
        <v>31779</v>
      </c>
      <c r="B13261" s="74" t="s">
        <v>1169</v>
      </c>
      <c r="C13261" s="74" t="s">
        <v>421</v>
      </c>
    </row>
    <row r="13262" spans="1:3">
      <c r="A13262" s="250">
        <v>31780</v>
      </c>
      <c r="B13262" s="74" t="s">
        <v>8186</v>
      </c>
      <c r="C13262" s="74" t="s">
        <v>421</v>
      </c>
    </row>
    <row r="13263" spans="1:3">
      <c r="A13263" s="250">
        <v>31781</v>
      </c>
      <c r="B13263" s="74" t="s">
        <v>8187</v>
      </c>
      <c r="C13263" s="74" t="s">
        <v>421</v>
      </c>
    </row>
    <row r="13264" spans="1:3">
      <c r="A13264" s="250">
        <v>31782</v>
      </c>
      <c r="B13264" s="74" t="s">
        <v>1786</v>
      </c>
      <c r="C13264" s="74" t="s">
        <v>421</v>
      </c>
    </row>
    <row r="13265" spans="1:3">
      <c r="A13265" s="250">
        <v>31783</v>
      </c>
      <c r="B13265" s="74" t="s">
        <v>8188</v>
      </c>
      <c r="C13265" s="74" t="s">
        <v>421</v>
      </c>
    </row>
    <row r="13266" spans="1:3">
      <c r="A13266" s="250">
        <v>31784</v>
      </c>
      <c r="B13266" s="74" t="s">
        <v>8189</v>
      </c>
      <c r="C13266" s="74" t="s">
        <v>421</v>
      </c>
    </row>
    <row r="13267" spans="1:3">
      <c r="A13267" s="250">
        <v>31787</v>
      </c>
      <c r="B13267" s="74" t="s">
        <v>6884</v>
      </c>
      <c r="C13267" s="74" t="s">
        <v>421</v>
      </c>
    </row>
    <row r="13268" spans="1:3">
      <c r="A13268" s="250">
        <v>31788</v>
      </c>
      <c r="B13268" s="74" t="s">
        <v>8180</v>
      </c>
      <c r="C13268" s="74" t="s">
        <v>421</v>
      </c>
    </row>
    <row r="13269" spans="1:3">
      <c r="A13269" s="250">
        <v>31789</v>
      </c>
      <c r="B13269" s="74" t="s">
        <v>1472</v>
      </c>
      <c r="C13269" s="74" t="s">
        <v>421</v>
      </c>
    </row>
    <row r="13270" spans="1:3">
      <c r="A13270" s="250">
        <v>31790</v>
      </c>
      <c r="B13270" s="74" t="s">
        <v>4078</v>
      </c>
      <c r="C13270" s="74" t="s">
        <v>421</v>
      </c>
    </row>
    <row r="13271" spans="1:3">
      <c r="A13271" s="250">
        <v>31791</v>
      </c>
      <c r="B13271" s="74" t="s">
        <v>6653</v>
      </c>
      <c r="C13271" s="74" t="s">
        <v>421</v>
      </c>
    </row>
    <row r="13272" spans="1:3">
      <c r="A13272" s="250">
        <v>31792</v>
      </c>
      <c r="B13272" s="74" t="s">
        <v>4841</v>
      </c>
      <c r="C13272" s="74" t="s">
        <v>421</v>
      </c>
    </row>
    <row r="13273" spans="1:3">
      <c r="A13273" s="250">
        <v>31793</v>
      </c>
      <c r="B13273" s="74" t="s">
        <v>8190</v>
      </c>
      <c r="C13273" s="74" t="s">
        <v>421</v>
      </c>
    </row>
    <row r="13274" spans="1:3">
      <c r="A13274" s="250">
        <v>31794</v>
      </c>
      <c r="B13274" s="74" t="s">
        <v>8190</v>
      </c>
      <c r="C13274" s="74" t="s">
        <v>421</v>
      </c>
    </row>
    <row r="13275" spans="1:3">
      <c r="A13275" s="250">
        <v>31795</v>
      </c>
      <c r="B13275" s="74" t="s">
        <v>8191</v>
      </c>
      <c r="C13275" s="74" t="s">
        <v>421</v>
      </c>
    </row>
    <row r="13276" spans="1:3">
      <c r="A13276" s="250">
        <v>31796</v>
      </c>
      <c r="B13276" s="74" t="s">
        <v>697</v>
      </c>
      <c r="C13276" s="74" t="s">
        <v>421</v>
      </c>
    </row>
    <row r="13277" spans="1:3">
      <c r="A13277" s="250">
        <v>31798</v>
      </c>
      <c r="B13277" s="74" t="s">
        <v>8192</v>
      </c>
      <c r="C13277" s="74" t="s">
        <v>421</v>
      </c>
    </row>
    <row r="13278" spans="1:3">
      <c r="A13278" s="250">
        <v>31799</v>
      </c>
      <c r="B13278" s="74" t="s">
        <v>4841</v>
      </c>
      <c r="C13278" s="74" t="s">
        <v>421</v>
      </c>
    </row>
    <row r="13279" spans="1:3">
      <c r="A13279" s="250">
        <v>31801</v>
      </c>
      <c r="B13279" s="74" t="s">
        <v>8193</v>
      </c>
      <c r="C13279" s="74" t="s">
        <v>421</v>
      </c>
    </row>
    <row r="13280" spans="1:3">
      <c r="A13280" s="250">
        <v>31803</v>
      </c>
      <c r="B13280" s="74" t="s">
        <v>3967</v>
      </c>
      <c r="C13280" s="74" t="s">
        <v>421</v>
      </c>
    </row>
    <row r="13281" spans="1:3">
      <c r="A13281" s="250">
        <v>31804</v>
      </c>
      <c r="B13281" s="74" t="s">
        <v>8194</v>
      </c>
      <c r="C13281" s="74" t="s">
        <v>421</v>
      </c>
    </row>
    <row r="13282" spans="1:3">
      <c r="A13282" s="250">
        <v>31805</v>
      </c>
      <c r="B13282" s="74" t="s">
        <v>8195</v>
      </c>
      <c r="C13282" s="74" t="s">
        <v>421</v>
      </c>
    </row>
    <row r="13283" spans="1:3">
      <c r="A13283" s="250">
        <v>31806</v>
      </c>
      <c r="B13283" s="74" t="s">
        <v>8196</v>
      </c>
      <c r="C13283" s="74" t="s">
        <v>421</v>
      </c>
    </row>
    <row r="13284" spans="1:3">
      <c r="A13284" s="250">
        <v>31807</v>
      </c>
      <c r="B13284" s="74" t="s">
        <v>5727</v>
      </c>
      <c r="C13284" s="74" t="s">
        <v>421</v>
      </c>
    </row>
    <row r="13285" spans="1:3">
      <c r="A13285" s="250">
        <v>31808</v>
      </c>
      <c r="B13285" s="74" t="s">
        <v>8197</v>
      </c>
      <c r="C13285" s="74" t="s">
        <v>421</v>
      </c>
    </row>
    <row r="13286" spans="1:3">
      <c r="A13286" s="250">
        <v>31810</v>
      </c>
      <c r="B13286" s="74" t="s">
        <v>3776</v>
      </c>
      <c r="C13286" s="74" t="s">
        <v>421</v>
      </c>
    </row>
    <row r="13287" spans="1:3">
      <c r="A13287" s="250">
        <v>31811</v>
      </c>
      <c r="B13287" s="74" t="s">
        <v>844</v>
      </c>
      <c r="C13287" s="74" t="s">
        <v>421</v>
      </c>
    </row>
    <row r="13288" spans="1:3">
      <c r="A13288" s="250">
        <v>31812</v>
      </c>
      <c r="B13288" s="74" t="s">
        <v>8198</v>
      </c>
      <c r="C13288" s="74" t="s">
        <v>421</v>
      </c>
    </row>
    <row r="13289" spans="1:3">
      <c r="A13289" s="250">
        <v>31814</v>
      </c>
      <c r="B13289" s="74" t="s">
        <v>8199</v>
      </c>
      <c r="C13289" s="74" t="s">
        <v>421</v>
      </c>
    </row>
    <row r="13290" spans="1:3">
      <c r="A13290" s="250">
        <v>31815</v>
      </c>
      <c r="B13290" s="74" t="s">
        <v>8200</v>
      </c>
      <c r="C13290" s="74" t="s">
        <v>421</v>
      </c>
    </row>
    <row r="13291" spans="1:3">
      <c r="A13291" s="250">
        <v>31816</v>
      </c>
      <c r="B13291" s="74" t="s">
        <v>848</v>
      </c>
      <c r="C13291" s="74" t="s">
        <v>421</v>
      </c>
    </row>
    <row r="13292" spans="1:3">
      <c r="A13292" s="250">
        <v>31820</v>
      </c>
      <c r="B13292" s="74" t="s">
        <v>3994</v>
      </c>
      <c r="C13292" s="74" t="s">
        <v>421</v>
      </c>
    </row>
    <row r="13293" spans="1:3">
      <c r="A13293" s="250">
        <v>31821</v>
      </c>
      <c r="B13293" s="74" t="s">
        <v>8201</v>
      </c>
      <c r="C13293" s="74" t="s">
        <v>421</v>
      </c>
    </row>
    <row r="13294" spans="1:3">
      <c r="A13294" s="250">
        <v>31822</v>
      </c>
      <c r="B13294" s="74" t="s">
        <v>8202</v>
      </c>
      <c r="C13294" s="74" t="s">
        <v>421</v>
      </c>
    </row>
    <row r="13295" spans="1:3">
      <c r="A13295" s="250">
        <v>31823</v>
      </c>
      <c r="B13295" s="74" t="s">
        <v>8203</v>
      </c>
      <c r="C13295" s="74" t="s">
        <v>421</v>
      </c>
    </row>
    <row r="13296" spans="1:3">
      <c r="A13296" s="250">
        <v>31824</v>
      </c>
      <c r="B13296" s="74" t="s">
        <v>2023</v>
      </c>
      <c r="C13296" s="74" t="s">
        <v>421</v>
      </c>
    </row>
    <row r="13297" spans="1:3">
      <c r="A13297" s="250">
        <v>31825</v>
      </c>
      <c r="B13297" s="74" t="s">
        <v>2499</v>
      </c>
      <c r="C13297" s="74" t="s">
        <v>421</v>
      </c>
    </row>
    <row r="13298" spans="1:3">
      <c r="A13298" s="250">
        <v>31826</v>
      </c>
      <c r="B13298" s="74" t="s">
        <v>2501</v>
      </c>
      <c r="C13298" s="74" t="s">
        <v>421</v>
      </c>
    </row>
    <row r="13299" spans="1:3">
      <c r="A13299" s="250">
        <v>31827</v>
      </c>
      <c r="B13299" s="74" t="s">
        <v>8204</v>
      </c>
      <c r="C13299" s="74" t="s">
        <v>421</v>
      </c>
    </row>
    <row r="13300" spans="1:3">
      <c r="A13300" s="250">
        <v>31829</v>
      </c>
      <c r="B13300" s="74" t="s">
        <v>8205</v>
      </c>
      <c r="C13300" s="74" t="s">
        <v>421</v>
      </c>
    </row>
    <row r="13301" spans="1:3">
      <c r="A13301" s="250">
        <v>31830</v>
      </c>
      <c r="B13301" s="74" t="s">
        <v>6409</v>
      </c>
      <c r="C13301" s="74" t="s">
        <v>421</v>
      </c>
    </row>
    <row r="13302" spans="1:3">
      <c r="A13302" s="250">
        <v>31831</v>
      </c>
      <c r="B13302" s="74" t="s">
        <v>8206</v>
      </c>
      <c r="C13302" s="74" t="s">
        <v>421</v>
      </c>
    </row>
    <row r="13303" spans="1:3">
      <c r="A13303" s="250">
        <v>31832</v>
      </c>
      <c r="B13303" s="74" t="s">
        <v>991</v>
      </c>
      <c r="C13303" s="74" t="s">
        <v>421</v>
      </c>
    </row>
    <row r="13304" spans="1:3">
      <c r="A13304" s="250">
        <v>31833</v>
      </c>
      <c r="B13304" s="74" t="s">
        <v>2720</v>
      </c>
      <c r="C13304" s="74" t="s">
        <v>421</v>
      </c>
    </row>
    <row r="13305" spans="1:3">
      <c r="A13305" s="250">
        <v>31836</v>
      </c>
      <c r="B13305" s="74" t="s">
        <v>4660</v>
      </c>
      <c r="C13305" s="74" t="s">
        <v>421</v>
      </c>
    </row>
    <row r="13306" spans="1:3">
      <c r="A13306" s="250">
        <v>31901</v>
      </c>
      <c r="B13306" s="74" t="s">
        <v>2376</v>
      </c>
      <c r="C13306" s="74" t="s">
        <v>421</v>
      </c>
    </row>
    <row r="13307" spans="1:3">
      <c r="A13307" s="250">
        <v>31902</v>
      </c>
      <c r="B13307" s="74" t="s">
        <v>2376</v>
      </c>
      <c r="C13307" s="74" t="s">
        <v>421</v>
      </c>
    </row>
    <row r="13308" spans="1:3">
      <c r="A13308" s="250">
        <v>31903</v>
      </c>
      <c r="B13308" s="74" t="s">
        <v>2376</v>
      </c>
      <c r="C13308" s="74" t="s">
        <v>421</v>
      </c>
    </row>
    <row r="13309" spans="1:3">
      <c r="A13309" s="250">
        <v>31904</v>
      </c>
      <c r="B13309" s="74" t="s">
        <v>2376</v>
      </c>
      <c r="C13309" s="74" t="s">
        <v>421</v>
      </c>
    </row>
    <row r="13310" spans="1:3">
      <c r="A13310" s="250">
        <v>31905</v>
      </c>
      <c r="B13310" s="74" t="s">
        <v>8207</v>
      </c>
      <c r="C13310" s="74" t="s">
        <v>421</v>
      </c>
    </row>
    <row r="13311" spans="1:3">
      <c r="A13311" s="250">
        <v>31906</v>
      </c>
      <c r="B13311" s="74" t="s">
        <v>2376</v>
      </c>
      <c r="C13311" s="74" t="s">
        <v>421</v>
      </c>
    </row>
    <row r="13312" spans="1:3">
      <c r="A13312" s="250">
        <v>31907</v>
      </c>
      <c r="B13312" s="74" t="s">
        <v>2376</v>
      </c>
      <c r="C13312" s="74" t="s">
        <v>421</v>
      </c>
    </row>
    <row r="13313" spans="1:3">
      <c r="A13313" s="250">
        <v>31908</v>
      </c>
      <c r="B13313" s="74" t="s">
        <v>2376</v>
      </c>
      <c r="C13313" s="74" t="s">
        <v>421</v>
      </c>
    </row>
    <row r="13314" spans="1:3">
      <c r="A13314" s="250">
        <v>31909</v>
      </c>
      <c r="B13314" s="74" t="s">
        <v>2376</v>
      </c>
      <c r="C13314" s="74" t="s">
        <v>421</v>
      </c>
    </row>
    <row r="13315" spans="1:3">
      <c r="A13315" s="250">
        <v>31914</v>
      </c>
      <c r="B13315" s="74" t="s">
        <v>2376</v>
      </c>
      <c r="C13315" s="74" t="s">
        <v>421</v>
      </c>
    </row>
    <row r="13316" spans="1:3">
      <c r="A13316" s="250">
        <v>31917</v>
      </c>
      <c r="B13316" s="74" t="s">
        <v>2376</v>
      </c>
      <c r="C13316" s="74" t="s">
        <v>421</v>
      </c>
    </row>
    <row r="13317" spans="1:3">
      <c r="A13317" s="250">
        <v>31993</v>
      </c>
      <c r="B13317" s="74" t="s">
        <v>2376</v>
      </c>
      <c r="C13317" s="74" t="s">
        <v>421</v>
      </c>
    </row>
    <row r="13318" spans="1:3">
      <c r="A13318" s="250">
        <v>31995</v>
      </c>
      <c r="B13318" s="74" t="s">
        <v>8207</v>
      </c>
      <c r="C13318" s="74" t="s">
        <v>421</v>
      </c>
    </row>
    <row r="13319" spans="1:3">
      <c r="A13319" s="250">
        <v>31997</v>
      </c>
      <c r="B13319" s="74" t="s">
        <v>2376</v>
      </c>
      <c r="C13319" s="74" t="s">
        <v>421</v>
      </c>
    </row>
    <row r="13320" spans="1:3">
      <c r="A13320" s="250">
        <v>31998</v>
      </c>
      <c r="B13320" s="74" t="s">
        <v>2376</v>
      </c>
      <c r="C13320" s="74" t="s">
        <v>421</v>
      </c>
    </row>
    <row r="13321" spans="1:3">
      <c r="A13321" s="250">
        <v>31999</v>
      </c>
      <c r="B13321" s="74" t="s">
        <v>2376</v>
      </c>
      <c r="C13321" s="74" t="s">
        <v>421</v>
      </c>
    </row>
    <row r="13322" spans="1:3">
      <c r="A13322" s="250">
        <v>32003</v>
      </c>
      <c r="B13322" s="74" t="s">
        <v>8208</v>
      </c>
      <c r="C13322" s="74" t="s">
        <v>420</v>
      </c>
    </row>
    <row r="13323" spans="1:3">
      <c r="A13323" s="250">
        <v>32004</v>
      </c>
      <c r="B13323" s="74" t="s">
        <v>8209</v>
      </c>
      <c r="C13323" s="74" t="s">
        <v>420</v>
      </c>
    </row>
    <row r="13324" spans="1:3">
      <c r="A13324" s="250">
        <v>32006</v>
      </c>
      <c r="B13324" s="74" t="s">
        <v>8208</v>
      </c>
      <c r="C13324" s="74" t="s">
        <v>420</v>
      </c>
    </row>
    <row r="13325" spans="1:3">
      <c r="A13325" s="250">
        <v>32007</v>
      </c>
      <c r="B13325" s="74" t="s">
        <v>8005</v>
      </c>
      <c r="C13325" s="74" t="s">
        <v>420</v>
      </c>
    </row>
    <row r="13326" spans="1:3">
      <c r="A13326" s="250">
        <v>32008</v>
      </c>
      <c r="B13326" s="74" t="s">
        <v>2042</v>
      </c>
      <c r="C13326" s="74" t="s">
        <v>420</v>
      </c>
    </row>
    <row r="13327" spans="1:3">
      <c r="A13327" s="250">
        <v>32009</v>
      </c>
      <c r="B13327" s="74" t="s">
        <v>8210</v>
      </c>
      <c r="C13327" s="74" t="s">
        <v>420</v>
      </c>
    </row>
    <row r="13328" spans="1:3">
      <c r="A13328" s="250">
        <v>32011</v>
      </c>
      <c r="B13328" s="74" t="s">
        <v>8211</v>
      </c>
      <c r="C13328" s="74" t="s">
        <v>420</v>
      </c>
    </row>
    <row r="13329" spans="1:3">
      <c r="A13329" s="250">
        <v>32013</v>
      </c>
      <c r="B13329" s="74" t="s">
        <v>8212</v>
      </c>
      <c r="C13329" s="74" t="s">
        <v>420</v>
      </c>
    </row>
    <row r="13330" spans="1:3">
      <c r="A13330" s="250">
        <v>32024</v>
      </c>
      <c r="B13330" s="74" t="s">
        <v>4516</v>
      </c>
      <c r="C13330" s="74" t="s">
        <v>420</v>
      </c>
    </row>
    <row r="13331" spans="1:3">
      <c r="A13331" s="250">
        <v>32025</v>
      </c>
      <c r="B13331" s="74" t="s">
        <v>4516</v>
      </c>
      <c r="C13331" s="74" t="s">
        <v>420</v>
      </c>
    </row>
    <row r="13332" spans="1:3">
      <c r="A13332" s="250">
        <v>32026</v>
      </c>
      <c r="B13332" s="74" t="s">
        <v>8213</v>
      </c>
      <c r="C13332" s="74" t="s">
        <v>420</v>
      </c>
    </row>
    <row r="13333" spans="1:3">
      <c r="A13333" s="250">
        <v>32030</v>
      </c>
      <c r="B13333" s="74" t="s">
        <v>8214</v>
      </c>
      <c r="C13333" s="74" t="s">
        <v>420</v>
      </c>
    </row>
    <row r="13334" spans="1:3">
      <c r="A13334" s="250">
        <v>32033</v>
      </c>
      <c r="B13334" s="74" t="s">
        <v>5864</v>
      </c>
      <c r="C13334" s="74" t="s">
        <v>420</v>
      </c>
    </row>
    <row r="13335" spans="1:3">
      <c r="A13335" s="250">
        <v>32034</v>
      </c>
      <c r="B13335" s="74" t="s">
        <v>8215</v>
      </c>
      <c r="C13335" s="74" t="s">
        <v>420</v>
      </c>
    </row>
    <row r="13336" spans="1:3">
      <c r="A13336" s="250">
        <v>32035</v>
      </c>
      <c r="B13336" s="74" t="s">
        <v>8215</v>
      </c>
      <c r="C13336" s="74" t="s">
        <v>420</v>
      </c>
    </row>
    <row r="13337" spans="1:3">
      <c r="A13337" s="250">
        <v>32038</v>
      </c>
      <c r="B13337" s="74" t="s">
        <v>8216</v>
      </c>
      <c r="C13337" s="74" t="s">
        <v>420</v>
      </c>
    </row>
    <row r="13338" spans="1:3">
      <c r="A13338" s="250">
        <v>32040</v>
      </c>
      <c r="B13338" s="74" t="s">
        <v>8217</v>
      </c>
      <c r="C13338" s="74" t="s">
        <v>420</v>
      </c>
    </row>
    <row r="13339" spans="1:3">
      <c r="A13339" s="250">
        <v>32041</v>
      </c>
      <c r="B13339" s="74" t="s">
        <v>8218</v>
      </c>
      <c r="C13339" s="74" t="s">
        <v>420</v>
      </c>
    </row>
    <row r="13340" spans="1:3">
      <c r="A13340" s="250">
        <v>32042</v>
      </c>
      <c r="B13340" s="74" t="s">
        <v>7098</v>
      </c>
      <c r="C13340" s="74" t="s">
        <v>420</v>
      </c>
    </row>
    <row r="13341" spans="1:3">
      <c r="A13341" s="250">
        <v>32043</v>
      </c>
      <c r="B13341" s="74" t="s">
        <v>8219</v>
      </c>
      <c r="C13341" s="74" t="s">
        <v>420</v>
      </c>
    </row>
    <row r="13342" spans="1:3">
      <c r="A13342" s="250">
        <v>32044</v>
      </c>
      <c r="B13342" s="74" t="s">
        <v>1315</v>
      </c>
      <c r="C13342" s="74" t="s">
        <v>420</v>
      </c>
    </row>
    <row r="13343" spans="1:3">
      <c r="A13343" s="250">
        <v>32046</v>
      </c>
      <c r="B13343" s="74" t="s">
        <v>8220</v>
      </c>
      <c r="C13343" s="74" t="s">
        <v>420</v>
      </c>
    </row>
    <row r="13344" spans="1:3">
      <c r="A13344" s="250">
        <v>32050</v>
      </c>
      <c r="B13344" s="74" t="s">
        <v>4956</v>
      </c>
      <c r="C13344" s="74" t="s">
        <v>420</v>
      </c>
    </row>
    <row r="13345" spans="1:3">
      <c r="A13345" s="250">
        <v>32052</v>
      </c>
      <c r="B13345" s="74" t="s">
        <v>3922</v>
      </c>
      <c r="C13345" s="74" t="s">
        <v>420</v>
      </c>
    </row>
    <row r="13346" spans="1:3">
      <c r="A13346" s="250">
        <v>32053</v>
      </c>
      <c r="B13346" s="74" t="s">
        <v>8221</v>
      </c>
      <c r="C13346" s="74" t="s">
        <v>420</v>
      </c>
    </row>
    <row r="13347" spans="1:3">
      <c r="A13347" s="250">
        <v>32054</v>
      </c>
      <c r="B13347" s="74" t="s">
        <v>8222</v>
      </c>
      <c r="C13347" s="74" t="s">
        <v>420</v>
      </c>
    </row>
    <row r="13348" spans="1:3">
      <c r="A13348" s="250">
        <v>32055</v>
      </c>
      <c r="B13348" s="74" t="s">
        <v>4516</v>
      </c>
      <c r="C13348" s="74" t="s">
        <v>420</v>
      </c>
    </row>
    <row r="13349" spans="1:3">
      <c r="A13349" s="250">
        <v>32056</v>
      </c>
      <c r="B13349" s="74" t="s">
        <v>4516</v>
      </c>
      <c r="C13349" s="74" t="s">
        <v>420</v>
      </c>
    </row>
    <row r="13350" spans="1:3">
      <c r="A13350" s="250">
        <v>32058</v>
      </c>
      <c r="B13350" s="74" t="s">
        <v>8223</v>
      </c>
      <c r="C13350" s="74" t="s">
        <v>420</v>
      </c>
    </row>
    <row r="13351" spans="1:3">
      <c r="A13351" s="250">
        <v>32059</v>
      </c>
      <c r="B13351" s="74" t="s">
        <v>649</v>
      </c>
      <c r="C13351" s="74" t="s">
        <v>420</v>
      </c>
    </row>
    <row r="13352" spans="1:3">
      <c r="A13352" s="250">
        <v>32060</v>
      </c>
      <c r="B13352" s="74" t="s">
        <v>8224</v>
      </c>
      <c r="C13352" s="74" t="s">
        <v>420</v>
      </c>
    </row>
    <row r="13353" spans="1:3">
      <c r="A13353" s="250">
        <v>32061</v>
      </c>
      <c r="B13353" s="74" t="s">
        <v>8225</v>
      </c>
      <c r="C13353" s="74" t="s">
        <v>420</v>
      </c>
    </row>
    <row r="13354" spans="1:3">
      <c r="A13354" s="250">
        <v>32062</v>
      </c>
      <c r="B13354" s="74" t="s">
        <v>8226</v>
      </c>
      <c r="C13354" s="74" t="s">
        <v>420</v>
      </c>
    </row>
    <row r="13355" spans="1:3">
      <c r="A13355" s="250">
        <v>32063</v>
      </c>
      <c r="B13355" s="74" t="s">
        <v>8227</v>
      </c>
      <c r="C13355" s="74" t="s">
        <v>420</v>
      </c>
    </row>
    <row r="13356" spans="1:3">
      <c r="A13356" s="250">
        <v>32064</v>
      </c>
      <c r="B13356" s="74" t="s">
        <v>8224</v>
      </c>
      <c r="C13356" s="74" t="s">
        <v>420</v>
      </c>
    </row>
    <row r="13357" spans="1:3">
      <c r="A13357" s="250">
        <v>32065</v>
      </c>
      <c r="B13357" s="74" t="s">
        <v>8228</v>
      </c>
      <c r="C13357" s="74" t="s">
        <v>420</v>
      </c>
    </row>
    <row r="13358" spans="1:3">
      <c r="A13358" s="250">
        <v>32066</v>
      </c>
      <c r="B13358" s="74" t="s">
        <v>5687</v>
      </c>
      <c r="C13358" s="74" t="s">
        <v>420</v>
      </c>
    </row>
    <row r="13359" spans="1:3">
      <c r="A13359" s="250">
        <v>32067</v>
      </c>
      <c r="B13359" s="74" t="s">
        <v>8228</v>
      </c>
      <c r="C13359" s="74" t="s">
        <v>420</v>
      </c>
    </row>
    <row r="13360" spans="1:3">
      <c r="A13360" s="250">
        <v>32068</v>
      </c>
      <c r="B13360" s="74" t="s">
        <v>4956</v>
      </c>
      <c r="C13360" s="74" t="s">
        <v>420</v>
      </c>
    </row>
    <row r="13361" spans="1:3">
      <c r="A13361" s="250">
        <v>32071</v>
      </c>
      <c r="B13361" s="74" t="s">
        <v>8229</v>
      </c>
      <c r="C13361" s="74" t="s">
        <v>420</v>
      </c>
    </row>
    <row r="13362" spans="1:3">
      <c r="A13362" s="250">
        <v>32072</v>
      </c>
      <c r="B13362" s="74" t="s">
        <v>8230</v>
      </c>
      <c r="C13362" s="74" t="s">
        <v>420</v>
      </c>
    </row>
    <row r="13363" spans="1:3">
      <c r="A13363" s="250">
        <v>32073</v>
      </c>
      <c r="B13363" s="74" t="s">
        <v>8228</v>
      </c>
      <c r="C13363" s="74" t="s">
        <v>420</v>
      </c>
    </row>
    <row r="13364" spans="1:3">
      <c r="A13364" s="250">
        <v>32079</v>
      </c>
      <c r="B13364" s="74" t="s">
        <v>8231</v>
      </c>
      <c r="C13364" s="74" t="s">
        <v>420</v>
      </c>
    </row>
    <row r="13365" spans="1:3">
      <c r="A13365" s="250">
        <v>32080</v>
      </c>
      <c r="B13365" s="74" t="s">
        <v>8232</v>
      </c>
      <c r="C13365" s="74" t="s">
        <v>420</v>
      </c>
    </row>
    <row r="13366" spans="1:3">
      <c r="A13366" s="250">
        <v>32081</v>
      </c>
      <c r="B13366" s="74" t="s">
        <v>8233</v>
      </c>
      <c r="C13366" s="74" t="s">
        <v>420</v>
      </c>
    </row>
    <row r="13367" spans="1:3">
      <c r="A13367" s="250">
        <v>32082</v>
      </c>
      <c r="B13367" s="74" t="s">
        <v>8209</v>
      </c>
      <c r="C13367" s="74" t="s">
        <v>420</v>
      </c>
    </row>
    <row r="13368" spans="1:3">
      <c r="A13368" s="250">
        <v>32083</v>
      </c>
      <c r="B13368" s="74" t="s">
        <v>8213</v>
      </c>
      <c r="C13368" s="74" t="s">
        <v>420</v>
      </c>
    </row>
    <row r="13369" spans="1:3">
      <c r="A13369" s="250">
        <v>32084</v>
      </c>
      <c r="B13369" s="74" t="s">
        <v>8232</v>
      </c>
      <c r="C13369" s="74" t="s">
        <v>420</v>
      </c>
    </row>
    <row r="13370" spans="1:3">
      <c r="A13370" s="250">
        <v>32085</v>
      </c>
      <c r="B13370" s="74" t="s">
        <v>8232</v>
      </c>
      <c r="C13370" s="74" t="s">
        <v>420</v>
      </c>
    </row>
    <row r="13371" spans="1:3">
      <c r="A13371" s="250">
        <v>32086</v>
      </c>
      <c r="B13371" s="74" t="s">
        <v>8232</v>
      </c>
      <c r="C13371" s="74" t="s">
        <v>420</v>
      </c>
    </row>
    <row r="13372" spans="1:3">
      <c r="A13372" s="250">
        <v>32087</v>
      </c>
      <c r="B13372" s="74" t="s">
        <v>8234</v>
      </c>
      <c r="C13372" s="74" t="s">
        <v>420</v>
      </c>
    </row>
    <row r="13373" spans="1:3">
      <c r="A13373" s="250">
        <v>32091</v>
      </c>
      <c r="B13373" s="74" t="s">
        <v>8235</v>
      </c>
      <c r="C13373" s="74" t="s">
        <v>420</v>
      </c>
    </row>
    <row r="13374" spans="1:3">
      <c r="A13374" s="250">
        <v>32092</v>
      </c>
      <c r="B13374" s="74" t="s">
        <v>8232</v>
      </c>
      <c r="C13374" s="74" t="s">
        <v>420</v>
      </c>
    </row>
    <row r="13375" spans="1:3">
      <c r="A13375" s="250">
        <v>32094</v>
      </c>
      <c r="B13375" s="74" t="s">
        <v>8236</v>
      </c>
      <c r="C13375" s="74" t="s">
        <v>420</v>
      </c>
    </row>
    <row r="13376" spans="1:3">
      <c r="A13376" s="250">
        <v>32095</v>
      </c>
      <c r="B13376" s="74" t="s">
        <v>8232</v>
      </c>
      <c r="C13376" s="74" t="s">
        <v>420</v>
      </c>
    </row>
    <row r="13377" spans="1:3">
      <c r="A13377" s="250">
        <v>32096</v>
      </c>
      <c r="B13377" s="74" t="s">
        <v>8237</v>
      </c>
      <c r="C13377" s="74" t="s">
        <v>420</v>
      </c>
    </row>
    <row r="13378" spans="1:3">
      <c r="A13378" s="250">
        <v>32097</v>
      </c>
      <c r="B13378" s="74" t="s">
        <v>8218</v>
      </c>
      <c r="C13378" s="74" t="s">
        <v>420</v>
      </c>
    </row>
    <row r="13379" spans="1:3">
      <c r="A13379" s="250">
        <v>32099</v>
      </c>
      <c r="B13379" s="74" t="s">
        <v>1782</v>
      </c>
      <c r="C13379" s="74" t="s">
        <v>420</v>
      </c>
    </row>
    <row r="13380" spans="1:3">
      <c r="A13380" s="250">
        <v>32102</v>
      </c>
      <c r="B13380" s="74" t="s">
        <v>8238</v>
      </c>
      <c r="C13380" s="74" t="s">
        <v>420</v>
      </c>
    </row>
    <row r="13381" spans="1:3">
      <c r="A13381" s="250">
        <v>32105</v>
      </c>
      <c r="B13381" s="74" t="s">
        <v>8239</v>
      </c>
      <c r="C13381" s="74" t="s">
        <v>420</v>
      </c>
    </row>
    <row r="13382" spans="1:3">
      <c r="A13382" s="250">
        <v>32110</v>
      </c>
      <c r="B13382" s="74" t="s">
        <v>8240</v>
      </c>
      <c r="C13382" s="74" t="s">
        <v>420</v>
      </c>
    </row>
    <row r="13383" spans="1:3">
      <c r="A13383" s="250">
        <v>32111</v>
      </c>
      <c r="B13383" s="74" t="s">
        <v>7537</v>
      </c>
      <c r="C13383" s="74" t="s">
        <v>420</v>
      </c>
    </row>
    <row r="13384" spans="1:3">
      <c r="A13384" s="250">
        <v>32112</v>
      </c>
      <c r="B13384" s="74" t="s">
        <v>8241</v>
      </c>
      <c r="C13384" s="74" t="s">
        <v>420</v>
      </c>
    </row>
    <row r="13385" spans="1:3">
      <c r="A13385" s="250">
        <v>32113</v>
      </c>
      <c r="B13385" s="74" t="s">
        <v>8242</v>
      </c>
      <c r="C13385" s="74" t="s">
        <v>420</v>
      </c>
    </row>
    <row r="13386" spans="1:3">
      <c r="A13386" s="250">
        <v>32114</v>
      </c>
      <c r="B13386" s="74" t="s">
        <v>8243</v>
      </c>
      <c r="C13386" s="74" t="s">
        <v>420</v>
      </c>
    </row>
    <row r="13387" spans="1:3">
      <c r="A13387" s="250">
        <v>32115</v>
      </c>
      <c r="B13387" s="74" t="s">
        <v>8243</v>
      </c>
      <c r="C13387" s="74" t="s">
        <v>420</v>
      </c>
    </row>
    <row r="13388" spans="1:3">
      <c r="A13388" s="250">
        <v>32116</v>
      </c>
      <c r="B13388" s="74" t="s">
        <v>8243</v>
      </c>
      <c r="C13388" s="74" t="s">
        <v>420</v>
      </c>
    </row>
    <row r="13389" spans="1:3">
      <c r="A13389" s="250">
        <v>32117</v>
      </c>
      <c r="B13389" s="74" t="s">
        <v>8243</v>
      </c>
      <c r="C13389" s="74" t="s">
        <v>420</v>
      </c>
    </row>
    <row r="13390" spans="1:3">
      <c r="A13390" s="250">
        <v>32118</v>
      </c>
      <c r="B13390" s="74" t="s">
        <v>8243</v>
      </c>
      <c r="C13390" s="74" t="s">
        <v>420</v>
      </c>
    </row>
    <row r="13391" spans="1:3">
      <c r="A13391" s="250">
        <v>32119</v>
      </c>
      <c r="B13391" s="74" t="s">
        <v>8243</v>
      </c>
      <c r="C13391" s="74" t="s">
        <v>420</v>
      </c>
    </row>
    <row r="13392" spans="1:3">
      <c r="A13392" s="250">
        <v>32120</v>
      </c>
      <c r="B13392" s="74" t="s">
        <v>8243</v>
      </c>
      <c r="C13392" s="74" t="s">
        <v>420</v>
      </c>
    </row>
    <row r="13393" spans="1:3">
      <c r="A13393" s="250">
        <v>32121</v>
      </c>
      <c r="B13393" s="74" t="s">
        <v>8243</v>
      </c>
      <c r="C13393" s="74" t="s">
        <v>420</v>
      </c>
    </row>
    <row r="13394" spans="1:3">
      <c r="A13394" s="250">
        <v>32122</v>
      </c>
      <c r="B13394" s="74" t="s">
        <v>8243</v>
      </c>
      <c r="C13394" s="74" t="s">
        <v>420</v>
      </c>
    </row>
    <row r="13395" spans="1:3">
      <c r="A13395" s="250">
        <v>32123</v>
      </c>
      <c r="B13395" s="74" t="s">
        <v>8244</v>
      </c>
      <c r="C13395" s="74" t="s">
        <v>420</v>
      </c>
    </row>
    <row r="13396" spans="1:3">
      <c r="A13396" s="250">
        <v>32124</v>
      </c>
      <c r="B13396" s="74" t="s">
        <v>8243</v>
      </c>
      <c r="C13396" s="74" t="s">
        <v>420</v>
      </c>
    </row>
    <row r="13397" spans="1:3">
      <c r="A13397" s="250">
        <v>32125</v>
      </c>
      <c r="B13397" s="74" t="s">
        <v>8243</v>
      </c>
      <c r="C13397" s="74" t="s">
        <v>420</v>
      </c>
    </row>
    <row r="13398" spans="1:3">
      <c r="A13398" s="250">
        <v>32126</v>
      </c>
      <c r="B13398" s="74" t="s">
        <v>8243</v>
      </c>
      <c r="C13398" s="74" t="s">
        <v>420</v>
      </c>
    </row>
    <row r="13399" spans="1:3">
      <c r="A13399" s="250">
        <v>32127</v>
      </c>
      <c r="B13399" s="74" t="s">
        <v>8244</v>
      </c>
      <c r="C13399" s="74" t="s">
        <v>420</v>
      </c>
    </row>
    <row r="13400" spans="1:3">
      <c r="A13400" s="250">
        <v>32128</v>
      </c>
      <c r="B13400" s="74" t="s">
        <v>8244</v>
      </c>
      <c r="C13400" s="74" t="s">
        <v>420</v>
      </c>
    </row>
    <row r="13401" spans="1:3">
      <c r="A13401" s="250">
        <v>32129</v>
      </c>
      <c r="B13401" s="74" t="s">
        <v>8244</v>
      </c>
      <c r="C13401" s="74" t="s">
        <v>420</v>
      </c>
    </row>
    <row r="13402" spans="1:3">
      <c r="A13402" s="250">
        <v>32130</v>
      </c>
      <c r="B13402" s="74" t="s">
        <v>8245</v>
      </c>
      <c r="C13402" s="74" t="s">
        <v>420</v>
      </c>
    </row>
    <row r="13403" spans="1:3">
      <c r="A13403" s="250">
        <v>32131</v>
      </c>
      <c r="B13403" s="74" t="s">
        <v>8246</v>
      </c>
      <c r="C13403" s="74" t="s">
        <v>420</v>
      </c>
    </row>
    <row r="13404" spans="1:3">
      <c r="A13404" s="250">
        <v>32132</v>
      </c>
      <c r="B13404" s="74" t="s">
        <v>2120</v>
      </c>
      <c r="C13404" s="74" t="s">
        <v>420</v>
      </c>
    </row>
    <row r="13405" spans="1:3">
      <c r="A13405" s="250">
        <v>32133</v>
      </c>
      <c r="B13405" s="74" t="s">
        <v>8247</v>
      </c>
      <c r="C13405" s="74" t="s">
        <v>420</v>
      </c>
    </row>
    <row r="13406" spans="1:3">
      <c r="A13406" s="250">
        <v>32134</v>
      </c>
      <c r="B13406" s="74" t="s">
        <v>8248</v>
      </c>
      <c r="C13406" s="74" t="s">
        <v>420</v>
      </c>
    </row>
    <row r="13407" spans="1:3">
      <c r="A13407" s="250">
        <v>32135</v>
      </c>
      <c r="B13407" s="74" t="s">
        <v>8249</v>
      </c>
      <c r="C13407" s="74" t="s">
        <v>420</v>
      </c>
    </row>
    <row r="13408" spans="1:3">
      <c r="A13408" s="250">
        <v>32136</v>
      </c>
      <c r="B13408" s="74" t="s">
        <v>8250</v>
      </c>
      <c r="C13408" s="74" t="s">
        <v>420</v>
      </c>
    </row>
    <row r="13409" spans="1:3">
      <c r="A13409" s="250">
        <v>32137</v>
      </c>
      <c r="B13409" s="74" t="s">
        <v>8249</v>
      </c>
      <c r="C13409" s="74" t="s">
        <v>420</v>
      </c>
    </row>
    <row r="13410" spans="1:3">
      <c r="A13410" s="250">
        <v>32138</v>
      </c>
      <c r="B13410" s="74" t="s">
        <v>8251</v>
      </c>
      <c r="C13410" s="74" t="s">
        <v>420</v>
      </c>
    </row>
    <row r="13411" spans="1:3">
      <c r="A13411" s="250">
        <v>32139</v>
      </c>
      <c r="B13411" s="74" t="s">
        <v>813</v>
      </c>
      <c r="C13411" s="74" t="s">
        <v>420</v>
      </c>
    </row>
    <row r="13412" spans="1:3">
      <c r="A13412" s="250">
        <v>32140</v>
      </c>
      <c r="B13412" s="74" t="s">
        <v>8252</v>
      </c>
      <c r="C13412" s="74" t="s">
        <v>420</v>
      </c>
    </row>
    <row r="13413" spans="1:3">
      <c r="A13413" s="250">
        <v>32141</v>
      </c>
      <c r="B13413" s="74" t="s">
        <v>2120</v>
      </c>
      <c r="C13413" s="74" t="s">
        <v>420</v>
      </c>
    </row>
    <row r="13414" spans="1:3">
      <c r="A13414" s="250">
        <v>32142</v>
      </c>
      <c r="B13414" s="74" t="s">
        <v>8249</v>
      </c>
      <c r="C13414" s="74" t="s">
        <v>420</v>
      </c>
    </row>
    <row r="13415" spans="1:3">
      <c r="A13415" s="250">
        <v>32143</v>
      </c>
      <c r="B13415" s="74" t="s">
        <v>8249</v>
      </c>
      <c r="C13415" s="74" t="s">
        <v>420</v>
      </c>
    </row>
    <row r="13416" spans="1:3">
      <c r="A13416" s="250">
        <v>32145</v>
      </c>
      <c r="B13416" s="74" t="s">
        <v>3368</v>
      </c>
      <c r="C13416" s="74" t="s">
        <v>420</v>
      </c>
    </row>
    <row r="13417" spans="1:3">
      <c r="A13417" s="250">
        <v>32147</v>
      </c>
      <c r="B13417" s="74" t="s">
        <v>7198</v>
      </c>
      <c r="C13417" s="74" t="s">
        <v>420</v>
      </c>
    </row>
    <row r="13418" spans="1:3">
      <c r="A13418" s="250">
        <v>32148</v>
      </c>
      <c r="B13418" s="74" t="s">
        <v>8253</v>
      </c>
      <c r="C13418" s="74" t="s">
        <v>420</v>
      </c>
    </row>
    <row r="13419" spans="1:3">
      <c r="A13419" s="250">
        <v>32149</v>
      </c>
      <c r="B13419" s="74" t="s">
        <v>8254</v>
      </c>
      <c r="C13419" s="74" t="s">
        <v>420</v>
      </c>
    </row>
    <row r="13420" spans="1:3">
      <c r="A13420" s="250">
        <v>32157</v>
      </c>
      <c r="B13420" s="74" t="s">
        <v>5168</v>
      </c>
      <c r="C13420" s="74" t="s">
        <v>420</v>
      </c>
    </row>
    <row r="13421" spans="1:3">
      <c r="A13421" s="250">
        <v>32158</v>
      </c>
      <c r="B13421" s="74" t="s">
        <v>8255</v>
      </c>
      <c r="C13421" s="74" t="s">
        <v>420</v>
      </c>
    </row>
    <row r="13422" spans="1:3">
      <c r="A13422" s="250">
        <v>32159</v>
      </c>
      <c r="B13422" s="74" t="s">
        <v>8255</v>
      </c>
      <c r="C13422" s="74" t="s">
        <v>420</v>
      </c>
    </row>
    <row r="13423" spans="1:3">
      <c r="A13423" s="250">
        <v>32160</v>
      </c>
      <c r="B13423" s="74" t="s">
        <v>8256</v>
      </c>
      <c r="C13423" s="74" t="s">
        <v>420</v>
      </c>
    </row>
    <row r="13424" spans="1:3">
      <c r="A13424" s="250">
        <v>32162</v>
      </c>
      <c r="B13424" s="74" t="s">
        <v>8257</v>
      </c>
      <c r="C13424" s="74" t="s">
        <v>420</v>
      </c>
    </row>
    <row r="13425" spans="1:3">
      <c r="A13425" s="250">
        <v>32163</v>
      </c>
      <c r="B13425" s="74" t="s">
        <v>8257</v>
      </c>
      <c r="C13425" s="74" t="s">
        <v>420</v>
      </c>
    </row>
    <row r="13426" spans="1:3">
      <c r="A13426" s="250">
        <v>32164</v>
      </c>
      <c r="B13426" s="74" t="s">
        <v>8249</v>
      </c>
      <c r="C13426" s="74" t="s">
        <v>420</v>
      </c>
    </row>
    <row r="13427" spans="1:3">
      <c r="A13427" s="250">
        <v>32168</v>
      </c>
      <c r="B13427" s="74" t="s">
        <v>8258</v>
      </c>
      <c r="C13427" s="74" t="s">
        <v>420</v>
      </c>
    </row>
    <row r="13428" spans="1:3">
      <c r="A13428" s="250">
        <v>32169</v>
      </c>
      <c r="B13428" s="74" t="s">
        <v>8258</v>
      </c>
      <c r="C13428" s="74" t="s">
        <v>420</v>
      </c>
    </row>
    <row r="13429" spans="1:3">
      <c r="A13429" s="250">
        <v>32170</v>
      </c>
      <c r="B13429" s="74" t="s">
        <v>8258</v>
      </c>
      <c r="C13429" s="74" t="s">
        <v>420</v>
      </c>
    </row>
    <row r="13430" spans="1:3">
      <c r="A13430" s="250">
        <v>32173</v>
      </c>
      <c r="B13430" s="74" t="s">
        <v>8259</v>
      </c>
      <c r="C13430" s="74" t="s">
        <v>420</v>
      </c>
    </row>
    <row r="13431" spans="1:3">
      <c r="A13431" s="250">
        <v>32174</v>
      </c>
      <c r="B13431" s="74" t="s">
        <v>8259</v>
      </c>
      <c r="C13431" s="74" t="s">
        <v>420</v>
      </c>
    </row>
    <row r="13432" spans="1:3">
      <c r="A13432" s="250">
        <v>32175</v>
      </c>
      <c r="B13432" s="74" t="s">
        <v>8259</v>
      </c>
      <c r="C13432" s="74" t="s">
        <v>420</v>
      </c>
    </row>
    <row r="13433" spans="1:3">
      <c r="A13433" s="250">
        <v>32176</v>
      </c>
      <c r="B13433" s="74" t="s">
        <v>8259</v>
      </c>
      <c r="C13433" s="74" t="s">
        <v>420</v>
      </c>
    </row>
    <row r="13434" spans="1:3">
      <c r="A13434" s="250">
        <v>32177</v>
      </c>
      <c r="B13434" s="74" t="s">
        <v>8260</v>
      </c>
      <c r="C13434" s="74" t="s">
        <v>420</v>
      </c>
    </row>
    <row r="13435" spans="1:3">
      <c r="A13435" s="250">
        <v>32178</v>
      </c>
      <c r="B13435" s="74" t="s">
        <v>8260</v>
      </c>
      <c r="C13435" s="74" t="s">
        <v>420</v>
      </c>
    </row>
    <row r="13436" spans="1:3">
      <c r="A13436" s="250">
        <v>32179</v>
      </c>
      <c r="B13436" s="74" t="s">
        <v>8261</v>
      </c>
      <c r="C13436" s="74" t="s">
        <v>420</v>
      </c>
    </row>
    <row r="13437" spans="1:3">
      <c r="A13437" s="250">
        <v>32180</v>
      </c>
      <c r="B13437" s="74" t="s">
        <v>8262</v>
      </c>
      <c r="C13437" s="74" t="s">
        <v>420</v>
      </c>
    </row>
    <row r="13438" spans="1:3">
      <c r="A13438" s="250">
        <v>32181</v>
      </c>
      <c r="B13438" s="74" t="s">
        <v>8263</v>
      </c>
      <c r="C13438" s="74" t="s">
        <v>420</v>
      </c>
    </row>
    <row r="13439" spans="1:3">
      <c r="A13439" s="250">
        <v>32182</v>
      </c>
      <c r="B13439" s="74" t="s">
        <v>8264</v>
      </c>
      <c r="C13439" s="74" t="s">
        <v>420</v>
      </c>
    </row>
    <row r="13440" spans="1:3">
      <c r="A13440" s="250">
        <v>32183</v>
      </c>
      <c r="B13440" s="74" t="s">
        <v>8261</v>
      </c>
      <c r="C13440" s="74" t="s">
        <v>420</v>
      </c>
    </row>
    <row r="13441" spans="1:3">
      <c r="A13441" s="250">
        <v>32185</v>
      </c>
      <c r="B13441" s="74" t="s">
        <v>8265</v>
      </c>
      <c r="C13441" s="74" t="s">
        <v>420</v>
      </c>
    </row>
    <row r="13442" spans="1:3">
      <c r="A13442" s="250">
        <v>32187</v>
      </c>
      <c r="B13442" s="74" t="s">
        <v>8266</v>
      </c>
      <c r="C13442" s="74" t="s">
        <v>420</v>
      </c>
    </row>
    <row r="13443" spans="1:3">
      <c r="A13443" s="250">
        <v>32189</v>
      </c>
      <c r="B13443" s="74" t="s">
        <v>8267</v>
      </c>
      <c r="C13443" s="74" t="s">
        <v>420</v>
      </c>
    </row>
    <row r="13444" spans="1:3">
      <c r="A13444" s="250">
        <v>32190</v>
      </c>
      <c r="B13444" s="74" t="s">
        <v>8098</v>
      </c>
      <c r="C13444" s="74" t="s">
        <v>420</v>
      </c>
    </row>
    <row r="13445" spans="1:3">
      <c r="A13445" s="250">
        <v>32192</v>
      </c>
      <c r="B13445" s="74" t="s">
        <v>8268</v>
      </c>
      <c r="C13445" s="74" t="s">
        <v>420</v>
      </c>
    </row>
    <row r="13446" spans="1:3">
      <c r="A13446" s="250">
        <v>32193</v>
      </c>
      <c r="B13446" s="74" t="s">
        <v>8269</v>
      </c>
      <c r="C13446" s="74" t="s">
        <v>420</v>
      </c>
    </row>
    <row r="13447" spans="1:3">
      <c r="A13447" s="250">
        <v>32195</v>
      </c>
      <c r="B13447" s="74" t="s">
        <v>8270</v>
      </c>
      <c r="C13447" s="74" t="s">
        <v>420</v>
      </c>
    </row>
    <row r="13448" spans="1:3">
      <c r="A13448" s="250">
        <v>32198</v>
      </c>
      <c r="B13448" s="74" t="s">
        <v>8243</v>
      </c>
      <c r="C13448" s="74" t="s">
        <v>420</v>
      </c>
    </row>
    <row r="13449" spans="1:3">
      <c r="A13449" s="250">
        <v>32201</v>
      </c>
      <c r="B13449" s="74" t="s">
        <v>1782</v>
      </c>
      <c r="C13449" s="74" t="s">
        <v>420</v>
      </c>
    </row>
    <row r="13450" spans="1:3">
      <c r="A13450" s="250">
        <v>32202</v>
      </c>
      <c r="B13450" s="74" t="s">
        <v>1782</v>
      </c>
      <c r="C13450" s="74" t="s">
        <v>420</v>
      </c>
    </row>
    <row r="13451" spans="1:3">
      <c r="A13451" s="250">
        <v>32203</v>
      </c>
      <c r="B13451" s="74" t="s">
        <v>1782</v>
      </c>
      <c r="C13451" s="74" t="s">
        <v>420</v>
      </c>
    </row>
    <row r="13452" spans="1:3">
      <c r="A13452" s="250">
        <v>32204</v>
      </c>
      <c r="B13452" s="74" t="s">
        <v>1782</v>
      </c>
      <c r="C13452" s="74" t="s">
        <v>420</v>
      </c>
    </row>
    <row r="13453" spans="1:3">
      <c r="A13453" s="250">
        <v>32205</v>
      </c>
      <c r="B13453" s="74" t="s">
        <v>1782</v>
      </c>
      <c r="C13453" s="74" t="s">
        <v>420</v>
      </c>
    </row>
    <row r="13454" spans="1:3">
      <c r="A13454" s="250">
        <v>32206</v>
      </c>
      <c r="B13454" s="74" t="s">
        <v>1782</v>
      </c>
      <c r="C13454" s="74" t="s">
        <v>420</v>
      </c>
    </row>
    <row r="13455" spans="1:3">
      <c r="A13455" s="250">
        <v>32207</v>
      </c>
      <c r="B13455" s="74" t="s">
        <v>1782</v>
      </c>
      <c r="C13455" s="74" t="s">
        <v>420</v>
      </c>
    </row>
    <row r="13456" spans="1:3">
      <c r="A13456" s="250">
        <v>32208</v>
      </c>
      <c r="B13456" s="74" t="s">
        <v>1782</v>
      </c>
      <c r="C13456" s="74" t="s">
        <v>420</v>
      </c>
    </row>
    <row r="13457" spans="1:3">
      <c r="A13457" s="250">
        <v>32209</v>
      </c>
      <c r="B13457" s="74" t="s">
        <v>1782</v>
      </c>
      <c r="C13457" s="74" t="s">
        <v>420</v>
      </c>
    </row>
    <row r="13458" spans="1:3">
      <c r="A13458" s="250">
        <v>32210</v>
      </c>
      <c r="B13458" s="74" t="s">
        <v>1782</v>
      </c>
      <c r="C13458" s="74" t="s">
        <v>420</v>
      </c>
    </row>
    <row r="13459" spans="1:3">
      <c r="A13459" s="250">
        <v>32211</v>
      </c>
      <c r="B13459" s="74" t="s">
        <v>1782</v>
      </c>
      <c r="C13459" s="74" t="s">
        <v>420</v>
      </c>
    </row>
    <row r="13460" spans="1:3">
      <c r="A13460" s="250">
        <v>32212</v>
      </c>
      <c r="B13460" s="74" t="s">
        <v>1782</v>
      </c>
      <c r="C13460" s="74" t="s">
        <v>420</v>
      </c>
    </row>
    <row r="13461" spans="1:3">
      <c r="A13461" s="250">
        <v>32214</v>
      </c>
      <c r="B13461" s="74" t="s">
        <v>1782</v>
      </c>
      <c r="C13461" s="74" t="s">
        <v>420</v>
      </c>
    </row>
    <row r="13462" spans="1:3">
      <c r="A13462" s="250">
        <v>32215</v>
      </c>
      <c r="B13462" s="74" t="s">
        <v>1782</v>
      </c>
      <c r="C13462" s="74" t="s">
        <v>420</v>
      </c>
    </row>
    <row r="13463" spans="1:3">
      <c r="A13463" s="250">
        <v>32216</v>
      </c>
      <c r="B13463" s="74" t="s">
        <v>1782</v>
      </c>
      <c r="C13463" s="74" t="s">
        <v>420</v>
      </c>
    </row>
    <row r="13464" spans="1:3">
      <c r="A13464" s="250">
        <v>32217</v>
      </c>
      <c r="B13464" s="74" t="s">
        <v>1782</v>
      </c>
      <c r="C13464" s="74" t="s">
        <v>420</v>
      </c>
    </row>
    <row r="13465" spans="1:3">
      <c r="A13465" s="250">
        <v>32218</v>
      </c>
      <c r="B13465" s="74" t="s">
        <v>1782</v>
      </c>
      <c r="C13465" s="74" t="s">
        <v>420</v>
      </c>
    </row>
    <row r="13466" spans="1:3">
      <c r="A13466" s="250">
        <v>32219</v>
      </c>
      <c r="B13466" s="74" t="s">
        <v>1782</v>
      </c>
      <c r="C13466" s="74" t="s">
        <v>420</v>
      </c>
    </row>
    <row r="13467" spans="1:3">
      <c r="A13467" s="250">
        <v>32220</v>
      </c>
      <c r="B13467" s="74" t="s">
        <v>1782</v>
      </c>
      <c r="C13467" s="74" t="s">
        <v>420</v>
      </c>
    </row>
    <row r="13468" spans="1:3">
      <c r="A13468" s="250">
        <v>32221</v>
      </c>
      <c r="B13468" s="74" t="s">
        <v>1782</v>
      </c>
      <c r="C13468" s="74" t="s">
        <v>420</v>
      </c>
    </row>
    <row r="13469" spans="1:3">
      <c r="A13469" s="250">
        <v>32222</v>
      </c>
      <c r="B13469" s="74" t="s">
        <v>1782</v>
      </c>
      <c r="C13469" s="74" t="s">
        <v>420</v>
      </c>
    </row>
    <row r="13470" spans="1:3">
      <c r="A13470" s="250">
        <v>32223</v>
      </c>
      <c r="B13470" s="74" t="s">
        <v>1782</v>
      </c>
      <c r="C13470" s="74" t="s">
        <v>420</v>
      </c>
    </row>
    <row r="13471" spans="1:3">
      <c r="A13471" s="250">
        <v>32224</v>
      </c>
      <c r="B13471" s="74" t="s">
        <v>1782</v>
      </c>
      <c r="C13471" s="74" t="s">
        <v>420</v>
      </c>
    </row>
    <row r="13472" spans="1:3">
      <c r="A13472" s="250">
        <v>32225</v>
      </c>
      <c r="B13472" s="74" t="s">
        <v>1782</v>
      </c>
      <c r="C13472" s="74" t="s">
        <v>420</v>
      </c>
    </row>
    <row r="13473" spans="1:3">
      <c r="A13473" s="250">
        <v>32226</v>
      </c>
      <c r="B13473" s="74" t="s">
        <v>1782</v>
      </c>
      <c r="C13473" s="74" t="s">
        <v>420</v>
      </c>
    </row>
    <row r="13474" spans="1:3">
      <c r="A13474" s="250">
        <v>32227</v>
      </c>
      <c r="B13474" s="74" t="s">
        <v>1782</v>
      </c>
      <c r="C13474" s="74" t="s">
        <v>420</v>
      </c>
    </row>
    <row r="13475" spans="1:3">
      <c r="A13475" s="250">
        <v>32228</v>
      </c>
      <c r="B13475" s="74" t="s">
        <v>1782</v>
      </c>
      <c r="C13475" s="74" t="s">
        <v>420</v>
      </c>
    </row>
    <row r="13476" spans="1:3">
      <c r="A13476" s="250">
        <v>32229</v>
      </c>
      <c r="B13476" s="74" t="s">
        <v>1782</v>
      </c>
      <c r="C13476" s="74" t="s">
        <v>420</v>
      </c>
    </row>
    <row r="13477" spans="1:3">
      <c r="A13477" s="250">
        <v>32230</v>
      </c>
      <c r="B13477" s="74" t="s">
        <v>1782</v>
      </c>
      <c r="C13477" s="74" t="s">
        <v>420</v>
      </c>
    </row>
    <row r="13478" spans="1:3">
      <c r="A13478" s="250">
        <v>32231</v>
      </c>
      <c r="B13478" s="74" t="s">
        <v>1782</v>
      </c>
      <c r="C13478" s="74" t="s">
        <v>420</v>
      </c>
    </row>
    <row r="13479" spans="1:3">
      <c r="A13479" s="250">
        <v>32232</v>
      </c>
      <c r="B13479" s="74" t="s">
        <v>1782</v>
      </c>
      <c r="C13479" s="74" t="s">
        <v>420</v>
      </c>
    </row>
    <row r="13480" spans="1:3">
      <c r="A13480" s="250">
        <v>32233</v>
      </c>
      <c r="B13480" s="74" t="s">
        <v>2764</v>
      </c>
      <c r="C13480" s="74" t="s">
        <v>420</v>
      </c>
    </row>
    <row r="13481" spans="1:3">
      <c r="A13481" s="250">
        <v>32234</v>
      </c>
      <c r="B13481" s="74" t="s">
        <v>1782</v>
      </c>
      <c r="C13481" s="74" t="s">
        <v>420</v>
      </c>
    </row>
    <row r="13482" spans="1:3">
      <c r="A13482" s="250">
        <v>32235</v>
      </c>
      <c r="B13482" s="74" t="s">
        <v>1782</v>
      </c>
      <c r="C13482" s="74" t="s">
        <v>420</v>
      </c>
    </row>
    <row r="13483" spans="1:3">
      <c r="A13483" s="250">
        <v>32236</v>
      </c>
      <c r="B13483" s="74" t="s">
        <v>1782</v>
      </c>
      <c r="C13483" s="74" t="s">
        <v>420</v>
      </c>
    </row>
    <row r="13484" spans="1:3">
      <c r="A13484" s="250">
        <v>32237</v>
      </c>
      <c r="B13484" s="74" t="s">
        <v>1782</v>
      </c>
      <c r="C13484" s="74" t="s">
        <v>420</v>
      </c>
    </row>
    <row r="13485" spans="1:3">
      <c r="A13485" s="250">
        <v>32238</v>
      </c>
      <c r="B13485" s="74" t="s">
        <v>1782</v>
      </c>
      <c r="C13485" s="74" t="s">
        <v>420</v>
      </c>
    </row>
    <row r="13486" spans="1:3">
      <c r="A13486" s="250">
        <v>32239</v>
      </c>
      <c r="B13486" s="74" t="s">
        <v>1782</v>
      </c>
      <c r="C13486" s="74" t="s">
        <v>420</v>
      </c>
    </row>
    <row r="13487" spans="1:3">
      <c r="A13487" s="250">
        <v>32240</v>
      </c>
      <c r="B13487" s="74" t="s">
        <v>8271</v>
      </c>
      <c r="C13487" s="74" t="s">
        <v>420</v>
      </c>
    </row>
    <row r="13488" spans="1:3">
      <c r="A13488" s="250">
        <v>32241</v>
      </c>
      <c r="B13488" s="74" t="s">
        <v>1782</v>
      </c>
      <c r="C13488" s="74" t="s">
        <v>420</v>
      </c>
    </row>
    <row r="13489" spans="1:3">
      <c r="A13489" s="250">
        <v>32244</v>
      </c>
      <c r="B13489" s="74" t="s">
        <v>1782</v>
      </c>
      <c r="C13489" s="74" t="s">
        <v>420</v>
      </c>
    </row>
    <row r="13490" spans="1:3">
      <c r="A13490" s="250">
        <v>32245</v>
      </c>
      <c r="B13490" s="74" t="s">
        <v>1782</v>
      </c>
      <c r="C13490" s="74" t="s">
        <v>420</v>
      </c>
    </row>
    <row r="13491" spans="1:3">
      <c r="A13491" s="250">
        <v>32246</v>
      </c>
      <c r="B13491" s="74" t="s">
        <v>1782</v>
      </c>
      <c r="C13491" s="74" t="s">
        <v>420</v>
      </c>
    </row>
    <row r="13492" spans="1:3">
      <c r="A13492" s="250">
        <v>32247</v>
      </c>
      <c r="B13492" s="74" t="s">
        <v>1782</v>
      </c>
      <c r="C13492" s="74" t="s">
        <v>420</v>
      </c>
    </row>
    <row r="13493" spans="1:3">
      <c r="A13493" s="250">
        <v>32250</v>
      </c>
      <c r="B13493" s="74" t="s">
        <v>8271</v>
      </c>
      <c r="C13493" s="74" t="s">
        <v>420</v>
      </c>
    </row>
    <row r="13494" spans="1:3">
      <c r="A13494" s="250">
        <v>32254</v>
      </c>
      <c r="B13494" s="74" t="s">
        <v>1782</v>
      </c>
      <c r="C13494" s="74" t="s">
        <v>420</v>
      </c>
    </row>
    <row r="13495" spans="1:3">
      <c r="A13495" s="250">
        <v>32255</v>
      </c>
      <c r="B13495" s="74" t="s">
        <v>1782</v>
      </c>
      <c r="C13495" s="74" t="s">
        <v>420</v>
      </c>
    </row>
    <row r="13496" spans="1:3">
      <c r="A13496" s="250">
        <v>32256</v>
      </c>
      <c r="B13496" s="74" t="s">
        <v>1782</v>
      </c>
      <c r="C13496" s="74" t="s">
        <v>420</v>
      </c>
    </row>
    <row r="13497" spans="1:3">
      <c r="A13497" s="250">
        <v>32257</v>
      </c>
      <c r="B13497" s="74" t="s">
        <v>1782</v>
      </c>
      <c r="C13497" s="74" t="s">
        <v>420</v>
      </c>
    </row>
    <row r="13498" spans="1:3">
      <c r="A13498" s="250">
        <v>32258</v>
      </c>
      <c r="B13498" s="74" t="s">
        <v>1782</v>
      </c>
      <c r="C13498" s="74" t="s">
        <v>420</v>
      </c>
    </row>
    <row r="13499" spans="1:3">
      <c r="A13499" s="250">
        <v>32259</v>
      </c>
      <c r="B13499" s="74" t="s">
        <v>5103</v>
      </c>
      <c r="C13499" s="74" t="s">
        <v>420</v>
      </c>
    </row>
    <row r="13500" spans="1:3">
      <c r="A13500" s="250">
        <v>32260</v>
      </c>
      <c r="B13500" s="74" t="s">
        <v>1782</v>
      </c>
      <c r="C13500" s="74" t="s">
        <v>420</v>
      </c>
    </row>
    <row r="13501" spans="1:3">
      <c r="A13501" s="250">
        <v>32266</v>
      </c>
      <c r="B13501" s="74" t="s">
        <v>8272</v>
      </c>
      <c r="C13501" s="74" t="s">
        <v>420</v>
      </c>
    </row>
    <row r="13502" spans="1:3">
      <c r="A13502" s="250">
        <v>32267</v>
      </c>
      <c r="B13502" s="74" t="s">
        <v>1782</v>
      </c>
      <c r="C13502" s="74" t="s">
        <v>420</v>
      </c>
    </row>
    <row r="13503" spans="1:3">
      <c r="A13503" s="250">
        <v>32277</v>
      </c>
      <c r="B13503" s="74" t="s">
        <v>1782</v>
      </c>
      <c r="C13503" s="74" t="s">
        <v>420</v>
      </c>
    </row>
    <row r="13504" spans="1:3">
      <c r="A13504" s="250">
        <v>32290</v>
      </c>
      <c r="B13504" s="74" t="s">
        <v>1782</v>
      </c>
      <c r="C13504" s="74" t="s">
        <v>420</v>
      </c>
    </row>
    <row r="13505" spans="1:3">
      <c r="A13505" s="250">
        <v>32301</v>
      </c>
      <c r="B13505" s="74" t="s">
        <v>8273</v>
      </c>
      <c r="C13505" s="74" t="s">
        <v>420</v>
      </c>
    </row>
    <row r="13506" spans="1:3">
      <c r="A13506" s="250">
        <v>32302</v>
      </c>
      <c r="B13506" s="74" t="s">
        <v>8273</v>
      </c>
      <c r="C13506" s="74" t="s">
        <v>420</v>
      </c>
    </row>
    <row r="13507" spans="1:3">
      <c r="A13507" s="250">
        <v>32303</v>
      </c>
      <c r="B13507" s="74" t="s">
        <v>8273</v>
      </c>
      <c r="C13507" s="74" t="s">
        <v>420</v>
      </c>
    </row>
    <row r="13508" spans="1:3">
      <c r="A13508" s="250">
        <v>32304</v>
      </c>
      <c r="B13508" s="74" t="s">
        <v>8273</v>
      </c>
      <c r="C13508" s="74" t="s">
        <v>420</v>
      </c>
    </row>
    <row r="13509" spans="1:3">
      <c r="A13509" s="250">
        <v>32305</v>
      </c>
      <c r="B13509" s="74" t="s">
        <v>8273</v>
      </c>
      <c r="C13509" s="74" t="s">
        <v>420</v>
      </c>
    </row>
    <row r="13510" spans="1:3">
      <c r="A13510" s="250">
        <v>32306</v>
      </c>
      <c r="B13510" s="74" t="s">
        <v>8273</v>
      </c>
      <c r="C13510" s="74" t="s">
        <v>420</v>
      </c>
    </row>
    <row r="13511" spans="1:3">
      <c r="A13511" s="250">
        <v>32307</v>
      </c>
      <c r="B13511" s="74" t="s">
        <v>8273</v>
      </c>
      <c r="C13511" s="74" t="s">
        <v>420</v>
      </c>
    </row>
    <row r="13512" spans="1:3">
      <c r="A13512" s="250">
        <v>32308</v>
      </c>
      <c r="B13512" s="74" t="s">
        <v>8273</v>
      </c>
      <c r="C13512" s="74" t="s">
        <v>420</v>
      </c>
    </row>
    <row r="13513" spans="1:3">
      <c r="A13513" s="250">
        <v>32309</v>
      </c>
      <c r="B13513" s="74" t="s">
        <v>8273</v>
      </c>
      <c r="C13513" s="74" t="s">
        <v>420</v>
      </c>
    </row>
    <row r="13514" spans="1:3">
      <c r="A13514" s="250">
        <v>32310</v>
      </c>
      <c r="B13514" s="74" t="s">
        <v>8273</v>
      </c>
      <c r="C13514" s="74" t="s">
        <v>420</v>
      </c>
    </row>
    <row r="13515" spans="1:3">
      <c r="A13515" s="250">
        <v>32311</v>
      </c>
      <c r="B13515" s="74" t="s">
        <v>8273</v>
      </c>
      <c r="C13515" s="74" t="s">
        <v>420</v>
      </c>
    </row>
    <row r="13516" spans="1:3">
      <c r="A13516" s="250">
        <v>32312</v>
      </c>
      <c r="B13516" s="74" t="s">
        <v>8273</v>
      </c>
      <c r="C13516" s="74" t="s">
        <v>420</v>
      </c>
    </row>
    <row r="13517" spans="1:3">
      <c r="A13517" s="250">
        <v>32313</v>
      </c>
      <c r="B13517" s="74" t="s">
        <v>8273</v>
      </c>
      <c r="C13517" s="74" t="s">
        <v>420</v>
      </c>
    </row>
    <row r="13518" spans="1:3">
      <c r="A13518" s="250">
        <v>32314</v>
      </c>
      <c r="B13518" s="74" t="s">
        <v>8273</v>
      </c>
      <c r="C13518" s="74" t="s">
        <v>420</v>
      </c>
    </row>
    <row r="13519" spans="1:3">
      <c r="A13519" s="250">
        <v>32315</v>
      </c>
      <c r="B13519" s="74" t="s">
        <v>8273</v>
      </c>
      <c r="C13519" s="74" t="s">
        <v>420</v>
      </c>
    </row>
    <row r="13520" spans="1:3">
      <c r="A13520" s="250">
        <v>32316</v>
      </c>
      <c r="B13520" s="74" t="s">
        <v>8273</v>
      </c>
      <c r="C13520" s="74" t="s">
        <v>420</v>
      </c>
    </row>
    <row r="13521" spans="1:3">
      <c r="A13521" s="250">
        <v>32317</v>
      </c>
      <c r="B13521" s="74" t="s">
        <v>8273</v>
      </c>
      <c r="C13521" s="74" t="s">
        <v>420</v>
      </c>
    </row>
    <row r="13522" spans="1:3">
      <c r="A13522" s="250">
        <v>32318</v>
      </c>
      <c r="B13522" s="74" t="s">
        <v>8273</v>
      </c>
      <c r="C13522" s="74" t="s">
        <v>420</v>
      </c>
    </row>
    <row r="13523" spans="1:3">
      <c r="A13523" s="250">
        <v>32320</v>
      </c>
      <c r="B13523" s="74" t="s">
        <v>8274</v>
      </c>
      <c r="C13523" s="74" t="s">
        <v>420</v>
      </c>
    </row>
    <row r="13524" spans="1:3">
      <c r="A13524" s="250">
        <v>32321</v>
      </c>
      <c r="B13524" s="74" t="s">
        <v>1098</v>
      </c>
      <c r="C13524" s="74" t="s">
        <v>420</v>
      </c>
    </row>
    <row r="13525" spans="1:3">
      <c r="A13525" s="250">
        <v>32322</v>
      </c>
      <c r="B13525" s="74" t="s">
        <v>8275</v>
      </c>
      <c r="C13525" s="74" t="s">
        <v>420</v>
      </c>
    </row>
    <row r="13526" spans="1:3">
      <c r="A13526" s="250">
        <v>32323</v>
      </c>
      <c r="B13526" s="74" t="s">
        <v>8276</v>
      </c>
      <c r="C13526" s="74" t="s">
        <v>420</v>
      </c>
    </row>
    <row r="13527" spans="1:3">
      <c r="A13527" s="250">
        <v>32324</v>
      </c>
      <c r="B13527" s="74" t="s">
        <v>8277</v>
      </c>
      <c r="C13527" s="74" t="s">
        <v>420</v>
      </c>
    </row>
    <row r="13528" spans="1:3">
      <c r="A13528" s="250">
        <v>32326</v>
      </c>
      <c r="B13528" s="74" t="s">
        <v>8009</v>
      </c>
      <c r="C13528" s="74" t="s">
        <v>420</v>
      </c>
    </row>
    <row r="13529" spans="1:3">
      <c r="A13529" s="250">
        <v>32327</v>
      </c>
      <c r="B13529" s="74" t="s">
        <v>8009</v>
      </c>
      <c r="C13529" s="74" t="s">
        <v>420</v>
      </c>
    </row>
    <row r="13530" spans="1:3">
      <c r="A13530" s="250">
        <v>32328</v>
      </c>
      <c r="B13530" s="74" t="s">
        <v>8278</v>
      </c>
      <c r="C13530" s="74" t="s">
        <v>420</v>
      </c>
    </row>
    <row r="13531" spans="1:3">
      <c r="A13531" s="250">
        <v>32329</v>
      </c>
      <c r="B13531" s="74" t="s">
        <v>8274</v>
      </c>
      <c r="C13531" s="74" t="s">
        <v>420</v>
      </c>
    </row>
    <row r="13532" spans="1:3">
      <c r="A13532" s="250">
        <v>32330</v>
      </c>
      <c r="B13532" s="74" t="s">
        <v>1910</v>
      </c>
      <c r="C13532" s="74" t="s">
        <v>420</v>
      </c>
    </row>
    <row r="13533" spans="1:3">
      <c r="A13533" s="250">
        <v>32331</v>
      </c>
      <c r="B13533" s="74" t="s">
        <v>1108</v>
      </c>
      <c r="C13533" s="74" t="s">
        <v>420</v>
      </c>
    </row>
    <row r="13534" spans="1:3">
      <c r="A13534" s="250">
        <v>32332</v>
      </c>
      <c r="B13534" s="74" t="s">
        <v>6429</v>
      </c>
      <c r="C13534" s="74" t="s">
        <v>420</v>
      </c>
    </row>
    <row r="13535" spans="1:3">
      <c r="A13535" s="250">
        <v>32333</v>
      </c>
      <c r="B13535" s="74" t="s">
        <v>8279</v>
      </c>
      <c r="C13535" s="74" t="s">
        <v>420</v>
      </c>
    </row>
    <row r="13536" spans="1:3">
      <c r="A13536" s="250">
        <v>32334</v>
      </c>
      <c r="B13536" s="74" t="s">
        <v>8280</v>
      </c>
      <c r="C13536" s="74" t="s">
        <v>420</v>
      </c>
    </row>
    <row r="13537" spans="1:3">
      <c r="A13537" s="250">
        <v>32335</v>
      </c>
      <c r="B13537" s="74" t="s">
        <v>8281</v>
      </c>
      <c r="C13537" s="74" t="s">
        <v>420</v>
      </c>
    </row>
    <row r="13538" spans="1:3">
      <c r="A13538" s="250">
        <v>32336</v>
      </c>
      <c r="B13538" s="74" t="s">
        <v>8282</v>
      </c>
      <c r="C13538" s="74" t="s">
        <v>420</v>
      </c>
    </row>
    <row r="13539" spans="1:3">
      <c r="A13539" s="250">
        <v>32337</v>
      </c>
      <c r="B13539" s="74" t="s">
        <v>8283</v>
      </c>
      <c r="C13539" s="74" t="s">
        <v>420</v>
      </c>
    </row>
    <row r="13540" spans="1:3">
      <c r="A13540" s="250">
        <v>32340</v>
      </c>
      <c r="B13540" s="74" t="s">
        <v>1320</v>
      </c>
      <c r="C13540" s="74" t="s">
        <v>420</v>
      </c>
    </row>
    <row r="13541" spans="1:3">
      <c r="A13541" s="250">
        <v>32341</v>
      </c>
      <c r="B13541" s="74" t="s">
        <v>1320</v>
      </c>
      <c r="C13541" s="74" t="s">
        <v>420</v>
      </c>
    </row>
    <row r="13542" spans="1:3">
      <c r="A13542" s="250">
        <v>32343</v>
      </c>
      <c r="B13542" s="74" t="s">
        <v>3995</v>
      </c>
      <c r="C13542" s="74" t="s">
        <v>420</v>
      </c>
    </row>
    <row r="13543" spans="1:3">
      <c r="A13543" s="250">
        <v>32344</v>
      </c>
      <c r="B13543" s="74" t="s">
        <v>1639</v>
      </c>
      <c r="C13543" s="74" t="s">
        <v>420</v>
      </c>
    </row>
    <row r="13544" spans="1:3">
      <c r="A13544" s="250">
        <v>32345</v>
      </c>
      <c r="B13544" s="74" t="s">
        <v>1639</v>
      </c>
      <c r="C13544" s="74" t="s">
        <v>420</v>
      </c>
    </row>
    <row r="13545" spans="1:3">
      <c r="A13545" s="250">
        <v>32346</v>
      </c>
      <c r="B13545" s="74" t="s">
        <v>8284</v>
      </c>
      <c r="C13545" s="74" t="s">
        <v>420</v>
      </c>
    </row>
    <row r="13546" spans="1:3">
      <c r="A13546" s="250">
        <v>32347</v>
      </c>
      <c r="B13546" s="74" t="s">
        <v>1602</v>
      </c>
      <c r="C13546" s="74" t="s">
        <v>420</v>
      </c>
    </row>
    <row r="13547" spans="1:3">
      <c r="A13547" s="250">
        <v>32348</v>
      </c>
      <c r="B13547" s="74" t="s">
        <v>1602</v>
      </c>
      <c r="C13547" s="74" t="s">
        <v>420</v>
      </c>
    </row>
    <row r="13548" spans="1:3">
      <c r="A13548" s="250">
        <v>32350</v>
      </c>
      <c r="B13548" s="74" t="s">
        <v>8285</v>
      </c>
      <c r="C13548" s="74" t="s">
        <v>420</v>
      </c>
    </row>
    <row r="13549" spans="1:3">
      <c r="A13549" s="250">
        <v>32351</v>
      </c>
      <c r="B13549" s="74" t="s">
        <v>923</v>
      </c>
      <c r="C13549" s="74" t="s">
        <v>420</v>
      </c>
    </row>
    <row r="13550" spans="1:3">
      <c r="A13550" s="250">
        <v>32352</v>
      </c>
      <c r="B13550" s="74" t="s">
        <v>923</v>
      </c>
      <c r="C13550" s="74" t="s">
        <v>420</v>
      </c>
    </row>
    <row r="13551" spans="1:3">
      <c r="A13551" s="250">
        <v>32353</v>
      </c>
      <c r="B13551" s="74" t="s">
        <v>923</v>
      </c>
      <c r="C13551" s="74" t="s">
        <v>420</v>
      </c>
    </row>
    <row r="13552" spans="1:3">
      <c r="A13552" s="250">
        <v>32355</v>
      </c>
      <c r="B13552" s="74" t="s">
        <v>8286</v>
      </c>
      <c r="C13552" s="74" t="s">
        <v>420</v>
      </c>
    </row>
    <row r="13553" spans="1:3">
      <c r="A13553" s="250">
        <v>32356</v>
      </c>
      <c r="B13553" s="74" t="s">
        <v>858</v>
      </c>
      <c r="C13553" s="74" t="s">
        <v>420</v>
      </c>
    </row>
    <row r="13554" spans="1:3">
      <c r="A13554" s="250">
        <v>32357</v>
      </c>
      <c r="B13554" s="74" t="s">
        <v>4789</v>
      </c>
      <c r="C13554" s="74" t="s">
        <v>420</v>
      </c>
    </row>
    <row r="13555" spans="1:3">
      <c r="A13555" s="250">
        <v>32358</v>
      </c>
      <c r="B13555" s="74" t="s">
        <v>8287</v>
      </c>
      <c r="C13555" s="74" t="s">
        <v>420</v>
      </c>
    </row>
    <row r="13556" spans="1:3">
      <c r="A13556" s="250">
        <v>32359</v>
      </c>
      <c r="B13556" s="74" t="s">
        <v>8288</v>
      </c>
      <c r="C13556" s="74" t="s">
        <v>420</v>
      </c>
    </row>
    <row r="13557" spans="1:3">
      <c r="A13557" s="250">
        <v>32360</v>
      </c>
      <c r="B13557" s="74" t="s">
        <v>8289</v>
      </c>
      <c r="C13557" s="74" t="s">
        <v>420</v>
      </c>
    </row>
    <row r="13558" spans="1:3">
      <c r="A13558" s="250">
        <v>32361</v>
      </c>
      <c r="B13558" s="74" t="s">
        <v>8290</v>
      </c>
      <c r="C13558" s="74" t="s">
        <v>420</v>
      </c>
    </row>
    <row r="13559" spans="1:3">
      <c r="A13559" s="250">
        <v>32362</v>
      </c>
      <c r="B13559" s="74" t="s">
        <v>804</v>
      </c>
      <c r="C13559" s="74" t="s">
        <v>420</v>
      </c>
    </row>
    <row r="13560" spans="1:3">
      <c r="A13560" s="250">
        <v>32395</v>
      </c>
      <c r="B13560" s="74" t="s">
        <v>8273</v>
      </c>
      <c r="C13560" s="74" t="s">
        <v>420</v>
      </c>
    </row>
    <row r="13561" spans="1:3">
      <c r="A13561" s="250">
        <v>32399</v>
      </c>
      <c r="B13561" s="74" t="s">
        <v>8273</v>
      </c>
      <c r="C13561" s="74" t="s">
        <v>420</v>
      </c>
    </row>
    <row r="13562" spans="1:3">
      <c r="A13562" s="250">
        <v>32401</v>
      </c>
      <c r="B13562" s="74" t="s">
        <v>8291</v>
      </c>
      <c r="C13562" s="74" t="s">
        <v>420</v>
      </c>
    </row>
    <row r="13563" spans="1:3">
      <c r="A13563" s="250">
        <v>32402</v>
      </c>
      <c r="B13563" s="74" t="s">
        <v>8291</v>
      </c>
      <c r="C13563" s="74" t="s">
        <v>420</v>
      </c>
    </row>
    <row r="13564" spans="1:3">
      <c r="A13564" s="250">
        <v>32403</v>
      </c>
      <c r="B13564" s="74" t="s">
        <v>8291</v>
      </c>
      <c r="C13564" s="74" t="s">
        <v>420</v>
      </c>
    </row>
    <row r="13565" spans="1:3">
      <c r="A13565" s="250">
        <v>32404</v>
      </c>
      <c r="B13565" s="74" t="s">
        <v>8291</v>
      </c>
      <c r="C13565" s="74" t="s">
        <v>420</v>
      </c>
    </row>
    <row r="13566" spans="1:3">
      <c r="A13566" s="250">
        <v>32405</v>
      </c>
      <c r="B13566" s="74" t="s">
        <v>8291</v>
      </c>
      <c r="C13566" s="74" t="s">
        <v>420</v>
      </c>
    </row>
    <row r="13567" spans="1:3">
      <c r="A13567" s="250">
        <v>32406</v>
      </c>
      <c r="B13567" s="74" t="s">
        <v>8291</v>
      </c>
      <c r="C13567" s="74" t="s">
        <v>420</v>
      </c>
    </row>
    <row r="13568" spans="1:3">
      <c r="A13568" s="250">
        <v>32407</v>
      </c>
      <c r="B13568" s="74" t="s">
        <v>8292</v>
      </c>
      <c r="C13568" s="74" t="s">
        <v>420</v>
      </c>
    </row>
    <row r="13569" spans="1:3">
      <c r="A13569" s="250">
        <v>32408</v>
      </c>
      <c r="B13569" s="74" t="s">
        <v>8291</v>
      </c>
      <c r="C13569" s="74" t="s">
        <v>420</v>
      </c>
    </row>
    <row r="13570" spans="1:3">
      <c r="A13570" s="250">
        <v>32409</v>
      </c>
      <c r="B13570" s="74" t="s">
        <v>8291</v>
      </c>
      <c r="C13570" s="74" t="s">
        <v>420</v>
      </c>
    </row>
    <row r="13571" spans="1:3">
      <c r="A13571" s="250">
        <v>32410</v>
      </c>
      <c r="B13571" s="74" t="s">
        <v>8293</v>
      </c>
      <c r="C13571" s="74" t="s">
        <v>420</v>
      </c>
    </row>
    <row r="13572" spans="1:3">
      <c r="A13572" s="250">
        <v>32411</v>
      </c>
      <c r="B13572" s="74" t="s">
        <v>8291</v>
      </c>
      <c r="C13572" s="74" t="s">
        <v>420</v>
      </c>
    </row>
    <row r="13573" spans="1:3">
      <c r="A13573" s="250">
        <v>32412</v>
      </c>
      <c r="B13573" s="74" t="s">
        <v>8291</v>
      </c>
      <c r="C13573" s="74" t="s">
        <v>420</v>
      </c>
    </row>
    <row r="13574" spans="1:3">
      <c r="A13574" s="250">
        <v>32413</v>
      </c>
      <c r="B13574" s="74" t="s">
        <v>8292</v>
      </c>
      <c r="C13574" s="74" t="s">
        <v>420</v>
      </c>
    </row>
    <row r="13575" spans="1:3">
      <c r="A13575" s="250">
        <v>32417</v>
      </c>
      <c r="B13575" s="74" t="s">
        <v>8291</v>
      </c>
      <c r="C13575" s="74" t="s">
        <v>420</v>
      </c>
    </row>
    <row r="13576" spans="1:3">
      <c r="A13576" s="250">
        <v>32420</v>
      </c>
      <c r="B13576" s="74" t="s">
        <v>8294</v>
      </c>
      <c r="C13576" s="74" t="s">
        <v>420</v>
      </c>
    </row>
    <row r="13577" spans="1:3">
      <c r="A13577" s="250">
        <v>32421</v>
      </c>
      <c r="B13577" s="74" t="s">
        <v>8295</v>
      </c>
      <c r="C13577" s="74" t="s">
        <v>420</v>
      </c>
    </row>
    <row r="13578" spans="1:3">
      <c r="A13578" s="250">
        <v>32422</v>
      </c>
      <c r="B13578" s="74" t="s">
        <v>3222</v>
      </c>
      <c r="C13578" s="74" t="s">
        <v>420</v>
      </c>
    </row>
    <row r="13579" spans="1:3">
      <c r="A13579" s="250">
        <v>32423</v>
      </c>
      <c r="B13579" s="74" t="s">
        <v>8296</v>
      </c>
      <c r="C13579" s="74" t="s">
        <v>420</v>
      </c>
    </row>
    <row r="13580" spans="1:3">
      <c r="A13580" s="250">
        <v>32424</v>
      </c>
      <c r="B13580" s="74" t="s">
        <v>8297</v>
      </c>
      <c r="C13580" s="74" t="s">
        <v>420</v>
      </c>
    </row>
    <row r="13581" spans="1:3">
      <c r="A13581" s="250">
        <v>32425</v>
      </c>
      <c r="B13581" s="74" t="s">
        <v>8298</v>
      </c>
      <c r="C13581" s="74" t="s">
        <v>420</v>
      </c>
    </row>
    <row r="13582" spans="1:3">
      <c r="A13582" s="250">
        <v>32426</v>
      </c>
      <c r="B13582" s="74" t="s">
        <v>8299</v>
      </c>
      <c r="C13582" s="74" t="s">
        <v>420</v>
      </c>
    </row>
    <row r="13583" spans="1:3">
      <c r="A13583" s="250">
        <v>32427</v>
      </c>
      <c r="B13583" s="74" t="s">
        <v>8300</v>
      </c>
      <c r="C13583" s="74" t="s">
        <v>420</v>
      </c>
    </row>
    <row r="13584" spans="1:3">
      <c r="A13584" s="250">
        <v>32428</v>
      </c>
      <c r="B13584" s="74" t="s">
        <v>8301</v>
      </c>
      <c r="C13584" s="74" t="s">
        <v>420</v>
      </c>
    </row>
    <row r="13585" spans="1:3">
      <c r="A13585" s="250">
        <v>32430</v>
      </c>
      <c r="B13585" s="74" t="s">
        <v>2926</v>
      </c>
      <c r="C13585" s="74" t="s">
        <v>420</v>
      </c>
    </row>
    <row r="13586" spans="1:3">
      <c r="A13586" s="250">
        <v>32431</v>
      </c>
      <c r="B13586" s="74" t="s">
        <v>8302</v>
      </c>
      <c r="C13586" s="74" t="s">
        <v>420</v>
      </c>
    </row>
    <row r="13587" spans="1:3">
      <c r="A13587" s="250">
        <v>32432</v>
      </c>
      <c r="B13587" s="74" t="s">
        <v>8303</v>
      </c>
      <c r="C13587" s="74" t="s">
        <v>420</v>
      </c>
    </row>
    <row r="13588" spans="1:3">
      <c r="A13588" s="250">
        <v>32433</v>
      </c>
      <c r="B13588" s="74" t="s">
        <v>8304</v>
      </c>
      <c r="C13588" s="74" t="s">
        <v>420</v>
      </c>
    </row>
    <row r="13589" spans="1:3">
      <c r="A13589" s="250">
        <v>32434</v>
      </c>
      <c r="B13589" s="74" t="s">
        <v>8305</v>
      </c>
      <c r="C13589" s="74" t="s">
        <v>420</v>
      </c>
    </row>
    <row r="13590" spans="1:3">
      <c r="A13590" s="250">
        <v>32435</v>
      </c>
      <c r="B13590" s="74" t="s">
        <v>8304</v>
      </c>
      <c r="C13590" s="74" t="s">
        <v>420</v>
      </c>
    </row>
    <row r="13591" spans="1:3">
      <c r="A13591" s="250">
        <v>32437</v>
      </c>
      <c r="B13591" s="74" t="s">
        <v>8306</v>
      </c>
      <c r="C13591" s="74" t="s">
        <v>420</v>
      </c>
    </row>
    <row r="13592" spans="1:3">
      <c r="A13592" s="250">
        <v>32438</v>
      </c>
      <c r="B13592" s="74" t="s">
        <v>7192</v>
      </c>
      <c r="C13592" s="74" t="s">
        <v>420</v>
      </c>
    </row>
    <row r="13593" spans="1:3">
      <c r="A13593" s="250">
        <v>32439</v>
      </c>
      <c r="B13593" s="74" t="s">
        <v>1383</v>
      </c>
      <c r="C13593" s="74" t="s">
        <v>420</v>
      </c>
    </row>
    <row r="13594" spans="1:3">
      <c r="A13594" s="250">
        <v>32440</v>
      </c>
      <c r="B13594" s="74" t="s">
        <v>8307</v>
      </c>
      <c r="C13594" s="74" t="s">
        <v>420</v>
      </c>
    </row>
    <row r="13595" spans="1:3">
      <c r="A13595" s="250">
        <v>32442</v>
      </c>
      <c r="B13595" s="74" t="s">
        <v>8308</v>
      </c>
      <c r="C13595" s="74" t="s">
        <v>420</v>
      </c>
    </row>
    <row r="13596" spans="1:3">
      <c r="A13596" s="250">
        <v>32443</v>
      </c>
      <c r="B13596" s="74" t="s">
        <v>1448</v>
      </c>
      <c r="C13596" s="74" t="s">
        <v>420</v>
      </c>
    </row>
    <row r="13597" spans="1:3">
      <c r="A13597" s="250">
        <v>32444</v>
      </c>
      <c r="B13597" s="74" t="s">
        <v>8309</v>
      </c>
      <c r="C13597" s="74" t="s">
        <v>420</v>
      </c>
    </row>
    <row r="13598" spans="1:3">
      <c r="A13598" s="250">
        <v>32445</v>
      </c>
      <c r="B13598" s="74" t="s">
        <v>3305</v>
      </c>
      <c r="C13598" s="74" t="s">
        <v>420</v>
      </c>
    </row>
    <row r="13599" spans="1:3">
      <c r="A13599" s="250">
        <v>32446</v>
      </c>
      <c r="B13599" s="74" t="s">
        <v>4064</v>
      </c>
      <c r="C13599" s="74" t="s">
        <v>420</v>
      </c>
    </row>
    <row r="13600" spans="1:3">
      <c r="A13600" s="250">
        <v>32447</v>
      </c>
      <c r="B13600" s="74" t="s">
        <v>4064</v>
      </c>
      <c r="C13600" s="74" t="s">
        <v>420</v>
      </c>
    </row>
    <row r="13601" spans="1:3">
      <c r="A13601" s="250">
        <v>32448</v>
      </c>
      <c r="B13601" s="74" t="s">
        <v>4064</v>
      </c>
      <c r="C13601" s="74" t="s">
        <v>420</v>
      </c>
    </row>
    <row r="13602" spans="1:3">
      <c r="A13602" s="250">
        <v>32449</v>
      </c>
      <c r="B13602" s="74" t="s">
        <v>8310</v>
      </c>
      <c r="C13602" s="74" t="s">
        <v>420</v>
      </c>
    </row>
    <row r="13603" spans="1:3">
      <c r="A13603" s="250">
        <v>32452</v>
      </c>
      <c r="B13603" s="74" t="s">
        <v>8311</v>
      </c>
      <c r="C13603" s="74" t="s">
        <v>420</v>
      </c>
    </row>
    <row r="13604" spans="1:3">
      <c r="A13604" s="250">
        <v>32454</v>
      </c>
      <c r="B13604" s="74" t="s">
        <v>8312</v>
      </c>
      <c r="C13604" s="74" t="s">
        <v>420</v>
      </c>
    </row>
    <row r="13605" spans="1:3">
      <c r="A13605" s="250">
        <v>32455</v>
      </c>
      <c r="B13605" s="74" t="s">
        <v>8313</v>
      </c>
      <c r="C13605" s="74" t="s">
        <v>420</v>
      </c>
    </row>
    <row r="13606" spans="1:3">
      <c r="A13606" s="250">
        <v>32456</v>
      </c>
      <c r="B13606" s="74" t="s">
        <v>8314</v>
      </c>
      <c r="C13606" s="74" t="s">
        <v>420</v>
      </c>
    </row>
    <row r="13607" spans="1:3">
      <c r="A13607" s="250">
        <v>32457</v>
      </c>
      <c r="B13607" s="74" t="s">
        <v>8314</v>
      </c>
      <c r="C13607" s="74" t="s">
        <v>420</v>
      </c>
    </row>
    <row r="13608" spans="1:3">
      <c r="A13608" s="250">
        <v>32459</v>
      </c>
      <c r="B13608" s="74" t="s">
        <v>8315</v>
      </c>
      <c r="C13608" s="74" t="s">
        <v>420</v>
      </c>
    </row>
    <row r="13609" spans="1:3">
      <c r="A13609" s="250">
        <v>32460</v>
      </c>
      <c r="B13609" s="74" t="s">
        <v>8316</v>
      </c>
      <c r="C13609" s="74" t="s">
        <v>420</v>
      </c>
    </row>
    <row r="13610" spans="1:3">
      <c r="A13610" s="250">
        <v>32461</v>
      </c>
      <c r="B13610" s="74" t="s">
        <v>8317</v>
      </c>
      <c r="C13610" s="74" t="s">
        <v>420</v>
      </c>
    </row>
    <row r="13611" spans="1:3">
      <c r="A13611" s="250">
        <v>32462</v>
      </c>
      <c r="B13611" s="74" t="s">
        <v>1791</v>
      </c>
      <c r="C13611" s="74" t="s">
        <v>420</v>
      </c>
    </row>
    <row r="13612" spans="1:3">
      <c r="A13612" s="250">
        <v>32463</v>
      </c>
      <c r="B13612" s="74" t="s">
        <v>8318</v>
      </c>
      <c r="C13612" s="74" t="s">
        <v>420</v>
      </c>
    </row>
    <row r="13613" spans="1:3">
      <c r="A13613" s="250">
        <v>32464</v>
      </c>
      <c r="B13613" s="74" t="s">
        <v>2432</v>
      </c>
      <c r="C13613" s="74" t="s">
        <v>420</v>
      </c>
    </row>
    <row r="13614" spans="1:3">
      <c r="A13614" s="250">
        <v>32465</v>
      </c>
      <c r="B13614" s="74" t="s">
        <v>8310</v>
      </c>
      <c r="C13614" s="74" t="s">
        <v>420</v>
      </c>
    </row>
    <row r="13615" spans="1:3">
      <c r="A13615" s="250">
        <v>32466</v>
      </c>
      <c r="B13615" s="74" t="s">
        <v>3750</v>
      </c>
      <c r="C13615" s="74" t="s">
        <v>420</v>
      </c>
    </row>
    <row r="13616" spans="1:3">
      <c r="A13616" s="250">
        <v>32501</v>
      </c>
      <c r="B13616" s="74" t="s">
        <v>8319</v>
      </c>
      <c r="C13616" s="74" t="s">
        <v>420</v>
      </c>
    </row>
    <row r="13617" spans="1:3">
      <c r="A13617" s="250">
        <v>32502</v>
      </c>
      <c r="B13617" s="74" t="s">
        <v>8319</v>
      </c>
      <c r="C13617" s="74" t="s">
        <v>420</v>
      </c>
    </row>
    <row r="13618" spans="1:3">
      <c r="A13618" s="250">
        <v>32503</v>
      </c>
      <c r="B13618" s="74" t="s">
        <v>8319</v>
      </c>
      <c r="C13618" s="74" t="s">
        <v>420</v>
      </c>
    </row>
    <row r="13619" spans="1:3">
      <c r="A13619" s="250">
        <v>32504</v>
      </c>
      <c r="B13619" s="74" t="s">
        <v>8319</v>
      </c>
      <c r="C13619" s="74" t="s">
        <v>420</v>
      </c>
    </row>
    <row r="13620" spans="1:3">
      <c r="A13620" s="250">
        <v>32505</v>
      </c>
      <c r="B13620" s="74" t="s">
        <v>8319</v>
      </c>
      <c r="C13620" s="74" t="s">
        <v>420</v>
      </c>
    </row>
    <row r="13621" spans="1:3">
      <c r="A13621" s="250">
        <v>32506</v>
      </c>
      <c r="B13621" s="74" t="s">
        <v>8319</v>
      </c>
      <c r="C13621" s="74" t="s">
        <v>420</v>
      </c>
    </row>
    <row r="13622" spans="1:3">
      <c r="A13622" s="250">
        <v>32507</v>
      </c>
      <c r="B13622" s="74" t="s">
        <v>8319</v>
      </c>
      <c r="C13622" s="74" t="s">
        <v>420</v>
      </c>
    </row>
    <row r="13623" spans="1:3">
      <c r="A13623" s="250">
        <v>32508</v>
      </c>
      <c r="B13623" s="74" t="s">
        <v>8319</v>
      </c>
      <c r="C13623" s="74" t="s">
        <v>420</v>
      </c>
    </row>
    <row r="13624" spans="1:3">
      <c r="A13624" s="250">
        <v>32509</v>
      </c>
      <c r="B13624" s="74" t="s">
        <v>8319</v>
      </c>
      <c r="C13624" s="74" t="s">
        <v>420</v>
      </c>
    </row>
    <row r="13625" spans="1:3">
      <c r="A13625" s="250">
        <v>32511</v>
      </c>
      <c r="B13625" s="74" t="s">
        <v>8319</v>
      </c>
      <c r="C13625" s="74" t="s">
        <v>420</v>
      </c>
    </row>
    <row r="13626" spans="1:3">
      <c r="A13626" s="250">
        <v>32512</v>
      </c>
      <c r="B13626" s="74" t="s">
        <v>8319</v>
      </c>
      <c r="C13626" s="74" t="s">
        <v>420</v>
      </c>
    </row>
    <row r="13627" spans="1:3">
      <c r="A13627" s="250">
        <v>32513</v>
      </c>
      <c r="B13627" s="74" t="s">
        <v>8319</v>
      </c>
      <c r="C13627" s="74" t="s">
        <v>420</v>
      </c>
    </row>
    <row r="13628" spans="1:3">
      <c r="A13628" s="250">
        <v>32514</v>
      </c>
      <c r="B13628" s="74" t="s">
        <v>8319</v>
      </c>
      <c r="C13628" s="74" t="s">
        <v>420</v>
      </c>
    </row>
    <row r="13629" spans="1:3">
      <c r="A13629" s="250">
        <v>32516</v>
      </c>
      <c r="B13629" s="74" t="s">
        <v>8319</v>
      </c>
      <c r="C13629" s="74" t="s">
        <v>420</v>
      </c>
    </row>
    <row r="13630" spans="1:3">
      <c r="A13630" s="250">
        <v>32520</v>
      </c>
      <c r="B13630" s="74" t="s">
        <v>8319</v>
      </c>
      <c r="C13630" s="74" t="s">
        <v>420</v>
      </c>
    </row>
    <row r="13631" spans="1:3">
      <c r="A13631" s="250">
        <v>32521</v>
      </c>
      <c r="B13631" s="74" t="s">
        <v>8319</v>
      </c>
      <c r="C13631" s="74" t="s">
        <v>420</v>
      </c>
    </row>
    <row r="13632" spans="1:3">
      <c r="A13632" s="250">
        <v>32522</v>
      </c>
      <c r="B13632" s="74" t="s">
        <v>8319</v>
      </c>
      <c r="C13632" s="74" t="s">
        <v>420</v>
      </c>
    </row>
    <row r="13633" spans="1:3">
      <c r="A13633" s="250">
        <v>32523</v>
      </c>
      <c r="B13633" s="74" t="s">
        <v>8319</v>
      </c>
      <c r="C13633" s="74" t="s">
        <v>420</v>
      </c>
    </row>
    <row r="13634" spans="1:3">
      <c r="A13634" s="250">
        <v>32524</v>
      </c>
      <c r="B13634" s="74" t="s">
        <v>8319</v>
      </c>
      <c r="C13634" s="74" t="s">
        <v>420</v>
      </c>
    </row>
    <row r="13635" spans="1:3">
      <c r="A13635" s="250">
        <v>32526</v>
      </c>
      <c r="B13635" s="74" t="s">
        <v>8319</v>
      </c>
      <c r="C13635" s="74" t="s">
        <v>420</v>
      </c>
    </row>
    <row r="13636" spans="1:3">
      <c r="A13636" s="250">
        <v>32530</v>
      </c>
      <c r="B13636" s="74" t="s">
        <v>8320</v>
      </c>
      <c r="C13636" s="74" t="s">
        <v>420</v>
      </c>
    </row>
    <row r="13637" spans="1:3">
      <c r="A13637" s="250">
        <v>32531</v>
      </c>
      <c r="B13637" s="74" t="s">
        <v>7035</v>
      </c>
      <c r="C13637" s="74" t="s">
        <v>420</v>
      </c>
    </row>
    <row r="13638" spans="1:3">
      <c r="A13638" s="250">
        <v>32533</v>
      </c>
      <c r="B13638" s="74" t="s">
        <v>8321</v>
      </c>
      <c r="C13638" s="74" t="s">
        <v>420</v>
      </c>
    </row>
    <row r="13639" spans="1:3">
      <c r="A13639" s="250">
        <v>32534</v>
      </c>
      <c r="B13639" s="74" t="s">
        <v>8319</v>
      </c>
      <c r="C13639" s="74" t="s">
        <v>420</v>
      </c>
    </row>
    <row r="13640" spans="1:3">
      <c r="A13640" s="250">
        <v>32535</v>
      </c>
      <c r="B13640" s="74" t="s">
        <v>8322</v>
      </c>
      <c r="C13640" s="74" t="s">
        <v>420</v>
      </c>
    </row>
    <row r="13641" spans="1:3">
      <c r="A13641" s="250">
        <v>32536</v>
      </c>
      <c r="B13641" s="74" t="s">
        <v>8323</v>
      </c>
      <c r="C13641" s="74" t="s">
        <v>420</v>
      </c>
    </row>
    <row r="13642" spans="1:3">
      <c r="A13642" s="250">
        <v>32537</v>
      </c>
      <c r="B13642" s="74" t="s">
        <v>8324</v>
      </c>
      <c r="C13642" s="74" t="s">
        <v>420</v>
      </c>
    </row>
    <row r="13643" spans="1:3">
      <c r="A13643" s="250">
        <v>32538</v>
      </c>
      <c r="B13643" s="74" t="s">
        <v>777</v>
      </c>
      <c r="C13643" s="74" t="s">
        <v>420</v>
      </c>
    </row>
    <row r="13644" spans="1:3">
      <c r="A13644" s="250">
        <v>32539</v>
      </c>
      <c r="B13644" s="74" t="s">
        <v>8323</v>
      </c>
      <c r="C13644" s="74" t="s">
        <v>420</v>
      </c>
    </row>
    <row r="13645" spans="1:3">
      <c r="A13645" s="250">
        <v>32540</v>
      </c>
      <c r="B13645" s="74" t="s">
        <v>8325</v>
      </c>
      <c r="C13645" s="74" t="s">
        <v>420</v>
      </c>
    </row>
    <row r="13646" spans="1:3">
      <c r="A13646" s="250">
        <v>32541</v>
      </c>
      <c r="B13646" s="74" t="s">
        <v>8325</v>
      </c>
      <c r="C13646" s="74" t="s">
        <v>420</v>
      </c>
    </row>
    <row r="13647" spans="1:3">
      <c r="A13647" s="250">
        <v>32542</v>
      </c>
      <c r="B13647" s="74" t="s">
        <v>8326</v>
      </c>
      <c r="C13647" s="74" t="s">
        <v>420</v>
      </c>
    </row>
    <row r="13648" spans="1:3">
      <c r="A13648" s="250">
        <v>32544</v>
      </c>
      <c r="B13648" s="74" t="s">
        <v>8327</v>
      </c>
      <c r="C13648" s="74" t="s">
        <v>420</v>
      </c>
    </row>
    <row r="13649" spans="1:3">
      <c r="A13649" s="250">
        <v>32547</v>
      </c>
      <c r="B13649" s="74" t="s">
        <v>8328</v>
      </c>
      <c r="C13649" s="74" t="s">
        <v>420</v>
      </c>
    </row>
    <row r="13650" spans="1:3">
      <c r="A13650" s="250">
        <v>32548</v>
      </c>
      <c r="B13650" s="74" t="s">
        <v>8328</v>
      </c>
      <c r="C13650" s="74" t="s">
        <v>420</v>
      </c>
    </row>
    <row r="13651" spans="1:3">
      <c r="A13651" s="250">
        <v>32549</v>
      </c>
      <c r="B13651" s="74" t="s">
        <v>8328</v>
      </c>
      <c r="C13651" s="74" t="s">
        <v>420</v>
      </c>
    </row>
    <row r="13652" spans="1:3">
      <c r="A13652" s="250">
        <v>32550</v>
      </c>
      <c r="B13652" s="74" t="s">
        <v>8329</v>
      </c>
      <c r="C13652" s="74" t="s">
        <v>420</v>
      </c>
    </row>
    <row r="13653" spans="1:3">
      <c r="A13653" s="250">
        <v>32559</v>
      </c>
      <c r="B13653" s="74" t="s">
        <v>8319</v>
      </c>
      <c r="C13653" s="74" t="s">
        <v>420</v>
      </c>
    </row>
    <row r="13654" spans="1:3">
      <c r="A13654" s="250">
        <v>32560</v>
      </c>
      <c r="B13654" s="74" t="s">
        <v>8330</v>
      </c>
      <c r="C13654" s="74" t="s">
        <v>420</v>
      </c>
    </row>
    <row r="13655" spans="1:3">
      <c r="A13655" s="250">
        <v>32561</v>
      </c>
      <c r="B13655" s="74" t="s">
        <v>8331</v>
      </c>
      <c r="C13655" s="74" t="s">
        <v>420</v>
      </c>
    </row>
    <row r="13656" spans="1:3">
      <c r="A13656" s="250">
        <v>32562</v>
      </c>
      <c r="B13656" s="74" t="s">
        <v>8331</v>
      </c>
      <c r="C13656" s="74" t="s">
        <v>420</v>
      </c>
    </row>
    <row r="13657" spans="1:3">
      <c r="A13657" s="250">
        <v>32563</v>
      </c>
      <c r="B13657" s="74" t="s">
        <v>8331</v>
      </c>
      <c r="C13657" s="74" t="s">
        <v>420</v>
      </c>
    </row>
    <row r="13658" spans="1:3">
      <c r="A13658" s="250">
        <v>32564</v>
      </c>
      <c r="B13658" s="74" t="s">
        <v>8332</v>
      </c>
      <c r="C13658" s="74" t="s">
        <v>420</v>
      </c>
    </row>
    <row r="13659" spans="1:3">
      <c r="A13659" s="250">
        <v>32565</v>
      </c>
      <c r="B13659" s="74" t="s">
        <v>1443</v>
      </c>
      <c r="C13659" s="74" t="s">
        <v>420</v>
      </c>
    </row>
    <row r="13660" spans="1:3">
      <c r="A13660" s="250">
        <v>32566</v>
      </c>
      <c r="B13660" s="74" t="s">
        <v>8333</v>
      </c>
      <c r="C13660" s="74" t="s">
        <v>420</v>
      </c>
    </row>
    <row r="13661" spans="1:3">
      <c r="A13661" s="250">
        <v>32567</v>
      </c>
      <c r="B13661" s="74" t="s">
        <v>7361</v>
      </c>
      <c r="C13661" s="74" t="s">
        <v>420</v>
      </c>
    </row>
    <row r="13662" spans="1:3">
      <c r="A13662" s="250">
        <v>32568</v>
      </c>
      <c r="B13662" s="74" t="s">
        <v>8334</v>
      </c>
      <c r="C13662" s="74" t="s">
        <v>420</v>
      </c>
    </row>
    <row r="13663" spans="1:3">
      <c r="A13663" s="250">
        <v>32569</v>
      </c>
      <c r="B13663" s="74" t="s">
        <v>8335</v>
      </c>
      <c r="C13663" s="74" t="s">
        <v>420</v>
      </c>
    </row>
    <row r="13664" spans="1:3">
      <c r="A13664" s="250">
        <v>32570</v>
      </c>
      <c r="B13664" s="74" t="s">
        <v>927</v>
      </c>
      <c r="C13664" s="74" t="s">
        <v>420</v>
      </c>
    </row>
    <row r="13665" spans="1:3">
      <c r="A13665" s="250">
        <v>32571</v>
      </c>
      <c r="B13665" s="74" t="s">
        <v>927</v>
      </c>
      <c r="C13665" s="74" t="s">
        <v>420</v>
      </c>
    </row>
    <row r="13666" spans="1:3">
      <c r="A13666" s="250">
        <v>32572</v>
      </c>
      <c r="B13666" s="74" t="s">
        <v>927</v>
      </c>
      <c r="C13666" s="74" t="s">
        <v>420</v>
      </c>
    </row>
    <row r="13667" spans="1:3">
      <c r="A13667" s="250">
        <v>32577</v>
      </c>
      <c r="B13667" s="74" t="s">
        <v>8336</v>
      </c>
      <c r="C13667" s="74" t="s">
        <v>420</v>
      </c>
    </row>
    <row r="13668" spans="1:3">
      <c r="A13668" s="250">
        <v>32578</v>
      </c>
      <c r="B13668" s="74" t="s">
        <v>8337</v>
      </c>
      <c r="C13668" s="74" t="s">
        <v>420</v>
      </c>
    </row>
    <row r="13669" spans="1:3">
      <c r="A13669" s="250">
        <v>32579</v>
      </c>
      <c r="B13669" s="74" t="s">
        <v>8338</v>
      </c>
      <c r="C13669" s="74" t="s">
        <v>420</v>
      </c>
    </row>
    <row r="13670" spans="1:3">
      <c r="A13670" s="250">
        <v>32580</v>
      </c>
      <c r="B13670" s="74" t="s">
        <v>8339</v>
      </c>
      <c r="C13670" s="74" t="s">
        <v>420</v>
      </c>
    </row>
    <row r="13671" spans="1:3">
      <c r="A13671" s="250">
        <v>32583</v>
      </c>
      <c r="B13671" s="74" t="s">
        <v>927</v>
      </c>
      <c r="C13671" s="74" t="s">
        <v>420</v>
      </c>
    </row>
    <row r="13672" spans="1:3">
      <c r="A13672" s="250">
        <v>32588</v>
      </c>
      <c r="B13672" s="74" t="s">
        <v>8337</v>
      </c>
      <c r="C13672" s="74" t="s">
        <v>420</v>
      </c>
    </row>
    <row r="13673" spans="1:3">
      <c r="A13673" s="250">
        <v>32590</v>
      </c>
      <c r="B13673" s="74" t="s">
        <v>8319</v>
      </c>
      <c r="C13673" s="74" t="s">
        <v>420</v>
      </c>
    </row>
    <row r="13674" spans="1:3">
      <c r="A13674" s="250">
        <v>32591</v>
      </c>
      <c r="B13674" s="74" t="s">
        <v>8319</v>
      </c>
      <c r="C13674" s="74" t="s">
        <v>420</v>
      </c>
    </row>
    <row r="13675" spans="1:3">
      <c r="A13675" s="250">
        <v>32592</v>
      </c>
      <c r="B13675" s="74" t="s">
        <v>8319</v>
      </c>
      <c r="C13675" s="74" t="s">
        <v>420</v>
      </c>
    </row>
    <row r="13676" spans="1:3">
      <c r="A13676" s="250">
        <v>32601</v>
      </c>
      <c r="B13676" s="74" t="s">
        <v>3707</v>
      </c>
      <c r="C13676" s="74" t="s">
        <v>420</v>
      </c>
    </row>
    <row r="13677" spans="1:3">
      <c r="A13677" s="250">
        <v>32602</v>
      </c>
      <c r="B13677" s="74" t="s">
        <v>3707</v>
      </c>
      <c r="C13677" s="74" t="s">
        <v>420</v>
      </c>
    </row>
    <row r="13678" spans="1:3">
      <c r="A13678" s="250">
        <v>32603</v>
      </c>
      <c r="B13678" s="74" t="s">
        <v>3707</v>
      </c>
      <c r="C13678" s="74" t="s">
        <v>420</v>
      </c>
    </row>
    <row r="13679" spans="1:3">
      <c r="A13679" s="250">
        <v>32604</v>
      </c>
      <c r="B13679" s="74" t="s">
        <v>3707</v>
      </c>
      <c r="C13679" s="74" t="s">
        <v>420</v>
      </c>
    </row>
    <row r="13680" spans="1:3">
      <c r="A13680" s="250">
        <v>32605</v>
      </c>
      <c r="B13680" s="74" t="s">
        <v>3707</v>
      </c>
      <c r="C13680" s="74" t="s">
        <v>420</v>
      </c>
    </row>
    <row r="13681" spans="1:3">
      <c r="A13681" s="250">
        <v>32606</v>
      </c>
      <c r="B13681" s="74" t="s">
        <v>3707</v>
      </c>
      <c r="C13681" s="74" t="s">
        <v>420</v>
      </c>
    </row>
    <row r="13682" spans="1:3">
      <c r="A13682" s="250">
        <v>32607</v>
      </c>
      <c r="B13682" s="74" t="s">
        <v>3707</v>
      </c>
      <c r="C13682" s="74" t="s">
        <v>420</v>
      </c>
    </row>
    <row r="13683" spans="1:3">
      <c r="A13683" s="250">
        <v>32608</v>
      </c>
      <c r="B13683" s="74" t="s">
        <v>3707</v>
      </c>
      <c r="C13683" s="74" t="s">
        <v>420</v>
      </c>
    </row>
    <row r="13684" spans="1:3">
      <c r="A13684" s="250">
        <v>32609</v>
      </c>
      <c r="B13684" s="74" t="s">
        <v>3707</v>
      </c>
      <c r="C13684" s="74" t="s">
        <v>420</v>
      </c>
    </row>
    <row r="13685" spans="1:3">
      <c r="A13685" s="250">
        <v>32610</v>
      </c>
      <c r="B13685" s="74" t="s">
        <v>3707</v>
      </c>
      <c r="C13685" s="74" t="s">
        <v>420</v>
      </c>
    </row>
    <row r="13686" spans="1:3">
      <c r="A13686" s="250">
        <v>32611</v>
      </c>
      <c r="B13686" s="74" t="s">
        <v>3707</v>
      </c>
      <c r="C13686" s="74" t="s">
        <v>420</v>
      </c>
    </row>
    <row r="13687" spans="1:3">
      <c r="A13687" s="250">
        <v>32612</v>
      </c>
      <c r="B13687" s="74" t="s">
        <v>3707</v>
      </c>
      <c r="C13687" s="74" t="s">
        <v>420</v>
      </c>
    </row>
    <row r="13688" spans="1:3">
      <c r="A13688" s="250">
        <v>32613</v>
      </c>
      <c r="B13688" s="74" t="s">
        <v>3707</v>
      </c>
      <c r="C13688" s="74" t="s">
        <v>420</v>
      </c>
    </row>
    <row r="13689" spans="1:3">
      <c r="A13689" s="250">
        <v>32614</v>
      </c>
      <c r="B13689" s="74" t="s">
        <v>3707</v>
      </c>
      <c r="C13689" s="74" t="s">
        <v>420</v>
      </c>
    </row>
    <row r="13690" spans="1:3">
      <c r="A13690" s="250">
        <v>32615</v>
      </c>
      <c r="B13690" s="74" t="s">
        <v>8340</v>
      </c>
      <c r="C13690" s="74" t="s">
        <v>420</v>
      </c>
    </row>
    <row r="13691" spans="1:3">
      <c r="A13691" s="250">
        <v>32616</v>
      </c>
      <c r="B13691" s="74" t="s">
        <v>8340</v>
      </c>
      <c r="C13691" s="74" t="s">
        <v>420</v>
      </c>
    </row>
    <row r="13692" spans="1:3">
      <c r="A13692" s="250">
        <v>32617</v>
      </c>
      <c r="B13692" s="74" t="s">
        <v>8341</v>
      </c>
      <c r="C13692" s="74" t="s">
        <v>420</v>
      </c>
    </row>
    <row r="13693" spans="1:3">
      <c r="A13693" s="250">
        <v>32618</v>
      </c>
      <c r="B13693" s="74" t="s">
        <v>8342</v>
      </c>
      <c r="C13693" s="74" t="s">
        <v>420</v>
      </c>
    </row>
    <row r="13694" spans="1:3">
      <c r="A13694" s="250">
        <v>32619</v>
      </c>
      <c r="B13694" s="74" t="s">
        <v>8343</v>
      </c>
      <c r="C13694" s="74" t="s">
        <v>420</v>
      </c>
    </row>
    <row r="13695" spans="1:3">
      <c r="A13695" s="250">
        <v>32621</v>
      </c>
      <c r="B13695" s="74" t="s">
        <v>8344</v>
      </c>
      <c r="C13695" s="74" t="s">
        <v>420</v>
      </c>
    </row>
    <row r="13696" spans="1:3">
      <c r="A13696" s="250">
        <v>32622</v>
      </c>
      <c r="B13696" s="74" t="s">
        <v>8345</v>
      </c>
      <c r="C13696" s="74" t="s">
        <v>420</v>
      </c>
    </row>
    <row r="13697" spans="1:3">
      <c r="A13697" s="250">
        <v>32625</v>
      </c>
      <c r="B13697" s="74" t="s">
        <v>8346</v>
      </c>
      <c r="C13697" s="74" t="s">
        <v>420</v>
      </c>
    </row>
    <row r="13698" spans="1:3">
      <c r="A13698" s="250">
        <v>32626</v>
      </c>
      <c r="B13698" s="74" t="s">
        <v>8347</v>
      </c>
      <c r="C13698" s="74" t="s">
        <v>420</v>
      </c>
    </row>
    <row r="13699" spans="1:3">
      <c r="A13699" s="250">
        <v>32627</v>
      </c>
      <c r="B13699" s="74" t="s">
        <v>3707</v>
      </c>
      <c r="C13699" s="74" t="s">
        <v>420</v>
      </c>
    </row>
    <row r="13700" spans="1:3">
      <c r="A13700" s="250">
        <v>32628</v>
      </c>
      <c r="B13700" s="74" t="s">
        <v>8348</v>
      </c>
      <c r="C13700" s="74" t="s">
        <v>420</v>
      </c>
    </row>
    <row r="13701" spans="1:3">
      <c r="A13701" s="250">
        <v>32631</v>
      </c>
      <c r="B13701" s="74" t="s">
        <v>8349</v>
      </c>
      <c r="C13701" s="74" t="s">
        <v>420</v>
      </c>
    </row>
    <row r="13702" spans="1:3">
      <c r="A13702" s="250">
        <v>32633</v>
      </c>
      <c r="B13702" s="74" t="s">
        <v>8350</v>
      </c>
      <c r="C13702" s="74" t="s">
        <v>420</v>
      </c>
    </row>
    <row r="13703" spans="1:3">
      <c r="A13703" s="250">
        <v>32634</v>
      </c>
      <c r="B13703" s="74" t="s">
        <v>1694</v>
      </c>
      <c r="C13703" s="74" t="s">
        <v>420</v>
      </c>
    </row>
    <row r="13704" spans="1:3">
      <c r="A13704" s="250">
        <v>32635</v>
      </c>
      <c r="B13704" s="74" t="s">
        <v>3707</v>
      </c>
      <c r="C13704" s="74" t="s">
        <v>420</v>
      </c>
    </row>
    <row r="13705" spans="1:3">
      <c r="A13705" s="250">
        <v>32639</v>
      </c>
      <c r="B13705" s="74" t="s">
        <v>8351</v>
      </c>
      <c r="C13705" s="74" t="s">
        <v>420</v>
      </c>
    </row>
    <row r="13706" spans="1:3">
      <c r="A13706" s="250">
        <v>32640</v>
      </c>
      <c r="B13706" s="74" t="s">
        <v>2215</v>
      </c>
      <c r="C13706" s="74" t="s">
        <v>420</v>
      </c>
    </row>
    <row r="13707" spans="1:3">
      <c r="A13707" s="250">
        <v>32641</v>
      </c>
      <c r="B13707" s="74" t="s">
        <v>3707</v>
      </c>
      <c r="C13707" s="74" t="s">
        <v>420</v>
      </c>
    </row>
    <row r="13708" spans="1:3">
      <c r="A13708" s="250">
        <v>32643</v>
      </c>
      <c r="B13708" s="74" t="s">
        <v>8352</v>
      </c>
      <c r="C13708" s="74" t="s">
        <v>420</v>
      </c>
    </row>
    <row r="13709" spans="1:3">
      <c r="A13709" s="250">
        <v>32644</v>
      </c>
      <c r="B13709" s="74" t="s">
        <v>8347</v>
      </c>
      <c r="C13709" s="74" t="s">
        <v>420</v>
      </c>
    </row>
    <row r="13710" spans="1:3">
      <c r="A13710" s="250">
        <v>32648</v>
      </c>
      <c r="B13710" s="74" t="s">
        <v>8353</v>
      </c>
      <c r="C13710" s="74" t="s">
        <v>420</v>
      </c>
    </row>
    <row r="13711" spans="1:3">
      <c r="A13711" s="250">
        <v>32653</v>
      </c>
      <c r="B13711" s="74" t="s">
        <v>3707</v>
      </c>
      <c r="C13711" s="74" t="s">
        <v>420</v>
      </c>
    </row>
    <row r="13712" spans="1:3">
      <c r="A13712" s="250">
        <v>32654</v>
      </c>
      <c r="B13712" s="74" t="s">
        <v>8354</v>
      </c>
      <c r="C13712" s="74" t="s">
        <v>420</v>
      </c>
    </row>
    <row r="13713" spans="1:3">
      <c r="A13713" s="250">
        <v>32655</v>
      </c>
      <c r="B13713" s="74" t="s">
        <v>8352</v>
      </c>
      <c r="C13713" s="74" t="s">
        <v>420</v>
      </c>
    </row>
    <row r="13714" spans="1:3">
      <c r="A13714" s="250">
        <v>32656</v>
      </c>
      <c r="B13714" s="74" t="s">
        <v>8355</v>
      </c>
      <c r="C13714" s="74" t="s">
        <v>420</v>
      </c>
    </row>
    <row r="13715" spans="1:3">
      <c r="A13715" s="250">
        <v>32658</v>
      </c>
      <c r="B13715" s="74" t="s">
        <v>6239</v>
      </c>
      <c r="C13715" s="74" t="s">
        <v>420</v>
      </c>
    </row>
    <row r="13716" spans="1:3">
      <c r="A13716" s="250">
        <v>32662</v>
      </c>
      <c r="B13716" s="74" t="s">
        <v>8356</v>
      </c>
      <c r="C13716" s="74" t="s">
        <v>420</v>
      </c>
    </row>
    <row r="13717" spans="1:3">
      <c r="A13717" s="250">
        <v>32663</v>
      </c>
      <c r="B13717" s="74" t="s">
        <v>818</v>
      </c>
      <c r="C13717" s="74" t="s">
        <v>420</v>
      </c>
    </row>
    <row r="13718" spans="1:3">
      <c r="A13718" s="250">
        <v>32664</v>
      </c>
      <c r="B13718" s="74" t="s">
        <v>8357</v>
      </c>
      <c r="C13718" s="74" t="s">
        <v>420</v>
      </c>
    </row>
    <row r="13719" spans="1:3">
      <c r="A13719" s="250">
        <v>32666</v>
      </c>
      <c r="B13719" s="74" t="s">
        <v>924</v>
      </c>
      <c r="C13719" s="74" t="s">
        <v>420</v>
      </c>
    </row>
    <row r="13720" spans="1:3">
      <c r="A13720" s="250">
        <v>32667</v>
      </c>
      <c r="B13720" s="74" t="s">
        <v>8358</v>
      </c>
      <c r="C13720" s="74" t="s">
        <v>420</v>
      </c>
    </row>
    <row r="13721" spans="1:3">
      <c r="A13721" s="250">
        <v>32668</v>
      </c>
      <c r="B13721" s="74" t="s">
        <v>8359</v>
      </c>
      <c r="C13721" s="74" t="s">
        <v>420</v>
      </c>
    </row>
    <row r="13722" spans="1:3">
      <c r="A13722" s="250">
        <v>32669</v>
      </c>
      <c r="B13722" s="74" t="s">
        <v>7634</v>
      </c>
      <c r="C13722" s="74" t="s">
        <v>420</v>
      </c>
    </row>
    <row r="13723" spans="1:3">
      <c r="A13723" s="250">
        <v>32680</v>
      </c>
      <c r="B13723" s="74" t="s">
        <v>1518</v>
      </c>
      <c r="C13723" s="74" t="s">
        <v>420</v>
      </c>
    </row>
    <row r="13724" spans="1:3">
      <c r="A13724" s="250">
        <v>32681</v>
      </c>
      <c r="B13724" s="74" t="s">
        <v>8360</v>
      </c>
      <c r="C13724" s="74" t="s">
        <v>420</v>
      </c>
    </row>
    <row r="13725" spans="1:3">
      <c r="A13725" s="250">
        <v>32683</v>
      </c>
      <c r="B13725" s="74" t="s">
        <v>8361</v>
      </c>
      <c r="C13725" s="74" t="s">
        <v>420</v>
      </c>
    </row>
    <row r="13726" spans="1:3">
      <c r="A13726" s="250">
        <v>32686</v>
      </c>
      <c r="B13726" s="74" t="s">
        <v>8362</v>
      </c>
      <c r="C13726" s="74" t="s">
        <v>420</v>
      </c>
    </row>
    <row r="13727" spans="1:3">
      <c r="A13727" s="250">
        <v>32692</v>
      </c>
      <c r="B13727" s="74" t="s">
        <v>8363</v>
      </c>
      <c r="C13727" s="74" t="s">
        <v>420</v>
      </c>
    </row>
    <row r="13728" spans="1:3">
      <c r="A13728" s="250">
        <v>32693</v>
      </c>
      <c r="B13728" s="74" t="s">
        <v>2532</v>
      </c>
      <c r="C13728" s="74" t="s">
        <v>420</v>
      </c>
    </row>
    <row r="13729" spans="1:3">
      <c r="A13729" s="250">
        <v>32694</v>
      </c>
      <c r="B13729" s="74" t="s">
        <v>8364</v>
      </c>
      <c r="C13729" s="74" t="s">
        <v>420</v>
      </c>
    </row>
    <row r="13730" spans="1:3">
      <c r="A13730" s="250">
        <v>32696</v>
      </c>
      <c r="B13730" s="74" t="s">
        <v>1837</v>
      </c>
      <c r="C13730" s="74" t="s">
        <v>420</v>
      </c>
    </row>
    <row r="13731" spans="1:3">
      <c r="A13731" s="250">
        <v>32697</v>
      </c>
      <c r="B13731" s="74" t="s">
        <v>8365</v>
      </c>
      <c r="C13731" s="74" t="s">
        <v>420</v>
      </c>
    </row>
    <row r="13732" spans="1:3">
      <c r="A13732" s="250">
        <v>32701</v>
      </c>
      <c r="B13732" s="74" t="s">
        <v>8366</v>
      </c>
      <c r="C13732" s="74" t="s">
        <v>420</v>
      </c>
    </row>
    <row r="13733" spans="1:3">
      <c r="A13733" s="250">
        <v>32702</v>
      </c>
      <c r="B13733" s="74" t="s">
        <v>4529</v>
      </c>
      <c r="C13733" s="74" t="s">
        <v>420</v>
      </c>
    </row>
    <row r="13734" spans="1:3">
      <c r="A13734" s="250">
        <v>32703</v>
      </c>
      <c r="B13734" s="74" t="s">
        <v>8367</v>
      </c>
      <c r="C13734" s="74" t="s">
        <v>420</v>
      </c>
    </row>
    <row r="13735" spans="1:3">
      <c r="A13735" s="250">
        <v>32704</v>
      </c>
      <c r="B13735" s="74" t="s">
        <v>8367</v>
      </c>
      <c r="C13735" s="74" t="s">
        <v>420</v>
      </c>
    </row>
    <row r="13736" spans="1:3">
      <c r="A13736" s="250">
        <v>32706</v>
      </c>
      <c r="B13736" s="74" t="s">
        <v>3849</v>
      </c>
      <c r="C13736" s="74" t="s">
        <v>420</v>
      </c>
    </row>
    <row r="13737" spans="1:3">
      <c r="A13737" s="250">
        <v>32707</v>
      </c>
      <c r="B13737" s="74" t="s">
        <v>8368</v>
      </c>
      <c r="C13737" s="74" t="s">
        <v>420</v>
      </c>
    </row>
    <row r="13738" spans="1:3">
      <c r="A13738" s="250">
        <v>32708</v>
      </c>
      <c r="B13738" s="74" t="s">
        <v>8369</v>
      </c>
      <c r="C13738" s="74" t="s">
        <v>420</v>
      </c>
    </row>
    <row r="13739" spans="1:3">
      <c r="A13739" s="250">
        <v>32709</v>
      </c>
      <c r="B13739" s="74" t="s">
        <v>8370</v>
      </c>
      <c r="C13739" s="74" t="s">
        <v>420</v>
      </c>
    </row>
    <row r="13740" spans="1:3">
      <c r="A13740" s="250">
        <v>32710</v>
      </c>
      <c r="B13740" s="74" t="s">
        <v>8371</v>
      </c>
      <c r="C13740" s="74" t="s">
        <v>420</v>
      </c>
    </row>
    <row r="13741" spans="1:3">
      <c r="A13741" s="250">
        <v>32712</v>
      </c>
      <c r="B13741" s="74" t="s">
        <v>8367</v>
      </c>
      <c r="C13741" s="74" t="s">
        <v>420</v>
      </c>
    </row>
    <row r="13742" spans="1:3">
      <c r="A13742" s="250">
        <v>32713</v>
      </c>
      <c r="B13742" s="74" t="s">
        <v>8372</v>
      </c>
      <c r="C13742" s="74" t="s">
        <v>420</v>
      </c>
    </row>
    <row r="13743" spans="1:3">
      <c r="A13743" s="250">
        <v>32714</v>
      </c>
      <c r="B13743" s="74" t="s">
        <v>8366</v>
      </c>
      <c r="C13743" s="74" t="s">
        <v>420</v>
      </c>
    </row>
    <row r="13744" spans="1:3">
      <c r="A13744" s="250">
        <v>32715</v>
      </c>
      <c r="B13744" s="74" t="s">
        <v>8366</v>
      </c>
      <c r="C13744" s="74" t="s">
        <v>420</v>
      </c>
    </row>
    <row r="13745" spans="1:3">
      <c r="A13745" s="250">
        <v>32716</v>
      </c>
      <c r="B13745" s="74" t="s">
        <v>8366</v>
      </c>
      <c r="C13745" s="74" t="s">
        <v>420</v>
      </c>
    </row>
    <row r="13746" spans="1:3">
      <c r="A13746" s="250">
        <v>32718</v>
      </c>
      <c r="B13746" s="74" t="s">
        <v>8368</v>
      </c>
      <c r="C13746" s="74" t="s">
        <v>420</v>
      </c>
    </row>
    <row r="13747" spans="1:3">
      <c r="A13747" s="250">
        <v>32719</v>
      </c>
      <c r="B13747" s="74" t="s">
        <v>8369</v>
      </c>
      <c r="C13747" s="74" t="s">
        <v>420</v>
      </c>
    </row>
    <row r="13748" spans="1:3">
      <c r="A13748" s="250">
        <v>32720</v>
      </c>
      <c r="B13748" s="74" t="s">
        <v>8373</v>
      </c>
      <c r="C13748" s="74" t="s">
        <v>420</v>
      </c>
    </row>
    <row r="13749" spans="1:3">
      <c r="A13749" s="250">
        <v>32721</v>
      </c>
      <c r="B13749" s="74" t="s">
        <v>8373</v>
      </c>
      <c r="C13749" s="74" t="s">
        <v>420</v>
      </c>
    </row>
    <row r="13750" spans="1:3">
      <c r="A13750" s="250">
        <v>32722</v>
      </c>
      <c r="B13750" s="74" t="s">
        <v>2187</v>
      </c>
      <c r="C13750" s="74" t="s">
        <v>420</v>
      </c>
    </row>
    <row r="13751" spans="1:3">
      <c r="A13751" s="250">
        <v>32723</v>
      </c>
      <c r="B13751" s="74" t="s">
        <v>8373</v>
      </c>
      <c r="C13751" s="74" t="s">
        <v>420</v>
      </c>
    </row>
    <row r="13752" spans="1:3">
      <c r="A13752" s="250">
        <v>32724</v>
      </c>
      <c r="B13752" s="74" t="s">
        <v>8373</v>
      </c>
      <c r="C13752" s="74" t="s">
        <v>420</v>
      </c>
    </row>
    <row r="13753" spans="1:3">
      <c r="A13753" s="250">
        <v>32725</v>
      </c>
      <c r="B13753" s="74" t="s">
        <v>8374</v>
      </c>
      <c r="C13753" s="74" t="s">
        <v>420</v>
      </c>
    </row>
    <row r="13754" spans="1:3">
      <c r="A13754" s="250">
        <v>32726</v>
      </c>
      <c r="B13754" s="74" t="s">
        <v>1693</v>
      </c>
      <c r="C13754" s="74" t="s">
        <v>420</v>
      </c>
    </row>
    <row r="13755" spans="1:3">
      <c r="A13755" s="250">
        <v>32727</v>
      </c>
      <c r="B13755" s="74" t="s">
        <v>1693</v>
      </c>
      <c r="C13755" s="74" t="s">
        <v>420</v>
      </c>
    </row>
    <row r="13756" spans="1:3">
      <c r="A13756" s="250">
        <v>32728</v>
      </c>
      <c r="B13756" s="74" t="s">
        <v>8374</v>
      </c>
      <c r="C13756" s="74" t="s">
        <v>420</v>
      </c>
    </row>
    <row r="13757" spans="1:3">
      <c r="A13757" s="250">
        <v>32730</v>
      </c>
      <c r="B13757" s="74" t="s">
        <v>8368</v>
      </c>
      <c r="C13757" s="74" t="s">
        <v>420</v>
      </c>
    </row>
    <row r="13758" spans="1:3">
      <c r="A13758" s="250">
        <v>32732</v>
      </c>
      <c r="B13758" s="74" t="s">
        <v>3776</v>
      </c>
      <c r="C13758" s="74" t="s">
        <v>420</v>
      </c>
    </row>
    <row r="13759" spans="1:3">
      <c r="A13759" s="250">
        <v>32733</v>
      </c>
      <c r="B13759" s="74" t="s">
        <v>8375</v>
      </c>
      <c r="C13759" s="74" t="s">
        <v>420</v>
      </c>
    </row>
    <row r="13760" spans="1:3">
      <c r="A13760" s="250">
        <v>32735</v>
      </c>
      <c r="B13760" s="74" t="s">
        <v>3711</v>
      </c>
      <c r="C13760" s="74" t="s">
        <v>420</v>
      </c>
    </row>
    <row r="13761" spans="1:3">
      <c r="A13761" s="250">
        <v>32736</v>
      </c>
      <c r="B13761" s="74" t="s">
        <v>1693</v>
      </c>
      <c r="C13761" s="74" t="s">
        <v>420</v>
      </c>
    </row>
    <row r="13762" spans="1:3">
      <c r="A13762" s="250">
        <v>32738</v>
      </c>
      <c r="B13762" s="74" t="s">
        <v>8374</v>
      </c>
      <c r="C13762" s="74" t="s">
        <v>420</v>
      </c>
    </row>
    <row r="13763" spans="1:3">
      <c r="A13763" s="250">
        <v>32739</v>
      </c>
      <c r="B13763" s="74" t="s">
        <v>8374</v>
      </c>
      <c r="C13763" s="74" t="s">
        <v>420</v>
      </c>
    </row>
    <row r="13764" spans="1:3">
      <c r="A13764" s="250">
        <v>32744</v>
      </c>
      <c r="B13764" s="74" t="s">
        <v>8376</v>
      </c>
      <c r="C13764" s="74" t="s">
        <v>420</v>
      </c>
    </row>
    <row r="13765" spans="1:3">
      <c r="A13765" s="250">
        <v>32745</v>
      </c>
      <c r="B13765" s="74" t="s">
        <v>8377</v>
      </c>
      <c r="C13765" s="74" t="s">
        <v>420</v>
      </c>
    </row>
    <row r="13766" spans="1:3">
      <c r="A13766" s="250">
        <v>32746</v>
      </c>
      <c r="B13766" s="74" t="s">
        <v>8378</v>
      </c>
      <c r="C13766" s="74" t="s">
        <v>420</v>
      </c>
    </row>
    <row r="13767" spans="1:3">
      <c r="A13767" s="250">
        <v>32747</v>
      </c>
      <c r="B13767" s="74" t="s">
        <v>8379</v>
      </c>
      <c r="C13767" s="74" t="s">
        <v>420</v>
      </c>
    </row>
    <row r="13768" spans="1:3">
      <c r="A13768" s="250">
        <v>32750</v>
      </c>
      <c r="B13768" s="74" t="s">
        <v>7407</v>
      </c>
      <c r="C13768" s="74" t="s">
        <v>420</v>
      </c>
    </row>
    <row r="13769" spans="1:3">
      <c r="A13769" s="250">
        <v>32751</v>
      </c>
      <c r="B13769" s="74" t="s">
        <v>8380</v>
      </c>
      <c r="C13769" s="74" t="s">
        <v>420</v>
      </c>
    </row>
    <row r="13770" spans="1:3">
      <c r="A13770" s="250">
        <v>32752</v>
      </c>
      <c r="B13770" s="74" t="s">
        <v>7407</v>
      </c>
      <c r="C13770" s="74" t="s">
        <v>420</v>
      </c>
    </row>
    <row r="13771" spans="1:3">
      <c r="A13771" s="250">
        <v>32753</v>
      </c>
      <c r="B13771" s="74" t="s">
        <v>8372</v>
      </c>
      <c r="C13771" s="74" t="s">
        <v>420</v>
      </c>
    </row>
    <row r="13772" spans="1:3">
      <c r="A13772" s="250">
        <v>32754</v>
      </c>
      <c r="B13772" s="74" t="s">
        <v>8381</v>
      </c>
      <c r="C13772" s="74" t="s">
        <v>420</v>
      </c>
    </row>
    <row r="13773" spans="1:3">
      <c r="A13773" s="250">
        <v>32756</v>
      </c>
      <c r="B13773" s="74" t="s">
        <v>8382</v>
      </c>
      <c r="C13773" s="74" t="s">
        <v>420</v>
      </c>
    </row>
    <row r="13774" spans="1:3">
      <c r="A13774" s="250">
        <v>32757</v>
      </c>
      <c r="B13774" s="74" t="s">
        <v>8382</v>
      </c>
      <c r="C13774" s="74" t="s">
        <v>420</v>
      </c>
    </row>
    <row r="13775" spans="1:3">
      <c r="A13775" s="250">
        <v>32759</v>
      </c>
      <c r="B13775" s="74" t="s">
        <v>3070</v>
      </c>
      <c r="C13775" s="74" t="s">
        <v>420</v>
      </c>
    </row>
    <row r="13776" spans="1:3">
      <c r="A13776" s="250">
        <v>32762</v>
      </c>
      <c r="B13776" s="74" t="s">
        <v>8383</v>
      </c>
      <c r="C13776" s="74" t="s">
        <v>420</v>
      </c>
    </row>
    <row r="13777" spans="1:3">
      <c r="A13777" s="250">
        <v>32763</v>
      </c>
      <c r="B13777" s="74" t="s">
        <v>8384</v>
      </c>
      <c r="C13777" s="74" t="s">
        <v>420</v>
      </c>
    </row>
    <row r="13778" spans="1:3">
      <c r="A13778" s="250">
        <v>32764</v>
      </c>
      <c r="B13778" s="74" t="s">
        <v>8385</v>
      </c>
      <c r="C13778" s="74" t="s">
        <v>420</v>
      </c>
    </row>
    <row r="13779" spans="1:3">
      <c r="A13779" s="250">
        <v>32765</v>
      </c>
      <c r="B13779" s="74" t="s">
        <v>8383</v>
      </c>
      <c r="C13779" s="74" t="s">
        <v>420</v>
      </c>
    </row>
    <row r="13780" spans="1:3">
      <c r="A13780" s="250">
        <v>32766</v>
      </c>
      <c r="B13780" s="74" t="s">
        <v>8383</v>
      </c>
      <c r="C13780" s="74" t="s">
        <v>420</v>
      </c>
    </row>
    <row r="13781" spans="1:3">
      <c r="A13781" s="250">
        <v>32767</v>
      </c>
      <c r="B13781" s="74" t="s">
        <v>8386</v>
      </c>
      <c r="C13781" s="74" t="s">
        <v>420</v>
      </c>
    </row>
    <row r="13782" spans="1:3">
      <c r="A13782" s="250">
        <v>32768</v>
      </c>
      <c r="B13782" s="74" t="s">
        <v>956</v>
      </c>
      <c r="C13782" s="74" t="s">
        <v>420</v>
      </c>
    </row>
    <row r="13783" spans="1:3">
      <c r="A13783" s="250">
        <v>32771</v>
      </c>
      <c r="B13783" s="74" t="s">
        <v>1408</v>
      </c>
      <c r="C13783" s="74" t="s">
        <v>420</v>
      </c>
    </row>
    <row r="13784" spans="1:3">
      <c r="A13784" s="250">
        <v>32772</v>
      </c>
      <c r="B13784" s="74" t="s">
        <v>1408</v>
      </c>
      <c r="C13784" s="74" t="s">
        <v>420</v>
      </c>
    </row>
    <row r="13785" spans="1:3">
      <c r="A13785" s="250">
        <v>32773</v>
      </c>
      <c r="B13785" s="74" t="s">
        <v>1408</v>
      </c>
      <c r="C13785" s="74" t="s">
        <v>420</v>
      </c>
    </row>
    <row r="13786" spans="1:3">
      <c r="A13786" s="250">
        <v>32774</v>
      </c>
      <c r="B13786" s="74" t="s">
        <v>8384</v>
      </c>
      <c r="C13786" s="74" t="s">
        <v>420</v>
      </c>
    </row>
    <row r="13787" spans="1:3">
      <c r="A13787" s="250">
        <v>32775</v>
      </c>
      <c r="B13787" s="74" t="s">
        <v>8387</v>
      </c>
      <c r="C13787" s="74" t="s">
        <v>420</v>
      </c>
    </row>
    <row r="13788" spans="1:3">
      <c r="A13788" s="250">
        <v>32776</v>
      </c>
      <c r="B13788" s="74" t="s">
        <v>1610</v>
      </c>
      <c r="C13788" s="74" t="s">
        <v>420</v>
      </c>
    </row>
    <row r="13789" spans="1:3">
      <c r="A13789" s="250">
        <v>32777</v>
      </c>
      <c r="B13789" s="74" t="s">
        <v>8388</v>
      </c>
      <c r="C13789" s="74" t="s">
        <v>420</v>
      </c>
    </row>
    <row r="13790" spans="1:3">
      <c r="A13790" s="250">
        <v>32778</v>
      </c>
      <c r="B13790" s="74" t="s">
        <v>8389</v>
      </c>
      <c r="C13790" s="74" t="s">
        <v>420</v>
      </c>
    </row>
    <row r="13791" spans="1:3">
      <c r="A13791" s="250">
        <v>32779</v>
      </c>
      <c r="B13791" s="74" t="s">
        <v>7407</v>
      </c>
      <c r="C13791" s="74" t="s">
        <v>420</v>
      </c>
    </row>
    <row r="13792" spans="1:3">
      <c r="A13792" s="250">
        <v>32780</v>
      </c>
      <c r="B13792" s="74" t="s">
        <v>2530</v>
      </c>
      <c r="C13792" s="74" t="s">
        <v>420</v>
      </c>
    </row>
    <row r="13793" spans="1:3">
      <c r="A13793" s="250">
        <v>32781</v>
      </c>
      <c r="B13793" s="74" t="s">
        <v>2530</v>
      </c>
      <c r="C13793" s="74" t="s">
        <v>420</v>
      </c>
    </row>
    <row r="13794" spans="1:3">
      <c r="A13794" s="250">
        <v>32782</v>
      </c>
      <c r="B13794" s="74" t="s">
        <v>2530</v>
      </c>
      <c r="C13794" s="74" t="s">
        <v>420</v>
      </c>
    </row>
    <row r="13795" spans="1:3">
      <c r="A13795" s="250">
        <v>32783</v>
      </c>
      <c r="B13795" s="74" t="s">
        <v>2530</v>
      </c>
      <c r="C13795" s="74" t="s">
        <v>420</v>
      </c>
    </row>
    <row r="13796" spans="1:3">
      <c r="A13796" s="250">
        <v>32784</v>
      </c>
      <c r="B13796" s="74" t="s">
        <v>8390</v>
      </c>
      <c r="C13796" s="74" t="s">
        <v>420</v>
      </c>
    </row>
    <row r="13797" spans="1:3">
      <c r="A13797" s="250">
        <v>32789</v>
      </c>
      <c r="B13797" s="74" t="s">
        <v>8391</v>
      </c>
      <c r="C13797" s="74" t="s">
        <v>420</v>
      </c>
    </row>
    <row r="13798" spans="1:3">
      <c r="A13798" s="250">
        <v>32790</v>
      </c>
      <c r="B13798" s="74" t="s">
        <v>8391</v>
      </c>
      <c r="C13798" s="74" t="s">
        <v>420</v>
      </c>
    </row>
    <row r="13799" spans="1:3">
      <c r="A13799" s="250">
        <v>32791</v>
      </c>
      <c r="B13799" s="74" t="s">
        <v>7407</v>
      </c>
      <c r="C13799" s="74" t="s">
        <v>420</v>
      </c>
    </row>
    <row r="13800" spans="1:3">
      <c r="A13800" s="250">
        <v>32792</v>
      </c>
      <c r="B13800" s="74" t="s">
        <v>8391</v>
      </c>
      <c r="C13800" s="74" t="s">
        <v>420</v>
      </c>
    </row>
    <row r="13801" spans="1:3">
      <c r="A13801" s="250">
        <v>32793</v>
      </c>
      <c r="B13801" s="74" t="s">
        <v>8391</v>
      </c>
      <c r="C13801" s="74" t="s">
        <v>420</v>
      </c>
    </row>
    <row r="13802" spans="1:3">
      <c r="A13802" s="250">
        <v>32794</v>
      </c>
      <c r="B13802" s="74" t="s">
        <v>8380</v>
      </c>
      <c r="C13802" s="74" t="s">
        <v>420</v>
      </c>
    </row>
    <row r="13803" spans="1:3">
      <c r="A13803" s="250">
        <v>32795</v>
      </c>
      <c r="B13803" s="74" t="s">
        <v>8378</v>
      </c>
      <c r="C13803" s="74" t="s">
        <v>420</v>
      </c>
    </row>
    <row r="13804" spans="1:3">
      <c r="A13804" s="250">
        <v>32796</v>
      </c>
      <c r="B13804" s="74" t="s">
        <v>2530</v>
      </c>
      <c r="C13804" s="74" t="s">
        <v>420</v>
      </c>
    </row>
    <row r="13805" spans="1:3">
      <c r="A13805" s="250">
        <v>32798</v>
      </c>
      <c r="B13805" s="74" t="s">
        <v>8392</v>
      </c>
      <c r="C13805" s="74" t="s">
        <v>420</v>
      </c>
    </row>
    <row r="13806" spans="1:3">
      <c r="A13806" s="250">
        <v>32799</v>
      </c>
      <c r="B13806" s="74" t="s">
        <v>8377</v>
      </c>
      <c r="C13806" s="74" t="s">
        <v>420</v>
      </c>
    </row>
    <row r="13807" spans="1:3">
      <c r="A13807" s="250">
        <v>32801</v>
      </c>
      <c r="B13807" s="74" t="s">
        <v>6950</v>
      </c>
      <c r="C13807" s="74" t="s">
        <v>420</v>
      </c>
    </row>
    <row r="13808" spans="1:3">
      <c r="A13808" s="250">
        <v>32802</v>
      </c>
      <c r="B13808" s="74" t="s">
        <v>6950</v>
      </c>
      <c r="C13808" s="74" t="s">
        <v>420</v>
      </c>
    </row>
    <row r="13809" spans="1:3">
      <c r="A13809" s="250">
        <v>32803</v>
      </c>
      <c r="B13809" s="74" t="s">
        <v>6950</v>
      </c>
      <c r="C13809" s="74" t="s">
        <v>420</v>
      </c>
    </row>
    <row r="13810" spans="1:3">
      <c r="A13810" s="250">
        <v>32804</v>
      </c>
      <c r="B13810" s="74" t="s">
        <v>6950</v>
      </c>
      <c r="C13810" s="74" t="s">
        <v>420</v>
      </c>
    </row>
    <row r="13811" spans="1:3">
      <c r="A13811" s="250">
        <v>32805</v>
      </c>
      <c r="B13811" s="74" t="s">
        <v>6950</v>
      </c>
      <c r="C13811" s="74" t="s">
        <v>420</v>
      </c>
    </row>
    <row r="13812" spans="1:3">
      <c r="A13812" s="250">
        <v>32806</v>
      </c>
      <c r="B13812" s="74" t="s">
        <v>6950</v>
      </c>
      <c r="C13812" s="74" t="s">
        <v>420</v>
      </c>
    </row>
    <row r="13813" spans="1:3">
      <c r="A13813" s="250">
        <v>32807</v>
      </c>
      <c r="B13813" s="74" t="s">
        <v>6950</v>
      </c>
      <c r="C13813" s="74" t="s">
        <v>420</v>
      </c>
    </row>
    <row r="13814" spans="1:3">
      <c r="A13814" s="250">
        <v>32808</v>
      </c>
      <c r="B13814" s="74" t="s">
        <v>6950</v>
      </c>
      <c r="C13814" s="74" t="s">
        <v>420</v>
      </c>
    </row>
    <row r="13815" spans="1:3">
      <c r="A13815" s="250">
        <v>32809</v>
      </c>
      <c r="B13815" s="74" t="s">
        <v>6950</v>
      </c>
      <c r="C13815" s="74" t="s">
        <v>420</v>
      </c>
    </row>
    <row r="13816" spans="1:3">
      <c r="A13816" s="250">
        <v>32810</v>
      </c>
      <c r="B13816" s="74" t="s">
        <v>6950</v>
      </c>
      <c r="C13816" s="74" t="s">
        <v>420</v>
      </c>
    </row>
    <row r="13817" spans="1:3">
      <c r="A13817" s="250">
        <v>32811</v>
      </c>
      <c r="B13817" s="74" t="s">
        <v>6950</v>
      </c>
      <c r="C13817" s="74" t="s">
        <v>420</v>
      </c>
    </row>
    <row r="13818" spans="1:3">
      <c r="A13818" s="250">
        <v>32812</v>
      </c>
      <c r="B13818" s="74" t="s">
        <v>6950</v>
      </c>
      <c r="C13818" s="74" t="s">
        <v>420</v>
      </c>
    </row>
    <row r="13819" spans="1:3">
      <c r="A13819" s="250">
        <v>32814</v>
      </c>
      <c r="B13819" s="74" t="s">
        <v>6950</v>
      </c>
      <c r="C13819" s="74" t="s">
        <v>420</v>
      </c>
    </row>
    <row r="13820" spans="1:3">
      <c r="A13820" s="250">
        <v>32815</v>
      </c>
      <c r="B13820" s="74" t="s">
        <v>6950</v>
      </c>
      <c r="C13820" s="74" t="s">
        <v>420</v>
      </c>
    </row>
    <row r="13821" spans="1:3">
      <c r="A13821" s="250">
        <v>32816</v>
      </c>
      <c r="B13821" s="74" t="s">
        <v>6950</v>
      </c>
      <c r="C13821" s="74" t="s">
        <v>420</v>
      </c>
    </row>
    <row r="13822" spans="1:3">
      <c r="A13822" s="250">
        <v>32817</v>
      </c>
      <c r="B13822" s="74" t="s">
        <v>6950</v>
      </c>
      <c r="C13822" s="74" t="s">
        <v>420</v>
      </c>
    </row>
    <row r="13823" spans="1:3">
      <c r="A13823" s="250">
        <v>32818</v>
      </c>
      <c r="B13823" s="74" t="s">
        <v>6950</v>
      </c>
      <c r="C13823" s="74" t="s">
        <v>420</v>
      </c>
    </row>
    <row r="13824" spans="1:3">
      <c r="A13824" s="250">
        <v>32819</v>
      </c>
      <c r="B13824" s="74" t="s">
        <v>6950</v>
      </c>
      <c r="C13824" s="74" t="s">
        <v>420</v>
      </c>
    </row>
    <row r="13825" spans="1:3">
      <c r="A13825" s="250">
        <v>32820</v>
      </c>
      <c r="B13825" s="74" t="s">
        <v>6950</v>
      </c>
      <c r="C13825" s="74" t="s">
        <v>420</v>
      </c>
    </row>
    <row r="13826" spans="1:3">
      <c r="A13826" s="250">
        <v>32821</v>
      </c>
      <c r="B13826" s="74" t="s">
        <v>6950</v>
      </c>
      <c r="C13826" s="74" t="s">
        <v>420</v>
      </c>
    </row>
    <row r="13827" spans="1:3">
      <c r="A13827" s="250">
        <v>32822</v>
      </c>
      <c r="B13827" s="74" t="s">
        <v>6950</v>
      </c>
      <c r="C13827" s="74" t="s">
        <v>420</v>
      </c>
    </row>
    <row r="13828" spans="1:3">
      <c r="A13828" s="250">
        <v>32824</v>
      </c>
      <c r="B13828" s="74" t="s">
        <v>6950</v>
      </c>
      <c r="C13828" s="74" t="s">
        <v>420</v>
      </c>
    </row>
    <row r="13829" spans="1:3">
      <c r="A13829" s="250">
        <v>32825</v>
      </c>
      <c r="B13829" s="74" t="s">
        <v>6950</v>
      </c>
      <c r="C13829" s="74" t="s">
        <v>420</v>
      </c>
    </row>
    <row r="13830" spans="1:3">
      <c r="A13830" s="250">
        <v>32826</v>
      </c>
      <c r="B13830" s="74" t="s">
        <v>6950</v>
      </c>
      <c r="C13830" s="74" t="s">
        <v>420</v>
      </c>
    </row>
    <row r="13831" spans="1:3">
      <c r="A13831" s="250">
        <v>32827</v>
      </c>
      <c r="B13831" s="74" t="s">
        <v>6950</v>
      </c>
      <c r="C13831" s="74" t="s">
        <v>420</v>
      </c>
    </row>
    <row r="13832" spans="1:3">
      <c r="A13832" s="250">
        <v>32828</v>
      </c>
      <c r="B13832" s="74" t="s">
        <v>6950</v>
      </c>
      <c r="C13832" s="74" t="s">
        <v>420</v>
      </c>
    </row>
    <row r="13833" spans="1:3">
      <c r="A13833" s="250">
        <v>32829</v>
      </c>
      <c r="B13833" s="74" t="s">
        <v>6950</v>
      </c>
      <c r="C13833" s="74" t="s">
        <v>420</v>
      </c>
    </row>
    <row r="13834" spans="1:3">
      <c r="A13834" s="250">
        <v>32830</v>
      </c>
      <c r="B13834" s="74" t="s">
        <v>6950</v>
      </c>
      <c r="C13834" s="74" t="s">
        <v>420</v>
      </c>
    </row>
    <row r="13835" spans="1:3">
      <c r="A13835" s="250">
        <v>32831</v>
      </c>
      <c r="B13835" s="74" t="s">
        <v>6950</v>
      </c>
      <c r="C13835" s="74" t="s">
        <v>420</v>
      </c>
    </row>
    <row r="13836" spans="1:3">
      <c r="A13836" s="250">
        <v>32832</v>
      </c>
      <c r="B13836" s="74" t="s">
        <v>6950</v>
      </c>
      <c r="C13836" s="74" t="s">
        <v>420</v>
      </c>
    </row>
    <row r="13837" spans="1:3">
      <c r="A13837" s="250">
        <v>32833</v>
      </c>
      <c r="B13837" s="74" t="s">
        <v>6950</v>
      </c>
      <c r="C13837" s="74" t="s">
        <v>420</v>
      </c>
    </row>
    <row r="13838" spans="1:3">
      <c r="A13838" s="250">
        <v>32834</v>
      </c>
      <c r="B13838" s="74" t="s">
        <v>6950</v>
      </c>
      <c r="C13838" s="74" t="s">
        <v>420</v>
      </c>
    </row>
    <row r="13839" spans="1:3">
      <c r="A13839" s="250">
        <v>32835</v>
      </c>
      <c r="B13839" s="74" t="s">
        <v>6950</v>
      </c>
      <c r="C13839" s="74" t="s">
        <v>420</v>
      </c>
    </row>
    <row r="13840" spans="1:3">
      <c r="A13840" s="250">
        <v>32836</v>
      </c>
      <c r="B13840" s="74" t="s">
        <v>6950</v>
      </c>
      <c r="C13840" s="74" t="s">
        <v>420</v>
      </c>
    </row>
    <row r="13841" spans="1:3">
      <c r="A13841" s="250">
        <v>32837</v>
      </c>
      <c r="B13841" s="74" t="s">
        <v>6950</v>
      </c>
      <c r="C13841" s="74" t="s">
        <v>420</v>
      </c>
    </row>
    <row r="13842" spans="1:3">
      <c r="A13842" s="250">
        <v>32839</v>
      </c>
      <c r="B13842" s="74" t="s">
        <v>6950</v>
      </c>
      <c r="C13842" s="74" t="s">
        <v>420</v>
      </c>
    </row>
    <row r="13843" spans="1:3">
      <c r="A13843" s="250">
        <v>32853</v>
      </c>
      <c r="B13843" s="74" t="s">
        <v>6950</v>
      </c>
      <c r="C13843" s="74" t="s">
        <v>420</v>
      </c>
    </row>
    <row r="13844" spans="1:3">
      <c r="A13844" s="250">
        <v>32854</v>
      </c>
      <c r="B13844" s="74" t="s">
        <v>6950</v>
      </c>
      <c r="C13844" s="74" t="s">
        <v>420</v>
      </c>
    </row>
    <row r="13845" spans="1:3">
      <c r="A13845" s="250">
        <v>32855</v>
      </c>
      <c r="B13845" s="74" t="s">
        <v>6950</v>
      </c>
      <c r="C13845" s="74" t="s">
        <v>420</v>
      </c>
    </row>
    <row r="13846" spans="1:3">
      <c r="A13846" s="250">
        <v>32856</v>
      </c>
      <c r="B13846" s="74" t="s">
        <v>6950</v>
      </c>
      <c r="C13846" s="74" t="s">
        <v>420</v>
      </c>
    </row>
    <row r="13847" spans="1:3">
      <c r="A13847" s="250">
        <v>32857</v>
      </c>
      <c r="B13847" s="74" t="s">
        <v>6950</v>
      </c>
      <c r="C13847" s="74" t="s">
        <v>420</v>
      </c>
    </row>
    <row r="13848" spans="1:3">
      <c r="A13848" s="250">
        <v>32858</v>
      </c>
      <c r="B13848" s="74" t="s">
        <v>6950</v>
      </c>
      <c r="C13848" s="74" t="s">
        <v>420</v>
      </c>
    </row>
    <row r="13849" spans="1:3">
      <c r="A13849" s="250">
        <v>32859</v>
      </c>
      <c r="B13849" s="74" t="s">
        <v>6950</v>
      </c>
      <c r="C13849" s="74" t="s">
        <v>420</v>
      </c>
    </row>
    <row r="13850" spans="1:3">
      <c r="A13850" s="250">
        <v>32860</v>
      </c>
      <c r="B13850" s="74" t="s">
        <v>6950</v>
      </c>
      <c r="C13850" s="74" t="s">
        <v>420</v>
      </c>
    </row>
    <row r="13851" spans="1:3">
      <c r="A13851" s="250">
        <v>32861</v>
      </c>
      <c r="B13851" s="74" t="s">
        <v>6950</v>
      </c>
      <c r="C13851" s="74" t="s">
        <v>420</v>
      </c>
    </row>
    <row r="13852" spans="1:3">
      <c r="A13852" s="250">
        <v>32862</v>
      </c>
      <c r="B13852" s="74" t="s">
        <v>6950</v>
      </c>
      <c r="C13852" s="74" t="s">
        <v>420</v>
      </c>
    </row>
    <row r="13853" spans="1:3">
      <c r="A13853" s="250">
        <v>32867</v>
      </c>
      <c r="B13853" s="74" t="s">
        <v>6950</v>
      </c>
      <c r="C13853" s="74" t="s">
        <v>420</v>
      </c>
    </row>
    <row r="13854" spans="1:3">
      <c r="A13854" s="250">
        <v>32868</v>
      </c>
      <c r="B13854" s="74" t="s">
        <v>6950</v>
      </c>
      <c r="C13854" s="74" t="s">
        <v>420</v>
      </c>
    </row>
    <row r="13855" spans="1:3">
      <c r="A13855" s="250">
        <v>32869</v>
      </c>
      <c r="B13855" s="74" t="s">
        <v>6950</v>
      </c>
      <c r="C13855" s="74" t="s">
        <v>420</v>
      </c>
    </row>
    <row r="13856" spans="1:3">
      <c r="A13856" s="250">
        <v>32872</v>
      </c>
      <c r="B13856" s="74" t="s">
        <v>6950</v>
      </c>
      <c r="C13856" s="74" t="s">
        <v>420</v>
      </c>
    </row>
    <row r="13857" spans="1:3">
      <c r="A13857" s="250">
        <v>32877</v>
      </c>
      <c r="B13857" s="74" t="s">
        <v>6950</v>
      </c>
      <c r="C13857" s="74" t="s">
        <v>420</v>
      </c>
    </row>
    <row r="13858" spans="1:3">
      <c r="A13858" s="250">
        <v>32878</v>
      </c>
      <c r="B13858" s="74" t="s">
        <v>6950</v>
      </c>
      <c r="C13858" s="74" t="s">
        <v>420</v>
      </c>
    </row>
    <row r="13859" spans="1:3">
      <c r="A13859" s="250">
        <v>32885</v>
      </c>
      <c r="B13859" s="74" t="s">
        <v>6950</v>
      </c>
      <c r="C13859" s="74" t="s">
        <v>420</v>
      </c>
    </row>
    <row r="13860" spans="1:3">
      <c r="A13860" s="250">
        <v>32886</v>
      </c>
      <c r="B13860" s="74" t="s">
        <v>6950</v>
      </c>
      <c r="C13860" s="74" t="s">
        <v>420</v>
      </c>
    </row>
    <row r="13861" spans="1:3">
      <c r="A13861" s="250">
        <v>32887</v>
      </c>
      <c r="B13861" s="74" t="s">
        <v>6950</v>
      </c>
      <c r="C13861" s="74" t="s">
        <v>420</v>
      </c>
    </row>
    <row r="13862" spans="1:3">
      <c r="A13862" s="250">
        <v>32890</v>
      </c>
      <c r="B13862" s="74" t="s">
        <v>6950</v>
      </c>
      <c r="C13862" s="74" t="s">
        <v>420</v>
      </c>
    </row>
    <row r="13863" spans="1:3">
      <c r="A13863" s="250">
        <v>32891</v>
      </c>
      <c r="B13863" s="74" t="s">
        <v>6950</v>
      </c>
      <c r="C13863" s="74" t="s">
        <v>420</v>
      </c>
    </row>
    <row r="13864" spans="1:3">
      <c r="A13864" s="250">
        <v>32893</v>
      </c>
      <c r="B13864" s="74" t="s">
        <v>6950</v>
      </c>
      <c r="C13864" s="74" t="s">
        <v>420</v>
      </c>
    </row>
    <row r="13865" spans="1:3">
      <c r="A13865" s="250">
        <v>32896</v>
      </c>
      <c r="B13865" s="74" t="s">
        <v>6950</v>
      </c>
      <c r="C13865" s="74" t="s">
        <v>420</v>
      </c>
    </row>
    <row r="13866" spans="1:3">
      <c r="A13866" s="250">
        <v>32897</v>
      </c>
      <c r="B13866" s="74" t="s">
        <v>6950</v>
      </c>
      <c r="C13866" s="74" t="s">
        <v>420</v>
      </c>
    </row>
    <row r="13867" spans="1:3">
      <c r="A13867" s="250">
        <v>32898</v>
      </c>
      <c r="B13867" s="74" t="s">
        <v>6950</v>
      </c>
      <c r="C13867" s="74" t="s">
        <v>420</v>
      </c>
    </row>
    <row r="13868" spans="1:3">
      <c r="A13868" s="250">
        <v>32899</v>
      </c>
      <c r="B13868" s="74" t="s">
        <v>6950</v>
      </c>
      <c r="C13868" s="74" t="s">
        <v>420</v>
      </c>
    </row>
    <row r="13869" spans="1:3">
      <c r="A13869" s="250">
        <v>32901</v>
      </c>
      <c r="B13869" s="74" t="s">
        <v>8393</v>
      </c>
      <c r="C13869" s="74" t="s">
        <v>420</v>
      </c>
    </row>
    <row r="13870" spans="1:3">
      <c r="A13870" s="250">
        <v>32902</v>
      </c>
      <c r="B13870" s="74" t="s">
        <v>8393</v>
      </c>
      <c r="C13870" s="74" t="s">
        <v>420</v>
      </c>
    </row>
    <row r="13871" spans="1:3">
      <c r="A13871" s="250">
        <v>32903</v>
      </c>
      <c r="B13871" s="74" t="s">
        <v>8394</v>
      </c>
      <c r="C13871" s="74" t="s">
        <v>420</v>
      </c>
    </row>
    <row r="13872" spans="1:3">
      <c r="A13872" s="250">
        <v>32904</v>
      </c>
      <c r="B13872" s="74" t="s">
        <v>8393</v>
      </c>
      <c r="C13872" s="74" t="s">
        <v>420</v>
      </c>
    </row>
    <row r="13873" spans="1:3">
      <c r="A13873" s="250">
        <v>32905</v>
      </c>
      <c r="B13873" s="74" t="s">
        <v>8395</v>
      </c>
      <c r="C13873" s="74" t="s">
        <v>420</v>
      </c>
    </row>
    <row r="13874" spans="1:3">
      <c r="A13874" s="250">
        <v>32906</v>
      </c>
      <c r="B13874" s="74" t="s">
        <v>8395</v>
      </c>
      <c r="C13874" s="74" t="s">
        <v>420</v>
      </c>
    </row>
    <row r="13875" spans="1:3">
      <c r="A13875" s="250">
        <v>32907</v>
      </c>
      <c r="B13875" s="74" t="s">
        <v>8395</v>
      </c>
      <c r="C13875" s="74" t="s">
        <v>420</v>
      </c>
    </row>
    <row r="13876" spans="1:3">
      <c r="A13876" s="250">
        <v>32908</v>
      </c>
      <c r="B13876" s="74" t="s">
        <v>8395</v>
      </c>
      <c r="C13876" s="74" t="s">
        <v>420</v>
      </c>
    </row>
    <row r="13877" spans="1:3">
      <c r="A13877" s="250">
        <v>32909</v>
      </c>
      <c r="B13877" s="74" t="s">
        <v>8395</v>
      </c>
      <c r="C13877" s="74" t="s">
        <v>420</v>
      </c>
    </row>
    <row r="13878" spans="1:3">
      <c r="A13878" s="250">
        <v>32910</v>
      </c>
      <c r="B13878" s="74" t="s">
        <v>8395</v>
      </c>
      <c r="C13878" s="74" t="s">
        <v>420</v>
      </c>
    </row>
    <row r="13879" spans="1:3">
      <c r="A13879" s="250">
        <v>32911</v>
      </c>
      <c r="B13879" s="74" t="s">
        <v>8395</v>
      </c>
      <c r="C13879" s="74" t="s">
        <v>420</v>
      </c>
    </row>
    <row r="13880" spans="1:3">
      <c r="A13880" s="250">
        <v>32912</v>
      </c>
      <c r="B13880" s="74" t="s">
        <v>8393</v>
      </c>
      <c r="C13880" s="74" t="s">
        <v>420</v>
      </c>
    </row>
    <row r="13881" spans="1:3">
      <c r="A13881" s="250">
        <v>32919</v>
      </c>
      <c r="B13881" s="74" t="s">
        <v>8393</v>
      </c>
      <c r="C13881" s="74" t="s">
        <v>420</v>
      </c>
    </row>
    <row r="13882" spans="1:3">
      <c r="A13882" s="250">
        <v>32920</v>
      </c>
      <c r="B13882" s="74" t="s">
        <v>8396</v>
      </c>
      <c r="C13882" s="74" t="s">
        <v>420</v>
      </c>
    </row>
    <row r="13883" spans="1:3">
      <c r="A13883" s="250">
        <v>32922</v>
      </c>
      <c r="B13883" s="74" t="s">
        <v>8397</v>
      </c>
      <c r="C13883" s="74" t="s">
        <v>420</v>
      </c>
    </row>
    <row r="13884" spans="1:3">
      <c r="A13884" s="250">
        <v>32923</v>
      </c>
      <c r="B13884" s="74" t="s">
        <v>8397</v>
      </c>
      <c r="C13884" s="74" t="s">
        <v>420</v>
      </c>
    </row>
    <row r="13885" spans="1:3">
      <c r="A13885" s="250">
        <v>32924</v>
      </c>
      <c r="B13885" s="74" t="s">
        <v>8397</v>
      </c>
      <c r="C13885" s="74" t="s">
        <v>420</v>
      </c>
    </row>
    <row r="13886" spans="1:3">
      <c r="A13886" s="250">
        <v>32925</v>
      </c>
      <c r="B13886" s="74" t="s">
        <v>8398</v>
      </c>
      <c r="C13886" s="74" t="s">
        <v>420</v>
      </c>
    </row>
    <row r="13887" spans="1:3">
      <c r="A13887" s="250">
        <v>32926</v>
      </c>
      <c r="B13887" s="74" t="s">
        <v>8397</v>
      </c>
      <c r="C13887" s="74" t="s">
        <v>420</v>
      </c>
    </row>
    <row r="13888" spans="1:3">
      <c r="A13888" s="250">
        <v>32927</v>
      </c>
      <c r="B13888" s="74" t="s">
        <v>8397</v>
      </c>
      <c r="C13888" s="74" t="s">
        <v>420</v>
      </c>
    </row>
    <row r="13889" spans="1:3">
      <c r="A13889" s="250">
        <v>32931</v>
      </c>
      <c r="B13889" s="74" t="s">
        <v>8399</v>
      </c>
      <c r="C13889" s="74" t="s">
        <v>420</v>
      </c>
    </row>
    <row r="13890" spans="1:3">
      <c r="A13890" s="250">
        <v>32932</v>
      </c>
      <c r="B13890" s="74" t="s">
        <v>8399</v>
      </c>
      <c r="C13890" s="74" t="s">
        <v>420</v>
      </c>
    </row>
    <row r="13891" spans="1:3">
      <c r="A13891" s="250">
        <v>32934</v>
      </c>
      <c r="B13891" s="74" t="s">
        <v>8393</v>
      </c>
      <c r="C13891" s="74" t="s">
        <v>420</v>
      </c>
    </row>
    <row r="13892" spans="1:3">
      <c r="A13892" s="250">
        <v>32935</v>
      </c>
      <c r="B13892" s="74" t="s">
        <v>8393</v>
      </c>
      <c r="C13892" s="74" t="s">
        <v>420</v>
      </c>
    </row>
    <row r="13893" spans="1:3">
      <c r="A13893" s="250">
        <v>32936</v>
      </c>
      <c r="B13893" s="74" t="s">
        <v>8393</v>
      </c>
      <c r="C13893" s="74" t="s">
        <v>420</v>
      </c>
    </row>
    <row r="13894" spans="1:3">
      <c r="A13894" s="250">
        <v>32937</v>
      </c>
      <c r="B13894" s="74" t="s">
        <v>8400</v>
      </c>
      <c r="C13894" s="74" t="s">
        <v>420</v>
      </c>
    </row>
    <row r="13895" spans="1:3">
      <c r="A13895" s="250">
        <v>32940</v>
      </c>
      <c r="B13895" s="74" t="s">
        <v>8393</v>
      </c>
      <c r="C13895" s="74" t="s">
        <v>420</v>
      </c>
    </row>
    <row r="13896" spans="1:3">
      <c r="A13896" s="250">
        <v>32941</v>
      </c>
      <c r="B13896" s="74" t="s">
        <v>8393</v>
      </c>
      <c r="C13896" s="74" t="s">
        <v>420</v>
      </c>
    </row>
    <row r="13897" spans="1:3">
      <c r="A13897" s="250">
        <v>32948</v>
      </c>
      <c r="B13897" s="74" t="s">
        <v>8401</v>
      </c>
      <c r="C13897" s="74" t="s">
        <v>420</v>
      </c>
    </row>
    <row r="13898" spans="1:3">
      <c r="A13898" s="250">
        <v>32949</v>
      </c>
      <c r="B13898" s="74" t="s">
        <v>8402</v>
      </c>
      <c r="C13898" s="74" t="s">
        <v>420</v>
      </c>
    </row>
    <row r="13899" spans="1:3">
      <c r="A13899" s="250">
        <v>32950</v>
      </c>
      <c r="B13899" s="74" t="s">
        <v>8403</v>
      </c>
      <c r="C13899" s="74" t="s">
        <v>420</v>
      </c>
    </row>
    <row r="13900" spans="1:3">
      <c r="A13900" s="250">
        <v>32951</v>
      </c>
      <c r="B13900" s="74" t="s">
        <v>8404</v>
      </c>
      <c r="C13900" s="74" t="s">
        <v>420</v>
      </c>
    </row>
    <row r="13901" spans="1:3">
      <c r="A13901" s="250">
        <v>32952</v>
      </c>
      <c r="B13901" s="74" t="s">
        <v>8405</v>
      </c>
      <c r="C13901" s="74" t="s">
        <v>420</v>
      </c>
    </row>
    <row r="13902" spans="1:3">
      <c r="A13902" s="250">
        <v>32953</v>
      </c>
      <c r="B13902" s="74" t="s">
        <v>8405</v>
      </c>
      <c r="C13902" s="74" t="s">
        <v>420</v>
      </c>
    </row>
    <row r="13903" spans="1:3">
      <c r="A13903" s="250">
        <v>32954</v>
      </c>
      <c r="B13903" s="74" t="s">
        <v>8405</v>
      </c>
      <c r="C13903" s="74" t="s">
        <v>420</v>
      </c>
    </row>
    <row r="13904" spans="1:3">
      <c r="A13904" s="250">
        <v>32955</v>
      </c>
      <c r="B13904" s="74" t="s">
        <v>7950</v>
      </c>
      <c r="C13904" s="74" t="s">
        <v>420</v>
      </c>
    </row>
    <row r="13905" spans="1:3">
      <c r="A13905" s="250">
        <v>32956</v>
      </c>
      <c r="B13905" s="74" t="s">
        <v>7950</v>
      </c>
      <c r="C13905" s="74" t="s">
        <v>420</v>
      </c>
    </row>
    <row r="13906" spans="1:3">
      <c r="A13906" s="250">
        <v>32957</v>
      </c>
      <c r="B13906" s="74" t="s">
        <v>2151</v>
      </c>
      <c r="C13906" s="74" t="s">
        <v>420</v>
      </c>
    </row>
    <row r="13907" spans="1:3">
      <c r="A13907" s="250">
        <v>32958</v>
      </c>
      <c r="B13907" s="74" t="s">
        <v>8406</v>
      </c>
      <c r="C13907" s="74" t="s">
        <v>420</v>
      </c>
    </row>
    <row r="13908" spans="1:3">
      <c r="A13908" s="250">
        <v>32959</v>
      </c>
      <c r="B13908" s="74" t="s">
        <v>8407</v>
      </c>
      <c r="C13908" s="74" t="s">
        <v>420</v>
      </c>
    </row>
    <row r="13909" spans="1:3">
      <c r="A13909" s="250">
        <v>32960</v>
      </c>
      <c r="B13909" s="74" t="s">
        <v>8408</v>
      </c>
      <c r="C13909" s="74" t="s">
        <v>420</v>
      </c>
    </row>
    <row r="13910" spans="1:3">
      <c r="A13910" s="250">
        <v>32961</v>
      </c>
      <c r="B13910" s="74" t="s">
        <v>8408</v>
      </c>
      <c r="C13910" s="74" t="s">
        <v>420</v>
      </c>
    </row>
    <row r="13911" spans="1:3">
      <c r="A13911" s="250">
        <v>32962</v>
      </c>
      <c r="B13911" s="74" t="s">
        <v>8408</v>
      </c>
      <c r="C13911" s="74" t="s">
        <v>420</v>
      </c>
    </row>
    <row r="13912" spans="1:3">
      <c r="A13912" s="250">
        <v>32963</v>
      </c>
      <c r="B13912" s="74" t="s">
        <v>8408</v>
      </c>
      <c r="C13912" s="74" t="s">
        <v>420</v>
      </c>
    </row>
    <row r="13913" spans="1:3">
      <c r="A13913" s="250">
        <v>32964</v>
      </c>
      <c r="B13913" s="74" t="s">
        <v>8408</v>
      </c>
      <c r="C13913" s="74" t="s">
        <v>420</v>
      </c>
    </row>
    <row r="13914" spans="1:3">
      <c r="A13914" s="250">
        <v>32965</v>
      </c>
      <c r="B13914" s="74" t="s">
        <v>8408</v>
      </c>
      <c r="C13914" s="74" t="s">
        <v>420</v>
      </c>
    </row>
    <row r="13915" spans="1:3">
      <c r="A13915" s="250">
        <v>32966</v>
      </c>
      <c r="B13915" s="74" t="s">
        <v>8408</v>
      </c>
      <c r="C13915" s="74" t="s">
        <v>420</v>
      </c>
    </row>
    <row r="13916" spans="1:3">
      <c r="A13916" s="250">
        <v>32967</v>
      </c>
      <c r="B13916" s="74" t="s">
        <v>8408</v>
      </c>
      <c r="C13916" s="74" t="s">
        <v>420</v>
      </c>
    </row>
    <row r="13917" spans="1:3">
      <c r="A13917" s="250">
        <v>32968</v>
      </c>
      <c r="B13917" s="74" t="s">
        <v>8408</v>
      </c>
      <c r="C13917" s="74" t="s">
        <v>420</v>
      </c>
    </row>
    <row r="13918" spans="1:3">
      <c r="A13918" s="250">
        <v>32969</v>
      </c>
      <c r="B13918" s="74" t="s">
        <v>8408</v>
      </c>
      <c r="C13918" s="74" t="s">
        <v>420</v>
      </c>
    </row>
    <row r="13919" spans="1:3">
      <c r="A13919" s="250">
        <v>32970</v>
      </c>
      <c r="B13919" s="74" t="s">
        <v>8409</v>
      </c>
      <c r="C13919" s="74" t="s">
        <v>420</v>
      </c>
    </row>
    <row r="13920" spans="1:3">
      <c r="A13920" s="250">
        <v>32971</v>
      </c>
      <c r="B13920" s="74" t="s">
        <v>8410</v>
      </c>
      <c r="C13920" s="74" t="s">
        <v>420</v>
      </c>
    </row>
    <row r="13921" spans="1:3">
      <c r="A13921" s="250">
        <v>32976</v>
      </c>
      <c r="B13921" s="74" t="s">
        <v>8406</v>
      </c>
      <c r="C13921" s="74" t="s">
        <v>420</v>
      </c>
    </row>
    <row r="13922" spans="1:3">
      <c r="A13922" s="250">
        <v>32978</v>
      </c>
      <c r="B13922" s="74" t="s">
        <v>8406</v>
      </c>
      <c r="C13922" s="74" t="s">
        <v>420</v>
      </c>
    </row>
    <row r="13923" spans="1:3">
      <c r="A13923" s="250">
        <v>33001</v>
      </c>
      <c r="B13923" s="74" t="s">
        <v>8411</v>
      </c>
      <c r="C13923" s="74" t="s">
        <v>420</v>
      </c>
    </row>
    <row r="13924" spans="1:3">
      <c r="A13924" s="250">
        <v>33002</v>
      </c>
      <c r="B13924" s="74" t="s">
        <v>8412</v>
      </c>
      <c r="C13924" s="74" t="s">
        <v>420</v>
      </c>
    </row>
    <row r="13925" spans="1:3">
      <c r="A13925" s="250">
        <v>33004</v>
      </c>
      <c r="B13925" s="74" t="s">
        <v>8413</v>
      </c>
      <c r="C13925" s="74" t="s">
        <v>420</v>
      </c>
    </row>
    <row r="13926" spans="1:3">
      <c r="A13926" s="250">
        <v>33008</v>
      </c>
      <c r="B13926" s="74" t="s">
        <v>8414</v>
      </c>
      <c r="C13926" s="74" t="s">
        <v>420</v>
      </c>
    </row>
    <row r="13927" spans="1:3">
      <c r="A13927" s="250">
        <v>33009</v>
      </c>
      <c r="B13927" s="74" t="s">
        <v>8414</v>
      </c>
      <c r="C13927" s="74" t="s">
        <v>420</v>
      </c>
    </row>
    <row r="13928" spans="1:3">
      <c r="A13928" s="250">
        <v>33010</v>
      </c>
      <c r="B13928" s="74" t="s">
        <v>8412</v>
      </c>
      <c r="C13928" s="74" t="s">
        <v>420</v>
      </c>
    </row>
    <row r="13929" spans="1:3">
      <c r="A13929" s="250">
        <v>33011</v>
      </c>
      <c r="B13929" s="74" t="s">
        <v>8412</v>
      </c>
      <c r="C13929" s="74" t="s">
        <v>420</v>
      </c>
    </row>
    <row r="13930" spans="1:3">
      <c r="A13930" s="250">
        <v>33012</v>
      </c>
      <c r="B13930" s="74" t="s">
        <v>8412</v>
      </c>
      <c r="C13930" s="74" t="s">
        <v>420</v>
      </c>
    </row>
    <row r="13931" spans="1:3">
      <c r="A13931" s="250">
        <v>33013</v>
      </c>
      <c r="B13931" s="74" t="s">
        <v>8412</v>
      </c>
      <c r="C13931" s="74" t="s">
        <v>420</v>
      </c>
    </row>
    <row r="13932" spans="1:3">
      <c r="A13932" s="250">
        <v>33014</v>
      </c>
      <c r="B13932" s="74" t="s">
        <v>8412</v>
      </c>
      <c r="C13932" s="74" t="s">
        <v>420</v>
      </c>
    </row>
    <row r="13933" spans="1:3">
      <c r="A13933" s="250">
        <v>33015</v>
      </c>
      <c r="B13933" s="74" t="s">
        <v>8412</v>
      </c>
      <c r="C13933" s="74" t="s">
        <v>420</v>
      </c>
    </row>
    <row r="13934" spans="1:3">
      <c r="A13934" s="250">
        <v>33016</v>
      </c>
      <c r="B13934" s="74" t="s">
        <v>8412</v>
      </c>
      <c r="C13934" s="74" t="s">
        <v>420</v>
      </c>
    </row>
    <row r="13935" spans="1:3">
      <c r="A13935" s="250">
        <v>33017</v>
      </c>
      <c r="B13935" s="74" t="s">
        <v>8412</v>
      </c>
      <c r="C13935" s="74" t="s">
        <v>420</v>
      </c>
    </row>
    <row r="13936" spans="1:3">
      <c r="A13936" s="250">
        <v>33018</v>
      </c>
      <c r="B13936" s="74" t="s">
        <v>8412</v>
      </c>
      <c r="C13936" s="74" t="s">
        <v>420</v>
      </c>
    </row>
    <row r="13937" spans="1:3">
      <c r="A13937" s="250">
        <v>33019</v>
      </c>
      <c r="B13937" s="74" t="s">
        <v>5569</v>
      </c>
      <c r="C13937" s="74" t="s">
        <v>420</v>
      </c>
    </row>
    <row r="13938" spans="1:3">
      <c r="A13938" s="250">
        <v>33020</v>
      </c>
      <c r="B13938" s="74" t="s">
        <v>5569</v>
      </c>
      <c r="C13938" s="74" t="s">
        <v>420</v>
      </c>
    </row>
    <row r="13939" spans="1:3">
      <c r="A13939" s="250">
        <v>33021</v>
      </c>
      <c r="B13939" s="74" t="s">
        <v>5569</v>
      </c>
      <c r="C13939" s="74" t="s">
        <v>420</v>
      </c>
    </row>
    <row r="13940" spans="1:3">
      <c r="A13940" s="250">
        <v>33022</v>
      </c>
      <c r="B13940" s="74" t="s">
        <v>5569</v>
      </c>
      <c r="C13940" s="74" t="s">
        <v>420</v>
      </c>
    </row>
    <row r="13941" spans="1:3">
      <c r="A13941" s="250">
        <v>33023</v>
      </c>
      <c r="B13941" s="74" t="s">
        <v>5569</v>
      </c>
      <c r="C13941" s="74" t="s">
        <v>420</v>
      </c>
    </row>
    <row r="13942" spans="1:3">
      <c r="A13942" s="250">
        <v>33024</v>
      </c>
      <c r="B13942" s="74" t="s">
        <v>5569</v>
      </c>
      <c r="C13942" s="74" t="s">
        <v>420</v>
      </c>
    </row>
    <row r="13943" spans="1:3">
      <c r="A13943" s="250">
        <v>33025</v>
      </c>
      <c r="B13943" s="74" t="s">
        <v>5569</v>
      </c>
      <c r="C13943" s="74" t="s">
        <v>420</v>
      </c>
    </row>
    <row r="13944" spans="1:3">
      <c r="A13944" s="250">
        <v>33026</v>
      </c>
      <c r="B13944" s="74" t="s">
        <v>5569</v>
      </c>
      <c r="C13944" s="74" t="s">
        <v>420</v>
      </c>
    </row>
    <row r="13945" spans="1:3">
      <c r="A13945" s="250">
        <v>33027</v>
      </c>
      <c r="B13945" s="74" t="s">
        <v>5569</v>
      </c>
      <c r="C13945" s="74" t="s">
        <v>420</v>
      </c>
    </row>
    <row r="13946" spans="1:3">
      <c r="A13946" s="250">
        <v>33028</v>
      </c>
      <c r="B13946" s="74" t="s">
        <v>8415</v>
      </c>
      <c r="C13946" s="74" t="s">
        <v>420</v>
      </c>
    </row>
    <row r="13947" spans="1:3">
      <c r="A13947" s="250">
        <v>33029</v>
      </c>
      <c r="B13947" s="74" t="s">
        <v>5569</v>
      </c>
      <c r="C13947" s="74" t="s">
        <v>420</v>
      </c>
    </row>
    <row r="13948" spans="1:3">
      <c r="A13948" s="250">
        <v>33030</v>
      </c>
      <c r="B13948" s="74" t="s">
        <v>4024</v>
      </c>
      <c r="C13948" s="74" t="s">
        <v>420</v>
      </c>
    </row>
    <row r="13949" spans="1:3">
      <c r="A13949" s="250">
        <v>33031</v>
      </c>
      <c r="B13949" s="74" t="s">
        <v>4024</v>
      </c>
      <c r="C13949" s="74" t="s">
        <v>420</v>
      </c>
    </row>
    <row r="13950" spans="1:3">
      <c r="A13950" s="250">
        <v>33032</v>
      </c>
      <c r="B13950" s="74" t="s">
        <v>4024</v>
      </c>
      <c r="C13950" s="74" t="s">
        <v>420</v>
      </c>
    </row>
    <row r="13951" spans="1:3">
      <c r="A13951" s="250">
        <v>33033</v>
      </c>
      <c r="B13951" s="74" t="s">
        <v>4024</v>
      </c>
      <c r="C13951" s="74" t="s">
        <v>420</v>
      </c>
    </row>
    <row r="13952" spans="1:3">
      <c r="A13952" s="250">
        <v>33034</v>
      </c>
      <c r="B13952" s="74" t="s">
        <v>4024</v>
      </c>
      <c r="C13952" s="74" t="s">
        <v>420</v>
      </c>
    </row>
    <row r="13953" spans="1:3">
      <c r="A13953" s="250">
        <v>33035</v>
      </c>
      <c r="B13953" s="74" t="s">
        <v>4024</v>
      </c>
      <c r="C13953" s="74" t="s">
        <v>420</v>
      </c>
    </row>
    <row r="13954" spans="1:3">
      <c r="A13954" s="250">
        <v>33036</v>
      </c>
      <c r="B13954" s="74" t="s">
        <v>8416</v>
      </c>
      <c r="C13954" s="74" t="s">
        <v>420</v>
      </c>
    </row>
    <row r="13955" spans="1:3">
      <c r="A13955" s="250">
        <v>33037</v>
      </c>
      <c r="B13955" s="74" t="s">
        <v>8417</v>
      </c>
      <c r="C13955" s="74" t="s">
        <v>420</v>
      </c>
    </row>
    <row r="13956" spans="1:3">
      <c r="A13956" s="250">
        <v>33039</v>
      </c>
      <c r="B13956" s="74" t="s">
        <v>4024</v>
      </c>
      <c r="C13956" s="74" t="s">
        <v>420</v>
      </c>
    </row>
    <row r="13957" spans="1:3">
      <c r="A13957" s="250">
        <v>33040</v>
      </c>
      <c r="B13957" s="74" t="s">
        <v>8418</v>
      </c>
      <c r="C13957" s="74" t="s">
        <v>420</v>
      </c>
    </row>
    <row r="13958" spans="1:3">
      <c r="A13958" s="250">
        <v>33041</v>
      </c>
      <c r="B13958" s="74" t="s">
        <v>8418</v>
      </c>
      <c r="C13958" s="74" t="s">
        <v>420</v>
      </c>
    </row>
    <row r="13959" spans="1:3">
      <c r="A13959" s="250">
        <v>33042</v>
      </c>
      <c r="B13959" s="74" t="s">
        <v>8419</v>
      </c>
      <c r="C13959" s="74" t="s">
        <v>420</v>
      </c>
    </row>
    <row r="13960" spans="1:3">
      <c r="A13960" s="250">
        <v>33043</v>
      </c>
      <c r="B13960" s="74" t="s">
        <v>8420</v>
      </c>
      <c r="C13960" s="74" t="s">
        <v>420</v>
      </c>
    </row>
    <row r="13961" spans="1:3">
      <c r="A13961" s="250">
        <v>33045</v>
      </c>
      <c r="B13961" s="74" t="s">
        <v>8418</v>
      </c>
      <c r="C13961" s="74" t="s">
        <v>420</v>
      </c>
    </row>
    <row r="13962" spans="1:3">
      <c r="A13962" s="250">
        <v>33050</v>
      </c>
      <c r="B13962" s="74" t="s">
        <v>3630</v>
      </c>
      <c r="C13962" s="74" t="s">
        <v>420</v>
      </c>
    </row>
    <row r="13963" spans="1:3">
      <c r="A13963" s="250">
        <v>33051</v>
      </c>
      <c r="B13963" s="74" t="s">
        <v>8421</v>
      </c>
      <c r="C13963" s="74" t="s">
        <v>420</v>
      </c>
    </row>
    <row r="13964" spans="1:3">
      <c r="A13964" s="250">
        <v>33052</v>
      </c>
      <c r="B13964" s="74" t="s">
        <v>8422</v>
      </c>
      <c r="C13964" s="74" t="s">
        <v>420</v>
      </c>
    </row>
    <row r="13965" spans="1:3">
      <c r="A13965" s="250">
        <v>33054</v>
      </c>
      <c r="B13965" s="74" t="s">
        <v>8423</v>
      </c>
      <c r="C13965" s="74" t="s">
        <v>420</v>
      </c>
    </row>
    <row r="13966" spans="1:3">
      <c r="A13966" s="250">
        <v>33055</v>
      </c>
      <c r="B13966" s="74" t="s">
        <v>8423</v>
      </c>
      <c r="C13966" s="74" t="s">
        <v>420</v>
      </c>
    </row>
    <row r="13967" spans="1:3">
      <c r="A13967" s="250">
        <v>33056</v>
      </c>
      <c r="B13967" s="74" t="s">
        <v>8424</v>
      </c>
      <c r="C13967" s="74" t="s">
        <v>420</v>
      </c>
    </row>
    <row r="13968" spans="1:3">
      <c r="A13968" s="250">
        <v>33060</v>
      </c>
      <c r="B13968" s="74" t="s">
        <v>8425</v>
      </c>
      <c r="C13968" s="74" t="s">
        <v>420</v>
      </c>
    </row>
    <row r="13969" spans="1:3">
      <c r="A13969" s="250">
        <v>33061</v>
      </c>
      <c r="B13969" s="74" t="s">
        <v>8425</v>
      </c>
      <c r="C13969" s="74" t="s">
        <v>420</v>
      </c>
    </row>
    <row r="13970" spans="1:3">
      <c r="A13970" s="250">
        <v>33062</v>
      </c>
      <c r="B13970" s="74" t="s">
        <v>8425</v>
      </c>
      <c r="C13970" s="74" t="s">
        <v>420</v>
      </c>
    </row>
    <row r="13971" spans="1:3">
      <c r="A13971" s="250">
        <v>33063</v>
      </c>
      <c r="B13971" s="74" t="s">
        <v>8425</v>
      </c>
      <c r="C13971" s="74" t="s">
        <v>420</v>
      </c>
    </row>
    <row r="13972" spans="1:3">
      <c r="A13972" s="250">
        <v>33064</v>
      </c>
      <c r="B13972" s="74" t="s">
        <v>8425</v>
      </c>
      <c r="C13972" s="74" t="s">
        <v>420</v>
      </c>
    </row>
    <row r="13973" spans="1:3">
      <c r="A13973" s="250">
        <v>33065</v>
      </c>
      <c r="B13973" s="74" t="s">
        <v>8425</v>
      </c>
      <c r="C13973" s="74" t="s">
        <v>420</v>
      </c>
    </row>
    <row r="13974" spans="1:3">
      <c r="A13974" s="250">
        <v>33066</v>
      </c>
      <c r="B13974" s="74" t="s">
        <v>8425</v>
      </c>
      <c r="C13974" s="74" t="s">
        <v>420</v>
      </c>
    </row>
    <row r="13975" spans="1:3">
      <c r="A13975" s="250">
        <v>33067</v>
      </c>
      <c r="B13975" s="74" t="s">
        <v>8425</v>
      </c>
      <c r="C13975" s="74" t="s">
        <v>420</v>
      </c>
    </row>
    <row r="13976" spans="1:3">
      <c r="A13976" s="250">
        <v>33068</v>
      </c>
      <c r="B13976" s="74" t="s">
        <v>8425</v>
      </c>
      <c r="C13976" s="74" t="s">
        <v>420</v>
      </c>
    </row>
    <row r="13977" spans="1:3">
      <c r="A13977" s="250">
        <v>33069</v>
      </c>
      <c r="B13977" s="74" t="s">
        <v>8425</v>
      </c>
      <c r="C13977" s="74" t="s">
        <v>420</v>
      </c>
    </row>
    <row r="13978" spans="1:3">
      <c r="A13978" s="250">
        <v>33070</v>
      </c>
      <c r="B13978" s="74" t="s">
        <v>8426</v>
      </c>
      <c r="C13978" s="74" t="s">
        <v>420</v>
      </c>
    </row>
    <row r="13979" spans="1:3">
      <c r="A13979" s="250">
        <v>33071</v>
      </c>
      <c r="B13979" s="74" t="s">
        <v>8425</v>
      </c>
      <c r="C13979" s="74" t="s">
        <v>420</v>
      </c>
    </row>
    <row r="13980" spans="1:3">
      <c r="A13980" s="250">
        <v>33072</v>
      </c>
      <c r="B13980" s="74" t="s">
        <v>8425</v>
      </c>
      <c r="C13980" s="74" t="s">
        <v>420</v>
      </c>
    </row>
    <row r="13981" spans="1:3">
      <c r="A13981" s="250">
        <v>33073</v>
      </c>
      <c r="B13981" s="74" t="s">
        <v>8425</v>
      </c>
      <c r="C13981" s="74" t="s">
        <v>420</v>
      </c>
    </row>
    <row r="13982" spans="1:3">
      <c r="A13982" s="250">
        <v>33074</v>
      </c>
      <c r="B13982" s="74" t="s">
        <v>8425</v>
      </c>
      <c r="C13982" s="74" t="s">
        <v>420</v>
      </c>
    </row>
    <row r="13983" spans="1:3">
      <c r="A13983" s="250">
        <v>33075</v>
      </c>
      <c r="B13983" s="74" t="s">
        <v>8427</v>
      </c>
      <c r="C13983" s="74" t="s">
        <v>420</v>
      </c>
    </row>
    <row r="13984" spans="1:3">
      <c r="A13984" s="250">
        <v>33076</v>
      </c>
      <c r="B13984" s="74" t="s">
        <v>8425</v>
      </c>
      <c r="C13984" s="74" t="s">
        <v>420</v>
      </c>
    </row>
    <row r="13985" spans="1:3">
      <c r="A13985" s="250">
        <v>33077</v>
      </c>
      <c r="B13985" s="74" t="s">
        <v>8425</v>
      </c>
      <c r="C13985" s="74" t="s">
        <v>420</v>
      </c>
    </row>
    <row r="13986" spans="1:3">
      <c r="A13986" s="250">
        <v>33081</v>
      </c>
      <c r="B13986" s="74" t="s">
        <v>5569</v>
      </c>
      <c r="C13986" s="74" t="s">
        <v>420</v>
      </c>
    </row>
    <row r="13987" spans="1:3">
      <c r="A13987" s="250">
        <v>33082</v>
      </c>
      <c r="B13987" s="74" t="s">
        <v>8415</v>
      </c>
      <c r="C13987" s="74" t="s">
        <v>420</v>
      </c>
    </row>
    <row r="13988" spans="1:3">
      <c r="A13988" s="250">
        <v>33083</v>
      </c>
      <c r="B13988" s="74" t="s">
        <v>5569</v>
      </c>
      <c r="C13988" s="74" t="s">
        <v>420</v>
      </c>
    </row>
    <row r="13989" spans="1:3">
      <c r="A13989" s="250">
        <v>33084</v>
      </c>
      <c r="B13989" s="74" t="s">
        <v>5569</v>
      </c>
      <c r="C13989" s="74" t="s">
        <v>420</v>
      </c>
    </row>
    <row r="13990" spans="1:3">
      <c r="A13990" s="250">
        <v>33090</v>
      </c>
      <c r="B13990" s="74" t="s">
        <v>4024</v>
      </c>
      <c r="C13990" s="74" t="s">
        <v>420</v>
      </c>
    </row>
    <row r="13991" spans="1:3">
      <c r="A13991" s="250">
        <v>33092</v>
      </c>
      <c r="B13991" s="74" t="s">
        <v>4024</v>
      </c>
      <c r="C13991" s="74" t="s">
        <v>420</v>
      </c>
    </row>
    <row r="13992" spans="1:3">
      <c r="A13992" s="250">
        <v>33093</v>
      </c>
      <c r="B13992" s="74" t="s">
        <v>8428</v>
      </c>
      <c r="C13992" s="74" t="s">
        <v>420</v>
      </c>
    </row>
    <row r="13993" spans="1:3">
      <c r="A13993" s="250">
        <v>33097</v>
      </c>
      <c r="B13993" s="74" t="s">
        <v>8429</v>
      </c>
      <c r="C13993" s="74" t="s">
        <v>420</v>
      </c>
    </row>
    <row r="13994" spans="1:3">
      <c r="A13994" s="250">
        <v>33101</v>
      </c>
      <c r="B13994" s="74" t="s">
        <v>6627</v>
      </c>
      <c r="C13994" s="74" t="s">
        <v>420</v>
      </c>
    </row>
    <row r="13995" spans="1:3">
      <c r="A13995" s="250">
        <v>33102</v>
      </c>
      <c r="B13995" s="74" t="s">
        <v>6627</v>
      </c>
      <c r="C13995" s="74" t="s">
        <v>420</v>
      </c>
    </row>
    <row r="13996" spans="1:3">
      <c r="A13996" s="250">
        <v>33106</v>
      </c>
      <c r="B13996" s="74" t="s">
        <v>6627</v>
      </c>
      <c r="C13996" s="74" t="s">
        <v>420</v>
      </c>
    </row>
    <row r="13997" spans="1:3">
      <c r="A13997" s="250">
        <v>33107</v>
      </c>
      <c r="B13997" s="74" t="s">
        <v>6627</v>
      </c>
      <c r="C13997" s="74" t="s">
        <v>420</v>
      </c>
    </row>
    <row r="13998" spans="1:3">
      <c r="A13998" s="250">
        <v>33109</v>
      </c>
      <c r="B13998" s="74" t="s">
        <v>8430</v>
      </c>
      <c r="C13998" s="74" t="s">
        <v>420</v>
      </c>
    </row>
    <row r="13999" spans="1:3">
      <c r="A13999" s="250">
        <v>33110</v>
      </c>
      <c r="B13999" s="74" t="s">
        <v>6627</v>
      </c>
      <c r="C13999" s="74" t="s">
        <v>420</v>
      </c>
    </row>
    <row r="14000" spans="1:3">
      <c r="A14000" s="250">
        <v>33111</v>
      </c>
      <c r="B14000" s="74" t="s">
        <v>6627</v>
      </c>
      <c r="C14000" s="74" t="s">
        <v>420</v>
      </c>
    </row>
    <row r="14001" spans="1:3">
      <c r="A14001" s="250">
        <v>33112</v>
      </c>
      <c r="B14001" s="74" t="s">
        <v>6627</v>
      </c>
      <c r="C14001" s="74" t="s">
        <v>420</v>
      </c>
    </row>
    <row r="14002" spans="1:3">
      <c r="A14002" s="250">
        <v>33114</v>
      </c>
      <c r="B14002" s="74" t="s">
        <v>8431</v>
      </c>
      <c r="C14002" s="74" t="s">
        <v>420</v>
      </c>
    </row>
    <row r="14003" spans="1:3">
      <c r="A14003" s="250">
        <v>33116</v>
      </c>
      <c r="B14003" s="74" t="s">
        <v>6627</v>
      </c>
      <c r="C14003" s="74" t="s">
        <v>420</v>
      </c>
    </row>
    <row r="14004" spans="1:3">
      <c r="A14004" s="250">
        <v>33119</v>
      </c>
      <c r="B14004" s="74" t="s">
        <v>8430</v>
      </c>
      <c r="C14004" s="74" t="s">
        <v>420</v>
      </c>
    </row>
    <row r="14005" spans="1:3">
      <c r="A14005" s="250">
        <v>33121</v>
      </c>
      <c r="B14005" s="74" t="s">
        <v>6627</v>
      </c>
      <c r="C14005" s="74" t="s">
        <v>420</v>
      </c>
    </row>
    <row r="14006" spans="1:3">
      <c r="A14006" s="250">
        <v>33122</v>
      </c>
      <c r="B14006" s="74" t="s">
        <v>6627</v>
      </c>
      <c r="C14006" s="74" t="s">
        <v>420</v>
      </c>
    </row>
    <row r="14007" spans="1:3">
      <c r="A14007" s="250">
        <v>33124</v>
      </c>
      <c r="B14007" s="74" t="s">
        <v>6627</v>
      </c>
      <c r="C14007" s="74" t="s">
        <v>420</v>
      </c>
    </row>
    <row r="14008" spans="1:3">
      <c r="A14008" s="250">
        <v>33125</v>
      </c>
      <c r="B14008" s="74" t="s">
        <v>6627</v>
      </c>
      <c r="C14008" s="74" t="s">
        <v>420</v>
      </c>
    </row>
    <row r="14009" spans="1:3">
      <c r="A14009" s="250">
        <v>33126</v>
      </c>
      <c r="B14009" s="74" t="s">
        <v>6627</v>
      </c>
      <c r="C14009" s="74" t="s">
        <v>420</v>
      </c>
    </row>
    <row r="14010" spans="1:3">
      <c r="A14010" s="250">
        <v>33127</v>
      </c>
      <c r="B14010" s="74" t="s">
        <v>6627</v>
      </c>
      <c r="C14010" s="74" t="s">
        <v>420</v>
      </c>
    </row>
    <row r="14011" spans="1:3">
      <c r="A14011" s="250">
        <v>33128</v>
      </c>
      <c r="B14011" s="74" t="s">
        <v>6627</v>
      </c>
      <c r="C14011" s="74" t="s">
        <v>420</v>
      </c>
    </row>
    <row r="14012" spans="1:3">
      <c r="A14012" s="250">
        <v>33129</v>
      </c>
      <c r="B14012" s="74" t="s">
        <v>6627</v>
      </c>
      <c r="C14012" s="74" t="s">
        <v>420</v>
      </c>
    </row>
    <row r="14013" spans="1:3">
      <c r="A14013" s="250">
        <v>33130</v>
      </c>
      <c r="B14013" s="74" t="s">
        <v>6627</v>
      </c>
      <c r="C14013" s="74" t="s">
        <v>420</v>
      </c>
    </row>
    <row r="14014" spans="1:3">
      <c r="A14014" s="250">
        <v>33131</v>
      </c>
      <c r="B14014" s="74" t="s">
        <v>6627</v>
      </c>
      <c r="C14014" s="74" t="s">
        <v>420</v>
      </c>
    </row>
    <row r="14015" spans="1:3">
      <c r="A14015" s="250">
        <v>33132</v>
      </c>
      <c r="B14015" s="74" t="s">
        <v>6627</v>
      </c>
      <c r="C14015" s="74" t="s">
        <v>420</v>
      </c>
    </row>
    <row r="14016" spans="1:3">
      <c r="A14016" s="250">
        <v>33133</v>
      </c>
      <c r="B14016" s="74" t="s">
        <v>6627</v>
      </c>
      <c r="C14016" s="74" t="s">
        <v>420</v>
      </c>
    </row>
    <row r="14017" spans="1:3">
      <c r="A14017" s="250">
        <v>33134</v>
      </c>
      <c r="B14017" s="74" t="s">
        <v>6627</v>
      </c>
      <c r="C14017" s="74" t="s">
        <v>420</v>
      </c>
    </row>
    <row r="14018" spans="1:3">
      <c r="A14018" s="250">
        <v>33135</v>
      </c>
      <c r="B14018" s="74" t="s">
        <v>6627</v>
      </c>
      <c r="C14018" s="74" t="s">
        <v>420</v>
      </c>
    </row>
    <row r="14019" spans="1:3">
      <c r="A14019" s="250">
        <v>33136</v>
      </c>
      <c r="B14019" s="74" t="s">
        <v>6627</v>
      </c>
      <c r="C14019" s="74" t="s">
        <v>420</v>
      </c>
    </row>
    <row r="14020" spans="1:3">
      <c r="A14020" s="250">
        <v>33137</v>
      </c>
      <c r="B14020" s="74" t="s">
        <v>6627</v>
      </c>
      <c r="C14020" s="74" t="s">
        <v>420</v>
      </c>
    </row>
    <row r="14021" spans="1:3">
      <c r="A14021" s="250">
        <v>33138</v>
      </c>
      <c r="B14021" s="74" t="s">
        <v>6627</v>
      </c>
      <c r="C14021" s="74" t="s">
        <v>420</v>
      </c>
    </row>
    <row r="14022" spans="1:3">
      <c r="A14022" s="250">
        <v>33139</v>
      </c>
      <c r="B14022" s="74" t="s">
        <v>8430</v>
      </c>
      <c r="C14022" s="74" t="s">
        <v>420</v>
      </c>
    </row>
    <row r="14023" spans="1:3">
      <c r="A14023" s="250">
        <v>33140</v>
      </c>
      <c r="B14023" s="74" t="s">
        <v>8430</v>
      </c>
      <c r="C14023" s="74" t="s">
        <v>420</v>
      </c>
    </row>
    <row r="14024" spans="1:3">
      <c r="A14024" s="250">
        <v>33141</v>
      </c>
      <c r="B14024" s="74" t="s">
        <v>8430</v>
      </c>
      <c r="C14024" s="74" t="s">
        <v>420</v>
      </c>
    </row>
    <row r="14025" spans="1:3">
      <c r="A14025" s="250">
        <v>33142</v>
      </c>
      <c r="B14025" s="74" t="s">
        <v>6627</v>
      </c>
      <c r="C14025" s="74" t="s">
        <v>420</v>
      </c>
    </row>
    <row r="14026" spans="1:3">
      <c r="A14026" s="250">
        <v>33143</v>
      </c>
      <c r="B14026" s="74" t="s">
        <v>6627</v>
      </c>
      <c r="C14026" s="74" t="s">
        <v>420</v>
      </c>
    </row>
    <row r="14027" spans="1:3">
      <c r="A14027" s="250">
        <v>33144</v>
      </c>
      <c r="B14027" s="74" t="s">
        <v>6627</v>
      </c>
      <c r="C14027" s="74" t="s">
        <v>420</v>
      </c>
    </row>
    <row r="14028" spans="1:3">
      <c r="A14028" s="250">
        <v>33145</v>
      </c>
      <c r="B14028" s="74" t="s">
        <v>6627</v>
      </c>
      <c r="C14028" s="74" t="s">
        <v>420</v>
      </c>
    </row>
    <row r="14029" spans="1:3">
      <c r="A14029" s="250">
        <v>33146</v>
      </c>
      <c r="B14029" s="74" t="s">
        <v>6627</v>
      </c>
      <c r="C14029" s="74" t="s">
        <v>420</v>
      </c>
    </row>
    <row r="14030" spans="1:3">
      <c r="A14030" s="250">
        <v>33147</v>
      </c>
      <c r="B14030" s="74" t="s">
        <v>6627</v>
      </c>
      <c r="C14030" s="74" t="s">
        <v>420</v>
      </c>
    </row>
    <row r="14031" spans="1:3">
      <c r="A14031" s="250">
        <v>33148</v>
      </c>
      <c r="B14031" s="74" t="s">
        <v>6627</v>
      </c>
      <c r="C14031" s="74" t="s">
        <v>420</v>
      </c>
    </row>
    <row r="14032" spans="1:3">
      <c r="A14032" s="250">
        <v>33149</v>
      </c>
      <c r="B14032" s="74" t="s">
        <v>8432</v>
      </c>
      <c r="C14032" s="74" t="s">
        <v>420</v>
      </c>
    </row>
    <row r="14033" spans="1:3">
      <c r="A14033" s="250">
        <v>33150</v>
      </c>
      <c r="B14033" s="74" t="s">
        <v>6627</v>
      </c>
      <c r="C14033" s="74" t="s">
        <v>420</v>
      </c>
    </row>
    <row r="14034" spans="1:3">
      <c r="A14034" s="250">
        <v>33151</v>
      </c>
      <c r="B14034" s="74" t="s">
        <v>6627</v>
      </c>
      <c r="C14034" s="74" t="s">
        <v>420</v>
      </c>
    </row>
    <row r="14035" spans="1:3">
      <c r="A14035" s="250">
        <v>33152</v>
      </c>
      <c r="B14035" s="74" t="s">
        <v>6627</v>
      </c>
      <c r="C14035" s="74" t="s">
        <v>420</v>
      </c>
    </row>
    <row r="14036" spans="1:3">
      <c r="A14036" s="250">
        <v>33153</v>
      </c>
      <c r="B14036" s="74" t="s">
        <v>6627</v>
      </c>
      <c r="C14036" s="74" t="s">
        <v>420</v>
      </c>
    </row>
    <row r="14037" spans="1:3">
      <c r="A14037" s="250">
        <v>33154</v>
      </c>
      <c r="B14037" s="74" t="s">
        <v>8430</v>
      </c>
      <c r="C14037" s="74" t="s">
        <v>420</v>
      </c>
    </row>
    <row r="14038" spans="1:3">
      <c r="A14038" s="250">
        <v>33155</v>
      </c>
      <c r="B14038" s="74" t="s">
        <v>6627</v>
      </c>
      <c r="C14038" s="74" t="s">
        <v>420</v>
      </c>
    </row>
    <row r="14039" spans="1:3">
      <c r="A14039" s="250">
        <v>33156</v>
      </c>
      <c r="B14039" s="74" t="s">
        <v>6627</v>
      </c>
      <c r="C14039" s="74" t="s">
        <v>420</v>
      </c>
    </row>
    <row r="14040" spans="1:3">
      <c r="A14040" s="250">
        <v>33157</v>
      </c>
      <c r="B14040" s="74" t="s">
        <v>6627</v>
      </c>
      <c r="C14040" s="74" t="s">
        <v>420</v>
      </c>
    </row>
    <row r="14041" spans="1:3">
      <c r="A14041" s="250">
        <v>33158</v>
      </c>
      <c r="B14041" s="74" t="s">
        <v>6627</v>
      </c>
      <c r="C14041" s="74" t="s">
        <v>420</v>
      </c>
    </row>
    <row r="14042" spans="1:3">
      <c r="A14042" s="250">
        <v>33159</v>
      </c>
      <c r="B14042" s="74" t="s">
        <v>6627</v>
      </c>
      <c r="C14042" s="74" t="s">
        <v>420</v>
      </c>
    </row>
    <row r="14043" spans="1:3">
      <c r="A14043" s="250">
        <v>33160</v>
      </c>
      <c r="B14043" s="74" t="s">
        <v>8433</v>
      </c>
      <c r="C14043" s="74" t="s">
        <v>420</v>
      </c>
    </row>
    <row r="14044" spans="1:3">
      <c r="A14044" s="250">
        <v>33161</v>
      </c>
      <c r="B14044" s="74" t="s">
        <v>6627</v>
      </c>
      <c r="C14044" s="74" t="s">
        <v>420</v>
      </c>
    </row>
    <row r="14045" spans="1:3">
      <c r="A14045" s="250">
        <v>33162</v>
      </c>
      <c r="B14045" s="74" t="s">
        <v>6627</v>
      </c>
      <c r="C14045" s="74" t="s">
        <v>420</v>
      </c>
    </row>
    <row r="14046" spans="1:3">
      <c r="A14046" s="250">
        <v>33163</v>
      </c>
      <c r="B14046" s="74" t="s">
        <v>6627</v>
      </c>
      <c r="C14046" s="74" t="s">
        <v>420</v>
      </c>
    </row>
    <row r="14047" spans="1:3">
      <c r="A14047" s="250">
        <v>33164</v>
      </c>
      <c r="B14047" s="74" t="s">
        <v>6627</v>
      </c>
      <c r="C14047" s="74" t="s">
        <v>420</v>
      </c>
    </row>
    <row r="14048" spans="1:3">
      <c r="A14048" s="250">
        <v>33165</v>
      </c>
      <c r="B14048" s="74" t="s">
        <v>6627</v>
      </c>
      <c r="C14048" s="74" t="s">
        <v>420</v>
      </c>
    </row>
    <row r="14049" spans="1:3">
      <c r="A14049" s="250">
        <v>33166</v>
      </c>
      <c r="B14049" s="74" t="s">
        <v>6627</v>
      </c>
      <c r="C14049" s="74" t="s">
        <v>420</v>
      </c>
    </row>
    <row r="14050" spans="1:3">
      <c r="A14050" s="250">
        <v>33167</v>
      </c>
      <c r="B14050" s="74" t="s">
        <v>6627</v>
      </c>
      <c r="C14050" s="74" t="s">
        <v>420</v>
      </c>
    </row>
    <row r="14051" spans="1:3">
      <c r="A14051" s="250">
        <v>33168</v>
      </c>
      <c r="B14051" s="74" t="s">
        <v>6627</v>
      </c>
      <c r="C14051" s="74" t="s">
        <v>420</v>
      </c>
    </row>
    <row r="14052" spans="1:3">
      <c r="A14052" s="250">
        <v>33169</v>
      </c>
      <c r="B14052" s="74" t="s">
        <v>6627</v>
      </c>
      <c r="C14052" s="74" t="s">
        <v>420</v>
      </c>
    </row>
    <row r="14053" spans="1:3">
      <c r="A14053" s="250">
        <v>33170</v>
      </c>
      <c r="B14053" s="74" t="s">
        <v>6627</v>
      </c>
      <c r="C14053" s="74" t="s">
        <v>420</v>
      </c>
    </row>
    <row r="14054" spans="1:3">
      <c r="A14054" s="250">
        <v>33172</v>
      </c>
      <c r="B14054" s="74" t="s">
        <v>6627</v>
      </c>
      <c r="C14054" s="74" t="s">
        <v>420</v>
      </c>
    </row>
    <row r="14055" spans="1:3">
      <c r="A14055" s="250">
        <v>33173</v>
      </c>
      <c r="B14055" s="74" t="s">
        <v>6627</v>
      </c>
      <c r="C14055" s="74" t="s">
        <v>420</v>
      </c>
    </row>
    <row r="14056" spans="1:3">
      <c r="A14056" s="250">
        <v>33174</v>
      </c>
      <c r="B14056" s="74" t="s">
        <v>6627</v>
      </c>
      <c r="C14056" s="74" t="s">
        <v>420</v>
      </c>
    </row>
    <row r="14057" spans="1:3">
      <c r="A14057" s="250">
        <v>33175</v>
      </c>
      <c r="B14057" s="74" t="s">
        <v>6627</v>
      </c>
      <c r="C14057" s="74" t="s">
        <v>420</v>
      </c>
    </row>
    <row r="14058" spans="1:3">
      <c r="A14058" s="250">
        <v>33176</v>
      </c>
      <c r="B14058" s="74" t="s">
        <v>6627</v>
      </c>
      <c r="C14058" s="74" t="s">
        <v>420</v>
      </c>
    </row>
    <row r="14059" spans="1:3">
      <c r="A14059" s="250">
        <v>33177</v>
      </c>
      <c r="B14059" s="74" t="s">
        <v>6627</v>
      </c>
      <c r="C14059" s="74" t="s">
        <v>420</v>
      </c>
    </row>
    <row r="14060" spans="1:3">
      <c r="A14060" s="250">
        <v>33178</v>
      </c>
      <c r="B14060" s="74" t="s">
        <v>6627</v>
      </c>
      <c r="C14060" s="74" t="s">
        <v>420</v>
      </c>
    </row>
    <row r="14061" spans="1:3">
      <c r="A14061" s="250">
        <v>33179</v>
      </c>
      <c r="B14061" s="74" t="s">
        <v>6627</v>
      </c>
      <c r="C14061" s="74" t="s">
        <v>420</v>
      </c>
    </row>
    <row r="14062" spans="1:3">
      <c r="A14062" s="250">
        <v>33180</v>
      </c>
      <c r="B14062" s="74" t="s">
        <v>6627</v>
      </c>
      <c r="C14062" s="74" t="s">
        <v>420</v>
      </c>
    </row>
    <row r="14063" spans="1:3">
      <c r="A14063" s="250">
        <v>33181</v>
      </c>
      <c r="B14063" s="74" t="s">
        <v>6627</v>
      </c>
      <c r="C14063" s="74" t="s">
        <v>420</v>
      </c>
    </row>
    <row r="14064" spans="1:3">
      <c r="A14064" s="250">
        <v>33182</v>
      </c>
      <c r="B14064" s="74" t="s">
        <v>6627</v>
      </c>
      <c r="C14064" s="74" t="s">
        <v>420</v>
      </c>
    </row>
    <row r="14065" spans="1:3">
      <c r="A14065" s="250">
        <v>33183</v>
      </c>
      <c r="B14065" s="74" t="s">
        <v>6627</v>
      </c>
      <c r="C14065" s="74" t="s">
        <v>420</v>
      </c>
    </row>
    <row r="14066" spans="1:3">
      <c r="A14066" s="250">
        <v>33184</v>
      </c>
      <c r="B14066" s="74" t="s">
        <v>6627</v>
      </c>
      <c r="C14066" s="74" t="s">
        <v>420</v>
      </c>
    </row>
    <row r="14067" spans="1:3">
      <c r="A14067" s="250">
        <v>33185</v>
      </c>
      <c r="B14067" s="74" t="s">
        <v>6627</v>
      </c>
      <c r="C14067" s="74" t="s">
        <v>420</v>
      </c>
    </row>
    <row r="14068" spans="1:3">
      <c r="A14068" s="250">
        <v>33186</v>
      </c>
      <c r="B14068" s="74" t="s">
        <v>6627</v>
      </c>
      <c r="C14068" s="74" t="s">
        <v>420</v>
      </c>
    </row>
    <row r="14069" spans="1:3">
      <c r="A14069" s="250">
        <v>33187</v>
      </c>
      <c r="B14069" s="74" t="s">
        <v>6627</v>
      </c>
      <c r="C14069" s="74" t="s">
        <v>420</v>
      </c>
    </row>
    <row r="14070" spans="1:3">
      <c r="A14070" s="250">
        <v>33188</v>
      </c>
      <c r="B14070" s="74" t="s">
        <v>6627</v>
      </c>
      <c r="C14070" s="74" t="s">
        <v>420</v>
      </c>
    </row>
    <row r="14071" spans="1:3">
      <c r="A14071" s="250">
        <v>33189</v>
      </c>
      <c r="B14071" s="74" t="s">
        <v>6627</v>
      </c>
      <c r="C14071" s="74" t="s">
        <v>420</v>
      </c>
    </row>
    <row r="14072" spans="1:3">
      <c r="A14072" s="250">
        <v>33190</v>
      </c>
      <c r="B14072" s="74" t="s">
        <v>6627</v>
      </c>
      <c r="C14072" s="74" t="s">
        <v>420</v>
      </c>
    </row>
    <row r="14073" spans="1:3">
      <c r="A14073" s="250">
        <v>33193</v>
      </c>
      <c r="B14073" s="74" t="s">
        <v>6627</v>
      </c>
      <c r="C14073" s="74" t="s">
        <v>420</v>
      </c>
    </row>
    <row r="14074" spans="1:3">
      <c r="A14074" s="250">
        <v>33194</v>
      </c>
      <c r="B14074" s="74" t="s">
        <v>6627</v>
      </c>
      <c r="C14074" s="74" t="s">
        <v>420</v>
      </c>
    </row>
    <row r="14075" spans="1:3">
      <c r="A14075" s="250">
        <v>33195</v>
      </c>
      <c r="B14075" s="74" t="s">
        <v>6627</v>
      </c>
      <c r="C14075" s="74" t="s">
        <v>420</v>
      </c>
    </row>
    <row r="14076" spans="1:3">
      <c r="A14076" s="250">
        <v>33196</v>
      </c>
      <c r="B14076" s="74" t="s">
        <v>6627</v>
      </c>
      <c r="C14076" s="74" t="s">
        <v>420</v>
      </c>
    </row>
    <row r="14077" spans="1:3">
      <c r="A14077" s="250">
        <v>33197</v>
      </c>
      <c r="B14077" s="74" t="s">
        <v>6627</v>
      </c>
      <c r="C14077" s="74" t="s">
        <v>420</v>
      </c>
    </row>
    <row r="14078" spans="1:3">
      <c r="A14078" s="250">
        <v>33199</v>
      </c>
      <c r="B14078" s="74" t="s">
        <v>6627</v>
      </c>
      <c r="C14078" s="74" t="s">
        <v>420</v>
      </c>
    </row>
    <row r="14079" spans="1:3">
      <c r="A14079" s="250">
        <v>33206</v>
      </c>
      <c r="B14079" s="74" t="s">
        <v>6627</v>
      </c>
      <c r="C14079" s="74" t="s">
        <v>420</v>
      </c>
    </row>
    <row r="14080" spans="1:3">
      <c r="A14080" s="250">
        <v>33222</v>
      </c>
      <c r="B14080" s="74" t="s">
        <v>6627</v>
      </c>
      <c r="C14080" s="74" t="s">
        <v>420</v>
      </c>
    </row>
    <row r="14081" spans="1:3">
      <c r="A14081" s="250">
        <v>33231</v>
      </c>
      <c r="B14081" s="74" t="s">
        <v>6627</v>
      </c>
      <c r="C14081" s="74" t="s">
        <v>420</v>
      </c>
    </row>
    <row r="14082" spans="1:3">
      <c r="A14082" s="250">
        <v>33233</v>
      </c>
      <c r="B14082" s="74" t="s">
        <v>6627</v>
      </c>
      <c r="C14082" s="74" t="s">
        <v>420</v>
      </c>
    </row>
    <row r="14083" spans="1:3">
      <c r="A14083" s="250">
        <v>33234</v>
      </c>
      <c r="B14083" s="74" t="s">
        <v>6627</v>
      </c>
      <c r="C14083" s="74" t="s">
        <v>420</v>
      </c>
    </row>
    <row r="14084" spans="1:3">
      <c r="A14084" s="250">
        <v>33238</v>
      </c>
      <c r="B14084" s="74" t="s">
        <v>6627</v>
      </c>
      <c r="C14084" s="74" t="s">
        <v>420</v>
      </c>
    </row>
    <row r="14085" spans="1:3">
      <c r="A14085" s="250">
        <v>33239</v>
      </c>
      <c r="B14085" s="74" t="s">
        <v>8430</v>
      </c>
      <c r="C14085" s="74" t="s">
        <v>420</v>
      </c>
    </row>
    <row r="14086" spans="1:3">
      <c r="A14086" s="250">
        <v>33242</v>
      </c>
      <c r="B14086" s="74" t="s">
        <v>6627</v>
      </c>
      <c r="C14086" s="74" t="s">
        <v>420</v>
      </c>
    </row>
    <row r="14087" spans="1:3">
      <c r="A14087" s="250">
        <v>33243</v>
      </c>
      <c r="B14087" s="74" t="s">
        <v>6627</v>
      </c>
      <c r="C14087" s="74" t="s">
        <v>420</v>
      </c>
    </row>
    <row r="14088" spans="1:3">
      <c r="A14088" s="250">
        <v>33245</v>
      </c>
      <c r="B14088" s="74" t="s">
        <v>6627</v>
      </c>
      <c r="C14088" s="74" t="s">
        <v>420</v>
      </c>
    </row>
    <row r="14089" spans="1:3">
      <c r="A14089" s="250">
        <v>33247</v>
      </c>
      <c r="B14089" s="74" t="s">
        <v>6627</v>
      </c>
      <c r="C14089" s="74" t="s">
        <v>420</v>
      </c>
    </row>
    <row r="14090" spans="1:3">
      <c r="A14090" s="250">
        <v>33255</v>
      </c>
      <c r="B14090" s="74" t="s">
        <v>6627</v>
      </c>
      <c r="C14090" s="74" t="s">
        <v>420</v>
      </c>
    </row>
    <row r="14091" spans="1:3">
      <c r="A14091" s="250">
        <v>33256</v>
      </c>
      <c r="B14091" s="74" t="s">
        <v>6627</v>
      </c>
      <c r="C14091" s="74" t="s">
        <v>420</v>
      </c>
    </row>
    <row r="14092" spans="1:3">
      <c r="A14092" s="250">
        <v>33257</v>
      </c>
      <c r="B14092" s="74" t="s">
        <v>6627</v>
      </c>
      <c r="C14092" s="74" t="s">
        <v>420</v>
      </c>
    </row>
    <row r="14093" spans="1:3">
      <c r="A14093" s="250">
        <v>33261</v>
      </c>
      <c r="B14093" s="74" t="s">
        <v>6627</v>
      </c>
      <c r="C14093" s="74" t="s">
        <v>420</v>
      </c>
    </row>
    <row r="14094" spans="1:3">
      <c r="A14094" s="250">
        <v>33265</v>
      </c>
      <c r="B14094" s="74" t="s">
        <v>6627</v>
      </c>
      <c r="C14094" s="74" t="s">
        <v>420</v>
      </c>
    </row>
    <row r="14095" spans="1:3">
      <c r="A14095" s="250">
        <v>33266</v>
      </c>
      <c r="B14095" s="74" t="s">
        <v>6627</v>
      </c>
      <c r="C14095" s="74" t="s">
        <v>420</v>
      </c>
    </row>
    <row r="14096" spans="1:3">
      <c r="A14096" s="250">
        <v>33269</v>
      </c>
      <c r="B14096" s="74" t="s">
        <v>6627</v>
      </c>
      <c r="C14096" s="74" t="s">
        <v>420</v>
      </c>
    </row>
    <row r="14097" spans="1:3">
      <c r="A14097" s="250">
        <v>33280</v>
      </c>
      <c r="B14097" s="74" t="s">
        <v>6627</v>
      </c>
      <c r="C14097" s="74" t="s">
        <v>420</v>
      </c>
    </row>
    <row r="14098" spans="1:3">
      <c r="A14098" s="250">
        <v>33283</v>
      </c>
      <c r="B14098" s="74" t="s">
        <v>6627</v>
      </c>
      <c r="C14098" s="74" t="s">
        <v>420</v>
      </c>
    </row>
    <row r="14099" spans="1:3">
      <c r="A14099" s="250">
        <v>33296</v>
      </c>
      <c r="B14099" s="74" t="s">
        <v>6627</v>
      </c>
      <c r="C14099" s="74" t="s">
        <v>420</v>
      </c>
    </row>
    <row r="14100" spans="1:3">
      <c r="A14100" s="250">
        <v>33299</v>
      </c>
      <c r="B14100" s="74" t="s">
        <v>6627</v>
      </c>
      <c r="C14100" s="74" t="s">
        <v>420</v>
      </c>
    </row>
    <row r="14101" spans="1:3">
      <c r="A14101" s="250">
        <v>33301</v>
      </c>
      <c r="B14101" s="74" t="s">
        <v>8434</v>
      </c>
      <c r="C14101" s="74" t="s">
        <v>420</v>
      </c>
    </row>
    <row r="14102" spans="1:3">
      <c r="A14102" s="250">
        <v>33302</v>
      </c>
      <c r="B14102" s="74" t="s">
        <v>8434</v>
      </c>
      <c r="C14102" s="74" t="s">
        <v>420</v>
      </c>
    </row>
    <row r="14103" spans="1:3">
      <c r="A14103" s="250">
        <v>33303</v>
      </c>
      <c r="B14103" s="74" t="s">
        <v>8434</v>
      </c>
      <c r="C14103" s="74" t="s">
        <v>420</v>
      </c>
    </row>
    <row r="14104" spans="1:3">
      <c r="A14104" s="250">
        <v>33304</v>
      </c>
      <c r="B14104" s="74" t="s">
        <v>8434</v>
      </c>
      <c r="C14104" s="74" t="s">
        <v>420</v>
      </c>
    </row>
    <row r="14105" spans="1:3">
      <c r="A14105" s="250">
        <v>33305</v>
      </c>
      <c r="B14105" s="74" t="s">
        <v>8434</v>
      </c>
      <c r="C14105" s="74" t="s">
        <v>420</v>
      </c>
    </row>
    <row r="14106" spans="1:3">
      <c r="A14106" s="250">
        <v>33306</v>
      </c>
      <c r="B14106" s="74" t="s">
        <v>8434</v>
      </c>
      <c r="C14106" s="74" t="s">
        <v>420</v>
      </c>
    </row>
    <row r="14107" spans="1:3">
      <c r="A14107" s="250">
        <v>33307</v>
      </c>
      <c r="B14107" s="74" t="s">
        <v>8434</v>
      </c>
      <c r="C14107" s="74" t="s">
        <v>420</v>
      </c>
    </row>
    <row r="14108" spans="1:3">
      <c r="A14108" s="250">
        <v>33308</v>
      </c>
      <c r="B14108" s="74" t="s">
        <v>8434</v>
      </c>
      <c r="C14108" s="74" t="s">
        <v>420</v>
      </c>
    </row>
    <row r="14109" spans="1:3">
      <c r="A14109" s="250">
        <v>33309</v>
      </c>
      <c r="B14109" s="74" t="s">
        <v>8434</v>
      </c>
      <c r="C14109" s="74" t="s">
        <v>420</v>
      </c>
    </row>
    <row r="14110" spans="1:3">
      <c r="A14110" s="250">
        <v>33310</v>
      </c>
      <c r="B14110" s="74" t="s">
        <v>8434</v>
      </c>
      <c r="C14110" s="74" t="s">
        <v>420</v>
      </c>
    </row>
    <row r="14111" spans="1:3">
      <c r="A14111" s="250">
        <v>33311</v>
      </c>
      <c r="B14111" s="74" t="s">
        <v>8434</v>
      </c>
      <c r="C14111" s="74" t="s">
        <v>420</v>
      </c>
    </row>
    <row r="14112" spans="1:3">
      <c r="A14112" s="250">
        <v>33312</v>
      </c>
      <c r="B14112" s="74" t="s">
        <v>8434</v>
      </c>
      <c r="C14112" s="74" t="s">
        <v>420</v>
      </c>
    </row>
    <row r="14113" spans="1:3">
      <c r="A14113" s="250">
        <v>33313</v>
      </c>
      <c r="B14113" s="74" t="s">
        <v>8434</v>
      </c>
      <c r="C14113" s="74" t="s">
        <v>420</v>
      </c>
    </row>
    <row r="14114" spans="1:3">
      <c r="A14114" s="250">
        <v>33314</v>
      </c>
      <c r="B14114" s="74" t="s">
        <v>8434</v>
      </c>
      <c r="C14114" s="74" t="s">
        <v>420</v>
      </c>
    </row>
    <row r="14115" spans="1:3">
      <c r="A14115" s="250">
        <v>33315</v>
      </c>
      <c r="B14115" s="74" t="s">
        <v>8434</v>
      </c>
      <c r="C14115" s="74" t="s">
        <v>420</v>
      </c>
    </row>
    <row r="14116" spans="1:3">
      <c r="A14116" s="250">
        <v>33316</v>
      </c>
      <c r="B14116" s="74" t="s">
        <v>8434</v>
      </c>
      <c r="C14116" s="74" t="s">
        <v>420</v>
      </c>
    </row>
    <row r="14117" spans="1:3">
      <c r="A14117" s="250">
        <v>33317</v>
      </c>
      <c r="B14117" s="74" t="s">
        <v>8434</v>
      </c>
      <c r="C14117" s="74" t="s">
        <v>420</v>
      </c>
    </row>
    <row r="14118" spans="1:3">
      <c r="A14118" s="250">
        <v>33318</v>
      </c>
      <c r="B14118" s="74" t="s">
        <v>8434</v>
      </c>
      <c r="C14118" s="74" t="s">
        <v>420</v>
      </c>
    </row>
    <row r="14119" spans="1:3">
      <c r="A14119" s="250">
        <v>33319</v>
      </c>
      <c r="B14119" s="74" t="s">
        <v>8434</v>
      </c>
      <c r="C14119" s="74" t="s">
        <v>420</v>
      </c>
    </row>
    <row r="14120" spans="1:3">
      <c r="A14120" s="250">
        <v>33320</v>
      </c>
      <c r="B14120" s="74" t="s">
        <v>8434</v>
      </c>
      <c r="C14120" s="74" t="s">
        <v>420</v>
      </c>
    </row>
    <row r="14121" spans="1:3">
      <c r="A14121" s="250">
        <v>33321</v>
      </c>
      <c r="B14121" s="74" t="s">
        <v>8434</v>
      </c>
      <c r="C14121" s="74" t="s">
        <v>420</v>
      </c>
    </row>
    <row r="14122" spans="1:3">
      <c r="A14122" s="250">
        <v>33322</v>
      </c>
      <c r="B14122" s="74" t="s">
        <v>8434</v>
      </c>
      <c r="C14122" s="74" t="s">
        <v>420</v>
      </c>
    </row>
    <row r="14123" spans="1:3">
      <c r="A14123" s="250">
        <v>33323</v>
      </c>
      <c r="B14123" s="74" t="s">
        <v>8434</v>
      </c>
      <c r="C14123" s="74" t="s">
        <v>420</v>
      </c>
    </row>
    <row r="14124" spans="1:3">
      <c r="A14124" s="250">
        <v>33324</v>
      </c>
      <c r="B14124" s="74" t="s">
        <v>8434</v>
      </c>
      <c r="C14124" s="74" t="s">
        <v>420</v>
      </c>
    </row>
    <row r="14125" spans="1:3">
      <c r="A14125" s="250">
        <v>33325</v>
      </c>
      <c r="B14125" s="74" t="s">
        <v>8434</v>
      </c>
      <c r="C14125" s="74" t="s">
        <v>420</v>
      </c>
    </row>
    <row r="14126" spans="1:3">
      <c r="A14126" s="250">
        <v>33326</v>
      </c>
      <c r="B14126" s="74" t="s">
        <v>8434</v>
      </c>
      <c r="C14126" s="74" t="s">
        <v>420</v>
      </c>
    </row>
    <row r="14127" spans="1:3">
      <c r="A14127" s="250">
        <v>33327</v>
      </c>
      <c r="B14127" s="74" t="s">
        <v>8434</v>
      </c>
      <c r="C14127" s="74" t="s">
        <v>420</v>
      </c>
    </row>
    <row r="14128" spans="1:3">
      <c r="A14128" s="250">
        <v>33328</v>
      </c>
      <c r="B14128" s="74" t="s">
        <v>8434</v>
      </c>
      <c r="C14128" s="74" t="s">
        <v>420</v>
      </c>
    </row>
    <row r="14129" spans="1:3">
      <c r="A14129" s="250">
        <v>33329</v>
      </c>
      <c r="B14129" s="74" t="s">
        <v>8434</v>
      </c>
      <c r="C14129" s="74" t="s">
        <v>420</v>
      </c>
    </row>
    <row r="14130" spans="1:3">
      <c r="A14130" s="250">
        <v>33330</v>
      </c>
      <c r="B14130" s="74" t="s">
        <v>8434</v>
      </c>
      <c r="C14130" s="74" t="s">
        <v>420</v>
      </c>
    </row>
    <row r="14131" spans="1:3">
      <c r="A14131" s="250">
        <v>33331</v>
      </c>
      <c r="B14131" s="74" t="s">
        <v>8434</v>
      </c>
      <c r="C14131" s="74" t="s">
        <v>420</v>
      </c>
    </row>
    <row r="14132" spans="1:3">
      <c r="A14132" s="250">
        <v>33332</v>
      </c>
      <c r="B14132" s="74" t="s">
        <v>8434</v>
      </c>
      <c r="C14132" s="74" t="s">
        <v>420</v>
      </c>
    </row>
    <row r="14133" spans="1:3">
      <c r="A14133" s="250">
        <v>33334</v>
      </c>
      <c r="B14133" s="74" t="s">
        <v>8434</v>
      </c>
      <c r="C14133" s="74" t="s">
        <v>420</v>
      </c>
    </row>
    <row r="14134" spans="1:3">
      <c r="A14134" s="250">
        <v>33335</v>
      </c>
      <c r="B14134" s="74" t="s">
        <v>8434</v>
      </c>
      <c r="C14134" s="74" t="s">
        <v>420</v>
      </c>
    </row>
    <row r="14135" spans="1:3">
      <c r="A14135" s="250">
        <v>33336</v>
      </c>
      <c r="B14135" s="74" t="s">
        <v>8434</v>
      </c>
      <c r="C14135" s="74" t="s">
        <v>420</v>
      </c>
    </row>
    <row r="14136" spans="1:3">
      <c r="A14136" s="250">
        <v>33337</v>
      </c>
      <c r="B14136" s="74" t="s">
        <v>8434</v>
      </c>
      <c r="C14136" s="74" t="s">
        <v>420</v>
      </c>
    </row>
    <row r="14137" spans="1:3">
      <c r="A14137" s="250">
        <v>33338</v>
      </c>
      <c r="B14137" s="74" t="s">
        <v>8434</v>
      </c>
      <c r="C14137" s="74" t="s">
        <v>420</v>
      </c>
    </row>
    <row r="14138" spans="1:3">
      <c r="A14138" s="250">
        <v>33339</v>
      </c>
      <c r="B14138" s="74" t="s">
        <v>8434</v>
      </c>
      <c r="C14138" s="74" t="s">
        <v>420</v>
      </c>
    </row>
    <row r="14139" spans="1:3">
      <c r="A14139" s="250">
        <v>33340</v>
      </c>
      <c r="B14139" s="74" t="s">
        <v>8434</v>
      </c>
      <c r="C14139" s="74" t="s">
        <v>420</v>
      </c>
    </row>
    <row r="14140" spans="1:3">
      <c r="A14140" s="250">
        <v>33345</v>
      </c>
      <c r="B14140" s="74" t="s">
        <v>8434</v>
      </c>
      <c r="C14140" s="74" t="s">
        <v>420</v>
      </c>
    </row>
    <row r="14141" spans="1:3">
      <c r="A14141" s="250">
        <v>33346</v>
      </c>
      <c r="B14141" s="74" t="s">
        <v>8434</v>
      </c>
      <c r="C14141" s="74" t="s">
        <v>420</v>
      </c>
    </row>
    <row r="14142" spans="1:3">
      <c r="A14142" s="250">
        <v>33348</v>
      </c>
      <c r="B14142" s="74" t="s">
        <v>8434</v>
      </c>
      <c r="C14142" s="74" t="s">
        <v>420</v>
      </c>
    </row>
    <row r="14143" spans="1:3">
      <c r="A14143" s="250">
        <v>33349</v>
      </c>
      <c r="B14143" s="74" t="s">
        <v>8434</v>
      </c>
      <c r="C14143" s="74" t="s">
        <v>420</v>
      </c>
    </row>
    <row r="14144" spans="1:3">
      <c r="A14144" s="250">
        <v>33351</v>
      </c>
      <c r="B14144" s="74" t="s">
        <v>8434</v>
      </c>
      <c r="C14144" s="74" t="s">
        <v>420</v>
      </c>
    </row>
    <row r="14145" spans="1:3">
      <c r="A14145" s="250">
        <v>33355</v>
      </c>
      <c r="B14145" s="74" t="s">
        <v>8434</v>
      </c>
      <c r="C14145" s="74" t="s">
        <v>420</v>
      </c>
    </row>
    <row r="14146" spans="1:3">
      <c r="A14146" s="250">
        <v>33359</v>
      </c>
      <c r="B14146" s="74" t="s">
        <v>8434</v>
      </c>
      <c r="C14146" s="74" t="s">
        <v>420</v>
      </c>
    </row>
    <row r="14147" spans="1:3">
      <c r="A14147" s="250">
        <v>33388</v>
      </c>
      <c r="B14147" s="74" t="s">
        <v>8435</v>
      </c>
      <c r="C14147" s="74" t="s">
        <v>420</v>
      </c>
    </row>
    <row r="14148" spans="1:3">
      <c r="A14148" s="250">
        <v>33394</v>
      </c>
      <c r="B14148" s="74" t="s">
        <v>8434</v>
      </c>
      <c r="C14148" s="74" t="s">
        <v>420</v>
      </c>
    </row>
    <row r="14149" spans="1:3">
      <c r="A14149" s="250">
        <v>33401</v>
      </c>
      <c r="B14149" s="74" t="s">
        <v>8436</v>
      </c>
      <c r="C14149" s="74" t="s">
        <v>420</v>
      </c>
    </row>
    <row r="14150" spans="1:3">
      <c r="A14150" s="250">
        <v>33402</v>
      </c>
      <c r="B14150" s="74" t="s">
        <v>8436</v>
      </c>
      <c r="C14150" s="74" t="s">
        <v>420</v>
      </c>
    </row>
    <row r="14151" spans="1:3">
      <c r="A14151" s="250">
        <v>33403</v>
      </c>
      <c r="B14151" s="74" t="s">
        <v>8436</v>
      </c>
      <c r="C14151" s="74" t="s">
        <v>420</v>
      </c>
    </row>
    <row r="14152" spans="1:3">
      <c r="A14152" s="250">
        <v>33404</v>
      </c>
      <c r="B14152" s="74" t="s">
        <v>8436</v>
      </c>
      <c r="C14152" s="74" t="s">
        <v>420</v>
      </c>
    </row>
    <row r="14153" spans="1:3">
      <c r="A14153" s="250">
        <v>33405</v>
      </c>
      <c r="B14153" s="74" t="s">
        <v>8436</v>
      </c>
      <c r="C14153" s="74" t="s">
        <v>420</v>
      </c>
    </row>
    <row r="14154" spans="1:3">
      <c r="A14154" s="250">
        <v>33406</v>
      </c>
      <c r="B14154" s="74" t="s">
        <v>8436</v>
      </c>
      <c r="C14154" s="74" t="s">
        <v>420</v>
      </c>
    </row>
    <row r="14155" spans="1:3">
      <c r="A14155" s="250">
        <v>33407</v>
      </c>
      <c r="B14155" s="74" t="s">
        <v>8436</v>
      </c>
      <c r="C14155" s="74" t="s">
        <v>420</v>
      </c>
    </row>
    <row r="14156" spans="1:3">
      <c r="A14156" s="250">
        <v>33408</v>
      </c>
      <c r="B14156" s="74" t="s">
        <v>8437</v>
      </c>
      <c r="C14156" s="74" t="s">
        <v>420</v>
      </c>
    </row>
    <row r="14157" spans="1:3">
      <c r="A14157" s="250">
        <v>33409</v>
      </c>
      <c r="B14157" s="74" t="s">
        <v>8436</v>
      </c>
      <c r="C14157" s="74" t="s">
        <v>420</v>
      </c>
    </row>
    <row r="14158" spans="1:3">
      <c r="A14158" s="250">
        <v>33410</v>
      </c>
      <c r="B14158" s="74" t="s">
        <v>8438</v>
      </c>
      <c r="C14158" s="74" t="s">
        <v>420</v>
      </c>
    </row>
    <row r="14159" spans="1:3">
      <c r="A14159" s="250">
        <v>33411</v>
      </c>
      <c r="B14159" s="74" t="s">
        <v>8436</v>
      </c>
      <c r="C14159" s="74" t="s">
        <v>420</v>
      </c>
    </row>
    <row r="14160" spans="1:3">
      <c r="A14160" s="250">
        <v>33412</v>
      </c>
      <c r="B14160" s="74" t="s">
        <v>8436</v>
      </c>
      <c r="C14160" s="74" t="s">
        <v>420</v>
      </c>
    </row>
    <row r="14161" spans="1:3">
      <c r="A14161" s="250">
        <v>33413</v>
      </c>
      <c r="B14161" s="74" t="s">
        <v>8436</v>
      </c>
      <c r="C14161" s="74" t="s">
        <v>420</v>
      </c>
    </row>
    <row r="14162" spans="1:3">
      <c r="A14162" s="250">
        <v>33414</v>
      </c>
      <c r="B14162" s="74" t="s">
        <v>8439</v>
      </c>
      <c r="C14162" s="74" t="s">
        <v>420</v>
      </c>
    </row>
    <row r="14163" spans="1:3">
      <c r="A14163" s="250">
        <v>33415</v>
      </c>
      <c r="B14163" s="74" t="s">
        <v>8436</v>
      </c>
      <c r="C14163" s="74" t="s">
        <v>420</v>
      </c>
    </row>
    <row r="14164" spans="1:3">
      <c r="A14164" s="250">
        <v>33416</v>
      </c>
      <c r="B14164" s="74" t="s">
        <v>8436</v>
      </c>
      <c r="C14164" s="74" t="s">
        <v>420</v>
      </c>
    </row>
    <row r="14165" spans="1:3">
      <c r="A14165" s="250">
        <v>33417</v>
      </c>
      <c r="B14165" s="74" t="s">
        <v>8436</v>
      </c>
      <c r="C14165" s="74" t="s">
        <v>420</v>
      </c>
    </row>
    <row r="14166" spans="1:3">
      <c r="A14166" s="250">
        <v>33418</v>
      </c>
      <c r="B14166" s="74" t="s">
        <v>8438</v>
      </c>
      <c r="C14166" s="74" t="s">
        <v>420</v>
      </c>
    </row>
    <row r="14167" spans="1:3">
      <c r="A14167" s="250">
        <v>33419</v>
      </c>
      <c r="B14167" s="74" t="s">
        <v>8436</v>
      </c>
      <c r="C14167" s="74" t="s">
        <v>420</v>
      </c>
    </row>
    <row r="14168" spans="1:3">
      <c r="A14168" s="250">
        <v>33420</v>
      </c>
      <c r="B14168" s="74" t="s">
        <v>8436</v>
      </c>
      <c r="C14168" s="74" t="s">
        <v>420</v>
      </c>
    </row>
    <row r="14169" spans="1:3">
      <c r="A14169" s="250">
        <v>33421</v>
      </c>
      <c r="B14169" s="74" t="s">
        <v>8440</v>
      </c>
      <c r="C14169" s="74" t="s">
        <v>420</v>
      </c>
    </row>
    <row r="14170" spans="1:3">
      <c r="A14170" s="250">
        <v>33422</v>
      </c>
      <c r="B14170" s="74" t="s">
        <v>8436</v>
      </c>
      <c r="C14170" s="74" t="s">
        <v>420</v>
      </c>
    </row>
    <row r="14171" spans="1:3">
      <c r="A14171" s="250">
        <v>33424</v>
      </c>
      <c r="B14171" s="74" t="s">
        <v>8441</v>
      </c>
      <c r="C14171" s="74" t="s">
        <v>420</v>
      </c>
    </row>
    <row r="14172" spans="1:3">
      <c r="A14172" s="250">
        <v>33425</v>
      </c>
      <c r="B14172" s="74" t="s">
        <v>8441</v>
      </c>
      <c r="C14172" s="74" t="s">
        <v>420</v>
      </c>
    </row>
    <row r="14173" spans="1:3">
      <c r="A14173" s="250">
        <v>33426</v>
      </c>
      <c r="B14173" s="74" t="s">
        <v>8441</v>
      </c>
      <c r="C14173" s="74" t="s">
        <v>420</v>
      </c>
    </row>
    <row r="14174" spans="1:3">
      <c r="A14174" s="250">
        <v>33427</v>
      </c>
      <c r="B14174" s="74" t="s">
        <v>8442</v>
      </c>
      <c r="C14174" s="74" t="s">
        <v>420</v>
      </c>
    </row>
    <row r="14175" spans="1:3">
      <c r="A14175" s="250">
        <v>33428</v>
      </c>
      <c r="B14175" s="74" t="s">
        <v>8442</v>
      </c>
      <c r="C14175" s="74" t="s">
        <v>420</v>
      </c>
    </row>
    <row r="14176" spans="1:3">
      <c r="A14176" s="250">
        <v>33429</v>
      </c>
      <c r="B14176" s="74" t="s">
        <v>8442</v>
      </c>
      <c r="C14176" s="74" t="s">
        <v>420</v>
      </c>
    </row>
    <row r="14177" spans="1:3">
      <c r="A14177" s="250">
        <v>33430</v>
      </c>
      <c r="B14177" s="74" t="s">
        <v>8443</v>
      </c>
      <c r="C14177" s="74" t="s">
        <v>420</v>
      </c>
    </row>
    <row r="14178" spans="1:3">
      <c r="A14178" s="250">
        <v>33431</v>
      </c>
      <c r="B14178" s="74" t="s">
        <v>8442</v>
      </c>
      <c r="C14178" s="74" t="s">
        <v>420</v>
      </c>
    </row>
    <row r="14179" spans="1:3">
      <c r="A14179" s="250">
        <v>33432</v>
      </c>
      <c r="B14179" s="74" t="s">
        <v>8442</v>
      </c>
      <c r="C14179" s="74" t="s">
        <v>420</v>
      </c>
    </row>
    <row r="14180" spans="1:3">
      <c r="A14180" s="250">
        <v>33433</v>
      </c>
      <c r="B14180" s="74" t="s">
        <v>8442</v>
      </c>
      <c r="C14180" s="74" t="s">
        <v>420</v>
      </c>
    </row>
    <row r="14181" spans="1:3">
      <c r="A14181" s="250">
        <v>33434</v>
      </c>
      <c r="B14181" s="74" t="s">
        <v>8442</v>
      </c>
      <c r="C14181" s="74" t="s">
        <v>420</v>
      </c>
    </row>
    <row r="14182" spans="1:3">
      <c r="A14182" s="250">
        <v>33435</v>
      </c>
      <c r="B14182" s="74" t="s">
        <v>8441</v>
      </c>
      <c r="C14182" s="74" t="s">
        <v>420</v>
      </c>
    </row>
    <row r="14183" spans="1:3">
      <c r="A14183" s="250">
        <v>33436</v>
      </c>
      <c r="B14183" s="74" t="s">
        <v>8441</v>
      </c>
      <c r="C14183" s="74" t="s">
        <v>420</v>
      </c>
    </row>
    <row r="14184" spans="1:3">
      <c r="A14184" s="250">
        <v>33437</v>
      </c>
      <c r="B14184" s="74" t="s">
        <v>8441</v>
      </c>
      <c r="C14184" s="74" t="s">
        <v>420</v>
      </c>
    </row>
    <row r="14185" spans="1:3">
      <c r="A14185" s="250">
        <v>33438</v>
      </c>
      <c r="B14185" s="74" t="s">
        <v>8444</v>
      </c>
      <c r="C14185" s="74" t="s">
        <v>420</v>
      </c>
    </row>
    <row r="14186" spans="1:3">
      <c r="A14186" s="250">
        <v>33439</v>
      </c>
      <c r="B14186" s="74" t="s">
        <v>8444</v>
      </c>
      <c r="C14186" s="74" t="s">
        <v>420</v>
      </c>
    </row>
    <row r="14187" spans="1:3">
      <c r="A14187" s="250">
        <v>33440</v>
      </c>
      <c r="B14187" s="74" t="s">
        <v>8445</v>
      </c>
      <c r="C14187" s="74" t="s">
        <v>420</v>
      </c>
    </row>
    <row r="14188" spans="1:3">
      <c r="A14188" s="250">
        <v>33441</v>
      </c>
      <c r="B14188" s="74" t="s">
        <v>8446</v>
      </c>
      <c r="C14188" s="74" t="s">
        <v>420</v>
      </c>
    </row>
    <row r="14189" spans="1:3">
      <c r="A14189" s="250">
        <v>33442</v>
      </c>
      <c r="B14189" s="74" t="s">
        <v>8446</v>
      </c>
      <c r="C14189" s="74" t="s">
        <v>420</v>
      </c>
    </row>
    <row r="14190" spans="1:3">
      <c r="A14190" s="250">
        <v>33443</v>
      </c>
      <c r="B14190" s="74" t="s">
        <v>8446</v>
      </c>
      <c r="C14190" s="74" t="s">
        <v>420</v>
      </c>
    </row>
    <row r="14191" spans="1:3">
      <c r="A14191" s="250">
        <v>33444</v>
      </c>
      <c r="B14191" s="74" t="s">
        <v>8447</v>
      </c>
      <c r="C14191" s="74" t="s">
        <v>420</v>
      </c>
    </row>
    <row r="14192" spans="1:3">
      <c r="A14192" s="250">
        <v>33445</v>
      </c>
      <c r="B14192" s="74" t="s">
        <v>8447</v>
      </c>
      <c r="C14192" s="74" t="s">
        <v>420</v>
      </c>
    </row>
    <row r="14193" spans="1:3">
      <c r="A14193" s="250">
        <v>33446</v>
      </c>
      <c r="B14193" s="74" t="s">
        <v>8447</v>
      </c>
      <c r="C14193" s="74" t="s">
        <v>420</v>
      </c>
    </row>
    <row r="14194" spans="1:3">
      <c r="A14194" s="250">
        <v>33447</v>
      </c>
      <c r="B14194" s="74" t="s">
        <v>8447</v>
      </c>
      <c r="C14194" s="74" t="s">
        <v>420</v>
      </c>
    </row>
    <row r="14195" spans="1:3">
      <c r="A14195" s="250">
        <v>33448</v>
      </c>
      <c r="B14195" s="74" t="s">
        <v>8447</v>
      </c>
      <c r="C14195" s="74" t="s">
        <v>420</v>
      </c>
    </row>
    <row r="14196" spans="1:3">
      <c r="A14196" s="250">
        <v>33449</v>
      </c>
      <c r="B14196" s="74" t="s">
        <v>8448</v>
      </c>
      <c r="C14196" s="74" t="s">
        <v>420</v>
      </c>
    </row>
    <row r="14197" spans="1:3">
      <c r="A14197" s="250">
        <v>33454</v>
      </c>
      <c r="B14197" s="74" t="s">
        <v>8449</v>
      </c>
      <c r="C14197" s="74" t="s">
        <v>420</v>
      </c>
    </row>
    <row r="14198" spans="1:3">
      <c r="A14198" s="250">
        <v>33455</v>
      </c>
      <c r="B14198" s="74" t="s">
        <v>8450</v>
      </c>
      <c r="C14198" s="74" t="s">
        <v>420</v>
      </c>
    </row>
    <row r="14199" spans="1:3">
      <c r="A14199" s="250">
        <v>33458</v>
      </c>
      <c r="B14199" s="74" t="s">
        <v>8451</v>
      </c>
      <c r="C14199" s="74" t="s">
        <v>420</v>
      </c>
    </row>
    <row r="14200" spans="1:3">
      <c r="A14200" s="250">
        <v>33459</v>
      </c>
      <c r="B14200" s="74" t="s">
        <v>8452</v>
      </c>
      <c r="C14200" s="74" t="s">
        <v>420</v>
      </c>
    </row>
    <row r="14201" spans="1:3">
      <c r="A14201" s="250">
        <v>33460</v>
      </c>
      <c r="B14201" s="74" t="s">
        <v>8448</v>
      </c>
      <c r="C14201" s="74" t="s">
        <v>420</v>
      </c>
    </row>
    <row r="14202" spans="1:3">
      <c r="A14202" s="250">
        <v>33461</v>
      </c>
      <c r="B14202" s="74" t="s">
        <v>8448</v>
      </c>
      <c r="C14202" s="74" t="s">
        <v>420</v>
      </c>
    </row>
    <row r="14203" spans="1:3">
      <c r="A14203" s="250">
        <v>33462</v>
      </c>
      <c r="B14203" s="74" t="s">
        <v>8448</v>
      </c>
      <c r="C14203" s="74" t="s">
        <v>420</v>
      </c>
    </row>
    <row r="14204" spans="1:3">
      <c r="A14204" s="250">
        <v>33463</v>
      </c>
      <c r="B14204" s="74" t="s">
        <v>8448</v>
      </c>
      <c r="C14204" s="74" t="s">
        <v>420</v>
      </c>
    </row>
    <row r="14205" spans="1:3">
      <c r="A14205" s="250">
        <v>33464</v>
      </c>
      <c r="B14205" s="74" t="s">
        <v>8442</v>
      </c>
      <c r="C14205" s="74" t="s">
        <v>420</v>
      </c>
    </row>
    <row r="14206" spans="1:3">
      <c r="A14206" s="250">
        <v>33465</v>
      </c>
      <c r="B14206" s="74" t="s">
        <v>8448</v>
      </c>
      <c r="C14206" s="74" t="s">
        <v>420</v>
      </c>
    </row>
    <row r="14207" spans="1:3">
      <c r="A14207" s="250">
        <v>33466</v>
      </c>
      <c r="B14207" s="74" t="s">
        <v>8448</v>
      </c>
      <c r="C14207" s="74" t="s">
        <v>420</v>
      </c>
    </row>
    <row r="14208" spans="1:3">
      <c r="A14208" s="250">
        <v>33467</v>
      </c>
      <c r="B14208" s="74" t="s">
        <v>8448</v>
      </c>
      <c r="C14208" s="74" t="s">
        <v>420</v>
      </c>
    </row>
    <row r="14209" spans="1:3">
      <c r="A14209" s="250">
        <v>33468</v>
      </c>
      <c r="B14209" s="74" t="s">
        <v>8451</v>
      </c>
      <c r="C14209" s="74" t="s">
        <v>420</v>
      </c>
    </row>
    <row r="14210" spans="1:3">
      <c r="A14210" s="250">
        <v>33469</v>
      </c>
      <c r="B14210" s="74" t="s">
        <v>8451</v>
      </c>
      <c r="C14210" s="74" t="s">
        <v>420</v>
      </c>
    </row>
    <row r="14211" spans="1:3">
      <c r="A14211" s="250">
        <v>33470</v>
      </c>
      <c r="B14211" s="74" t="s">
        <v>8453</v>
      </c>
      <c r="C14211" s="74" t="s">
        <v>420</v>
      </c>
    </row>
    <row r="14212" spans="1:3">
      <c r="A14212" s="250">
        <v>33471</v>
      </c>
      <c r="B14212" s="74" t="s">
        <v>8454</v>
      </c>
      <c r="C14212" s="74" t="s">
        <v>420</v>
      </c>
    </row>
    <row r="14213" spans="1:3">
      <c r="A14213" s="250">
        <v>33472</v>
      </c>
      <c r="B14213" s="74" t="s">
        <v>8441</v>
      </c>
      <c r="C14213" s="74" t="s">
        <v>420</v>
      </c>
    </row>
    <row r="14214" spans="1:3">
      <c r="A14214" s="250">
        <v>33473</v>
      </c>
      <c r="B14214" s="74" t="s">
        <v>8441</v>
      </c>
      <c r="C14214" s="74" t="s">
        <v>420</v>
      </c>
    </row>
    <row r="14215" spans="1:3">
      <c r="A14215" s="250">
        <v>33474</v>
      </c>
      <c r="B14215" s="74" t="s">
        <v>8441</v>
      </c>
      <c r="C14215" s="74" t="s">
        <v>420</v>
      </c>
    </row>
    <row r="14216" spans="1:3">
      <c r="A14216" s="250">
        <v>33475</v>
      </c>
      <c r="B14216" s="74" t="s">
        <v>8450</v>
      </c>
      <c r="C14216" s="74" t="s">
        <v>420</v>
      </c>
    </row>
    <row r="14217" spans="1:3">
      <c r="A14217" s="250">
        <v>33476</v>
      </c>
      <c r="B14217" s="74" t="s">
        <v>8455</v>
      </c>
      <c r="C14217" s="74" t="s">
        <v>420</v>
      </c>
    </row>
    <row r="14218" spans="1:3">
      <c r="A14218" s="250">
        <v>33477</v>
      </c>
      <c r="B14218" s="74" t="s">
        <v>8451</v>
      </c>
      <c r="C14218" s="74" t="s">
        <v>420</v>
      </c>
    </row>
    <row r="14219" spans="1:3">
      <c r="A14219" s="250">
        <v>33478</v>
      </c>
      <c r="B14219" s="74" t="s">
        <v>8451</v>
      </c>
      <c r="C14219" s="74" t="s">
        <v>420</v>
      </c>
    </row>
    <row r="14220" spans="1:3">
      <c r="A14220" s="250">
        <v>33480</v>
      </c>
      <c r="B14220" s="74" t="s">
        <v>8456</v>
      </c>
      <c r="C14220" s="74" t="s">
        <v>420</v>
      </c>
    </row>
    <row r="14221" spans="1:3">
      <c r="A14221" s="250">
        <v>33481</v>
      </c>
      <c r="B14221" s="74" t="s">
        <v>8442</v>
      </c>
      <c r="C14221" s="74" t="s">
        <v>420</v>
      </c>
    </row>
    <row r="14222" spans="1:3">
      <c r="A14222" s="250">
        <v>33482</v>
      </c>
      <c r="B14222" s="74" t="s">
        <v>8447</v>
      </c>
      <c r="C14222" s="74" t="s">
        <v>420</v>
      </c>
    </row>
    <row r="14223" spans="1:3">
      <c r="A14223" s="250">
        <v>33483</v>
      </c>
      <c r="B14223" s="74" t="s">
        <v>8447</v>
      </c>
      <c r="C14223" s="74" t="s">
        <v>420</v>
      </c>
    </row>
    <row r="14224" spans="1:3">
      <c r="A14224" s="250">
        <v>33484</v>
      </c>
      <c r="B14224" s="74" t="s">
        <v>8447</v>
      </c>
      <c r="C14224" s="74" t="s">
        <v>420</v>
      </c>
    </row>
    <row r="14225" spans="1:3">
      <c r="A14225" s="250">
        <v>33486</v>
      </c>
      <c r="B14225" s="74" t="s">
        <v>8442</v>
      </c>
      <c r="C14225" s="74" t="s">
        <v>420</v>
      </c>
    </row>
    <row r="14226" spans="1:3">
      <c r="A14226" s="250">
        <v>33487</v>
      </c>
      <c r="B14226" s="74" t="s">
        <v>8442</v>
      </c>
      <c r="C14226" s="74" t="s">
        <v>420</v>
      </c>
    </row>
    <row r="14227" spans="1:3">
      <c r="A14227" s="250">
        <v>33488</v>
      </c>
      <c r="B14227" s="74" t="s">
        <v>8442</v>
      </c>
      <c r="C14227" s="74" t="s">
        <v>420</v>
      </c>
    </row>
    <row r="14228" spans="1:3">
      <c r="A14228" s="250">
        <v>33493</v>
      </c>
      <c r="B14228" s="74" t="s">
        <v>8457</v>
      </c>
      <c r="C14228" s="74" t="s">
        <v>420</v>
      </c>
    </row>
    <row r="14229" spans="1:3">
      <c r="A14229" s="250">
        <v>33496</v>
      </c>
      <c r="B14229" s="74" t="s">
        <v>8442</v>
      </c>
      <c r="C14229" s="74" t="s">
        <v>420</v>
      </c>
    </row>
    <row r="14230" spans="1:3">
      <c r="A14230" s="250">
        <v>33497</v>
      </c>
      <c r="B14230" s="74" t="s">
        <v>8442</v>
      </c>
      <c r="C14230" s="74" t="s">
        <v>420</v>
      </c>
    </row>
    <row r="14231" spans="1:3">
      <c r="A14231" s="250">
        <v>33498</v>
      </c>
      <c r="B14231" s="74" t="s">
        <v>8442</v>
      </c>
      <c r="C14231" s="74" t="s">
        <v>420</v>
      </c>
    </row>
    <row r="14232" spans="1:3">
      <c r="A14232" s="250">
        <v>33499</v>
      </c>
      <c r="B14232" s="74" t="s">
        <v>8442</v>
      </c>
      <c r="C14232" s="74" t="s">
        <v>420</v>
      </c>
    </row>
    <row r="14233" spans="1:3">
      <c r="A14233" s="250">
        <v>33503</v>
      </c>
      <c r="B14233" s="74" t="s">
        <v>8458</v>
      </c>
      <c r="C14233" s="74" t="s">
        <v>420</v>
      </c>
    </row>
    <row r="14234" spans="1:3">
      <c r="A14234" s="250">
        <v>33508</v>
      </c>
      <c r="B14234" s="74" t="s">
        <v>1864</v>
      </c>
      <c r="C14234" s="74" t="s">
        <v>420</v>
      </c>
    </row>
    <row r="14235" spans="1:3">
      <c r="A14235" s="250">
        <v>33509</v>
      </c>
      <c r="B14235" s="74" t="s">
        <v>1864</v>
      </c>
      <c r="C14235" s="74" t="s">
        <v>420</v>
      </c>
    </row>
    <row r="14236" spans="1:3">
      <c r="A14236" s="250">
        <v>33510</v>
      </c>
      <c r="B14236" s="74" t="s">
        <v>1864</v>
      </c>
      <c r="C14236" s="74" t="s">
        <v>420</v>
      </c>
    </row>
    <row r="14237" spans="1:3">
      <c r="A14237" s="250">
        <v>33511</v>
      </c>
      <c r="B14237" s="74" t="s">
        <v>1864</v>
      </c>
      <c r="C14237" s="74" t="s">
        <v>420</v>
      </c>
    </row>
    <row r="14238" spans="1:3">
      <c r="A14238" s="250">
        <v>33513</v>
      </c>
      <c r="B14238" s="74" t="s">
        <v>8459</v>
      </c>
      <c r="C14238" s="74" t="s">
        <v>420</v>
      </c>
    </row>
    <row r="14239" spans="1:3">
      <c r="A14239" s="250">
        <v>33514</v>
      </c>
      <c r="B14239" s="74" t="s">
        <v>8460</v>
      </c>
      <c r="C14239" s="74" t="s">
        <v>420</v>
      </c>
    </row>
    <row r="14240" spans="1:3">
      <c r="A14240" s="250">
        <v>33521</v>
      </c>
      <c r="B14240" s="74" t="s">
        <v>8461</v>
      </c>
      <c r="C14240" s="74" t="s">
        <v>420</v>
      </c>
    </row>
    <row r="14241" spans="1:3">
      <c r="A14241" s="250">
        <v>33523</v>
      </c>
      <c r="B14241" s="74" t="s">
        <v>8462</v>
      </c>
      <c r="C14241" s="74" t="s">
        <v>420</v>
      </c>
    </row>
    <row r="14242" spans="1:3">
      <c r="A14242" s="250">
        <v>33524</v>
      </c>
      <c r="B14242" s="74" t="s">
        <v>8463</v>
      </c>
      <c r="C14242" s="74" t="s">
        <v>420</v>
      </c>
    </row>
    <row r="14243" spans="1:3">
      <c r="A14243" s="250">
        <v>33525</v>
      </c>
      <c r="B14243" s="74" t="s">
        <v>8462</v>
      </c>
      <c r="C14243" s="74" t="s">
        <v>420</v>
      </c>
    </row>
    <row r="14244" spans="1:3">
      <c r="A14244" s="250">
        <v>33526</v>
      </c>
      <c r="B14244" s="74" t="s">
        <v>8462</v>
      </c>
      <c r="C14244" s="74" t="s">
        <v>420</v>
      </c>
    </row>
    <row r="14245" spans="1:3">
      <c r="A14245" s="250">
        <v>33527</v>
      </c>
      <c r="B14245" s="74" t="s">
        <v>869</v>
      </c>
      <c r="C14245" s="74" t="s">
        <v>420</v>
      </c>
    </row>
    <row r="14246" spans="1:3">
      <c r="A14246" s="250">
        <v>33530</v>
      </c>
      <c r="B14246" s="74" t="s">
        <v>8464</v>
      </c>
      <c r="C14246" s="74" t="s">
        <v>420</v>
      </c>
    </row>
    <row r="14247" spans="1:3">
      <c r="A14247" s="250">
        <v>33534</v>
      </c>
      <c r="B14247" s="74" t="s">
        <v>8465</v>
      </c>
      <c r="C14247" s="74" t="s">
        <v>420</v>
      </c>
    </row>
    <row r="14248" spans="1:3">
      <c r="A14248" s="250">
        <v>33537</v>
      </c>
      <c r="B14248" s="74" t="s">
        <v>8466</v>
      </c>
      <c r="C14248" s="74" t="s">
        <v>420</v>
      </c>
    </row>
    <row r="14249" spans="1:3">
      <c r="A14249" s="250">
        <v>33538</v>
      </c>
      <c r="B14249" s="74" t="s">
        <v>8467</v>
      </c>
      <c r="C14249" s="74" t="s">
        <v>420</v>
      </c>
    </row>
    <row r="14250" spans="1:3">
      <c r="A14250" s="250">
        <v>33539</v>
      </c>
      <c r="B14250" s="74" t="s">
        <v>8468</v>
      </c>
      <c r="C14250" s="74" t="s">
        <v>420</v>
      </c>
    </row>
    <row r="14251" spans="1:3">
      <c r="A14251" s="250">
        <v>33540</v>
      </c>
      <c r="B14251" s="74" t="s">
        <v>8468</v>
      </c>
      <c r="C14251" s="74" t="s">
        <v>420</v>
      </c>
    </row>
    <row r="14252" spans="1:3">
      <c r="A14252" s="250">
        <v>33541</v>
      </c>
      <c r="B14252" s="74" t="s">
        <v>8468</v>
      </c>
      <c r="C14252" s="74" t="s">
        <v>420</v>
      </c>
    </row>
    <row r="14253" spans="1:3">
      <c r="A14253" s="250">
        <v>33542</v>
      </c>
      <c r="B14253" s="74" t="s">
        <v>8468</v>
      </c>
      <c r="C14253" s="74" t="s">
        <v>420</v>
      </c>
    </row>
    <row r="14254" spans="1:3">
      <c r="A14254" s="250">
        <v>33543</v>
      </c>
      <c r="B14254" s="74" t="s">
        <v>8469</v>
      </c>
      <c r="C14254" s="74" t="s">
        <v>420</v>
      </c>
    </row>
    <row r="14255" spans="1:3">
      <c r="A14255" s="250">
        <v>33544</v>
      </c>
      <c r="B14255" s="74" t="s">
        <v>8469</v>
      </c>
      <c r="C14255" s="74" t="s">
        <v>420</v>
      </c>
    </row>
    <row r="14256" spans="1:3">
      <c r="A14256" s="250">
        <v>33545</v>
      </c>
      <c r="B14256" s="74" t="s">
        <v>8469</v>
      </c>
      <c r="C14256" s="74" t="s">
        <v>420</v>
      </c>
    </row>
    <row r="14257" spans="1:3">
      <c r="A14257" s="250">
        <v>33547</v>
      </c>
      <c r="B14257" s="74" t="s">
        <v>8470</v>
      </c>
      <c r="C14257" s="74" t="s">
        <v>420</v>
      </c>
    </row>
    <row r="14258" spans="1:3">
      <c r="A14258" s="250">
        <v>33548</v>
      </c>
      <c r="B14258" s="74" t="s">
        <v>8471</v>
      </c>
      <c r="C14258" s="74" t="s">
        <v>420</v>
      </c>
    </row>
    <row r="14259" spans="1:3">
      <c r="A14259" s="250">
        <v>33549</v>
      </c>
      <c r="B14259" s="74" t="s">
        <v>8471</v>
      </c>
      <c r="C14259" s="74" t="s">
        <v>420</v>
      </c>
    </row>
    <row r="14260" spans="1:3">
      <c r="A14260" s="250">
        <v>33550</v>
      </c>
      <c r="B14260" s="74" t="s">
        <v>8472</v>
      </c>
      <c r="C14260" s="74" t="s">
        <v>420</v>
      </c>
    </row>
    <row r="14261" spans="1:3">
      <c r="A14261" s="250">
        <v>33556</v>
      </c>
      <c r="B14261" s="74" t="s">
        <v>3931</v>
      </c>
      <c r="C14261" s="74" t="s">
        <v>420</v>
      </c>
    </row>
    <row r="14262" spans="1:3">
      <c r="A14262" s="250">
        <v>33558</v>
      </c>
      <c r="B14262" s="74" t="s">
        <v>8471</v>
      </c>
      <c r="C14262" s="74" t="s">
        <v>420</v>
      </c>
    </row>
    <row r="14263" spans="1:3">
      <c r="A14263" s="250">
        <v>33559</v>
      </c>
      <c r="B14263" s="74" t="s">
        <v>8471</v>
      </c>
      <c r="C14263" s="74" t="s">
        <v>420</v>
      </c>
    </row>
    <row r="14264" spans="1:3">
      <c r="A14264" s="250">
        <v>33563</v>
      </c>
      <c r="B14264" s="74" t="s">
        <v>8473</v>
      </c>
      <c r="C14264" s="74" t="s">
        <v>420</v>
      </c>
    </row>
    <row r="14265" spans="1:3">
      <c r="A14265" s="250">
        <v>33564</v>
      </c>
      <c r="B14265" s="74" t="s">
        <v>8473</v>
      </c>
      <c r="C14265" s="74" t="s">
        <v>420</v>
      </c>
    </row>
    <row r="14266" spans="1:3">
      <c r="A14266" s="250">
        <v>33565</v>
      </c>
      <c r="B14266" s="74" t="s">
        <v>8473</v>
      </c>
      <c r="C14266" s="74" t="s">
        <v>420</v>
      </c>
    </row>
    <row r="14267" spans="1:3">
      <c r="A14267" s="250">
        <v>33566</v>
      </c>
      <c r="B14267" s="74" t="s">
        <v>8473</v>
      </c>
      <c r="C14267" s="74" t="s">
        <v>420</v>
      </c>
    </row>
    <row r="14268" spans="1:3">
      <c r="A14268" s="250">
        <v>33567</v>
      </c>
      <c r="B14268" s="74" t="s">
        <v>8473</v>
      </c>
      <c r="C14268" s="74" t="s">
        <v>420</v>
      </c>
    </row>
    <row r="14269" spans="1:3">
      <c r="A14269" s="250">
        <v>33568</v>
      </c>
      <c r="B14269" s="74" t="s">
        <v>8474</v>
      </c>
      <c r="C14269" s="74" t="s">
        <v>420</v>
      </c>
    </row>
    <row r="14270" spans="1:3">
      <c r="A14270" s="250">
        <v>33569</v>
      </c>
      <c r="B14270" s="74" t="s">
        <v>8474</v>
      </c>
      <c r="C14270" s="74" t="s">
        <v>420</v>
      </c>
    </row>
    <row r="14271" spans="1:3">
      <c r="A14271" s="250">
        <v>33570</v>
      </c>
      <c r="B14271" s="74" t="s">
        <v>8475</v>
      </c>
      <c r="C14271" s="74" t="s">
        <v>420</v>
      </c>
    </row>
    <row r="14272" spans="1:3">
      <c r="A14272" s="250">
        <v>33571</v>
      </c>
      <c r="B14272" s="74" t="s">
        <v>8476</v>
      </c>
      <c r="C14272" s="74" t="s">
        <v>420</v>
      </c>
    </row>
    <row r="14273" spans="1:3">
      <c r="A14273" s="250">
        <v>33572</v>
      </c>
      <c r="B14273" s="74" t="s">
        <v>8477</v>
      </c>
      <c r="C14273" s="74" t="s">
        <v>420</v>
      </c>
    </row>
    <row r="14274" spans="1:3">
      <c r="A14274" s="250">
        <v>33573</v>
      </c>
      <c r="B14274" s="74" t="s">
        <v>8476</v>
      </c>
      <c r="C14274" s="74" t="s">
        <v>420</v>
      </c>
    </row>
    <row r="14275" spans="1:3">
      <c r="A14275" s="250">
        <v>33574</v>
      </c>
      <c r="B14275" s="74" t="s">
        <v>8478</v>
      </c>
      <c r="C14275" s="74" t="s">
        <v>420</v>
      </c>
    </row>
    <row r="14276" spans="1:3">
      <c r="A14276" s="250">
        <v>33575</v>
      </c>
      <c r="B14276" s="74" t="s">
        <v>8475</v>
      </c>
      <c r="C14276" s="74" t="s">
        <v>420</v>
      </c>
    </row>
    <row r="14277" spans="1:3">
      <c r="A14277" s="250">
        <v>33576</v>
      </c>
      <c r="B14277" s="74" t="s">
        <v>512</v>
      </c>
      <c r="C14277" s="74" t="s">
        <v>420</v>
      </c>
    </row>
    <row r="14278" spans="1:3">
      <c r="A14278" s="250">
        <v>33578</v>
      </c>
      <c r="B14278" s="74" t="s">
        <v>8474</v>
      </c>
      <c r="C14278" s="74" t="s">
        <v>420</v>
      </c>
    </row>
    <row r="14279" spans="1:3">
      <c r="A14279" s="250">
        <v>33579</v>
      </c>
      <c r="B14279" s="74" t="s">
        <v>8474</v>
      </c>
      <c r="C14279" s="74" t="s">
        <v>420</v>
      </c>
    </row>
    <row r="14280" spans="1:3">
      <c r="A14280" s="250">
        <v>33583</v>
      </c>
      <c r="B14280" s="74" t="s">
        <v>8479</v>
      </c>
      <c r="C14280" s="74" t="s">
        <v>420</v>
      </c>
    </row>
    <row r="14281" spans="1:3">
      <c r="A14281" s="250">
        <v>33584</v>
      </c>
      <c r="B14281" s="74" t="s">
        <v>8479</v>
      </c>
      <c r="C14281" s="74" t="s">
        <v>420</v>
      </c>
    </row>
    <row r="14282" spans="1:3">
      <c r="A14282" s="250">
        <v>33585</v>
      </c>
      <c r="B14282" s="74" t="s">
        <v>8480</v>
      </c>
      <c r="C14282" s="74" t="s">
        <v>420</v>
      </c>
    </row>
    <row r="14283" spans="1:3">
      <c r="A14283" s="250">
        <v>33586</v>
      </c>
      <c r="B14283" s="74" t="s">
        <v>8481</v>
      </c>
      <c r="C14283" s="74" t="s">
        <v>420</v>
      </c>
    </row>
    <row r="14284" spans="1:3">
      <c r="A14284" s="250">
        <v>33587</v>
      </c>
      <c r="B14284" s="74" t="s">
        <v>8482</v>
      </c>
      <c r="C14284" s="74" t="s">
        <v>420</v>
      </c>
    </row>
    <row r="14285" spans="1:3">
      <c r="A14285" s="250">
        <v>33592</v>
      </c>
      <c r="B14285" s="74" t="s">
        <v>8483</v>
      </c>
      <c r="C14285" s="74" t="s">
        <v>420</v>
      </c>
    </row>
    <row r="14286" spans="1:3">
      <c r="A14286" s="250">
        <v>33593</v>
      </c>
      <c r="B14286" s="74" t="s">
        <v>8484</v>
      </c>
      <c r="C14286" s="74" t="s">
        <v>420</v>
      </c>
    </row>
    <row r="14287" spans="1:3">
      <c r="A14287" s="250">
        <v>33594</v>
      </c>
      <c r="B14287" s="74" t="s">
        <v>8485</v>
      </c>
      <c r="C14287" s="74" t="s">
        <v>420</v>
      </c>
    </row>
    <row r="14288" spans="1:3">
      <c r="A14288" s="250">
        <v>33595</v>
      </c>
      <c r="B14288" s="74" t="s">
        <v>8485</v>
      </c>
      <c r="C14288" s="74" t="s">
        <v>420</v>
      </c>
    </row>
    <row r="14289" spans="1:3">
      <c r="A14289" s="250">
        <v>33596</v>
      </c>
      <c r="B14289" s="74" t="s">
        <v>8485</v>
      </c>
      <c r="C14289" s="74" t="s">
        <v>420</v>
      </c>
    </row>
    <row r="14290" spans="1:3">
      <c r="A14290" s="250">
        <v>33597</v>
      </c>
      <c r="B14290" s="74" t="s">
        <v>767</v>
      </c>
      <c r="C14290" s="74" t="s">
        <v>420</v>
      </c>
    </row>
    <row r="14291" spans="1:3">
      <c r="A14291" s="250">
        <v>33598</v>
      </c>
      <c r="B14291" s="74" t="s">
        <v>8486</v>
      </c>
      <c r="C14291" s="74" t="s">
        <v>420</v>
      </c>
    </row>
    <row r="14292" spans="1:3">
      <c r="A14292" s="250">
        <v>33601</v>
      </c>
      <c r="B14292" s="74" t="s">
        <v>8487</v>
      </c>
      <c r="C14292" s="74" t="s">
        <v>420</v>
      </c>
    </row>
    <row r="14293" spans="1:3">
      <c r="A14293" s="250">
        <v>33602</v>
      </c>
      <c r="B14293" s="74" t="s">
        <v>8487</v>
      </c>
      <c r="C14293" s="74" t="s">
        <v>420</v>
      </c>
    </row>
    <row r="14294" spans="1:3">
      <c r="A14294" s="250">
        <v>33603</v>
      </c>
      <c r="B14294" s="74" t="s">
        <v>8487</v>
      </c>
      <c r="C14294" s="74" t="s">
        <v>420</v>
      </c>
    </row>
    <row r="14295" spans="1:3">
      <c r="A14295" s="250">
        <v>33604</v>
      </c>
      <c r="B14295" s="74" t="s">
        <v>8487</v>
      </c>
      <c r="C14295" s="74" t="s">
        <v>420</v>
      </c>
    </row>
    <row r="14296" spans="1:3">
      <c r="A14296" s="250">
        <v>33605</v>
      </c>
      <c r="B14296" s="74" t="s">
        <v>8487</v>
      </c>
      <c r="C14296" s="74" t="s">
        <v>420</v>
      </c>
    </row>
    <row r="14297" spans="1:3">
      <c r="A14297" s="250">
        <v>33606</v>
      </c>
      <c r="B14297" s="74" t="s">
        <v>8487</v>
      </c>
      <c r="C14297" s="74" t="s">
        <v>420</v>
      </c>
    </row>
    <row r="14298" spans="1:3">
      <c r="A14298" s="250">
        <v>33607</v>
      </c>
      <c r="B14298" s="74" t="s">
        <v>8487</v>
      </c>
      <c r="C14298" s="74" t="s">
        <v>420</v>
      </c>
    </row>
    <row r="14299" spans="1:3">
      <c r="A14299" s="250">
        <v>33608</v>
      </c>
      <c r="B14299" s="74" t="s">
        <v>8487</v>
      </c>
      <c r="C14299" s="74" t="s">
        <v>420</v>
      </c>
    </row>
    <row r="14300" spans="1:3">
      <c r="A14300" s="250">
        <v>33609</v>
      </c>
      <c r="B14300" s="74" t="s">
        <v>8487</v>
      </c>
      <c r="C14300" s="74" t="s">
        <v>420</v>
      </c>
    </row>
    <row r="14301" spans="1:3">
      <c r="A14301" s="250">
        <v>33610</v>
      </c>
      <c r="B14301" s="74" t="s">
        <v>8487</v>
      </c>
      <c r="C14301" s="74" t="s">
        <v>420</v>
      </c>
    </row>
    <row r="14302" spans="1:3">
      <c r="A14302" s="250">
        <v>33611</v>
      </c>
      <c r="B14302" s="74" t="s">
        <v>8487</v>
      </c>
      <c r="C14302" s="74" t="s">
        <v>420</v>
      </c>
    </row>
    <row r="14303" spans="1:3">
      <c r="A14303" s="250">
        <v>33612</v>
      </c>
      <c r="B14303" s="74" t="s">
        <v>8487</v>
      </c>
      <c r="C14303" s="74" t="s">
        <v>420</v>
      </c>
    </row>
    <row r="14304" spans="1:3">
      <c r="A14304" s="250">
        <v>33613</v>
      </c>
      <c r="B14304" s="74" t="s">
        <v>8487</v>
      </c>
      <c r="C14304" s="74" t="s">
        <v>420</v>
      </c>
    </row>
    <row r="14305" spans="1:3">
      <c r="A14305" s="250">
        <v>33614</v>
      </c>
      <c r="B14305" s="74" t="s">
        <v>8487</v>
      </c>
      <c r="C14305" s="74" t="s">
        <v>420</v>
      </c>
    </row>
    <row r="14306" spans="1:3">
      <c r="A14306" s="250">
        <v>33615</v>
      </c>
      <c r="B14306" s="74" t="s">
        <v>8487</v>
      </c>
      <c r="C14306" s="74" t="s">
        <v>420</v>
      </c>
    </row>
    <row r="14307" spans="1:3">
      <c r="A14307" s="250">
        <v>33616</v>
      </c>
      <c r="B14307" s="74" t="s">
        <v>8487</v>
      </c>
      <c r="C14307" s="74" t="s">
        <v>420</v>
      </c>
    </row>
    <row r="14308" spans="1:3">
      <c r="A14308" s="250">
        <v>33617</v>
      </c>
      <c r="B14308" s="74" t="s">
        <v>8487</v>
      </c>
      <c r="C14308" s="74" t="s">
        <v>420</v>
      </c>
    </row>
    <row r="14309" spans="1:3">
      <c r="A14309" s="250">
        <v>33618</v>
      </c>
      <c r="B14309" s="74" t="s">
        <v>8487</v>
      </c>
      <c r="C14309" s="74" t="s">
        <v>420</v>
      </c>
    </row>
    <row r="14310" spans="1:3">
      <c r="A14310" s="250">
        <v>33619</v>
      </c>
      <c r="B14310" s="74" t="s">
        <v>8487</v>
      </c>
      <c r="C14310" s="74" t="s">
        <v>420</v>
      </c>
    </row>
    <row r="14311" spans="1:3">
      <c r="A14311" s="250">
        <v>33620</v>
      </c>
      <c r="B14311" s="74" t="s">
        <v>8487</v>
      </c>
      <c r="C14311" s="74" t="s">
        <v>420</v>
      </c>
    </row>
    <row r="14312" spans="1:3">
      <c r="A14312" s="250">
        <v>33621</v>
      </c>
      <c r="B14312" s="74" t="s">
        <v>8487</v>
      </c>
      <c r="C14312" s="74" t="s">
        <v>420</v>
      </c>
    </row>
    <row r="14313" spans="1:3">
      <c r="A14313" s="250">
        <v>33622</v>
      </c>
      <c r="B14313" s="74" t="s">
        <v>8487</v>
      </c>
      <c r="C14313" s="74" t="s">
        <v>420</v>
      </c>
    </row>
    <row r="14314" spans="1:3">
      <c r="A14314" s="250">
        <v>33623</v>
      </c>
      <c r="B14314" s="74" t="s">
        <v>8487</v>
      </c>
      <c r="C14314" s="74" t="s">
        <v>420</v>
      </c>
    </row>
    <row r="14315" spans="1:3">
      <c r="A14315" s="250">
        <v>33624</v>
      </c>
      <c r="B14315" s="74" t="s">
        <v>8487</v>
      </c>
      <c r="C14315" s="74" t="s">
        <v>420</v>
      </c>
    </row>
    <row r="14316" spans="1:3">
      <c r="A14316" s="250">
        <v>33625</v>
      </c>
      <c r="B14316" s="74" t="s">
        <v>8487</v>
      </c>
      <c r="C14316" s="74" t="s">
        <v>420</v>
      </c>
    </row>
    <row r="14317" spans="1:3">
      <c r="A14317" s="250">
        <v>33626</v>
      </c>
      <c r="B14317" s="74" t="s">
        <v>8487</v>
      </c>
      <c r="C14317" s="74" t="s">
        <v>420</v>
      </c>
    </row>
    <row r="14318" spans="1:3">
      <c r="A14318" s="250">
        <v>33629</v>
      </c>
      <c r="B14318" s="74" t="s">
        <v>8487</v>
      </c>
      <c r="C14318" s="74" t="s">
        <v>420</v>
      </c>
    </row>
    <row r="14319" spans="1:3">
      <c r="A14319" s="250">
        <v>33630</v>
      </c>
      <c r="B14319" s="74" t="s">
        <v>8487</v>
      </c>
      <c r="C14319" s="74" t="s">
        <v>420</v>
      </c>
    </row>
    <row r="14320" spans="1:3">
      <c r="A14320" s="250">
        <v>33631</v>
      </c>
      <c r="B14320" s="74" t="s">
        <v>8487</v>
      </c>
      <c r="C14320" s="74" t="s">
        <v>420</v>
      </c>
    </row>
    <row r="14321" spans="1:3">
      <c r="A14321" s="250">
        <v>33633</v>
      </c>
      <c r="B14321" s="74" t="s">
        <v>8487</v>
      </c>
      <c r="C14321" s="74" t="s">
        <v>420</v>
      </c>
    </row>
    <row r="14322" spans="1:3">
      <c r="A14322" s="250">
        <v>33634</v>
      </c>
      <c r="B14322" s="74" t="s">
        <v>8487</v>
      </c>
      <c r="C14322" s="74" t="s">
        <v>420</v>
      </c>
    </row>
    <row r="14323" spans="1:3">
      <c r="A14323" s="250">
        <v>33635</v>
      </c>
      <c r="B14323" s="74" t="s">
        <v>8487</v>
      </c>
      <c r="C14323" s="74" t="s">
        <v>420</v>
      </c>
    </row>
    <row r="14324" spans="1:3">
      <c r="A14324" s="250">
        <v>33637</v>
      </c>
      <c r="B14324" s="74" t="s">
        <v>8487</v>
      </c>
      <c r="C14324" s="74" t="s">
        <v>420</v>
      </c>
    </row>
    <row r="14325" spans="1:3">
      <c r="A14325" s="250">
        <v>33646</v>
      </c>
      <c r="B14325" s="74" t="s">
        <v>8487</v>
      </c>
      <c r="C14325" s="74" t="s">
        <v>420</v>
      </c>
    </row>
    <row r="14326" spans="1:3">
      <c r="A14326" s="250">
        <v>33647</v>
      </c>
      <c r="B14326" s="74" t="s">
        <v>8487</v>
      </c>
      <c r="C14326" s="74" t="s">
        <v>420</v>
      </c>
    </row>
    <row r="14327" spans="1:3">
      <c r="A14327" s="250">
        <v>33650</v>
      </c>
      <c r="B14327" s="74" t="s">
        <v>8487</v>
      </c>
      <c r="C14327" s="74" t="s">
        <v>420</v>
      </c>
    </row>
    <row r="14328" spans="1:3">
      <c r="A14328" s="250">
        <v>33651</v>
      </c>
      <c r="B14328" s="74" t="s">
        <v>8487</v>
      </c>
      <c r="C14328" s="74" t="s">
        <v>420</v>
      </c>
    </row>
    <row r="14329" spans="1:3">
      <c r="A14329" s="250">
        <v>33655</v>
      </c>
      <c r="B14329" s="74" t="s">
        <v>8487</v>
      </c>
      <c r="C14329" s="74" t="s">
        <v>420</v>
      </c>
    </row>
    <row r="14330" spans="1:3">
      <c r="A14330" s="250">
        <v>33660</v>
      </c>
      <c r="B14330" s="74" t="s">
        <v>8487</v>
      </c>
      <c r="C14330" s="74" t="s">
        <v>420</v>
      </c>
    </row>
    <row r="14331" spans="1:3">
      <c r="A14331" s="250">
        <v>33661</v>
      </c>
      <c r="B14331" s="74" t="s">
        <v>8487</v>
      </c>
      <c r="C14331" s="74" t="s">
        <v>420</v>
      </c>
    </row>
    <row r="14332" spans="1:3">
      <c r="A14332" s="250">
        <v>33662</v>
      </c>
      <c r="B14332" s="74" t="s">
        <v>8487</v>
      </c>
      <c r="C14332" s="74" t="s">
        <v>420</v>
      </c>
    </row>
    <row r="14333" spans="1:3">
      <c r="A14333" s="250">
        <v>33663</v>
      </c>
      <c r="B14333" s="74" t="s">
        <v>8487</v>
      </c>
      <c r="C14333" s="74" t="s">
        <v>420</v>
      </c>
    </row>
    <row r="14334" spans="1:3">
      <c r="A14334" s="250">
        <v>33664</v>
      </c>
      <c r="B14334" s="74" t="s">
        <v>8487</v>
      </c>
      <c r="C14334" s="74" t="s">
        <v>420</v>
      </c>
    </row>
    <row r="14335" spans="1:3">
      <c r="A14335" s="250">
        <v>33672</v>
      </c>
      <c r="B14335" s="74" t="s">
        <v>8487</v>
      </c>
      <c r="C14335" s="74" t="s">
        <v>420</v>
      </c>
    </row>
    <row r="14336" spans="1:3">
      <c r="A14336" s="250">
        <v>33673</v>
      </c>
      <c r="B14336" s="74" t="s">
        <v>8487</v>
      </c>
      <c r="C14336" s="74" t="s">
        <v>420</v>
      </c>
    </row>
    <row r="14337" spans="1:3">
      <c r="A14337" s="250">
        <v>33674</v>
      </c>
      <c r="B14337" s="74" t="s">
        <v>8487</v>
      </c>
      <c r="C14337" s="74" t="s">
        <v>420</v>
      </c>
    </row>
    <row r="14338" spans="1:3">
      <c r="A14338" s="250">
        <v>33675</v>
      </c>
      <c r="B14338" s="74" t="s">
        <v>8487</v>
      </c>
      <c r="C14338" s="74" t="s">
        <v>420</v>
      </c>
    </row>
    <row r="14339" spans="1:3">
      <c r="A14339" s="250">
        <v>33677</v>
      </c>
      <c r="B14339" s="74" t="s">
        <v>8487</v>
      </c>
      <c r="C14339" s="74" t="s">
        <v>420</v>
      </c>
    </row>
    <row r="14340" spans="1:3">
      <c r="A14340" s="250">
        <v>33679</v>
      </c>
      <c r="B14340" s="74" t="s">
        <v>8487</v>
      </c>
      <c r="C14340" s="74" t="s">
        <v>420</v>
      </c>
    </row>
    <row r="14341" spans="1:3">
      <c r="A14341" s="250">
        <v>33680</v>
      </c>
      <c r="B14341" s="74" t="s">
        <v>8487</v>
      </c>
      <c r="C14341" s="74" t="s">
        <v>420</v>
      </c>
    </row>
    <row r="14342" spans="1:3">
      <c r="A14342" s="250">
        <v>33681</v>
      </c>
      <c r="B14342" s="74" t="s">
        <v>8487</v>
      </c>
      <c r="C14342" s="74" t="s">
        <v>420</v>
      </c>
    </row>
    <row r="14343" spans="1:3">
      <c r="A14343" s="250">
        <v>33682</v>
      </c>
      <c r="B14343" s="74" t="s">
        <v>8487</v>
      </c>
      <c r="C14343" s="74" t="s">
        <v>420</v>
      </c>
    </row>
    <row r="14344" spans="1:3">
      <c r="A14344" s="250">
        <v>33684</v>
      </c>
      <c r="B14344" s="74" t="s">
        <v>8487</v>
      </c>
      <c r="C14344" s="74" t="s">
        <v>420</v>
      </c>
    </row>
    <row r="14345" spans="1:3">
      <c r="A14345" s="250">
        <v>33685</v>
      </c>
      <c r="B14345" s="74" t="s">
        <v>8487</v>
      </c>
      <c r="C14345" s="74" t="s">
        <v>420</v>
      </c>
    </row>
    <row r="14346" spans="1:3">
      <c r="A14346" s="250">
        <v>33686</v>
      </c>
      <c r="B14346" s="74" t="s">
        <v>8487</v>
      </c>
      <c r="C14346" s="74" t="s">
        <v>420</v>
      </c>
    </row>
    <row r="14347" spans="1:3">
      <c r="A14347" s="250">
        <v>33687</v>
      </c>
      <c r="B14347" s="74" t="s">
        <v>8487</v>
      </c>
      <c r="C14347" s="74" t="s">
        <v>420</v>
      </c>
    </row>
    <row r="14348" spans="1:3">
      <c r="A14348" s="250">
        <v>33688</v>
      </c>
      <c r="B14348" s="74" t="s">
        <v>8487</v>
      </c>
      <c r="C14348" s="74" t="s">
        <v>420</v>
      </c>
    </row>
    <row r="14349" spans="1:3">
      <c r="A14349" s="250">
        <v>33689</v>
      </c>
      <c r="B14349" s="74" t="s">
        <v>8487</v>
      </c>
      <c r="C14349" s="74" t="s">
        <v>420</v>
      </c>
    </row>
    <row r="14350" spans="1:3">
      <c r="A14350" s="250">
        <v>33690</v>
      </c>
      <c r="B14350" s="74" t="s">
        <v>8487</v>
      </c>
      <c r="C14350" s="74" t="s">
        <v>420</v>
      </c>
    </row>
    <row r="14351" spans="1:3">
      <c r="A14351" s="250">
        <v>33694</v>
      </c>
      <c r="B14351" s="74" t="s">
        <v>8487</v>
      </c>
      <c r="C14351" s="74" t="s">
        <v>420</v>
      </c>
    </row>
    <row r="14352" spans="1:3">
      <c r="A14352" s="250">
        <v>33701</v>
      </c>
      <c r="B14352" s="74" t="s">
        <v>4400</v>
      </c>
      <c r="C14352" s="74" t="s">
        <v>420</v>
      </c>
    </row>
    <row r="14353" spans="1:3">
      <c r="A14353" s="250">
        <v>33702</v>
      </c>
      <c r="B14353" s="74" t="s">
        <v>4400</v>
      </c>
      <c r="C14353" s="74" t="s">
        <v>420</v>
      </c>
    </row>
    <row r="14354" spans="1:3">
      <c r="A14354" s="250">
        <v>33703</v>
      </c>
      <c r="B14354" s="74" t="s">
        <v>4400</v>
      </c>
      <c r="C14354" s="74" t="s">
        <v>420</v>
      </c>
    </row>
    <row r="14355" spans="1:3">
      <c r="A14355" s="250">
        <v>33704</v>
      </c>
      <c r="B14355" s="74" t="s">
        <v>4400</v>
      </c>
      <c r="C14355" s="74" t="s">
        <v>420</v>
      </c>
    </row>
    <row r="14356" spans="1:3">
      <c r="A14356" s="250">
        <v>33705</v>
      </c>
      <c r="B14356" s="74" t="s">
        <v>4400</v>
      </c>
      <c r="C14356" s="74" t="s">
        <v>420</v>
      </c>
    </row>
    <row r="14357" spans="1:3">
      <c r="A14357" s="250">
        <v>33706</v>
      </c>
      <c r="B14357" s="74" t="s">
        <v>4400</v>
      </c>
      <c r="C14357" s="74" t="s">
        <v>420</v>
      </c>
    </row>
    <row r="14358" spans="1:3">
      <c r="A14358" s="250">
        <v>33707</v>
      </c>
      <c r="B14358" s="74" t="s">
        <v>4400</v>
      </c>
      <c r="C14358" s="74" t="s">
        <v>420</v>
      </c>
    </row>
    <row r="14359" spans="1:3">
      <c r="A14359" s="250">
        <v>33708</v>
      </c>
      <c r="B14359" s="74" t="s">
        <v>4400</v>
      </c>
      <c r="C14359" s="74" t="s">
        <v>420</v>
      </c>
    </row>
    <row r="14360" spans="1:3">
      <c r="A14360" s="250">
        <v>33709</v>
      </c>
      <c r="B14360" s="74" t="s">
        <v>4400</v>
      </c>
      <c r="C14360" s="74" t="s">
        <v>420</v>
      </c>
    </row>
    <row r="14361" spans="1:3">
      <c r="A14361" s="250">
        <v>33710</v>
      </c>
      <c r="B14361" s="74" t="s">
        <v>4400</v>
      </c>
      <c r="C14361" s="74" t="s">
        <v>420</v>
      </c>
    </row>
    <row r="14362" spans="1:3">
      <c r="A14362" s="250">
        <v>33711</v>
      </c>
      <c r="B14362" s="74" t="s">
        <v>4400</v>
      </c>
      <c r="C14362" s="74" t="s">
        <v>420</v>
      </c>
    </row>
    <row r="14363" spans="1:3">
      <c r="A14363" s="250">
        <v>33712</v>
      </c>
      <c r="B14363" s="74" t="s">
        <v>4400</v>
      </c>
      <c r="C14363" s="74" t="s">
        <v>420</v>
      </c>
    </row>
    <row r="14364" spans="1:3">
      <c r="A14364" s="250">
        <v>33713</v>
      </c>
      <c r="B14364" s="74" t="s">
        <v>4400</v>
      </c>
      <c r="C14364" s="74" t="s">
        <v>420</v>
      </c>
    </row>
    <row r="14365" spans="1:3">
      <c r="A14365" s="250">
        <v>33714</v>
      </c>
      <c r="B14365" s="74" t="s">
        <v>4400</v>
      </c>
      <c r="C14365" s="74" t="s">
        <v>420</v>
      </c>
    </row>
    <row r="14366" spans="1:3">
      <c r="A14366" s="250">
        <v>33715</v>
      </c>
      <c r="B14366" s="74" t="s">
        <v>4400</v>
      </c>
      <c r="C14366" s="74" t="s">
        <v>420</v>
      </c>
    </row>
    <row r="14367" spans="1:3">
      <c r="A14367" s="250">
        <v>33716</v>
      </c>
      <c r="B14367" s="74" t="s">
        <v>4400</v>
      </c>
      <c r="C14367" s="74" t="s">
        <v>420</v>
      </c>
    </row>
    <row r="14368" spans="1:3">
      <c r="A14368" s="250">
        <v>33729</v>
      </c>
      <c r="B14368" s="74" t="s">
        <v>4400</v>
      </c>
      <c r="C14368" s="74" t="s">
        <v>420</v>
      </c>
    </row>
    <row r="14369" spans="1:3">
      <c r="A14369" s="250">
        <v>33730</v>
      </c>
      <c r="B14369" s="74" t="s">
        <v>4400</v>
      </c>
      <c r="C14369" s="74" t="s">
        <v>420</v>
      </c>
    </row>
    <row r="14370" spans="1:3">
      <c r="A14370" s="250">
        <v>33731</v>
      </c>
      <c r="B14370" s="74" t="s">
        <v>4400</v>
      </c>
      <c r="C14370" s="74" t="s">
        <v>420</v>
      </c>
    </row>
    <row r="14371" spans="1:3">
      <c r="A14371" s="250">
        <v>33732</v>
      </c>
      <c r="B14371" s="74" t="s">
        <v>4400</v>
      </c>
      <c r="C14371" s="74" t="s">
        <v>420</v>
      </c>
    </row>
    <row r="14372" spans="1:3">
      <c r="A14372" s="250">
        <v>33733</v>
      </c>
      <c r="B14372" s="74" t="s">
        <v>4400</v>
      </c>
      <c r="C14372" s="74" t="s">
        <v>420</v>
      </c>
    </row>
    <row r="14373" spans="1:3">
      <c r="A14373" s="250">
        <v>33734</v>
      </c>
      <c r="B14373" s="74" t="s">
        <v>4400</v>
      </c>
      <c r="C14373" s="74" t="s">
        <v>420</v>
      </c>
    </row>
    <row r="14374" spans="1:3">
      <c r="A14374" s="250">
        <v>33736</v>
      </c>
      <c r="B14374" s="74" t="s">
        <v>4400</v>
      </c>
      <c r="C14374" s="74" t="s">
        <v>420</v>
      </c>
    </row>
    <row r="14375" spans="1:3">
      <c r="A14375" s="250">
        <v>33737</v>
      </c>
      <c r="B14375" s="74" t="s">
        <v>4400</v>
      </c>
      <c r="C14375" s="74" t="s">
        <v>420</v>
      </c>
    </row>
    <row r="14376" spans="1:3">
      <c r="A14376" s="250">
        <v>33738</v>
      </c>
      <c r="B14376" s="74" t="s">
        <v>4400</v>
      </c>
      <c r="C14376" s="74" t="s">
        <v>420</v>
      </c>
    </row>
    <row r="14377" spans="1:3">
      <c r="A14377" s="250">
        <v>33740</v>
      </c>
      <c r="B14377" s="74" t="s">
        <v>4400</v>
      </c>
      <c r="C14377" s="74" t="s">
        <v>420</v>
      </c>
    </row>
    <row r="14378" spans="1:3">
      <c r="A14378" s="250">
        <v>33741</v>
      </c>
      <c r="B14378" s="74" t="s">
        <v>4400</v>
      </c>
      <c r="C14378" s="74" t="s">
        <v>420</v>
      </c>
    </row>
    <row r="14379" spans="1:3">
      <c r="A14379" s="250">
        <v>33742</v>
      </c>
      <c r="B14379" s="74" t="s">
        <v>4400</v>
      </c>
      <c r="C14379" s="74" t="s">
        <v>420</v>
      </c>
    </row>
    <row r="14380" spans="1:3">
      <c r="A14380" s="250">
        <v>33743</v>
      </c>
      <c r="B14380" s="74" t="s">
        <v>4400</v>
      </c>
      <c r="C14380" s="74" t="s">
        <v>420</v>
      </c>
    </row>
    <row r="14381" spans="1:3">
      <c r="A14381" s="250">
        <v>33744</v>
      </c>
      <c r="B14381" s="74" t="s">
        <v>8488</v>
      </c>
      <c r="C14381" s="74" t="s">
        <v>420</v>
      </c>
    </row>
    <row r="14382" spans="1:3">
      <c r="A14382" s="250">
        <v>33747</v>
      </c>
      <c r="B14382" s="74" t="s">
        <v>4400</v>
      </c>
      <c r="C14382" s="74" t="s">
        <v>420</v>
      </c>
    </row>
    <row r="14383" spans="1:3">
      <c r="A14383" s="250">
        <v>33755</v>
      </c>
      <c r="B14383" s="74" t="s">
        <v>7813</v>
      </c>
      <c r="C14383" s="74" t="s">
        <v>420</v>
      </c>
    </row>
    <row r="14384" spans="1:3">
      <c r="A14384" s="250">
        <v>33756</v>
      </c>
      <c r="B14384" s="74" t="s">
        <v>7813</v>
      </c>
      <c r="C14384" s="74" t="s">
        <v>420</v>
      </c>
    </row>
    <row r="14385" spans="1:3">
      <c r="A14385" s="250">
        <v>33757</v>
      </c>
      <c r="B14385" s="74" t="s">
        <v>7813</v>
      </c>
      <c r="C14385" s="74" t="s">
        <v>420</v>
      </c>
    </row>
    <row r="14386" spans="1:3">
      <c r="A14386" s="250">
        <v>33758</v>
      </c>
      <c r="B14386" s="74" t="s">
        <v>7813</v>
      </c>
      <c r="C14386" s="74" t="s">
        <v>420</v>
      </c>
    </row>
    <row r="14387" spans="1:3">
      <c r="A14387" s="250">
        <v>33759</v>
      </c>
      <c r="B14387" s="74" t="s">
        <v>7813</v>
      </c>
      <c r="C14387" s="74" t="s">
        <v>420</v>
      </c>
    </row>
    <row r="14388" spans="1:3">
      <c r="A14388" s="250">
        <v>33760</v>
      </c>
      <c r="B14388" s="74" t="s">
        <v>7813</v>
      </c>
      <c r="C14388" s="74" t="s">
        <v>420</v>
      </c>
    </row>
    <row r="14389" spans="1:3">
      <c r="A14389" s="250">
        <v>33761</v>
      </c>
      <c r="B14389" s="74" t="s">
        <v>7813</v>
      </c>
      <c r="C14389" s="74" t="s">
        <v>420</v>
      </c>
    </row>
    <row r="14390" spans="1:3">
      <c r="A14390" s="250">
        <v>33762</v>
      </c>
      <c r="B14390" s="74" t="s">
        <v>7813</v>
      </c>
      <c r="C14390" s="74" t="s">
        <v>420</v>
      </c>
    </row>
    <row r="14391" spans="1:3">
      <c r="A14391" s="250">
        <v>33763</v>
      </c>
      <c r="B14391" s="74" t="s">
        <v>7813</v>
      </c>
      <c r="C14391" s="74" t="s">
        <v>420</v>
      </c>
    </row>
    <row r="14392" spans="1:3">
      <c r="A14392" s="250">
        <v>33764</v>
      </c>
      <c r="B14392" s="74" t="s">
        <v>7813</v>
      </c>
      <c r="C14392" s="74" t="s">
        <v>420</v>
      </c>
    </row>
    <row r="14393" spans="1:3">
      <c r="A14393" s="250">
        <v>33765</v>
      </c>
      <c r="B14393" s="74" t="s">
        <v>7813</v>
      </c>
      <c r="C14393" s="74" t="s">
        <v>420</v>
      </c>
    </row>
    <row r="14394" spans="1:3">
      <c r="A14394" s="250">
        <v>33766</v>
      </c>
      <c r="B14394" s="74" t="s">
        <v>7813</v>
      </c>
      <c r="C14394" s="74" t="s">
        <v>420</v>
      </c>
    </row>
    <row r="14395" spans="1:3">
      <c r="A14395" s="250">
        <v>33767</v>
      </c>
      <c r="B14395" s="74" t="s">
        <v>8489</v>
      </c>
      <c r="C14395" s="74" t="s">
        <v>420</v>
      </c>
    </row>
    <row r="14396" spans="1:3">
      <c r="A14396" s="250">
        <v>33769</v>
      </c>
      <c r="B14396" s="74" t="s">
        <v>7813</v>
      </c>
      <c r="C14396" s="74" t="s">
        <v>420</v>
      </c>
    </row>
    <row r="14397" spans="1:3">
      <c r="A14397" s="250">
        <v>33770</v>
      </c>
      <c r="B14397" s="74" t="s">
        <v>8490</v>
      </c>
      <c r="C14397" s="74" t="s">
        <v>420</v>
      </c>
    </row>
    <row r="14398" spans="1:3">
      <c r="A14398" s="250">
        <v>33771</v>
      </c>
      <c r="B14398" s="74" t="s">
        <v>8490</v>
      </c>
      <c r="C14398" s="74" t="s">
        <v>420</v>
      </c>
    </row>
    <row r="14399" spans="1:3">
      <c r="A14399" s="250">
        <v>33772</v>
      </c>
      <c r="B14399" s="74" t="s">
        <v>4464</v>
      </c>
      <c r="C14399" s="74" t="s">
        <v>420</v>
      </c>
    </row>
    <row r="14400" spans="1:3">
      <c r="A14400" s="250">
        <v>33773</v>
      </c>
      <c r="B14400" s="74" t="s">
        <v>8490</v>
      </c>
      <c r="C14400" s="74" t="s">
        <v>420</v>
      </c>
    </row>
    <row r="14401" spans="1:3">
      <c r="A14401" s="250">
        <v>33774</v>
      </c>
      <c r="B14401" s="74" t="s">
        <v>8490</v>
      </c>
      <c r="C14401" s="74" t="s">
        <v>420</v>
      </c>
    </row>
    <row r="14402" spans="1:3">
      <c r="A14402" s="250">
        <v>33775</v>
      </c>
      <c r="B14402" s="74" t="s">
        <v>4464</v>
      </c>
      <c r="C14402" s="74" t="s">
        <v>420</v>
      </c>
    </row>
    <row r="14403" spans="1:3">
      <c r="A14403" s="250">
        <v>33776</v>
      </c>
      <c r="B14403" s="74" t="s">
        <v>4464</v>
      </c>
      <c r="C14403" s="74" t="s">
        <v>420</v>
      </c>
    </row>
    <row r="14404" spans="1:3">
      <c r="A14404" s="250">
        <v>33777</v>
      </c>
      <c r="B14404" s="74" t="s">
        <v>4464</v>
      </c>
      <c r="C14404" s="74" t="s">
        <v>420</v>
      </c>
    </row>
    <row r="14405" spans="1:3">
      <c r="A14405" s="250">
        <v>33778</v>
      </c>
      <c r="B14405" s="74" t="s">
        <v>8490</v>
      </c>
      <c r="C14405" s="74" t="s">
        <v>420</v>
      </c>
    </row>
    <row r="14406" spans="1:3">
      <c r="A14406" s="250">
        <v>33779</v>
      </c>
      <c r="B14406" s="74" t="s">
        <v>8490</v>
      </c>
      <c r="C14406" s="74" t="s">
        <v>420</v>
      </c>
    </row>
    <row r="14407" spans="1:3">
      <c r="A14407" s="250">
        <v>33780</v>
      </c>
      <c r="B14407" s="74" t="s">
        <v>8491</v>
      </c>
      <c r="C14407" s="74" t="s">
        <v>420</v>
      </c>
    </row>
    <row r="14408" spans="1:3">
      <c r="A14408" s="250">
        <v>33781</v>
      </c>
      <c r="B14408" s="74" t="s">
        <v>8491</v>
      </c>
      <c r="C14408" s="74" t="s">
        <v>420</v>
      </c>
    </row>
    <row r="14409" spans="1:3">
      <c r="A14409" s="250">
        <v>33782</v>
      </c>
      <c r="B14409" s="74" t="s">
        <v>8491</v>
      </c>
      <c r="C14409" s="74" t="s">
        <v>420</v>
      </c>
    </row>
    <row r="14410" spans="1:3">
      <c r="A14410" s="250">
        <v>33784</v>
      </c>
      <c r="B14410" s="74" t="s">
        <v>4400</v>
      </c>
      <c r="C14410" s="74" t="s">
        <v>420</v>
      </c>
    </row>
    <row r="14411" spans="1:3">
      <c r="A14411" s="250">
        <v>33785</v>
      </c>
      <c r="B14411" s="74" t="s">
        <v>8492</v>
      </c>
      <c r="C14411" s="74" t="s">
        <v>420</v>
      </c>
    </row>
    <row r="14412" spans="1:3">
      <c r="A14412" s="250">
        <v>33786</v>
      </c>
      <c r="B14412" s="74" t="s">
        <v>8493</v>
      </c>
      <c r="C14412" s="74" t="s">
        <v>420</v>
      </c>
    </row>
    <row r="14413" spans="1:3">
      <c r="A14413" s="250">
        <v>33801</v>
      </c>
      <c r="B14413" s="74" t="s">
        <v>8151</v>
      </c>
      <c r="C14413" s="74" t="s">
        <v>420</v>
      </c>
    </row>
    <row r="14414" spans="1:3">
      <c r="A14414" s="250">
        <v>33802</v>
      </c>
      <c r="B14414" s="74" t="s">
        <v>8151</v>
      </c>
      <c r="C14414" s="74" t="s">
        <v>420</v>
      </c>
    </row>
    <row r="14415" spans="1:3">
      <c r="A14415" s="250">
        <v>33803</v>
      </c>
      <c r="B14415" s="74" t="s">
        <v>8151</v>
      </c>
      <c r="C14415" s="74" t="s">
        <v>420</v>
      </c>
    </row>
    <row r="14416" spans="1:3">
      <c r="A14416" s="250">
        <v>33804</v>
      </c>
      <c r="B14416" s="74" t="s">
        <v>8151</v>
      </c>
      <c r="C14416" s="74" t="s">
        <v>420</v>
      </c>
    </row>
    <row r="14417" spans="1:3">
      <c r="A14417" s="250">
        <v>33805</v>
      </c>
      <c r="B14417" s="74" t="s">
        <v>8151</v>
      </c>
      <c r="C14417" s="74" t="s">
        <v>420</v>
      </c>
    </row>
    <row r="14418" spans="1:3">
      <c r="A14418" s="250">
        <v>33806</v>
      </c>
      <c r="B14418" s="74" t="s">
        <v>8151</v>
      </c>
      <c r="C14418" s="74" t="s">
        <v>420</v>
      </c>
    </row>
    <row r="14419" spans="1:3">
      <c r="A14419" s="250">
        <v>33807</v>
      </c>
      <c r="B14419" s="74" t="s">
        <v>8151</v>
      </c>
      <c r="C14419" s="74" t="s">
        <v>420</v>
      </c>
    </row>
    <row r="14420" spans="1:3">
      <c r="A14420" s="250">
        <v>33809</v>
      </c>
      <c r="B14420" s="74" t="s">
        <v>8151</v>
      </c>
      <c r="C14420" s="74" t="s">
        <v>420</v>
      </c>
    </row>
    <row r="14421" spans="1:3">
      <c r="A14421" s="250">
        <v>33810</v>
      </c>
      <c r="B14421" s="74" t="s">
        <v>8151</v>
      </c>
      <c r="C14421" s="74" t="s">
        <v>420</v>
      </c>
    </row>
    <row r="14422" spans="1:3">
      <c r="A14422" s="250">
        <v>33811</v>
      </c>
      <c r="B14422" s="74" t="s">
        <v>8151</v>
      </c>
      <c r="C14422" s="74" t="s">
        <v>420</v>
      </c>
    </row>
    <row r="14423" spans="1:3">
      <c r="A14423" s="250">
        <v>33812</v>
      </c>
      <c r="B14423" s="74" t="s">
        <v>8151</v>
      </c>
      <c r="C14423" s="74" t="s">
        <v>420</v>
      </c>
    </row>
    <row r="14424" spans="1:3">
      <c r="A14424" s="250">
        <v>33813</v>
      </c>
      <c r="B14424" s="74" t="s">
        <v>8151</v>
      </c>
      <c r="C14424" s="74" t="s">
        <v>420</v>
      </c>
    </row>
    <row r="14425" spans="1:3">
      <c r="A14425" s="250">
        <v>33815</v>
      </c>
      <c r="B14425" s="74" t="s">
        <v>8151</v>
      </c>
      <c r="C14425" s="74" t="s">
        <v>420</v>
      </c>
    </row>
    <row r="14426" spans="1:3">
      <c r="A14426" s="250">
        <v>33820</v>
      </c>
      <c r="B14426" s="74" t="s">
        <v>8494</v>
      </c>
      <c r="C14426" s="74" t="s">
        <v>420</v>
      </c>
    </row>
    <row r="14427" spans="1:3">
      <c r="A14427" s="250">
        <v>33823</v>
      </c>
      <c r="B14427" s="74" t="s">
        <v>980</v>
      </c>
      <c r="C14427" s="74" t="s">
        <v>420</v>
      </c>
    </row>
    <row r="14428" spans="1:3">
      <c r="A14428" s="250">
        <v>33825</v>
      </c>
      <c r="B14428" s="74" t="s">
        <v>8495</v>
      </c>
      <c r="C14428" s="74" t="s">
        <v>420</v>
      </c>
    </row>
    <row r="14429" spans="1:3">
      <c r="A14429" s="250">
        <v>33826</v>
      </c>
      <c r="B14429" s="74" t="s">
        <v>8495</v>
      </c>
      <c r="C14429" s="74" t="s">
        <v>420</v>
      </c>
    </row>
    <row r="14430" spans="1:3">
      <c r="A14430" s="250">
        <v>33827</v>
      </c>
      <c r="B14430" s="74" t="s">
        <v>972</v>
      </c>
      <c r="C14430" s="74" t="s">
        <v>420</v>
      </c>
    </row>
    <row r="14431" spans="1:3">
      <c r="A14431" s="250">
        <v>33830</v>
      </c>
      <c r="B14431" s="74" t="s">
        <v>6547</v>
      </c>
      <c r="C14431" s="74" t="s">
        <v>420</v>
      </c>
    </row>
    <row r="14432" spans="1:3">
      <c r="A14432" s="250">
        <v>33831</v>
      </c>
      <c r="B14432" s="74" t="s">
        <v>6547</v>
      </c>
      <c r="C14432" s="74" t="s">
        <v>420</v>
      </c>
    </row>
    <row r="14433" spans="1:3">
      <c r="A14433" s="250">
        <v>33834</v>
      </c>
      <c r="B14433" s="74" t="s">
        <v>5879</v>
      </c>
      <c r="C14433" s="74" t="s">
        <v>420</v>
      </c>
    </row>
    <row r="14434" spans="1:3">
      <c r="A14434" s="250">
        <v>33835</v>
      </c>
      <c r="B14434" s="74" t="s">
        <v>1490</v>
      </c>
      <c r="C14434" s="74" t="s">
        <v>420</v>
      </c>
    </row>
    <row r="14435" spans="1:3">
      <c r="A14435" s="250">
        <v>33836</v>
      </c>
      <c r="B14435" s="74" t="s">
        <v>3605</v>
      </c>
      <c r="C14435" s="74" t="s">
        <v>420</v>
      </c>
    </row>
    <row r="14436" spans="1:3">
      <c r="A14436" s="250">
        <v>33837</v>
      </c>
      <c r="B14436" s="74" t="s">
        <v>3605</v>
      </c>
      <c r="C14436" s="74" t="s">
        <v>420</v>
      </c>
    </row>
    <row r="14437" spans="1:3">
      <c r="A14437" s="250">
        <v>33838</v>
      </c>
      <c r="B14437" s="74" t="s">
        <v>3912</v>
      </c>
      <c r="C14437" s="74" t="s">
        <v>420</v>
      </c>
    </row>
    <row r="14438" spans="1:3">
      <c r="A14438" s="250">
        <v>33839</v>
      </c>
      <c r="B14438" s="74" t="s">
        <v>1627</v>
      </c>
      <c r="C14438" s="74" t="s">
        <v>420</v>
      </c>
    </row>
    <row r="14439" spans="1:3">
      <c r="A14439" s="250">
        <v>33840</v>
      </c>
      <c r="B14439" s="74" t="s">
        <v>8496</v>
      </c>
      <c r="C14439" s="74" t="s">
        <v>420</v>
      </c>
    </row>
    <row r="14440" spans="1:3">
      <c r="A14440" s="250">
        <v>33841</v>
      </c>
      <c r="B14440" s="74" t="s">
        <v>8497</v>
      </c>
      <c r="C14440" s="74" t="s">
        <v>420</v>
      </c>
    </row>
    <row r="14441" spans="1:3">
      <c r="A14441" s="250">
        <v>33843</v>
      </c>
      <c r="B14441" s="74" t="s">
        <v>8498</v>
      </c>
      <c r="C14441" s="74" t="s">
        <v>420</v>
      </c>
    </row>
    <row r="14442" spans="1:3">
      <c r="A14442" s="250">
        <v>33844</v>
      </c>
      <c r="B14442" s="74" t="s">
        <v>8499</v>
      </c>
      <c r="C14442" s="74" t="s">
        <v>420</v>
      </c>
    </row>
    <row r="14443" spans="1:3">
      <c r="A14443" s="250">
        <v>33845</v>
      </c>
      <c r="B14443" s="74" t="s">
        <v>8499</v>
      </c>
      <c r="C14443" s="74" t="s">
        <v>420</v>
      </c>
    </row>
    <row r="14444" spans="1:3">
      <c r="A14444" s="250">
        <v>33846</v>
      </c>
      <c r="B14444" s="74" t="s">
        <v>8500</v>
      </c>
      <c r="C14444" s="74" t="s">
        <v>420</v>
      </c>
    </row>
    <row r="14445" spans="1:3">
      <c r="A14445" s="250">
        <v>33847</v>
      </c>
      <c r="B14445" s="74" t="s">
        <v>8501</v>
      </c>
      <c r="C14445" s="74" t="s">
        <v>420</v>
      </c>
    </row>
    <row r="14446" spans="1:3">
      <c r="A14446" s="250">
        <v>33848</v>
      </c>
      <c r="B14446" s="74" t="s">
        <v>8502</v>
      </c>
      <c r="C14446" s="74" t="s">
        <v>420</v>
      </c>
    </row>
    <row r="14447" spans="1:3">
      <c r="A14447" s="250">
        <v>33849</v>
      </c>
      <c r="B14447" s="74" t="s">
        <v>8081</v>
      </c>
      <c r="C14447" s="74" t="s">
        <v>420</v>
      </c>
    </row>
    <row r="14448" spans="1:3">
      <c r="A14448" s="250">
        <v>33850</v>
      </c>
      <c r="B14448" s="74" t="s">
        <v>8503</v>
      </c>
      <c r="C14448" s="74" t="s">
        <v>420</v>
      </c>
    </row>
    <row r="14449" spans="1:3">
      <c r="A14449" s="250">
        <v>33851</v>
      </c>
      <c r="B14449" s="74" t="s">
        <v>8504</v>
      </c>
      <c r="C14449" s="74" t="s">
        <v>420</v>
      </c>
    </row>
    <row r="14450" spans="1:3">
      <c r="A14450" s="250">
        <v>33852</v>
      </c>
      <c r="B14450" s="74" t="s">
        <v>3301</v>
      </c>
      <c r="C14450" s="74" t="s">
        <v>420</v>
      </c>
    </row>
    <row r="14451" spans="1:3">
      <c r="A14451" s="250">
        <v>33853</v>
      </c>
      <c r="B14451" s="74" t="s">
        <v>8505</v>
      </c>
      <c r="C14451" s="74" t="s">
        <v>420</v>
      </c>
    </row>
    <row r="14452" spans="1:3">
      <c r="A14452" s="250">
        <v>33854</v>
      </c>
      <c r="B14452" s="74" t="s">
        <v>8506</v>
      </c>
      <c r="C14452" s="74" t="s">
        <v>420</v>
      </c>
    </row>
    <row r="14453" spans="1:3">
      <c r="A14453" s="250">
        <v>33855</v>
      </c>
      <c r="B14453" s="74" t="s">
        <v>8507</v>
      </c>
      <c r="C14453" s="74" t="s">
        <v>420</v>
      </c>
    </row>
    <row r="14454" spans="1:3">
      <c r="A14454" s="250">
        <v>33856</v>
      </c>
      <c r="B14454" s="74" t="s">
        <v>8508</v>
      </c>
      <c r="C14454" s="74" t="s">
        <v>420</v>
      </c>
    </row>
    <row r="14455" spans="1:3">
      <c r="A14455" s="250">
        <v>33857</v>
      </c>
      <c r="B14455" s="74" t="s">
        <v>8509</v>
      </c>
      <c r="C14455" s="74" t="s">
        <v>420</v>
      </c>
    </row>
    <row r="14456" spans="1:3">
      <c r="A14456" s="250">
        <v>33858</v>
      </c>
      <c r="B14456" s="74" t="s">
        <v>8510</v>
      </c>
      <c r="C14456" s="74" t="s">
        <v>420</v>
      </c>
    </row>
    <row r="14457" spans="1:3">
      <c r="A14457" s="250">
        <v>33859</v>
      </c>
      <c r="B14457" s="74" t="s">
        <v>8505</v>
      </c>
      <c r="C14457" s="74" t="s">
        <v>420</v>
      </c>
    </row>
    <row r="14458" spans="1:3">
      <c r="A14458" s="250">
        <v>33860</v>
      </c>
      <c r="B14458" s="74" t="s">
        <v>8511</v>
      </c>
      <c r="C14458" s="74" t="s">
        <v>420</v>
      </c>
    </row>
    <row r="14459" spans="1:3">
      <c r="A14459" s="250">
        <v>33862</v>
      </c>
      <c r="B14459" s="74" t="s">
        <v>3301</v>
      </c>
      <c r="C14459" s="74" t="s">
        <v>420</v>
      </c>
    </row>
    <row r="14460" spans="1:3">
      <c r="A14460" s="250">
        <v>33863</v>
      </c>
      <c r="B14460" s="74" t="s">
        <v>3636</v>
      </c>
      <c r="C14460" s="74" t="s">
        <v>420</v>
      </c>
    </row>
    <row r="14461" spans="1:3">
      <c r="A14461" s="250">
        <v>33865</v>
      </c>
      <c r="B14461" s="74" t="s">
        <v>6723</v>
      </c>
      <c r="C14461" s="74" t="s">
        <v>420</v>
      </c>
    </row>
    <row r="14462" spans="1:3">
      <c r="A14462" s="250">
        <v>33867</v>
      </c>
      <c r="B14462" s="74" t="s">
        <v>8512</v>
      </c>
      <c r="C14462" s="74" t="s">
        <v>420</v>
      </c>
    </row>
    <row r="14463" spans="1:3">
      <c r="A14463" s="250">
        <v>33868</v>
      </c>
      <c r="B14463" s="74" t="s">
        <v>8513</v>
      </c>
      <c r="C14463" s="74" t="s">
        <v>420</v>
      </c>
    </row>
    <row r="14464" spans="1:3">
      <c r="A14464" s="250">
        <v>33870</v>
      </c>
      <c r="B14464" s="74" t="s">
        <v>8514</v>
      </c>
      <c r="C14464" s="74" t="s">
        <v>420</v>
      </c>
    </row>
    <row r="14465" spans="1:3">
      <c r="A14465" s="250">
        <v>33871</v>
      </c>
      <c r="B14465" s="74" t="s">
        <v>8514</v>
      </c>
      <c r="C14465" s="74" t="s">
        <v>420</v>
      </c>
    </row>
    <row r="14466" spans="1:3">
      <c r="A14466" s="250">
        <v>33872</v>
      </c>
      <c r="B14466" s="74" t="s">
        <v>8514</v>
      </c>
      <c r="C14466" s="74" t="s">
        <v>420</v>
      </c>
    </row>
    <row r="14467" spans="1:3">
      <c r="A14467" s="250">
        <v>33873</v>
      </c>
      <c r="B14467" s="74" t="s">
        <v>8515</v>
      </c>
      <c r="C14467" s="74" t="s">
        <v>420</v>
      </c>
    </row>
    <row r="14468" spans="1:3">
      <c r="A14468" s="250">
        <v>33875</v>
      </c>
      <c r="B14468" s="74" t="s">
        <v>8514</v>
      </c>
      <c r="C14468" s="74" t="s">
        <v>420</v>
      </c>
    </row>
    <row r="14469" spans="1:3">
      <c r="A14469" s="250">
        <v>33876</v>
      </c>
      <c r="B14469" s="74" t="s">
        <v>8514</v>
      </c>
      <c r="C14469" s="74" t="s">
        <v>420</v>
      </c>
    </row>
    <row r="14470" spans="1:3">
      <c r="A14470" s="250">
        <v>33877</v>
      </c>
      <c r="B14470" s="74" t="s">
        <v>3950</v>
      </c>
      <c r="C14470" s="74" t="s">
        <v>420</v>
      </c>
    </row>
    <row r="14471" spans="1:3">
      <c r="A14471" s="250">
        <v>33880</v>
      </c>
      <c r="B14471" s="74" t="s">
        <v>8516</v>
      </c>
      <c r="C14471" s="74" t="s">
        <v>420</v>
      </c>
    </row>
    <row r="14472" spans="1:3">
      <c r="A14472" s="250">
        <v>33881</v>
      </c>
      <c r="B14472" s="74" t="s">
        <v>8516</v>
      </c>
      <c r="C14472" s="74" t="s">
        <v>420</v>
      </c>
    </row>
    <row r="14473" spans="1:3">
      <c r="A14473" s="250">
        <v>33882</v>
      </c>
      <c r="B14473" s="74" t="s">
        <v>8516</v>
      </c>
      <c r="C14473" s="74" t="s">
        <v>420</v>
      </c>
    </row>
    <row r="14474" spans="1:3">
      <c r="A14474" s="250">
        <v>33883</v>
      </c>
      <c r="B14474" s="74" t="s">
        <v>8516</v>
      </c>
      <c r="C14474" s="74" t="s">
        <v>420</v>
      </c>
    </row>
    <row r="14475" spans="1:3">
      <c r="A14475" s="250">
        <v>33884</v>
      </c>
      <c r="B14475" s="74" t="s">
        <v>8516</v>
      </c>
      <c r="C14475" s="74" t="s">
        <v>420</v>
      </c>
    </row>
    <row r="14476" spans="1:3">
      <c r="A14476" s="250">
        <v>33885</v>
      </c>
      <c r="B14476" s="74" t="s">
        <v>8516</v>
      </c>
      <c r="C14476" s="74" t="s">
        <v>420</v>
      </c>
    </row>
    <row r="14477" spans="1:3">
      <c r="A14477" s="250">
        <v>33888</v>
      </c>
      <c r="B14477" s="74" t="s">
        <v>8516</v>
      </c>
      <c r="C14477" s="74" t="s">
        <v>420</v>
      </c>
    </row>
    <row r="14478" spans="1:3">
      <c r="A14478" s="250">
        <v>33890</v>
      </c>
      <c r="B14478" s="74" t="s">
        <v>8517</v>
      </c>
      <c r="C14478" s="74" t="s">
        <v>420</v>
      </c>
    </row>
    <row r="14479" spans="1:3">
      <c r="A14479" s="250">
        <v>33896</v>
      </c>
      <c r="B14479" s="74" t="s">
        <v>3605</v>
      </c>
      <c r="C14479" s="74" t="s">
        <v>420</v>
      </c>
    </row>
    <row r="14480" spans="1:3">
      <c r="A14480" s="250">
        <v>33897</v>
      </c>
      <c r="B14480" s="74" t="s">
        <v>3605</v>
      </c>
      <c r="C14480" s="74" t="s">
        <v>420</v>
      </c>
    </row>
    <row r="14481" spans="1:3">
      <c r="A14481" s="250">
        <v>33898</v>
      </c>
      <c r="B14481" s="74" t="s">
        <v>8505</v>
      </c>
      <c r="C14481" s="74" t="s">
        <v>420</v>
      </c>
    </row>
    <row r="14482" spans="1:3">
      <c r="A14482" s="250">
        <v>33900</v>
      </c>
      <c r="B14482" s="74" t="s">
        <v>8518</v>
      </c>
      <c r="C14482" s="74" t="s">
        <v>420</v>
      </c>
    </row>
    <row r="14483" spans="1:3">
      <c r="A14483" s="250">
        <v>33901</v>
      </c>
      <c r="B14483" s="74" t="s">
        <v>8518</v>
      </c>
      <c r="C14483" s="74" t="s">
        <v>420</v>
      </c>
    </row>
    <row r="14484" spans="1:3">
      <c r="A14484" s="250">
        <v>33902</v>
      </c>
      <c r="B14484" s="74" t="s">
        <v>8518</v>
      </c>
      <c r="C14484" s="74" t="s">
        <v>420</v>
      </c>
    </row>
    <row r="14485" spans="1:3">
      <c r="A14485" s="250">
        <v>33903</v>
      </c>
      <c r="B14485" s="74" t="s">
        <v>8519</v>
      </c>
      <c r="C14485" s="74" t="s">
        <v>420</v>
      </c>
    </row>
    <row r="14486" spans="1:3">
      <c r="A14486" s="250">
        <v>33904</v>
      </c>
      <c r="B14486" s="74" t="s">
        <v>8520</v>
      </c>
      <c r="C14486" s="74" t="s">
        <v>420</v>
      </c>
    </row>
    <row r="14487" spans="1:3">
      <c r="A14487" s="250">
        <v>33905</v>
      </c>
      <c r="B14487" s="74" t="s">
        <v>8518</v>
      </c>
      <c r="C14487" s="74" t="s">
        <v>420</v>
      </c>
    </row>
    <row r="14488" spans="1:3">
      <c r="A14488" s="250">
        <v>33906</v>
      </c>
      <c r="B14488" s="74" t="s">
        <v>8518</v>
      </c>
      <c r="C14488" s="74" t="s">
        <v>420</v>
      </c>
    </row>
    <row r="14489" spans="1:3">
      <c r="A14489" s="250">
        <v>33907</v>
      </c>
      <c r="B14489" s="74" t="s">
        <v>8518</v>
      </c>
      <c r="C14489" s="74" t="s">
        <v>420</v>
      </c>
    </row>
    <row r="14490" spans="1:3">
      <c r="A14490" s="250">
        <v>33908</v>
      </c>
      <c r="B14490" s="74" t="s">
        <v>8518</v>
      </c>
      <c r="C14490" s="74" t="s">
        <v>420</v>
      </c>
    </row>
    <row r="14491" spans="1:3">
      <c r="A14491" s="250">
        <v>33909</v>
      </c>
      <c r="B14491" s="74" t="s">
        <v>8520</v>
      </c>
      <c r="C14491" s="74" t="s">
        <v>420</v>
      </c>
    </row>
    <row r="14492" spans="1:3">
      <c r="A14492" s="250">
        <v>33910</v>
      </c>
      <c r="B14492" s="74" t="s">
        <v>8520</v>
      </c>
      <c r="C14492" s="74" t="s">
        <v>420</v>
      </c>
    </row>
    <row r="14493" spans="1:3">
      <c r="A14493" s="250">
        <v>33911</v>
      </c>
      <c r="B14493" s="74" t="s">
        <v>8518</v>
      </c>
      <c r="C14493" s="74" t="s">
        <v>420</v>
      </c>
    </row>
    <row r="14494" spans="1:3">
      <c r="A14494" s="250">
        <v>33912</v>
      </c>
      <c r="B14494" s="74" t="s">
        <v>8518</v>
      </c>
      <c r="C14494" s="74" t="s">
        <v>420</v>
      </c>
    </row>
    <row r="14495" spans="1:3">
      <c r="A14495" s="250">
        <v>33913</v>
      </c>
      <c r="B14495" s="74" t="s">
        <v>8518</v>
      </c>
      <c r="C14495" s="74" t="s">
        <v>420</v>
      </c>
    </row>
    <row r="14496" spans="1:3">
      <c r="A14496" s="250">
        <v>33914</v>
      </c>
      <c r="B14496" s="74" t="s">
        <v>8520</v>
      </c>
      <c r="C14496" s="74" t="s">
        <v>420</v>
      </c>
    </row>
    <row r="14497" spans="1:3">
      <c r="A14497" s="250">
        <v>33915</v>
      </c>
      <c r="B14497" s="74" t="s">
        <v>8520</v>
      </c>
      <c r="C14497" s="74" t="s">
        <v>420</v>
      </c>
    </row>
    <row r="14498" spans="1:3">
      <c r="A14498" s="250">
        <v>33916</v>
      </c>
      <c r="B14498" s="74" t="s">
        <v>8518</v>
      </c>
      <c r="C14498" s="74" t="s">
        <v>420</v>
      </c>
    </row>
    <row r="14499" spans="1:3">
      <c r="A14499" s="250">
        <v>33917</v>
      </c>
      <c r="B14499" s="74" t="s">
        <v>8519</v>
      </c>
      <c r="C14499" s="74" t="s">
        <v>420</v>
      </c>
    </row>
    <row r="14500" spans="1:3">
      <c r="A14500" s="250">
        <v>33918</v>
      </c>
      <c r="B14500" s="74" t="s">
        <v>8519</v>
      </c>
      <c r="C14500" s="74" t="s">
        <v>420</v>
      </c>
    </row>
    <row r="14501" spans="1:3">
      <c r="A14501" s="250">
        <v>33919</v>
      </c>
      <c r="B14501" s="74" t="s">
        <v>8518</v>
      </c>
      <c r="C14501" s="74" t="s">
        <v>420</v>
      </c>
    </row>
    <row r="14502" spans="1:3">
      <c r="A14502" s="250">
        <v>33920</v>
      </c>
      <c r="B14502" s="74" t="s">
        <v>8521</v>
      </c>
      <c r="C14502" s="74" t="s">
        <v>420</v>
      </c>
    </row>
    <row r="14503" spans="1:3">
      <c r="A14503" s="250">
        <v>33921</v>
      </c>
      <c r="B14503" s="74" t="s">
        <v>8522</v>
      </c>
      <c r="C14503" s="74" t="s">
        <v>420</v>
      </c>
    </row>
    <row r="14504" spans="1:3">
      <c r="A14504" s="250">
        <v>33922</v>
      </c>
      <c r="B14504" s="74" t="s">
        <v>8523</v>
      </c>
      <c r="C14504" s="74" t="s">
        <v>420</v>
      </c>
    </row>
    <row r="14505" spans="1:3">
      <c r="A14505" s="250">
        <v>33924</v>
      </c>
      <c r="B14505" s="74" t="s">
        <v>8524</v>
      </c>
      <c r="C14505" s="74" t="s">
        <v>420</v>
      </c>
    </row>
    <row r="14506" spans="1:3">
      <c r="A14506" s="250">
        <v>33927</v>
      </c>
      <c r="B14506" s="74" t="s">
        <v>8525</v>
      </c>
      <c r="C14506" s="74" t="s">
        <v>420</v>
      </c>
    </row>
    <row r="14507" spans="1:3">
      <c r="A14507" s="250">
        <v>33928</v>
      </c>
      <c r="B14507" s="74" t="s">
        <v>8526</v>
      </c>
      <c r="C14507" s="74" t="s">
        <v>420</v>
      </c>
    </row>
    <row r="14508" spans="1:3">
      <c r="A14508" s="250">
        <v>33929</v>
      </c>
      <c r="B14508" s="74" t="s">
        <v>8526</v>
      </c>
      <c r="C14508" s="74" t="s">
        <v>420</v>
      </c>
    </row>
    <row r="14509" spans="1:3">
      <c r="A14509" s="250">
        <v>33930</v>
      </c>
      <c r="B14509" s="74" t="s">
        <v>8527</v>
      </c>
      <c r="C14509" s="74" t="s">
        <v>420</v>
      </c>
    </row>
    <row r="14510" spans="1:3">
      <c r="A14510" s="250">
        <v>33931</v>
      </c>
      <c r="B14510" s="74" t="s">
        <v>8528</v>
      </c>
      <c r="C14510" s="74" t="s">
        <v>420</v>
      </c>
    </row>
    <row r="14511" spans="1:3">
      <c r="A14511" s="250">
        <v>33932</v>
      </c>
      <c r="B14511" s="74" t="s">
        <v>8528</v>
      </c>
      <c r="C14511" s="74" t="s">
        <v>420</v>
      </c>
    </row>
    <row r="14512" spans="1:3">
      <c r="A14512" s="250">
        <v>33935</v>
      </c>
      <c r="B14512" s="74" t="s">
        <v>8529</v>
      </c>
      <c r="C14512" s="74" t="s">
        <v>420</v>
      </c>
    </row>
    <row r="14513" spans="1:3">
      <c r="A14513" s="250">
        <v>33936</v>
      </c>
      <c r="B14513" s="74" t="s">
        <v>8530</v>
      </c>
      <c r="C14513" s="74" t="s">
        <v>420</v>
      </c>
    </row>
    <row r="14514" spans="1:3">
      <c r="A14514" s="250">
        <v>33938</v>
      </c>
      <c r="B14514" s="74" t="s">
        <v>8531</v>
      </c>
      <c r="C14514" s="74" t="s">
        <v>420</v>
      </c>
    </row>
    <row r="14515" spans="1:3">
      <c r="A14515" s="250">
        <v>33944</v>
      </c>
      <c r="B14515" s="74" t="s">
        <v>8532</v>
      </c>
      <c r="C14515" s="74" t="s">
        <v>420</v>
      </c>
    </row>
    <row r="14516" spans="1:3">
      <c r="A14516" s="250">
        <v>33945</v>
      </c>
      <c r="B14516" s="74" t="s">
        <v>7845</v>
      </c>
      <c r="C14516" s="74" t="s">
        <v>420</v>
      </c>
    </row>
    <row r="14517" spans="1:3">
      <c r="A14517" s="250">
        <v>33946</v>
      </c>
      <c r="B14517" s="74" t="s">
        <v>8533</v>
      </c>
      <c r="C14517" s="74" t="s">
        <v>420</v>
      </c>
    </row>
    <row r="14518" spans="1:3">
      <c r="A14518" s="250">
        <v>33947</v>
      </c>
      <c r="B14518" s="74" t="s">
        <v>8534</v>
      </c>
      <c r="C14518" s="74" t="s">
        <v>420</v>
      </c>
    </row>
    <row r="14519" spans="1:3">
      <c r="A14519" s="250">
        <v>33948</v>
      </c>
      <c r="B14519" s="74" t="s">
        <v>8535</v>
      </c>
      <c r="C14519" s="74" t="s">
        <v>420</v>
      </c>
    </row>
    <row r="14520" spans="1:3">
      <c r="A14520" s="250">
        <v>33949</v>
      </c>
      <c r="B14520" s="74" t="s">
        <v>8535</v>
      </c>
      <c r="C14520" s="74" t="s">
        <v>420</v>
      </c>
    </row>
    <row r="14521" spans="1:3">
      <c r="A14521" s="250">
        <v>33950</v>
      </c>
      <c r="B14521" s="74" t="s">
        <v>8536</v>
      </c>
      <c r="C14521" s="74" t="s">
        <v>420</v>
      </c>
    </row>
    <row r="14522" spans="1:3">
      <c r="A14522" s="250">
        <v>33951</v>
      </c>
      <c r="B14522" s="74" t="s">
        <v>8536</v>
      </c>
      <c r="C14522" s="74" t="s">
        <v>420</v>
      </c>
    </row>
    <row r="14523" spans="1:3">
      <c r="A14523" s="250">
        <v>33952</v>
      </c>
      <c r="B14523" s="74" t="s">
        <v>8535</v>
      </c>
      <c r="C14523" s="74" t="s">
        <v>420</v>
      </c>
    </row>
    <row r="14524" spans="1:3">
      <c r="A14524" s="250">
        <v>33953</v>
      </c>
      <c r="B14524" s="74" t="s">
        <v>8535</v>
      </c>
      <c r="C14524" s="74" t="s">
        <v>420</v>
      </c>
    </row>
    <row r="14525" spans="1:3">
      <c r="A14525" s="250">
        <v>33954</v>
      </c>
      <c r="B14525" s="74" t="s">
        <v>8535</v>
      </c>
      <c r="C14525" s="74" t="s">
        <v>420</v>
      </c>
    </row>
    <row r="14526" spans="1:3">
      <c r="A14526" s="250">
        <v>33955</v>
      </c>
      <c r="B14526" s="74" t="s">
        <v>8536</v>
      </c>
      <c r="C14526" s="74" t="s">
        <v>420</v>
      </c>
    </row>
    <row r="14527" spans="1:3">
      <c r="A14527" s="250">
        <v>33956</v>
      </c>
      <c r="B14527" s="74" t="s">
        <v>8537</v>
      </c>
      <c r="C14527" s="74" t="s">
        <v>420</v>
      </c>
    </row>
    <row r="14528" spans="1:3">
      <c r="A14528" s="250">
        <v>33957</v>
      </c>
      <c r="B14528" s="74" t="s">
        <v>8538</v>
      </c>
      <c r="C14528" s="74" t="s">
        <v>420</v>
      </c>
    </row>
    <row r="14529" spans="1:3">
      <c r="A14529" s="250">
        <v>33960</v>
      </c>
      <c r="B14529" s="74" t="s">
        <v>4499</v>
      </c>
      <c r="C14529" s="74" t="s">
        <v>420</v>
      </c>
    </row>
    <row r="14530" spans="1:3">
      <c r="A14530" s="250">
        <v>33965</v>
      </c>
      <c r="B14530" s="74" t="s">
        <v>8518</v>
      </c>
      <c r="C14530" s="74" t="s">
        <v>420</v>
      </c>
    </row>
    <row r="14531" spans="1:3">
      <c r="A14531" s="250">
        <v>33966</v>
      </c>
      <c r="B14531" s="74" t="s">
        <v>8518</v>
      </c>
      <c r="C14531" s="74" t="s">
        <v>420</v>
      </c>
    </row>
    <row r="14532" spans="1:3">
      <c r="A14532" s="250">
        <v>33967</v>
      </c>
      <c r="B14532" s="74" t="s">
        <v>8518</v>
      </c>
      <c r="C14532" s="74" t="s">
        <v>420</v>
      </c>
    </row>
    <row r="14533" spans="1:3">
      <c r="A14533" s="250">
        <v>33970</v>
      </c>
      <c r="B14533" s="74" t="s">
        <v>8530</v>
      </c>
      <c r="C14533" s="74" t="s">
        <v>420</v>
      </c>
    </row>
    <row r="14534" spans="1:3">
      <c r="A14534" s="250">
        <v>33971</v>
      </c>
      <c r="B14534" s="74" t="s">
        <v>8530</v>
      </c>
      <c r="C14534" s="74" t="s">
        <v>420</v>
      </c>
    </row>
    <row r="14535" spans="1:3">
      <c r="A14535" s="250">
        <v>33972</v>
      </c>
      <c r="B14535" s="74" t="s">
        <v>8530</v>
      </c>
      <c r="C14535" s="74" t="s">
        <v>420</v>
      </c>
    </row>
    <row r="14536" spans="1:3">
      <c r="A14536" s="250">
        <v>33973</v>
      </c>
      <c r="B14536" s="74" t="s">
        <v>8530</v>
      </c>
      <c r="C14536" s="74" t="s">
        <v>420</v>
      </c>
    </row>
    <row r="14537" spans="1:3">
      <c r="A14537" s="250">
        <v>33974</v>
      </c>
      <c r="B14537" s="74" t="s">
        <v>8530</v>
      </c>
      <c r="C14537" s="74" t="s">
        <v>420</v>
      </c>
    </row>
    <row r="14538" spans="1:3">
      <c r="A14538" s="250">
        <v>33975</v>
      </c>
      <c r="B14538" s="74" t="s">
        <v>8529</v>
      </c>
      <c r="C14538" s="74" t="s">
        <v>420</v>
      </c>
    </row>
    <row r="14539" spans="1:3">
      <c r="A14539" s="250">
        <v>33976</v>
      </c>
      <c r="B14539" s="74" t="s">
        <v>8530</v>
      </c>
      <c r="C14539" s="74" t="s">
        <v>420</v>
      </c>
    </row>
    <row r="14540" spans="1:3">
      <c r="A14540" s="250">
        <v>33980</v>
      </c>
      <c r="B14540" s="74" t="s">
        <v>8536</v>
      </c>
      <c r="C14540" s="74" t="s">
        <v>420</v>
      </c>
    </row>
    <row r="14541" spans="1:3">
      <c r="A14541" s="250">
        <v>33981</v>
      </c>
      <c r="B14541" s="74" t="s">
        <v>8535</v>
      </c>
      <c r="C14541" s="74" t="s">
        <v>420</v>
      </c>
    </row>
    <row r="14542" spans="1:3">
      <c r="A14542" s="250">
        <v>33982</v>
      </c>
      <c r="B14542" s="74" t="s">
        <v>8536</v>
      </c>
      <c r="C14542" s="74" t="s">
        <v>420</v>
      </c>
    </row>
    <row r="14543" spans="1:3">
      <c r="A14543" s="250">
        <v>33983</v>
      </c>
      <c r="B14543" s="74" t="s">
        <v>8536</v>
      </c>
      <c r="C14543" s="74" t="s">
        <v>420</v>
      </c>
    </row>
    <row r="14544" spans="1:3">
      <c r="A14544" s="250">
        <v>33990</v>
      </c>
      <c r="B14544" s="74" t="s">
        <v>8520</v>
      </c>
      <c r="C14544" s="74" t="s">
        <v>420</v>
      </c>
    </row>
    <row r="14545" spans="1:3">
      <c r="A14545" s="250">
        <v>33991</v>
      </c>
      <c r="B14545" s="74" t="s">
        <v>8520</v>
      </c>
      <c r="C14545" s="74" t="s">
        <v>420</v>
      </c>
    </row>
    <row r="14546" spans="1:3">
      <c r="A14546" s="250">
        <v>33993</v>
      </c>
      <c r="B14546" s="74" t="s">
        <v>8520</v>
      </c>
      <c r="C14546" s="74" t="s">
        <v>420</v>
      </c>
    </row>
    <row r="14547" spans="1:3">
      <c r="A14547" s="250">
        <v>33994</v>
      </c>
      <c r="B14547" s="74" t="s">
        <v>8518</v>
      </c>
      <c r="C14547" s="74" t="s">
        <v>420</v>
      </c>
    </row>
    <row r="14548" spans="1:3">
      <c r="A14548" s="250">
        <v>34101</v>
      </c>
      <c r="B14548" s="74" t="s">
        <v>1397</v>
      </c>
      <c r="C14548" s="74" t="s">
        <v>420</v>
      </c>
    </row>
    <row r="14549" spans="1:3">
      <c r="A14549" s="250">
        <v>34102</v>
      </c>
      <c r="B14549" s="74" t="s">
        <v>1397</v>
      </c>
      <c r="C14549" s="74" t="s">
        <v>420</v>
      </c>
    </row>
    <row r="14550" spans="1:3">
      <c r="A14550" s="250">
        <v>34103</v>
      </c>
      <c r="B14550" s="74" t="s">
        <v>1397</v>
      </c>
      <c r="C14550" s="74" t="s">
        <v>420</v>
      </c>
    </row>
    <row r="14551" spans="1:3">
      <c r="A14551" s="250">
        <v>34104</v>
      </c>
      <c r="B14551" s="74" t="s">
        <v>1397</v>
      </c>
      <c r="C14551" s="74" t="s">
        <v>420</v>
      </c>
    </row>
    <row r="14552" spans="1:3">
      <c r="A14552" s="250">
        <v>34105</v>
      </c>
      <c r="B14552" s="74" t="s">
        <v>1397</v>
      </c>
      <c r="C14552" s="74" t="s">
        <v>420</v>
      </c>
    </row>
    <row r="14553" spans="1:3">
      <c r="A14553" s="250">
        <v>34106</v>
      </c>
      <c r="B14553" s="74" t="s">
        <v>1397</v>
      </c>
      <c r="C14553" s="74" t="s">
        <v>420</v>
      </c>
    </row>
    <row r="14554" spans="1:3">
      <c r="A14554" s="250">
        <v>34107</v>
      </c>
      <c r="B14554" s="74" t="s">
        <v>1397</v>
      </c>
      <c r="C14554" s="74" t="s">
        <v>420</v>
      </c>
    </row>
    <row r="14555" spans="1:3">
      <c r="A14555" s="250">
        <v>34108</v>
      </c>
      <c r="B14555" s="74" t="s">
        <v>1397</v>
      </c>
      <c r="C14555" s="74" t="s">
        <v>420</v>
      </c>
    </row>
    <row r="14556" spans="1:3">
      <c r="A14556" s="250">
        <v>34109</v>
      </c>
      <c r="B14556" s="74" t="s">
        <v>1397</v>
      </c>
      <c r="C14556" s="74" t="s">
        <v>420</v>
      </c>
    </row>
    <row r="14557" spans="1:3">
      <c r="A14557" s="250">
        <v>34110</v>
      </c>
      <c r="B14557" s="74" t="s">
        <v>1397</v>
      </c>
      <c r="C14557" s="74" t="s">
        <v>420</v>
      </c>
    </row>
    <row r="14558" spans="1:3">
      <c r="A14558" s="250">
        <v>34112</v>
      </c>
      <c r="B14558" s="74" t="s">
        <v>1397</v>
      </c>
      <c r="C14558" s="74" t="s">
        <v>420</v>
      </c>
    </row>
    <row r="14559" spans="1:3">
      <c r="A14559" s="250">
        <v>34113</v>
      </c>
      <c r="B14559" s="74" t="s">
        <v>1397</v>
      </c>
      <c r="C14559" s="74" t="s">
        <v>420</v>
      </c>
    </row>
    <row r="14560" spans="1:3">
      <c r="A14560" s="250">
        <v>34114</v>
      </c>
      <c r="B14560" s="74" t="s">
        <v>1397</v>
      </c>
      <c r="C14560" s="74" t="s">
        <v>420</v>
      </c>
    </row>
    <row r="14561" spans="1:3">
      <c r="A14561" s="250">
        <v>34116</v>
      </c>
      <c r="B14561" s="74" t="s">
        <v>1397</v>
      </c>
      <c r="C14561" s="74" t="s">
        <v>420</v>
      </c>
    </row>
    <row r="14562" spans="1:3">
      <c r="A14562" s="250">
        <v>34117</v>
      </c>
      <c r="B14562" s="74" t="s">
        <v>1397</v>
      </c>
      <c r="C14562" s="74" t="s">
        <v>420</v>
      </c>
    </row>
    <row r="14563" spans="1:3">
      <c r="A14563" s="250">
        <v>34119</v>
      </c>
      <c r="B14563" s="74" t="s">
        <v>1397</v>
      </c>
      <c r="C14563" s="74" t="s">
        <v>420</v>
      </c>
    </row>
    <row r="14564" spans="1:3">
      <c r="A14564" s="250">
        <v>34120</v>
      </c>
      <c r="B14564" s="74" t="s">
        <v>1397</v>
      </c>
      <c r="C14564" s="74" t="s">
        <v>420</v>
      </c>
    </row>
    <row r="14565" spans="1:3">
      <c r="A14565" s="250">
        <v>34133</v>
      </c>
      <c r="B14565" s="74" t="s">
        <v>8539</v>
      </c>
      <c r="C14565" s="74" t="s">
        <v>420</v>
      </c>
    </row>
    <row r="14566" spans="1:3">
      <c r="A14566" s="250">
        <v>34134</v>
      </c>
      <c r="B14566" s="74" t="s">
        <v>8539</v>
      </c>
      <c r="C14566" s="74" t="s">
        <v>420</v>
      </c>
    </row>
    <row r="14567" spans="1:3">
      <c r="A14567" s="250">
        <v>34135</v>
      </c>
      <c r="B14567" s="74" t="s">
        <v>8539</v>
      </c>
      <c r="C14567" s="74" t="s">
        <v>420</v>
      </c>
    </row>
    <row r="14568" spans="1:3">
      <c r="A14568" s="250">
        <v>34136</v>
      </c>
      <c r="B14568" s="74" t="s">
        <v>8539</v>
      </c>
      <c r="C14568" s="74" t="s">
        <v>420</v>
      </c>
    </row>
    <row r="14569" spans="1:3">
      <c r="A14569" s="250">
        <v>34137</v>
      </c>
      <c r="B14569" s="74" t="s">
        <v>8540</v>
      </c>
      <c r="C14569" s="74" t="s">
        <v>420</v>
      </c>
    </row>
    <row r="14570" spans="1:3">
      <c r="A14570" s="250">
        <v>34138</v>
      </c>
      <c r="B14570" s="74" t="s">
        <v>8541</v>
      </c>
      <c r="C14570" s="74" t="s">
        <v>420</v>
      </c>
    </row>
    <row r="14571" spans="1:3">
      <c r="A14571" s="250">
        <v>34139</v>
      </c>
      <c r="B14571" s="74" t="s">
        <v>8542</v>
      </c>
      <c r="C14571" s="74" t="s">
        <v>420</v>
      </c>
    </row>
    <row r="14572" spans="1:3">
      <c r="A14572" s="250">
        <v>34140</v>
      </c>
      <c r="B14572" s="74" t="s">
        <v>8543</v>
      </c>
      <c r="C14572" s="74" t="s">
        <v>420</v>
      </c>
    </row>
    <row r="14573" spans="1:3">
      <c r="A14573" s="250">
        <v>34141</v>
      </c>
      <c r="B14573" s="74" t="s">
        <v>8544</v>
      </c>
      <c r="C14573" s="74" t="s">
        <v>420</v>
      </c>
    </row>
    <row r="14574" spans="1:3">
      <c r="A14574" s="250">
        <v>34142</v>
      </c>
      <c r="B14574" s="74" t="s">
        <v>8545</v>
      </c>
      <c r="C14574" s="74" t="s">
        <v>420</v>
      </c>
    </row>
    <row r="14575" spans="1:3">
      <c r="A14575" s="250">
        <v>34143</v>
      </c>
      <c r="B14575" s="74" t="s">
        <v>8545</v>
      </c>
      <c r="C14575" s="74" t="s">
        <v>420</v>
      </c>
    </row>
    <row r="14576" spans="1:3">
      <c r="A14576" s="250">
        <v>34145</v>
      </c>
      <c r="B14576" s="74" t="s">
        <v>8546</v>
      </c>
      <c r="C14576" s="74" t="s">
        <v>420</v>
      </c>
    </row>
    <row r="14577" spans="1:3">
      <c r="A14577" s="250">
        <v>34146</v>
      </c>
      <c r="B14577" s="74" t="s">
        <v>8546</v>
      </c>
      <c r="C14577" s="74" t="s">
        <v>420</v>
      </c>
    </row>
    <row r="14578" spans="1:3">
      <c r="A14578" s="250">
        <v>34201</v>
      </c>
      <c r="B14578" s="74" t="s">
        <v>8547</v>
      </c>
      <c r="C14578" s="74" t="s">
        <v>420</v>
      </c>
    </row>
    <row r="14579" spans="1:3">
      <c r="A14579" s="250">
        <v>34202</v>
      </c>
      <c r="B14579" s="74" t="s">
        <v>8547</v>
      </c>
      <c r="C14579" s="74" t="s">
        <v>420</v>
      </c>
    </row>
    <row r="14580" spans="1:3">
      <c r="A14580" s="250">
        <v>34203</v>
      </c>
      <c r="B14580" s="74" t="s">
        <v>8547</v>
      </c>
      <c r="C14580" s="74" t="s">
        <v>420</v>
      </c>
    </row>
    <row r="14581" spans="1:3">
      <c r="A14581" s="250">
        <v>34204</v>
      </c>
      <c r="B14581" s="74" t="s">
        <v>8547</v>
      </c>
      <c r="C14581" s="74" t="s">
        <v>420</v>
      </c>
    </row>
    <row r="14582" spans="1:3">
      <c r="A14582" s="250">
        <v>34205</v>
      </c>
      <c r="B14582" s="74" t="s">
        <v>8547</v>
      </c>
      <c r="C14582" s="74" t="s">
        <v>420</v>
      </c>
    </row>
    <row r="14583" spans="1:3">
      <c r="A14583" s="250">
        <v>34206</v>
      </c>
      <c r="B14583" s="74" t="s">
        <v>8547</v>
      </c>
      <c r="C14583" s="74" t="s">
        <v>420</v>
      </c>
    </row>
    <row r="14584" spans="1:3">
      <c r="A14584" s="250">
        <v>34207</v>
      </c>
      <c r="B14584" s="74" t="s">
        <v>8547</v>
      </c>
      <c r="C14584" s="74" t="s">
        <v>420</v>
      </c>
    </row>
    <row r="14585" spans="1:3">
      <c r="A14585" s="250">
        <v>34208</v>
      </c>
      <c r="B14585" s="74" t="s">
        <v>8547</v>
      </c>
      <c r="C14585" s="74" t="s">
        <v>420</v>
      </c>
    </row>
    <row r="14586" spans="1:3">
      <c r="A14586" s="250">
        <v>34209</v>
      </c>
      <c r="B14586" s="74" t="s">
        <v>8547</v>
      </c>
      <c r="C14586" s="74" t="s">
        <v>420</v>
      </c>
    </row>
    <row r="14587" spans="1:3">
      <c r="A14587" s="250">
        <v>34210</v>
      </c>
      <c r="B14587" s="74" t="s">
        <v>8547</v>
      </c>
      <c r="C14587" s="74" t="s">
        <v>420</v>
      </c>
    </row>
    <row r="14588" spans="1:3">
      <c r="A14588" s="250">
        <v>34211</v>
      </c>
      <c r="B14588" s="74" t="s">
        <v>8547</v>
      </c>
      <c r="C14588" s="74" t="s">
        <v>420</v>
      </c>
    </row>
    <row r="14589" spans="1:3">
      <c r="A14589" s="250">
        <v>34212</v>
      </c>
      <c r="B14589" s="74" t="s">
        <v>8547</v>
      </c>
      <c r="C14589" s="74" t="s">
        <v>420</v>
      </c>
    </row>
    <row r="14590" spans="1:3">
      <c r="A14590" s="250">
        <v>34215</v>
      </c>
      <c r="B14590" s="74" t="s">
        <v>8548</v>
      </c>
      <c r="C14590" s="74" t="s">
        <v>420</v>
      </c>
    </row>
    <row r="14591" spans="1:3">
      <c r="A14591" s="250">
        <v>34216</v>
      </c>
      <c r="B14591" s="74" t="s">
        <v>8549</v>
      </c>
      <c r="C14591" s="74" t="s">
        <v>420</v>
      </c>
    </row>
    <row r="14592" spans="1:3">
      <c r="A14592" s="250">
        <v>34217</v>
      </c>
      <c r="B14592" s="74" t="s">
        <v>8550</v>
      </c>
      <c r="C14592" s="74" t="s">
        <v>420</v>
      </c>
    </row>
    <row r="14593" spans="1:3">
      <c r="A14593" s="250">
        <v>34218</v>
      </c>
      <c r="B14593" s="74" t="s">
        <v>8551</v>
      </c>
      <c r="C14593" s="74" t="s">
        <v>420</v>
      </c>
    </row>
    <row r="14594" spans="1:3">
      <c r="A14594" s="250">
        <v>34219</v>
      </c>
      <c r="B14594" s="74" t="s">
        <v>8552</v>
      </c>
      <c r="C14594" s="74" t="s">
        <v>420</v>
      </c>
    </row>
    <row r="14595" spans="1:3">
      <c r="A14595" s="250">
        <v>34220</v>
      </c>
      <c r="B14595" s="74" t="s">
        <v>7923</v>
      </c>
      <c r="C14595" s="74" t="s">
        <v>420</v>
      </c>
    </row>
    <row r="14596" spans="1:3">
      <c r="A14596" s="250">
        <v>34221</v>
      </c>
      <c r="B14596" s="74" t="s">
        <v>7923</v>
      </c>
      <c r="C14596" s="74" t="s">
        <v>420</v>
      </c>
    </row>
    <row r="14597" spans="1:3">
      <c r="A14597" s="250">
        <v>34222</v>
      </c>
      <c r="B14597" s="74" t="s">
        <v>8173</v>
      </c>
      <c r="C14597" s="74" t="s">
        <v>420</v>
      </c>
    </row>
    <row r="14598" spans="1:3">
      <c r="A14598" s="250">
        <v>34223</v>
      </c>
      <c r="B14598" s="74" t="s">
        <v>2232</v>
      </c>
      <c r="C14598" s="74" t="s">
        <v>420</v>
      </c>
    </row>
    <row r="14599" spans="1:3">
      <c r="A14599" s="250">
        <v>34224</v>
      </c>
      <c r="B14599" s="74" t="s">
        <v>2232</v>
      </c>
      <c r="C14599" s="74" t="s">
        <v>420</v>
      </c>
    </row>
    <row r="14600" spans="1:3">
      <c r="A14600" s="250">
        <v>34228</v>
      </c>
      <c r="B14600" s="74" t="s">
        <v>8553</v>
      </c>
      <c r="C14600" s="74" t="s">
        <v>420</v>
      </c>
    </row>
    <row r="14601" spans="1:3">
      <c r="A14601" s="250">
        <v>34229</v>
      </c>
      <c r="B14601" s="74" t="s">
        <v>8554</v>
      </c>
      <c r="C14601" s="74" t="s">
        <v>420</v>
      </c>
    </row>
    <row r="14602" spans="1:3">
      <c r="A14602" s="250">
        <v>34230</v>
      </c>
      <c r="B14602" s="74" t="s">
        <v>8555</v>
      </c>
      <c r="C14602" s="74" t="s">
        <v>420</v>
      </c>
    </row>
    <row r="14603" spans="1:3">
      <c r="A14603" s="250">
        <v>34231</v>
      </c>
      <c r="B14603" s="74" t="s">
        <v>8555</v>
      </c>
      <c r="C14603" s="74" t="s">
        <v>420</v>
      </c>
    </row>
    <row r="14604" spans="1:3">
      <c r="A14604" s="250">
        <v>34232</v>
      </c>
      <c r="B14604" s="74" t="s">
        <v>8555</v>
      </c>
      <c r="C14604" s="74" t="s">
        <v>420</v>
      </c>
    </row>
    <row r="14605" spans="1:3">
      <c r="A14605" s="250">
        <v>34233</v>
      </c>
      <c r="B14605" s="74" t="s">
        <v>8555</v>
      </c>
      <c r="C14605" s="74" t="s">
        <v>420</v>
      </c>
    </row>
    <row r="14606" spans="1:3">
      <c r="A14606" s="250">
        <v>34234</v>
      </c>
      <c r="B14606" s="74" t="s">
        <v>8555</v>
      </c>
      <c r="C14606" s="74" t="s">
        <v>420</v>
      </c>
    </row>
    <row r="14607" spans="1:3">
      <c r="A14607" s="250">
        <v>34235</v>
      </c>
      <c r="B14607" s="74" t="s">
        <v>8555</v>
      </c>
      <c r="C14607" s="74" t="s">
        <v>420</v>
      </c>
    </row>
    <row r="14608" spans="1:3">
      <c r="A14608" s="250">
        <v>34236</v>
      </c>
      <c r="B14608" s="74" t="s">
        <v>8555</v>
      </c>
      <c r="C14608" s="74" t="s">
        <v>420</v>
      </c>
    </row>
    <row r="14609" spans="1:3">
      <c r="A14609" s="250">
        <v>34237</v>
      </c>
      <c r="B14609" s="74" t="s">
        <v>8555</v>
      </c>
      <c r="C14609" s="74" t="s">
        <v>420</v>
      </c>
    </row>
    <row r="14610" spans="1:3">
      <c r="A14610" s="250">
        <v>34238</v>
      </c>
      <c r="B14610" s="74" t="s">
        <v>8555</v>
      </c>
      <c r="C14610" s="74" t="s">
        <v>420</v>
      </c>
    </row>
    <row r="14611" spans="1:3">
      <c r="A14611" s="250">
        <v>34239</v>
      </c>
      <c r="B14611" s="74" t="s">
        <v>8555</v>
      </c>
      <c r="C14611" s="74" t="s">
        <v>420</v>
      </c>
    </row>
    <row r="14612" spans="1:3">
      <c r="A14612" s="250">
        <v>34240</v>
      </c>
      <c r="B14612" s="74" t="s">
        <v>8555</v>
      </c>
      <c r="C14612" s="74" t="s">
        <v>420</v>
      </c>
    </row>
    <row r="14613" spans="1:3">
      <c r="A14613" s="250">
        <v>34241</v>
      </c>
      <c r="B14613" s="74" t="s">
        <v>8555</v>
      </c>
      <c r="C14613" s="74" t="s">
        <v>420</v>
      </c>
    </row>
    <row r="14614" spans="1:3">
      <c r="A14614" s="250">
        <v>34242</v>
      </c>
      <c r="B14614" s="74" t="s">
        <v>8555</v>
      </c>
      <c r="C14614" s="74" t="s">
        <v>420</v>
      </c>
    </row>
    <row r="14615" spans="1:3">
      <c r="A14615" s="250">
        <v>34243</v>
      </c>
      <c r="B14615" s="74" t="s">
        <v>8555</v>
      </c>
      <c r="C14615" s="74" t="s">
        <v>420</v>
      </c>
    </row>
    <row r="14616" spans="1:3">
      <c r="A14616" s="250">
        <v>34250</v>
      </c>
      <c r="B14616" s="74" t="s">
        <v>8556</v>
      </c>
      <c r="C14616" s="74" t="s">
        <v>420</v>
      </c>
    </row>
    <row r="14617" spans="1:3">
      <c r="A14617" s="250">
        <v>34251</v>
      </c>
      <c r="B14617" s="74" t="s">
        <v>8557</v>
      </c>
      <c r="C14617" s="74" t="s">
        <v>420</v>
      </c>
    </row>
    <row r="14618" spans="1:3">
      <c r="A14618" s="250">
        <v>34260</v>
      </c>
      <c r="B14618" s="74" t="s">
        <v>8555</v>
      </c>
      <c r="C14618" s="74" t="s">
        <v>420</v>
      </c>
    </row>
    <row r="14619" spans="1:3">
      <c r="A14619" s="250">
        <v>34264</v>
      </c>
      <c r="B14619" s="74" t="s">
        <v>2027</v>
      </c>
      <c r="C14619" s="74" t="s">
        <v>420</v>
      </c>
    </row>
    <row r="14620" spans="1:3">
      <c r="A14620" s="250">
        <v>34265</v>
      </c>
      <c r="B14620" s="74" t="s">
        <v>4258</v>
      </c>
      <c r="C14620" s="74" t="s">
        <v>420</v>
      </c>
    </row>
    <row r="14621" spans="1:3">
      <c r="A14621" s="250">
        <v>34266</v>
      </c>
      <c r="B14621" s="74" t="s">
        <v>4258</v>
      </c>
      <c r="C14621" s="74" t="s">
        <v>420</v>
      </c>
    </row>
    <row r="14622" spans="1:3">
      <c r="A14622" s="250">
        <v>34267</v>
      </c>
      <c r="B14622" s="74" t="s">
        <v>8558</v>
      </c>
      <c r="C14622" s="74" t="s">
        <v>420</v>
      </c>
    </row>
    <row r="14623" spans="1:3">
      <c r="A14623" s="250">
        <v>34268</v>
      </c>
      <c r="B14623" s="74" t="s">
        <v>8559</v>
      </c>
      <c r="C14623" s="74" t="s">
        <v>420</v>
      </c>
    </row>
    <row r="14624" spans="1:3">
      <c r="A14624" s="250">
        <v>34269</v>
      </c>
      <c r="B14624" s="74" t="s">
        <v>4258</v>
      </c>
      <c r="C14624" s="74" t="s">
        <v>420</v>
      </c>
    </row>
    <row r="14625" spans="1:3">
      <c r="A14625" s="250">
        <v>34270</v>
      </c>
      <c r="B14625" s="74" t="s">
        <v>8560</v>
      </c>
      <c r="C14625" s="74" t="s">
        <v>420</v>
      </c>
    </row>
    <row r="14626" spans="1:3">
      <c r="A14626" s="250">
        <v>34272</v>
      </c>
      <c r="B14626" s="74" t="s">
        <v>2882</v>
      </c>
      <c r="C14626" s="74" t="s">
        <v>420</v>
      </c>
    </row>
    <row r="14627" spans="1:3">
      <c r="A14627" s="250">
        <v>34274</v>
      </c>
      <c r="B14627" s="74" t="s">
        <v>8561</v>
      </c>
      <c r="C14627" s="74" t="s">
        <v>420</v>
      </c>
    </row>
    <row r="14628" spans="1:3">
      <c r="A14628" s="250">
        <v>34275</v>
      </c>
      <c r="B14628" s="74" t="s">
        <v>8561</v>
      </c>
      <c r="C14628" s="74" t="s">
        <v>420</v>
      </c>
    </row>
    <row r="14629" spans="1:3">
      <c r="A14629" s="250">
        <v>34276</v>
      </c>
      <c r="B14629" s="74" t="s">
        <v>8555</v>
      </c>
      <c r="C14629" s="74" t="s">
        <v>420</v>
      </c>
    </row>
    <row r="14630" spans="1:3">
      <c r="A14630" s="250">
        <v>34277</v>
      </c>
      <c r="B14630" s="74" t="s">
        <v>8555</v>
      </c>
      <c r="C14630" s="74" t="s">
        <v>420</v>
      </c>
    </row>
    <row r="14631" spans="1:3">
      <c r="A14631" s="250">
        <v>34278</v>
      </c>
      <c r="B14631" s="74" t="s">
        <v>8555</v>
      </c>
      <c r="C14631" s="74" t="s">
        <v>420</v>
      </c>
    </row>
    <row r="14632" spans="1:3">
      <c r="A14632" s="250">
        <v>34280</v>
      </c>
      <c r="B14632" s="74" t="s">
        <v>8547</v>
      </c>
      <c r="C14632" s="74" t="s">
        <v>420</v>
      </c>
    </row>
    <row r="14633" spans="1:3">
      <c r="A14633" s="250">
        <v>34281</v>
      </c>
      <c r="B14633" s="74" t="s">
        <v>8547</v>
      </c>
      <c r="C14633" s="74" t="s">
        <v>420</v>
      </c>
    </row>
    <row r="14634" spans="1:3">
      <c r="A14634" s="250">
        <v>34282</v>
      </c>
      <c r="B14634" s="74" t="s">
        <v>8547</v>
      </c>
      <c r="C14634" s="74" t="s">
        <v>420</v>
      </c>
    </row>
    <row r="14635" spans="1:3">
      <c r="A14635" s="250">
        <v>34284</v>
      </c>
      <c r="B14635" s="74" t="s">
        <v>8562</v>
      </c>
      <c r="C14635" s="74" t="s">
        <v>420</v>
      </c>
    </row>
    <row r="14636" spans="1:3">
      <c r="A14636" s="250">
        <v>34285</v>
      </c>
      <c r="B14636" s="74" t="s">
        <v>8562</v>
      </c>
      <c r="C14636" s="74" t="s">
        <v>420</v>
      </c>
    </row>
    <row r="14637" spans="1:3">
      <c r="A14637" s="250">
        <v>34286</v>
      </c>
      <c r="B14637" s="74" t="s">
        <v>8563</v>
      </c>
      <c r="C14637" s="74" t="s">
        <v>420</v>
      </c>
    </row>
    <row r="14638" spans="1:3">
      <c r="A14638" s="250">
        <v>34287</v>
      </c>
      <c r="B14638" s="74" t="s">
        <v>8563</v>
      </c>
      <c r="C14638" s="74" t="s">
        <v>420</v>
      </c>
    </row>
    <row r="14639" spans="1:3">
      <c r="A14639" s="250">
        <v>34288</v>
      </c>
      <c r="B14639" s="74" t="s">
        <v>8563</v>
      </c>
      <c r="C14639" s="74" t="s">
        <v>420</v>
      </c>
    </row>
    <row r="14640" spans="1:3">
      <c r="A14640" s="250">
        <v>34289</v>
      </c>
      <c r="B14640" s="74" t="s">
        <v>8563</v>
      </c>
      <c r="C14640" s="74" t="s">
        <v>420</v>
      </c>
    </row>
    <row r="14641" spans="1:3">
      <c r="A14641" s="250">
        <v>34290</v>
      </c>
      <c r="B14641" s="74" t="s">
        <v>8563</v>
      </c>
      <c r="C14641" s="74" t="s">
        <v>420</v>
      </c>
    </row>
    <row r="14642" spans="1:3">
      <c r="A14642" s="250">
        <v>34291</v>
      </c>
      <c r="B14642" s="74" t="s">
        <v>8563</v>
      </c>
      <c r="C14642" s="74" t="s">
        <v>420</v>
      </c>
    </row>
    <row r="14643" spans="1:3">
      <c r="A14643" s="250">
        <v>34292</v>
      </c>
      <c r="B14643" s="74" t="s">
        <v>8562</v>
      </c>
      <c r="C14643" s="74" t="s">
        <v>420</v>
      </c>
    </row>
    <row r="14644" spans="1:3">
      <c r="A14644" s="250">
        <v>34293</v>
      </c>
      <c r="B14644" s="74" t="s">
        <v>8562</v>
      </c>
      <c r="C14644" s="74" t="s">
        <v>420</v>
      </c>
    </row>
    <row r="14645" spans="1:3">
      <c r="A14645" s="250">
        <v>34295</v>
      </c>
      <c r="B14645" s="74" t="s">
        <v>2232</v>
      </c>
      <c r="C14645" s="74" t="s">
        <v>420</v>
      </c>
    </row>
    <row r="14646" spans="1:3">
      <c r="A14646" s="250">
        <v>34420</v>
      </c>
      <c r="B14646" s="74" t="s">
        <v>8564</v>
      </c>
      <c r="C14646" s="74" t="s">
        <v>420</v>
      </c>
    </row>
    <row r="14647" spans="1:3">
      <c r="A14647" s="250">
        <v>34421</v>
      </c>
      <c r="B14647" s="74" t="s">
        <v>8564</v>
      </c>
      <c r="C14647" s="74" t="s">
        <v>420</v>
      </c>
    </row>
    <row r="14648" spans="1:3">
      <c r="A14648" s="250">
        <v>34423</v>
      </c>
      <c r="B14648" s="74" t="s">
        <v>8565</v>
      </c>
      <c r="C14648" s="74" t="s">
        <v>420</v>
      </c>
    </row>
    <row r="14649" spans="1:3">
      <c r="A14649" s="250">
        <v>34428</v>
      </c>
      <c r="B14649" s="74" t="s">
        <v>8565</v>
      </c>
      <c r="C14649" s="74" t="s">
        <v>420</v>
      </c>
    </row>
    <row r="14650" spans="1:3">
      <c r="A14650" s="250">
        <v>34429</v>
      </c>
      <c r="B14650" s="74" t="s">
        <v>8565</v>
      </c>
      <c r="C14650" s="74" t="s">
        <v>420</v>
      </c>
    </row>
    <row r="14651" spans="1:3">
      <c r="A14651" s="250">
        <v>34430</v>
      </c>
      <c r="B14651" s="74" t="s">
        <v>8566</v>
      </c>
      <c r="C14651" s="74" t="s">
        <v>420</v>
      </c>
    </row>
    <row r="14652" spans="1:3">
      <c r="A14652" s="250">
        <v>34431</v>
      </c>
      <c r="B14652" s="74" t="s">
        <v>8566</v>
      </c>
      <c r="C14652" s="74" t="s">
        <v>420</v>
      </c>
    </row>
    <row r="14653" spans="1:3">
      <c r="A14653" s="250">
        <v>34432</v>
      </c>
      <c r="B14653" s="74" t="s">
        <v>8566</v>
      </c>
      <c r="C14653" s="74" t="s">
        <v>420</v>
      </c>
    </row>
    <row r="14654" spans="1:3">
      <c r="A14654" s="250">
        <v>34433</v>
      </c>
      <c r="B14654" s="74" t="s">
        <v>8566</v>
      </c>
      <c r="C14654" s="74" t="s">
        <v>420</v>
      </c>
    </row>
    <row r="14655" spans="1:3">
      <c r="A14655" s="250">
        <v>34434</v>
      </c>
      <c r="B14655" s="74" t="s">
        <v>8566</v>
      </c>
      <c r="C14655" s="74" t="s">
        <v>420</v>
      </c>
    </row>
    <row r="14656" spans="1:3">
      <c r="A14656" s="250">
        <v>34436</v>
      </c>
      <c r="B14656" s="74" t="s">
        <v>8567</v>
      </c>
      <c r="C14656" s="74" t="s">
        <v>420</v>
      </c>
    </row>
    <row r="14657" spans="1:3">
      <c r="A14657" s="250">
        <v>34442</v>
      </c>
      <c r="B14657" s="74" t="s">
        <v>8568</v>
      </c>
      <c r="C14657" s="74" t="s">
        <v>420</v>
      </c>
    </row>
    <row r="14658" spans="1:3">
      <c r="A14658" s="250">
        <v>34445</v>
      </c>
      <c r="B14658" s="74" t="s">
        <v>8569</v>
      </c>
      <c r="C14658" s="74" t="s">
        <v>420</v>
      </c>
    </row>
    <row r="14659" spans="1:3">
      <c r="A14659" s="250">
        <v>34446</v>
      </c>
      <c r="B14659" s="74" t="s">
        <v>8570</v>
      </c>
      <c r="C14659" s="74" t="s">
        <v>420</v>
      </c>
    </row>
    <row r="14660" spans="1:3">
      <c r="A14660" s="250">
        <v>34447</v>
      </c>
      <c r="B14660" s="74" t="s">
        <v>8571</v>
      </c>
      <c r="C14660" s="74" t="s">
        <v>420</v>
      </c>
    </row>
    <row r="14661" spans="1:3">
      <c r="A14661" s="250">
        <v>34448</v>
      </c>
      <c r="B14661" s="74" t="s">
        <v>8570</v>
      </c>
      <c r="C14661" s="74" t="s">
        <v>420</v>
      </c>
    </row>
    <row r="14662" spans="1:3">
      <c r="A14662" s="250">
        <v>34449</v>
      </c>
      <c r="B14662" s="74" t="s">
        <v>8572</v>
      </c>
      <c r="C14662" s="74" t="s">
        <v>420</v>
      </c>
    </row>
    <row r="14663" spans="1:3">
      <c r="A14663" s="250">
        <v>34450</v>
      </c>
      <c r="B14663" s="74" t="s">
        <v>8573</v>
      </c>
      <c r="C14663" s="74" t="s">
        <v>420</v>
      </c>
    </row>
    <row r="14664" spans="1:3">
      <c r="A14664" s="250">
        <v>34451</v>
      </c>
      <c r="B14664" s="74" t="s">
        <v>8573</v>
      </c>
      <c r="C14664" s="74" t="s">
        <v>420</v>
      </c>
    </row>
    <row r="14665" spans="1:3">
      <c r="A14665" s="250">
        <v>34452</v>
      </c>
      <c r="B14665" s="74" t="s">
        <v>8573</v>
      </c>
      <c r="C14665" s="74" t="s">
        <v>420</v>
      </c>
    </row>
    <row r="14666" spans="1:3">
      <c r="A14666" s="250">
        <v>34453</v>
      </c>
      <c r="B14666" s="74" t="s">
        <v>8573</v>
      </c>
      <c r="C14666" s="74" t="s">
        <v>420</v>
      </c>
    </row>
    <row r="14667" spans="1:3">
      <c r="A14667" s="250">
        <v>34460</v>
      </c>
      <c r="B14667" s="74" t="s">
        <v>8574</v>
      </c>
      <c r="C14667" s="74" t="s">
        <v>420</v>
      </c>
    </row>
    <row r="14668" spans="1:3">
      <c r="A14668" s="250">
        <v>34461</v>
      </c>
      <c r="B14668" s="74" t="s">
        <v>8574</v>
      </c>
      <c r="C14668" s="74" t="s">
        <v>420</v>
      </c>
    </row>
    <row r="14669" spans="1:3">
      <c r="A14669" s="250">
        <v>34464</v>
      </c>
      <c r="B14669" s="74" t="s">
        <v>8575</v>
      </c>
      <c r="C14669" s="74" t="s">
        <v>420</v>
      </c>
    </row>
    <row r="14670" spans="1:3">
      <c r="A14670" s="250">
        <v>34465</v>
      </c>
      <c r="B14670" s="74" t="s">
        <v>8575</v>
      </c>
      <c r="C14670" s="74" t="s">
        <v>420</v>
      </c>
    </row>
    <row r="14671" spans="1:3">
      <c r="A14671" s="250">
        <v>34470</v>
      </c>
      <c r="B14671" s="74" t="s">
        <v>8576</v>
      </c>
      <c r="C14671" s="74" t="s">
        <v>420</v>
      </c>
    </row>
    <row r="14672" spans="1:3">
      <c r="A14672" s="250">
        <v>34471</v>
      </c>
      <c r="B14672" s="74" t="s">
        <v>8576</v>
      </c>
      <c r="C14672" s="74" t="s">
        <v>420</v>
      </c>
    </row>
    <row r="14673" spans="1:3">
      <c r="A14673" s="250">
        <v>34472</v>
      </c>
      <c r="B14673" s="74" t="s">
        <v>8576</v>
      </c>
      <c r="C14673" s="74" t="s">
        <v>420</v>
      </c>
    </row>
    <row r="14674" spans="1:3">
      <c r="A14674" s="250">
        <v>34473</v>
      </c>
      <c r="B14674" s="74" t="s">
        <v>8576</v>
      </c>
      <c r="C14674" s="74" t="s">
        <v>420</v>
      </c>
    </row>
    <row r="14675" spans="1:3">
      <c r="A14675" s="250">
        <v>34474</v>
      </c>
      <c r="B14675" s="74" t="s">
        <v>8576</v>
      </c>
      <c r="C14675" s="74" t="s">
        <v>420</v>
      </c>
    </row>
    <row r="14676" spans="1:3">
      <c r="A14676" s="250">
        <v>34475</v>
      </c>
      <c r="B14676" s="74" t="s">
        <v>8576</v>
      </c>
      <c r="C14676" s="74" t="s">
        <v>420</v>
      </c>
    </row>
    <row r="14677" spans="1:3">
      <c r="A14677" s="250">
        <v>34476</v>
      </c>
      <c r="B14677" s="74" t="s">
        <v>8576</v>
      </c>
      <c r="C14677" s="74" t="s">
        <v>420</v>
      </c>
    </row>
    <row r="14678" spans="1:3">
      <c r="A14678" s="250">
        <v>34477</v>
      </c>
      <c r="B14678" s="74" t="s">
        <v>8576</v>
      </c>
      <c r="C14678" s="74" t="s">
        <v>420</v>
      </c>
    </row>
    <row r="14679" spans="1:3">
      <c r="A14679" s="250">
        <v>34478</v>
      </c>
      <c r="B14679" s="74" t="s">
        <v>8576</v>
      </c>
      <c r="C14679" s="74" t="s">
        <v>420</v>
      </c>
    </row>
    <row r="14680" spans="1:3">
      <c r="A14680" s="250">
        <v>34479</v>
      </c>
      <c r="B14680" s="74" t="s">
        <v>8576</v>
      </c>
      <c r="C14680" s="74" t="s">
        <v>420</v>
      </c>
    </row>
    <row r="14681" spans="1:3">
      <c r="A14681" s="250">
        <v>34480</v>
      </c>
      <c r="B14681" s="74" t="s">
        <v>8576</v>
      </c>
      <c r="C14681" s="74" t="s">
        <v>420</v>
      </c>
    </row>
    <row r="14682" spans="1:3">
      <c r="A14682" s="250">
        <v>34481</v>
      </c>
      <c r="B14682" s="74" t="s">
        <v>8576</v>
      </c>
      <c r="C14682" s="74" t="s">
        <v>420</v>
      </c>
    </row>
    <row r="14683" spans="1:3">
      <c r="A14683" s="250">
        <v>34482</v>
      </c>
      <c r="B14683" s="74" t="s">
        <v>8576</v>
      </c>
      <c r="C14683" s="74" t="s">
        <v>420</v>
      </c>
    </row>
    <row r="14684" spans="1:3">
      <c r="A14684" s="250">
        <v>34483</v>
      </c>
      <c r="B14684" s="74" t="s">
        <v>8576</v>
      </c>
      <c r="C14684" s="74" t="s">
        <v>420</v>
      </c>
    </row>
    <row r="14685" spans="1:3">
      <c r="A14685" s="250">
        <v>34484</v>
      </c>
      <c r="B14685" s="74" t="s">
        <v>754</v>
      </c>
      <c r="C14685" s="74" t="s">
        <v>420</v>
      </c>
    </row>
    <row r="14686" spans="1:3">
      <c r="A14686" s="250">
        <v>34487</v>
      </c>
      <c r="B14686" s="74" t="s">
        <v>8570</v>
      </c>
      <c r="C14686" s="74" t="s">
        <v>420</v>
      </c>
    </row>
    <row r="14687" spans="1:3">
      <c r="A14687" s="250">
        <v>34488</v>
      </c>
      <c r="B14687" s="74" t="s">
        <v>3822</v>
      </c>
      <c r="C14687" s="74" t="s">
        <v>420</v>
      </c>
    </row>
    <row r="14688" spans="1:3">
      <c r="A14688" s="250">
        <v>34489</v>
      </c>
      <c r="B14688" s="74" t="s">
        <v>3822</v>
      </c>
      <c r="C14688" s="74" t="s">
        <v>420</v>
      </c>
    </row>
    <row r="14689" spans="1:3">
      <c r="A14689" s="250">
        <v>34491</v>
      </c>
      <c r="B14689" s="74" t="s">
        <v>7127</v>
      </c>
      <c r="C14689" s="74" t="s">
        <v>420</v>
      </c>
    </row>
    <row r="14690" spans="1:3">
      <c r="A14690" s="250">
        <v>34492</v>
      </c>
      <c r="B14690" s="74" t="s">
        <v>7127</v>
      </c>
      <c r="C14690" s="74" t="s">
        <v>420</v>
      </c>
    </row>
    <row r="14691" spans="1:3">
      <c r="A14691" s="250">
        <v>34498</v>
      </c>
      <c r="B14691" s="74" t="s">
        <v>8577</v>
      </c>
      <c r="C14691" s="74" t="s">
        <v>420</v>
      </c>
    </row>
    <row r="14692" spans="1:3">
      <c r="A14692" s="250">
        <v>34601</v>
      </c>
      <c r="B14692" s="74" t="s">
        <v>1572</v>
      </c>
      <c r="C14692" s="74" t="s">
        <v>420</v>
      </c>
    </row>
    <row r="14693" spans="1:3">
      <c r="A14693" s="250">
        <v>34602</v>
      </c>
      <c r="B14693" s="74" t="s">
        <v>1572</v>
      </c>
      <c r="C14693" s="74" t="s">
        <v>420</v>
      </c>
    </row>
    <row r="14694" spans="1:3">
      <c r="A14694" s="250">
        <v>34603</v>
      </c>
      <c r="B14694" s="74" t="s">
        <v>1572</v>
      </c>
      <c r="C14694" s="74" t="s">
        <v>420</v>
      </c>
    </row>
    <row r="14695" spans="1:3">
      <c r="A14695" s="250">
        <v>34604</v>
      </c>
      <c r="B14695" s="74" t="s">
        <v>1572</v>
      </c>
      <c r="C14695" s="74" t="s">
        <v>420</v>
      </c>
    </row>
    <row r="14696" spans="1:3">
      <c r="A14696" s="250">
        <v>34605</v>
      </c>
      <c r="B14696" s="74" t="s">
        <v>1572</v>
      </c>
      <c r="C14696" s="74" t="s">
        <v>420</v>
      </c>
    </row>
    <row r="14697" spans="1:3">
      <c r="A14697" s="250">
        <v>34606</v>
      </c>
      <c r="B14697" s="74" t="s">
        <v>8578</v>
      </c>
      <c r="C14697" s="74" t="s">
        <v>420</v>
      </c>
    </row>
    <row r="14698" spans="1:3">
      <c r="A14698" s="250">
        <v>34607</v>
      </c>
      <c r="B14698" s="74" t="s">
        <v>8578</v>
      </c>
      <c r="C14698" s="74" t="s">
        <v>420</v>
      </c>
    </row>
    <row r="14699" spans="1:3">
      <c r="A14699" s="250">
        <v>34608</v>
      </c>
      <c r="B14699" s="74" t="s">
        <v>8578</v>
      </c>
      <c r="C14699" s="74" t="s">
        <v>420</v>
      </c>
    </row>
    <row r="14700" spans="1:3">
      <c r="A14700" s="250">
        <v>34609</v>
      </c>
      <c r="B14700" s="74" t="s">
        <v>8578</v>
      </c>
      <c r="C14700" s="74" t="s">
        <v>420</v>
      </c>
    </row>
    <row r="14701" spans="1:3">
      <c r="A14701" s="250">
        <v>34610</v>
      </c>
      <c r="B14701" s="74" t="s">
        <v>8578</v>
      </c>
      <c r="C14701" s="74" t="s">
        <v>420</v>
      </c>
    </row>
    <row r="14702" spans="1:3">
      <c r="A14702" s="250">
        <v>34611</v>
      </c>
      <c r="B14702" s="74" t="s">
        <v>8578</v>
      </c>
      <c r="C14702" s="74" t="s">
        <v>420</v>
      </c>
    </row>
    <row r="14703" spans="1:3">
      <c r="A14703" s="250">
        <v>34613</v>
      </c>
      <c r="B14703" s="74" t="s">
        <v>1572</v>
      </c>
      <c r="C14703" s="74" t="s">
        <v>420</v>
      </c>
    </row>
    <row r="14704" spans="1:3">
      <c r="A14704" s="250">
        <v>34614</v>
      </c>
      <c r="B14704" s="74" t="s">
        <v>1572</v>
      </c>
      <c r="C14704" s="74" t="s">
        <v>420</v>
      </c>
    </row>
    <row r="14705" spans="1:3">
      <c r="A14705" s="250">
        <v>34636</v>
      </c>
      <c r="B14705" s="74" t="s">
        <v>8579</v>
      </c>
      <c r="C14705" s="74" t="s">
        <v>420</v>
      </c>
    </row>
    <row r="14706" spans="1:3">
      <c r="A14706" s="250">
        <v>34637</v>
      </c>
      <c r="B14706" s="74" t="s">
        <v>8580</v>
      </c>
      <c r="C14706" s="74" t="s">
        <v>420</v>
      </c>
    </row>
    <row r="14707" spans="1:3">
      <c r="A14707" s="250">
        <v>34638</v>
      </c>
      <c r="B14707" s="74" t="s">
        <v>8580</v>
      </c>
      <c r="C14707" s="74" t="s">
        <v>420</v>
      </c>
    </row>
    <row r="14708" spans="1:3">
      <c r="A14708" s="250">
        <v>34639</v>
      </c>
      <c r="B14708" s="74" t="s">
        <v>8580</v>
      </c>
      <c r="C14708" s="74" t="s">
        <v>420</v>
      </c>
    </row>
    <row r="14709" spans="1:3">
      <c r="A14709" s="250">
        <v>34652</v>
      </c>
      <c r="B14709" s="74" t="s">
        <v>8581</v>
      </c>
      <c r="C14709" s="74" t="s">
        <v>420</v>
      </c>
    </row>
    <row r="14710" spans="1:3">
      <c r="A14710" s="250">
        <v>34653</v>
      </c>
      <c r="B14710" s="74" t="s">
        <v>8581</v>
      </c>
      <c r="C14710" s="74" t="s">
        <v>420</v>
      </c>
    </row>
    <row r="14711" spans="1:3">
      <c r="A14711" s="250">
        <v>34654</v>
      </c>
      <c r="B14711" s="74" t="s">
        <v>8581</v>
      </c>
      <c r="C14711" s="74" t="s">
        <v>420</v>
      </c>
    </row>
    <row r="14712" spans="1:3">
      <c r="A14712" s="250">
        <v>34655</v>
      </c>
      <c r="B14712" s="74" t="s">
        <v>8581</v>
      </c>
      <c r="C14712" s="74" t="s">
        <v>420</v>
      </c>
    </row>
    <row r="14713" spans="1:3">
      <c r="A14713" s="250">
        <v>34656</v>
      </c>
      <c r="B14713" s="74" t="s">
        <v>8581</v>
      </c>
      <c r="C14713" s="74" t="s">
        <v>420</v>
      </c>
    </row>
    <row r="14714" spans="1:3">
      <c r="A14714" s="250">
        <v>34660</v>
      </c>
      <c r="B14714" s="74" t="s">
        <v>8582</v>
      </c>
      <c r="C14714" s="74" t="s">
        <v>420</v>
      </c>
    </row>
    <row r="14715" spans="1:3">
      <c r="A14715" s="250">
        <v>34661</v>
      </c>
      <c r="B14715" s="74" t="s">
        <v>8583</v>
      </c>
      <c r="C14715" s="74" t="s">
        <v>420</v>
      </c>
    </row>
    <row r="14716" spans="1:3">
      <c r="A14716" s="250">
        <v>34667</v>
      </c>
      <c r="B14716" s="74" t="s">
        <v>792</v>
      </c>
      <c r="C14716" s="74" t="s">
        <v>420</v>
      </c>
    </row>
    <row r="14717" spans="1:3">
      <c r="A14717" s="250">
        <v>34668</v>
      </c>
      <c r="B14717" s="74" t="s">
        <v>8584</v>
      </c>
      <c r="C14717" s="74" t="s">
        <v>420</v>
      </c>
    </row>
    <row r="14718" spans="1:3">
      <c r="A14718" s="250">
        <v>34669</v>
      </c>
      <c r="B14718" s="74" t="s">
        <v>792</v>
      </c>
      <c r="C14718" s="74" t="s">
        <v>420</v>
      </c>
    </row>
    <row r="14719" spans="1:3">
      <c r="A14719" s="250">
        <v>34673</v>
      </c>
      <c r="B14719" s="74" t="s">
        <v>8584</v>
      </c>
      <c r="C14719" s="74" t="s">
        <v>420</v>
      </c>
    </row>
    <row r="14720" spans="1:3">
      <c r="A14720" s="250">
        <v>34674</v>
      </c>
      <c r="B14720" s="74" t="s">
        <v>792</v>
      </c>
      <c r="C14720" s="74" t="s">
        <v>420</v>
      </c>
    </row>
    <row r="14721" spans="1:3">
      <c r="A14721" s="250">
        <v>34677</v>
      </c>
      <c r="B14721" s="74" t="s">
        <v>8585</v>
      </c>
      <c r="C14721" s="74" t="s">
        <v>420</v>
      </c>
    </row>
    <row r="14722" spans="1:3">
      <c r="A14722" s="250">
        <v>34679</v>
      </c>
      <c r="B14722" s="74" t="s">
        <v>8586</v>
      </c>
      <c r="C14722" s="74" t="s">
        <v>420</v>
      </c>
    </row>
    <row r="14723" spans="1:3">
      <c r="A14723" s="250">
        <v>34680</v>
      </c>
      <c r="B14723" s="74" t="s">
        <v>8587</v>
      </c>
      <c r="C14723" s="74" t="s">
        <v>420</v>
      </c>
    </row>
    <row r="14724" spans="1:3">
      <c r="A14724" s="250">
        <v>34681</v>
      </c>
      <c r="B14724" s="74" t="s">
        <v>8588</v>
      </c>
      <c r="C14724" s="74" t="s">
        <v>420</v>
      </c>
    </row>
    <row r="14725" spans="1:3">
      <c r="A14725" s="250">
        <v>34682</v>
      </c>
      <c r="B14725" s="74" t="s">
        <v>8589</v>
      </c>
      <c r="C14725" s="74" t="s">
        <v>420</v>
      </c>
    </row>
    <row r="14726" spans="1:3">
      <c r="A14726" s="250">
        <v>34683</v>
      </c>
      <c r="B14726" s="74" t="s">
        <v>8589</v>
      </c>
      <c r="C14726" s="74" t="s">
        <v>420</v>
      </c>
    </row>
    <row r="14727" spans="1:3">
      <c r="A14727" s="250">
        <v>34684</v>
      </c>
      <c r="B14727" s="74" t="s">
        <v>8589</v>
      </c>
      <c r="C14727" s="74" t="s">
        <v>420</v>
      </c>
    </row>
    <row r="14728" spans="1:3">
      <c r="A14728" s="250">
        <v>34685</v>
      </c>
      <c r="B14728" s="74" t="s">
        <v>8589</v>
      </c>
      <c r="C14728" s="74" t="s">
        <v>420</v>
      </c>
    </row>
    <row r="14729" spans="1:3">
      <c r="A14729" s="250">
        <v>34688</v>
      </c>
      <c r="B14729" s="74" t="s">
        <v>8590</v>
      </c>
      <c r="C14729" s="74" t="s">
        <v>420</v>
      </c>
    </row>
    <row r="14730" spans="1:3">
      <c r="A14730" s="250">
        <v>34689</v>
      </c>
      <c r="B14730" s="74" t="s">
        <v>8590</v>
      </c>
      <c r="C14730" s="74" t="s">
        <v>420</v>
      </c>
    </row>
    <row r="14731" spans="1:3">
      <c r="A14731" s="250">
        <v>34690</v>
      </c>
      <c r="B14731" s="74" t="s">
        <v>8591</v>
      </c>
      <c r="C14731" s="74" t="s">
        <v>420</v>
      </c>
    </row>
    <row r="14732" spans="1:3">
      <c r="A14732" s="250">
        <v>34691</v>
      </c>
      <c r="B14732" s="74" t="s">
        <v>8591</v>
      </c>
      <c r="C14732" s="74" t="s">
        <v>420</v>
      </c>
    </row>
    <row r="14733" spans="1:3">
      <c r="A14733" s="250">
        <v>34692</v>
      </c>
      <c r="B14733" s="74" t="s">
        <v>8591</v>
      </c>
      <c r="C14733" s="74" t="s">
        <v>420</v>
      </c>
    </row>
    <row r="14734" spans="1:3">
      <c r="A14734" s="250">
        <v>34695</v>
      </c>
      <c r="B14734" s="74" t="s">
        <v>8592</v>
      </c>
      <c r="C14734" s="74" t="s">
        <v>420</v>
      </c>
    </row>
    <row r="14735" spans="1:3">
      <c r="A14735" s="250">
        <v>34697</v>
      </c>
      <c r="B14735" s="74" t="s">
        <v>8593</v>
      </c>
      <c r="C14735" s="74" t="s">
        <v>420</v>
      </c>
    </row>
    <row r="14736" spans="1:3">
      <c r="A14736" s="250">
        <v>34698</v>
      </c>
      <c r="B14736" s="74" t="s">
        <v>8593</v>
      </c>
      <c r="C14736" s="74" t="s">
        <v>420</v>
      </c>
    </row>
    <row r="14737" spans="1:3">
      <c r="A14737" s="250">
        <v>34705</v>
      </c>
      <c r="B14737" s="74" t="s">
        <v>8594</v>
      </c>
      <c r="C14737" s="74" t="s">
        <v>420</v>
      </c>
    </row>
    <row r="14738" spans="1:3">
      <c r="A14738" s="250">
        <v>34711</v>
      </c>
      <c r="B14738" s="74" t="s">
        <v>7969</v>
      </c>
      <c r="C14738" s="74" t="s">
        <v>420</v>
      </c>
    </row>
    <row r="14739" spans="1:3">
      <c r="A14739" s="250">
        <v>34712</v>
      </c>
      <c r="B14739" s="74" t="s">
        <v>7969</v>
      </c>
      <c r="C14739" s="74" t="s">
        <v>420</v>
      </c>
    </row>
    <row r="14740" spans="1:3">
      <c r="A14740" s="250">
        <v>34713</v>
      </c>
      <c r="B14740" s="74" t="s">
        <v>7969</v>
      </c>
      <c r="C14740" s="74" t="s">
        <v>420</v>
      </c>
    </row>
    <row r="14741" spans="1:3">
      <c r="A14741" s="250">
        <v>34714</v>
      </c>
      <c r="B14741" s="74" t="s">
        <v>7969</v>
      </c>
      <c r="C14741" s="74" t="s">
        <v>420</v>
      </c>
    </row>
    <row r="14742" spans="1:3">
      <c r="A14742" s="250">
        <v>34715</v>
      </c>
      <c r="B14742" s="74" t="s">
        <v>7969</v>
      </c>
      <c r="C14742" s="74" t="s">
        <v>420</v>
      </c>
    </row>
    <row r="14743" spans="1:3">
      <c r="A14743" s="250">
        <v>34729</v>
      </c>
      <c r="B14743" s="74" t="s">
        <v>3173</v>
      </c>
      <c r="C14743" s="74" t="s">
        <v>420</v>
      </c>
    </row>
    <row r="14744" spans="1:3">
      <c r="A14744" s="250">
        <v>34731</v>
      </c>
      <c r="B14744" s="74" t="s">
        <v>8595</v>
      </c>
      <c r="C14744" s="74" t="s">
        <v>420</v>
      </c>
    </row>
    <row r="14745" spans="1:3">
      <c r="A14745" s="250">
        <v>34734</v>
      </c>
      <c r="B14745" s="74" t="s">
        <v>8596</v>
      </c>
      <c r="C14745" s="74" t="s">
        <v>420</v>
      </c>
    </row>
    <row r="14746" spans="1:3">
      <c r="A14746" s="250">
        <v>34736</v>
      </c>
      <c r="B14746" s="74" t="s">
        <v>814</v>
      </c>
      <c r="C14746" s="74" t="s">
        <v>420</v>
      </c>
    </row>
    <row r="14747" spans="1:3">
      <c r="A14747" s="250">
        <v>34737</v>
      </c>
      <c r="B14747" s="74" t="s">
        <v>8597</v>
      </c>
      <c r="C14747" s="74" t="s">
        <v>420</v>
      </c>
    </row>
    <row r="14748" spans="1:3">
      <c r="A14748" s="250">
        <v>34739</v>
      </c>
      <c r="B14748" s="74" t="s">
        <v>7359</v>
      </c>
      <c r="C14748" s="74" t="s">
        <v>420</v>
      </c>
    </row>
    <row r="14749" spans="1:3">
      <c r="A14749" s="250">
        <v>34740</v>
      </c>
      <c r="B14749" s="74" t="s">
        <v>8598</v>
      </c>
      <c r="C14749" s="74" t="s">
        <v>420</v>
      </c>
    </row>
    <row r="14750" spans="1:3">
      <c r="A14750" s="250">
        <v>34741</v>
      </c>
      <c r="B14750" s="74" t="s">
        <v>8599</v>
      </c>
      <c r="C14750" s="74" t="s">
        <v>420</v>
      </c>
    </row>
    <row r="14751" spans="1:3">
      <c r="A14751" s="250">
        <v>34742</v>
      </c>
      <c r="B14751" s="74" t="s">
        <v>8599</v>
      </c>
      <c r="C14751" s="74" t="s">
        <v>420</v>
      </c>
    </row>
    <row r="14752" spans="1:3">
      <c r="A14752" s="250">
        <v>34743</v>
      </c>
      <c r="B14752" s="74" t="s">
        <v>8599</v>
      </c>
      <c r="C14752" s="74" t="s">
        <v>420</v>
      </c>
    </row>
    <row r="14753" spans="1:3">
      <c r="A14753" s="250">
        <v>34744</v>
      </c>
      <c r="B14753" s="74" t="s">
        <v>8599</v>
      </c>
      <c r="C14753" s="74" t="s">
        <v>420</v>
      </c>
    </row>
    <row r="14754" spans="1:3">
      <c r="A14754" s="250">
        <v>34745</v>
      </c>
      <c r="B14754" s="74" t="s">
        <v>8599</v>
      </c>
      <c r="C14754" s="74" t="s">
        <v>420</v>
      </c>
    </row>
    <row r="14755" spans="1:3">
      <c r="A14755" s="250">
        <v>34746</v>
      </c>
      <c r="B14755" s="74" t="s">
        <v>8599</v>
      </c>
      <c r="C14755" s="74" t="s">
        <v>420</v>
      </c>
    </row>
    <row r="14756" spans="1:3">
      <c r="A14756" s="250">
        <v>34747</v>
      </c>
      <c r="B14756" s="74" t="s">
        <v>8599</v>
      </c>
      <c r="C14756" s="74" t="s">
        <v>420</v>
      </c>
    </row>
    <row r="14757" spans="1:3">
      <c r="A14757" s="250">
        <v>34748</v>
      </c>
      <c r="B14757" s="74" t="s">
        <v>2488</v>
      </c>
      <c r="C14757" s="74" t="s">
        <v>420</v>
      </c>
    </row>
    <row r="14758" spans="1:3">
      <c r="A14758" s="250">
        <v>34749</v>
      </c>
      <c r="B14758" s="74" t="s">
        <v>2488</v>
      </c>
      <c r="C14758" s="74" t="s">
        <v>420</v>
      </c>
    </row>
    <row r="14759" spans="1:3">
      <c r="A14759" s="250">
        <v>34753</v>
      </c>
      <c r="B14759" s="74" t="s">
        <v>8600</v>
      </c>
      <c r="C14759" s="74" t="s">
        <v>420</v>
      </c>
    </row>
    <row r="14760" spans="1:3">
      <c r="A14760" s="250">
        <v>34755</v>
      </c>
      <c r="B14760" s="74" t="s">
        <v>8601</v>
      </c>
      <c r="C14760" s="74" t="s">
        <v>420</v>
      </c>
    </row>
    <row r="14761" spans="1:3">
      <c r="A14761" s="250">
        <v>34756</v>
      </c>
      <c r="B14761" s="74" t="s">
        <v>8602</v>
      </c>
      <c r="C14761" s="74" t="s">
        <v>420</v>
      </c>
    </row>
    <row r="14762" spans="1:3">
      <c r="A14762" s="250">
        <v>34758</v>
      </c>
      <c r="B14762" s="74" t="s">
        <v>8599</v>
      </c>
      <c r="C14762" s="74" t="s">
        <v>420</v>
      </c>
    </row>
    <row r="14763" spans="1:3">
      <c r="A14763" s="250">
        <v>34759</v>
      </c>
      <c r="B14763" s="74" t="s">
        <v>8599</v>
      </c>
      <c r="C14763" s="74" t="s">
        <v>420</v>
      </c>
    </row>
    <row r="14764" spans="1:3">
      <c r="A14764" s="250">
        <v>34760</v>
      </c>
      <c r="B14764" s="74" t="s">
        <v>1121</v>
      </c>
      <c r="C14764" s="74" t="s">
        <v>420</v>
      </c>
    </row>
    <row r="14765" spans="1:3">
      <c r="A14765" s="250">
        <v>34761</v>
      </c>
      <c r="B14765" s="74" t="s">
        <v>8603</v>
      </c>
      <c r="C14765" s="74" t="s">
        <v>420</v>
      </c>
    </row>
    <row r="14766" spans="1:3">
      <c r="A14766" s="250">
        <v>34762</v>
      </c>
      <c r="B14766" s="74" t="s">
        <v>8604</v>
      </c>
      <c r="C14766" s="74" t="s">
        <v>420</v>
      </c>
    </row>
    <row r="14767" spans="1:3">
      <c r="A14767" s="250">
        <v>34769</v>
      </c>
      <c r="B14767" s="74" t="s">
        <v>8605</v>
      </c>
      <c r="C14767" s="74" t="s">
        <v>420</v>
      </c>
    </row>
    <row r="14768" spans="1:3">
      <c r="A14768" s="250">
        <v>34770</v>
      </c>
      <c r="B14768" s="74" t="s">
        <v>8605</v>
      </c>
      <c r="C14768" s="74" t="s">
        <v>420</v>
      </c>
    </row>
    <row r="14769" spans="1:3">
      <c r="A14769" s="250">
        <v>34771</v>
      </c>
      <c r="B14769" s="74" t="s">
        <v>8605</v>
      </c>
      <c r="C14769" s="74" t="s">
        <v>420</v>
      </c>
    </row>
    <row r="14770" spans="1:3">
      <c r="A14770" s="250">
        <v>34772</v>
      </c>
      <c r="B14770" s="74" t="s">
        <v>8605</v>
      </c>
      <c r="C14770" s="74" t="s">
        <v>420</v>
      </c>
    </row>
    <row r="14771" spans="1:3">
      <c r="A14771" s="250">
        <v>34773</v>
      </c>
      <c r="B14771" s="74" t="s">
        <v>8605</v>
      </c>
      <c r="C14771" s="74" t="s">
        <v>420</v>
      </c>
    </row>
    <row r="14772" spans="1:3">
      <c r="A14772" s="250">
        <v>34777</v>
      </c>
      <c r="B14772" s="74" t="s">
        <v>8606</v>
      </c>
      <c r="C14772" s="74" t="s">
        <v>420</v>
      </c>
    </row>
    <row r="14773" spans="1:3">
      <c r="A14773" s="250">
        <v>34778</v>
      </c>
      <c r="B14773" s="74" t="s">
        <v>8606</v>
      </c>
      <c r="C14773" s="74" t="s">
        <v>420</v>
      </c>
    </row>
    <row r="14774" spans="1:3">
      <c r="A14774" s="250">
        <v>34785</v>
      </c>
      <c r="B14774" s="74" t="s">
        <v>2471</v>
      </c>
      <c r="C14774" s="74" t="s">
        <v>420</v>
      </c>
    </row>
    <row r="14775" spans="1:3">
      <c r="A14775" s="250">
        <v>34786</v>
      </c>
      <c r="B14775" s="74" t="s">
        <v>8607</v>
      </c>
      <c r="C14775" s="74" t="s">
        <v>420</v>
      </c>
    </row>
    <row r="14776" spans="1:3">
      <c r="A14776" s="250">
        <v>34787</v>
      </c>
      <c r="B14776" s="74" t="s">
        <v>8606</v>
      </c>
      <c r="C14776" s="74" t="s">
        <v>420</v>
      </c>
    </row>
    <row r="14777" spans="1:3">
      <c r="A14777" s="250">
        <v>34788</v>
      </c>
      <c r="B14777" s="74" t="s">
        <v>2488</v>
      </c>
      <c r="C14777" s="74" t="s">
        <v>420</v>
      </c>
    </row>
    <row r="14778" spans="1:3">
      <c r="A14778" s="250">
        <v>34789</v>
      </c>
      <c r="B14778" s="74" t="s">
        <v>2488</v>
      </c>
      <c r="C14778" s="74" t="s">
        <v>420</v>
      </c>
    </row>
    <row r="14779" spans="1:3">
      <c r="A14779" s="250">
        <v>34797</v>
      </c>
      <c r="B14779" s="74" t="s">
        <v>8608</v>
      </c>
      <c r="C14779" s="74" t="s">
        <v>420</v>
      </c>
    </row>
    <row r="14780" spans="1:3">
      <c r="A14780" s="250">
        <v>34945</v>
      </c>
      <c r="B14780" s="74" t="s">
        <v>8609</v>
      </c>
      <c r="C14780" s="74" t="s">
        <v>420</v>
      </c>
    </row>
    <row r="14781" spans="1:3">
      <c r="A14781" s="250">
        <v>34946</v>
      </c>
      <c r="B14781" s="74" t="s">
        <v>8609</v>
      </c>
      <c r="C14781" s="74" t="s">
        <v>420</v>
      </c>
    </row>
    <row r="14782" spans="1:3">
      <c r="A14782" s="250">
        <v>34947</v>
      </c>
      <c r="B14782" s="74" t="s">
        <v>8609</v>
      </c>
      <c r="C14782" s="74" t="s">
        <v>420</v>
      </c>
    </row>
    <row r="14783" spans="1:3">
      <c r="A14783" s="250">
        <v>34948</v>
      </c>
      <c r="B14783" s="74" t="s">
        <v>8609</v>
      </c>
      <c r="C14783" s="74" t="s">
        <v>420</v>
      </c>
    </row>
    <row r="14784" spans="1:3">
      <c r="A14784" s="250">
        <v>34949</v>
      </c>
      <c r="B14784" s="74" t="s">
        <v>8609</v>
      </c>
      <c r="C14784" s="74" t="s">
        <v>420</v>
      </c>
    </row>
    <row r="14785" spans="1:3">
      <c r="A14785" s="250">
        <v>34950</v>
      </c>
      <c r="B14785" s="74" t="s">
        <v>8609</v>
      </c>
      <c r="C14785" s="74" t="s">
        <v>420</v>
      </c>
    </row>
    <row r="14786" spans="1:3">
      <c r="A14786" s="250">
        <v>34951</v>
      </c>
      <c r="B14786" s="74" t="s">
        <v>8609</v>
      </c>
      <c r="C14786" s="74" t="s">
        <v>420</v>
      </c>
    </row>
    <row r="14787" spans="1:3">
      <c r="A14787" s="250">
        <v>34952</v>
      </c>
      <c r="B14787" s="74" t="s">
        <v>8610</v>
      </c>
      <c r="C14787" s="74" t="s">
        <v>420</v>
      </c>
    </row>
    <row r="14788" spans="1:3">
      <c r="A14788" s="250">
        <v>34953</v>
      </c>
      <c r="B14788" s="74" t="s">
        <v>8610</v>
      </c>
      <c r="C14788" s="74" t="s">
        <v>420</v>
      </c>
    </row>
    <row r="14789" spans="1:3">
      <c r="A14789" s="250">
        <v>34954</v>
      </c>
      <c r="B14789" s="74" t="s">
        <v>8609</v>
      </c>
      <c r="C14789" s="74" t="s">
        <v>420</v>
      </c>
    </row>
    <row r="14790" spans="1:3">
      <c r="A14790" s="250">
        <v>34956</v>
      </c>
      <c r="B14790" s="74" t="s">
        <v>8611</v>
      </c>
      <c r="C14790" s="74" t="s">
        <v>420</v>
      </c>
    </row>
    <row r="14791" spans="1:3">
      <c r="A14791" s="250">
        <v>34957</v>
      </c>
      <c r="B14791" s="74" t="s">
        <v>8612</v>
      </c>
      <c r="C14791" s="74" t="s">
        <v>420</v>
      </c>
    </row>
    <row r="14792" spans="1:3">
      <c r="A14792" s="250">
        <v>34958</v>
      </c>
      <c r="B14792" s="74" t="s">
        <v>8612</v>
      </c>
      <c r="C14792" s="74" t="s">
        <v>420</v>
      </c>
    </row>
    <row r="14793" spans="1:3">
      <c r="A14793" s="250">
        <v>34972</v>
      </c>
      <c r="B14793" s="74" t="s">
        <v>8613</v>
      </c>
      <c r="C14793" s="74" t="s">
        <v>420</v>
      </c>
    </row>
    <row r="14794" spans="1:3">
      <c r="A14794" s="250">
        <v>34973</v>
      </c>
      <c r="B14794" s="74" t="s">
        <v>8613</v>
      </c>
      <c r="C14794" s="74" t="s">
        <v>420</v>
      </c>
    </row>
    <row r="14795" spans="1:3">
      <c r="A14795" s="250">
        <v>34974</v>
      </c>
      <c r="B14795" s="74" t="s">
        <v>8613</v>
      </c>
      <c r="C14795" s="74" t="s">
        <v>420</v>
      </c>
    </row>
    <row r="14796" spans="1:3">
      <c r="A14796" s="250">
        <v>34979</v>
      </c>
      <c r="B14796" s="74" t="s">
        <v>8609</v>
      </c>
      <c r="C14796" s="74" t="s">
        <v>420</v>
      </c>
    </row>
    <row r="14797" spans="1:3">
      <c r="A14797" s="250">
        <v>34981</v>
      </c>
      <c r="B14797" s="74" t="s">
        <v>8609</v>
      </c>
      <c r="C14797" s="74" t="s">
        <v>420</v>
      </c>
    </row>
    <row r="14798" spans="1:3">
      <c r="A14798" s="250">
        <v>34982</v>
      </c>
      <c r="B14798" s="74" t="s">
        <v>8609</v>
      </c>
      <c r="C14798" s="74" t="s">
        <v>420</v>
      </c>
    </row>
    <row r="14799" spans="1:3">
      <c r="A14799" s="250">
        <v>34983</v>
      </c>
      <c r="B14799" s="74" t="s">
        <v>8610</v>
      </c>
      <c r="C14799" s="74" t="s">
        <v>420</v>
      </c>
    </row>
    <row r="14800" spans="1:3">
      <c r="A14800" s="250">
        <v>34984</v>
      </c>
      <c r="B14800" s="74" t="s">
        <v>8610</v>
      </c>
      <c r="C14800" s="74" t="s">
        <v>420</v>
      </c>
    </row>
    <row r="14801" spans="1:3">
      <c r="A14801" s="250">
        <v>34985</v>
      </c>
      <c r="B14801" s="74" t="s">
        <v>8610</v>
      </c>
      <c r="C14801" s="74" t="s">
        <v>420</v>
      </c>
    </row>
    <row r="14802" spans="1:3">
      <c r="A14802" s="250">
        <v>34986</v>
      </c>
      <c r="B14802" s="74" t="s">
        <v>8610</v>
      </c>
      <c r="C14802" s="74" t="s">
        <v>420</v>
      </c>
    </row>
    <row r="14803" spans="1:3">
      <c r="A14803" s="250">
        <v>34987</v>
      </c>
      <c r="B14803" s="74" t="s">
        <v>8610</v>
      </c>
      <c r="C14803" s="74" t="s">
        <v>420</v>
      </c>
    </row>
    <row r="14804" spans="1:3">
      <c r="A14804" s="250">
        <v>34988</v>
      </c>
      <c r="B14804" s="74" t="s">
        <v>8610</v>
      </c>
      <c r="C14804" s="74" t="s">
        <v>420</v>
      </c>
    </row>
    <row r="14805" spans="1:3">
      <c r="A14805" s="250">
        <v>34990</v>
      </c>
      <c r="B14805" s="74" t="s">
        <v>8614</v>
      </c>
      <c r="C14805" s="74" t="s">
        <v>420</v>
      </c>
    </row>
    <row r="14806" spans="1:3">
      <c r="A14806" s="250">
        <v>34991</v>
      </c>
      <c r="B14806" s="74" t="s">
        <v>8614</v>
      </c>
      <c r="C14806" s="74" t="s">
        <v>420</v>
      </c>
    </row>
    <row r="14807" spans="1:3">
      <c r="A14807" s="250">
        <v>34992</v>
      </c>
      <c r="B14807" s="74" t="s">
        <v>8615</v>
      </c>
      <c r="C14807" s="74" t="s">
        <v>420</v>
      </c>
    </row>
    <row r="14808" spans="1:3">
      <c r="A14808" s="250">
        <v>34994</v>
      </c>
      <c r="B14808" s="74" t="s">
        <v>6305</v>
      </c>
      <c r="C14808" s="74" t="s">
        <v>420</v>
      </c>
    </row>
    <row r="14809" spans="1:3">
      <c r="A14809" s="250">
        <v>34995</v>
      </c>
      <c r="B14809" s="74" t="s">
        <v>6305</v>
      </c>
      <c r="C14809" s="74" t="s">
        <v>420</v>
      </c>
    </row>
    <row r="14810" spans="1:3">
      <c r="A14810" s="250">
        <v>34996</v>
      </c>
      <c r="B14810" s="74" t="s">
        <v>6305</v>
      </c>
      <c r="C14810" s="74" t="s">
        <v>420</v>
      </c>
    </row>
    <row r="14811" spans="1:3">
      <c r="A14811" s="250">
        <v>34997</v>
      </c>
      <c r="B14811" s="74" t="s">
        <v>6305</v>
      </c>
      <c r="C14811" s="74" t="s">
        <v>420</v>
      </c>
    </row>
    <row r="14812" spans="1:3">
      <c r="A14812" s="250">
        <v>35004</v>
      </c>
      <c r="B14812" s="74" t="s">
        <v>1396</v>
      </c>
      <c r="C14812" s="74" t="s">
        <v>412</v>
      </c>
    </row>
    <row r="14813" spans="1:3">
      <c r="A14813" s="250">
        <v>35005</v>
      </c>
      <c r="B14813" s="74" t="s">
        <v>1092</v>
      </c>
      <c r="C14813" s="74" t="s">
        <v>412</v>
      </c>
    </row>
    <row r="14814" spans="1:3">
      <c r="A14814" s="250">
        <v>35006</v>
      </c>
      <c r="B14814" s="74" t="s">
        <v>8616</v>
      </c>
      <c r="C14814" s="74" t="s">
        <v>412</v>
      </c>
    </row>
    <row r="14815" spans="1:3">
      <c r="A14815" s="250">
        <v>35007</v>
      </c>
      <c r="B14815" s="74" t="s">
        <v>8617</v>
      </c>
      <c r="C14815" s="74" t="s">
        <v>412</v>
      </c>
    </row>
    <row r="14816" spans="1:3">
      <c r="A14816" s="250">
        <v>35010</v>
      </c>
      <c r="B14816" s="74" t="s">
        <v>8618</v>
      </c>
      <c r="C14816" s="74" t="s">
        <v>412</v>
      </c>
    </row>
    <row r="14817" spans="1:3">
      <c r="A14817" s="250">
        <v>35011</v>
      </c>
      <c r="B14817" s="74" t="s">
        <v>8618</v>
      </c>
      <c r="C14817" s="74" t="s">
        <v>412</v>
      </c>
    </row>
    <row r="14818" spans="1:3">
      <c r="A14818" s="250">
        <v>35013</v>
      </c>
      <c r="B14818" s="74" t="s">
        <v>8619</v>
      </c>
      <c r="C14818" s="74" t="s">
        <v>412</v>
      </c>
    </row>
    <row r="14819" spans="1:3">
      <c r="A14819" s="250">
        <v>35014</v>
      </c>
      <c r="B14819" s="74" t="s">
        <v>2225</v>
      </c>
      <c r="C14819" s="74" t="s">
        <v>412</v>
      </c>
    </row>
    <row r="14820" spans="1:3">
      <c r="A14820" s="250">
        <v>35015</v>
      </c>
      <c r="B14820" s="74" t="s">
        <v>1293</v>
      </c>
      <c r="C14820" s="74" t="s">
        <v>412</v>
      </c>
    </row>
    <row r="14821" spans="1:3">
      <c r="A14821" s="250">
        <v>35016</v>
      </c>
      <c r="B14821" s="74" t="s">
        <v>8620</v>
      </c>
      <c r="C14821" s="74" t="s">
        <v>412</v>
      </c>
    </row>
    <row r="14822" spans="1:3">
      <c r="A14822" s="250">
        <v>35019</v>
      </c>
      <c r="B14822" s="74" t="s">
        <v>8621</v>
      </c>
      <c r="C14822" s="74" t="s">
        <v>412</v>
      </c>
    </row>
    <row r="14823" spans="1:3">
      <c r="A14823" s="250">
        <v>35020</v>
      </c>
      <c r="B14823" s="74" t="s">
        <v>4410</v>
      </c>
      <c r="C14823" s="74" t="s">
        <v>412</v>
      </c>
    </row>
    <row r="14824" spans="1:3">
      <c r="A14824" s="250">
        <v>35021</v>
      </c>
      <c r="B14824" s="74" t="s">
        <v>4410</v>
      </c>
      <c r="C14824" s="74" t="s">
        <v>412</v>
      </c>
    </row>
    <row r="14825" spans="1:3">
      <c r="A14825" s="250">
        <v>35022</v>
      </c>
      <c r="B14825" s="74" t="s">
        <v>4410</v>
      </c>
      <c r="C14825" s="74" t="s">
        <v>412</v>
      </c>
    </row>
    <row r="14826" spans="1:3">
      <c r="A14826" s="250">
        <v>35023</v>
      </c>
      <c r="B14826" s="74" t="s">
        <v>4410</v>
      </c>
      <c r="C14826" s="74" t="s">
        <v>412</v>
      </c>
    </row>
    <row r="14827" spans="1:3">
      <c r="A14827" s="250">
        <v>35031</v>
      </c>
      <c r="B14827" s="74" t="s">
        <v>8622</v>
      </c>
      <c r="C14827" s="74" t="s">
        <v>412</v>
      </c>
    </row>
    <row r="14828" spans="1:3">
      <c r="A14828" s="250">
        <v>35032</v>
      </c>
      <c r="B14828" s="74" t="s">
        <v>8623</v>
      </c>
      <c r="C14828" s="74" t="s">
        <v>412</v>
      </c>
    </row>
    <row r="14829" spans="1:3">
      <c r="A14829" s="250">
        <v>35033</v>
      </c>
      <c r="B14829" s="74" t="s">
        <v>1545</v>
      </c>
      <c r="C14829" s="74" t="s">
        <v>412</v>
      </c>
    </row>
    <row r="14830" spans="1:3">
      <c r="A14830" s="250">
        <v>35034</v>
      </c>
      <c r="B14830" s="74" t="s">
        <v>8624</v>
      </c>
      <c r="C14830" s="74" t="s">
        <v>412</v>
      </c>
    </row>
    <row r="14831" spans="1:3">
      <c r="A14831" s="250">
        <v>35035</v>
      </c>
      <c r="B14831" s="74" t="s">
        <v>8625</v>
      </c>
      <c r="C14831" s="74" t="s">
        <v>412</v>
      </c>
    </row>
    <row r="14832" spans="1:3">
      <c r="A14832" s="250">
        <v>35036</v>
      </c>
      <c r="B14832" s="74" t="s">
        <v>2340</v>
      </c>
      <c r="C14832" s="74" t="s">
        <v>412</v>
      </c>
    </row>
    <row r="14833" spans="1:3">
      <c r="A14833" s="250">
        <v>35038</v>
      </c>
      <c r="B14833" s="74" t="s">
        <v>8626</v>
      </c>
      <c r="C14833" s="74" t="s">
        <v>412</v>
      </c>
    </row>
    <row r="14834" spans="1:3">
      <c r="A14834" s="250">
        <v>35040</v>
      </c>
      <c r="B14834" s="74" t="s">
        <v>8627</v>
      </c>
      <c r="C14834" s="74" t="s">
        <v>412</v>
      </c>
    </row>
    <row r="14835" spans="1:3">
      <c r="A14835" s="250">
        <v>35041</v>
      </c>
      <c r="B14835" s="74" t="s">
        <v>8628</v>
      </c>
      <c r="C14835" s="74" t="s">
        <v>412</v>
      </c>
    </row>
    <row r="14836" spans="1:3">
      <c r="A14836" s="250">
        <v>35042</v>
      </c>
      <c r="B14836" s="74" t="s">
        <v>5518</v>
      </c>
      <c r="C14836" s="74" t="s">
        <v>412</v>
      </c>
    </row>
    <row r="14837" spans="1:3">
      <c r="A14837" s="250">
        <v>35043</v>
      </c>
      <c r="B14837" s="74" t="s">
        <v>918</v>
      </c>
      <c r="C14837" s="74" t="s">
        <v>412</v>
      </c>
    </row>
    <row r="14838" spans="1:3">
      <c r="A14838" s="250">
        <v>35044</v>
      </c>
      <c r="B14838" s="74" t="s">
        <v>8629</v>
      </c>
      <c r="C14838" s="74" t="s">
        <v>412</v>
      </c>
    </row>
    <row r="14839" spans="1:3">
      <c r="A14839" s="250">
        <v>35045</v>
      </c>
      <c r="B14839" s="74" t="s">
        <v>8630</v>
      </c>
      <c r="C14839" s="74" t="s">
        <v>412</v>
      </c>
    </row>
    <row r="14840" spans="1:3">
      <c r="A14840" s="250">
        <v>35046</v>
      </c>
      <c r="B14840" s="74" t="s">
        <v>8630</v>
      </c>
      <c r="C14840" s="74" t="s">
        <v>412</v>
      </c>
    </row>
    <row r="14841" spans="1:3">
      <c r="A14841" s="250">
        <v>35048</v>
      </c>
      <c r="B14841" s="74" t="s">
        <v>3349</v>
      </c>
      <c r="C14841" s="74" t="s">
        <v>412</v>
      </c>
    </row>
    <row r="14842" spans="1:3">
      <c r="A14842" s="250">
        <v>35049</v>
      </c>
      <c r="B14842" s="74" t="s">
        <v>3350</v>
      </c>
      <c r="C14842" s="74" t="s">
        <v>412</v>
      </c>
    </row>
    <row r="14843" spans="1:3">
      <c r="A14843" s="250">
        <v>35051</v>
      </c>
      <c r="B14843" s="74" t="s">
        <v>8631</v>
      </c>
      <c r="C14843" s="74" t="s">
        <v>412</v>
      </c>
    </row>
    <row r="14844" spans="1:3">
      <c r="A14844" s="250">
        <v>35052</v>
      </c>
      <c r="B14844" s="74" t="s">
        <v>8632</v>
      </c>
      <c r="C14844" s="74" t="s">
        <v>412</v>
      </c>
    </row>
    <row r="14845" spans="1:3">
      <c r="A14845" s="250">
        <v>35053</v>
      </c>
      <c r="B14845" s="74" t="s">
        <v>8633</v>
      </c>
      <c r="C14845" s="74" t="s">
        <v>412</v>
      </c>
    </row>
    <row r="14846" spans="1:3">
      <c r="A14846" s="250">
        <v>35054</v>
      </c>
      <c r="B14846" s="74" t="s">
        <v>8634</v>
      </c>
      <c r="C14846" s="74" t="s">
        <v>412</v>
      </c>
    </row>
    <row r="14847" spans="1:3">
      <c r="A14847" s="250">
        <v>35055</v>
      </c>
      <c r="B14847" s="74" t="s">
        <v>8635</v>
      </c>
      <c r="C14847" s="74" t="s">
        <v>412</v>
      </c>
    </row>
    <row r="14848" spans="1:3">
      <c r="A14848" s="250">
        <v>35056</v>
      </c>
      <c r="B14848" s="74" t="s">
        <v>8635</v>
      </c>
      <c r="C14848" s="74" t="s">
        <v>412</v>
      </c>
    </row>
    <row r="14849" spans="1:3">
      <c r="A14849" s="250">
        <v>35057</v>
      </c>
      <c r="B14849" s="74" t="s">
        <v>8635</v>
      </c>
      <c r="C14849" s="74" t="s">
        <v>412</v>
      </c>
    </row>
    <row r="14850" spans="1:3">
      <c r="A14850" s="250">
        <v>35058</v>
      </c>
      <c r="B14850" s="74" t="s">
        <v>8635</v>
      </c>
      <c r="C14850" s="74" t="s">
        <v>412</v>
      </c>
    </row>
    <row r="14851" spans="1:3">
      <c r="A14851" s="250">
        <v>35060</v>
      </c>
      <c r="B14851" s="74" t="s">
        <v>8636</v>
      </c>
      <c r="C14851" s="74" t="s">
        <v>412</v>
      </c>
    </row>
    <row r="14852" spans="1:3">
      <c r="A14852" s="250">
        <v>35061</v>
      </c>
      <c r="B14852" s="74" t="s">
        <v>8637</v>
      </c>
      <c r="C14852" s="74" t="s">
        <v>412</v>
      </c>
    </row>
    <row r="14853" spans="1:3">
      <c r="A14853" s="250">
        <v>35062</v>
      </c>
      <c r="B14853" s="74" t="s">
        <v>8638</v>
      </c>
      <c r="C14853" s="74" t="s">
        <v>412</v>
      </c>
    </row>
    <row r="14854" spans="1:3">
      <c r="A14854" s="250">
        <v>35063</v>
      </c>
      <c r="B14854" s="74" t="s">
        <v>8639</v>
      </c>
      <c r="C14854" s="74" t="s">
        <v>412</v>
      </c>
    </row>
    <row r="14855" spans="1:3">
      <c r="A14855" s="250">
        <v>35064</v>
      </c>
      <c r="B14855" s="74" t="s">
        <v>1694</v>
      </c>
      <c r="C14855" s="74" t="s">
        <v>412</v>
      </c>
    </row>
    <row r="14856" spans="1:3">
      <c r="A14856" s="250">
        <v>35068</v>
      </c>
      <c r="B14856" s="74" t="s">
        <v>8640</v>
      </c>
      <c r="C14856" s="74" t="s">
        <v>412</v>
      </c>
    </row>
    <row r="14857" spans="1:3">
      <c r="A14857" s="250">
        <v>35070</v>
      </c>
      <c r="B14857" s="74" t="s">
        <v>2769</v>
      </c>
      <c r="C14857" s="74" t="s">
        <v>412</v>
      </c>
    </row>
    <row r="14858" spans="1:3">
      <c r="A14858" s="250">
        <v>35071</v>
      </c>
      <c r="B14858" s="74" t="s">
        <v>8641</v>
      </c>
      <c r="C14858" s="74" t="s">
        <v>412</v>
      </c>
    </row>
    <row r="14859" spans="1:3">
      <c r="A14859" s="250">
        <v>35072</v>
      </c>
      <c r="B14859" s="74" t="s">
        <v>8642</v>
      </c>
      <c r="C14859" s="74" t="s">
        <v>412</v>
      </c>
    </row>
    <row r="14860" spans="1:3">
      <c r="A14860" s="250">
        <v>35073</v>
      </c>
      <c r="B14860" s="74" t="s">
        <v>4060</v>
      </c>
      <c r="C14860" s="74" t="s">
        <v>412</v>
      </c>
    </row>
    <row r="14861" spans="1:3">
      <c r="A14861" s="250">
        <v>35074</v>
      </c>
      <c r="B14861" s="74" t="s">
        <v>7704</v>
      </c>
      <c r="C14861" s="74" t="s">
        <v>412</v>
      </c>
    </row>
    <row r="14862" spans="1:3">
      <c r="A14862" s="250">
        <v>35077</v>
      </c>
      <c r="B14862" s="74" t="s">
        <v>8643</v>
      </c>
      <c r="C14862" s="74" t="s">
        <v>412</v>
      </c>
    </row>
    <row r="14863" spans="1:3">
      <c r="A14863" s="250">
        <v>35078</v>
      </c>
      <c r="B14863" s="74" t="s">
        <v>8644</v>
      </c>
      <c r="C14863" s="74" t="s">
        <v>412</v>
      </c>
    </row>
    <row r="14864" spans="1:3">
      <c r="A14864" s="250">
        <v>35079</v>
      </c>
      <c r="B14864" s="74" t="s">
        <v>8645</v>
      </c>
      <c r="C14864" s="74" t="s">
        <v>412</v>
      </c>
    </row>
    <row r="14865" spans="1:3">
      <c r="A14865" s="250">
        <v>35080</v>
      </c>
      <c r="B14865" s="74" t="s">
        <v>3555</v>
      </c>
      <c r="C14865" s="74" t="s">
        <v>412</v>
      </c>
    </row>
    <row r="14866" spans="1:3">
      <c r="A14866" s="250">
        <v>35082</v>
      </c>
      <c r="B14866" s="74" t="s">
        <v>8646</v>
      </c>
      <c r="C14866" s="74" t="s">
        <v>412</v>
      </c>
    </row>
    <row r="14867" spans="1:3">
      <c r="A14867" s="250">
        <v>35083</v>
      </c>
      <c r="B14867" s="74" t="s">
        <v>8647</v>
      </c>
      <c r="C14867" s="74" t="s">
        <v>412</v>
      </c>
    </row>
    <row r="14868" spans="1:3">
      <c r="A14868" s="250">
        <v>35085</v>
      </c>
      <c r="B14868" s="74" t="s">
        <v>8648</v>
      </c>
      <c r="C14868" s="74" t="s">
        <v>412</v>
      </c>
    </row>
    <row r="14869" spans="1:3">
      <c r="A14869" s="250">
        <v>35087</v>
      </c>
      <c r="B14869" s="74" t="s">
        <v>5679</v>
      </c>
      <c r="C14869" s="74" t="s">
        <v>412</v>
      </c>
    </row>
    <row r="14870" spans="1:3">
      <c r="A14870" s="250">
        <v>35089</v>
      </c>
      <c r="B14870" s="74" t="s">
        <v>8649</v>
      </c>
      <c r="C14870" s="74" t="s">
        <v>412</v>
      </c>
    </row>
    <row r="14871" spans="1:3">
      <c r="A14871" s="250">
        <v>35091</v>
      </c>
      <c r="B14871" s="74" t="s">
        <v>6621</v>
      </c>
      <c r="C14871" s="74" t="s">
        <v>412</v>
      </c>
    </row>
    <row r="14872" spans="1:3">
      <c r="A14872" s="250">
        <v>35094</v>
      </c>
      <c r="B14872" s="74" t="s">
        <v>602</v>
      </c>
      <c r="C14872" s="74" t="s">
        <v>412</v>
      </c>
    </row>
    <row r="14873" spans="1:3">
      <c r="A14873" s="250">
        <v>35096</v>
      </c>
      <c r="B14873" s="74" t="s">
        <v>800</v>
      </c>
      <c r="C14873" s="74" t="s">
        <v>412</v>
      </c>
    </row>
    <row r="14874" spans="1:3">
      <c r="A14874" s="250">
        <v>35097</v>
      </c>
      <c r="B14874" s="74" t="s">
        <v>8650</v>
      </c>
      <c r="C14874" s="74" t="s">
        <v>412</v>
      </c>
    </row>
    <row r="14875" spans="1:3">
      <c r="A14875" s="250">
        <v>35098</v>
      </c>
      <c r="B14875" s="74" t="s">
        <v>6736</v>
      </c>
      <c r="C14875" s="74" t="s">
        <v>412</v>
      </c>
    </row>
    <row r="14876" spans="1:3">
      <c r="A14876" s="250">
        <v>35111</v>
      </c>
      <c r="B14876" s="74" t="s">
        <v>8651</v>
      </c>
      <c r="C14876" s="74" t="s">
        <v>412</v>
      </c>
    </row>
    <row r="14877" spans="1:3">
      <c r="A14877" s="250">
        <v>35112</v>
      </c>
      <c r="B14877" s="74" t="s">
        <v>8652</v>
      </c>
      <c r="C14877" s="74" t="s">
        <v>412</v>
      </c>
    </row>
    <row r="14878" spans="1:3">
      <c r="A14878" s="250">
        <v>35114</v>
      </c>
      <c r="B14878" s="74" t="s">
        <v>8653</v>
      </c>
      <c r="C14878" s="74" t="s">
        <v>412</v>
      </c>
    </row>
    <row r="14879" spans="1:3">
      <c r="A14879" s="250">
        <v>35115</v>
      </c>
      <c r="B14879" s="74" t="s">
        <v>8654</v>
      </c>
      <c r="C14879" s="74" t="s">
        <v>412</v>
      </c>
    </row>
    <row r="14880" spans="1:3">
      <c r="A14880" s="250">
        <v>35116</v>
      </c>
      <c r="B14880" s="74" t="s">
        <v>2086</v>
      </c>
      <c r="C14880" s="74" t="s">
        <v>412</v>
      </c>
    </row>
    <row r="14881" spans="1:3">
      <c r="A14881" s="250">
        <v>35117</v>
      </c>
      <c r="B14881" s="74" t="s">
        <v>6650</v>
      </c>
      <c r="C14881" s="74" t="s">
        <v>412</v>
      </c>
    </row>
    <row r="14882" spans="1:3">
      <c r="A14882" s="250">
        <v>35118</v>
      </c>
      <c r="B14882" s="74" t="s">
        <v>8655</v>
      </c>
      <c r="C14882" s="74" t="s">
        <v>412</v>
      </c>
    </row>
    <row r="14883" spans="1:3">
      <c r="A14883" s="250">
        <v>35119</v>
      </c>
      <c r="B14883" s="74" t="s">
        <v>1324</v>
      </c>
      <c r="C14883" s="74" t="s">
        <v>412</v>
      </c>
    </row>
    <row r="14884" spans="1:3">
      <c r="A14884" s="250">
        <v>35120</v>
      </c>
      <c r="B14884" s="74" t="s">
        <v>8656</v>
      </c>
      <c r="C14884" s="74" t="s">
        <v>412</v>
      </c>
    </row>
    <row r="14885" spans="1:3">
      <c r="A14885" s="250">
        <v>35121</v>
      </c>
      <c r="B14885" s="74" t="s">
        <v>3639</v>
      </c>
      <c r="C14885" s="74" t="s">
        <v>412</v>
      </c>
    </row>
    <row r="14886" spans="1:3">
      <c r="A14886" s="250">
        <v>35123</v>
      </c>
      <c r="B14886" s="74" t="s">
        <v>8657</v>
      </c>
      <c r="C14886" s="74" t="s">
        <v>412</v>
      </c>
    </row>
    <row r="14887" spans="1:3">
      <c r="A14887" s="250">
        <v>35124</v>
      </c>
      <c r="B14887" s="74" t="s">
        <v>1169</v>
      </c>
      <c r="C14887" s="74" t="s">
        <v>412</v>
      </c>
    </row>
    <row r="14888" spans="1:3">
      <c r="A14888" s="250">
        <v>35125</v>
      </c>
      <c r="B14888" s="74" t="s">
        <v>8658</v>
      </c>
      <c r="C14888" s="74" t="s">
        <v>412</v>
      </c>
    </row>
    <row r="14889" spans="1:3">
      <c r="A14889" s="250">
        <v>35126</v>
      </c>
      <c r="B14889" s="74" t="s">
        <v>8659</v>
      </c>
      <c r="C14889" s="74" t="s">
        <v>412</v>
      </c>
    </row>
    <row r="14890" spans="1:3">
      <c r="A14890" s="250">
        <v>35127</v>
      </c>
      <c r="B14890" s="74" t="s">
        <v>8660</v>
      </c>
      <c r="C14890" s="74" t="s">
        <v>412</v>
      </c>
    </row>
    <row r="14891" spans="1:3">
      <c r="A14891" s="250">
        <v>35128</v>
      </c>
      <c r="B14891" s="74" t="s">
        <v>8658</v>
      </c>
      <c r="C14891" s="74" t="s">
        <v>412</v>
      </c>
    </row>
    <row r="14892" spans="1:3">
      <c r="A14892" s="250">
        <v>35130</v>
      </c>
      <c r="B14892" s="74" t="s">
        <v>2417</v>
      </c>
      <c r="C14892" s="74" t="s">
        <v>412</v>
      </c>
    </row>
    <row r="14893" spans="1:3">
      <c r="A14893" s="250">
        <v>35131</v>
      </c>
      <c r="B14893" s="74" t="s">
        <v>6771</v>
      </c>
      <c r="C14893" s="74" t="s">
        <v>412</v>
      </c>
    </row>
    <row r="14894" spans="1:3">
      <c r="A14894" s="250">
        <v>35133</v>
      </c>
      <c r="B14894" s="74" t="s">
        <v>8661</v>
      </c>
      <c r="C14894" s="74" t="s">
        <v>412</v>
      </c>
    </row>
    <row r="14895" spans="1:3">
      <c r="A14895" s="250">
        <v>35135</v>
      </c>
      <c r="B14895" s="74" t="s">
        <v>1147</v>
      </c>
      <c r="C14895" s="74" t="s">
        <v>412</v>
      </c>
    </row>
    <row r="14896" spans="1:3">
      <c r="A14896" s="250">
        <v>35136</v>
      </c>
      <c r="B14896" s="74" t="s">
        <v>8662</v>
      </c>
      <c r="C14896" s="74" t="s">
        <v>412</v>
      </c>
    </row>
    <row r="14897" spans="1:3">
      <c r="A14897" s="250">
        <v>35137</v>
      </c>
      <c r="B14897" s="74" t="s">
        <v>8663</v>
      </c>
      <c r="C14897" s="74" t="s">
        <v>412</v>
      </c>
    </row>
    <row r="14898" spans="1:3">
      <c r="A14898" s="250">
        <v>35139</v>
      </c>
      <c r="B14898" s="74" t="s">
        <v>5248</v>
      </c>
      <c r="C14898" s="74" t="s">
        <v>412</v>
      </c>
    </row>
    <row r="14899" spans="1:3">
      <c r="A14899" s="250">
        <v>35142</v>
      </c>
      <c r="B14899" s="74" t="s">
        <v>7380</v>
      </c>
      <c r="C14899" s="74" t="s">
        <v>412</v>
      </c>
    </row>
    <row r="14900" spans="1:3">
      <c r="A14900" s="250">
        <v>35143</v>
      </c>
      <c r="B14900" s="74" t="s">
        <v>7335</v>
      </c>
      <c r="C14900" s="74" t="s">
        <v>412</v>
      </c>
    </row>
    <row r="14901" spans="1:3">
      <c r="A14901" s="250">
        <v>35144</v>
      </c>
      <c r="B14901" s="74" t="s">
        <v>8664</v>
      </c>
      <c r="C14901" s="74" t="s">
        <v>412</v>
      </c>
    </row>
    <row r="14902" spans="1:3">
      <c r="A14902" s="250">
        <v>35146</v>
      </c>
      <c r="B14902" s="74" t="s">
        <v>3739</v>
      </c>
      <c r="C14902" s="74" t="s">
        <v>412</v>
      </c>
    </row>
    <row r="14903" spans="1:3">
      <c r="A14903" s="250">
        <v>35147</v>
      </c>
      <c r="B14903" s="74" t="s">
        <v>8665</v>
      </c>
      <c r="C14903" s="74" t="s">
        <v>412</v>
      </c>
    </row>
    <row r="14904" spans="1:3">
      <c r="A14904" s="250">
        <v>35148</v>
      </c>
      <c r="B14904" s="74" t="s">
        <v>8666</v>
      </c>
      <c r="C14904" s="74" t="s">
        <v>412</v>
      </c>
    </row>
    <row r="14905" spans="1:3">
      <c r="A14905" s="250">
        <v>35149</v>
      </c>
      <c r="B14905" s="74" t="s">
        <v>4078</v>
      </c>
      <c r="C14905" s="74" t="s">
        <v>412</v>
      </c>
    </row>
    <row r="14906" spans="1:3">
      <c r="A14906" s="250">
        <v>35150</v>
      </c>
      <c r="B14906" s="74" t="s">
        <v>8667</v>
      </c>
      <c r="C14906" s="74" t="s">
        <v>412</v>
      </c>
    </row>
    <row r="14907" spans="1:3">
      <c r="A14907" s="250">
        <v>35151</v>
      </c>
      <c r="B14907" s="74" t="s">
        <v>8667</v>
      </c>
      <c r="C14907" s="74" t="s">
        <v>412</v>
      </c>
    </row>
    <row r="14908" spans="1:3">
      <c r="A14908" s="250">
        <v>35160</v>
      </c>
      <c r="B14908" s="74" t="s">
        <v>8668</v>
      </c>
      <c r="C14908" s="74" t="s">
        <v>412</v>
      </c>
    </row>
    <row r="14909" spans="1:3">
      <c r="A14909" s="250">
        <v>35161</v>
      </c>
      <c r="B14909" s="74" t="s">
        <v>8668</v>
      </c>
      <c r="C14909" s="74" t="s">
        <v>412</v>
      </c>
    </row>
    <row r="14910" spans="1:3">
      <c r="A14910" s="250">
        <v>35171</v>
      </c>
      <c r="B14910" s="74" t="s">
        <v>8669</v>
      </c>
      <c r="C14910" s="74" t="s">
        <v>412</v>
      </c>
    </row>
    <row r="14911" spans="1:3">
      <c r="A14911" s="250">
        <v>35172</v>
      </c>
      <c r="B14911" s="74" t="s">
        <v>4012</v>
      </c>
      <c r="C14911" s="74" t="s">
        <v>412</v>
      </c>
    </row>
    <row r="14912" spans="1:3">
      <c r="A14912" s="250">
        <v>35173</v>
      </c>
      <c r="B14912" s="74" t="s">
        <v>8670</v>
      </c>
      <c r="C14912" s="74" t="s">
        <v>412</v>
      </c>
    </row>
    <row r="14913" spans="1:3">
      <c r="A14913" s="250">
        <v>35175</v>
      </c>
      <c r="B14913" s="74" t="s">
        <v>7520</v>
      </c>
      <c r="C14913" s="74" t="s">
        <v>412</v>
      </c>
    </row>
    <row r="14914" spans="1:3">
      <c r="A14914" s="250">
        <v>35176</v>
      </c>
      <c r="B14914" s="74" t="s">
        <v>8671</v>
      </c>
      <c r="C14914" s="74" t="s">
        <v>412</v>
      </c>
    </row>
    <row r="14915" spans="1:3">
      <c r="A14915" s="250">
        <v>35178</v>
      </c>
      <c r="B14915" s="74" t="s">
        <v>8672</v>
      </c>
      <c r="C14915" s="74" t="s">
        <v>412</v>
      </c>
    </row>
    <row r="14916" spans="1:3">
      <c r="A14916" s="250">
        <v>35179</v>
      </c>
      <c r="B14916" s="74" t="s">
        <v>8673</v>
      </c>
      <c r="C14916" s="74" t="s">
        <v>412</v>
      </c>
    </row>
    <row r="14917" spans="1:3">
      <c r="A14917" s="250">
        <v>35180</v>
      </c>
      <c r="B14917" s="74" t="s">
        <v>8674</v>
      </c>
      <c r="C14917" s="74" t="s">
        <v>412</v>
      </c>
    </row>
    <row r="14918" spans="1:3">
      <c r="A14918" s="250">
        <v>35181</v>
      </c>
      <c r="B14918" s="74" t="s">
        <v>8675</v>
      </c>
      <c r="C14918" s="74" t="s">
        <v>412</v>
      </c>
    </row>
    <row r="14919" spans="1:3">
      <c r="A14919" s="250">
        <v>35182</v>
      </c>
      <c r="B14919" s="74" t="s">
        <v>6176</v>
      </c>
      <c r="C14919" s="74" t="s">
        <v>412</v>
      </c>
    </row>
    <row r="14920" spans="1:3">
      <c r="A14920" s="250">
        <v>35183</v>
      </c>
      <c r="B14920" s="74" t="s">
        <v>8676</v>
      </c>
      <c r="C14920" s="74" t="s">
        <v>412</v>
      </c>
    </row>
    <row r="14921" spans="1:3">
      <c r="A14921" s="250">
        <v>35184</v>
      </c>
      <c r="B14921" s="74" t="s">
        <v>8677</v>
      </c>
      <c r="C14921" s="74" t="s">
        <v>412</v>
      </c>
    </row>
    <row r="14922" spans="1:3">
      <c r="A14922" s="250">
        <v>35185</v>
      </c>
      <c r="B14922" s="74" t="s">
        <v>4585</v>
      </c>
      <c r="C14922" s="74" t="s">
        <v>412</v>
      </c>
    </row>
    <row r="14923" spans="1:3">
      <c r="A14923" s="250">
        <v>35186</v>
      </c>
      <c r="B14923" s="74" t="s">
        <v>8678</v>
      </c>
      <c r="C14923" s="74" t="s">
        <v>412</v>
      </c>
    </row>
    <row r="14924" spans="1:3">
      <c r="A14924" s="250">
        <v>35187</v>
      </c>
      <c r="B14924" s="74" t="s">
        <v>1173</v>
      </c>
      <c r="C14924" s="74" t="s">
        <v>412</v>
      </c>
    </row>
    <row r="14925" spans="1:3">
      <c r="A14925" s="250">
        <v>35188</v>
      </c>
      <c r="B14925" s="74" t="s">
        <v>1223</v>
      </c>
      <c r="C14925" s="74" t="s">
        <v>412</v>
      </c>
    </row>
    <row r="14926" spans="1:3">
      <c r="A14926" s="250">
        <v>35201</v>
      </c>
      <c r="B14926" s="74" t="s">
        <v>2369</v>
      </c>
      <c r="C14926" s="74" t="s">
        <v>412</v>
      </c>
    </row>
    <row r="14927" spans="1:3">
      <c r="A14927" s="250">
        <v>35202</v>
      </c>
      <c r="B14927" s="74" t="s">
        <v>2369</v>
      </c>
      <c r="C14927" s="74" t="s">
        <v>412</v>
      </c>
    </row>
    <row r="14928" spans="1:3">
      <c r="A14928" s="250">
        <v>35203</v>
      </c>
      <c r="B14928" s="74" t="s">
        <v>2369</v>
      </c>
      <c r="C14928" s="74" t="s">
        <v>412</v>
      </c>
    </row>
    <row r="14929" spans="1:3">
      <c r="A14929" s="250">
        <v>35204</v>
      </c>
      <c r="B14929" s="74" t="s">
        <v>2369</v>
      </c>
      <c r="C14929" s="74" t="s">
        <v>412</v>
      </c>
    </row>
    <row r="14930" spans="1:3">
      <c r="A14930" s="250">
        <v>35205</v>
      </c>
      <c r="B14930" s="74" t="s">
        <v>2369</v>
      </c>
      <c r="C14930" s="74" t="s">
        <v>412</v>
      </c>
    </row>
    <row r="14931" spans="1:3">
      <c r="A14931" s="250">
        <v>35206</v>
      </c>
      <c r="B14931" s="74" t="s">
        <v>2369</v>
      </c>
      <c r="C14931" s="74" t="s">
        <v>412</v>
      </c>
    </row>
    <row r="14932" spans="1:3">
      <c r="A14932" s="250">
        <v>35207</v>
      </c>
      <c r="B14932" s="74" t="s">
        <v>2369</v>
      </c>
      <c r="C14932" s="74" t="s">
        <v>412</v>
      </c>
    </row>
    <row r="14933" spans="1:3">
      <c r="A14933" s="250">
        <v>35208</v>
      </c>
      <c r="B14933" s="74" t="s">
        <v>2369</v>
      </c>
      <c r="C14933" s="74" t="s">
        <v>412</v>
      </c>
    </row>
    <row r="14934" spans="1:3">
      <c r="A14934" s="250">
        <v>35209</v>
      </c>
      <c r="B14934" s="74" t="s">
        <v>2369</v>
      </c>
      <c r="C14934" s="74" t="s">
        <v>412</v>
      </c>
    </row>
    <row r="14935" spans="1:3">
      <c r="A14935" s="250">
        <v>35210</v>
      </c>
      <c r="B14935" s="74" t="s">
        <v>2369</v>
      </c>
      <c r="C14935" s="74" t="s">
        <v>412</v>
      </c>
    </row>
    <row r="14936" spans="1:3">
      <c r="A14936" s="250">
        <v>35211</v>
      </c>
      <c r="B14936" s="74" t="s">
        <v>2369</v>
      </c>
      <c r="C14936" s="74" t="s">
        <v>412</v>
      </c>
    </row>
    <row r="14937" spans="1:3">
      <c r="A14937" s="250">
        <v>35212</v>
      </c>
      <c r="B14937" s="74" t="s">
        <v>2369</v>
      </c>
      <c r="C14937" s="74" t="s">
        <v>412</v>
      </c>
    </row>
    <row r="14938" spans="1:3">
      <c r="A14938" s="250">
        <v>35213</v>
      </c>
      <c r="B14938" s="74" t="s">
        <v>2369</v>
      </c>
      <c r="C14938" s="74" t="s">
        <v>412</v>
      </c>
    </row>
    <row r="14939" spans="1:3">
      <c r="A14939" s="250">
        <v>35214</v>
      </c>
      <c r="B14939" s="74" t="s">
        <v>2369</v>
      </c>
      <c r="C14939" s="74" t="s">
        <v>412</v>
      </c>
    </row>
    <row r="14940" spans="1:3">
      <c r="A14940" s="250">
        <v>35215</v>
      </c>
      <c r="B14940" s="74" t="s">
        <v>2369</v>
      </c>
      <c r="C14940" s="74" t="s">
        <v>412</v>
      </c>
    </row>
    <row r="14941" spans="1:3">
      <c r="A14941" s="250">
        <v>35216</v>
      </c>
      <c r="B14941" s="74" t="s">
        <v>2369</v>
      </c>
      <c r="C14941" s="74" t="s">
        <v>412</v>
      </c>
    </row>
    <row r="14942" spans="1:3">
      <c r="A14942" s="250">
        <v>35217</v>
      </c>
      <c r="B14942" s="74" t="s">
        <v>2369</v>
      </c>
      <c r="C14942" s="74" t="s">
        <v>412</v>
      </c>
    </row>
    <row r="14943" spans="1:3">
      <c r="A14943" s="250">
        <v>35218</v>
      </c>
      <c r="B14943" s="74" t="s">
        <v>2369</v>
      </c>
      <c r="C14943" s="74" t="s">
        <v>412</v>
      </c>
    </row>
    <row r="14944" spans="1:3">
      <c r="A14944" s="250">
        <v>35219</v>
      </c>
      <c r="B14944" s="74" t="s">
        <v>2369</v>
      </c>
      <c r="C14944" s="74" t="s">
        <v>412</v>
      </c>
    </row>
    <row r="14945" spans="1:3">
      <c r="A14945" s="250">
        <v>35220</v>
      </c>
      <c r="B14945" s="74" t="s">
        <v>2369</v>
      </c>
      <c r="C14945" s="74" t="s">
        <v>412</v>
      </c>
    </row>
    <row r="14946" spans="1:3">
      <c r="A14946" s="250">
        <v>35221</v>
      </c>
      <c r="B14946" s="74" t="s">
        <v>2369</v>
      </c>
      <c r="C14946" s="74" t="s">
        <v>412</v>
      </c>
    </row>
    <row r="14947" spans="1:3">
      <c r="A14947" s="250">
        <v>35222</v>
      </c>
      <c r="B14947" s="74" t="s">
        <v>2369</v>
      </c>
      <c r="C14947" s="74" t="s">
        <v>412</v>
      </c>
    </row>
    <row r="14948" spans="1:3">
      <c r="A14948" s="250">
        <v>35223</v>
      </c>
      <c r="B14948" s="74" t="s">
        <v>2369</v>
      </c>
      <c r="C14948" s="74" t="s">
        <v>412</v>
      </c>
    </row>
    <row r="14949" spans="1:3">
      <c r="A14949" s="250">
        <v>35224</v>
      </c>
      <c r="B14949" s="74" t="s">
        <v>2369</v>
      </c>
      <c r="C14949" s="74" t="s">
        <v>412</v>
      </c>
    </row>
    <row r="14950" spans="1:3">
      <c r="A14950" s="250">
        <v>35225</v>
      </c>
      <c r="B14950" s="74" t="s">
        <v>2369</v>
      </c>
      <c r="C14950" s="74" t="s">
        <v>412</v>
      </c>
    </row>
    <row r="14951" spans="1:3">
      <c r="A14951" s="250">
        <v>35226</v>
      </c>
      <c r="B14951" s="74" t="s">
        <v>2369</v>
      </c>
      <c r="C14951" s="74" t="s">
        <v>412</v>
      </c>
    </row>
    <row r="14952" spans="1:3">
      <c r="A14952" s="250">
        <v>35228</v>
      </c>
      <c r="B14952" s="74" t="s">
        <v>2369</v>
      </c>
      <c r="C14952" s="74" t="s">
        <v>412</v>
      </c>
    </row>
    <row r="14953" spans="1:3">
      <c r="A14953" s="250">
        <v>35229</v>
      </c>
      <c r="B14953" s="74" t="s">
        <v>2369</v>
      </c>
      <c r="C14953" s="74" t="s">
        <v>412</v>
      </c>
    </row>
    <row r="14954" spans="1:3">
      <c r="A14954" s="250">
        <v>35230</v>
      </c>
      <c r="B14954" s="74" t="s">
        <v>2369</v>
      </c>
      <c r="C14954" s="74" t="s">
        <v>412</v>
      </c>
    </row>
    <row r="14955" spans="1:3">
      <c r="A14955" s="250">
        <v>35231</v>
      </c>
      <c r="B14955" s="74" t="s">
        <v>2369</v>
      </c>
      <c r="C14955" s="74" t="s">
        <v>412</v>
      </c>
    </row>
    <row r="14956" spans="1:3">
      <c r="A14956" s="250">
        <v>35232</v>
      </c>
      <c r="B14956" s="74" t="s">
        <v>2369</v>
      </c>
      <c r="C14956" s="74" t="s">
        <v>412</v>
      </c>
    </row>
    <row r="14957" spans="1:3">
      <c r="A14957" s="250">
        <v>35233</v>
      </c>
      <c r="B14957" s="74" t="s">
        <v>2369</v>
      </c>
      <c r="C14957" s="74" t="s">
        <v>412</v>
      </c>
    </row>
    <row r="14958" spans="1:3">
      <c r="A14958" s="250">
        <v>35234</v>
      </c>
      <c r="B14958" s="74" t="s">
        <v>2369</v>
      </c>
      <c r="C14958" s="74" t="s">
        <v>412</v>
      </c>
    </row>
    <row r="14959" spans="1:3">
      <c r="A14959" s="250">
        <v>35235</v>
      </c>
      <c r="B14959" s="74" t="s">
        <v>2369</v>
      </c>
      <c r="C14959" s="74" t="s">
        <v>412</v>
      </c>
    </row>
    <row r="14960" spans="1:3">
      <c r="A14960" s="250">
        <v>35236</v>
      </c>
      <c r="B14960" s="74" t="s">
        <v>2369</v>
      </c>
      <c r="C14960" s="74" t="s">
        <v>412</v>
      </c>
    </row>
    <row r="14961" spans="1:3">
      <c r="A14961" s="250">
        <v>35237</v>
      </c>
      <c r="B14961" s="74" t="s">
        <v>2369</v>
      </c>
      <c r="C14961" s="74" t="s">
        <v>412</v>
      </c>
    </row>
    <row r="14962" spans="1:3">
      <c r="A14962" s="250">
        <v>35238</v>
      </c>
      <c r="B14962" s="74" t="s">
        <v>2369</v>
      </c>
      <c r="C14962" s="74" t="s">
        <v>412</v>
      </c>
    </row>
    <row r="14963" spans="1:3">
      <c r="A14963" s="250">
        <v>35240</v>
      </c>
      <c r="B14963" s="74" t="s">
        <v>2369</v>
      </c>
      <c r="C14963" s="74" t="s">
        <v>412</v>
      </c>
    </row>
    <row r="14964" spans="1:3">
      <c r="A14964" s="250">
        <v>35242</v>
      </c>
      <c r="B14964" s="74" t="s">
        <v>2369</v>
      </c>
      <c r="C14964" s="74" t="s">
        <v>412</v>
      </c>
    </row>
    <row r="14965" spans="1:3">
      <c r="A14965" s="250">
        <v>35243</v>
      </c>
      <c r="B14965" s="74" t="s">
        <v>2369</v>
      </c>
      <c r="C14965" s="74" t="s">
        <v>412</v>
      </c>
    </row>
    <row r="14966" spans="1:3">
      <c r="A14966" s="250">
        <v>35244</v>
      </c>
      <c r="B14966" s="74" t="s">
        <v>2369</v>
      </c>
      <c r="C14966" s="74" t="s">
        <v>412</v>
      </c>
    </row>
    <row r="14967" spans="1:3">
      <c r="A14967" s="250">
        <v>35245</v>
      </c>
      <c r="B14967" s="74" t="s">
        <v>2369</v>
      </c>
      <c r="C14967" s="74" t="s">
        <v>412</v>
      </c>
    </row>
    <row r="14968" spans="1:3">
      <c r="A14968" s="250">
        <v>35246</v>
      </c>
      <c r="B14968" s="74" t="s">
        <v>2369</v>
      </c>
      <c r="C14968" s="74" t="s">
        <v>412</v>
      </c>
    </row>
    <row r="14969" spans="1:3">
      <c r="A14969" s="250">
        <v>35249</v>
      </c>
      <c r="B14969" s="74" t="s">
        <v>2369</v>
      </c>
      <c r="C14969" s="74" t="s">
        <v>412</v>
      </c>
    </row>
    <row r="14970" spans="1:3">
      <c r="A14970" s="250">
        <v>35253</v>
      </c>
      <c r="B14970" s="74" t="s">
        <v>2369</v>
      </c>
      <c r="C14970" s="74" t="s">
        <v>412</v>
      </c>
    </row>
    <row r="14971" spans="1:3">
      <c r="A14971" s="250">
        <v>35254</v>
      </c>
      <c r="B14971" s="74" t="s">
        <v>2369</v>
      </c>
      <c r="C14971" s="74" t="s">
        <v>412</v>
      </c>
    </row>
    <row r="14972" spans="1:3">
      <c r="A14972" s="250">
        <v>35255</v>
      </c>
      <c r="B14972" s="74" t="s">
        <v>2369</v>
      </c>
      <c r="C14972" s="74" t="s">
        <v>412</v>
      </c>
    </row>
    <row r="14973" spans="1:3">
      <c r="A14973" s="250">
        <v>35259</v>
      </c>
      <c r="B14973" s="74" t="s">
        <v>2369</v>
      </c>
      <c r="C14973" s="74" t="s">
        <v>412</v>
      </c>
    </row>
    <row r="14974" spans="1:3">
      <c r="A14974" s="250">
        <v>35260</v>
      </c>
      <c r="B14974" s="74" t="s">
        <v>2369</v>
      </c>
      <c r="C14974" s="74" t="s">
        <v>412</v>
      </c>
    </row>
    <row r="14975" spans="1:3">
      <c r="A14975" s="250">
        <v>35261</v>
      </c>
      <c r="B14975" s="74" t="s">
        <v>2369</v>
      </c>
      <c r="C14975" s="74" t="s">
        <v>412</v>
      </c>
    </row>
    <row r="14976" spans="1:3">
      <c r="A14976" s="250">
        <v>35263</v>
      </c>
      <c r="B14976" s="74" t="s">
        <v>2369</v>
      </c>
      <c r="C14976" s="74" t="s">
        <v>412</v>
      </c>
    </row>
    <row r="14977" spans="1:3">
      <c r="A14977" s="250">
        <v>35266</v>
      </c>
      <c r="B14977" s="74" t="s">
        <v>2369</v>
      </c>
      <c r="C14977" s="74" t="s">
        <v>412</v>
      </c>
    </row>
    <row r="14978" spans="1:3">
      <c r="A14978" s="250">
        <v>35277</v>
      </c>
      <c r="B14978" s="74" t="s">
        <v>2369</v>
      </c>
      <c r="C14978" s="74" t="s">
        <v>412</v>
      </c>
    </row>
    <row r="14979" spans="1:3">
      <c r="A14979" s="250">
        <v>35278</v>
      </c>
      <c r="B14979" s="74" t="s">
        <v>2369</v>
      </c>
      <c r="C14979" s="74" t="s">
        <v>412</v>
      </c>
    </row>
    <row r="14980" spans="1:3">
      <c r="A14980" s="250">
        <v>35279</v>
      </c>
      <c r="B14980" s="74" t="s">
        <v>2369</v>
      </c>
      <c r="C14980" s="74" t="s">
        <v>412</v>
      </c>
    </row>
    <row r="14981" spans="1:3">
      <c r="A14981" s="250">
        <v>35280</v>
      </c>
      <c r="B14981" s="74" t="s">
        <v>2369</v>
      </c>
      <c r="C14981" s="74" t="s">
        <v>412</v>
      </c>
    </row>
    <row r="14982" spans="1:3">
      <c r="A14982" s="250">
        <v>35281</v>
      </c>
      <c r="B14982" s="74" t="s">
        <v>2369</v>
      </c>
      <c r="C14982" s="74" t="s">
        <v>412</v>
      </c>
    </row>
    <row r="14983" spans="1:3">
      <c r="A14983" s="250">
        <v>35282</v>
      </c>
      <c r="B14983" s="74" t="s">
        <v>2369</v>
      </c>
      <c r="C14983" s="74" t="s">
        <v>412</v>
      </c>
    </row>
    <row r="14984" spans="1:3">
      <c r="A14984" s="250">
        <v>35283</v>
      </c>
      <c r="B14984" s="74" t="s">
        <v>2369</v>
      </c>
      <c r="C14984" s="74" t="s">
        <v>412</v>
      </c>
    </row>
    <row r="14985" spans="1:3">
      <c r="A14985" s="250">
        <v>35285</v>
      </c>
      <c r="B14985" s="74" t="s">
        <v>2369</v>
      </c>
      <c r="C14985" s="74" t="s">
        <v>412</v>
      </c>
    </row>
    <row r="14986" spans="1:3">
      <c r="A14986" s="250">
        <v>35286</v>
      </c>
      <c r="B14986" s="74" t="s">
        <v>2369</v>
      </c>
      <c r="C14986" s="74" t="s">
        <v>412</v>
      </c>
    </row>
    <row r="14987" spans="1:3">
      <c r="A14987" s="250">
        <v>35287</v>
      </c>
      <c r="B14987" s="74" t="s">
        <v>2369</v>
      </c>
      <c r="C14987" s="74" t="s">
        <v>412</v>
      </c>
    </row>
    <row r="14988" spans="1:3">
      <c r="A14988" s="250">
        <v>35288</v>
      </c>
      <c r="B14988" s="74" t="s">
        <v>2369</v>
      </c>
      <c r="C14988" s="74" t="s">
        <v>412</v>
      </c>
    </row>
    <row r="14989" spans="1:3">
      <c r="A14989" s="250">
        <v>35289</v>
      </c>
      <c r="B14989" s="74" t="s">
        <v>2369</v>
      </c>
      <c r="C14989" s="74" t="s">
        <v>412</v>
      </c>
    </row>
    <row r="14990" spans="1:3">
      <c r="A14990" s="250">
        <v>35290</v>
      </c>
      <c r="B14990" s="74" t="s">
        <v>2369</v>
      </c>
      <c r="C14990" s="74" t="s">
        <v>412</v>
      </c>
    </row>
    <row r="14991" spans="1:3">
      <c r="A14991" s="250">
        <v>35291</v>
      </c>
      <c r="B14991" s="74" t="s">
        <v>2369</v>
      </c>
      <c r="C14991" s="74" t="s">
        <v>412</v>
      </c>
    </row>
    <row r="14992" spans="1:3">
      <c r="A14992" s="250">
        <v>35292</v>
      </c>
      <c r="B14992" s="74" t="s">
        <v>2369</v>
      </c>
      <c r="C14992" s="74" t="s">
        <v>412</v>
      </c>
    </row>
    <row r="14993" spans="1:3">
      <c r="A14993" s="250">
        <v>35293</v>
      </c>
      <c r="B14993" s="74" t="s">
        <v>2369</v>
      </c>
      <c r="C14993" s="74" t="s">
        <v>412</v>
      </c>
    </row>
    <row r="14994" spans="1:3">
      <c r="A14994" s="250">
        <v>35294</v>
      </c>
      <c r="B14994" s="74" t="s">
        <v>2369</v>
      </c>
      <c r="C14994" s="74" t="s">
        <v>412</v>
      </c>
    </row>
    <row r="14995" spans="1:3">
      <c r="A14995" s="250">
        <v>35295</v>
      </c>
      <c r="B14995" s="74" t="s">
        <v>2369</v>
      </c>
      <c r="C14995" s="74" t="s">
        <v>412</v>
      </c>
    </row>
    <row r="14996" spans="1:3">
      <c r="A14996" s="250">
        <v>35296</v>
      </c>
      <c r="B14996" s="74" t="s">
        <v>2369</v>
      </c>
      <c r="C14996" s="74" t="s">
        <v>412</v>
      </c>
    </row>
    <row r="14997" spans="1:3">
      <c r="A14997" s="250">
        <v>35297</v>
      </c>
      <c r="B14997" s="74" t="s">
        <v>2369</v>
      </c>
      <c r="C14997" s="74" t="s">
        <v>412</v>
      </c>
    </row>
    <row r="14998" spans="1:3">
      <c r="A14998" s="250">
        <v>35298</v>
      </c>
      <c r="B14998" s="74" t="s">
        <v>2369</v>
      </c>
      <c r="C14998" s="74" t="s">
        <v>412</v>
      </c>
    </row>
    <row r="14999" spans="1:3">
      <c r="A14999" s="250">
        <v>35299</v>
      </c>
      <c r="B14999" s="74" t="s">
        <v>2369</v>
      </c>
      <c r="C14999" s="74" t="s">
        <v>412</v>
      </c>
    </row>
    <row r="15000" spans="1:3">
      <c r="A15000" s="250">
        <v>35401</v>
      </c>
      <c r="B15000" s="74" t="s">
        <v>8679</v>
      </c>
      <c r="C15000" s="74" t="s">
        <v>412</v>
      </c>
    </row>
    <row r="15001" spans="1:3">
      <c r="A15001" s="250">
        <v>35402</v>
      </c>
      <c r="B15001" s="74" t="s">
        <v>8679</v>
      </c>
      <c r="C15001" s="74" t="s">
        <v>412</v>
      </c>
    </row>
    <row r="15002" spans="1:3">
      <c r="A15002" s="250">
        <v>35403</v>
      </c>
      <c r="B15002" s="74" t="s">
        <v>8679</v>
      </c>
      <c r="C15002" s="74" t="s">
        <v>412</v>
      </c>
    </row>
    <row r="15003" spans="1:3">
      <c r="A15003" s="250">
        <v>35404</v>
      </c>
      <c r="B15003" s="74" t="s">
        <v>8679</v>
      </c>
      <c r="C15003" s="74" t="s">
        <v>412</v>
      </c>
    </row>
    <row r="15004" spans="1:3">
      <c r="A15004" s="250">
        <v>35405</v>
      </c>
      <c r="B15004" s="74" t="s">
        <v>8679</v>
      </c>
      <c r="C15004" s="74" t="s">
        <v>412</v>
      </c>
    </row>
    <row r="15005" spans="1:3">
      <c r="A15005" s="250">
        <v>35406</v>
      </c>
      <c r="B15005" s="74" t="s">
        <v>8679</v>
      </c>
      <c r="C15005" s="74" t="s">
        <v>412</v>
      </c>
    </row>
    <row r="15006" spans="1:3">
      <c r="A15006" s="250">
        <v>35407</v>
      </c>
      <c r="B15006" s="74" t="s">
        <v>8679</v>
      </c>
      <c r="C15006" s="74" t="s">
        <v>412</v>
      </c>
    </row>
    <row r="15007" spans="1:3">
      <c r="A15007" s="250">
        <v>35440</v>
      </c>
      <c r="B15007" s="74" t="s">
        <v>8680</v>
      </c>
      <c r="C15007" s="74" t="s">
        <v>412</v>
      </c>
    </row>
    <row r="15008" spans="1:3">
      <c r="A15008" s="250">
        <v>35441</v>
      </c>
      <c r="B15008" s="74" t="s">
        <v>3667</v>
      </c>
      <c r="C15008" s="74" t="s">
        <v>412</v>
      </c>
    </row>
    <row r="15009" spans="1:3">
      <c r="A15009" s="250">
        <v>35442</v>
      </c>
      <c r="B15009" s="74" t="s">
        <v>8681</v>
      </c>
      <c r="C15009" s="74" t="s">
        <v>412</v>
      </c>
    </row>
    <row r="15010" spans="1:3">
      <c r="A15010" s="250">
        <v>35443</v>
      </c>
      <c r="B15010" s="74" t="s">
        <v>8682</v>
      </c>
      <c r="C15010" s="74" t="s">
        <v>412</v>
      </c>
    </row>
    <row r="15011" spans="1:3">
      <c r="A15011" s="250">
        <v>35444</v>
      </c>
      <c r="B15011" s="74" t="s">
        <v>8683</v>
      </c>
      <c r="C15011" s="74" t="s">
        <v>412</v>
      </c>
    </row>
    <row r="15012" spans="1:3">
      <c r="A15012" s="250">
        <v>35446</v>
      </c>
      <c r="B15012" s="74" t="s">
        <v>8684</v>
      </c>
      <c r="C15012" s="74" t="s">
        <v>412</v>
      </c>
    </row>
    <row r="15013" spans="1:3">
      <c r="A15013" s="250">
        <v>35447</v>
      </c>
      <c r="B15013" s="74" t="s">
        <v>6129</v>
      </c>
      <c r="C15013" s="74" t="s">
        <v>412</v>
      </c>
    </row>
    <row r="15014" spans="1:3">
      <c r="A15014" s="250">
        <v>35448</v>
      </c>
      <c r="B15014" s="74" t="s">
        <v>732</v>
      </c>
      <c r="C15014" s="74" t="s">
        <v>412</v>
      </c>
    </row>
    <row r="15015" spans="1:3">
      <c r="A15015" s="250">
        <v>35449</v>
      </c>
      <c r="B15015" s="74" t="s">
        <v>8685</v>
      </c>
      <c r="C15015" s="74" t="s">
        <v>412</v>
      </c>
    </row>
    <row r="15016" spans="1:3">
      <c r="A15016" s="250">
        <v>35452</v>
      </c>
      <c r="B15016" s="74" t="s">
        <v>8686</v>
      </c>
      <c r="C15016" s="74" t="s">
        <v>412</v>
      </c>
    </row>
    <row r="15017" spans="1:3">
      <c r="A15017" s="250">
        <v>35453</v>
      </c>
      <c r="B15017" s="74" t="s">
        <v>8302</v>
      </c>
      <c r="C15017" s="74" t="s">
        <v>412</v>
      </c>
    </row>
    <row r="15018" spans="1:3">
      <c r="A15018" s="250">
        <v>35456</v>
      </c>
      <c r="B15018" s="74" t="s">
        <v>8687</v>
      </c>
      <c r="C15018" s="74" t="s">
        <v>412</v>
      </c>
    </row>
    <row r="15019" spans="1:3">
      <c r="A15019" s="250">
        <v>35457</v>
      </c>
      <c r="B15019" s="74" t="s">
        <v>8688</v>
      </c>
      <c r="C15019" s="74" t="s">
        <v>412</v>
      </c>
    </row>
    <row r="15020" spans="1:3">
      <c r="A15020" s="250">
        <v>35458</v>
      </c>
      <c r="B15020" s="74" t="s">
        <v>8689</v>
      </c>
      <c r="C15020" s="74" t="s">
        <v>412</v>
      </c>
    </row>
    <row r="15021" spans="1:3">
      <c r="A15021" s="250">
        <v>35459</v>
      </c>
      <c r="B15021" s="74" t="s">
        <v>8690</v>
      </c>
      <c r="C15021" s="74" t="s">
        <v>412</v>
      </c>
    </row>
    <row r="15022" spans="1:3">
      <c r="A15022" s="250">
        <v>35460</v>
      </c>
      <c r="B15022" s="74" t="s">
        <v>8691</v>
      </c>
      <c r="C15022" s="74" t="s">
        <v>412</v>
      </c>
    </row>
    <row r="15023" spans="1:3">
      <c r="A15023" s="250">
        <v>35461</v>
      </c>
      <c r="B15023" s="74" t="s">
        <v>8692</v>
      </c>
      <c r="C15023" s="74" t="s">
        <v>412</v>
      </c>
    </row>
    <row r="15024" spans="1:3">
      <c r="A15024" s="250">
        <v>35462</v>
      </c>
      <c r="B15024" s="74" t="s">
        <v>8693</v>
      </c>
      <c r="C15024" s="74" t="s">
        <v>412</v>
      </c>
    </row>
    <row r="15025" spans="1:3">
      <c r="A15025" s="250">
        <v>35463</v>
      </c>
      <c r="B15025" s="74" t="s">
        <v>8694</v>
      </c>
      <c r="C15025" s="74" t="s">
        <v>412</v>
      </c>
    </row>
    <row r="15026" spans="1:3">
      <c r="A15026" s="250">
        <v>35464</v>
      </c>
      <c r="B15026" s="74" t="s">
        <v>3707</v>
      </c>
      <c r="C15026" s="74" t="s">
        <v>412</v>
      </c>
    </row>
    <row r="15027" spans="1:3">
      <c r="A15027" s="250">
        <v>35466</v>
      </c>
      <c r="B15027" s="74" t="s">
        <v>8695</v>
      </c>
      <c r="C15027" s="74" t="s">
        <v>412</v>
      </c>
    </row>
    <row r="15028" spans="1:3">
      <c r="A15028" s="250">
        <v>35468</v>
      </c>
      <c r="B15028" s="74" t="s">
        <v>8696</v>
      </c>
      <c r="C15028" s="74" t="s">
        <v>412</v>
      </c>
    </row>
    <row r="15029" spans="1:3">
      <c r="A15029" s="250">
        <v>35469</v>
      </c>
      <c r="B15029" s="74" t="s">
        <v>4677</v>
      </c>
      <c r="C15029" s="74" t="s">
        <v>412</v>
      </c>
    </row>
    <row r="15030" spans="1:3">
      <c r="A15030" s="250">
        <v>35470</v>
      </c>
      <c r="B15030" s="74" t="s">
        <v>2135</v>
      </c>
      <c r="C15030" s="74" t="s">
        <v>412</v>
      </c>
    </row>
    <row r="15031" spans="1:3">
      <c r="A15031" s="250">
        <v>35471</v>
      </c>
      <c r="B15031" s="74" t="s">
        <v>8697</v>
      </c>
      <c r="C15031" s="74" t="s">
        <v>412</v>
      </c>
    </row>
    <row r="15032" spans="1:3">
      <c r="A15032" s="250">
        <v>35473</v>
      </c>
      <c r="B15032" s="74" t="s">
        <v>2844</v>
      </c>
      <c r="C15032" s="74" t="s">
        <v>412</v>
      </c>
    </row>
    <row r="15033" spans="1:3">
      <c r="A15033" s="250">
        <v>35474</v>
      </c>
      <c r="B15033" s="74" t="s">
        <v>8698</v>
      </c>
      <c r="C15033" s="74" t="s">
        <v>412</v>
      </c>
    </row>
    <row r="15034" spans="1:3">
      <c r="A15034" s="250">
        <v>35475</v>
      </c>
      <c r="B15034" s="74" t="s">
        <v>2844</v>
      </c>
      <c r="C15034" s="74" t="s">
        <v>412</v>
      </c>
    </row>
    <row r="15035" spans="1:3">
      <c r="A15035" s="250">
        <v>35476</v>
      </c>
      <c r="B15035" s="74" t="s">
        <v>2844</v>
      </c>
      <c r="C15035" s="74" t="s">
        <v>412</v>
      </c>
    </row>
    <row r="15036" spans="1:3">
      <c r="A15036" s="250">
        <v>35477</v>
      </c>
      <c r="B15036" s="74" t="s">
        <v>8699</v>
      </c>
      <c r="C15036" s="74" t="s">
        <v>412</v>
      </c>
    </row>
    <row r="15037" spans="1:3">
      <c r="A15037" s="250">
        <v>35478</v>
      </c>
      <c r="B15037" s="74" t="s">
        <v>8700</v>
      </c>
      <c r="C15037" s="74" t="s">
        <v>412</v>
      </c>
    </row>
    <row r="15038" spans="1:3">
      <c r="A15038" s="250">
        <v>35480</v>
      </c>
      <c r="B15038" s="74" t="s">
        <v>8701</v>
      </c>
      <c r="C15038" s="74" t="s">
        <v>412</v>
      </c>
    </row>
    <row r="15039" spans="1:3">
      <c r="A15039" s="250">
        <v>35481</v>
      </c>
      <c r="B15039" s="74" t="s">
        <v>8702</v>
      </c>
      <c r="C15039" s="74" t="s">
        <v>412</v>
      </c>
    </row>
    <row r="15040" spans="1:3">
      <c r="A15040" s="250">
        <v>35482</v>
      </c>
      <c r="B15040" s="74" t="s">
        <v>8703</v>
      </c>
      <c r="C15040" s="74" t="s">
        <v>412</v>
      </c>
    </row>
    <row r="15041" spans="1:3">
      <c r="A15041" s="250">
        <v>35485</v>
      </c>
      <c r="B15041" s="74" t="s">
        <v>8679</v>
      </c>
      <c r="C15041" s="74" t="s">
        <v>412</v>
      </c>
    </row>
    <row r="15042" spans="1:3">
      <c r="A15042" s="250">
        <v>35486</v>
      </c>
      <c r="B15042" s="74" t="s">
        <v>8679</v>
      </c>
      <c r="C15042" s="74" t="s">
        <v>412</v>
      </c>
    </row>
    <row r="15043" spans="1:3">
      <c r="A15043" s="250">
        <v>35487</v>
      </c>
      <c r="B15043" s="74" t="s">
        <v>8679</v>
      </c>
      <c r="C15043" s="74" t="s">
        <v>412</v>
      </c>
    </row>
    <row r="15044" spans="1:3">
      <c r="A15044" s="250">
        <v>35490</v>
      </c>
      <c r="B15044" s="74" t="s">
        <v>7654</v>
      </c>
      <c r="C15044" s="74" t="s">
        <v>412</v>
      </c>
    </row>
    <row r="15045" spans="1:3">
      <c r="A15045" s="250">
        <v>35491</v>
      </c>
      <c r="B15045" s="74" t="s">
        <v>8704</v>
      </c>
      <c r="C15045" s="74" t="s">
        <v>412</v>
      </c>
    </row>
    <row r="15046" spans="1:3">
      <c r="A15046" s="250">
        <v>35501</v>
      </c>
      <c r="B15046" s="74" t="s">
        <v>3922</v>
      </c>
      <c r="C15046" s="74" t="s">
        <v>412</v>
      </c>
    </row>
    <row r="15047" spans="1:3">
      <c r="A15047" s="250">
        <v>35502</v>
      </c>
      <c r="B15047" s="74" t="s">
        <v>3922</v>
      </c>
      <c r="C15047" s="74" t="s">
        <v>412</v>
      </c>
    </row>
    <row r="15048" spans="1:3">
      <c r="A15048" s="250">
        <v>35503</v>
      </c>
      <c r="B15048" s="74" t="s">
        <v>3922</v>
      </c>
      <c r="C15048" s="74" t="s">
        <v>412</v>
      </c>
    </row>
    <row r="15049" spans="1:3">
      <c r="A15049" s="250">
        <v>35504</v>
      </c>
      <c r="B15049" s="74" t="s">
        <v>3922</v>
      </c>
      <c r="C15049" s="74" t="s">
        <v>412</v>
      </c>
    </row>
    <row r="15050" spans="1:3">
      <c r="A15050" s="250">
        <v>35540</v>
      </c>
      <c r="B15050" s="74" t="s">
        <v>1564</v>
      </c>
      <c r="C15050" s="74" t="s">
        <v>412</v>
      </c>
    </row>
    <row r="15051" spans="1:3">
      <c r="A15051" s="250">
        <v>35541</v>
      </c>
      <c r="B15051" s="74" t="s">
        <v>8705</v>
      </c>
      <c r="C15051" s="74" t="s">
        <v>412</v>
      </c>
    </row>
    <row r="15052" spans="1:3">
      <c r="A15052" s="250">
        <v>35542</v>
      </c>
      <c r="B15052" s="74" t="s">
        <v>8706</v>
      </c>
      <c r="C15052" s="74" t="s">
        <v>412</v>
      </c>
    </row>
    <row r="15053" spans="1:3">
      <c r="A15053" s="250">
        <v>35543</v>
      </c>
      <c r="B15053" s="74" t="s">
        <v>5196</v>
      </c>
      <c r="C15053" s="74" t="s">
        <v>412</v>
      </c>
    </row>
    <row r="15054" spans="1:3">
      <c r="A15054" s="250">
        <v>35544</v>
      </c>
      <c r="B15054" s="74" t="s">
        <v>8707</v>
      </c>
      <c r="C15054" s="74" t="s">
        <v>412</v>
      </c>
    </row>
    <row r="15055" spans="1:3">
      <c r="A15055" s="250">
        <v>35545</v>
      </c>
      <c r="B15055" s="74" t="s">
        <v>8708</v>
      </c>
      <c r="C15055" s="74" t="s">
        <v>412</v>
      </c>
    </row>
    <row r="15056" spans="1:3">
      <c r="A15056" s="250">
        <v>35546</v>
      </c>
      <c r="B15056" s="74" t="s">
        <v>8709</v>
      </c>
      <c r="C15056" s="74" t="s">
        <v>412</v>
      </c>
    </row>
    <row r="15057" spans="1:3">
      <c r="A15057" s="250">
        <v>35548</v>
      </c>
      <c r="B15057" s="74" t="s">
        <v>8710</v>
      </c>
      <c r="C15057" s="74" t="s">
        <v>412</v>
      </c>
    </row>
    <row r="15058" spans="1:3">
      <c r="A15058" s="250">
        <v>35549</v>
      </c>
      <c r="B15058" s="74" t="s">
        <v>8711</v>
      </c>
      <c r="C15058" s="74" t="s">
        <v>412</v>
      </c>
    </row>
    <row r="15059" spans="1:3">
      <c r="A15059" s="250">
        <v>35550</v>
      </c>
      <c r="B15059" s="74" t="s">
        <v>5747</v>
      </c>
      <c r="C15059" s="74" t="s">
        <v>412</v>
      </c>
    </row>
    <row r="15060" spans="1:3">
      <c r="A15060" s="250">
        <v>35551</v>
      </c>
      <c r="B15060" s="74" t="s">
        <v>2936</v>
      </c>
      <c r="C15060" s="74" t="s">
        <v>412</v>
      </c>
    </row>
    <row r="15061" spans="1:3">
      <c r="A15061" s="250">
        <v>35552</v>
      </c>
      <c r="B15061" s="74" t="s">
        <v>1688</v>
      </c>
      <c r="C15061" s="74" t="s">
        <v>412</v>
      </c>
    </row>
    <row r="15062" spans="1:3">
      <c r="A15062" s="250">
        <v>35553</v>
      </c>
      <c r="B15062" s="74" t="s">
        <v>8712</v>
      </c>
      <c r="C15062" s="74" t="s">
        <v>412</v>
      </c>
    </row>
    <row r="15063" spans="1:3">
      <c r="A15063" s="250">
        <v>35554</v>
      </c>
      <c r="B15063" s="74" t="s">
        <v>8713</v>
      </c>
      <c r="C15063" s="74" t="s">
        <v>412</v>
      </c>
    </row>
    <row r="15064" spans="1:3">
      <c r="A15064" s="250">
        <v>35555</v>
      </c>
      <c r="B15064" s="74" t="s">
        <v>3362</v>
      </c>
      <c r="C15064" s="74" t="s">
        <v>412</v>
      </c>
    </row>
    <row r="15065" spans="1:3">
      <c r="A15065" s="250">
        <v>35559</v>
      </c>
      <c r="B15065" s="74" t="s">
        <v>6055</v>
      </c>
      <c r="C15065" s="74" t="s">
        <v>412</v>
      </c>
    </row>
    <row r="15066" spans="1:3">
      <c r="A15066" s="250">
        <v>35560</v>
      </c>
      <c r="B15066" s="74" t="s">
        <v>8714</v>
      </c>
      <c r="C15066" s="74" t="s">
        <v>412</v>
      </c>
    </row>
    <row r="15067" spans="1:3">
      <c r="A15067" s="250">
        <v>35563</v>
      </c>
      <c r="B15067" s="74" t="s">
        <v>8715</v>
      </c>
      <c r="C15067" s="74" t="s">
        <v>412</v>
      </c>
    </row>
    <row r="15068" spans="1:3">
      <c r="A15068" s="250">
        <v>35564</v>
      </c>
      <c r="B15068" s="74" t="s">
        <v>8716</v>
      </c>
      <c r="C15068" s="74" t="s">
        <v>412</v>
      </c>
    </row>
    <row r="15069" spans="1:3">
      <c r="A15069" s="250">
        <v>35565</v>
      </c>
      <c r="B15069" s="74" t="s">
        <v>8717</v>
      </c>
      <c r="C15069" s="74" t="s">
        <v>412</v>
      </c>
    </row>
    <row r="15070" spans="1:3">
      <c r="A15070" s="250">
        <v>35570</v>
      </c>
      <c r="B15070" s="74" t="s">
        <v>844</v>
      </c>
      <c r="C15070" s="74" t="s">
        <v>412</v>
      </c>
    </row>
    <row r="15071" spans="1:3">
      <c r="A15071" s="250">
        <v>35571</v>
      </c>
      <c r="B15071" s="74" t="s">
        <v>7777</v>
      </c>
      <c r="C15071" s="74" t="s">
        <v>412</v>
      </c>
    </row>
    <row r="15072" spans="1:3">
      <c r="A15072" s="250">
        <v>35572</v>
      </c>
      <c r="B15072" s="74" t="s">
        <v>4063</v>
      </c>
      <c r="C15072" s="74" t="s">
        <v>412</v>
      </c>
    </row>
    <row r="15073" spans="1:3">
      <c r="A15073" s="250">
        <v>35573</v>
      </c>
      <c r="B15073" s="74" t="s">
        <v>8718</v>
      </c>
      <c r="C15073" s="74" t="s">
        <v>412</v>
      </c>
    </row>
    <row r="15074" spans="1:3">
      <c r="A15074" s="250">
        <v>35574</v>
      </c>
      <c r="B15074" s="74" t="s">
        <v>3870</v>
      </c>
      <c r="C15074" s="74" t="s">
        <v>412</v>
      </c>
    </row>
    <row r="15075" spans="1:3">
      <c r="A15075" s="250">
        <v>35575</v>
      </c>
      <c r="B15075" s="74" t="s">
        <v>833</v>
      </c>
      <c r="C15075" s="74" t="s">
        <v>412</v>
      </c>
    </row>
    <row r="15076" spans="1:3">
      <c r="A15076" s="250">
        <v>35576</v>
      </c>
      <c r="B15076" s="74" t="s">
        <v>3929</v>
      </c>
      <c r="C15076" s="74" t="s">
        <v>412</v>
      </c>
    </row>
    <row r="15077" spans="1:3">
      <c r="A15077" s="250">
        <v>35577</v>
      </c>
      <c r="B15077" s="74" t="s">
        <v>3566</v>
      </c>
      <c r="C15077" s="74" t="s">
        <v>412</v>
      </c>
    </row>
    <row r="15078" spans="1:3">
      <c r="A15078" s="250">
        <v>35578</v>
      </c>
      <c r="B15078" s="74" t="s">
        <v>8719</v>
      </c>
      <c r="C15078" s="74" t="s">
        <v>412</v>
      </c>
    </row>
    <row r="15079" spans="1:3">
      <c r="A15079" s="250">
        <v>35579</v>
      </c>
      <c r="B15079" s="74" t="s">
        <v>8033</v>
      </c>
      <c r="C15079" s="74" t="s">
        <v>412</v>
      </c>
    </row>
    <row r="15080" spans="1:3">
      <c r="A15080" s="250">
        <v>35580</v>
      </c>
      <c r="B15080" s="74" t="s">
        <v>8552</v>
      </c>
      <c r="C15080" s="74" t="s">
        <v>412</v>
      </c>
    </row>
    <row r="15081" spans="1:3">
      <c r="A15081" s="250">
        <v>35581</v>
      </c>
      <c r="B15081" s="74" t="s">
        <v>8720</v>
      </c>
      <c r="C15081" s="74" t="s">
        <v>412</v>
      </c>
    </row>
    <row r="15082" spans="1:3">
      <c r="A15082" s="250">
        <v>35582</v>
      </c>
      <c r="B15082" s="74" t="s">
        <v>8721</v>
      </c>
      <c r="C15082" s="74" t="s">
        <v>412</v>
      </c>
    </row>
    <row r="15083" spans="1:3">
      <c r="A15083" s="250">
        <v>35584</v>
      </c>
      <c r="B15083" s="74" t="s">
        <v>8722</v>
      </c>
      <c r="C15083" s="74" t="s">
        <v>412</v>
      </c>
    </row>
    <row r="15084" spans="1:3">
      <c r="A15084" s="250">
        <v>35585</v>
      </c>
      <c r="B15084" s="74" t="s">
        <v>7576</v>
      </c>
      <c r="C15084" s="74" t="s">
        <v>412</v>
      </c>
    </row>
    <row r="15085" spans="1:3">
      <c r="A15085" s="250">
        <v>35586</v>
      </c>
      <c r="B15085" s="74" t="s">
        <v>8723</v>
      </c>
      <c r="C15085" s="74" t="s">
        <v>412</v>
      </c>
    </row>
    <row r="15086" spans="1:3">
      <c r="A15086" s="250">
        <v>35587</v>
      </c>
      <c r="B15086" s="74" t="s">
        <v>8724</v>
      </c>
      <c r="C15086" s="74" t="s">
        <v>412</v>
      </c>
    </row>
    <row r="15087" spans="1:3">
      <c r="A15087" s="250">
        <v>35592</v>
      </c>
      <c r="B15087" s="74" t="s">
        <v>1791</v>
      </c>
      <c r="C15087" s="74" t="s">
        <v>412</v>
      </c>
    </row>
    <row r="15088" spans="1:3">
      <c r="A15088" s="250">
        <v>35593</v>
      </c>
      <c r="B15088" s="74" t="s">
        <v>8725</v>
      </c>
      <c r="C15088" s="74" t="s">
        <v>412</v>
      </c>
    </row>
    <row r="15089" spans="1:3">
      <c r="A15089" s="250">
        <v>35594</v>
      </c>
      <c r="B15089" s="74" t="s">
        <v>4985</v>
      </c>
      <c r="C15089" s="74" t="s">
        <v>412</v>
      </c>
    </row>
    <row r="15090" spans="1:3">
      <c r="A15090" s="250">
        <v>35601</v>
      </c>
      <c r="B15090" s="74" t="s">
        <v>7862</v>
      </c>
      <c r="C15090" s="74" t="s">
        <v>412</v>
      </c>
    </row>
    <row r="15091" spans="1:3">
      <c r="A15091" s="250">
        <v>35602</v>
      </c>
      <c r="B15091" s="74" t="s">
        <v>7862</v>
      </c>
      <c r="C15091" s="74" t="s">
        <v>412</v>
      </c>
    </row>
    <row r="15092" spans="1:3">
      <c r="A15092" s="250">
        <v>35603</v>
      </c>
      <c r="B15092" s="74" t="s">
        <v>7862</v>
      </c>
      <c r="C15092" s="74" t="s">
        <v>412</v>
      </c>
    </row>
    <row r="15093" spans="1:3">
      <c r="A15093" s="250">
        <v>35609</v>
      </c>
      <c r="B15093" s="74" t="s">
        <v>7862</v>
      </c>
      <c r="C15093" s="74" t="s">
        <v>412</v>
      </c>
    </row>
    <row r="15094" spans="1:3">
      <c r="A15094" s="250">
        <v>35610</v>
      </c>
      <c r="B15094" s="74" t="s">
        <v>7764</v>
      </c>
      <c r="C15094" s="74" t="s">
        <v>412</v>
      </c>
    </row>
    <row r="15095" spans="1:3">
      <c r="A15095" s="250">
        <v>35611</v>
      </c>
      <c r="B15095" s="74" t="s">
        <v>1678</v>
      </c>
      <c r="C15095" s="74" t="s">
        <v>412</v>
      </c>
    </row>
    <row r="15096" spans="1:3">
      <c r="A15096" s="250">
        <v>35612</v>
      </c>
      <c r="B15096" s="74" t="s">
        <v>1678</v>
      </c>
      <c r="C15096" s="74" t="s">
        <v>412</v>
      </c>
    </row>
    <row r="15097" spans="1:3">
      <c r="A15097" s="250">
        <v>35613</v>
      </c>
      <c r="B15097" s="74" t="s">
        <v>1678</v>
      </c>
      <c r="C15097" s="74" t="s">
        <v>412</v>
      </c>
    </row>
    <row r="15098" spans="1:3">
      <c r="A15098" s="250">
        <v>35614</v>
      </c>
      <c r="B15098" s="74" t="s">
        <v>1678</v>
      </c>
      <c r="C15098" s="74" t="s">
        <v>412</v>
      </c>
    </row>
    <row r="15099" spans="1:3">
      <c r="A15099" s="250">
        <v>35615</v>
      </c>
      <c r="B15099" s="74" t="s">
        <v>8726</v>
      </c>
      <c r="C15099" s="74" t="s">
        <v>412</v>
      </c>
    </row>
    <row r="15100" spans="1:3">
      <c r="A15100" s="250">
        <v>35616</v>
      </c>
      <c r="B15100" s="74" t="s">
        <v>7540</v>
      </c>
      <c r="C15100" s="74" t="s">
        <v>412</v>
      </c>
    </row>
    <row r="15101" spans="1:3">
      <c r="A15101" s="250">
        <v>35617</v>
      </c>
      <c r="B15101" s="74" t="s">
        <v>6265</v>
      </c>
      <c r="C15101" s="74" t="s">
        <v>412</v>
      </c>
    </row>
    <row r="15102" spans="1:3">
      <c r="A15102" s="250">
        <v>35618</v>
      </c>
      <c r="B15102" s="74" t="s">
        <v>6193</v>
      </c>
      <c r="C15102" s="74" t="s">
        <v>412</v>
      </c>
    </row>
    <row r="15103" spans="1:3">
      <c r="A15103" s="250">
        <v>35619</v>
      </c>
      <c r="B15103" s="74" t="s">
        <v>1302</v>
      </c>
      <c r="C15103" s="74" t="s">
        <v>412</v>
      </c>
    </row>
    <row r="15104" spans="1:3">
      <c r="A15104" s="250">
        <v>35620</v>
      </c>
      <c r="B15104" s="74" t="s">
        <v>8727</v>
      </c>
      <c r="C15104" s="74" t="s">
        <v>412</v>
      </c>
    </row>
    <row r="15105" spans="1:3">
      <c r="A15105" s="250">
        <v>35621</v>
      </c>
      <c r="B15105" s="74" t="s">
        <v>8728</v>
      </c>
      <c r="C15105" s="74" t="s">
        <v>412</v>
      </c>
    </row>
    <row r="15106" spans="1:3">
      <c r="A15106" s="250">
        <v>35622</v>
      </c>
      <c r="B15106" s="74" t="s">
        <v>8729</v>
      </c>
      <c r="C15106" s="74" t="s">
        <v>412</v>
      </c>
    </row>
    <row r="15107" spans="1:3">
      <c r="A15107" s="250">
        <v>35630</v>
      </c>
      <c r="B15107" s="74" t="s">
        <v>608</v>
      </c>
      <c r="C15107" s="74" t="s">
        <v>412</v>
      </c>
    </row>
    <row r="15108" spans="1:3">
      <c r="A15108" s="250">
        <v>35631</v>
      </c>
      <c r="B15108" s="74" t="s">
        <v>608</v>
      </c>
      <c r="C15108" s="74" t="s">
        <v>412</v>
      </c>
    </row>
    <row r="15109" spans="1:3">
      <c r="A15109" s="250">
        <v>35632</v>
      </c>
      <c r="B15109" s="74" t="s">
        <v>608</v>
      </c>
      <c r="C15109" s="74" t="s">
        <v>412</v>
      </c>
    </row>
    <row r="15110" spans="1:3">
      <c r="A15110" s="250">
        <v>35633</v>
      </c>
      <c r="B15110" s="74" t="s">
        <v>608</v>
      </c>
      <c r="C15110" s="74" t="s">
        <v>412</v>
      </c>
    </row>
    <row r="15111" spans="1:3">
      <c r="A15111" s="250">
        <v>35634</v>
      </c>
      <c r="B15111" s="74" t="s">
        <v>608</v>
      </c>
      <c r="C15111" s="74" t="s">
        <v>412</v>
      </c>
    </row>
    <row r="15112" spans="1:3">
      <c r="A15112" s="250">
        <v>35640</v>
      </c>
      <c r="B15112" s="74" t="s">
        <v>8730</v>
      </c>
      <c r="C15112" s="74" t="s">
        <v>412</v>
      </c>
    </row>
    <row r="15113" spans="1:3">
      <c r="A15113" s="250">
        <v>35643</v>
      </c>
      <c r="B15113" s="74" t="s">
        <v>5758</v>
      </c>
      <c r="C15113" s="74" t="s">
        <v>412</v>
      </c>
    </row>
    <row r="15114" spans="1:3">
      <c r="A15114" s="250">
        <v>35645</v>
      </c>
      <c r="B15114" s="74" t="s">
        <v>8731</v>
      </c>
      <c r="C15114" s="74" t="s">
        <v>412</v>
      </c>
    </row>
    <row r="15115" spans="1:3">
      <c r="A15115" s="250">
        <v>35646</v>
      </c>
      <c r="B15115" s="74" t="s">
        <v>8732</v>
      </c>
      <c r="C15115" s="74" t="s">
        <v>412</v>
      </c>
    </row>
    <row r="15116" spans="1:3">
      <c r="A15116" s="250">
        <v>35647</v>
      </c>
      <c r="B15116" s="74" t="s">
        <v>6803</v>
      </c>
      <c r="C15116" s="74" t="s">
        <v>412</v>
      </c>
    </row>
    <row r="15117" spans="1:3">
      <c r="A15117" s="250">
        <v>35648</v>
      </c>
      <c r="B15117" s="74" t="s">
        <v>966</v>
      </c>
      <c r="C15117" s="74" t="s">
        <v>412</v>
      </c>
    </row>
    <row r="15118" spans="1:3">
      <c r="A15118" s="250">
        <v>35649</v>
      </c>
      <c r="B15118" s="74" t="s">
        <v>7324</v>
      </c>
      <c r="C15118" s="74" t="s">
        <v>412</v>
      </c>
    </row>
    <row r="15119" spans="1:3">
      <c r="A15119" s="250">
        <v>35650</v>
      </c>
      <c r="B15119" s="74" t="s">
        <v>8733</v>
      </c>
      <c r="C15119" s="74" t="s">
        <v>412</v>
      </c>
    </row>
    <row r="15120" spans="1:3">
      <c r="A15120" s="250">
        <v>35651</v>
      </c>
      <c r="B15120" s="74" t="s">
        <v>6812</v>
      </c>
      <c r="C15120" s="74" t="s">
        <v>412</v>
      </c>
    </row>
    <row r="15121" spans="1:3">
      <c r="A15121" s="250">
        <v>35652</v>
      </c>
      <c r="B15121" s="74" t="s">
        <v>4073</v>
      </c>
      <c r="C15121" s="74" t="s">
        <v>412</v>
      </c>
    </row>
    <row r="15122" spans="1:3">
      <c r="A15122" s="250">
        <v>35653</v>
      </c>
      <c r="B15122" s="74" t="s">
        <v>7718</v>
      </c>
      <c r="C15122" s="74" t="s">
        <v>412</v>
      </c>
    </row>
    <row r="15123" spans="1:3">
      <c r="A15123" s="250">
        <v>35654</v>
      </c>
      <c r="B15123" s="74" t="s">
        <v>7718</v>
      </c>
      <c r="C15123" s="74" t="s">
        <v>412</v>
      </c>
    </row>
    <row r="15124" spans="1:3">
      <c r="A15124" s="250">
        <v>35660</v>
      </c>
      <c r="B15124" s="74" t="s">
        <v>661</v>
      </c>
      <c r="C15124" s="74" t="s">
        <v>412</v>
      </c>
    </row>
    <row r="15125" spans="1:3">
      <c r="A15125" s="250">
        <v>35661</v>
      </c>
      <c r="B15125" s="74" t="s">
        <v>8734</v>
      </c>
      <c r="C15125" s="74" t="s">
        <v>412</v>
      </c>
    </row>
    <row r="15126" spans="1:3">
      <c r="A15126" s="250">
        <v>35662</v>
      </c>
      <c r="B15126" s="74" t="s">
        <v>8734</v>
      </c>
      <c r="C15126" s="74" t="s">
        <v>412</v>
      </c>
    </row>
    <row r="15127" spans="1:3">
      <c r="A15127" s="250">
        <v>35670</v>
      </c>
      <c r="B15127" s="74" t="s">
        <v>915</v>
      </c>
      <c r="C15127" s="74" t="s">
        <v>412</v>
      </c>
    </row>
    <row r="15128" spans="1:3">
      <c r="A15128" s="250">
        <v>35671</v>
      </c>
      <c r="B15128" s="74" t="s">
        <v>8735</v>
      </c>
      <c r="C15128" s="74" t="s">
        <v>412</v>
      </c>
    </row>
    <row r="15129" spans="1:3">
      <c r="A15129" s="250">
        <v>35672</v>
      </c>
      <c r="B15129" s="74" t="s">
        <v>8736</v>
      </c>
      <c r="C15129" s="74" t="s">
        <v>412</v>
      </c>
    </row>
    <row r="15130" spans="1:3">
      <c r="A15130" s="250">
        <v>35673</v>
      </c>
      <c r="B15130" s="74" t="s">
        <v>7129</v>
      </c>
      <c r="C15130" s="74" t="s">
        <v>412</v>
      </c>
    </row>
    <row r="15131" spans="1:3">
      <c r="A15131" s="250">
        <v>35674</v>
      </c>
      <c r="B15131" s="74" t="s">
        <v>8737</v>
      </c>
      <c r="C15131" s="74" t="s">
        <v>412</v>
      </c>
    </row>
    <row r="15132" spans="1:3">
      <c r="A15132" s="250">
        <v>35677</v>
      </c>
      <c r="B15132" s="74" t="s">
        <v>3425</v>
      </c>
      <c r="C15132" s="74" t="s">
        <v>412</v>
      </c>
    </row>
    <row r="15133" spans="1:3">
      <c r="A15133" s="250">
        <v>35699</v>
      </c>
      <c r="B15133" s="74" t="s">
        <v>7862</v>
      </c>
      <c r="C15133" s="74" t="s">
        <v>412</v>
      </c>
    </row>
    <row r="15134" spans="1:3">
      <c r="A15134" s="250">
        <v>35739</v>
      </c>
      <c r="B15134" s="74" t="s">
        <v>5311</v>
      </c>
      <c r="C15134" s="74" t="s">
        <v>412</v>
      </c>
    </row>
    <row r="15135" spans="1:3">
      <c r="A15135" s="250">
        <v>35740</v>
      </c>
      <c r="B15135" s="74" t="s">
        <v>2077</v>
      </c>
      <c r="C15135" s="74" t="s">
        <v>412</v>
      </c>
    </row>
    <row r="15136" spans="1:3">
      <c r="A15136" s="250">
        <v>35741</v>
      </c>
      <c r="B15136" s="74" t="s">
        <v>8738</v>
      </c>
      <c r="C15136" s="74" t="s">
        <v>412</v>
      </c>
    </row>
    <row r="15137" spans="1:3">
      <c r="A15137" s="250">
        <v>35742</v>
      </c>
      <c r="B15137" s="74" t="s">
        <v>8739</v>
      </c>
      <c r="C15137" s="74" t="s">
        <v>412</v>
      </c>
    </row>
    <row r="15138" spans="1:3">
      <c r="A15138" s="250">
        <v>35744</v>
      </c>
      <c r="B15138" s="74" t="s">
        <v>6053</v>
      </c>
      <c r="C15138" s="74" t="s">
        <v>412</v>
      </c>
    </row>
    <row r="15139" spans="1:3">
      <c r="A15139" s="250">
        <v>35745</v>
      </c>
      <c r="B15139" s="74" t="s">
        <v>8740</v>
      </c>
      <c r="C15139" s="74" t="s">
        <v>412</v>
      </c>
    </row>
    <row r="15140" spans="1:3">
      <c r="A15140" s="250">
        <v>35746</v>
      </c>
      <c r="B15140" s="74" t="s">
        <v>8741</v>
      </c>
      <c r="C15140" s="74" t="s">
        <v>412</v>
      </c>
    </row>
    <row r="15141" spans="1:3">
      <c r="A15141" s="250">
        <v>35747</v>
      </c>
      <c r="B15141" s="74" t="s">
        <v>8402</v>
      </c>
      <c r="C15141" s="74" t="s">
        <v>412</v>
      </c>
    </row>
    <row r="15142" spans="1:3">
      <c r="A15142" s="250">
        <v>35748</v>
      </c>
      <c r="B15142" s="74" t="s">
        <v>8742</v>
      </c>
      <c r="C15142" s="74" t="s">
        <v>412</v>
      </c>
    </row>
    <row r="15143" spans="1:3">
      <c r="A15143" s="250">
        <v>35749</v>
      </c>
      <c r="B15143" s="74" t="s">
        <v>8743</v>
      </c>
      <c r="C15143" s="74" t="s">
        <v>412</v>
      </c>
    </row>
    <row r="15144" spans="1:3">
      <c r="A15144" s="250">
        <v>35750</v>
      </c>
      <c r="B15144" s="74" t="s">
        <v>8744</v>
      </c>
      <c r="C15144" s="74" t="s">
        <v>412</v>
      </c>
    </row>
    <row r="15145" spans="1:3">
      <c r="A15145" s="250">
        <v>35751</v>
      </c>
      <c r="B15145" s="74" t="s">
        <v>8745</v>
      </c>
      <c r="C15145" s="74" t="s">
        <v>412</v>
      </c>
    </row>
    <row r="15146" spans="1:3">
      <c r="A15146" s="250">
        <v>35752</v>
      </c>
      <c r="B15146" s="74" t="s">
        <v>5569</v>
      </c>
      <c r="C15146" s="74" t="s">
        <v>412</v>
      </c>
    </row>
    <row r="15147" spans="1:3">
      <c r="A15147" s="250">
        <v>35754</v>
      </c>
      <c r="B15147" s="74" t="s">
        <v>8746</v>
      </c>
      <c r="C15147" s="74" t="s">
        <v>412</v>
      </c>
    </row>
    <row r="15148" spans="1:3">
      <c r="A15148" s="250">
        <v>35755</v>
      </c>
      <c r="B15148" s="74" t="s">
        <v>8747</v>
      </c>
      <c r="C15148" s="74" t="s">
        <v>412</v>
      </c>
    </row>
    <row r="15149" spans="1:3">
      <c r="A15149" s="250">
        <v>35756</v>
      </c>
      <c r="B15149" s="74" t="s">
        <v>1320</v>
      </c>
      <c r="C15149" s="74" t="s">
        <v>412</v>
      </c>
    </row>
    <row r="15150" spans="1:3">
      <c r="A15150" s="250">
        <v>35757</v>
      </c>
      <c r="B15150" s="74" t="s">
        <v>1320</v>
      </c>
      <c r="C15150" s="74" t="s">
        <v>412</v>
      </c>
    </row>
    <row r="15151" spans="1:3">
      <c r="A15151" s="250">
        <v>35758</v>
      </c>
      <c r="B15151" s="74" t="s">
        <v>1320</v>
      </c>
      <c r="C15151" s="74" t="s">
        <v>412</v>
      </c>
    </row>
    <row r="15152" spans="1:3">
      <c r="A15152" s="250">
        <v>35759</v>
      </c>
      <c r="B15152" s="74" t="s">
        <v>8748</v>
      </c>
      <c r="C15152" s="74" t="s">
        <v>412</v>
      </c>
    </row>
    <row r="15153" spans="1:3">
      <c r="A15153" s="250">
        <v>35760</v>
      </c>
      <c r="B15153" s="74" t="s">
        <v>5282</v>
      </c>
      <c r="C15153" s="74" t="s">
        <v>412</v>
      </c>
    </row>
    <row r="15154" spans="1:3">
      <c r="A15154" s="250">
        <v>35761</v>
      </c>
      <c r="B15154" s="74" t="s">
        <v>5812</v>
      </c>
      <c r="C15154" s="74" t="s">
        <v>412</v>
      </c>
    </row>
    <row r="15155" spans="1:3">
      <c r="A15155" s="250">
        <v>35762</v>
      </c>
      <c r="B15155" s="74" t="s">
        <v>8749</v>
      </c>
      <c r="C15155" s="74" t="s">
        <v>412</v>
      </c>
    </row>
    <row r="15156" spans="1:3">
      <c r="A15156" s="250">
        <v>35763</v>
      </c>
      <c r="B15156" s="74" t="s">
        <v>8750</v>
      </c>
      <c r="C15156" s="74" t="s">
        <v>412</v>
      </c>
    </row>
    <row r="15157" spans="1:3">
      <c r="A15157" s="250">
        <v>35764</v>
      </c>
      <c r="B15157" s="74" t="s">
        <v>8751</v>
      </c>
      <c r="C15157" s="74" t="s">
        <v>412</v>
      </c>
    </row>
    <row r="15158" spans="1:3">
      <c r="A15158" s="250">
        <v>35765</v>
      </c>
      <c r="B15158" s="74" t="s">
        <v>8752</v>
      </c>
      <c r="C15158" s="74" t="s">
        <v>412</v>
      </c>
    </row>
    <row r="15159" spans="1:3">
      <c r="A15159" s="250">
        <v>35766</v>
      </c>
      <c r="B15159" s="74" t="s">
        <v>755</v>
      </c>
      <c r="C15159" s="74" t="s">
        <v>412</v>
      </c>
    </row>
    <row r="15160" spans="1:3">
      <c r="A15160" s="250">
        <v>35767</v>
      </c>
      <c r="B15160" s="74" t="s">
        <v>8753</v>
      </c>
      <c r="C15160" s="74" t="s">
        <v>412</v>
      </c>
    </row>
    <row r="15161" spans="1:3">
      <c r="A15161" s="250">
        <v>35768</v>
      </c>
      <c r="B15161" s="74" t="s">
        <v>8754</v>
      </c>
      <c r="C15161" s="74" t="s">
        <v>412</v>
      </c>
    </row>
    <row r="15162" spans="1:3">
      <c r="A15162" s="250">
        <v>35769</v>
      </c>
      <c r="B15162" s="74" t="s">
        <v>8754</v>
      </c>
      <c r="C15162" s="74" t="s">
        <v>412</v>
      </c>
    </row>
    <row r="15163" spans="1:3">
      <c r="A15163" s="250">
        <v>35771</v>
      </c>
      <c r="B15163" s="74" t="s">
        <v>8755</v>
      </c>
      <c r="C15163" s="74" t="s">
        <v>412</v>
      </c>
    </row>
    <row r="15164" spans="1:3">
      <c r="A15164" s="250">
        <v>35772</v>
      </c>
      <c r="B15164" s="74" t="s">
        <v>2071</v>
      </c>
      <c r="C15164" s="74" t="s">
        <v>412</v>
      </c>
    </row>
    <row r="15165" spans="1:3">
      <c r="A15165" s="250">
        <v>35773</v>
      </c>
      <c r="B15165" s="74" t="s">
        <v>8756</v>
      </c>
      <c r="C15165" s="74" t="s">
        <v>412</v>
      </c>
    </row>
    <row r="15166" spans="1:3">
      <c r="A15166" s="250">
        <v>35774</v>
      </c>
      <c r="B15166" s="74" t="s">
        <v>2532</v>
      </c>
      <c r="C15166" s="74" t="s">
        <v>412</v>
      </c>
    </row>
    <row r="15167" spans="1:3">
      <c r="A15167" s="250">
        <v>35775</v>
      </c>
      <c r="B15167" s="74" t="s">
        <v>8757</v>
      </c>
      <c r="C15167" s="74" t="s">
        <v>412</v>
      </c>
    </row>
    <row r="15168" spans="1:3">
      <c r="A15168" s="250">
        <v>35776</v>
      </c>
      <c r="B15168" s="74" t="s">
        <v>804</v>
      </c>
      <c r="C15168" s="74" t="s">
        <v>412</v>
      </c>
    </row>
    <row r="15169" spans="1:3">
      <c r="A15169" s="250">
        <v>35801</v>
      </c>
      <c r="B15169" s="74" t="s">
        <v>8758</v>
      </c>
      <c r="C15169" s="74" t="s">
        <v>412</v>
      </c>
    </row>
    <row r="15170" spans="1:3">
      <c r="A15170" s="250">
        <v>35802</v>
      </c>
      <c r="B15170" s="74" t="s">
        <v>8758</v>
      </c>
      <c r="C15170" s="74" t="s">
        <v>412</v>
      </c>
    </row>
    <row r="15171" spans="1:3">
      <c r="A15171" s="250">
        <v>35803</v>
      </c>
      <c r="B15171" s="74" t="s">
        <v>8758</v>
      </c>
      <c r="C15171" s="74" t="s">
        <v>412</v>
      </c>
    </row>
    <row r="15172" spans="1:3">
      <c r="A15172" s="250">
        <v>35804</v>
      </c>
      <c r="B15172" s="74" t="s">
        <v>8758</v>
      </c>
      <c r="C15172" s="74" t="s">
        <v>412</v>
      </c>
    </row>
    <row r="15173" spans="1:3">
      <c r="A15173" s="250">
        <v>35805</v>
      </c>
      <c r="B15173" s="74" t="s">
        <v>8758</v>
      </c>
      <c r="C15173" s="74" t="s">
        <v>412</v>
      </c>
    </row>
    <row r="15174" spans="1:3">
      <c r="A15174" s="250">
        <v>35806</v>
      </c>
      <c r="B15174" s="74" t="s">
        <v>8758</v>
      </c>
      <c r="C15174" s="74" t="s">
        <v>412</v>
      </c>
    </row>
    <row r="15175" spans="1:3">
      <c r="A15175" s="250">
        <v>35807</v>
      </c>
      <c r="B15175" s="74" t="s">
        <v>8758</v>
      </c>
      <c r="C15175" s="74" t="s">
        <v>412</v>
      </c>
    </row>
    <row r="15176" spans="1:3">
      <c r="A15176" s="250">
        <v>35808</v>
      </c>
      <c r="B15176" s="74" t="s">
        <v>8758</v>
      </c>
      <c r="C15176" s="74" t="s">
        <v>412</v>
      </c>
    </row>
    <row r="15177" spans="1:3">
      <c r="A15177" s="250">
        <v>35809</v>
      </c>
      <c r="B15177" s="74" t="s">
        <v>8758</v>
      </c>
      <c r="C15177" s="74" t="s">
        <v>412</v>
      </c>
    </row>
    <row r="15178" spans="1:3">
      <c r="A15178" s="250">
        <v>35810</v>
      </c>
      <c r="B15178" s="74" t="s">
        <v>8758</v>
      </c>
      <c r="C15178" s="74" t="s">
        <v>412</v>
      </c>
    </row>
    <row r="15179" spans="1:3">
      <c r="A15179" s="250">
        <v>35811</v>
      </c>
      <c r="B15179" s="74" t="s">
        <v>8758</v>
      </c>
      <c r="C15179" s="74" t="s">
        <v>412</v>
      </c>
    </row>
    <row r="15180" spans="1:3">
      <c r="A15180" s="250">
        <v>35812</v>
      </c>
      <c r="B15180" s="74" t="s">
        <v>8758</v>
      </c>
      <c r="C15180" s="74" t="s">
        <v>412</v>
      </c>
    </row>
    <row r="15181" spans="1:3">
      <c r="A15181" s="250">
        <v>35813</v>
      </c>
      <c r="B15181" s="74" t="s">
        <v>8758</v>
      </c>
      <c r="C15181" s="74" t="s">
        <v>412</v>
      </c>
    </row>
    <row r="15182" spans="1:3">
      <c r="A15182" s="250">
        <v>35814</v>
      </c>
      <c r="B15182" s="74" t="s">
        <v>8758</v>
      </c>
      <c r="C15182" s="74" t="s">
        <v>412</v>
      </c>
    </row>
    <row r="15183" spans="1:3">
      <c r="A15183" s="250">
        <v>35815</v>
      </c>
      <c r="B15183" s="74" t="s">
        <v>8758</v>
      </c>
      <c r="C15183" s="74" t="s">
        <v>412</v>
      </c>
    </row>
    <row r="15184" spans="1:3">
      <c r="A15184" s="250">
        <v>35816</v>
      </c>
      <c r="B15184" s="74" t="s">
        <v>8758</v>
      </c>
      <c r="C15184" s="74" t="s">
        <v>412</v>
      </c>
    </row>
    <row r="15185" spans="1:3">
      <c r="A15185" s="250">
        <v>35824</v>
      </c>
      <c r="B15185" s="74" t="s">
        <v>8758</v>
      </c>
      <c r="C15185" s="74" t="s">
        <v>412</v>
      </c>
    </row>
    <row r="15186" spans="1:3">
      <c r="A15186" s="250">
        <v>35893</v>
      </c>
      <c r="B15186" s="74" t="s">
        <v>8758</v>
      </c>
      <c r="C15186" s="74" t="s">
        <v>412</v>
      </c>
    </row>
    <row r="15187" spans="1:3">
      <c r="A15187" s="250">
        <v>35894</v>
      </c>
      <c r="B15187" s="74" t="s">
        <v>8758</v>
      </c>
      <c r="C15187" s="74" t="s">
        <v>412</v>
      </c>
    </row>
    <row r="15188" spans="1:3">
      <c r="A15188" s="250">
        <v>35895</v>
      </c>
      <c r="B15188" s="74" t="s">
        <v>8758</v>
      </c>
      <c r="C15188" s="74" t="s">
        <v>412</v>
      </c>
    </row>
    <row r="15189" spans="1:3">
      <c r="A15189" s="250">
        <v>35896</v>
      </c>
      <c r="B15189" s="74" t="s">
        <v>8758</v>
      </c>
      <c r="C15189" s="74" t="s">
        <v>412</v>
      </c>
    </row>
    <row r="15190" spans="1:3">
      <c r="A15190" s="250">
        <v>35897</v>
      </c>
      <c r="B15190" s="74" t="s">
        <v>8758</v>
      </c>
      <c r="C15190" s="74" t="s">
        <v>412</v>
      </c>
    </row>
    <row r="15191" spans="1:3">
      <c r="A15191" s="250">
        <v>35898</v>
      </c>
      <c r="B15191" s="74" t="s">
        <v>8758</v>
      </c>
      <c r="C15191" s="74" t="s">
        <v>412</v>
      </c>
    </row>
    <row r="15192" spans="1:3">
      <c r="A15192" s="250">
        <v>35899</v>
      </c>
      <c r="B15192" s="74" t="s">
        <v>8758</v>
      </c>
      <c r="C15192" s="74" t="s">
        <v>412</v>
      </c>
    </row>
    <row r="15193" spans="1:3">
      <c r="A15193" s="250">
        <v>35901</v>
      </c>
      <c r="B15193" s="74" t="s">
        <v>7613</v>
      </c>
      <c r="C15193" s="74" t="s">
        <v>412</v>
      </c>
    </row>
    <row r="15194" spans="1:3">
      <c r="A15194" s="250">
        <v>35902</v>
      </c>
      <c r="B15194" s="74" t="s">
        <v>7613</v>
      </c>
      <c r="C15194" s="74" t="s">
        <v>412</v>
      </c>
    </row>
    <row r="15195" spans="1:3">
      <c r="A15195" s="250">
        <v>35903</v>
      </c>
      <c r="B15195" s="74" t="s">
        <v>7613</v>
      </c>
      <c r="C15195" s="74" t="s">
        <v>412</v>
      </c>
    </row>
    <row r="15196" spans="1:3">
      <c r="A15196" s="250">
        <v>35904</v>
      </c>
      <c r="B15196" s="74" t="s">
        <v>7613</v>
      </c>
      <c r="C15196" s="74" t="s">
        <v>412</v>
      </c>
    </row>
    <row r="15197" spans="1:3">
      <c r="A15197" s="250">
        <v>35905</v>
      </c>
      <c r="B15197" s="74" t="s">
        <v>7613</v>
      </c>
      <c r="C15197" s="74" t="s">
        <v>412</v>
      </c>
    </row>
    <row r="15198" spans="1:3">
      <c r="A15198" s="250">
        <v>35906</v>
      </c>
      <c r="B15198" s="74" t="s">
        <v>8759</v>
      </c>
      <c r="C15198" s="74" t="s">
        <v>412</v>
      </c>
    </row>
    <row r="15199" spans="1:3">
      <c r="A15199" s="250">
        <v>35907</v>
      </c>
      <c r="B15199" s="74" t="s">
        <v>7613</v>
      </c>
      <c r="C15199" s="74" t="s">
        <v>412</v>
      </c>
    </row>
    <row r="15200" spans="1:3">
      <c r="A15200" s="250">
        <v>35950</v>
      </c>
      <c r="B15200" s="74" t="s">
        <v>8760</v>
      </c>
      <c r="C15200" s="74" t="s">
        <v>412</v>
      </c>
    </row>
    <row r="15201" spans="1:3">
      <c r="A15201" s="250">
        <v>35951</v>
      </c>
      <c r="B15201" s="74" t="s">
        <v>8760</v>
      </c>
      <c r="C15201" s="74" t="s">
        <v>412</v>
      </c>
    </row>
    <row r="15202" spans="1:3">
      <c r="A15202" s="250">
        <v>35952</v>
      </c>
      <c r="B15202" s="74" t="s">
        <v>4529</v>
      </c>
      <c r="C15202" s="74" t="s">
        <v>412</v>
      </c>
    </row>
    <row r="15203" spans="1:3">
      <c r="A15203" s="250">
        <v>35953</v>
      </c>
      <c r="B15203" s="74" t="s">
        <v>3843</v>
      </c>
      <c r="C15203" s="74" t="s">
        <v>412</v>
      </c>
    </row>
    <row r="15204" spans="1:3">
      <c r="A15204" s="250">
        <v>35954</v>
      </c>
      <c r="B15204" s="74" t="s">
        <v>8761</v>
      </c>
      <c r="C15204" s="74" t="s">
        <v>412</v>
      </c>
    </row>
    <row r="15205" spans="1:3">
      <c r="A15205" s="250">
        <v>35956</v>
      </c>
      <c r="B15205" s="74" t="s">
        <v>8762</v>
      </c>
      <c r="C15205" s="74" t="s">
        <v>412</v>
      </c>
    </row>
    <row r="15206" spans="1:3">
      <c r="A15206" s="250">
        <v>35957</v>
      </c>
      <c r="B15206" s="74" t="s">
        <v>8762</v>
      </c>
      <c r="C15206" s="74" t="s">
        <v>412</v>
      </c>
    </row>
    <row r="15207" spans="1:3">
      <c r="A15207" s="250">
        <v>35958</v>
      </c>
      <c r="B15207" s="74" t="s">
        <v>8763</v>
      </c>
      <c r="C15207" s="74" t="s">
        <v>412</v>
      </c>
    </row>
    <row r="15208" spans="1:3">
      <c r="A15208" s="250">
        <v>35959</v>
      </c>
      <c r="B15208" s="74" t="s">
        <v>6456</v>
      </c>
      <c r="C15208" s="74" t="s">
        <v>412</v>
      </c>
    </row>
    <row r="15209" spans="1:3">
      <c r="A15209" s="250">
        <v>35960</v>
      </c>
      <c r="B15209" s="74" t="s">
        <v>8764</v>
      </c>
      <c r="C15209" s="74" t="s">
        <v>412</v>
      </c>
    </row>
    <row r="15210" spans="1:3">
      <c r="A15210" s="250">
        <v>35961</v>
      </c>
      <c r="B15210" s="74" t="s">
        <v>1936</v>
      </c>
      <c r="C15210" s="74" t="s">
        <v>412</v>
      </c>
    </row>
    <row r="15211" spans="1:3">
      <c r="A15211" s="250">
        <v>35962</v>
      </c>
      <c r="B15211" s="74" t="s">
        <v>8765</v>
      </c>
      <c r="C15211" s="74" t="s">
        <v>412</v>
      </c>
    </row>
    <row r="15212" spans="1:3">
      <c r="A15212" s="250">
        <v>35963</v>
      </c>
      <c r="B15212" s="74" t="s">
        <v>4101</v>
      </c>
      <c r="C15212" s="74" t="s">
        <v>412</v>
      </c>
    </row>
    <row r="15213" spans="1:3">
      <c r="A15213" s="250">
        <v>35964</v>
      </c>
      <c r="B15213" s="74" t="s">
        <v>734</v>
      </c>
      <c r="C15213" s="74" t="s">
        <v>412</v>
      </c>
    </row>
    <row r="15214" spans="1:3">
      <c r="A15214" s="250">
        <v>35966</v>
      </c>
      <c r="B15214" s="74" t="s">
        <v>7549</v>
      </c>
      <c r="C15214" s="74" t="s">
        <v>412</v>
      </c>
    </row>
    <row r="15215" spans="1:3">
      <c r="A15215" s="250">
        <v>35967</v>
      </c>
      <c r="B15215" s="74" t="s">
        <v>8766</v>
      </c>
      <c r="C15215" s="74" t="s">
        <v>412</v>
      </c>
    </row>
    <row r="15216" spans="1:3">
      <c r="A15216" s="250">
        <v>35968</v>
      </c>
      <c r="B15216" s="74" t="s">
        <v>8766</v>
      </c>
      <c r="C15216" s="74" t="s">
        <v>412</v>
      </c>
    </row>
    <row r="15217" spans="1:3">
      <c r="A15217" s="250">
        <v>35971</v>
      </c>
      <c r="B15217" s="74" t="s">
        <v>8767</v>
      </c>
      <c r="C15217" s="74" t="s">
        <v>412</v>
      </c>
    </row>
    <row r="15218" spans="1:3">
      <c r="A15218" s="250">
        <v>35972</v>
      </c>
      <c r="B15218" s="74" t="s">
        <v>8768</v>
      </c>
      <c r="C15218" s="74" t="s">
        <v>412</v>
      </c>
    </row>
    <row r="15219" spans="1:3">
      <c r="A15219" s="250">
        <v>35973</v>
      </c>
      <c r="B15219" s="74" t="s">
        <v>8769</v>
      </c>
      <c r="C15219" s="74" t="s">
        <v>412</v>
      </c>
    </row>
    <row r="15220" spans="1:3">
      <c r="A15220" s="250">
        <v>35974</v>
      </c>
      <c r="B15220" s="74" t="s">
        <v>8770</v>
      </c>
      <c r="C15220" s="74" t="s">
        <v>412</v>
      </c>
    </row>
    <row r="15221" spans="1:3">
      <c r="A15221" s="250">
        <v>35975</v>
      </c>
      <c r="B15221" s="74" t="s">
        <v>8771</v>
      </c>
      <c r="C15221" s="74" t="s">
        <v>412</v>
      </c>
    </row>
    <row r="15222" spans="1:3">
      <c r="A15222" s="250">
        <v>35976</v>
      </c>
      <c r="B15222" s="74" t="s">
        <v>8772</v>
      </c>
      <c r="C15222" s="74" t="s">
        <v>412</v>
      </c>
    </row>
    <row r="15223" spans="1:3">
      <c r="A15223" s="250">
        <v>35978</v>
      </c>
      <c r="B15223" s="74" t="s">
        <v>8773</v>
      </c>
      <c r="C15223" s="74" t="s">
        <v>412</v>
      </c>
    </row>
    <row r="15224" spans="1:3">
      <c r="A15224" s="250">
        <v>35979</v>
      </c>
      <c r="B15224" s="74" t="s">
        <v>8774</v>
      </c>
      <c r="C15224" s="74" t="s">
        <v>412</v>
      </c>
    </row>
    <row r="15225" spans="1:3">
      <c r="A15225" s="250">
        <v>35980</v>
      </c>
      <c r="B15225" s="74" t="s">
        <v>8775</v>
      </c>
      <c r="C15225" s="74" t="s">
        <v>412</v>
      </c>
    </row>
    <row r="15226" spans="1:3">
      <c r="A15226" s="250">
        <v>35981</v>
      </c>
      <c r="B15226" s="74" t="s">
        <v>8776</v>
      </c>
      <c r="C15226" s="74" t="s">
        <v>412</v>
      </c>
    </row>
    <row r="15227" spans="1:3">
      <c r="A15227" s="250">
        <v>35983</v>
      </c>
      <c r="B15227" s="74" t="s">
        <v>2488</v>
      </c>
      <c r="C15227" s="74" t="s">
        <v>412</v>
      </c>
    </row>
    <row r="15228" spans="1:3">
      <c r="A15228" s="250">
        <v>35984</v>
      </c>
      <c r="B15228" s="74" t="s">
        <v>8777</v>
      </c>
      <c r="C15228" s="74" t="s">
        <v>412</v>
      </c>
    </row>
    <row r="15229" spans="1:3">
      <c r="A15229" s="250">
        <v>35986</v>
      </c>
      <c r="B15229" s="74" t="s">
        <v>8778</v>
      </c>
      <c r="C15229" s="74" t="s">
        <v>412</v>
      </c>
    </row>
    <row r="15230" spans="1:3">
      <c r="A15230" s="250">
        <v>35987</v>
      </c>
      <c r="B15230" s="74" t="s">
        <v>8779</v>
      </c>
      <c r="C15230" s="74" t="s">
        <v>412</v>
      </c>
    </row>
    <row r="15231" spans="1:3">
      <c r="A15231" s="250">
        <v>35988</v>
      </c>
      <c r="B15231" s="74" t="s">
        <v>4684</v>
      </c>
      <c r="C15231" s="74" t="s">
        <v>412</v>
      </c>
    </row>
    <row r="15232" spans="1:3">
      <c r="A15232" s="250">
        <v>35989</v>
      </c>
      <c r="B15232" s="74" t="s">
        <v>6926</v>
      </c>
      <c r="C15232" s="74" t="s">
        <v>412</v>
      </c>
    </row>
    <row r="15233" spans="1:3">
      <c r="A15233" s="250">
        <v>35990</v>
      </c>
      <c r="B15233" s="74" t="s">
        <v>8780</v>
      </c>
      <c r="C15233" s="74" t="s">
        <v>412</v>
      </c>
    </row>
    <row r="15234" spans="1:3">
      <c r="A15234" s="250">
        <v>36003</v>
      </c>
      <c r="B15234" s="74" t="s">
        <v>8781</v>
      </c>
      <c r="C15234" s="74" t="s">
        <v>412</v>
      </c>
    </row>
    <row r="15235" spans="1:3">
      <c r="A15235" s="250">
        <v>36005</v>
      </c>
      <c r="B15235" s="74" t="s">
        <v>8782</v>
      </c>
      <c r="C15235" s="74" t="s">
        <v>412</v>
      </c>
    </row>
    <row r="15236" spans="1:3">
      <c r="A15236" s="250">
        <v>36006</v>
      </c>
      <c r="B15236" s="74" t="s">
        <v>8783</v>
      </c>
      <c r="C15236" s="74" t="s">
        <v>412</v>
      </c>
    </row>
    <row r="15237" spans="1:3">
      <c r="A15237" s="250">
        <v>36008</v>
      </c>
      <c r="B15237" s="74" t="s">
        <v>8784</v>
      </c>
      <c r="C15237" s="74" t="s">
        <v>412</v>
      </c>
    </row>
    <row r="15238" spans="1:3">
      <c r="A15238" s="250">
        <v>36009</v>
      </c>
      <c r="B15238" s="74" t="s">
        <v>8785</v>
      </c>
      <c r="C15238" s="74" t="s">
        <v>412</v>
      </c>
    </row>
    <row r="15239" spans="1:3">
      <c r="A15239" s="250">
        <v>36010</v>
      </c>
      <c r="B15239" s="74" t="s">
        <v>8786</v>
      </c>
      <c r="C15239" s="74" t="s">
        <v>412</v>
      </c>
    </row>
    <row r="15240" spans="1:3">
      <c r="A15240" s="250">
        <v>36013</v>
      </c>
      <c r="B15240" s="74" t="s">
        <v>4049</v>
      </c>
      <c r="C15240" s="74" t="s">
        <v>412</v>
      </c>
    </row>
    <row r="15241" spans="1:3">
      <c r="A15241" s="250">
        <v>36015</v>
      </c>
      <c r="B15241" s="74" t="s">
        <v>8787</v>
      </c>
      <c r="C15241" s="74" t="s">
        <v>412</v>
      </c>
    </row>
    <row r="15242" spans="1:3">
      <c r="A15242" s="250">
        <v>36016</v>
      </c>
      <c r="B15242" s="74" t="s">
        <v>2476</v>
      </c>
      <c r="C15242" s="74" t="s">
        <v>412</v>
      </c>
    </row>
    <row r="15243" spans="1:3">
      <c r="A15243" s="250">
        <v>36017</v>
      </c>
      <c r="B15243" s="74" t="s">
        <v>7732</v>
      </c>
      <c r="C15243" s="74" t="s">
        <v>412</v>
      </c>
    </row>
    <row r="15244" spans="1:3">
      <c r="A15244" s="250">
        <v>36020</v>
      </c>
      <c r="B15244" s="74" t="s">
        <v>8788</v>
      </c>
      <c r="C15244" s="74" t="s">
        <v>412</v>
      </c>
    </row>
    <row r="15245" spans="1:3">
      <c r="A15245" s="250">
        <v>36022</v>
      </c>
      <c r="B15245" s="74" t="s">
        <v>8789</v>
      </c>
      <c r="C15245" s="74" t="s">
        <v>412</v>
      </c>
    </row>
    <row r="15246" spans="1:3">
      <c r="A15246" s="250">
        <v>36023</v>
      </c>
      <c r="B15246" s="74" t="s">
        <v>8790</v>
      </c>
      <c r="C15246" s="74" t="s">
        <v>412</v>
      </c>
    </row>
    <row r="15247" spans="1:3">
      <c r="A15247" s="250">
        <v>36024</v>
      </c>
      <c r="B15247" s="74" t="s">
        <v>8791</v>
      </c>
      <c r="C15247" s="74" t="s">
        <v>412</v>
      </c>
    </row>
    <row r="15248" spans="1:3">
      <c r="A15248" s="250">
        <v>36025</v>
      </c>
      <c r="B15248" s="74" t="s">
        <v>8792</v>
      </c>
      <c r="C15248" s="74" t="s">
        <v>412</v>
      </c>
    </row>
    <row r="15249" spans="1:3">
      <c r="A15249" s="250">
        <v>36026</v>
      </c>
      <c r="B15249" s="74" t="s">
        <v>8793</v>
      </c>
      <c r="C15249" s="74" t="s">
        <v>412</v>
      </c>
    </row>
    <row r="15250" spans="1:3">
      <c r="A15250" s="250">
        <v>36027</v>
      </c>
      <c r="B15250" s="74" t="s">
        <v>8794</v>
      </c>
      <c r="C15250" s="74" t="s">
        <v>412</v>
      </c>
    </row>
    <row r="15251" spans="1:3">
      <c r="A15251" s="250">
        <v>36028</v>
      </c>
      <c r="B15251" s="74" t="s">
        <v>8795</v>
      </c>
      <c r="C15251" s="74" t="s">
        <v>412</v>
      </c>
    </row>
    <row r="15252" spans="1:3">
      <c r="A15252" s="250">
        <v>36029</v>
      </c>
      <c r="B15252" s="74" t="s">
        <v>8796</v>
      </c>
      <c r="C15252" s="74" t="s">
        <v>412</v>
      </c>
    </row>
    <row r="15253" spans="1:3">
      <c r="A15253" s="250">
        <v>36030</v>
      </c>
      <c r="B15253" s="74" t="s">
        <v>8797</v>
      </c>
      <c r="C15253" s="74" t="s">
        <v>412</v>
      </c>
    </row>
    <row r="15254" spans="1:3">
      <c r="A15254" s="250">
        <v>36031</v>
      </c>
      <c r="B15254" s="74" t="s">
        <v>8798</v>
      </c>
      <c r="C15254" s="74" t="s">
        <v>412</v>
      </c>
    </row>
    <row r="15255" spans="1:3">
      <c r="A15255" s="250">
        <v>36032</v>
      </c>
      <c r="B15255" s="74" t="s">
        <v>8799</v>
      </c>
      <c r="C15255" s="74" t="s">
        <v>412</v>
      </c>
    </row>
    <row r="15256" spans="1:3">
      <c r="A15256" s="250">
        <v>36033</v>
      </c>
      <c r="B15256" s="74" t="s">
        <v>8800</v>
      </c>
      <c r="C15256" s="74" t="s">
        <v>412</v>
      </c>
    </row>
    <row r="15257" spans="1:3">
      <c r="A15257" s="250">
        <v>36034</v>
      </c>
      <c r="B15257" s="74" t="s">
        <v>2187</v>
      </c>
      <c r="C15257" s="74" t="s">
        <v>412</v>
      </c>
    </row>
    <row r="15258" spans="1:3">
      <c r="A15258" s="250">
        <v>36035</v>
      </c>
      <c r="B15258" s="74" t="s">
        <v>592</v>
      </c>
      <c r="C15258" s="74" t="s">
        <v>412</v>
      </c>
    </row>
    <row r="15259" spans="1:3">
      <c r="A15259" s="250">
        <v>36036</v>
      </c>
      <c r="B15259" s="74" t="s">
        <v>8801</v>
      </c>
      <c r="C15259" s="74" t="s">
        <v>412</v>
      </c>
    </row>
    <row r="15260" spans="1:3">
      <c r="A15260" s="250">
        <v>36037</v>
      </c>
      <c r="B15260" s="74" t="s">
        <v>1108</v>
      </c>
      <c r="C15260" s="74" t="s">
        <v>412</v>
      </c>
    </row>
    <row r="15261" spans="1:3">
      <c r="A15261" s="250">
        <v>36038</v>
      </c>
      <c r="B15261" s="74" t="s">
        <v>8802</v>
      </c>
      <c r="C15261" s="74" t="s">
        <v>412</v>
      </c>
    </row>
    <row r="15262" spans="1:3">
      <c r="A15262" s="250">
        <v>36039</v>
      </c>
      <c r="B15262" s="74" t="s">
        <v>8803</v>
      </c>
      <c r="C15262" s="74" t="s">
        <v>412</v>
      </c>
    </row>
    <row r="15263" spans="1:3">
      <c r="A15263" s="250">
        <v>36040</v>
      </c>
      <c r="B15263" s="74" t="s">
        <v>8804</v>
      </c>
      <c r="C15263" s="74" t="s">
        <v>412</v>
      </c>
    </row>
    <row r="15264" spans="1:3">
      <c r="A15264" s="250">
        <v>36041</v>
      </c>
      <c r="B15264" s="74" t="s">
        <v>8805</v>
      </c>
      <c r="C15264" s="74" t="s">
        <v>412</v>
      </c>
    </row>
    <row r="15265" spans="1:3">
      <c r="A15265" s="250">
        <v>36042</v>
      </c>
      <c r="B15265" s="74" t="s">
        <v>8806</v>
      </c>
      <c r="C15265" s="74" t="s">
        <v>412</v>
      </c>
    </row>
    <row r="15266" spans="1:3">
      <c r="A15266" s="250">
        <v>36043</v>
      </c>
      <c r="B15266" s="74" t="s">
        <v>8807</v>
      </c>
      <c r="C15266" s="74" t="s">
        <v>412</v>
      </c>
    </row>
    <row r="15267" spans="1:3">
      <c r="A15267" s="250">
        <v>36045</v>
      </c>
      <c r="B15267" s="74" t="s">
        <v>2084</v>
      </c>
      <c r="C15267" s="74" t="s">
        <v>412</v>
      </c>
    </row>
    <row r="15268" spans="1:3">
      <c r="A15268" s="250">
        <v>36046</v>
      </c>
      <c r="B15268" s="74" t="s">
        <v>8808</v>
      </c>
      <c r="C15268" s="74" t="s">
        <v>412</v>
      </c>
    </row>
    <row r="15269" spans="1:3">
      <c r="A15269" s="250">
        <v>36047</v>
      </c>
      <c r="B15269" s="74" t="s">
        <v>8809</v>
      </c>
      <c r="C15269" s="74" t="s">
        <v>412</v>
      </c>
    </row>
    <row r="15270" spans="1:3">
      <c r="A15270" s="250">
        <v>36048</v>
      </c>
      <c r="B15270" s="74" t="s">
        <v>7943</v>
      </c>
      <c r="C15270" s="74" t="s">
        <v>412</v>
      </c>
    </row>
    <row r="15271" spans="1:3">
      <c r="A15271" s="250">
        <v>36049</v>
      </c>
      <c r="B15271" s="74" t="s">
        <v>8810</v>
      </c>
      <c r="C15271" s="74" t="s">
        <v>412</v>
      </c>
    </row>
    <row r="15272" spans="1:3">
      <c r="A15272" s="250">
        <v>36051</v>
      </c>
      <c r="B15272" s="74" t="s">
        <v>5577</v>
      </c>
      <c r="C15272" s="74" t="s">
        <v>412</v>
      </c>
    </row>
    <row r="15273" spans="1:3">
      <c r="A15273" s="250">
        <v>36052</v>
      </c>
      <c r="B15273" s="74" t="s">
        <v>6084</v>
      </c>
      <c r="C15273" s="74" t="s">
        <v>412</v>
      </c>
    </row>
    <row r="15274" spans="1:3">
      <c r="A15274" s="250">
        <v>36053</v>
      </c>
      <c r="B15274" s="74" t="s">
        <v>3995</v>
      </c>
      <c r="C15274" s="74" t="s">
        <v>412</v>
      </c>
    </row>
    <row r="15275" spans="1:3">
      <c r="A15275" s="250">
        <v>36054</v>
      </c>
      <c r="B15275" s="74" t="s">
        <v>3128</v>
      </c>
      <c r="C15275" s="74" t="s">
        <v>412</v>
      </c>
    </row>
    <row r="15276" spans="1:3">
      <c r="A15276" s="250">
        <v>36057</v>
      </c>
      <c r="B15276" s="74" t="s">
        <v>8811</v>
      </c>
      <c r="C15276" s="74" t="s">
        <v>412</v>
      </c>
    </row>
    <row r="15277" spans="1:3">
      <c r="A15277" s="250">
        <v>36061</v>
      </c>
      <c r="B15277" s="74" t="s">
        <v>8812</v>
      </c>
      <c r="C15277" s="74" t="s">
        <v>412</v>
      </c>
    </row>
    <row r="15278" spans="1:3">
      <c r="A15278" s="250">
        <v>36062</v>
      </c>
      <c r="B15278" s="74" t="s">
        <v>8813</v>
      </c>
      <c r="C15278" s="74" t="s">
        <v>412</v>
      </c>
    </row>
    <row r="15279" spans="1:3">
      <c r="A15279" s="250">
        <v>36064</v>
      </c>
      <c r="B15279" s="74" t="s">
        <v>8814</v>
      </c>
      <c r="C15279" s="74" t="s">
        <v>412</v>
      </c>
    </row>
    <row r="15280" spans="1:3">
      <c r="A15280" s="250">
        <v>36065</v>
      </c>
      <c r="B15280" s="74" t="s">
        <v>7164</v>
      </c>
      <c r="C15280" s="74" t="s">
        <v>412</v>
      </c>
    </row>
    <row r="15281" spans="1:3">
      <c r="A15281" s="250">
        <v>36066</v>
      </c>
      <c r="B15281" s="74" t="s">
        <v>8815</v>
      </c>
      <c r="C15281" s="74" t="s">
        <v>412</v>
      </c>
    </row>
    <row r="15282" spans="1:3">
      <c r="A15282" s="250">
        <v>36067</v>
      </c>
      <c r="B15282" s="74" t="s">
        <v>8815</v>
      </c>
      <c r="C15282" s="74" t="s">
        <v>412</v>
      </c>
    </row>
    <row r="15283" spans="1:3">
      <c r="A15283" s="250">
        <v>36068</v>
      </c>
      <c r="B15283" s="74" t="s">
        <v>8815</v>
      </c>
      <c r="C15283" s="74" t="s">
        <v>412</v>
      </c>
    </row>
    <row r="15284" spans="1:3">
      <c r="A15284" s="250">
        <v>36069</v>
      </c>
      <c r="B15284" s="74" t="s">
        <v>8816</v>
      </c>
      <c r="C15284" s="74" t="s">
        <v>412</v>
      </c>
    </row>
    <row r="15285" spans="1:3">
      <c r="A15285" s="250">
        <v>36071</v>
      </c>
      <c r="B15285" s="74" t="s">
        <v>8017</v>
      </c>
      <c r="C15285" s="74" t="s">
        <v>412</v>
      </c>
    </row>
    <row r="15286" spans="1:3">
      <c r="A15286" s="250">
        <v>36072</v>
      </c>
      <c r="B15286" s="74" t="s">
        <v>8794</v>
      </c>
      <c r="C15286" s="74" t="s">
        <v>412</v>
      </c>
    </row>
    <row r="15287" spans="1:3">
      <c r="A15287" s="250">
        <v>36075</v>
      </c>
      <c r="B15287" s="74" t="s">
        <v>8817</v>
      </c>
      <c r="C15287" s="74" t="s">
        <v>412</v>
      </c>
    </row>
    <row r="15288" spans="1:3">
      <c r="A15288" s="250">
        <v>36078</v>
      </c>
      <c r="B15288" s="74" t="s">
        <v>8818</v>
      </c>
      <c r="C15288" s="74" t="s">
        <v>412</v>
      </c>
    </row>
    <row r="15289" spans="1:3">
      <c r="A15289" s="250">
        <v>36079</v>
      </c>
      <c r="B15289" s="74" t="s">
        <v>1243</v>
      </c>
      <c r="C15289" s="74" t="s">
        <v>412</v>
      </c>
    </row>
    <row r="15290" spans="1:3">
      <c r="A15290" s="250">
        <v>36080</v>
      </c>
      <c r="B15290" s="74" t="s">
        <v>8819</v>
      </c>
      <c r="C15290" s="74" t="s">
        <v>412</v>
      </c>
    </row>
    <row r="15291" spans="1:3">
      <c r="A15291" s="250">
        <v>36081</v>
      </c>
      <c r="B15291" s="74" t="s">
        <v>1243</v>
      </c>
      <c r="C15291" s="74" t="s">
        <v>412</v>
      </c>
    </row>
    <row r="15292" spans="1:3">
      <c r="A15292" s="250">
        <v>36082</v>
      </c>
      <c r="B15292" s="74" t="s">
        <v>1243</v>
      </c>
      <c r="C15292" s="74" t="s">
        <v>412</v>
      </c>
    </row>
    <row r="15293" spans="1:3">
      <c r="A15293" s="250">
        <v>36083</v>
      </c>
      <c r="B15293" s="74" t="s">
        <v>8820</v>
      </c>
      <c r="C15293" s="74" t="s">
        <v>412</v>
      </c>
    </row>
    <row r="15294" spans="1:3">
      <c r="A15294" s="250">
        <v>36087</v>
      </c>
      <c r="B15294" s="74" t="s">
        <v>8821</v>
      </c>
      <c r="C15294" s="74" t="s">
        <v>412</v>
      </c>
    </row>
    <row r="15295" spans="1:3">
      <c r="A15295" s="250">
        <v>36088</v>
      </c>
      <c r="B15295" s="74" t="s">
        <v>8821</v>
      </c>
      <c r="C15295" s="74" t="s">
        <v>412</v>
      </c>
    </row>
    <row r="15296" spans="1:3">
      <c r="A15296" s="250">
        <v>36089</v>
      </c>
      <c r="B15296" s="74" t="s">
        <v>3421</v>
      </c>
      <c r="C15296" s="74" t="s">
        <v>412</v>
      </c>
    </row>
    <row r="15297" spans="1:3">
      <c r="A15297" s="250">
        <v>36091</v>
      </c>
      <c r="B15297" s="74" t="s">
        <v>8822</v>
      </c>
      <c r="C15297" s="74" t="s">
        <v>412</v>
      </c>
    </row>
    <row r="15298" spans="1:3">
      <c r="A15298" s="250">
        <v>36092</v>
      </c>
      <c r="B15298" s="74" t="s">
        <v>8823</v>
      </c>
      <c r="C15298" s="74" t="s">
        <v>412</v>
      </c>
    </row>
    <row r="15299" spans="1:3">
      <c r="A15299" s="250">
        <v>36093</v>
      </c>
      <c r="B15299" s="74" t="s">
        <v>8823</v>
      </c>
      <c r="C15299" s="74" t="s">
        <v>412</v>
      </c>
    </row>
    <row r="15300" spans="1:3">
      <c r="A15300" s="250">
        <v>36101</v>
      </c>
      <c r="B15300" s="74" t="s">
        <v>1821</v>
      </c>
      <c r="C15300" s="74" t="s">
        <v>412</v>
      </c>
    </row>
    <row r="15301" spans="1:3">
      <c r="A15301" s="250">
        <v>36102</v>
      </c>
      <c r="B15301" s="74" t="s">
        <v>1821</v>
      </c>
      <c r="C15301" s="74" t="s">
        <v>412</v>
      </c>
    </row>
    <row r="15302" spans="1:3">
      <c r="A15302" s="250">
        <v>36103</v>
      </c>
      <c r="B15302" s="74" t="s">
        <v>1821</v>
      </c>
      <c r="C15302" s="74" t="s">
        <v>412</v>
      </c>
    </row>
    <row r="15303" spans="1:3">
      <c r="A15303" s="250">
        <v>36104</v>
      </c>
      <c r="B15303" s="74" t="s">
        <v>1821</v>
      </c>
      <c r="C15303" s="74" t="s">
        <v>412</v>
      </c>
    </row>
    <row r="15304" spans="1:3">
      <c r="A15304" s="250">
        <v>36105</v>
      </c>
      <c r="B15304" s="74" t="s">
        <v>1821</v>
      </c>
      <c r="C15304" s="74" t="s">
        <v>412</v>
      </c>
    </row>
    <row r="15305" spans="1:3">
      <c r="A15305" s="250">
        <v>36106</v>
      </c>
      <c r="B15305" s="74" t="s">
        <v>1821</v>
      </c>
      <c r="C15305" s="74" t="s">
        <v>412</v>
      </c>
    </row>
    <row r="15306" spans="1:3">
      <c r="A15306" s="250">
        <v>36107</v>
      </c>
      <c r="B15306" s="74" t="s">
        <v>1821</v>
      </c>
      <c r="C15306" s="74" t="s">
        <v>412</v>
      </c>
    </row>
    <row r="15307" spans="1:3">
      <c r="A15307" s="250">
        <v>36108</v>
      </c>
      <c r="B15307" s="74" t="s">
        <v>1821</v>
      </c>
      <c r="C15307" s="74" t="s">
        <v>412</v>
      </c>
    </row>
    <row r="15308" spans="1:3">
      <c r="A15308" s="250">
        <v>36109</v>
      </c>
      <c r="B15308" s="74" t="s">
        <v>1821</v>
      </c>
      <c r="C15308" s="74" t="s">
        <v>412</v>
      </c>
    </row>
    <row r="15309" spans="1:3">
      <c r="A15309" s="250">
        <v>36110</v>
      </c>
      <c r="B15309" s="74" t="s">
        <v>1821</v>
      </c>
      <c r="C15309" s="74" t="s">
        <v>412</v>
      </c>
    </row>
    <row r="15310" spans="1:3">
      <c r="A15310" s="250">
        <v>36111</v>
      </c>
      <c r="B15310" s="74" t="s">
        <v>1821</v>
      </c>
      <c r="C15310" s="74" t="s">
        <v>412</v>
      </c>
    </row>
    <row r="15311" spans="1:3">
      <c r="A15311" s="250">
        <v>36112</v>
      </c>
      <c r="B15311" s="74" t="s">
        <v>1821</v>
      </c>
      <c r="C15311" s="74" t="s">
        <v>412</v>
      </c>
    </row>
    <row r="15312" spans="1:3">
      <c r="A15312" s="250">
        <v>36113</v>
      </c>
      <c r="B15312" s="74" t="s">
        <v>1821</v>
      </c>
      <c r="C15312" s="74" t="s">
        <v>412</v>
      </c>
    </row>
    <row r="15313" spans="1:3">
      <c r="A15313" s="250">
        <v>36114</v>
      </c>
      <c r="B15313" s="74" t="s">
        <v>1821</v>
      </c>
      <c r="C15313" s="74" t="s">
        <v>412</v>
      </c>
    </row>
    <row r="15314" spans="1:3">
      <c r="A15314" s="250">
        <v>36115</v>
      </c>
      <c r="B15314" s="74" t="s">
        <v>1821</v>
      </c>
      <c r="C15314" s="74" t="s">
        <v>412</v>
      </c>
    </row>
    <row r="15315" spans="1:3">
      <c r="A15315" s="250">
        <v>36116</v>
      </c>
      <c r="B15315" s="74" t="s">
        <v>1821</v>
      </c>
      <c r="C15315" s="74" t="s">
        <v>412</v>
      </c>
    </row>
    <row r="15316" spans="1:3">
      <c r="A15316" s="250">
        <v>36117</v>
      </c>
      <c r="B15316" s="74" t="s">
        <v>1821</v>
      </c>
      <c r="C15316" s="74" t="s">
        <v>412</v>
      </c>
    </row>
    <row r="15317" spans="1:3">
      <c r="A15317" s="250">
        <v>36118</v>
      </c>
      <c r="B15317" s="74" t="s">
        <v>1821</v>
      </c>
      <c r="C15317" s="74" t="s">
        <v>412</v>
      </c>
    </row>
    <row r="15318" spans="1:3">
      <c r="A15318" s="250">
        <v>36119</v>
      </c>
      <c r="B15318" s="74" t="s">
        <v>1821</v>
      </c>
      <c r="C15318" s="74" t="s">
        <v>412</v>
      </c>
    </row>
    <row r="15319" spans="1:3">
      <c r="A15319" s="250">
        <v>36120</v>
      </c>
      <c r="B15319" s="74" t="s">
        <v>1821</v>
      </c>
      <c r="C15319" s="74" t="s">
        <v>412</v>
      </c>
    </row>
    <row r="15320" spans="1:3">
      <c r="A15320" s="250">
        <v>36121</v>
      </c>
      <c r="B15320" s="74" t="s">
        <v>1821</v>
      </c>
      <c r="C15320" s="74" t="s">
        <v>412</v>
      </c>
    </row>
    <row r="15321" spans="1:3">
      <c r="A15321" s="250">
        <v>36123</v>
      </c>
      <c r="B15321" s="74" t="s">
        <v>1821</v>
      </c>
      <c r="C15321" s="74" t="s">
        <v>412</v>
      </c>
    </row>
    <row r="15322" spans="1:3">
      <c r="A15322" s="250">
        <v>36124</v>
      </c>
      <c r="B15322" s="74" t="s">
        <v>1821</v>
      </c>
      <c r="C15322" s="74" t="s">
        <v>412</v>
      </c>
    </row>
    <row r="15323" spans="1:3">
      <c r="A15323" s="250">
        <v>36125</v>
      </c>
      <c r="B15323" s="74" t="s">
        <v>1821</v>
      </c>
      <c r="C15323" s="74" t="s">
        <v>412</v>
      </c>
    </row>
    <row r="15324" spans="1:3">
      <c r="A15324" s="250">
        <v>36130</v>
      </c>
      <c r="B15324" s="74" t="s">
        <v>1821</v>
      </c>
      <c r="C15324" s="74" t="s">
        <v>412</v>
      </c>
    </row>
    <row r="15325" spans="1:3">
      <c r="A15325" s="250">
        <v>36131</v>
      </c>
      <c r="B15325" s="74" t="s">
        <v>1821</v>
      </c>
      <c r="C15325" s="74" t="s">
        <v>412</v>
      </c>
    </row>
    <row r="15326" spans="1:3">
      <c r="A15326" s="250">
        <v>36132</v>
      </c>
      <c r="B15326" s="74" t="s">
        <v>1821</v>
      </c>
      <c r="C15326" s="74" t="s">
        <v>412</v>
      </c>
    </row>
    <row r="15327" spans="1:3">
      <c r="A15327" s="250">
        <v>36133</v>
      </c>
      <c r="B15327" s="74" t="s">
        <v>1821</v>
      </c>
      <c r="C15327" s="74" t="s">
        <v>412</v>
      </c>
    </row>
    <row r="15328" spans="1:3">
      <c r="A15328" s="250">
        <v>36134</v>
      </c>
      <c r="B15328" s="74" t="s">
        <v>1821</v>
      </c>
      <c r="C15328" s="74" t="s">
        <v>412</v>
      </c>
    </row>
    <row r="15329" spans="1:3">
      <c r="A15329" s="250">
        <v>36135</v>
      </c>
      <c r="B15329" s="74" t="s">
        <v>1821</v>
      </c>
      <c r="C15329" s="74" t="s">
        <v>412</v>
      </c>
    </row>
    <row r="15330" spans="1:3">
      <c r="A15330" s="250">
        <v>36140</v>
      </c>
      <c r="B15330" s="74" t="s">
        <v>1821</v>
      </c>
      <c r="C15330" s="74" t="s">
        <v>412</v>
      </c>
    </row>
    <row r="15331" spans="1:3">
      <c r="A15331" s="250">
        <v>36141</v>
      </c>
      <c r="B15331" s="74" t="s">
        <v>1821</v>
      </c>
      <c r="C15331" s="74" t="s">
        <v>412</v>
      </c>
    </row>
    <row r="15332" spans="1:3">
      <c r="A15332" s="250">
        <v>36142</v>
      </c>
      <c r="B15332" s="74" t="s">
        <v>1821</v>
      </c>
      <c r="C15332" s="74" t="s">
        <v>412</v>
      </c>
    </row>
    <row r="15333" spans="1:3">
      <c r="A15333" s="250">
        <v>36177</v>
      </c>
      <c r="B15333" s="74" t="s">
        <v>1821</v>
      </c>
      <c r="C15333" s="74" t="s">
        <v>412</v>
      </c>
    </row>
    <row r="15334" spans="1:3">
      <c r="A15334" s="250">
        <v>36191</v>
      </c>
      <c r="B15334" s="74" t="s">
        <v>1821</v>
      </c>
      <c r="C15334" s="74" t="s">
        <v>412</v>
      </c>
    </row>
    <row r="15335" spans="1:3">
      <c r="A15335" s="250">
        <v>36201</v>
      </c>
      <c r="B15335" s="74" t="s">
        <v>8824</v>
      </c>
      <c r="C15335" s="74" t="s">
        <v>412</v>
      </c>
    </row>
    <row r="15336" spans="1:3">
      <c r="A15336" s="250">
        <v>36202</v>
      </c>
      <c r="B15336" s="74" t="s">
        <v>8824</v>
      </c>
      <c r="C15336" s="74" t="s">
        <v>412</v>
      </c>
    </row>
    <row r="15337" spans="1:3">
      <c r="A15337" s="250">
        <v>36203</v>
      </c>
      <c r="B15337" s="74" t="s">
        <v>754</v>
      </c>
      <c r="C15337" s="74" t="s">
        <v>412</v>
      </c>
    </row>
    <row r="15338" spans="1:3">
      <c r="A15338" s="250">
        <v>36204</v>
      </c>
      <c r="B15338" s="74" t="s">
        <v>8824</v>
      </c>
      <c r="C15338" s="74" t="s">
        <v>412</v>
      </c>
    </row>
    <row r="15339" spans="1:3">
      <c r="A15339" s="250">
        <v>36205</v>
      </c>
      <c r="B15339" s="74" t="s">
        <v>8824</v>
      </c>
      <c r="C15339" s="74" t="s">
        <v>412</v>
      </c>
    </row>
    <row r="15340" spans="1:3">
      <c r="A15340" s="250">
        <v>36206</v>
      </c>
      <c r="B15340" s="74" t="s">
        <v>8824</v>
      </c>
      <c r="C15340" s="74" t="s">
        <v>412</v>
      </c>
    </row>
    <row r="15341" spans="1:3">
      <c r="A15341" s="250">
        <v>36207</v>
      </c>
      <c r="B15341" s="74" t="s">
        <v>8824</v>
      </c>
      <c r="C15341" s="74" t="s">
        <v>412</v>
      </c>
    </row>
    <row r="15342" spans="1:3">
      <c r="A15342" s="250">
        <v>36210</v>
      </c>
      <c r="B15342" s="74" t="s">
        <v>8824</v>
      </c>
      <c r="C15342" s="74" t="s">
        <v>412</v>
      </c>
    </row>
    <row r="15343" spans="1:3">
      <c r="A15343" s="250">
        <v>36250</v>
      </c>
      <c r="B15343" s="74" t="s">
        <v>4530</v>
      </c>
      <c r="C15343" s="74" t="s">
        <v>412</v>
      </c>
    </row>
    <row r="15344" spans="1:3">
      <c r="A15344" s="250">
        <v>36251</v>
      </c>
      <c r="B15344" s="74" t="s">
        <v>782</v>
      </c>
      <c r="C15344" s="74" t="s">
        <v>412</v>
      </c>
    </row>
    <row r="15345" spans="1:3">
      <c r="A15345" s="250">
        <v>36253</v>
      </c>
      <c r="B15345" s="74" t="s">
        <v>7089</v>
      </c>
      <c r="C15345" s="74" t="s">
        <v>412</v>
      </c>
    </row>
    <row r="15346" spans="1:3">
      <c r="A15346" s="250">
        <v>36254</v>
      </c>
      <c r="B15346" s="74" t="s">
        <v>8825</v>
      </c>
      <c r="C15346" s="74" t="s">
        <v>412</v>
      </c>
    </row>
    <row r="15347" spans="1:3">
      <c r="A15347" s="250">
        <v>36255</v>
      </c>
      <c r="B15347" s="74" t="s">
        <v>8826</v>
      </c>
      <c r="C15347" s="74" t="s">
        <v>412</v>
      </c>
    </row>
    <row r="15348" spans="1:3">
      <c r="A15348" s="250">
        <v>36256</v>
      </c>
      <c r="B15348" s="74" t="s">
        <v>8827</v>
      </c>
      <c r="C15348" s="74" t="s">
        <v>412</v>
      </c>
    </row>
    <row r="15349" spans="1:3">
      <c r="A15349" s="250">
        <v>36257</v>
      </c>
      <c r="B15349" s="74" t="s">
        <v>8828</v>
      </c>
      <c r="C15349" s="74" t="s">
        <v>412</v>
      </c>
    </row>
    <row r="15350" spans="1:3">
      <c r="A15350" s="250">
        <v>36258</v>
      </c>
      <c r="B15350" s="74" t="s">
        <v>4813</v>
      </c>
      <c r="C15350" s="74" t="s">
        <v>412</v>
      </c>
    </row>
    <row r="15351" spans="1:3">
      <c r="A15351" s="250">
        <v>36260</v>
      </c>
      <c r="B15351" s="74" t="s">
        <v>8829</v>
      </c>
      <c r="C15351" s="74" t="s">
        <v>412</v>
      </c>
    </row>
    <row r="15352" spans="1:3">
      <c r="A15352" s="250">
        <v>36261</v>
      </c>
      <c r="B15352" s="74" t="s">
        <v>5892</v>
      </c>
      <c r="C15352" s="74" t="s">
        <v>412</v>
      </c>
    </row>
    <row r="15353" spans="1:3">
      <c r="A15353" s="250">
        <v>36262</v>
      </c>
      <c r="B15353" s="74" t="s">
        <v>8830</v>
      </c>
      <c r="C15353" s="74" t="s">
        <v>412</v>
      </c>
    </row>
    <row r="15354" spans="1:3">
      <c r="A15354" s="250">
        <v>36263</v>
      </c>
      <c r="B15354" s="74" t="s">
        <v>7098</v>
      </c>
      <c r="C15354" s="74" t="s">
        <v>412</v>
      </c>
    </row>
    <row r="15355" spans="1:3">
      <c r="A15355" s="250">
        <v>36264</v>
      </c>
      <c r="B15355" s="74" t="s">
        <v>8831</v>
      </c>
      <c r="C15355" s="74" t="s">
        <v>412</v>
      </c>
    </row>
    <row r="15356" spans="1:3">
      <c r="A15356" s="250">
        <v>36265</v>
      </c>
      <c r="B15356" s="74" t="s">
        <v>1782</v>
      </c>
      <c r="C15356" s="74" t="s">
        <v>412</v>
      </c>
    </row>
    <row r="15357" spans="1:3">
      <c r="A15357" s="250">
        <v>36266</v>
      </c>
      <c r="B15357" s="74" t="s">
        <v>8832</v>
      </c>
      <c r="C15357" s="74" t="s">
        <v>412</v>
      </c>
    </row>
    <row r="15358" spans="1:3">
      <c r="A15358" s="250">
        <v>36267</v>
      </c>
      <c r="B15358" s="74" t="s">
        <v>8833</v>
      </c>
      <c r="C15358" s="74" t="s">
        <v>412</v>
      </c>
    </row>
    <row r="15359" spans="1:3">
      <c r="A15359" s="250">
        <v>36268</v>
      </c>
      <c r="B15359" s="74" t="s">
        <v>8834</v>
      </c>
      <c r="C15359" s="74" t="s">
        <v>412</v>
      </c>
    </row>
    <row r="15360" spans="1:3">
      <c r="A15360" s="250">
        <v>36269</v>
      </c>
      <c r="B15360" s="74" t="s">
        <v>8835</v>
      </c>
      <c r="C15360" s="74" t="s">
        <v>412</v>
      </c>
    </row>
    <row r="15361" spans="1:3">
      <c r="A15361" s="250">
        <v>36271</v>
      </c>
      <c r="B15361" s="74" t="s">
        <v>8836</v>
      </c>
      <c r="C15361" s="74" t="s">
        <v>412</v>
      </c>
    </row>
    <row r="15362" spans="1:3">
      <c r="A15362" s="250">
        <v>36272</v>
      </c>
      <c r="B15362" s="74" t="s">
        <v>7028</v>
      </c>
      <c r="C15362" s="74" t="s">
        <v>412</v>
      </c>
    </row>
    <row r="15363" spans="1:3">
      <c r="A15363" s="250">
        <v>36273</v>
      </c>
      <c r="B15363" s="74" t="s">
        <v>8837</v>
      </c>
      <c r="C15363" s="74" t="s">
        <v>412</v>
      </c>
    </row>
    <row r="15364" spans="1:3">
      <c r="A15364" s="250">
        <v>36274</v>
      </c>
      <c r="B15364" s="74" t="s">
        <v>6252</v>
      </c>
      <c r="C15364" s="74" t="s">
        <v>412</v>
      </c>
    </row>
    <row r="15365" spans="1:3">
      <c r="A15365" s="250">
        <v>36275</v>
      </c>
      <c r="B15365" s="74" t="s">
        <v>8838</v>
      </c>
      <c r="C15365" s="74" t="s">
        <v>412</v>
      </c>
    </row>
    <row r="15366" spans="1:3">
      <c r="A15366" s="250">
        <v>36276</v>
      </c>
      <c r="B15366" s="74" t="s">
        <v>7959</v>
      </c>
      <c r="C15366" s="74" t="s">
        <v>412</v>
      </c>
    </row>
    <row r="15367" spans="1:3">
      <c r="A15367" s="250">
        <v>36277</v>
      </c>
      <c r="B15367" s="74" t="s">
        <v>8839</v>
      </c>
      <c r="C15367" s="74" t="s">
        <v>412</v>
      </c>
    </row>
    <row r="15368" spans="1:3">
      <c r="A15368" s="250">
        <v>36278</v>
      </c>
      <c r="B15368" s="74" t="s">
        <v>8840</v>
      </c>
      <c r="C15368" s="74" t="s">
        <v>412</v>
      </c>
    </row>
    <row r="15369" spans="1:3">
      <c r="A15369" s="250">
        <v>36279</v>
      </c>
      <c r="B15369" s="74" t="s">
        <v>8439</v>
      </c>
      <c r="C15369" s="74" t="s">
        <v>412</v>
      </c>
    </row>
    <row r="15370" spans="1:3">
      <c r="A15370" s="250">
        <v>36280</v>
      </c>
      <c r="B15370" s="74" t="s">
        <v>4660</v>
      </c>
      <c r="C15370" s="74" t="s">
        <v>412</v>
      </c>
    </row>
    <row r="15371" spans="1:3">
      <c r="A15371" s="250">
        <v>36301</v>
      </c>
      <c r="B15371" s="74" t="s">
        <v>6788</v>
      </c>
      <c r="C15371" s="74" t="s">
        <v>412</v>
      </c>
    </row>
    <row r="15372" spans="1:3">
      <c r="A15372" s="250">
        <v>36302</v>
      </c>
      <c r="B15372" s="74" t="s">
        <v>6788</v>
      </c>
      <c r="C15372" s="74" t="s">
        <v>412</v>
      </c>
    </row>
    <row r="15373" spans="1:3">
      <c r="A15373" s="250">
        <v>36303</v>
      </c>
      <c r="B15373" s="74" t="s">
        <v>6788</v>
      </c>
      <c r="C15373" s="74" t="s">
        <v>412</v>
      </c>
    </row>
    <row r="15374" spans="1:3">
      <c r="A15374" s="250">
        <v>36304</v>
      </c>
      <c r="B15374" s="74" t="s">
        <v>6788</v>
      </c>
      <c r="C15374" s="74" t="s">
        <v>412</v>
      </c>
    </row>
    <row r="15375" spans="1:3">
      <c r="A15375" s="250">
        <v>36305</v>
      </c>
      <c r="B15375" s="74" t="s">
        <v>6788</v>
      </c>
      <c r="C15375" s="74" t="s">
        <v>412</v>
      </c>
    </row>
    <row r="15376" spans="1:3">
      <c r="A15376" s="250">
        <v>36310</v>
      </c>
      <c r="B15376" s="74" t="s">
        <v>7763</v>
      </c>
      <c r="C15376" s="74" t="s">
        <v>412</v>
      </c>
    </row>
    <row r="15377" spans="1:3">
      <c r="A15377" s="250">
        <v>36311</v>
      </c>
      <c r="B15377" s="74" t="s">
        <v>8841</v>
      </c>
      <c r="C15377" s="74" t="s">
        <v>412</v>
      </c>
    </row>
    <row r="15378" spans="1:3">
      <c r="A15378" s="250">
        <v>36312</v>
      </c>
      <c r="B15378" s="74" t="s">
        <v>2007</v>
      </c>
      <c r="C15378" s="74" t="s">
        <v>412</v>
      </c>
    </row>
    <row r="15379" spans="1:3">
      <c r="A15379" s="250">
        <v>36313</v>
      </c>
      <c r="B15379" s="74" t="s">
        <v>4532</v>
      </c>
      <c r="C15379" s="74" t="s">
        <v>412</v>
      </c>
    </row>
    <row r="15380" spans="1:3">
      <c r="A15380" s="250">
        <v>36314</v>
      </c>
      <c r="B15380" s="74" t="s">
        <v>8842</v>
      </c>
      <c r="C15380" s="74" t="s">
        <v>412</v>
      </c>
    </row>
    <row r="15381" spans="1:3">
      <c r="A15381" s="250">
        <v>36316</v>
      </c>
      <c r="B15381" s="74" t="s">
        <v>8843</v>
      </c>
      <c r="C15381" s="74" t="s">
        <v>412</v>
      </c>
    </row>
    <row r="15382" spans="1:3">
      <c r="A15382" s="250">
        <v>36317</v>
      </c>
      <c r="B15382" s="74" t="s">
        <v>8844</v>
      </c>
      <c r="C15382" s="74" t="s">
        <v>412</v>
      </c>
    </row>
    <row r="15383" spans="1:3">
      <c r="A15383" s="250">
        <v>36318</v>
      </c>
      <c r="B15383" s="74" t="s">
        <v>8845</v>
      </c>
      <c r="C15383" s="74" t="s">
        <v>412</v>
      </c>
    </row>
    <row r="15384" spans="1:3">
      <c r="A15384" s="250">
        <v>36319</v>
      </c>
      <c r="B15384" s="74" t="s">
        <v>1985</v>
      </c>
      <c r="C15384" s="74" t="s">
        <v>412</v>
      </c>
    </row>
    <row r="15385" spans="1:3">
      <c r="A15385" s="250">
        <v>36320</v>
      </c>
      <c r="B15385" s="74" t="s">
        <v>8846</v>
      </c>
      <c r="C15385" s="74" t="s">
        <v>412</v>
      </c>
    </row>
    <row r="15386" spans="1:3">
      <c r="A15386" s="250">
        <v>36321</v>
      </c>
      <c r="B15386" s="74" t="s">
        <v>8847</v>
      </c>
      <c r="C15386" s="74" t="s">
        <v>412</v>
      </c>
    </row>
    <row r="15387" spans="1:3">
      <c r="A15387" s="250">
        <v>36322</v>
      </c>
      <c r="B15387" s="74" t="s">
        <v>6268</v>
      </c>
      <c r="C15387" s="74" t="s">
        <v>412</v>
      </c>
    </row>
    <row r="15388" spans="1:3">
      <c r="A15388" s="250">
        <v>36323</v>
      </c>
      <c r="B15388" s="74" t="s">
        <v>3701</v>
      </c>
      <c r="C15388" s="74" t="s">
        <v>412</v>
      </c>
    </row>
    <row r="15389" spans="1:3">
      <c r="A15389" s="250">
        <v>36330</v>
      </c>
      <c r="B15389" s="74" t="s">
        <v>6981</v>
      </c>
      <c r="C15389" s="74" t="s">
        <v>412</v>
      </c>
    </row>
    <row r="15390" spans="1:3">
      <c r="A15390" s="250">
        <v>36331</v>
      </c>
      <c r="B15390" s="74" t="s">
        <v>6981</v>
      </c>
      <c r="C15390" s="74" t="s">
        <v>412</v>
      </c>
    </row>
    <row r="15391" spans="1:3">
      <c r="A15391" s="250">
        <v>36340</v>
      </c>
      <c r="B15391" s="74" t="s">
        <v>3776</v>
      </c>
      <c r="C15391" s="74" t="s">
        <v>412</v>
      </c>
    </row>
    <row r="15392" spans="1:3">
      <c r="A15392" s="250">
        <v>36343</v>
      </c>
      <c r="B15392" s="74" t="s">
        <v>4995</v>
      </c>
      <c r="C15392" s="74" t="s">
        <v>412</v>
      </c>
    </row>
    <row r="15393" spans="1:3">
      <c r="A15393" s="250">
        <v>36344</v>
      </c>
      <c r="B15393" s="74" t="s">
        <v>1737</v>
      </c>
      <c r="C15393" s="74" t="s">
        <v>412</v>
      </c>
    </row>
    <row r="15394" spans="1:3">
      <c r="A15394" s="250">
        <v>36345</v>
      </c>
      <c r="B15394" s="74" t="s">
        <v>8848</v>
      </c>
      <c r="C15394" s="74" t="s">
        <v>412</v>
      </c>
    </row>
    <row r="15395" spans="1:3">
      <c r="A15395" s="250">
        <v>36346</v>
      </c>
      <c r="B15395" s="74" t="s">
        <v>8849</v>
      </c>
      <c r="C15395" s="74" t="s">
        <v>412</v>
      </c>
    </row>
    <row r="15396" spans="1:3">
      <c r="A15396" s="250">
        <v>36349</v>
      </c>
      <c r="B15396" s="74" t="s">
        <v>5391</v>
      </c>
      <c r="C15396" s="74" t="s">
        <v>412</v>
      </c>
    </row>
    <row r="15397" spans="1:3">
      <c r="A15397" s="250">
        <v>36350</v>
      </c>
      <c r="B15397" s="74" t="s">
        <v>8850</v>
      </c>
      <c r="C15397" s="74" t="s">
        <v>412</v>
      </c>
    </row>
    <row r="15398" spans="1:3">
      <c r="A15398" s="250">
        <v>36351</v>
      </c>
      <c r="B15398" s="74" t="s">
        <v>8851</v>
      </c>
      <c r="C15398" s="74" t="s">
        <v>412</v>
      </c>
    </row>
    <row r="15399" spans="1:3">
      <c r="A15399" s="250">
        <v>36352</v>
      </c>
      <c r="B15399" s="74" t="s">
        <v>973</v>
      </c>
      <c r="C15399" s="74" t="s">
        <v>412</v>
      </c>
    </row>
    <row r="15400" spans="1:3">
      <c r="A15400" s="250">
        <v>36353</v>
      </c>
      <c r="B15400" s="74" t="s">
        <v>4780</v>
      </c>
      <c r="C15400" s="74" t="s">
        <v>412</v>
      </c>
    </row>
    <row r="15401" spans="1:3">
      <c r="A15401" s="250">
        <v>36360</v>
      </c>
      <c r="B15401" s="74" t="s">
        <v>8852</v>
      </c>
      <c r="C15401" s="74" t="s">
        <v>412</v>
      </c>
    </row>
    <row r="15402" spans="1:3">
      <c r="A15402" s="250">
        <v>36361</v>
      </c>
      <c r="B15402" s="74" t="s">
        <v>8852</v>
      </c>
      <c r="C15402" s="74" t="s">
        <v>412</v>
      </c>
    </row>
    <row r="15403" spans="1:3">
      <c r="A15403" s="250">
        <v>36362</v>
      </c>
      <c r="B15403" s="74" t="s">
        <v>8853</v>
      </c>
      <c r="C15403" s="74" t="s">
        <v>412</v>
      </c>
    </row>
    <row r="15404" spans="1:3">
      <c r="A15404" s="250">
        <v>36370</v>
      </c>
      <c r="B15404" s="74" t="s">
        <v>8854</v>
      </c>
      <c r="C15404" s="74" t="s">
        <v>412</v>
      </c>
    </row>
    <row r="15405" spans="1:3">
      <c r="A15405" s="250">
        <v>36371</v>
      </c>
      <c r="B15405" s="74" t="s">
        <v>8855</v>
      </c>
      <c r="C15405" s="74" t="s">
        <v>412</v>
      </c>
    </row>
    <row r="15406" spans="1:3">
      <c r="A15406" s="250">
        <v>36373</v>
      </c>
      <c r="B15406" s="74" t="s">
        <v>8856</v>
      </c>
      <c r="C15406" s="74" t="s">
        <v>412</v>
      </c>
    </row>
    <row r="15407" spans="1:3">
      <c r="A15407" s="250">
        <v>36374</v>
      </c>
      <c r="B15407" s="74" t="s">
        <v>8857</v>
      </c>
      <c r="C15407" s="74" t="s">
        <v>412</v>
      </c>
    </row>
    <row r="15408" spans="1:3">
      <c r="A15408" s="250">
        <v>36375</v>
      </c>
      <c r="B15408" s="74" t="s">
        <v>8858</v>
      </c>
      <c r="C15408" s="74" t="s">
        <v>412</v>
      </c>
    </row>
    <row r="15409" spans="1:3">
      <c r="A15409" s="250">
        <v>36376</v>
      </c>
      <c r="B15409" s="74" t="s">
        <v>8859</v>
      </c>
      <c r="C15409" s="74" t="s">
        <v>412</v>
      </c>
    </row>
    <row r="15410" spans="1:3">
      <c r="A15410" s="250">
        <v>36401</v>
      </c>
      <c r="B15410" s="74" t="s">
        <v>6233</v>
      </c>
      <c r="C15410" s="74" t="s">
        <v>412</v>
      </c>
    </row>
    <row r="15411" spans="1:3">
      <c r="A15411" s="250">
        <v>36420</v>
      </c>
      <c r="B15411" s="74" t="s">
        <v>8860</v>
      </c>
      <c r="C15411" s="74" t="s">
        <v>412</v>
      </c>
    </row>
    <row r="15412" spans="1:3">
      <c r="A15412" s="250">
        <v>36421</v>
      </c>
      <c r="B15412" s="74" t="s">
        <v>8860</v>
      </c>
      <c r="C15412" s="74" t="s">
        <v>412</v>
      </c>
    </row>
    <row r="15413" spans="1:3">
      <c r="A15413" s="250">
        <v>36425</v>
      </c>
      <c r="B15413" s="74" t="s">
        <v>8861</v>
      </c>
      <c r="C15413" s="74" t="s">
        <v>412</v>
      </c>
    </row>
    <row r="15414" spans="1:3">
      <c r="A15414" s="250">
        <v>36426</v>
      </c>
      <c r="B15414" s="74" t="s">
        <v>8862</v>
      </c>
      <c r="C15414" s="74" t="s">
        <v>412</v>
      </c>
    </row>
    <row r="15415" spans="1:3">
      <c r="A15415" s="250">
        <v>36427</v>
      </c>
      <c r="B15415" s="74" t="s">
        <v>8862</v>
      </c>
      <c r="C15415" s="74" t="s">
        <v>412</v>
      </c>
    </row>
    <row r="15416" spans="1:3">
      <c r="A15416" s="250">
        <v>36429</v>
      </c>
      <c r="B15416" s="74" t="s">
        <v>1983</v>
      </c>
      <c r="C15416" s="74" t="s">
        <v>412</v>
      </c>
    </row>
    <row r="15417" spans="1:3">
      <c r="A15417" s="250">
        <v>36432</v>
      </c>
      <c r="B15417" s="74" t="s">
        <v>8863</v>
      </c>
      <c r="C15417" s="74" t="s">
        <v>412</v>
      </c>
    </row>
    <row r="15418" spans="1:3">
      <c r="A15418" s="250">
        <v>36435</v>
      </c>
      <c r="B15418" s="74" t="s">
        <v>8864</v>
      </c>
      <c r="C15418" s="74" t="s">
        <v>412</v>
      </c>
    </row>
    <row r="15419" spans="1:3">
      <c r="A15419" s="250">
        <v>36436</v>
      </c>
      <c r="B15419" s="74" t="s">
        <v>8865</v>
      </c>
      <c r="C15419" s="74" t="s">
        <v>412</v>
      </c>
    </row>
    <row r="15420" spans="1:3">
      <c r="A15420" s="250">
        <v>36439</v>
      </c>
      <c r="B15420" s="74" t="s">
        <v>8866</v>
      </c>
      <c r="C15420" s="74" t="s">
        <v>412</v>
      </c>
    </row>
    <row r="15421" spans="1:3">
      <c r="A15421" s="250">
        <v>36441</v>
      </c>
      <c r="B15421" s="74" t="s">
        <v>8867</v>
      </c>
      <c r="C15421" s="74" t="s">
        <v>412</v>
      </c>
    </row>
    <row r="15422" spans="1:3">
      <c r="A15422" s="250">
        <v>36442</v>
      </c>
      <c r="B15422" s="74" t="s">
        <v>8868</v>
      </c>
      <c r="C15422" s="74" t="s">
        <v>412</v>
      </c>
    </row>
    <row r="15423" spans="1:3">
      <c r="A15423" s="250">
        <v>36444</v>
      </c>
      <c r="B15423" s="74" t="s">
        <v>873</v>
      </c>
      <c r="C15423" s="74" t="s">
        <v>412</v>
      </c>
    </row>
    <row r="15424" spans="1:3">
      <c r="A15424" s="250">
        <v>36445</v>
      </c>
      <c r="B15424" s="74" t="s">
        <v>8869</v>
      </c>
      <c r="C15424" s="74" t="s">
        <v>412</v>
      </c>
    </row>
    <row r="15425" spans="1:3">
      <c r="A15425" s="250">
        <v>36446</v>
      </c>
      <c r="B15425" s="74" t="s">
        <v>3365</v>
      </c>
      <c r="C15425" s="74" t="s">
        <v>412</v>
      </c>
    </row>
    <row r="15426" spans="1:3">
      <c r="A15426" s="250">
        <v>36449</v>
      </c>
      <c r="B15426" s="74" t="s">
        <v>8870</v>
      </c>
      <c r="C15426" s="74" t="s">
        <v>412</v>
      </c>
    </row>
    <row r="15427" spans="1:3">
      <c r="A15427" s="250">
        <v>36451</v>
      </c>
      <c r="B15427" s="74" t="s">
        <v>8871</v>
      </c>
      <c r="C15427" s="74" t="s">
        <v>412</v>
      </c>
    </row>
    <row r="15428" spans="1:3">
      <c r="A15428" s="250">
        <v>36453</v>
      </c>
      <c r="B15428" s="74" t="s">
        <v>7423</v>
      </c>
      <c r="C15428" s="74" t="s">
        <v>412</v>
      </c>
    </row>
    <row r="15429" spans="1:3">
      <c r="A15429" s="250">
        <v>36454</v>
      </c>
      <c r="B15429" s="74" t="s">
        <v>650</v>
      </c>
      <c r="C15429" s="74" t="s">
        <v>412</v>
      </c>
    </row>
    <row r="15430" spans="1:3">
      <c r="A15430" s="250">
        <v>36455</v>
      </c>
      <c r="B15430" s="74" t="s">
        <v>7679</v>
      </c>
      <c r="C15430" s="74" t="s">
        <v>412</v>
      </c>
    </row>
    <row r="15431" spans="1:3">
      <c r="A15431" s="250">
        <v>36456</v>
      </c>
      <c r="B15431" s="74" t="s">
        <v>8872</v>
      </c>
      <c r="C15431" s="74" t="s">
        <v>412</v>
      </c>
    </row>
    <row r="15432" spans="1:3">
      <c r="A15432" s="250">
        <v>36457</v>
      </c>
      <c r="B15432" s="74" t="s">
        <v>8873</v>
      </c>
      <c r="C15432" s="74" t="s">
        <v>412</v>
      </c>
    </row>
    <row r="15433" spans="1:3">
      <c r="A15433" s="250">
        <v>36458</v>
      </c>
      <c r="B15433" s="74" t="s">
        <v>8874</v>
      </c>
      <c r="C15433" s="74" t="s">
        <v>412</v>
      </c>
    </row>
    <row r="15434" spans="1:3">
      <c r="A15434" s="250">
        <v>36460</v>
      </c>
      <c r="B15434" s="74" t="s">
        <v>2495</v>
      </c>
      <c r="C15434" s="74" t="s">
        <v>412</v>
      </c>
    </row>
    <row r="15435" spans="1:3">
      <c r="A15435" s="250">
        <v>36461</v>
      </c>
      <c r="B15435" s="74" t="s">
        <v>2495</v>
      </c>
      <c r="C15435" s="74" t="s">
        <v>412</v>
      </c>
    </row>
    <row r="15436" spans="1:3">
      <c r="A15436" s="250">
        <v>36462</v>
      </c>
      <c r="B15436" s="74" t="s">
        <v>2495</v>
      </c>
      <c r="C15436" s="74" t="s">
        <v>412</v>
      </c>
    </row>
    <row r="15437" spans="1:3">
      <c r="A15437" s="250">
        <v>36467</v>
      </c>
      <c r="B15437" s="74" t="s">
        <v>8875</v>
      </c>
      <c r="C15437" s="74" t="s">
        <v>412</v>
      </c>
    </row>
    <row r="15438" spans="1:3">
      <c r="A15438" s="250">
        <v>36470</v>
      </c>
      <c r="B15438" s="74" t="s">
        <v>8876</v>
      </c>
      <c r="C15438" s="74" t="s">
        <v>412</v>
      </c>
    </row>
    <row r="15439" spans="1:3">
      <c r="A15439" s="250">
        <v>36471</v>
      </c>
      <c r="B15439" s="74" t="s">
        <v>8877</v>
      </c>
      <c r="C15439" s="74" t="s">
        <v>412</v>
      </c>
    </row>
    <row r="15440" spans="1:3">
      <c r="A15440" s="250">
        <v>36473</v>
      </c>
      <c r="B15440" s="74" t="s">
        <v>8878</v>
      </c>
      <c r="C15440" s="74" t="s">
        <v>412</v>
      </c>
    </row>
    <row r="15441" spans="1:3">
      <c r="A15441" s="250">
        <v>36474</v>
      </c>
      <c r="B15441" s="74" t="s">
        <v>8879</v>
      </c>
      <c r="C15441" s="74" t="s">
        <v>412</v>
      </c>
    </row>
    <row r="15442" spans="1:3">
      <c r="A15442" s="250">
        <v>36475</v>
      </c>
      <c r="B15442" s="74" t="s">
        <v>8880</v>
      </c>
      <c r="C15442" s="74" t="s">
        <v>412</v>
      </c>
    </row>
    <row r="15443" spans="1:3">
      <c r="A15443" s="250">
        <v>36476</v>
      </c>
      <c r="B15443" s="74" t="s">
        <v>8881</v>
      </c>
      <c r="C15443" s="74" t="s">
        <v>412</v>
      </c>
    </row>
    <row r="15444" spans="1:3">
      <c r="A15444" s="250">
        <v>36477</v>
      </c>
      <c r="B15444" s="74" t="s">
        <v>8882</v>
      </c>
      <c r="C15444" s="74" t="s">
        <v>412</v>
      </c>
    </row>
    <row r="15445" spans="1:3">
      <c r="A15445" s="250">
        <v>36480</v>
      </c>
      <c r="B15445" s="74" t="s">
        <v>8883</v>
      </c>
      <c r="C15445" s="74" t="s">
        <v>412</v>
      </c>
    </row>
    <row r="15446" spans="1:3">
      <c r="A15446" s="250">
        <v>36481</v>
      </c>
      <c r="B15446" s="74" t="s">
        <v>8884</v>
      </c>
      <c r="C15446" s="74" t="s">
        <v>412</v>
      </c>
    </row>
    <row r="15447" spans="1:3">
      <c r="A15447" s="250">
        <v>36482</v>
      </c>
      <c r="B15447" s="74" t="s">
        <v>8885</v>
      </c>
      <c r="C15447" s="74" t="s">
        <v>412</v>
      </c>
    </row>
    <row r="15448" spans="1:3">
      <c r="A15448" s="250">
        <v>36483</v>
      </c>
      <c r="B15448" s="74" t="s">
        <v>8886</v>
      </c>
      <c r="C15448" s="74" t="s">
        <v>412</v>
      </c>
    </row>
    <row r="15449" spans="1:3">
      <c r="A15449" s="250">
        <v>36501</v>
      </c>
      <c r="B15449" s="74" t="s">
        <v>1318</v>
      </c>
      <c r="C15449" s="74" t="s">
        <v>412</v>
      </c>
    </row>
    <row r="15450" spans="1:3">
      <c r="A15450" s="250">
        <v>36502</v>
      </c>
      <c r="B15450" s="74" t="s">
        <v>8887</v>
      </c>
      <c r="C15450" s="74" t="s">
        <v>412</v>
      </c>
    </row>
    <row r="15451" spans="1:3">
      <c r="A15451" s="250">
        <v>36503</v>
      </c>
      <c r="B15451" s="74" t="s">
        <v>8887</v>
      </c>
      <c r="C15451" s="74" t="s">
        <v>412</v>
      </c>
    </row>
    <row r="15452" spans="1:3">
      <c r="A15452" s="250">
        <v>36504</v>
      </c>
      <c r="B15452" s="74" t="s">
        <v>8887</v>
      </c>
      <c r="C15452" s="74" t="s">
        <v>412</v>
      </c>
    </row>
    <row r="15453" spans="1:3">
      <c r="A15453" s="250">
        <v>36505</v>
      </c>
      <c r="B15453" s="74" t="s">
        <v>8888</v>
      </c>
      <c r="C15453" s="74" t="s">
        <v>412</v>
      </c>
    </row>
    <row r="15454" spans="1:3">
      <c r="A15454" s="250">
        <v>36507</v>
      </c>
      <c r="B15454" s="74" t="s">
        <v>8889</v>
      </c>
      <c r="C15454" s="74" t="s">
        <v>412</v>
      </c>
    </row>
    <row r="15455" spans="1:3">
      <c r="A15455" s="250">
        <v>36509</v>
      </c>
      <c r="B15455" s="74" t="s">
        <v>8890</v>
      </c>
      <c r="C15455" s="74" t="s">
        <v>412</v>
      </c>
    </row>
    <row r="15456" spans="1:3">
      <c r="A15456" s="250">
        <v>36511</v>
      </c>
      <c r="B15456" s="74" t="s">
        <v>8891</v>
      </c>
      <c r="C15456" s="74" t="s">
        <v>412</v>
      </c>
    </row>
    <row r="15457" spans="1:3">
      <c r="A15457" s="250">
        <v>36512</v>
      </c>
      <c r="B15457" s="74" t="s">
        <v>8892</v>
      </c>
      <c r="C15457" s="74" t="s">
        <v>412</v>
      </c>
    </row>
    <row r="15458" spans="1:3">
      <c r="A15458" s="250">
        <v>36513</v>
      </c>
      <c r="B15458" s="74" t="s">
        <v>8893</v>
      </c>
      <c r="C15458" s="74" t="s">
        <v>412</v>
      </c>
    </row>
    <row r="15459" spans="1:3">
      <c r="A15459" s="250">
        <v>36515</v>
      </c>
      <c r="B15459" s="74" t="s">
        <v>4474</v>
      </c>
      <c r="C15459" s="74" t="s">
        <v>412</v>
      </c>
    </row>
    <row r="15460" spans="1:3">
      <c r="A15460" s="250">
        <v>36518</v>
      </c>
      <c r="B15460" s="74" t="s">
        <v>8894</v>
      </c>
      <c r="C15460" s="74" t="s">
        <v>412</v>
      </c>
    </row>
    <row r="15461" spans="1:3">
      <c r="A15461" s="250">
        <v>36521</v>
      </c>
      <c r="B15461" s="74" t="s">
        <v>8895</v>
      </c>
      <c r="C15461" s="74" t="s">
        <v>412</v>
      </c>
    </row>
    <row r="15462" spans="1:3">
      <c r="A15462" s="250">
        <v>36522</v>
      </c>
      <c r="B15462" s="74" t="s">
        <v>8896</v>
      </c>
      <c r="C15462" s="74" t="s">
        <v>412</v>
      </c>
    </row>
    <row r="15463" spans="1:3">
      <c r="A15463" s="250">
        <v>36523</v>
      </c>
      <c r="B15463" s="74" t="s">
        <v>8897</v>
      </c>
      <c r="C15463" s="74" t="s">
        <v>412</v>
      </c>
    </row>
    <row r="15464" spans="1:3">
      <c r="A15464" s="250">
        <v>36524</v>
      </c>
      <c r="B15464" s="74" t="s">
        <v>8898</v>
      </c>
      <c r="C15464" s="74" t="s">
        <v>412</v>
      </c>
    </row>
    <row r="15465" spans="1:3">
      <c r="A15465" s="250">
        <v>36525</v>
      </c>
      <c r="B15465" s="74" t="s">
        <v>8899</v>
      </c>
      <c r="C15465" s="74" t="s">
        <v>412</v>
      </c>
    </row>
    <row r="15466" spans="1:3">
      <c r="A15466" s="250">
        <v>36526</v>
      </c>
      <c r="B15466" s="74" t="s">
        <v>8900</v>
      </c>
      <c r="C15466" s="74" t="s">
        <v>412</v>
      </c>
    </row>
    <row r="15467" spans="1:3">
      <c r="A15467" s="250">
        <v>36527</v>
      </c>
      <c r="B15467" s="74" t="s">
        <v>8901</v>
      </c>
      <c r="C15467" s="74" t="s">
        <v>412</v>
      </c>
    </row>
    <row r="15468" spans="1:3">
      <c r="A15468" s="250">
        <v>36528</v>
      </c>
      <c r="B15468" s="74" t="s">
        <v>8902</v>
      </c>
      <c r="C15468" s="74" t="s">
        <v>412</v>
      </c>
    </row>
    <row r="15469" spans="1:3">
      <c r="A15469" s="250">
        <v>36529</v>
      </c>
      <c r="B15469" s="74" t="s">
        <v>2821</v>
      </c>
      <c r="C15469" s="74" t="s">
        <v>412</v>
      </c>
    </row>
    <row r="15470" spans="1:3">
      <c r="A15470" s="250">
        <v>36530</v>
      </c>
      <c r="B15470" s="74" t="s">
        <v>8903</v>
      </c>
      <c r="C15470" s="74" t="s">
        <v>412</v>
      </c>
    </row>
    <row r="15471" spans="1:3">
      <c r="A15471" s="250">
        <v>36532</v>
      </c>
      <c r="B15471" s="74" t="s">
        <v>4163</v>
      </c>
      <c r="C15471" s="74" t="s">
        <v>412</v>
      </c>
    </row>
    <row r="15472" spans="1:3">
      <c r="A15472" s="250">
        <v>36533</v>
      </c>
      <c r="B15472" s="74" t="s">
        <v>4163</v>
      </c>
      <c r="C15472" s="74" t="s">
        <v>412</v>
      </c>
    </row>
    <row r="15473" spans="1:3">
      <c r="A15473" s="250">
        <v>36535</v>
      </c>
      <c r="B15473" s="74" t="s">
        <v>8904</v>
      </c>
      <c r="C15473" s="74" t="s">
        <v>412</v>
      </c>
    </row>
    <row r="15474" spans="1:3">
      <c r="A15474" s="250">
        <v>36536</v>
      </c>
      <c r="B15474" s="74" t="s">
        <v>8904</v>
      </c>
      <c r="C15474" s="74" t="s">
        <v>412</v>
      </c>
    </row>
    <row r="15475" spans="1:3">
      <c r="A15475" s="250">
        <v>36538</v>
      </c>
      <c r="B15475" s="74" t="s">
        <v>8905</v>
      </c>
      <c r="C15475" s="74" t="s">
        <v>412</v>
      </c>
    </row>
    <row r="15476" spans="1:3">
      <c r="A15476" s="250">
        <v>36539</v>
      </c>
      <c r="B15476" s="74" t="s">
        <v>8906</v>
      </c>
      <c r="C15476" s="74" t="s">
        <v>412</v>
      </c>
    </row>
    <row r="15477" spans="1:3">
      <c r="A15477" s="250">
        <v>36540</v>
      </c>
      <c r="B15477" s="74" t="s">
        <v>8907</v>
      </c>
      <c r="C15477" s="74" t="s">
        <v>412</v>
      </c>
    </row>
    <row r="15478" spans="1:3">
      <c r="A15478" s="250">
        <v>36541</v>
      </c>
      <c r="B15478" s="74" t="s">
        <v>8908</v>
      </c>
      <c r="C15478" s="74" t="s">
        <v>412</v>
      </c>
    </row>
    <row r="15479" spans="1:3">
      <c r="A15479" s="250">
        <v>36542</v>
      </c>
      <c r="B15479" s="74" t="s">
        <v>8909</v>
      </c>
      <c r="C15479" s="74" t="s">
        <v>412</v>
      </c>
    </row>
    <row r="15480" spans="1:3">
      <c r="A15480" s="250">
        <v>36543</v>
      </c>
      <c r="B15480" s="74" t="s">
        <v>8910</v>
      </c>
      <c r="C15480" s="74" t="s">
        <v>412</v>
      </c>
    </row>
    <row r="15481" spans="1:3">
      <c r="A15481" s="250">
        <v>36544</v>
      </c>
      <c r="B15481" s="74" t="s">
        <v>2175</v>
      </c>
      <c r="C15481" s="74" t="s">
        <v>412</v>
      </c>
    </row>
    <row r="15482" spans="1:3">
      <c r="A15482" s="250">
        <v>36545</v>
      </c>
      <c r="B15482" s="74" t="s">
        <v>1318</v>
      </c>
      <c r="C15482" s="74" t="s">
        <v>412</v>
      </c>
    </row>
    <row r="15483" spans="1:3">
      <c r="A15483" s="250">
        <v>36547</v>
      </c>
      <c r="B15483" s="74" t="s">
        <v>8909</v>
      </c>
      <c r="C15483" s="74" t="s">
        <v>412</v>
      </c>
    </row>
    <row r="15484" spans="1:3">
      <c r="A15484" s="250">
        <v>36548</v>
      </c>
      <c r="B15484" s="74" t="s">
        <v>8911</v>
      </c>
      <c r="C15484" s="74" t="s">
        <v>412</v>
      </c>
    </row>
    <row r="15485" spans="1:3">
      <c r="A15485" s="250">
        <v>36549</v>
      </c>
      <c r="B15485" s="74" t="s">
        <v>8912</v>
      </c>
      <c r="C15485" s="74" t="s">
        <v>412</v>
      </c>
    </row>
    <row r="15486" spans="1:3">
      <c r="A15486" s="250">
        <v>36550</v>
      </c>
      <c r="B15486" s="74" t="s">
        <v>7744</v>
      </c>
      <c r="C15486" s="74" t="s">
        <v>412</v>
      </c>
    </row>
    <row r="15487" spans="1:3">
      <c r="A15487" s="250">
        <v>36551</v>
      </c>
      <c r="B15487" s="74" t="s">
        <v>8913</v>
      </c>
      <c r="C15487" s="74" t="s">
        <v>412</v>
      </c>
    </row>
    <row r="15488" spans="1:3">
      <c r="A15488" s="250">
        <v>36553</v>
      </c>
      <c r="B15488" s="74" t="s">
        <v>8357</v>
      </c>
      <c r="C15488" s="74" t="s">
        <v>412</v>
      </c>
    </row>
    <row r="15489" spans="1:3">
      <c r="A15489" s="250">
        <v>36555</v>
      </c>
      <c r="B15489" s="74" t="s">
        <v>8914</v>
      </c>
      <c r="C15489" s="74" t="s">
        <v>412</v>
      </c>
    </row>
    <row r="15490" spans="1:3">
      <c r="A15490" s="250">
        <v>36556</v>
      </c>
      <c r="B15490" s="74" t="s">
        <v>8915</v>
      </c>
      <c r="C15490" s="74" t="s">
        <v>412</v>
      </c>
    </row>
    <row r="15491" spans="1:3">
      <c r="A15491" s="250">
        <v>36558</v>
      </c>
      <c r="B15491" s="74" t="s">
        <v>8916</v>
      </c>
      <c r="C15491" s="74" t="s">
        <v>412</v>
      </c>
    </row>
    <row r="15492" spans="1:3">
      <c r="A15492" s="250">
        <v>36559</v>
      </c>
      <c r="B15492" s="74" t="s">
        <v>2645</v>
      </c>
      <c r="C15492" s="74" t="s">
        <v>412</v>
      </c>
    </row>
    <row r="15493" spans="1:3">
      <c r="A15493" s="250">
        <v>36560</v>
      </c>
      <c r="B15493" s="74" t="s">
        <v>1481</v>
      </c>
      <c r="C15493" s="74" t="s">
        <v>412</v>
      </c>
    </row>
    <row r="15494" spans="1:3">
      <c r="A15494" s="250">
        <v>36561</v>
      </c>
      <c r="B15494" s="74" t="s">
        <v>8917</v>
      </c>
      <c r="C15494" s="74" t="s">
        <v>412</v>
      </c>
    </row>
    <row r="15495" spans="1:3">
      <c r="A15495" s="250">
        <v>36562</v>
      </c>
      <c r="B15495" s="74" t="s">
        <v>8918</v>
      </c>
      <c r="C15495" s="74" t="s">
        <v>412</v>
      </c>
    </row>
    <row r="15496" spans="1:3">
      <c r="A15496" s="250">
        <v>36564</v>
      </c>
      <c r="B15496" s="74" t="s">
        <v>8919</v>
      </c>
      <c r="C15496" s="74" t="s">
        <v>412</v>
      </c>
    </row>
    <row r="15497" spans="1:3">
      <c r="A15497" s="250">
        <v>36567</v>
      </c>
      <c r="B15497" s="74" t="s">
        <v>4572</v>
      </c>
      <c r="C15497" s="74" t="s">
        <v>412</v>
      </c>
    </row>
    <row r="15498" spans="1:3">
      <c r="A15498" s="250">
        <v>36568</v>
      </c>
      <c r="B15498" s="74" t="s">
        <v>8920</v>
      </c>
      <c r="C15498" s="74" t="s">
        <v>412</v>
      </c>
    </row>
    <row r="15499" spans="1:3">
      <c r="A15499" s="250">
        <v>36569</v>
      </c>
      <c r="B15499" s="74" t="s">
        <v>8921</v>
      </c>
      <c r="C15499" s="74" t="s">
        <v>412</v>
      </c>
    </row>
    <row r="15500" spans="1:3">
      <c r="A15500" s="250">
        <v>36571</v>
      </c>
      <c r="B15500" s="74" t="s">
        <v>8922</v>
      </c>
      <c r="C15500" s="74" t="s">
        <v>412</v>
      </c>
    </row>
    <row r="15501" spans="1:3">
      <c r="A15501" s="250">
        <v>36572</v>
      </c>
      <c r="B15501" s="74" t="s">
        <v>8267</v>
      </c>
      <c r="C15501" s="74" t="s">
        <v>412</v>
      </c>
    </row>
    <row r="15502" spans="1:3">
      <c r="A15502" s="250">
        <v>36574</v>
      </c>
      <c r="B15502" s="74" t="s">
        <v>4464</v>
      </c>
      <c r="C15502" s="74" t="s">
        <v>412</v>
      </c>
    </row>
    <row r="15503" spans="1:3">
      <c r="A15503" s="250">
        <v>36575</v>
      </c>
      <c r="B15503" s="74" t="s">
        <v>8923</v>
      </c>
      <c r="C15503" s="74" t="s">
        <v>412</v>
      </c>
    </row>
    <row r="15504" spans="1:3">
      <c r="A15504" s="250">
        <v>36576</v>
      </c>
      <c r="B15504" s="74" t="s">
        <v>8924</v>
      </c>
      <c r="C15504" s="74" t="s">
        <v>412</v>
      </c>
    </row>
    <row r="15505" spans="1:3">
      <c r="A15505" s="250">
        <v>36577</v>
      </c>
      <c r="B15505" s="74" t="s">
        <v>8901</v>
      </c>
      <c r="C15505" s="74" t="s">
        <v>412</v>
      </c>
    </row>
    <row r="15506" spans="1:3">
      <c r="A15506" s="250">
        <v>36578</v>
      </c>
      <c r="B15506" s="74" t="s">
        <v>8059</v>
      </c>
      <c r="C15506" s="74" t="s">
        <v>412</v>
      </c>
    </row>
    <row r="15507" spans="1:3">
      <c r="A15507" s="250">
        <v>36579</v>
      </c>
      <c r="B15507" s="74" t="s">
        <v>2529</v>
      </c>
      <c r="C15507" s="74" t="s">
        <v>412</v>
      </c>
    </row>
    <row r="15508" spans="1:3">
      <c r="A15508" s="250">
        <v>36580</v>
      </c>
      <c r="B15508" s="74" t="s">
        <v>4753</v>
      </c>
      <c r="C15508" s="74" t="s">
        <v>412</v>
      </c>
    </row>
    <row r="15509" spans="1:3">
      <c r="A15509" s="250">
        <v>36581</v>
      </c>
      <c r="B15509" s="74" t="s">
        <v>8925</v>
      </c>
      <c r="C15509" s="74" t="s">
        <v>412</v>
      </c>
    </row>
    <row r="15510" spans="1:3">
      <c r="A15510" s="250">
        <v>36582</v>
      </c>
      <c r="B15510" s="74" t="s">
        <v>8926</v>
      </c>
      <c r="C15510" s="74" t="s">
        <v>412</v>
      </c>
    </row>
    <row r="15511" spans="1:3">
      <c r="A15511" s="250">
        <v>36583</v>
      </c>
      <c r="B15511" s="74" t="s">
        <v>8927</v>
      </c>
      <c r="C15511" s="74" t="s">
        <v>412</v>
      </c>
    </row>
    <row r="15512" spans="1:3">
      <c r="A15512" s="250">
        <v>36584</v>
      </c>
      <c r="B15512" s="74" t="s">
        <v>8928</v>
      </c>
      <c r="C15512" s="74" t="s">
        <v>412</v>
      </c>
    </row>
    <row r="15513" spans="1:3">
      <c r="A15513" s="250">
        <v>36585</v>
      </c>
      <c r="B15513" s="74" t="s">
        <v>8929</v>
      </c>
      <c r="C15513" s="74" t="s">
        <v>412</v>
      </c>
    </row>
    <row r="15514" spans="1:3">
      <c r="A15514" s="250">
        <v>36587</v>
      </c>
      <c r="B15514" s="74" t="s">
        <v>8930</v>
      </c>
      <c r="C15514" s="74" t="s">
        <v>412</v>
      </c>
    </row>
    <row r="15515" spans="1:3">
      <c r="A15515" s="250">
        <v>36590</v>
      </c>
      <c r="B15515" s="74" t="s">
        <v>8926</v>
      </c>
      <c r="C15515" s="74" t="s">
        <v>412</v>
      </c>
    </row>
    <row r="15516" spans="1:3">
      <c r="A15516" s="250">
        <v>36601</v>
      </c>
      <c r="B15516" s="74" t="s">
        <v>8931</v>
      </c>
      <c r="C15516" s="74" t="s">
        <v>412</v>
      </c>
    </row>
    <row r="15517" spans="1:3">
      <c r="A15517" s="250">
        <v>36602</v>
      </c>
      <c r="B15517" s="74" t="s">
        <v>8931</v>
      </c>
      <c r="C15517" s="74" t="s">
        <v>412</v>
      </c>
    </row>
    <row r="15518" spans="1:3">
      <c r="A15518" s="250">
        <v>36603</v>
      </c>
      <c r="B15518" s="74" t="s">
        <v>8931</v>
      </c>
      <c r="C15518" s="74" t="s">
        <v>412</v>
      </c>
    </row>
    <row r="15519" spans="1:3">
      <c r="A15519" s="250">
        <v>36604</v>
      </c>
      <c r="B15519" s="74" t="s">
        <v>8931</v>
      </c>
      <c r="C15519" s="74" t="s">
        <v>412</v>
      </c>
    </row>
    <row r="15520" spans="1:3">
      <c r="A15520" s="250">
        <v>36605</v>
      </c>
      <c r="B15520" s="74" t="s">
        <v>8931</v>
      </c>
      <c r="C15520" s="74" t="s">
        <v>412</v>
      </c>
    </row>
    <row r="15521" spans="1:3">
      <c r="A15521" s="250">
        <v>36606</v>
      </c>
      <c r="B15521" s="74" t="s">
        <v>8931</v>
      </c>
      <c r="C15521" s="74" t="s">
        <v>412</v>
      </c>
    </row>
    <row r="15522" spans="1:3">
      <c r="A15522" s="250">
        <v>36607</v>
      </c>
      <c r="B15522" s="74" t="s">
        <v>8931</v>
      </c>
      <c r="C15522" s="74" t="s">
        <v>412</v>
      </c>
    </row>
    <row r="15523" spans="1:3">
      <c r="A15523" s="250">
        <v>36608</v>
      </c>
      <c r="B15523" s="74" t="s">
        <v>8931</v>
      </c>
      <c r="C15523" s="74" t="s">
        <v>412</v>
      </c>
    </row>
    <row r="15524" spans="1:3">
      <c r="A15524" s="250">
        <v>36609</v>
      </c>
      <c r="B15524" s="74" t="s">
        <v>8931</v>
      </c>
      <c r="C15524" s="74" t="s">
        <v>412</v>
      </c>
    </row>
    <row r="15525" spans="1:3">
      <c r="A15525" s="250">
        <v>36610</v>
      </c>
      <c r="B15525" s="74" t="s">
        <v>8931</v>
      </c>
      <c r="C15525" s="74" t="s">
        <v>412</v>
      </c>
    </row>
    <row r="15526" spans="1:3">
      <c r="A15526" s="250">
        <v>36611</v>
      </c>
      <c r="B15526" s="74" t="s">
        <v>8931</v>
      </c>
      <c r="C15526" s="74" t="s">
        <v>412</v>
      </c>
    </row>
    <row r="15527" spans="1:3">
      <c r="A15527" s="250">
        <v>36612</v>
      </c>
      <c r="B15527" s="74" t="s">
        <v>8931</v>
      </c>
      <c r="C15527" s="74" t="s">
        <v>412</v>
      </c>
    </row>
    <row r="15528" spans="1:3">
      <c r="A15528" s="250">
        <v>36613</v>
      </c>
      <c r="B15528" s="74" t="s">
        <v>8932</v>
      </c>
      <c r="C15528" s="74" t="s">
        <v>412</v>
      </c>
    </row>
    <row r="15529" spans="1:3">
      <c r="A15529" s="250">
        <v>36615</v>
      </c>
      <c r="B15529" s="74" t="s">
        <v>8931</v>
      </c>
      <c r="C15529" s="74" t="s">
        <v>412</v>
      </c>
    </row>
    <row r="15530" spans="1:3">
      <c r="A15530" s="250">
        <v>36616</v>
      </c>
      <c r="B15530" s="74" t="s">
        <v>8931</v>
      </c>
      <c r="C15530" s="74" t="s">
        <v>412</v>
      </c>
    </row>
    <row r="15531" spans="1:3">
      <c r="A15531" s="250">
        <v>36617</v>
      </c>
      <c r="B15531" s="74" t="s">
        <v>8931</v>
      </c>
      <c r="C15531" s="74" t="s">
        <v>412</v>
      </c>
    </row>
    <row r="15532" spans="1:3">
      <c r="A15532" s="250">
        <v>36618</v>
      </c>
      <c r="B15532" s="74" t="s">
        <v>8931</v>
      </c>
      <c r="C15532" s="74" t="s">
        <v>412</v>
      </c>
    </row>
    <row r="15533" spans="1:3">
      <c r="A15533" s="250">
        <v>36619</v>
      </c>
      <c r="B15533" s="74" t="s">
        <v>8931</v>
      </c>
      <c r="C15533" s="74" t="s">
        <v>412</v>
      </c>
    </row>
    <row r="15534" spans="1:3">
      <c r="A15534" s="250">
        <v>36621</v>
      </c>
      <c r="B15534" s="74" t="s">
        <v>8931</v>
      </c>
      <c r="C15534" s="74" t="s">
        <v>412</v>
      </c>
    </row>
    <row r="15535" spans="1:3">
      <c r="A15535" s="250">
        <v>36622</v>
      </c>
      <c r="B15535" s="74" t="s">
        <v>8931</v>
      </c>
      <c r="C15535" s="74" t="s">
        <v>412</v>
      </c>
    </row>
    <row r="15536" spans="1:3">
      <c r="A15536" s="250">
        <v>36625</v>
      </c>
      <c r="B15536" s="74" t="s">
        <v>8931</v>
      </c>
      <c r="C15536" s="74" t="s">
        <v>412</v>
      </c>
    </row>
    <row r="15537" spans="1:3">
      <c r="A15537" s="250">
        <v>36628</v>
      </c>
      <c r="B15537" s="74" t="s">
        <v>8931</v>
      </c>
      <c r="C15537" s="74" t="s">
        <v>412</v>
      </c>
    </row>
    <row r="15538" spans="1:3">
      <c r="A15538" s="250">
        <v>36630</v>
      </c>
      <c r="B15538" s="74" t="s">
        <v>8931</v>
      </c>
      <c r="C15538" s="74" t="s">
        <v>412</v>
      </c>
    </row>
    <row r="15539" spans="1:3">
      <c r="A15539" s="250">
        <v>36633</v>
      </c>
      <c r="B15539" s="74" t="s">
        <v>8931</v>
      </c>
      <c r="C15539" s="74" t="s">
        <v>412</v>
      </c>
    </row>
    <row r="15540" spans="1:3">
      <c r="A15540" s="250">
        <v>36640</v>
      </c>
      <c r="B15540" s="74" t="s">
        <v>8931</v>
      </c>
      <c r="C15540" s="74" t="s">
        <v>412</v>
      </c>
    </row>
    <row r="15541" spans="1:3">
      <c r="A15541" s="250">
        <v>36641</v>
      </c>
      <c r="B15541" s="74" t="s">
        <v>8931</v>
      </c>
      <c r="C15541" s="74" t="s">
        <v>412</v>
      </c>
    </row>
    <row r="15542" spans="1:3">
      <c r="A15542" s="250">
        <v>36644</v>
      </c>
      <c r="B15542" s="74" t="s">
        <v>8931</v>
      </c>
      <c r="C15542" s="74" t="s">
        <v>412</v>
      </c>
    </row>
    <row r="15543" spans="1:3">
      <c r="A15543" s="250">
        <v>36652</v>
      </c>
      <c r="B15543" s="74" t="s">
        <v>8931</v>
      </c>
      <c r="C15543" s="74" t="s">
        <v>412</v>
      </c>
    </row>
    <row r="15544" spans="1:3">
      <c r="A15544" s="250">
        <v>36660</v>
      </c>
      <c r="B15544" s="74" t="s">
        <v>8931</v>
      </c>
      <c r="C15544" s="74" t="s">
        <v>412</v>
      </c>
    </row>
    <row r="15545" spans="1:3">
      <c r="A15545" s="250">
        <v>36663</v>
      </c>
      <c r="B15545" s="74" t="s">
        <v>8931</v>
      </c>
      <c r="C15545" s="74" t="s">
        <v>412</v>
      </c>
    </row>
    <row r="15546" spans="1:3">
      <c r="A15546" s="250">
        <v>36670</v>
      </c>
      <c r="B15546" s="74" t="s">
        <v>8931</v>
      </c>
      <c r="C15546" s="74" t="s">
        <v>412</v>
      </c>
    </row>
    <row r="15547" spans="1:3">
      <c r="A15547" s="250">
        <v>36671</v>
      </c>
      <c r="B15547" s="74" t="s">
        <v>8931</v>
      </c>
      <c r="C15547" s="74" t="s">
        <v>412</v>
      </c>
    </row>
    <row r="15548" spans="1:3">
      <c r="A15548" s="250">
        <v>36675</v>
      </c>
      <c r="B15548" s="74" t="s">
        <v>8931</v>
      </c>
      <c r="C15548" s="74" t="s">
        <v>412</v>
      </c>
    </row>
    <row r="15549" spans="1:3">
      <c r="A15549" s="250">
        <v>36685</v>
      </c>
      <c r="B15549" s="74" t="s">
        <v>8931</v>
      </c>
      <c r="C15549" s="74" t="s">
        <v>412</v>
      </c>
    </row>
    <row r="15550" spans="1:3">
      <c r="A15550" s="250">
        <v>36688</v>
      </c>
      <c r="B15550" s="74" t="s">
        <v>8931</v>
      </c>
      <c r="C15550" s="74" t="s">
        <v>412</v>
      </c>
    </row>
    <row r="15551" spans="1:3">
      <c r="A15551" s="250">
        <v>36689</v>
      </c>
      <c r="B15551" s="74" t="s">
        <v>8931</v>
      </c>
      <c r="C15551" s="74" t="s">
        <v>412</v>
      </c>
    </row>
    <row r="15552" spans="1:3">
      <c r="A15552" s="250">
        <v>36690</v>
      </c>
      <c r="B15552" s="74" t="s">
        <v>8931</v>
      </c>
      <c r="C15552" s="74" t="s">
        <v>412</v>
      </c>
    </row>
    <row r="15553" spans="1:3">
      <c r="A15553" s="250">
        <v>36691</v>
      </c>
      <c r="B15553" s="74" t="s">
        <v>8931</v>
      </c>
      <c r="C15553" s="74" t="s">
        <v>412</v>
      </c>
    </row>
    <row r="15554" spans="1:3">
      <c r="A15554" s="250">
        <v>36693</v>
      </c>
      <c r="B15554" s="74" t="s">
        <v>8931</v>
      </c>
      <c r="C15554" s="74" t="s">
        <v>412</v>
      </c>
    </row>
    <row r="15555" spans="1:3">
      <c r="A15555" s="250">
        <v>36695</v>
      </c>
      <c r="B15555" s="74" t="s">
        <v>8931</v>
      </c>
      <c r="C15555" s="74" t="s">
        <v>412</v>
      </c>
    </row>
    <row r="15556" spans="1:3">
      <c r="A15556" s="250">
        <v>36701</v>
      </c>
      <c r="B15556" s="74" t="s">
        <v>6404</v>
      </c>
      <c r="C15556" s="74" t="s">
        <v>412</v>
      </c>
    </row>
    <row r="15557" spans="1:3">
      <c r="A15557" s="250">
        <v>36702</v>
      </c>
      <c r="B15557" s="74" t="s">
        <v>6404</v>
      </c>
      <c r="C15557" s="74" t="s">
        <v>412</v>
      </c>
    </row>
    <row r="15558" spans="1:3">
      <c r="A15558" s="250">
        <v>36703</v>
      </c>
      <c r="B15558" s="74" t="s">
        <v>6404</v>
      </c>
      <c r="C15558" s="74" t="s">
        <v>412</v>
      </c>
    </row>
    <row r="15559" spans="1:3">
      <c r="A15559" s="250">
        <v>36720</v>
      </c>
      <c r="B15559" s="74" t="s">
        <v>6186</v>
      </c>
      <c r="C15559" s="74" t="s">
        <v>412</v>
      </c>
    </row>
    <row r="15560" spans="1:3">
      <c r="A15560" s="250">
        <v>36721</v>
      </c>
      <c r="B15560" s="74" t="s">
        <v>8933</v>
      </c>
      <c r="C15560" s="74" t="s">
        <v>412</v>
      </c>
    </row>
    <row r="15561" spans="1:3">
      <c r="A15561" s="250">
        <v>36722</v>
      </c>
      <c r="B15561" s="74" t="s">
        <v>984</v>
      </c>
      <c r="C15561" s="74" t="s">
        <v>412</v>
      </c>
    </row>
    <row r="15562" spans="1:3">
      <c r="A15562" s="250">
        <v>36723</v>
      </c>
      <c r="B15562" s="74" t="s">
        <v>8934</v>
      </c>
      <c r="C15562" s="74" t="s">
        <v>412</v>
      </c>
    </row>
    <row r="15563" spans="1:3">
      <c r="A15563" s="250">
        <v>36726</v>
      </c>
      <c r="B15563" s="74" t="s">
        <v>1660</v>
      </c>
      <c r="C15563" s="74" t="s">
        <v>412</v>
      </c>
    </row>
    <row r="15564" spans="1:3">
      <c r="A15564" s="250">
        <v>36727</v>
      </c>
      <c r="B15564" s="74" t="s">
        <v>3904</v>
      </c>
      <c r="C15564" s="74" t="s">
        <v>412</v>
      </c>
    </row>
    <row r="15565" spans="1:3">
      <c r="A15565" s="250">
        <v>36728</v>
      </c>
      <c r="B15565" s="74" t="s">
        <v>8935</v>
      </c>
      <c r="C15565" s="74" t="s">
        <v>412</v>
      </c>
    </row>
    <row r="15566" spans="1:3">
      <c r="A15566" s="250">
        <v>36732</v>
      </c>
      <c r="B15566" s="74" t="s">
        <v>8936</v>
      </c>
      <c r="C15566" s="74" t="s">
        <v>412</v>
      </c>
    </row>
    <row r="15567" spans="1:3">
      <c r="A15567" s="250">
        <v>36736</v>
      </c>
      <c r="B15567" s="74" t="s">
        <v>8937</v>
      </c>
      <c r="C15567" s="74" t="s">
        <v>412</v>
      </c>
    </row>
    <row r="15568" spans="1:3">
      <c r="A15568" s="250">
        <v>36738</v>
      </c>
      <c r="B15568" s="74" t="s">
        <v>8938</v>
      </c>
      <c r="C15568" s="74" t="s">
        <v>412</v>
      </c>
    </row>
    <row r="15569" spans="1:3">
      <c r="A15569" s="250">
        <v>36740</v>
      </c>
      <c r="B15569" s="74" t="s">
        <v>8939</v>
      </c>
      <c r="C15569" s="74" t="s">
        <v>412</v>
      </c>
    </row>
    <row r="15570" spans="1:3">
      <c r="A15570" s="250">
        <v>36741</v>
      </c>
      <c r="B15570" s="74" t="s">
        <v>7838</v>
      </c>
      <c r="C15570" s="74" t="s">
        <v>412</v>
      </c>
    </row>
    <row r="15571" spans="1:3">
      <c r="A15571" s="250">
        <v>36742</v>
      </c>
      <c r="B15571" s="74" t="s">
        <v>8940</v>
      </c>
      <c r="C15571" s="74" t="s">
        <v>412</v>
      </c>
    </row>
    <row r="15572" spans="1:3">
      <c r="A15572" s="250">
        <v>36744</v>
      </c>
      <c r="B15572" s="74" t="s">
        <v>1910</v>
      </c>
      <c r="C15572" s="74" t="s">
        <v>412</v>
      </c>
    </row>
    <row r="15573" spans="1:3">
      <c r="A15573" s="250">
        <v>36745</v>
      </c>
      <c r="B15573" s="74" t="s">
        <v>740</v>
      </c>
      <c r="C15573" s="74" t="s">
        <v>412</v>
      </c>
    </row>
    <row r="15574" spans="1:3">
      <c r="A15574" s="250">
        <v>36748</v>
      </c>
      <c r="B15574" s="74" t="s">
        <v>2134</v>
      </c>
      <c r="C15574" s="74" t="s">
        <v>412</v>
      </c>
    </row>
    <row r="15575" spans="1:3">
      <c r="A15575" s="250">
        <v>36749</v>
      </c>
      <c r="B15575" s="74" t="s">
        <v>8941</v>
      </c>
      <c r="C15575" s="74" t="s">
        <v>412</v>
      </c>
    </row>
    <row r="15576" spans="1:3">
      <c r="A15576" s="250">
        <v>36750</v>
      </c>
      <c r="B15576" s="74" t="s">
        <v>8942</v>
      </c>
      <c r="C15576" s="74" t="s">
        <v>412</v>
      </c>
    </row>
    <row r="15577" spans="1:3">
      <c r="A15577" s="250">
        <v>36751</v>
      </c>
      <c r="B15577" s="74" t="s">
        <v>8943</v>
      </c>
      <c r="C15577" s="74" t="s">
        <v>412</v>
      </c>
    </row>
    <row r="15578" spans="1:3">
      <c r="A15578" s="250">
        <v>36752</v>
      </c>
      <c r="B15578" s="74" t="s">
        <v>8944</v>
      </c>
      <c r="C15578" s="74" t="s">
        <v>412</v>
      </c>
    </row>
    <row r="15579" spans="1:3">
      <c r="A15579" s="250">
        <v>36753</v>
      </c>
      <c r="B15579" s="74" t="s">
        <v>8945</v>
      </c>
      <c r="C15579" s="74" t="s">
        <v>412</v>
      </c>
    </row>
    <row r="15580" spans="1:3">
      <c r="A15580" s="250">
        <v>36754</v>
      </c>
      <c r="B15580" s="74" t="s">
        <v>2398</v>
      </c>
      <c r="C15580" s="74" t="s">
        <v>412</v>
      </c>
    </row>
    <row r="15581" spans="1:3">
      <c r="A15581" s="250">
        <v>36756</v>
      </c>
      <c r="B15581" s="74" t="s">
        <v>1071</v>
      </c>
      <c r="C15581" s="74" t="s">
        <v>412</v>
      </c>
    </row>
    <row r="15582" spans="1:3">
      <c r="A15582" s="250">
        <v>36758</v>
      </c>
      <c r="B15582" s="74" t="s">
        <v>8946</v>
      </c>
      <c r="C15582" s="74" t="s">
        <v>412</v>
      </c>
    </row>
    <row r="15583" spans="1:3">
      <c r="A15583" s="250">
        <v>36759</v>
      </c>
      <c r="B15583" s="74" t="s">
        <v>8947</v>
      </c>
      <c r="C15583" s="74" t="s">
        <v>412</v>
      </c>
    </row>
    <row r="15584" spans="1:3">
      <c r="A15584" s="250">
        <v>36761</v>
      </c>
      <c r="B15584" s="74" t="s">
        <v>8948</v>
      </c>
      <c r="C15584" s="74" t="s">
        <v>412</v>
      </c>
    </row>
    <row r="15585" spans="1:3">
      <c r="A15585" s="250">
        <v>36762</v>
      </c>
      <c r="B15585" s="74" t="s">
        <v>8949</v>
      </c>
      <c r="C15585" s="74" t="s">
        <v>412</v>
      </c>
    </row>
    <row r="15586" spans="1:3">
      <c r="A15586" s="250">
        <v>36763</v>
      </c>
      <c r="B15586" s="74" t="s">
        <v>8950</v>
      </c>
      <c r="C15586" s="74" t="s">
        <v>412</v>
      </c>
    </row>
    <row r="15587" spans="1:3">
      <c r="A15587" s="250">
        <v>36764</v>
      </c>
      <c r="B15587" s="74" t="s">
        <v>8951</v>
      </c>
      <c r="C15587" s="74" t="s">
        <v>412</v>
      </c>
    </row>
    <row r="15588" spans="1:3">
      <c r="A15588" s="250">
        <v>36765</v>
      </c>
      <c r="B15588" s="74" t="s">
        <v>6287</v>
      </c>
      <c r="C15588" s="74" t="s">
        <v>412</v>
      </c>
    </row>
    <row r="15589" spans="1:3">
      <c r="A15589" s="250">
        <v>36766</v>
      </c>
      <c r="B15589" s="74" t="s">
        <v>3070</v>
      </c>
      <c r="C15589" s="74" t="s">
        <v>412</v>
      </c>
    </row>
    <row r="15590" spans="1:3">
      <c r="A15590" s="250">
        <v>36767</v>
      </c>
      <c r="B15590" s="74" t="s">
        <v>8952</v>
      </c>
      <c r="C15590" s="74" t="s">
        <v>412</v>
      </c>
    </row>
    <row r="15591" spans="1:3">
      <c r="A15591" s="250">
        <v>36768</v>
      </c>
      <c r="B15591" s="74" t="s">
        <v>8953</v>
      </c>
      <c r="C15591" s="74" t="s">
        <v>412</v>
      </c>
    </row>
    <row r="15592" spans="1:3">
      <c r="A15592" s="250">
        <v>36769</v>
      </c>
      <c r="B15592" s="74" t="s">
        <v>3074</v>
      </c>
      <c r="C15592" s="74" t="s">
        <v>412</v>
      </c>
    </row>
    <row r="15593" spans="1:3">
      <c r="A15593" s="250">
        <v>36773</v>
      </c>
      <c r="B15593" s="74" t="s">
        <v>8954</v>
      </c>
      <c r="C15593" s="74" t="s">
        <v>412</v>
      </c>
    </row>
    <row r="15594" spans="1:3">
      <c r="A15594" s="250">
        <v>36775</v>
      </c>
      <c r="B15594" s="74" t="s">
        <v>7952</v>
      </c>
      <c r="C15594" s="74" t="s">
        <v>412</v>
      </c>
    </row>
    <row r="15595" spans="1:3">
      <c r="A15595" s="250">
        <v>36776</v>
      </c>
      <c r="B15595" s="74" t="s">
        <v>8955</v>
      </c>
      <c r="C15595" s="74" t="s">
        <v>412</v>
      </c>
    </row>
    <row r="15596" spans="1:3">
      <c r="A15596" s="250">
        <v>36782</v>
      </c>
      <c r="B15596" s="74" t="s">
        <v>8956</v>
      </c>
      <c r="C15596" s="74" t="s">
        <v>412</v>
      </c>
    </row>
    <row r="15597" spans="1:3">
      <c r="A15597" s="250">
        <v>36783</v>
      </c>
      <c r="B15597" s="74" t="s">
        <v>1673</v>
      </c>
      <c r="C15597" s="74" t="s">
        <v>412</v>
      </c>
    </row>
    <row r="15598" spans="1:3">
      <c r="A15598" s="250">
        <v>36784</v>
      </c>
      <c r="B15598" s="74" t="s">
        <v>4841</v>
      </c>
      <c r="C15598" s="74" t="s">
        <v>412</v>
      </c>
    </row>
    <row r="15599" spans="1:3">
      <c r="A15599" s="250">
        <v>36785</v>
      </c>
      <c r="B15599" s="74" t="s">
        <v>8957</v>
      </c>
      <c r="C15599" s="74" t="s">
        <v>412</v>
      </c>
    </row>
    <row r="15600" spans="1:3">
      <c r="A15600" s="250">
        <v>36786</v>
      </c>
      <c r="B15600" s="74" t="s">
        <v>4089</v>
      </c>
      <c r="C15600" s="74" t="s">
        <v>412</v>
      </c>
    </row>
    <row r="15601" spans="1:3">
      <c r="A15601" s="250">
        <v>36790</v>
      </c>
      <c r="B15601" s="74" t="s">
        <v>2602</v>
      </c>
      <c r="C15601" s="74" t="s">
        <v>412</v>
      </c>
    </row>
    <row r="15602" spans="1:3">
      <c r="A15602" s="250">
        <v>36792</v>
      </c>
      <c r="B15602" s="74" t="s">
        <v>960</v>
      </c>
      <c r="C15602" s="74" t="s">
        <v>412</v>
      </c>
    </row>
    <row r="15603" spans="1:3">
      <c r="A15603" s="250">
        <v>36793</v>
      </c>
      <c r="B15603" s="74" t="s">
        <v>8958</v>
      </c>
      <c r="C15603" s="74" t="s">
        <v>412</v>
      </c>
    </row>
    <row r="15604" spans="1:3">
      <c r="A15604" s="250">
        <v>36801</v>
      </c>
      <c r="B15604" s="74" t="s">
        <v>8959</v>
      </c>
      <c r="C15604" s="74" t="s">
        <v>412</v>
      </c>
    </row>
    <row r="15605" spans="1:3">
      <c r="A15605" s="250">
        <v>36802</v>
      </c>
      <c r="B15605" s="74" t="s">
        <v>8959</v>
      </c>
      <c r="C15605" s="74" t="s">
        <v>412</v>
      </c>
    </row>
    <row r="15606" spans="1:3">
      <c r="A15606" s="250">
        <v>36803</v>
      </c>
      <c r="B15606" s="74" t="s">
        <v>8959</v>
      </c>
      <c r="C15606" s="74" t="s">
        <v>412</v>
      </c>
    </row>
    <row r="15607" spans="1:3">
      <c r="A15607" s="250">
        <v>36804</v>
      </c>
      <c r="B15607" s="74" t="s">
        <v>8959</v>
      </c>
      <c r="C15607" s="74" t="s">
        <v>412</v>
      </c>
    </row>
    <row r="15608" spans="1:3">
      <c r="A15608" s="250">
        <v>36830</v>
      </c>
      <c r="B15608" s="74" t="s">
        <v>724</v>
      </c>
      <c r="C15608" s="74" t="s">
        <v>412</v>
      </c>
    </row>
    <row r="15609" spans="1:3">
      <c r="A15609" s="250">
        <v>36831</v>
      </c>
      <c r="B15609" s="74" t="s">
        <v>724</v>
      </c>
      <c r="C15609" s="74" t="s">
        <v>412</v>
      </c>
    </row>
    <row r="15610" spans="1:3">
      <c r="A15610" s="250">
        <v>36832</v>
      </c>
      <c r="B15610" s="74" t="s">
        <v>724</v>
      </c>
      <c r="C15610" s="74" t="s">
        <v>412</v>
      </c>
    </row>
    <row r="15611" spans="1:3">
      <c r="A15611" s="250">
        <v>36849</v>
      </c>
      <c r="B15611" s="74" t="s">
        <v>8960</v>
      </c>
      <c r="C15611" s="74" t="s">
        <v>412</v>
      </c>
    </row>
    <row r="15612" spans="1:3">
      <c r="A15612" s="250">
        <v>36850</v>
      </c>
      <c r="B15612" s="74" t="s">
        <v>4687</v>
      </c>
      <c r="C15612" s="74" t="s">
        <v>412</v>
      </c>
    </row>
    <row r="15613" spans="1:3">
      <c r="A15613" s="250">
        <v>36851</v>
      </c>
      <c r="B15613" s="74" t="s">
        <v>8961</v>
      </c>
      <c r="C15613" s="74" t="s">
        <v>412</v>
      </c>
    </row>
    <row r="15614" spans="1:3">
      <c r="A15614" s="250">
        <v>36852</v>
      </c>
      <c r="B15614" s="74" t="s">
        <v>8195</v>
      </c>
      <c r="C15614" s="74" t="s">
        <v>412</v>
      </c>
    </row>
    <row r="15615" spans="1:3">
      <c r="A15615" s="250">
        <v>36853</v>
      </c>
      <c r="B15615" s="74" t="s">
        <v>8962</v>
      </c>
      <c r="C15615" s="74" t="s">
        <v>412</v>
      </c>
    </row>
    <row r="15616" spans="1:3">
      <c r="A15616" s="250">
        <v>36854</v>
      </c>
      <c r="B15616" s="74" t="s">
        <v>8963</v>
      </c>
      <c r="C15616" s="74" t="s">
        <v>412</v>
      </c>
    </row>
    <row r="15617" spans="1:3">
      <c r="A15617" s="250">
        <v>36855</v>
      </c>
      <c r="B15617" s="74" t="s">
        <v>8964</v>
      </c>
      <c r="C15617" s="74" t="s">
        <v>412</v>
      </c>
    </row>
    <row r="15618" spans="1:3">
      <c r="A15618" s="250">
        <v>36856</v>
      </c>
      <c r="B15618" s="74" t="s">
        <v>6234</v>
      </c>
      <c r="C15618" s="74" t="s">
        <v>412</v>
      </c>
    </row>
    <row r="15619" spans="1:3">
      <c r="A15619" s="250">
        <v>36858</v>
      </c>
      <c r="B15619" s="74" t="s">
        <v>8965</v>
      </c>
      <c r="C15619" s="74" t="s">
        <v>412</v>
      </c>
    </row>
    <row r="15620" spans="1:3">
      <c r="A15620" s="250">
        <v>36859</v>
      </c>
      <c r="B15620" s="74" t="s">
        <v>8966</v>
      </c>
      <c r="C15620" s="74" t="s">
        <v>412</v>
      </c>
    </row>
    <row r="15621" spans="1:3">
      <c r="A15621" s="250">
        <v>36860</v>
      </c>
      <c r="B15621" s="74" t="s">
        <v>8967</v>
      </c>
      <c r="C15621" s="74" t="s">
        <v>412</v>
      </c>
    </row>
    <row r="15622" spans="1:3">
      <c r="A15622" s="250">
        <v>36861</v>
      </c>
      <c r="B15622" s="74" t="s">
        <v>8968</v>
      </c>
      <c r="C15622" s="74" t="s">
        <v>412</v>
      </c>
    </row>
    <row r="15623" spans="1:3">
      <c r="A15623" s="250">
        <v>36862</v>
      </c>
      <c r="B15623" s="74" t="s">
        <v>2315</v>
      </c>
      <c r="C15623" s="74" t="s">
        <v>412</v>
      </c>
    </row>
    <row r="15624" spans="1:3">
      <c r="A15624" s="250">
        <v>36863</v>
      </c>
      <c r="B15624" s="74" t="s">
        <v>8969</v>
      </c>
      <c r="C15624" s="74" t="s">
        <v>412</v>
      </c>
    </row>
    <row r="15625" spans="1:3">
      <c r="A15625" s="250">
        <v>36865</v>
      </c>
      <c r="B15625" s="74" t="s">
        <v>8970</v>
      </c>
      <c r="C15625" s="74" t="s">
        <v>412</v>
      </c>
    </row>
    <row r="15626" spans="1:3">
      <c r="A15626" s="250">
        <v>36866</v>
      </c>
      <c r="B15626" s="74" t="s">
        <v>8971</v>
      </c>
      <c r="C15626" s="74" t="s">
        <v>412</v>
      </c>
    </row>
    <row r="15627" spans="1:3">
      <c r="A15627" s="250">
        <v>36867</v>
      </c>
      <c r="B15627" s="74" t="s">
        <v>8972</v>
      </c>
      <c r="C15627" s="74" t="s">
        <v>412</v>
      </c>
    </row>
    <row r="15628" spans="1:3">
      <c r="A15628" s="250">
        <v>36868</v>
      </c>
      <c r="B15628" s="74" t="s">
        <v>8972</v>
      </c>
      <c r="C15628" s="74" t="s">
        <v>412</v>
      </c>
    </row>
    <row r="15629" spans="1:3">
      <c r="A15629" s="250">
        <v>36869</v>
      </c>
      <c r="B15629" s="74" t="s">
        <v>8972</v>
      </c>
      <c r="C15629" s="74" t="s">
        <v>412</v>
      </c>
    </row>
    <row r="15630" spans="1:3">
      <c r="A15630" s="250">
        <v>36870</v>
      </c>
      <c r="B15630" s="74" t="s">
        <v>8972</v>
      </c>
      <c r="C15630" s="74" t="s">
        <v>412</v>
      </c>
    </row>
    <row r="15631" spans="1:3">
      <c r="A15631" s="250">
        <v>36871</v>
      </c>
      <c r="B15631" s="74" t="s">
        <v>8973</v>
      </c>
      <c r="C15631" s="74" t="s">
        <v>412</v>
      </c>
    </row>
    <row r="15632" spans="1:3">
      <c r="A15632" s="250">
        <v>36872</v>
      </c>
      <c r="B15632" s="74" t="s">
        <v>8963</v>
      </c>
      <c r="C15632" s="74" t="s">
        <v>412</v>
      </c>
    </row>
    <row r="15633" spans="1:3">
      <c r="A15633" s="250">
        <v>36874</v>
      </c>
      <c r="B15633" s="74" t="s">
        <v>858</v>
      </c>
      <c r="C15633" s="74" t="s">
        <v>412</v>
      </c>
    </row>
    <row r="15634" spans="1:3">
      <c r="A15634" s="250">
        <v>36875</v>
      </c>
      <c r="B15634" s="74" t="s">
        <v>8974</v>
      </c>
      <c r="C15634" s="74" t="s">
        <v>412</v>
      </c>
    </row>
    <row r="15635" spans="1:3">
      <c r="A15635" s="250">
        <v>36877</v>
      </c>
      <c r="B15635" s="74" t="s">
        <v>8975</v>
      </c>
      <c r="C15635" s="74" t="s">
        <v>412</v>
      </c>
    </row>
    <row r="15636" spans="1:3">
      <c r="A15636" s="250">
        <v>36879</v>
      </c>
      <c r="B15636" s="74" t="s">
        <v>3950</v>
      </c>
      <c r="C15636" s="74" t="s">
        <v>412</v>
      </c>
    </row>
    <row r="15637" spans="1:3">
      <c r="A15637" s="250">
        <v>36901</v>
      </c>
      <c r="B15637" s="74" t="s">
        <v>8976</v>
      </c>
      <c r="C15637" s="74" t="s">
        <v>412</v>
      </c>
    </row>
    <row r="15638" spans="1:3">
      <c r="A15638" s="250">
        <v>36904</v>
      </c>
      <c r="B15638" s="74" t="s">
        <v>2183</v>
      </c>
      <c r="C15638" s="74" t="s">
        <v>412</v>
      </c>
    </row>
    <row r="15639" spans="1:3">
      <c r="A15639" s="250">
        <v>36907</v>
      </c>
      <c r="B15639" s="74" t="s">
        <v>3857</v>
      </c>
      <c r="C15639" s="74" t="s">
        <v>412</v>
      </c>
    </row>
    <row r="15640" spans="1:3">
      <c r="A15640" s="250">
        <v>36908</v>
      </c>
      <c r="B15640" s="74" t="s">
        <v>8977</v>
      </c>
      <c r="C15640" s="74" t="s">
        <v>412</v>
      </c>
    </row>
    <row r="15641" spans="1:3">
      <c r="A15641" s="250">
        <v>36910</v>
      </c>
      <c r="B15641" s="74" t="s">
        <v>8978</v>
      </c>
      <c r="C15641" s="74" t="s">
        <v>412</v>
      </c>
    </row>
    <row r="15642" spans="1:3">
      <c r="A15642" s="250">
        <v>36912</v>
      </c>
      <c r="B15642" s="74" t="s">
        <v>8979</v>
      </c>
      <c r="C15642" s="74" t="s">
        <v>412</v>
      </c>
    </row>
    <row r="15643" spans="1:3">
      <c r="A15643" s="250">
        <v>36913</v>
      </c>
      <c r="B15643" s="74" t="s">
        <v>8980</v>
      </c>
      <c r="C15643" s="74" t="s">
        <v>412</v>
      </c>
    </row>
    <row r="15644" spans="1:3">
      <c r="A15644" s="250">
        <v>36915</v>
      </c>
      <c r="B15644" s="74" t="s">
        <v>990</v>
      </c>
      <c r="C15644" s="74" t="s">
        <v>412</v>
      </c>
    </row>
    <row r="15645" spans="1:3">
      <c r="A15645" s="250">
        <v>36916</v>
      </c>
      <c r="B15645" s="74" t="s">
        <v>2520</v>
      </c>
      <c r="C15645" s="74" t="s">
        <v>412</v>
      </c>
    </row>
    <row r="15646" spans="1:3">
      <c r="A15646" s="250">
        <v>36919</v>
      </c>
      <c r="B15646" s="74" t="s">
        <v>8981</v>
      </c>
      <c r="C15646" s="74" t="s">
        <v>412</v>
      </c>
    </row>
    <row r="15647" spans="1:3">
      <c r="A15647" s="250">
        <v>36921</v>
      </c>
      <c r="B15647" s="74" t="s">
        <v>8982</v>
      </c>
      <c r="C15647" s="74" t="s">
        <v>412</v>
      </c>
    </row>
    <row r="15648" spans="1:3">
      <c r="A15648" s="250">
        <v>36922</v>
      </c>
      <c r="B15648" s="74" t="s">
        <v>7656</v>
      </c>
      <c r="C15648" s="74" t="s">
        <v>412</v>
      </c>
    </row>
    <row r="15649" spans="1:3">
      <c r="A15649" s="250">
        <v>36925</v>
      </c>
      <c r="B15649" s="74" t="s">
        <v>1359</v>
      </c>
      <c r="C15649" s="74" t="s">
        <v>412</v>
      </c>
    </row>
    <row r="15650" spans="1:3">
      <c r="A15650" s="250">
        <v>37010</v>
      </c>
      <c r="B15650" s="74" t="s">
        <v>638</v>
      </c>
      <c r="C15650" s="74" t="s">
        <v>452</v>
      </c>
    </row>
    <row r="15651" spans="1:3">
      <c r="A15651" s="250">
        <v>37011</v>
      </c>
      <c r="B15651" s="74" t="s">
        <v>8983</v>
      </c>
      <c r="C15651" s="74" t="s">
        <v>452</v>
      </c>
    </row>
    <row r="15652" spans="1:3">
      <c r="A15652" s="250">
        <v>37012</v>
      </c>
      <c r="B15652" s="74" t="s">
        <v>4530</v>
      </c>
      <c r="C15652" s="74" t="s">
        <v>452</v>
      </c>
    </row>
    <row r="15653" spans="1:3">
      <c r="A15653" s="250">
        <v>37013</v>
      </c>
      <c r="B15653" s="74" t="s">
        <v>8983</v>
      </c>
      <c r="C15653" s="74" t="s">
        <v>452</v>
      </c>
    </row>
    <row r="15654" spans="1:3">
      <c r="A15654" s="250">
        <v>37014</v>
      </c>
      <c r="B15654" s="74" t="s">
        <v>6003</v>
      </c>
      <c r="C15654" s="74" t="s">
        <v>452</v>
      </c>
    </row>
    <row r="15655" spans="1:3">
      <c r="A15655" s="250">
        <v>37015</v>
      </c>
      <c r="B15655" s="74" t="s">
        <v>8984</v>
      </c>
      <c r="C15655" s="74" t="s">
        <v>452</v>
      </c>
    </row>
    <row r="15656" spans="1:3">
      <c r="A15656" s="250">
        <v>37016</v>
      </c>
      <c r="B15656" s="74" t="s">
        <v>8985</v>
      </c>
      <c r="C15656" s="74" t="s">
        <v>452</v>
      </c>
    </row>
    <row r="15657" spans="1:3">
      <c r="A15657" s="250">
        <v>37018</v>
      </c>
      <c r="B15657" s="74" t="s">
        <v>8986</v>
      </c>
      <c r="C15657" s="74" t="s">
        <v>452</v>
      </c>
    </row>
    <row r="15658" spans="1:3">
      <c r="A15658" s="250">
        <v>37019</v>
      </c>
      <c r="B15658" s="74" t="s">
        <v>1679</v>
      </c>
      <c r="C15658" s="74" t="s">
        <v>452</v>
      </c>
    </row>
    <row r="15659" spans="1:3">
      <c r="A15659" s="250">
        <v>37020</v>
      </c>
      <c r="B15659" s="74" t="s">
        <v>8987</v>
      </c>
      <c r="C15659" s="74" t="s">
        <v>452</v>
      </c>
    </row>
    <row r="15660" spans="1:3">
      <c r="A15660" s="250">
        <v>37022</v>
      </c>
      <c r="B15660" s="74" t="s">
        <v>2808</v>
      </c>
      <c r="C15660" s="74" t="s">
        <v>452</v>
      </c>
    </row>
    <row r="15661" spans="1:3">
      <c r="A15661" s="250">
        <v>37023</v>
      </c>
      <c r="B15661" s="74" t="s">
        <v>6450</v>
      </c>
      <c r="C15661" s="74" t="s">
        <v>452</v>
      </c>
    </row>
    <row r="15662" spans="1:3">
      <c r="A15662" s="250">
        <v>37024</v>
      </c>
      <c r="B15662" s="74" t="s">
        <v>2811</v>
      </c>
      <c r="C15662" s="74" t="s">
        <v>452</v>
      </c>
    </row>
    <row r="15663" spans="1:3">
      <c r="A15663" s="250">
        <v>37025</v>
      </c>
      <c r="B15663" s="74" t="s">
        <v>8988</v>
      </c>
      <c r="C15663" s="74" t="s">
        <v>452</v>
      </c>
    </row>
    <row r="15664" spans="1:3">
      <c r="A15664" s="250">
        <v>37026</v>
      </c>
      <c r="B15664" s="74" t="s">
        <v>8989</v>
      </c>
      <c r="C15664" s="74" t="s">
        <v>452</v>
      </c>
    </row>
    <row r="15665" spans="1:3">
      <c r="A15665" s="250">
        <v>37027</v>
      </c>
      <c r="B15665" s="74" t="s">
        <v>2811</v>
      </c>
      <c r="C15665" s="74" t="s">
        <v>452</v>
      </c>
    </row>
    <row r="15666" spans="1:3">
      <c r="A15666" s="250">
        <v>37028</v>
      </c>
      <c r="B15666" s="74" t="s">
        <v>8990</v>
      </c>
      <c r="C15666" s="74" t="s">
        <v>452</v>
      </c>
    </row>
    <row r="15667" spans="1:3">
      <c r="A15667" s="250">
        <v>37029</v>
      </c>
      <c r="B15667" s="74" t="s">
        <v>8991</v>
      </c>
      <c r="C15667" s="74" t="s">
        <v>452</v>
      </c>
    </row>
    <row r="15668" spans="1:3">
      <c r="A15668" s="250">
        <v>37030</v>
      </c>
      <c r="B15668" s="74" t="s">
        <v>3531</v>
      </c>
      <c r="C15668" s="74" t="s">
        <v>452</v>
      </c>
    </row>
    <row r="15669" spans="1:3">
      <c r="A15669" s="250">
        <v>37031</v>
      </c>
      <c r="B15669" s="74" t="s">
        <v>8992</v>
      </c>
      <c r="C15669" s="74" t="s">
        <v>452</v>
      </c>
    </row>
    <row r="15670" spans="1:3">
      <c r="A15670" s="250">
        <v>37032</v>
      </c>
      <c r="B15670" s="74" t="s">
        <v>8993</v>
      </c>
      <c r="C15670" s="74" t="s">
        <v>452</v>
      </c>
    </row>
    <row r="15671" spans="1:3">
      <c r="A15671" s="250">
        <v>37033</v>
      </c>
      <c r="B15671" s="74" t="s">
        <v>1024</v>
      </c>
      <c r="C15671" s="74" t="s">
        <v>452</v>
      </c>
    </row>
    <row r="15672" spans="1:3">
      <c r="A15672" s="250">
        <v>37034</v>
      </c>
      <c r="B15672" s="74" t="s">
        <v>7143</v>
      </c>
      <c r="C15672" s="74" t="s">
        <v>452</v>
      </c>
    </row>
    <row r="15673" spans="1:3">
      <c r="A15673" s="250">
        <v>37035</v>
      </c>
      <c r="B15673" s="74" t="s">
        <v>8994</v>
      </c>
      <c r="C15673" s="74" t="s">
        <v>452</v>
      </c>
    </row>
    <row r="15674" spans="1:3">
      <c r="A15674" s="250">
        <v>37036</v>
      </c>
      <c r="B15674" s="74" t="s">
        <v>1806</v>
      </c>
      <c r="C15674" s="74" t="s">
        <v>452</v>
      </c>
    </row>
    <row r="15675" spans="1:3">
      <c r="A15675" s="250">
        <v>37037</v>
      </c>
      <c r="B15675" s="74" t="s">
        <v>4852</v>
      </c>
      <c r="C15675" s="74" t="s">
        <v>452</v>
      </c>
    </row>
    <row r="15676" spans="1:3">
      <c r="A15676" s="250">
        <v>37040</v>
      </c>
      <c r="B15676" s="74" t="s">
        <v>2926</v>
      </c>
      <c r="C15676" s="74" t="s">
        <v>452</v>
      </c>
    </row>
    <row r="15677" spans="1:3">
      <c r="A15677" s="250">
        <v>37041</v>
      </c>
      <c r="B15677" s="74" t="s">
        <v>2926</v>
      </c>
      <c r="C15677" s="74" t="s">
        <v>452</v>
      </c>
    </row>
    <row r="15678" spans="1:3">
      <c r="A15678" s="250">
        <v>37042</v>
      </c>
      <c r="B15678" s="74" t="s">
        <v>2926</v>
      </c>
      <c r="C15678" s="74" t="s">
        <v>452</v>
      </c>
    </row>
    <row r="15679" spans="1:3">
      <c r="A15679" s="250">
        <v>37043</v>
      </c>
      <c r="B15679" s="74" t="s">
        <v>2926</v>
      </c>
      <c r="C15679" s="74" t="s">
        <v>452</v>
      </c>
    </row>
    <row r="15680" spans="1:3">
      <c r="A15680" s="250">
        <v>37044</v>
      </c>
      <c r="B15680" s="74" t="s">
        <v>2926</v>
      </c>
      <c r="C15680" s="74" t="s">
        <v>452</v>
      </c>
    </row>
    <row r="15681" spans="1:3">
      <c r="A15681" s="250">
        <v>37046</v>
      </c>
      <c r="B15681" s="74" t="s">
        <v>8995</v>
      </c>
      <c r="C15681" s="74" t="s">
        <v>452</v>
      </c>
    </row>
    <row r="15682" spans="1:3">
      <c r="A15682" s="250">
        <v>37047</v>
      </c>
      <c r="B15682" s="74" t="s">
        <v>8996</v>
      </c>
      <c r="C15682" s="74" t="s">
        <v>452</v>
      </c>
    </row>
    <row r="15683" spans="1:3">
      <c r="A15683" s="250">
        <v>37048</v>
      </c>
      <c r="B15683" s="74" t="s">
        <v>8997</v>
      </c>
      <c r="C15683" s="74" t="s">
        <v>452</v>
      </c>
    </row>
    <row r="15684" spans="1:3">
      <c r="A15684" s="250">
        <v>37049</v>
      </c>
      <c r="B15684" s="74" t="s">
        <v>8998</v>
      </c>
      <c r="C15684" s="74" t="s">
        <v>452</v>
      </c>
    </row>
    <row r="15685" spans="1:3">
      <c r="A15685" s="250">
        <v>37050</v>
      </c>
      <c r="B15685" s="74" t="s">
        <v>8999</v>
      </c>
      <c r="C15685" s="74" t="s">
        <v>452</v>
      </c>
    </row>
    <row r="15686" spans="1:3">
      <c r="A15686" s="250">
        <v>37051</v>
      </c>
      <c r="B15686" s="74" t="s">
        <v>9000</v>
      </c>
      <c r="C15686" s="74" t="s">
        <v>452</v>
      </c>
    </row>
    <row r="15687" spans="1:3">
      <c r="A15687" s="250">
        <v>37052</v>
      </c>
      <c r="B15687" s="74" t="s">
        <v>9001</v>
      </c>
      <c r="C15687" s="74" t="s">
        <v>452</v>
      </c>
    </row>
    <row r="15688" spans="1:3">
      <c r="A15688" s="250">
        <v>37055</v>
      </c>
      <c r="B15688" s="74" t="s">
        <v>9002</v>
      </c>
      <c r="C15688" s="74" t="s">
        <v>452</v>
      </c>
    </row>
    <row r="15689" spans="1:3">
      <c r="A15689" s="250">
        <v>37056</v>
      </c>
      <c r="B15689" s="74" t="s">
        <v>9002</v>
      </c>
      <c r="C15689" s="74" t="s">
        <v>452</v>
      </c>
    </row>
    <row r="15690" spans="1:3">
      <c r="A15690" s="250">
        <v>37057</v>
      </c>
      <c r="B15690" s="74" t="s">
        <v>9003</v>
      </c>
      <c r="C15690" s="74" t="s">
        <v>452</v>
      </c>
    </row>
    <row r="15691" spans="1:3">
      <c r="A15691" s="250">
        <v>37058</v>
      </c>
      <c r="B15691" s="74" t="s">
        <v>869</v>
      </c>
      <c r="C15691" s="74" t="s">
        <v>452</v>
      </c>
    </row>
    <row r="15692" spans="1:3">
      <c r="A15692" s="250">
        <v>37059</v>
      </c>
      <c r="B15692" s="74" t="s">
        <v>9004</v>
      </c>
      <c r="C15692" s="74" t="s">
        <v>452</v>
      </c>
    </row>
    <row r="15693" spans="1:3">
      <c r="A15693" s="250">
        <v>37060</v>
      </c>
      <c r="B15693" s="74" t="s">
        <v>5406</v>
      </c>
      <c r="C15693" s="74" t="s">
        <v>452</v>
      </c>
    </row>
    <row r="15694" spans="1:3">
      <c r="A15694" s="250">
        <v>37061</v>
      </c>
      <c r="B15694" s="74" t="s">
        <v>3913</v>
      </c>
      <c r="C15694" s="74" t="s">
        <v>452</v>
      </c>
    </row>
    <row r="15695" spans="1:3">
      <c r="A15695" s="250">
        <v>37062</v>
      </c>
      <c r="B15695" s="74" t="s">
        <v>2122</v>
      </c>
      <c r="C15695" s="74" t="s">
        <v>452</v>
      </c>
    </row>
    <row r="15696" spans="1:3">
      <c r="A15696" s="250">
        <v>37063</v>
      </c>
      <c r="B15696" s="74" t="s">
        <v>9005</v>
      </c>
      <c r="C15696" s="74" t="s">
        <v>452</v>
      </c>
    </row>
    <row r="15697" spans="1:3">
      <c r="A15697" s="250">
        <v>37064</v>
      </c>
      <c r="B15697" s="74" t="s">
        <v>873</v>
      </c>
      <c r="C15697" s="74" t="s">
        <v>452</v>
      </c>
    </row>
    <row r="15698" spans="1:3">
      <c r="A15698" s="250">
        <v>37065</v>
      </c>
      <c r="B15698" s="74" t="s">
        <v>873</v>
      </c>
      <c r="C15698" s="74" t="s">
        <v>452</v>
      </c>
    </row>
    <row r="15699" spans="1:3">
      <c r="A15699" s="250">
        <v>37066</v>
      </c>
      <c r="B15699" s="74" t="s">
        <v>9006</v>
      </c>
      <c r="C15699" s="74" t="s">
        <v>452</v>
      </c>
    </row>
    <row r="15700" spans="1:3">
      <c r="A15700" s="250">
        <v>37067</v>
      </c>
      <c r="B15700" s="74" t="s">
        <v>873</v>
      </c>
      <c r="C15700" s="74" t="s">
        <v>452</v>
      </c>
    </row>
    <row r="15701" spans="1:3">
      <c r="A15701" s="250">
        <v>37068</v>
      </c>
      <c r="B15701" s="74" t="s">
        <v>873</v>
      </c>
      <c r="C15701" s="74" t="s">
        <v>452</v>
      </c>
    </row>
    <row r="15702" spans="1:3">
      <c r="A15702" s="250">
        <v>37069</v>
      </c>
      <c r="B15702" s="74" t="s">
        <v>873</v>
      </c>
      <c r="C15702" s="74" t="s">
        <v>452</v>
      </c>
    </row>
    <row r="15703" spans="1:3">
      <c r="A15703" s="250">
        <v>37070</v>
      </c>
      <c r="B15703" s="74" t="s">
        <v>9007</v>
      </c>
      <c r="C15703" s="74" t="s">
        <v>452</v>
      </c>
    </row>
    <row r="15704" spans="1:3">
      <c r="A15704" s="250">
        <v>37071</v>
      </c>
      <c r="B15704" s="74" t="s">
        <v>9008</v>
      </c>
      <c r="C15704" s="74" t="s">
        <v>452</v>
      </c>
    </row>
    <row r="15705" spans="1:3">
      <c r="A15705" s="250">
        <v>37072</v>
      </c>
      <c r="B15705" s="74" t="s">
        <v>9007</v>
      </c>
      <c r="C15705" s="74" t="s">
        <v>452</v>
      </c>
    </row>
    <row r="15706" spans="1:3">
      <c r="A15706" s="250">
        <v>37073</v>
      </c>
      <c r="B15706" s="74" t="s">
        <v>9009</v>
      </c>
      <c r="C15706" s="74" t="s">
        <v>452</v>
      </c>
    </row>
    <row r="15707" spans="1:3">
      <c r="A15707" s="250">
        <v>37074</v>
      </c>
      <c r="B15707" s="74" t="s">
        <v>7739</v>
      </c>
      <c r="C15707" s="74" t="s">
        <v>452</v>
      </c>
    </row>
    <row r="15708" spans="1:3">
      <c r="A15708" s="250">
        <v>37075</v>
      </c>
      <c r="B15708" s="74" t="s">
        <v>4061</v>
      </c>
      <c r="C15708" s="74" t="s">
        <v>452</v>
      </c>
    </row>
    <row r="15709" spans="1:3">
      <c r="A15709" s="250">
        <v>37076</v>
      </c>
      <c r="B15709" s="74" t="s">
        <v>4427</v>
      </c>
      <c r="C15709" s="74" t="s">
        <v>452</v>
      </c>
    </row>
    <row r="15710" spans="1:3">
      <c r="A15710" s="250">
        <v>37077</v>
      </c>
      <c r="B15710" s="74" t="s">
        <v>4061</v>
      </c>
      <c r="C15710" s="74" t="s">
        <v>452</v>
      </c>
    </row>
    <row r="15711" spans="1:3">
      <c r="A15711" s="250">
        <v>37078</v>
      </c>
      <c r="B15711" s="74" t="s">
        <v>9010</v>
      </c>
      <c r="C15711" s="74" t="s">
        <v>452</v>
      </c>
    </row>
    <row r="15712" spans="1:3">
      <c r="A15712" s="250">
        <v>37079</v>
      </c>
      <c r="B15712" s="74" t="s">
        <v>9011</v>
      </c>
      <c r="C15712" s="74" t="s">
        <v>452</v>
      </c>
    </row>
    <row r="15713" spans="1:3">
      <c r="A15713" s="250">
        <v>37080</v>
      </c>
      <c r="B15713" s="74" t="s">
        <v>9012</v>
      </c>
      <c r="C15713" s="74" t="s">
        <v>452</v>
      </c>
    </row>
    <row r="15714" spans="1:3">
      <c r="A15714" s="250">
        <v>37082</v>
      </c>
      <c r="B15714" s="74" t="s">
        <v>9013</v>
      </c>
      <c r="C15714" s="74" t="s">
        <v>452</v>
      </c>
    </row>
    <row r="15715" spans="1:3">
      <c r="A15715" s="250">
        <v>37083</v>
      </c>
      <c r="B15715" s="74" t="s">
        <v>2315</v>
      </c>
      <c r="C15715" s="74" t="s">
        <v>452</v>
      </c>
    </row>
    <row r="15716" spans="1:3">
      <c r="A15716" s="250">
        <v>37085</v>
      </c>
      <c r="B15716" s="74" t="s">
        <v>9014</v>
      </c>
      <c r="C15716" s="74" t="s">
        <v>452</v>
      </c>
    </row>
    <row r="15717" spans="1:3">
      <c r="A15717" s="250">
        <v>37086</v>
      </c>
      <c r="B15717" s="74" t="s">
        <v>9015</v>
      </c>
      <c r="C15717" s="74" t="s">
        <v>452</v>
      </c>
    </row>
    <row r="15718" spans="1:3">
      <c r="A15718" s="250">
        <v>37087</v>
      </c>
      <c r="B15718" s="74" t="s">
        <v>1280</v>
      </c>
      <c r="C15718" s="74" t="s">
        <v>452</v>
      </c>
    </row>
    <row r="15719" spans="1:3">
      <c r="A15719" s="250">
        <v>37088</v>
      </c>
      <c r="B15719" s="74" t="s">
        <v>1280</v>
      </c>
      <c r="C15719" s="74" t="s">
        <v>452</v>
      </c>
    </row>
    <row r="15720" spans="1:3">
      <c r="A15720" s="250">
        <v>37089</v>
      </c>
      <c r="B15720" s="74" t="s">
        <v>9015</v>
      </c>
      <c r="C15720" s="74" t="s">
        <v>452</v>
      </c>
    </row>
    <row r="15721" spans="1:3">
      <c r="A15721" s="250">
        <v>37090</v>
      </c>
      <c r="B15721" s="74" t="s">
        <v>1280</v>
      </c>
      <c r="C15721" s="74" t="s">
        <v>452</v>
      </c>
    </row>
    <row r="15722" spans="1:3">
      <c r="A15722" s="250">
        <v>37091</v>
      </c>
      <c r="B15722" s="74" t="s">
        <v>4952</v>
      </c>
      <c r="C15722" s="74" t="s">
        <v>452</v>
      </c>
    </row>
    <row r="15723" spans="1:3">
      <c r="A15723" s="250">
        <v>37095</v>
      </c>
      <c r="B15723" s="74" t="s">
        <v>1701</v>
      </c>
      <c r="C15723" s="74" t="s">
        <v>452</v>
      </c>
    </row>
    <row r="15724" spans="1:3">
      <c r="A15724" s="250">
        <v>37096</v>
      </c>
      <c r="B15724" s="74" t="s">
        <v>2134</v>
      </c>
      <c r="C15724" s="74" t="s">
        <v>452</v>
      </c>
    </row>
    <row r="15725" spans="1:3">
      <c r="A15725" s="250">
        <v>37097</v>
      </c>
      <c r="B15725" s="74" t="s">
        <v>9016</v>
      </c>
      <c r="C15725" s="74" t="s">
        <v>452</v>
      </c>
    </row>
    <row r="15726" spans="1:3">
      <c r="A15726" s="250">
        <v>37098</v>
      </c>
      <c r="B15726" s="74" t="s">
        <v>9017</v>
      </c>
      <c r="C15726" s="74" t="s">
        <v>452</v>
      </c>
    </row>
    <row r="15727" spans="1:3">
      <c r="A15727" s="250">
        <v>37101</v>
      </c>
      <c r="B15727" s="74" t="s">
        <v>9018</v>
      </c>
      <c r="C15727" s="74" t="s">
        <v>452</v>
      </c>
    </row>
    <row r="15728" spans="1:3">
      <c r="A15728" s="250">
        <v>37110</v>
      </c>
      <c r="B15728" s="74" t="s">
        <v>9019</v>
      </c>
      <c r="C15728" s="74" t="s">
        <v>452</v>
      </c>
    </row>
    <row r="15729" spans="1:3">
      <c r="A15729" s="250">
        <v>37111</v>
      </c>
      <c r="B15729" s="74" t="s">
        <v>9019</v>
      </c>
      <c r="C15729" s="74" t="s">
        <v>452</v>
      </c>
    </row>
    <row r="15730" spans="1:3">
      <c r="A15730" s="250">
        <v>37115</v>
      </c>
      <c r="B15730" s="74" t="s">
        <v>1320</v>
      </c>
      <c r="C15730" s="74" t="s">
        <v>452</v>
      </c>
    </row>
    <row r="15731" spans="1:3">
      <c r="A15731" s="250">
        <v>37116</v>
      </c>
      <c r="B15731" s="74" t="s">
        <v>1320</v>
      </c>
      <c r="C15731" s="74" t="s">
        <v>452</v>
      </c>
    </row>
    <row r="15732" spans="1:3">
      <c r="A15732" s="250">
        <v>37118</v>
      </c>
      <c r="B15732" s="74" t="s">
        <v>927</v>
      </c>
      <c r="C15732" s="74" t="s">
        <v>452</v>
      </c>
    </row>
    <row r="15733" spans="1:3">
      <c r="A15733" s="250">
        <v>37119</v>
      </c>
      <c r="B15733" s="74" t="s">
        <v>9020</v>
      </c>
      <c r="C15733" s="74" t="s">
        <v>452</v>
      </c>
    </row>
    <row r="15734" spans="1:3">
      <c r="A15734" s="250">
        <v>37121</v>
      </c>
      <c r="B15734" s="74" t="s">
        <v>9021</v>
      </c>
      <c r="C15734" s="74" t="s">
        <v>452</v>
      </c>
    </row>
    <row r="15735" spans="1:3">
      <c r="A15735" s="250">
        <v>37122</v>
      </c>
      <c r="B15735" s="74" t="s">
        <v>9021</v>
      </c>
      <c r="C15735" s="74" t="s">
        <v>452</v>
      </c>
    </row>
    <row r="15736" spans="1:3">
      <c r="A15736" s="250">
        <v>37127</v>
      </c>
      <c r="B15736" s="74" t="s">
        <v>7205</v>
      </c>
      <c r="C15736" s="74" t="s">
        <v>452</v>
      </c>
    </row>
    <row r="15737" spans="1:3">
      <c r="A15737" s="250">
        <v>37128</v>
      </c>
      <c r="B15737" s="74" t="s">
        <v>7205</v>
      </c>
      <c r="C15737" s="74" t="s">
        <v>452</v>
      </c>
    </row>
    <row r="15738" spans="1:3">
      <c r="A15738" s="250">
        <v>37129</v>
      </c>
      <c r="B15738" s="74" t="s">
        <v>7205</v>
      </c>
      <c r="C15738" s="74" t="s">
        <v>452</v>
      </c>
    </row>
    <row r="15739" spans="1:3">
      <c r="A15739" s="250">
        <v>37130</v>
      </c>
      <c r="B15739" s="74" t="s">
        <v>7205</v>
      </c>
      <c r="C15739" s="74" t="s">
        <v>452</v>
      </c>
    </row>
    <row r="15740" spans="1:3">
      <c r="A15740" s="250">
        <v>37131</v>
      </c>
      <c r="B15740" s="74" t="s">
        <v>7205</v>
      </c>
      <c r="C15740" s="74" t="s">
        <v>452</v>
      </c>
    </row>
    <row r="15741" spans="1:3">
      <c r="A15741" s="250">
        <v>37132</v>
      </c>
      <c r="B15741" s="74" t="s">
        <v>7205</v>
      </c>
      <c r="C15741" s="74" t="s">
        <v>452</v>
      </c>
    </row>
    <row r="15742" spans="1:3">
      <c r="A15742" s="250">
        <v>37133</v>
      </c>
      <c r="B15742" s="74" t="s">
        <v>7205</v>
      </c>
      <c r="C15742" s="74" t="s">
        <v>452</v>
      </c>
    </row>
    <row r="15743" spans="1:3">
      <c r="A15743" s="250">
        <v>37134</v>
      </c>
      <c r="B15743" s="74" t="s">
        <v>9022</v>
      </c>
      <c r="C15743" s="74" t="s">
        <v>452</v>
      </c>
    </row>
    <row r="15744" spans="1:3">
      <c r="A15744" s="250">
        <v>37135</v>
      </c>
      <c r="B15744" s="74" t="s">
        <v>9023</v>
      </c>
      <c r="C15744" s="74" t="s">
        <v>452</v>
      </c>
    </row>
    <row r="15745" spans="1:3">
      <c r="A15745" s="250">
        <v>37136</v>
      </c>
      <c r="B15745" s="74" t="s">
        <v>9024</v>
      </c>
      <c r="C15745" s="74" t="s">
        <v>452</v>
      </c>
    </row>
    <row r="15746" spans="1:3">
      <c r="A15746" s="250">
        <v>37137</v>
      </c>
      <c r="B15746" s="74" t="s">
        <v>9025</v>
      </c>
      <c r="C15746" s="74" t="s">
        <v>452</v>
      </c>
    </row>
    <row r="15747" spans="1:3">
      <c r="A15747" s="250">
        <v>37138</v>
      </c>
      <c r="B15747" s="74" t="s">
        <v>9026</v>
      </c>
      <c r="C15747" s="74" t="s">
        <v>452</v>
      </c>
    </row>
    <row r="15748" spans="1:3">
      <c r="A15748" s="250">
        <v>37140</v>
      </c>
      <c r="B15748" s="74" t="s">
        <v>9027</v>
      </c>
      <c r="C15748" s="74" t="s">
        <v>452</v>
      </c>
    </row>
    <row r="15749" spans="1:3">
      <c r="A15749" s="250">
        <v>37141</v>
      </c>
      <c r="B15749" s="74" t="s">
        <v>9028</v>
      </c>
      <c r="C15749" s="74" t="s">
        <v>452</v>
      </c>
    </row>
    <row r="15750" spans="1:3">
      <c r="A15750" s="250">
        <v>37142</v>
      </c>
      <c r="B15750" s="74" t="s">
        <v>1710</v>
      </c>
      <c r="C15750" s="74" t="s">
        <v>452</v>
      </c>
    </row>
    <row r="15751" spans="1:3">
      <c r="A15751" s="250">
        <v>37143</v>
      </c>
      <c r="B15751" s="74" t="s">
        <v>9029</v>
      </c>
      <c r="C15751" s="74" t="s">
        <v>452</v>
      </c>
    </row>
    <row r="15752" spans="1:3">
      <c r="A15752" s="250">
        <v>37144</v>
      </c>
      <c r="B15752" s="74" t="s">
        <v>2988</v>
      </c>
      <c r="C15752" s="74" t="s">
        <v>452</v>
      </c>
    </row>
    <row r="15753" spans="1:3">
      <c r="A15753" s="250">
        <v>37145</v>
      </c>
      <c r="B15753" s="74" t="s">
        <v>9030</v>
      </c>
      <c r="C15753" s="74" t="s">
        <v>452</v>
      </c>
    </row>
    <row r="15754" spans="1:3">
      <c r="A15754" s="250">
        <v>37146</v>
      </c>
      <c r="B15754" s="74" t="s">
        <v>9031</v>
      </c>
      <c r="C15754" s="74" t="s">
        <v>452</v>
      </c>
    </row>
    <row r="15755" spans="1:3">
      <c r="A15755" s="250">
        <v>37148</v>
      </c>
      <c r="B15755" s="74" t="s">
        <v>1429</v>
      </c>
      <c r="C15755" s="74" t="s">
        <v>452</v>
      </c>
    </row>
    <row r="15756" spans="1:3">
      <c r="A15756" s="250">
        <v>37149</v>
      </c>
      <c r="B15756" s="74" t="s">
        <v>9032</v>
      </c>
      <c r="C15756" s="74" t="s">
        <v>452</v>
      </c>
    </row>
    <row r="15757" spans="1:3">
      <c r="A15757" s="250">
        <v>37150</v>
      </c>
      <c r="B15757" s="74" t="s">
        <v>9033</v>
      </c>
      <c r="C15757" s="74" t="s">
        <v>452</v>
      </c>
    </row>
    <row r="15758" spans="1:3">
      <c r="A15758" s="250">
        <v>37151</v>
      </c>
      <c r="B15758" s="74" t="s">
        <v>9034</v>
      </c>
      <c r="C15758" s="74" t="s">
        <v>452</v>
      </c>
    </row>
    <row r="15759" spans="1:3">
      <c r="A15759" s="250">
        <v>37152</v>
      </c>
      <c r="B15759" s="74" t="s">
        <v>9035</v>
      </c>
      <c r="C15759" s="74" t="s">
        <v>452</v>
      </c>
    </row>
    <row r="15760" spans="1:3">
      <c r="A15760" s="250">
        <v>37153</v>
      </c>
      <c r="B15760" s="74" t="s">
        <v>9036</v>
      </c>
      <c r="C15760" s="74" t="s">
        <v>452</v>
      </c>
    </row>
    <row r="15761" spans="1:3">
      <c r="A15761" s="250">
        <v>37160</v>
      </c>
      <c r="B15761" s="74" t="s">
        <v>9037</v>
      </c>
      <c r="C15761" s="74" t="s">
        <v>452</v>
      </c>
    </row>
    <row r="15762" spans="1:3">
      <c r="A15762" s="250">
        <v>37161</v>
      </c>
      <c r="B15762" s="74" t="s">
        <v>9037</v>
      </c>
      <c r="C15762" s="74" t="s">
        <v>452</v>
      </c>
    </row>
    <row r="15763" spans="1:3">
      <c r="A15763" s="250">
        <v>37162</v>
      </c>
      <c r="B15763" s="74" t="s">
        <v>9037</v>
      </c>
      <c r="C15763" s="74" t="s">
        <v>452</v>
      </c>
    </row>
    <row r="15764" spans="1:3">
      <c r="A15764" s="250">
        <v>37165</v>
      </c>
      <c r="B15764" s="74" t="s">
        <v>9038</v>
      </c>
      <c r="C15764" s="74" t="s">
        <v>452</v>
      </c>
    </row>
    <row r="15765" spans="1:3">
      <c r="A15765" s="250">
        <v>37166</v>
      </c>
      <c r="B15765" s="74" t="s">
        <v>6884</v>
      </c>
      <c r="C15765" s="74" t="s">
        <v>452</v>
      </c>
    </row>
    <row r="15766" spans="1:3">
      <c r="A15766" s="250">
        <v>37167</v>
      </c>
      <c r="B15766" s="74" t="s">
        <v>3502</v>
      </c>
      <c r="C15766" s="74" t="s">
        <v>452</v>
      </c>
    </row>
    <row r="15767" spans="1:3">
      <c r="A15767" s="250">
        <v>37171</v>
      </c>
      <c r="B15767" s="74" t="s">
        <v>6652</v>
      </c>
      <c r="C15767" s="74" t="s">
        <v>452</v>
      </c>
    </row>
    <row r="15768" spans="1:3">
      <c r="A15768" s="250">
        <v>37172</v>
      </c>
      <c r="B15768" s="74" t="s">
        <v>634</v>
      </c>
      <c r="C15768" s="74" t="s">
        <v>452</v>
      </c>
    </row>
    <row r="15769" spans="1:3">
      <c r="A15769" s="250">
        <v>37174</v>
      </c>
      <c r="B15769" s="74" t="s">
        <v>8578</v>
      </c>
      <c r="C15769" s="74" t="s">
        <v>452</v>
      </c>
    </row>
    <row r="15770" spans="1:3">
      <c r="A15770" s="250">
        <v>37175</v>
      </c>
      <c r="B15770" s="74" t="s">
        <v>9039</v>
      </c>
      <c r="C15770" s="74" t="s">
        <v>452</v>
      </c>
    </row>
    <row r="15771" spans="1:3">
      <c r="A15771" s="250">
        <v>37178</v>
      </c>
      <c r="B15771" s="74" t="s">
        <v>9040</v>
      </c>
      <c r="C15771" s="74" t="s">
        <v>452</v>
      </c>
    </row>
    <row r="15772" spans="1:3">
      <c r="A15772" s="250">
        <v>37179</v>
      </c>
      <c r="B15772" s="74" t="s">
        <v>9041</v>
      </c>
      <c r="C15772" s="74" t="s">
        <v>452</v>
      </c>
    </row>
    <row r="15773" spans="1:3">
      <c r="A15773" s="250">
        <v>37180</v>
      </c>
      <c r="B15773" s="74" t="s">
        <v>1968</v>
      </c>
      <c r="C15773" s="74" t="s">
        <v>452</v>
      </c>
    </row>
    <row r="15774" spans="1:3">
      <c r="A15774" s="250">
        <v>37181</v>
      </c>
      <c r="B15774" s="74" t="s">
        <v>9042</v>
      </c>
      <c r="C15774" s="74" t="s">
        <v>452</v>
      </c>
    </row>
    <row r="15775" spans="1:3">
      <c r="A15775" s="250">
        <v>37183</v>
      </c>
      <c r="B15775" s="74" t="s">
        <v>9043</v>
      </c>
      <c r="C15775" s="74" t="s">
        <v>452</v>
      </c>
    </row>
    <row r="15776" spans="1:3">
      <c r="A15776" s="250">
        <v>37184</v>
      </c>
      <c r="B15776" s="74" t="s">
        <v>983</v>
      </c>
      <c r="C15776" s="74" t="s">
        <v>452</v>
      </c>
    </row>
    <row r="15777" spans="1:3">
      <c r="A15777" s="250">
        <v>37185</v>
      </c>
      <c r="B15777" s="74" t="s">
        <v>3950</v>
      </c>
      <c r="C15777" s="74" t="s">
        <v>452</v>
      </c>
    </row>
    <row r="15778" spans="1:3">
      <c r="A15778" s="250">
        <v>37186</v>
      </c>
      <c r="B15778" s="74" t="s">
        <v>1244</v>
      </c>
      <c r="C15778" s="74" t="s">
        <v>452</v>
      </c>
    </row>
    <row r="15779" spans="1:3">
      <c r="A15779" s="250">
        <v>37187</v>
      </c>
      <c r="B15779" s="74" t="s">
        <v>9044</v>
      </c>
      <c r="C15779" s="74" t="s">
        <v>452</v>
      </c>
    </row>
    <row r="15780" spans="1:3">
      <c r="A15780" s="250">
        <v>37188</v>
      </c>
      <c r="B15780" s="74" t="s">
        <v>9045</v>
      </c>
      <c r="C15780" s="74" t="s">
        <v>452</v>
      </c>
    </row>
    <row r="15781" spans="1:3">
      <c r="A15781" s="250">
        <v>37189</v>
      </c>
      <c r="B15781" s="74" t="s">
        <v>9046</v>
      </c>
      <c r="C15781" s="74" t="s">
        <v>452</v>
      </c>
    </row>
    <row r="15782" spans="1:3">
      <c r="A15782" s="250">
        <v>37190</v>
      </c>
      <c r="B15782" s="74" t="s">
        <v>1861</v>
      </c>
      <c r="C15782" s="74" t="s">
        <v>452</v>
      </c>
    </row>
    <row r="15783" spans="1:3">
      <c r="A15783" s="250">
        <v>37191</v>
      </c>
      <c r="B15783" s="74" t="s">
        <v>6377</v>
      </c>
      <c r="C15783" s="74" t="s">
        <v>452</v>
      </c>
    </row>
    <row r="15784" spans="1:3">
      <c r="A15784" s="250">
        <v>37201</v>
      </c>
      <c r="B15784" s="74" t="s">
        <v>7206</v>
      </c>
      <c r="C15784" s="74" t="s">
        <v>452</v>
      </c>
    </row>
    <row r="15785" spans="1:3">
      <c r="A15785" s="250">
        <v>37202</v>
      </c>
      <c r="B15785" s="74" t="s">
        <v>7206</v>
      </c>
      <c r="C15785" s="74" t="s">
        <v>452</v>
      </c>
    </row>
    <row r="15786" spans="1:3">
      <c r="A15786" s="250">
        <v>37203</v>
      </c>
      <c r="B15786" s="74" t="s">
        <v>7206</v>
      </c>
      <c r="C15786" s="74" t="s">
        <v>452</v>
      </c>
    </row>
    <row r="15787" spans="1:3">
      <c r="A15787" s="250">
        <v>37204</v>
      </c>
      <c r="B15787" s="74" t="s">
        <v>7206</v>
      </c>
      <c r="C15787" s="74" t="s">
        <v>452</v>
      </c>
    </row>
    <row r="15788" spans="1:3">
      <c r="A15788" s="250">
        <v>37205</v>
      </c>
      <c r="B15788" s="74" t="s">
        <v>7206</v>
      </c>
      <c r="C15788" s="74" t="s">
        <v>452</v>
      </c>
    </row>
    <row r="15789" spans="1:3">
      <c r="A15789" s="250">
        <v>37206</v>
      </c>
      <c r="B15789" s="74" t="s">
        <v>7206</v>
      </c>
      <c r="C15789" s="74" t="s">
        <v>452</v>
      </c>
    </row>
    <row r="15790" spans="1:3">
      <c r="A15790" s="250">
        <v>37207</v>
      </c>
      <c r="B15790" s="74" t="s">
        <v>7206</v>
      </c>
      <c r="C15790" s="74" t="s">
        <v>452</v>
      </c>
    </row>
    <row r="15791" spans="1:3">
      <c r="A15791" s="250">
        <v>37208</v>
      </c>
      <c r="B15791" s="74" t="s">
        <v>7206</v>
      </c>
      <c r="C15791" s="74" t="s">
        <v>452</v>
      </c>
    </row>
    <row r="15792" spans="1:3">
      <c r="A15792" s="250">
        <v>37209</v>
      </c>
      <c r="B15792" s="74" t="s">
        <v>7206</v>
      </c>
      <c r="C15792" s="74" t="s">
        <v>452</v>
      </c>
    </row>
    <row r="15793" spans="1:3">
      <c r="A15793" s="250">
        <v>37210</v>
      </c>
      <c r="B15793" s="74" t="s">
        <v>7206</v>
      </c>
      <c r="C15793" s="74" t="s">
        <v>452</v>
      </c>
    </row>
    <row r="15794" spans="1:3">
      <c r="A15794" s="250">
        <v>37211</v>
      </c>
      <c r="B15794" s="74" t="s">
        <v>7206</v>
      </c>
      <c r="C15794" s="74" t="s">
        <v>452</v>
      </c>
    </row>
    <row r="15795" spans="1:3">
      <c r="A15795" s="250">
        <v>37212</v>
      </c>
      <c r="B15795" s="74" t="s">
        <v>7206</v>
      </c>
      <c r="C15795" s="74" t="s">
        <v>452</v>
      </c>
    </row>
    <row r="15796" spans="1:3">
      <c r="A15796" s="250">
        <v>37213</v>
      </c>
      <c r="B15796" s="74" t="s">
        <v>7206</v>
      </c>
      <c r="C15796" s="74" t="s">
        <v>452</v>
      </c>
    </row>
    <row r="15797" spans="1:3">
      <c r="A15797" s="250">
        <v>37214</v>
      </c>
      <c r="B15797" s="74" t="s">
        <v>7206</v>
      </c>
      <c r="C15797" s="74" t="s">
        <v>452</v>
      </c>
    </row>
    <row r="15798" spans="1:3">
      <c r="A15798" s="250">
        <v>37215</v>
      </c>
      <c r="B15798" s="74" t="s">
        <v>7206</v>
      </c>
      <c r="C15798" s="74" t="s">
        <v>452</v>
      </c>
    </row>
    <row r="15799" spans="1:3">
      <c r="A15799" s="250">
        <v>37216</v>
      </c>
      <c r="B15799" s="74" t="s">
        <v>7206</v>
      </c>
      <c r="C15799" s="74" t="s">
        <v>452</v>
      </c>
    </row>
    <row r="15800" spans="1:3">
      <c r="A15800" s="250">
        <v>37217</v>
      </c>
      <c r="B15800" s="74" t="s">
        <v>7206</v>
      </c>
      <c r="C15800" s="74" t="s">
        <v>452</v>
      </c>
    </row>
    <row r="15801" spans="1:3">
      <c r="A15801" s="250">
        <v>37218</v>
      </c>
      <c r="B15801" s="74" t="s">
        <v>7206</v>
      </c>
      <c r="C15801" s="74" t="s">
        <v>452</v>
      </c>
    </row>
    <row r="15802" spans="1:3">
      <c r="A15802" s="250">
        <v>37219</v>
      </c>
      <c r="B15802" s="74" t="s">
        <v>7206</v>
      </c>
      <c r="C15802" s="74" t="s">
        <v>452</v>
      </c>
    </row>
    <row r="15803" spans="1:3">
      <c r="A15803" s="250">
        <v>37220</v>
      </c>
      <c r="B15803" s="74" t="s">
        <v>7206</v>
      </c>
      <c r="C15803" s="74" t="s">
        <v>452</v>
      </c>
    </row>
    <row r="15804" spans="1:3">
      <c r="A15804" s="250">
        <v>37221</v>
      </c>
      <c r="B15804" s="74" t="s">
        <v>7206</v>
      </c>
      <c r="C15804" s="74" t="s">
        <v>452</v>
      </c>
    </row>
    <row r="15805" spans="1:3">
      <c r="A15805" s="250">
        <v>37222</v>
      </c>
      <c r="B15805" s="74" t="s">
        <v>7206</v>
      </c>
      <c r="C15805" s="74" t="s">
        <v>452</v>
      </c>
    </row>
    <row r="15806" spans="1:3">
      <c r="A15806" s="250">
        <v>37224</v>
      </c>
      <c r="B15806" s="74" t="s">
        <v>7206</v>
      </c>
      <c r="C15806" s="74" t="s">
        <v>452</v>
      </c>
    </row>
    <row r="15807" spans="1:3">
      <c r="A15807" s="250">
        <v>37227</v>
      </c>
      <c r="B15807" s="74" t="s">
        <v>7206</v>
      </c>
      <c r="C15807" s="74" t="s">
        <v>452</v>
      </c>
    </row>
    <row r="15808" spans="1:3">
      <c r="A15808" s="250">
        <v>37228</v>
      </c>
      <c r="B15808" s="74" t="s">
        <v>7206</v>
      </c>
      <c r="C15808" s="74" t="s">
        <v>452</v>
      </c>
    </row>
    <row r="15809" spans="1:3">
      <c r="A15809" s="250">
        <v>37229</v>
      </c>
      <c r="B15809" s="74" t="s">
        <v>7206</v>
      </c>
      <c r="C15809" s="74" t="s">
        <v>452</v>
      </c>
    </row>
    <row r="15810" spans="1:3">
      <c r="A15810" s="250">
        <v>37230</v>
      </c>
      <c r="B15810" s="74" t="s">
        <v>7206</v>
      </c>
      <c r="C15810" s="74" t="s">
        <v>452</v>
      </c>
    </row>
    <row r="15811" spans="1:3">
      <c r="A15811" s="250">
        <v>37232</v>
      </c>
      <c r="B15811" s="74" t="s">
        <v>7206</v>
      </c>
      <c r="C15811" s="74" t="s">
        <v>452</v>
      </c>
    </row>
    <row r="15812" spans="1:3">
      <c r="A15812" s="250">
        <v>37234</v>
      </c>
      <c r="B15812" s="74" t="s">
        <v>7206</v>
      </c>
      <c r="C15812" s="74" t="s">
        <v>452</v>
      </c>
    </row>
    <row r="15813" spans="1:3">
      <c r="A15813" s="250">
        <v>37235</v>
      </c>
      <c r="B15813" s="74" t="s">
        <v>7206</v>
      </c>
      <c r="C15813" s="74" t="s">
        <v>452</v>
      </c>
    </row>
    <row r="15814" spans="1:3">
      <c r="A15814" s="250">
        <v>37236</v>
      </c>
      <c r="B15814" s="74" t="s">
        <v>7206</v>
      </c>
      <c r="C15814" s="74" t="s">
        <v>452</v>
      </c>
    </row>
    <row r="15815" spans="1:3">
      <c r="A15815" s="250">
        <v>37237</v>
      </c>
      <c r="B15815" s="74" t="s">
        <v>7206</v>
      </c>
      <c r="C15815" s="74" t="s">
        <v>452</v>
      </c>
    </row>
    <row r="15816" spans="1:3">
      <c r="A15816" s="250">
        <v>37238</v>
      </c>
      <c r="B15816" s="74" t="s">
        <v>7206</v>
      </c>
      <c r="C15816" s="74" t="s">
        <v>452</v>
      </c>
    </row>
    <row r="15817" spans="1:3">
      <c r="A15817" s="250">
        <v>37240</v>
      </c>
      <c r="B15817" s="74" t="s">
        <v>7206</v>
      </c>
      <c r="C15817" s="74" t="s">
        <v>452</v>
      </c>
    </row>
    <row r="15818" spans="1:3">
      <c r="A15818" s="250">
        <v>37241</v>
      </c>
      <c r="B15818" s="74" t="s">
        <v>7206</v>
      </c>
      <c r="C15818" s="74" t="s">
        <v>452</v>
      </c>
    </row>
    <row r="15819" spans="1:3">
      <c r="A15819" s="250">
        <v>37242</v>
      </c>
      <c r="B15819" s="74" t="s">
        <v>7206</v>
      </c>
      <c r="C15819" s="74" t="s">
        <v>452</v>
      </c>
    </row>
    <row r="15820" spans="1:3">
      <c r="A15820" s="250">
        <v>37243</v>
      </c>
      <c r="B15820" s="74" t="s">
        <v>7206</v>
      </c>
      <c r="C15820" s="74" t="s">
        <v>452</v>
      </c>
    </row>
    <row r="15821" spans="1:3">
      <c r="A15821" s="250">
        <v>37244</v>
      </c>
      <c r="B15821" s="74" t="s">
        <v>7206</v>
      </c>
      <c r="C15821" s="74" t="s">
        <v>452</v>
      </c>
    </row>
    <row r="15822" spans="1:3">
      <c r="A15822" s="250">
        <v>37245</v>
      </c>
      <c r="B15822" s="74" t="s">
        <v>7206</v>
      </c>
      <c r="C15822" s="74" t="s">
        <v>452</v>
      </c>
    </row>
    <row r="15823" spans="1:3">
      <c r="A15823" s="250">
        <v>37246</v>
      </c>
      <c r="B15823" s="74" t="s">
        <v>7206</v>
      </c>
      <c r="C15823" s="74" t="s">
        <v>452</v>
      </c>
    </row>
    <row r="15824" spans="1:3">
      <c r="A15824" s="250">
        <v>37247</v>
      </c>
      <c r="B15824" s="74" t="s">
        <v>7206</v>
      </c>
      <c r="C15824" s="74" t="s">
        <v>452</v>
      </c>
    </row>
    <row r="15825" spans="1:3">
      <c r="A15825" s="250">
        <v>37248</v>
      </c>
      <c r="B15825" s="74" t="s">
        <v>7206</v>
      </c>
      <c r="C15825" s="74" t="s">
        <v>452</v>
      </c>
    </row>
    <row r="15826" spans="1:3">
      <c r="A15826" s="250">
        <v>37249</v>
      </c>
      <c r="B15826" s="74" t="s">
        <v>7206</v>
      </c>
      <c r="C15826" s="74" t="s">
        <v>452</v>
      </c>
    </row>
    <row r="15827" spans="1:3">
      <c r="A15827" s="250">
        <v>37250</v>
      </c>
      <c r="B15827" s="74" t="s">
        <v>7206</v>
      </c>
      <c r="C15827" s="74" t="s">
        <v>452</v>
      </c>
    </row>
    <row r="15828" spans="1:3">
      <c r="A15828" s="250">
        <v>37301</v>
      </c>
      <c r="B15828" s="74" t="s">
        <v>2909</v>
      </c>
      <c r="C15828" s="74" t="s">
        <v>452</v>
      </c>
    </row>
    <row r="15829" spans="1:3">
      <c r="A15829" s="250">
        <v>37302</v>
      </c>
      <c r="B15829" s="74" t="s">
        <v>9047</v>
      </c>
      <c r="C15829" s="74" t="s">
        <v>452</v>
      </c>
    </row>
    <row r="15830" spans="1:3">
      <c r="A15830" s="250">
        <v>37303</v>
      </c>
      <c r="B15830" s="74" t="s">
        <v>1678</v>
      </c>
      <c r="C15830" s="74" t="s">
        <v>452</v>
      </c>
    </row>
    <row r="15831" spans="1:3">
      <c r="A15831" s="250">
        <v>37304</v>
      </c>
      <c r="B15831" s="74" t="s">
        <v>9048</v>
      </c>
      <c r="C15831" s="74" t="s">
        <v>452</v>
      </c>
    </row>
    <row r="15832" spans="1:3">
      <c r="A15832" s="250">
        <v>37305</v>
      </c>
      <c r="B15832" s="74" t="s">
        <v>9049</v>
      </c>
      <c r="C15832" s="74" t="s">
        <v>452</v>
      </c>
    </row>
    <row r="15833" spans="1:3">
      <c r="A15833" s="250">
        <v>37306</v>
      </c>
      <c r="B15833" s="74" t="s">
        <v>2296</v>
      </c>
      <c r="C15833" s="74" t="s">
        <v>452</v>
      </c>
    </row>
    <row r="15834" spans="1:3">
      <c r="A15834" s="250">
        <v>37307</v>
      </c>
      <c r="B15834" s="74" t="s">
        <v>4938</v>
      </c>
      <c r="C15834" s="74" t="s">
        <v>452</v>
      </c>
    </row>
    <row r="15835" spans="1:3">
      <c r="A15835" s="250">
        <v>37308</v>
      </c>
      <c r="B15835" s="74" t="s">
        <v>9050</v>
      </c>
      <c r="C15835" s="74" t="s">
        <v>452</v>
      </c>
    </row>
    <row r="15836" spans="1:3">
      <c r="A15836" s="250">
        <v>37309</v>
      </c>
      <c r="B15836" s="74" t="s">
        <v>8025</v>
      </c>
      <c r="C15836" s="74" t="s">
        <v>452</v>
      </c>
    </row>
    <row r="15837" spans="1:3">
      <c r="A15837" s="250">
        <v>37310</v>
      </c>
      <c r="B15837" s="74" t="s">
        <v>1498</v>
      </c>
      <c r="C15837" s="74" t="s">
        <v>452</v>
      </c>
    </row>
    <row r="15838" spans="1:3">
      <c r="A15838" s="250">
        <v>37311</v>
      </c>
      <c r="B15838" s="74" t="s">
        <v>3350</v>
      </c>
      <c r="C15838" s="74" t="s">
        <v>452</v>
      </c>
    </row>
    <row r="15839" spans="1:3">
      <c r="A15839" s="250">
        <v>37312</v>
      </c>
      <c r="B15839" s="74" t="s">
        <v>3350</v>
      </c>
      <c r="C15839" s="74" t="s">
        <v>452</v>
      </c>
    </row>
    <row r="15840" spans="1:3">
      <c r="A15840" s="250">
        <v>37313</v>
      </c>
      <c r="B15840" s="74" t="s">
        <v>9051</v>
      </c>
      <c r="C15840" s="74" t="s">
        <v>452</v>
      </c>
    </row>
    <row r="15841" spans="1:3">
      <c r="A15841" s="250">
        <v>37314</v>
      </c>
      <c r="B15841" s="74" t="s">
        <v>9052</v>
      </c>
      <c r="C15841" s="74" t="s">
        <v>452</v>
      </c>
    </row>
    <row r="15842" spans="1:3">
      <c r="A15842" s="250">
        <v>37315</v>
      </c>
      <c r="B15842" s="74" t="s">
        <v>9053</v>
      </c>
      <c r="C15842" s="74" t="s">
        <v>452</v>
      </c>
    </row>
    <row r="15843" spans="1:3">
      <c r="A15843" s="250">
        <v>37316</v>
      </c>
      <c r="B15843" s="74" t="s">
        <v>9054</v>
      </c>
      <c r="C15843" s="74" t="s">
        <v>452</v>
      </c>
    </row>
    <row r="15844" spans="1:3">
      <c r="A15844" s="250">
        <v>37317</v>
      </c>
      <c r="B15844" s="74" t="s">
        <v>9055</v>
      </c>
      <c r="C15844" s="74" t="s">
        <v>452</v>
      </c>
    </row>
    <row r="15845" spans="1:3">
      <c r="A15845" s="250">
        <v>37318</v>
      </c>
      <c r="B15845" s="74" t="s">
        <v>9056</v>
      </c>
      <c r="C15845" s="74" t="s">
        <v>452</v>
      </c>
    </row>
    <row r="15846" spans="1:3">
      <c r="A15846" s="250">
        <v>37320</v>
      </c>
      <c r="B15846" s="74" t="s">
        <v>3350</v>
      </c>
      <c r="C15846" s="74" t="s">
        <v>452</v>
      </c>
    </row>
    <row r="15847" spans="1:3">
      <c r="A15847" s="250">
        <v>37321</v>
      </c>
      <c r="B15847" s="74" t="s">
        <v>2564</v>
      </c>
      <c r="C15847" s="74" t="s">
        <v>452</v>
      </c>
    </row>
    <row r="15848" spans="1:3">
      <c r="A15848" s="250">
        <v>37322</v>
      </c>
      <c r="B15848" s="74" t="s">
        <v>7862</v>
      </c>
      <c r="C15848" s="74" t="s">
        <v>452</v>
      </c>
    </row>
    <row r="15849" spans="1:3">
      <c r="A15849" s="250">
        <v>37323</v>
      </c>
      <c r="B15849" s="74" t="s">
        <v>3350</v>
      </c>
      <c r="C15849" s="74" t="s">
        <v>452</v>
      </c>
    </row>
    <row r="15850" spans="1:3">
      <c r="A15850" s="250">
        <v>37324</v>
      </c>
      <c r="B15850" s="74" t="s">
        <v>9057</v>
      </c>
      <c r="C15850" s="74" t="s">
        <v>452</v>
      </c>
    </row>
    <row r="15851" spans="1:3">
      <c r="A15851" s="250">
        <v>37325</v>
      </c>
      <c r="B15851" s="74" t="s">
        <v>5084</v>
      </c>
      <c r="C15851" s="74" t="s">
        <v>452</v>
      </c>
    </row>
    <row r="15852" spans="1:3">
      <c r="A15852" s="250">
        <v>37326</v>
      </c>
      <c r="B15852" s="74" t="s">
        <v>9058</v>
      </c>
      <c r="C15852" s="74" t="s">
        <v>452</v>
      </c>
    </row>
    <row r="15853" spans="1:3">
      <c r="A15853" s="250">
        <v>37327</v>
      </c>
      <c r="B15853" s="74" t="s">
        <v>9059</v>
      </c>
      <c r="C15853" s="74" t="s">
        <v>452</v>
      </c>
    </row>
    <row r="15854" spans="1:3">
      <c r="A15854" s="250">
        <v>37328</v>
      </c>
      <c r="B15854" s="74" t="s">
        <v>9060</v>
      </c>
      <c r="C15854" s="74" t="s">
        <v>452</v>
      </c>
    </row>
    <row r="15855" spans="1:3">
      <c r="A15855" s="250">
        <v>37329</v>
      </c>
      <c r="B15855" s="74" t="s">
        <v>2232</v>
      </c>
      <c r="C15855" s="74" t="s">
        <v>452</v>
      </c>
    </row>
    <row r="15856" spans="1:3">
      <c r="A15856" s="250">
        <v>37330</v>
      </c>
      <c r="B15856" s="74" t="s">
        <v>9061</v>
      </c>
      <c r="C15856" s="74" t="s">
        <v>452</v>
      </c>
    </row>
    <row r="15857" spans="1:3">
      <c r="A15857" s="250">
        <v>37331</v>
      </c>
      <c r="B15857" s="74" t="s">
        <v>7548</v>
      </c>
      <c r="C15857" s="74" t="s">
        <v>452</v>
      </c>
    </row>
    <row r="15858" spans="1:3">
      <c r="A15858" s="250">
        <v>37332</v>
      </c>
      <c r="B15858" s="74" t="s">
        <v>9062</v>
      </c>
      <c r="C15858" s="74" t="s">
        <v>452</v>
      </c>
    </row>
    <row r="15859" spans="1:3">
      <c r="A15859" s="250">
        <v>37333</v>
      </c>
      <c r="B15859" s="74" t="s">
        <v>9063</v>
      </c>
      <c r="C15859" s="74" t="s">
        <v>452</v>
      </c>
    </row>
    <row r="15860" spans="1:3">
      <c r="A15860" s="250">
        <v>37334</v>
      </c>
      <c r="B15860" s="74" t="s">
        <v>3363</v>
      </c>
      <c r="C15860" s="74" t="s">
        <v>452</v>
      </c>
    </row>
    <row r="15861" spans="1:3">
      <c r="A15861" s="250">
        <v>37335</v>
      </c>
      <c r="B15861" s="74" t="s">
        <v>9064</v>
      </c>
      <c r="C15861" s="74" t="s">
        <v>452</v>
      </c>
    </row>
    <row r="15862" spans="1:3">
      <c r="A15862" s="250">
        <v>37336</v>
      </c>
      <c r="B15862" s="74" t="s">
        <v>813</v>
      </c>
      <c r="C15862" s="74" t="s">
        <v>452</v>
      </c>
    </row>
    <row r="15863" spans="1:3">
      <c r="A15863" s="250">
        <v>37337</v>
      </c>
      <c r="B15863" s="74" t="s">
        <v>9065</v>
      </c>
      <c r="C15863" s="74" t="s">
        <v>452</v>
      </c>
    </row>
    <row r="15864" spans="1:3">
      <c r="A15864" s="250">
        <v>37338</v>
      </c>
      <c r="B15864" s="74" t="s">
        <v>4060</v>
      </c>
      <c r="C15864" s="74" t="s">
        <v>452</v>
      </c>
    </row>
    <row r="15865" spans="1:3">
      <c r="A15865" s="250">
        <v>37339</v>
      </c>
      <c r="B15865" s="74" t="s">
        <v>9066</v>
      </c>
      <c r="C15865" s="74" t="s">
        <v>452</v>
      </c>
    </row>
    <row r="15866" spans="1:3">
      <c r="A15866" s="250">
        <v>37340</v>
      </c>
      <c r="B15866" s="74" t="s">
        <v>1279</v>
      </c>
      <c r="C15866" s="74" t="s">
        <v>452</v>
      </c>
    </row>
    <row r="15867" spans="1:3">
      <c r="A15867" s="250">
        <v>37341</v>
      </c>
      <c r="B15867" s="74" t="s">
        <v>1386</v>
      </c>
      <c r="C15867" s="74" t="s">
        <v>452</v>
      </c>
    </row>
    <row r="15868" spans="1:3">
      <c r="A15868" s="250">
        <v>37342</v>
      </c>
      <c r="B15868" s="74" t="s">
        <v>5758</v>
      </c>
      <c r="C15868" s="74" t="s">
        <v>452</v>
      </c>
    </row>
    <row r="15869" spans="1:3">
      <c r="A15869" s="250">
        <v>37343</v>
      </c>
      <c r="B15869" s="74" t="s">
        <v>9067</v>
      </c>
      <c r="C15869" s="74" t="s">
        <v>452</v>
      </c>
    </row>
    <row r="15870" spans="1:3">
      <c r="A15870" s="250">
        <v>37345</v>
      </c>
      <c r="B15870" s="74" t="s">
        <v>9068</v>
      </c>
      <c r="C15870" s="74" t="s">
        <v>452</v>
      </c>
    </row>
    <row r="15871" spans="1:3">
      <c r="A15871" s="250">
        <v>37347</v>
      </c>
      <c r="B15871" s="74" t="s">
        <v>3922</v>
      </c>
      <c r="C15871" s="74" t="s">
        <v>452</v>
      </c>
    </row>
    <row r="15872" spans="1:3">
      <c r="A15872" s="250">
        <v>37348</v>
      </c>
      <c r="B15872" s="74" t="s">
        <v>9069</v>
      </c>
      <c r="C15872" s="74" t="s">
        <v>452</v>
      </c>
    </row>
    <row r="15873" spans="1:3">
      <c r="A15873" s="250">
        <v>37349</v>
      </c>
      <c r="B15873" s="74" t="s">
        <v>848</v>
      </c>
      <c r="C15873" s="74" t="s">
        <v>452</v>
      </c>
    </row>
    <row r="15874" spans="1:3">
      <c r="A15874" s="250">
        <v>37350</v>
      </c>
      <c r="B15874" s="74" t="s">
        <v>8040</v>
      </c>
      <c r="C15874" s="74" t="s">
        <v>452</v>
      </c>
    </row>
    <row r="15875" spans="1:3">
      <c r="A15875" s="250">
        <v>37351</v>
      </c>
      <c r="B15875" s="74" t="s">
        <v>9070</v>
      </c>
      <c r="C15875" s="74" t="s">
        <v>452</v>
      </c>
    </row>
    <row r="15876" spans="1:3">
      <c r="A15876" s="250">
        <v>37352</v>
      </c>
      <c r="B15876" s="74" t="s">
        <v>6412</v>
      </c>
      <c r="C15876" s="74" t="s">
        <v>452</v>
      </c>
    </row>
    <row r="15877" spans="1:3">
      <c r="A15877" s="250">
        <v>37353</v>
      </c>
      <c r="B15877" s="74" t="s">
        <v>3993</v>
      </c>
      <c r="C15877" s="74" t="s">
        <v>452</v>
      </c>
    </row>
    <row r="15878" spans="1:3">
      <c r="A15878" s="250">
        <v>37354</v>
      </c>
      <c r="B15878" s="74" t="s">
        <v>9071</v>
      </c>
      <c r="C15878" s="74" t="s">
        <v>452</v>
      </c>
    </row>
    <row r="15879" spans="1:3">
      <c r="A15879" s="250">
        <v>37355</v>
      </c>
      <c r="B15879" s="74" t="s">
        <v>848</v>
      </c>
      <c r="C15879" s="74" t="s">
        <v>452</v>
      </c>
    </row>
    <row r="15880" spans="1:3">
      <c r="A15880" s="250">
        <v>37356</v>
      </c>
      <c r="B15880" s="74" t="s">
        <v>9072</v>
      </c>
      <c r="C15880" s="74" t="s">
        <v>452</v>
      </c>
    </row>
    <row r="15881" spans="1:3">
      <c r="A15881" s="250">
        <v>37357</v>
      </c>
      <c r="B15881" s="74" t="s">
        <v>9073</v>
      </c>
      <c r="C15881" s="74" t="s">
        <v>452</v>
      </c>
    </row>
    <row r="15882" spans="1:3">
      <c r="A15882" s="250">
        <v>37359</v>
      </c>
      <c r="B15882" s="74" t="s">
        <v>8511</v>
      </c>
      <c r="C15882" s="74" t="s">
        <v>452</v>
      </c>
    </row>
    <row r="15883" spans="1:3">
      <c r="A15883" s="250">
        <v>37360</v>
      </c>
      <c r="B15883" s="74" t="s">
        <v>9074</v>
      </c>
      <c r="C15883" s="74" t="s">
        <v>452</v>
      </c>
    </row>
    <row r="15884" spans="1:3">
      <c r="A15884" s="250">
        <v>37361</v>
      </c>
      <c r="B15884" s="74" t="s">
        <v>8603</v>
      </c>
      <c r="C15884" s="74" t="s">
        <v>452</v>
      </c>
    </row>
    <row r="15885" spans="1:3">
      <c r="A15885" s="250">
        <v>37362</v>
      </c>
      <c r="B15885" s="74" t="s">
        <v>7566</v>
      </c>
      <c r="C15885" s="74" t="s">
        <v>452</v>
      </c>
    </row>
    <row r="15886" spans="1:3">
      <c r="A15886" s="250">
        <v>37363</v>
      </c>
      <c r="B15886" s="74" t="s">
        <v>9075</v>
      </c>
      <c r="C15886" s="74" t="s">
        <v>452</v>
      </c>
    </row>
    <row r="15887" spans="1:3">
      <c r="A15887" s="250">
        <v>37364</v>
      </c>
      <c r="B15887" s="74" t="s">
        <v>3350</v>
      </c>
      <c r="C15887" s="74" t="s">
        <v>452</v>
      </c>
    </row>
    <row r="15888" spans="1:3">
      <c r="A15888" s="250">
        <v>37365</v>
      </c>
      <c r="B15888" s="74" t="s">
        <v>526</v>
      </c>
      <c r="C15888" s="74" t="s">
        <v>452</v>
      </c>
    </row>
    <row r="15889" spans="1:3">
      <c r="A15889" s="250">
        <v>37366</v>
      </c>
      <c r="B15889" s="74" t="s">
        <v>1169</v>
      </c>
      <c r="C15889" s="74" t="s">
        <v>452</v>
      </c>
    </row>
    <row r="15890" spans="1:3">
      <c r="A15890" s="250">
        <v>37367</v>
      </c>
      <c r="B15890" s="74" t="s">
        <v>7211</v>
      </c>
      <c r="C15890" s="74" t="s">
        <v>452</v>
      </c>
    </row>
    <row r="15891" spans="1:3">
      <c r="A15891" s="250">
        <v>37369</v>
      </c>
      <c r="B15891" s="74" t="s">
        <v>9076</v>
      </c>
      <c r="C15891" s="74" t="s">
        <v>452</v>
      </c>
    </row>
    <row r="15892" spans="1:3">
      <c r="A15892" s="250">
        <v>37370</v>
      </c>
      <c r="B15892" s="74" t="s">
        <v>4521</v>
      </c>
      <c r="C15892" s="74" t="s">
        <v>452</v>
      </c>
    </row>
    <row r="15893" spans="1:3">
      <c r="A15893" s="250">
        <v>37371</v>
      </c>
      <c r="B15893" s="74" t="s">
        <v>1678</v>
      </c>
      <c r="C15893" s="74" t="s">
        <v>452</v>
      </c>
    </row>
    <row r="15894" spans="1:3">
      <c r="A15894" s="250">
        <v>37373</v>
      </c>
      <c r="B15894" s="74" t="s">
        <v>9077</v>
      </c>
      <c r="C15894" s="74" t="s">
        <v>452</v>
      </c>
    </row>
    <row r="15895" spans="1:3">
      <c r="A15895" s="250">
        <v>37374</v>
      </c>
      <c r="B15895" s="74" t="s">
        <v>9078</v>
      </c>
      <c r="C15895" s="74" t="s">
        <v>452</v>
      </c>
    </row>
    <row r="15896" spans="1:3">
      <c r="A15896" s="250">
        <v>37375</v>
      </c>
      <c r="B15896" s="74" t="s">
        <v>9079</v>
      </c>
      <c r="C15896" s="74" t="s">
        <v>452</v>
      </c>
    </row>
    <row r="15897" spans="1:3">
      <c r="A15897" s="250">
        <v>37376</v>
      </c>
      <c r="B15897" s="74" t="s">
        <v>5774</v>
      </c>
      <c r="C15897" s="74" t="s">
        <v>452</v>
      </c>
    </row>
    <row r="15898" spans="1:3">
      <c r="A15898" s="250">
        <v>37377</v>
      </c>
      <c r="B15898" s="74" t="s">
        <v>9080</v>
      </c>
      <c r="C15898" s="74" t="s">
        <v>452</v>
      </c>
    </row>
    <row r="15899" spans="1:3">
      <c r="A15899" s="250">
        <v>37378</v>
      </c>
      <c r="B15899" s="74" t="s">
        <v>9081</v>
      </c>
      <c r="C15899" s="74" t="s">
        <v>452</v>
      </c>
    </row>
    <row r="15900" spans="1:3">
      <c r="A15900" s="250">
        <v>37379</v>
      </c>
      <c r="B15900" s="74" t="s">
        <v>9082</v>
      </c>
      <c r="C15900" s="74" t="s">
        <v>452</v>
      </c>
    </row>
    <row r="15901" spans="1:3">
      <c r="A15901" s="250">
        <v>37380</v>
      </c>
      <c r="B15901" s="74" t="s">
        <v>9083</v>
      </c>
      <c r="C15901" s="74" t="s">
        <v>452</v>
      </c>
    </row>
    <row r="15902" spans="1:3">
      <c r="A15902" s="250">
        <v>37381</v>
      </c>
      <c r="B15902" s="74" t="s">
        <v>5439</v>
      </c>
      <c r="C15902" s="74" t="s">
        <v>452</v>
      </c>
    </row>
    <row r="15903" spans="1:3">
      <c r="A15903" s="250">
        <v>37382</v>
      </c>
      <c r="B15903" s="74" t="s">
        <v>3207</v>
      </c>
      <c r="C15903" s="74" t="s">
        <v>452</v>
      </c>
    </row>
    <row r="15904" spans="1:3">
      <c r="A15904" s="250">
        <v>37383</v>
      </c>
      <c r="B15904" s="74" t="s">
        <v>9079</v>
      </c>
      <c r="C15904" s="74" t="s">
        <v>452</v>
      </c>
    </row>
    <row r="15905" spans="1:3">
      <c r="A15905" s="250">
        <v>37384</v>
      </c>
      <c r="B15905" s="74" t="s">
        <v>9082</v>
      </c>
      <c r="C15905" s="74" t="s">
        <v>452</v>
      </c>
    </row>
    <row r="15906" spans="1:3">
      <c r="A15906" s="250">
        <v>37385</v>
      </c>
      <c r="B15906" s="74" t="s">
        <v>9084</v>
      </c>
      <c r="C15906" s="74" t="s">
        <v>452</v>
      </c>
    </row>
    <row r="15907" spans="1:3">
      <c r="A15907" s="250">
        <v>37387</v>
      </c>
      <c r="B15907" s="74" t="s">
        <v>9085</v>
      </c>
      <c r="C15907" s="74" t="s">
        <v>452</v>
      </c>
    </row>
    <row r="15908" spans="1:3">
      <c r="A15908" s="250">
        <v>37388</v>
      </c>
      <c r="B15908" s="74" t="s">
        <v>9086</v>
      </c>
      <c r="C15908" s="74" t="s">
        <v>452</v>
      </c>
    </row>
    <row r="15909" spans="1:3">
      <c r="A15909" s="250">
        <v>37389</v>
      </c>
      <c r="B15909" s="74" t="s">
        <v>9087</v>
      </c>
      <c r="C15909" s="74" t="s">
        <v>452</v>
      </c>
    </row>
    <row r="15910" spans="1:3">
      <c r="A15910" s="250">
        <v>37391</v>
      </c>
      <c r="B15910" s="74" t="s">
        <v>9088</v>
      </c>
      <c r="C15910" s="74" t="s">
        <v>452</v>
      </c>
    </row>
    <row r="15911" spans="1:3">
      <c r="A15911" s="250">
        <v>37394</v>
      </c>
      <c r="B15911" s="74" t="s">
        <v>5510</v>
      </c>
      <c r="C15911" s="74" t="s">
        <v>452</v>
      </c>
    </row>
    <row r="15912" spans="1:3">
      <c r="A15912" s="250">
        <v>37396</v>
      </c>
      <c r="B15912" s="74" t="s">
        <v>9089</v>
      </c>
      <c r="C15912" s="74" t="s">
        <v>452</v>
      </c>
    </row>
    <row r="15913" spans="1:3">
      <c r="A15913" s="250">
        <v>37397</v>
      </c>
      <c r="B15913" s="74" t="s">
        <v>9090</v>
      </c>
      <c r="C15913" s="74" t="s">
        <v>452</v>
      </c>
    </row>
    <row r="15914" spans="1:3">
      <c r="A15914" s="250">
        <v>37398</v>
      </c>
      <c r="B15914" s="74" t="s">
        <v>832</v>
      </c>
      <c r="C15914" s="74" t="s">
        <v>452</v>
      </c>
    </row>
    <row r="15915" spans="1:3">
      <c r="A15915" s="250">
        <v>37401</v>
      </c>
      <c r="B15915" s="74" t="s">
        <v>9091</v>
      </c>
      <c r="C15915" s="74" t="s">
        <v>452</v>
      </c>
    </row>
    <row r="15916" spans="1:3">
      <c r="A15916" s="250">
        <v>37402</v>
      </c>
      <c r="B15916" s="74" t="s">
        <v>9091</v>
      </c>
      <c r="C15916" s="74" t="s">
        <v>452</v>
      </c>
    </row>
    <row r="15917" spans="1:3">
      <c r="A15917" s="250">
        <v>37403</v>
      </c>
      <c r="B15917" s="74" t="s">
        <v>9091</v>
      </c>
      <c r="C15917" s="74" t="s">
        <v>452</v>
      </c>
    </row>
    <row r="15918" spans="1:3">
      <c r="A15918" s="250">
        <v>37404</v>
      </c>
      <c r="B15918" s="74" t="s">
        <v>9091</v>
      </c>
      <c r="C15918" s="74" t="s">
        <v>452</v>
      </c>
    </row>
    <row r="15919" spans="1:3">
      <c r="A15919" s="250">
        <v>37405</v>
      </c>
      <c r="B15919" s="74" t="s">
        <v>9091</v>
      </c>
      <c r="C15919" s="74" t="s">
        <v>452</v>
      </c>
    </row>
    <row r="15920" spans="1:3">
      <c r="A15920" s="250">
        <v>37406</v>
      </c>
      <c r="B15920" s="74" t="s">
        <v>9091</v>
      </c>
      <c r="C15920" s="74" t="s">
        <v>452</v>
      </c>
    </row>
    <row r="15921" spans="1:3">
      <c r="A15921" s="250">
        <v>37407</v>
      </c>
      <c r="B15921" s="74" t="s">
        <v>9091</v>
      </c>
      <c r="C15921" s="74" t="s">
        <v>452</v>
      </c>
    </row>
    <row r="15922" spans="1:3">
      <c r="A15922" s="250">
        <v>37408</v>
      </c>
      <c r="B15922" s="74" t="s">
        <v>9091</v>
      </c>
      <c r="C15922" s="74" t="s">
        <v>452</v>
      </c>
    </row>
    <row r="15923" spans="1:3">
      <c r="A15923" s="250">
        <v>37409</v>
      </c>
      <c r="B15923" s="74" t="s">
        <v>9091</v>
      </c>
      <c r="C15923" s="74" t="s">
        <v>452</v>
      </c>
    </row>
    <row r="15924" spans="1:3">
      <c r="A15924" s="250">
        <v>37410</v>
      </c>
      <c r="B15924" s="74" t="s">
        <v>9091</v>
      </c>
      <c r="C15924" s="74" t="s">
        <v>452</v>
      </c>
    </row>
    <row r="15925" spans="1:3">
      <c r="A15925" s="250">
        <v>37411</v>
      </c>
      <c r="B15925" s="74" t="s">
        <v>9091</v>
      </c>
      <c r="C15925" s="74" t="s">
        <v>452</v>
      </c>
    </row>
    <row r="15926" spans="1:3">
      <c r="A15926" s="250">
        <v>37412</v>
      </c>
      <c r="B15926" s="74" t="s">
        <v>9091</v>
      </c>
      <c r="C15926" s="74" t="s">
        <v>452</v>
      </c>
    </row>
    <row r="15927" spans="1:3">
      <c r="A15927" s="250">
        <v>37414</v>
      </c>
      <c r="B15927" s="74" t="s">
        <v>9091</v>
      </c>
      <c r="C15927" s="74" t="s">
        <v>452</v>
      </c>
    </row>
    <row r="15928" spans="1:3">
      <c r="A15928" s="250">
        <v>37415</v>
      </c>
      <c r="B15928" s="74" t="s">
        <v>9091</v>
      </c>
      <c r="C15928" s="74" t="s">
        <v>452</v>
      </c>
    </row>
    <row r="15929" spans="1:3">
      <c r="A15929" s="250">
        <v>37416</v>
      </c>
      <c r="B15929" s="74" t="s">
        <v>9091</v>
      </c>
      <c r="C15929" s="74" t="s">
        <v>452</v>
      </c>
    </row>
    <row r="15930" spans="1:3">
      <c r="A15930" s="250">
        <v>37419</v>
      </c>
      <c r="B15930" s="74" t="s">
        <v>9091</v>
      </c>
      <c r="C15930" s="74" t="s">
        <v>452</v>
      </c>
    </row>
    <row r="15931" spans="1:3">
      <c r="A15931" s="250">
        <v>37421</v>
      </c>
      <c r="B15931" s="74" t="s">
        <v>9091</v>
      </c>
      <c r="C15931" s="74" t="s">
        <v>452</v>
      </c>
    </row>
    <row r="15932" spans="1:3">
      <c r="A15932" s="250">
        <v>37422</v>
      </c>
      <c r="B15932" s="74" t="s">
        <v>9091</v>
      </c>
      <c r="C15932" s="74" t="s">
        <v>452</v>
      </c>
    </row>
    <row r="15933" spans="1:3">
      <c r="A15933" s="250">
        <v>37424</v>
      </c>
      <c r="B15933" s="74" t="s">
        <v>9091</v>
      </c>
      <c r="C15933" s="74" t="s">
        <v>452</v>
      </c>
    </row>
    <row r="15934" spans="1:3">
      <c r="A15934" s="250">
        <v>37450</v>
      </c>
      <c r="B15934" s="74" t="s">
        <v>9091</v>
      </c>
      <c r="C15934" s="74" t="s">
        <v>452</v>
      </c>
    </row>
    <row r="15935" spans="1:3">
      <c r="A15935" s="250">
        <v>37501</v>
      </c>
      <c r="B15935" s="74" t="s">
        <v>3387</v>
      </c>
      <c r="C15935" s="74" t="s">
        <v>452</v>
      </c>
    </row>
    <row r="15936" spans="1:3">
      <c r="A15936" s="250">
        <v>37544</v>
      </c>
      <c r="B15936" s="74" t="s">
        <v>3387</v>
      </c>
      <c r="C15936" s="74" t="s">
        <v>452</v>
      </c>
    </row>
    <row r="15937" spans="1:3">
      <c r="A15937" s="250">
        <v>37601</v>
      </c>
      <c r="B15937" s="74" t="s">
        <v>3623</v>
      </c>
      <c r="C15937" s="74" t="s">
        <v>452</v>
      </c>
    </row>
    <row r="15938" spans="1:3">
      <c r="A15938" s="250">
        <v>37602</v>
      </c>
      <c r="B15938" s="74" t="s">
        <v>3623</v>
      </c>
      <c r="C15938" s="74" t="s">
        <v>452</v>
      </c>
    </row>
    <row r="15939" spans="1:3">
      <c r="A15939" s="250">
        <v>37604</v>
      </c>
      <c r="B15939" s="74" t="s">
        <v>3623</v>
      </c>
      <c r="C15939" s="74" t="s">
        <v>452</v>
      </c>
    </row>
    <row r="15940" spans="1:3">
      <c r="A15940" s="250">
        <v>37605</v>
      </c>
      <c r="B15940" s="74" t="s">
        <v>3623</v>
      </c>
      <c r="C15940" s="74" t="s">
        <v>452</v>
      </c>
    </row>
    <row r="15941" spans="1:3">
      <c r="A15941" s="250">
        <v>37614</v>
      </c>
      <c r="B15941" s="74" t="s">
        <v>3623</v>
      </c>
      <c r="C15941" s="74" t="s">
        <v>452</v>
      </c>
    </row>
    <row r="15942" spans="1:3">
      <c r="A15942" s="250">
        <v>37615</v>
      </c>
      <c r="B15942" s="74" t="s">
        <v>3623</v>
      </c>
      <c r="C15942" s="74" t="s">
        <v>452</v>
      </c>
    </row>
    <row r="15943" spans="1:3">
      <c r="A15943" s="250">
        <v>37616</v>
      </c>
      <c r="B15943" s="74" t="s">
        <v>3590</v>
      </c>
      <c r="C15943" s="74" t="s">
        <v>452</v>
      </c>
    </row>
    <row r="15944" spans="1:3">
      <c r="A15944" s="250">
        <v>37617</v>
      </c>
      <c r="B15944" s="74" t="s">
        <v>9092</v>
      </c>
      <c r="C15944" s="74" t="s">
        <v>452</v>
      </c>
    </row>
    <row r="15945" spans="1:3">
      <c r="A15945" s="250">
        <v>37618</v>
      </c>
      <c r="B15945" s="74" t="s">
        <v>9093</v>
      </c>
      <c r="C15945" s="74" t="s">
        <v>452</v>
      </c>
    </row>
    <row r="15946" spans="1:3">
      <c r="A15946" s="250">
        <v>37620</v>
      </c>
      <c r="B15946" s="74" t="s">
        <v>1098</v>
      </c>
      <c r="C15946" s="74" t="s">
        <v>452</v>
      </c>
    </row>
    <row r="15947" spans="1:3">
      <c r="A15947" s="250">
        <v>37621</v>
      </c>
      <c r="B15947" s="74" t="s">
        <v>1098</v>
      </c>
      <c r="C15947" s="74" t="s">
        <v>452</v>
      </c>
    </row>
    <row r="15948" spans="1:3">
      <c r="A15948" s="250">
        <v>37625</v>
      </c>
      <c r="B15948" s="74" t="s">
        <v>1098</v>
      </c>
      <c r="C15948" s="74" t="s">
        <v>452</v>
      </c>
    </row>
    <row r="15949" spans="1:3">
      <c r="A15949" s="250">
        <v>37640</v>
      </c>
      <c r="B15949" s="74" t="s">
        <v>2183</v>
      </c>
      <c r="C15949" s="74" t="s">
        <v>452</v>
      </c>
    </row>
    <row r="15950" spans="1:3">
      <c r="A15950" s="250">
        <v>37641</v>
      </c>
      <c r="B15950" s="74" t="s">
        <v>9094</v>
      </c>
      <c r="C15950" s="74" t="s">
        <v>452</v>
      </c>
    </row>
    <row r="15951" spans="1:3">
      <c r="A15951" s="250">
        <v>37642</v>
      </c>
      <c r="B15951" s="74" t="s">
        <v>5745</v>
      </c>
      <c r="C15951" s="74" t="s">
        <v>452</v>
      </c>
    </row>
    <row r="15952" spans="1:3">
      <c r="A15952" s="250">
        <v>37643</v>
      </c>
      <c r="B15952" s="74" t="s">
        <v>9095</v>
      </c>
      <c r="C15952" s="74" t="s">
        <v>452</v>
      </c>
    </row>
    <row r="15953" spans="1:3">
      <c r="A15953" s="250">
        <v>37644</v>
      </c>
      <c r="B15953" s="74" t="s">
        <v>9095</v>
      </c>
      <c r="C15953" s="74" t="s">
        <v>452</v>
      </c>
    </row>
    <row r="15954" spans="1:3">
      <c r="A15954" s="250">
        <v>37645</v>
      </c>
      <c r="B15954" s="74" t="s">
        <v>4960</v>
      </c>
      <c r="C15954" s="74" t="s">
        <v>452</v>
      </c>
    </row>
    <row r="15955" spans="1:3">
      <c r="A15955" s="250">
        <v>37650</v>
      </c>
      <c r="B15955" s="74" t="s">
        <v>7352</v>
      </c>
      <c r="C15955" s="74" t="s">
        <v>452</v>
      </c>
    </row>
    <row r="15956" spans="1:3">
      <c r="A15956" s="250">
        <v>37656</v>
      </c>
      <c r="B15956" s="74" t="s">
        <v>9096</v>
      </c>
      <c r="C15956" s="74" t="s">
        <v>452</v>
      </c>
    </row>
    <row r="15957" spans="1:3">
      <c r="A15957" s="250">
        <v>37657</v>
      </c>
      <c r="B15957" s="74" t="s">
        <v>9097</v>
      </c>
      <c r="C15957" s="74" t="s">
        <v>452</v>
      </c>
    </row>
    <row r="15958" spans="1:3">
      <c r="A15958" s="250">
        <v>37658</v>
      </c>
      <c r="B15958" s="74" t="s">
        <v>1315</v>
      </c>
      <c r="C15958" s="74" t="s">
        <v>452</v>
      </c>
    </row>
    <row r="15959" spans="1:3">
      <c r="A15959" s="250">
        <v>37659</v>
      </c>
      <c r="B15959" s="74" t="s">
        <v>9098</v>
      </c>
      <c r="C15959" s="74" t="s">
        <v>452</v>
      </c>
    </row>
    <row r="15960" spans="1:3">
      <c r="A15960" s="250">
        <v>37660</v>
      </c>
      <c r="B15960" s="74" t="s">
        <v>9099</v>
      </c>
      <c r="C15960" s="74" t="s">
        <v>452</v>
      </c>
    </row>
    <row r="15961" spans="1:3">
      <c r="A15961" s="250">
        <v>37662</v>
      </c>
      <c r="B15961" s="74" t="s">
        <v>9099</v>
      </c>
      <c r="C15961" s="74" t="s">
        <v>452</v>
      </c>
    </row>
    <row r="15962" spans="1:3">
      <c r="A15962" s="250">
        <v>37663</v>
      </c>
      <c r="B15962" s="74" t="s">
        <v>9099</v>
      </c>
      <c r="C15962" s="74" t="s">
        <v>452</v>
      </c>
    </row>
    <row r="15963" spans="1:3">
      <c r="A15963" s="250">
        <v>37664</v>
      </c>
      <c r="B15963" s="74" t="s">
        <v>9099</v>
      </c>
      <c r="C15963" s="74" t="s">
        <v>452</v>
      </c>
    </row>
    <row r="15964" spans="1:3">
      <c r="A15964" s="250">
        <v>37665</v>
      </c>
      <c r="B15964" s="74" t="s">
        <v>9099</v>
      </c>
      <c r="C15964" s="74" t="s">
        <v>452</v>
      </c>
    </row>
    <row r="15965" spans="1:3">
      <c r="A15965" s="250">
        <v>37669</v>
      </c>
      <c r="B15965" s="74" t="s">
        <v>9099</v>
      </c>
      <c r="C15965" s="74" t="s">
        <v>452</v>
      </c>
    </row>
    <row r="15966" spans="1:3">
      <c r="A15966" s="250">
        <v>37680</v>
      </c>
      <c r="B15966" s="74" t="s">
        <v>9100</v>
      </c>
      <c r="C15966" s="74" t="s">
        <v>452</v>
      </c>
    </row>
    <row r="15967" spans="1:3">
      <c r="A15967" s="250">
        <v>37681</v>
      </c>
      <c r="B15967" s="74" t="s">
        <v>1635</v>
      </c>
      <c r="C15967" s="74" t="s">
        <v>452</v>
      </c>
    </row>
    <row r="15968" spans="1:3">
      <c r="A15968" s="250">
        <v>37682</v>
      </c>
      <c r="B15968" s="74" t="s">
        <v>9101</v>
      </c>
      <c r="C15968" s="74" t="s">
        <v>452</v>
      </c>
    </row>
    <row r="15969" spans="1:3">
      <c r="A15969" s="250">
        <v>37683</v>
      </c>
      <c r="B15969" s="74" t="s">
        <v>7989</v>
      </c>
      <c r="C15969" s="74" t="s">
        <v>452</v>
      </c>
    </row>
    <row r="15970" spans="1:3">
      <c r="A15970" s="250">
        <v>37684</v>
      </c>
      <c r="B15970" s="74" t="s">
        <v>7564</v>
      </c>
      <c r="C15970" s="74" t="s">
        <v>452</v>
      </c>
    </row>
    <row r="15971" spans="1:3">
      <c r="A15971" s="250">
        <v>37686</v>
      </c>
      <c r="B15971" s="74" t="s">
        <v>9102</v>
      </c>
      <c r="C15971" s="74" t="s">
        <v>452</v>
      </c>
    </row>
    <row r="15972" spans="1:3">
      <c r="A15972" s="250">
        <v>37687</v>
      </c>
      <c r="B15972" s="74" t="s">
        <v>9103</v>
      </c>
      <c r="C15972" s="74" t="s">
        <v>452</v>
      </c>
    </row>
    <row r="15973" spans="1:3">
      <c r="A15973" s="250">
        <v>37688</v>
      </c>
      <c r="B15973" s="74" t="s">
        <v>9104</v>
      </c>
      <c r="C15973" s="74" t="s">
        <v>452</v>
      </c>
    </row>
    <row r="15974" spans="1:3">
      <c r="A15974" s="250">
        <v>37690</v>
      </c>
      <c r="B15974" s="74" t="s">
        <v>5300</v>
      </c>
      <c r="C15974" s="74" t="s">
        <v>452</v>
      </c>
    </row>
    <row r="15975" spans="1:3">
      <c r="A15975" s="250">
        <v>37691</v>
      </c>
      <c r="B15975" s="74" t="s">
        <v>9105</v>
      </c>
      <c r="C15975" s="74" t="s">
        <v>452</v>
      </c>
    </row>
    <row r="15976" spans="1:3">
      <c r="A15976" s="250">
        <v>37692</v>
      </c>
      <c r="B15976" s="74" t="s">
        <v>9106</v>
      </c>
      <c r="C15976" s="74" t="s">
        <v>452</v>
      </c>
    </row>
    <row r="15977" spans="1:3">
      <c r="A15977" s="250">
        <v>37694</v>
      </c>
      <c r="B15977" s="74" t="s">
        <v>9107</v>
      </c>
      <c r="C15977" s="74" t="s">
        <v>452</v>
      </c>
    </row>
    <row r="15978" spans="1:3">
      <c r="A15978" s="250">
        <v>37699</v>
      </c>
      <c r="B15978" s="74" t="s">
        <v>9102</v>
      </c>
      <c r="C15978" s="74" t="s">
        <v>452</v>
      </c>
    </row>
    <row r="15979" spans="1:3">
      <c r="A15979" s="250">
        <v>37701</v>
      </c>
      <c r="B15979" s="74" t="s">
        <v>9108</v>
      </c>
      <c r="C15979" s="74" t="s">
        <v>452</v>
      </c>
    </row>
    <row r="15980" spans="1:3">
      <c r="A15980" s="250">
        <v>37705</v>
      </c>
      <c r="B15980" s="74" t="s">
        <v>8162</v>
      </c>
      <c r="C15980" s="74" t="s">
        <v>452</v>
      </c>
    </row>
    <row r="15981" spans="1:3">
      <c r="A15981" s="250">
        <v>37707</v>
      </c>
      <c r="B15981" s="74" t="s">
        <v>9109</v>
      </c>
      <c r="C15981" s="74" t="s">
        <v>452</v>
      </c>
    </row>
    <row r="15982" spans="1:3">
      <c r="A15982" s="250">
        <v>37708</v>
      </c>
      <c r="B15982" s="74" t="s">
        <v>9110</v>
      </c>
      <c r="C15982" s="74" t="s">
        <v>452</v>
      </c>
    </row>
    <row r="15983" spans="1:3">
      <c r="A15983" s="250">
        <v>37709</v>
      </c>
      <c r="B15983" s="74" t="s">
        <v>1623</v>
      </c>
      <c r="C15983" s="74" t="s">
        <v>452</v>
      </c>
    </row>
    <row r="15984" spans="1:3">
      <c r="A15984" s="250">
        <v>37710</v>
      </c>
      <c r="B15984" s="74" t="s">
        <v>9111</v>
      </c>
      <c r="C15984" s="74" t="s">
        <v>452</v>
      </c>
    </row>
    <row r="15985" spans="1:3">
      <c r="A15985" s="250">
        <v>37711</v>
      </c>
      <c r="B15985" s="74" t="s">
        <v>9112</v>
      </c>
      <c r="C15985" s="74" t="s">
        <v>452</v>
      </c>
    </row>
    <row r="15986" spans="1:3">
      <c r="A15986" s="250">
        <v>37713</v>
      </c>
      <c r="B15986" s="74" t="s">
        <v>9113</v>
      </c>
      <c r="C15986" s="74" t="s">
        <v>452</v>
      </c>
    </row>
    <row r="15987" spans="1:3">
      <c r="A15987" s="250">
        <v>37714</v>
      </c>
      <c r="B15987" s="74" t="s">
        <v>8300</v>
      </c>
      <c r="C15987" s="74" t="s">
        <v>452</v>
      </c>
    </row>
    <row r="15988" spans="1:3">
      <c r="A15988" s="250">
        <v>37715</v>
      </c>
      <c r="B15988" s="74" t="s">
        <v>9114</v>
      </c>
      <c r="C15988" s="74" t="s">
        <v>452</v>
      </c>
    </row>
    <row r="15989" spans="1:3">
      <c r="A15989" s="250">
        <v>37716</v>
      </c>
      <c r="B15989" s="74" t="s">
        <v>732</v>
      </c>
      <c r="C15989" s="74" t="s">
        <v>452</v>
      </c>
    </row>
    <row r="15990" spans="1:3">
      <c r="A15990" s="250">
        <v>37717</v>
      </c>
      <c r="B15990" s="74" t="s">
        <v>732</v>
      </c>
      <c r="C15990" s="74" t="s">
        <v>452</v>
      </c>
    </row>
    <row r="15991" spans="1:3">
      <c r="A15991" s="250">
        <v>37719</v>
      </c>
      <c r="B15991" s="74" t="s">
        <v>9115</v>
      </c>
      <c r="C15991" s="74" t="s">
        <v>452</v>
      </c>
    </row>
    <row r="15992" spans="1:3">
      <c r="A15992" s="250">
        <v>37721</v>
      </c>
      <c r="B15992" s="74" t="s">
        <v>9116</v>
      </c>
      <c r="C15992" s="74" t="s">
        <v>452</v>
      </c>
    </row>
    <row r="15993" spans="1:3">
      <c r="A15993" s="250">
        <v>37722</v>
      </c>
      <c r="B15993" s="74" t="s">
        <v>9117</v>
      </c>
      <c r="C15993" s="74" t="s">
        <v>452</v>
      </c>
    </row>
    <row r="15994" spans="1:3">
      <c r="A15994" s="250">
        <v>37723</v>
      </c>
      <c r="B15994" s="74" t="s">
        <v>6785</v>
      </c>
      <c r="C15994" s="74" t="s">
        <v>452</v>
      </c>
    </row>
    <row r="15995" spans="1:3">
      <c r="A15995" s="250">
        <v>37724</v>
      </c>
      <c r="B15995" s="74" t="s">
        <v>9118</v>
      </c>
      <c r="C15995" s="74" t="s">
        <v>452</v>
      </c>
    </row>
    <row r="15996" spans="1:3">
      <c r="A15996" s="250">
        <v>37725</v>
      </c>
      <c r="B15996" s="74" t="s">
        <v>9119</v>
      </c>
      <c r="C15996" s="74" t="s">
        <v>452</v>
      </c>
    </row>
    <row r="15997" spans="1:3">
      <c r="A15997" s="250">
        <v>37726</v>
      </c>
      <c r="B15997" s="74" t="s">
        <v>9120</v>
      </c>
      <c r="C15997" s="74" t="s">
        <v>452</v>
      </c>
    </row>
    <row r="15998" spans="1:3">
      <c r="A15998" s="250">
        <v>37727</v>
      </c>
      <c r="B15998" s="74" t="s">
        <v>9121</v>
      </c>
      <c r="C15998" s="74" t="s">
        <v>452</v>
      </c>
    </row>
    <row r="15999" spans="1:3">
      <c r="A15999" s="250">
        <v>37729</v>
      </c>
      <c r="B15999" s="74" t="s">
        <v>9122</v>
      </c>
      <c r="C15999" s="74" t="s">
        <v>452</v>
      </c>
    </row>
    <row r="16000" spans="1:3">
      <c r="A16000" s="250">
        <v>37730</v>
      </c>
      <c r="B16000" s="74" t="s">
        <v>9123</v>
      </c>
      <c r="C16000" s="74" t="s">
        <v>452</v>
      </c>
    </row>
    <row r="16001" spans="1:3">
      <c r="A16001" s="250">
        <v>37731</v>
      </c>
      <c r="B16001" s="74" t="s">
        <v>9124</v>
      </c>
      <c r="C16001" s="74" t="s">
        <v>452</v>
      </c>
    </row>
    <row r="16002" spans="1:3">
      <c r="A16002" s="250">
        <v>37732</v>
      </c>
      <c r="B16002" s="74" t="s">
        <v>4511</v>
      </c>
      <c r="C16002" s="74" t="s">
        <v>452</v>
      </c>
    </row>
    <row r="16003" spans="1:3">
      <c r="A16003" s="250">
        <v>37733</v>
      </c>
      <c r="B16003" s="74" t="s">
        <v>9125</v>
      </c>
      <c r="C16003" s="74" t="s">
        <v>452</v>
      </c>
    </row>
    <row r="16004" spans="1:3">
      <c r="A16004" s="250">
        <v>37737</v>
      </c>
      <c r="B16004" s="74" t="s">
        <v>5238</v>
      </c>
      <c r="C16004" s="74" t="s">
        <v>452</v>
      </c>
    </row>
    <row r="16005" spans="1:3">
      <c r="A16005" s="250">
        <v>37738</v>
      </c>
      <c r="B16005" s="74" t="s">
        <v>9126</v>
      </c>
      <c r="C16005" s="74" t="s">
        <v>452</v>
      </c>
    </row>
    <row r="16006" spans="1:3">
      <c r="A16006" s="250">
        <v>37742</v>
      </c>
      <c r="B16006" s="74" t="s">
        <v>9127</v>
      </c>
      <c r="C16006" s="74" t="s">
        <v>452</v>
      </c>
    </row>
    <row r="16007" spans="1:3">
      <c r="A16007" s="250">
        <v>37743</v>
      </c>
      <c r="B16007" s="74" t="s">
        <v>9128</v>
      </c>
      <c r="C16007" s="74" t="s">
        <v>452</v>
      </c>
    </row>
    <row r="16008" spans="1:3">
      <c r="A16008" s="250">
        <v>37744</v>
      </c>
      <c r="B16008" s="74" t="s">
        <v>9128</v>
      </c>
      <c r="C16008" s="74" t="s">
        <v>452</v>
      </c>
    </row>
    <row r="16009" spans="1:3">
      <c r="A16009" s="250">
        <v>37745</v>
      </c>
      <c r="B16009" s="74" t="s">
        <v>9128</v>
      </c>
      <c r="C16009" s="74" t="s">
        <v>452</v>
      </c>
    </row>
    <row r="16010" spans="1:3">
      <c r="A16010" s="250">
        <v>37748</v>
      </c>
      <c r="B16010" s="74" t="s">
        <v>2686</v>
      </c>
      <c r="C16010" s="74" t="s">
        <v>452</v>
      </c>
    </row>
    <row r="16011" spans="1:3">
      <c r="A16011" s="250">
        <v>37752</v>
      </c>
      <c r="B16011" s="74" t="s">
        <v>9129</v>
      </c>
      <c r="C16011" s="74" t="s">
        <v>452</v>
      </c>
    </row>
    <row r="16012" spans="1:3">
      <c r="A16012" s="250">
        <v>37753</v>
      </c>
      <c r="B16012" s="74" t="s">
        <v>1737</v>
      </c>
      <c r="C16012" s="74" t="s">
        <v>452</v>
      </c>
    </row>
    <row r="16013" spans="1:3">
      <c r="A16013" s="250">
        <v>37754</v>
      </c>
      <c r="B16013" s="74" t="s">
        <v>9130</v>
      </c>
      <c r="C16013" s="74" t="s">
        <v>452</v>
      </c>
    </row>
    <row r="16014" spans="1:3">
      <c r="A16014" s="250">
        <v>37755</v>
      </c>
      <c r="B16014" s="74" t="s">
        <v>9131</v>
      </c>
      <c r="C16014" s="74" t="s">
        <v>452</v>
      </c>
    </row>
    <row r="16015" spans="1:3">
      <c r="A16015" s="250">
        <v>37756</v>
      </c>
      <c r="B16015" s="74" t="s">
        <v>8758</v>
      </c>
      <c r="C16015" s="74" t="s">
        <v>452</v>
      </c>
    </row>
    <row r="16016" spans="1:3">
      <c r="A16016" s="250">
        <v>37757</v>
      </c>
      <c r="B16016" s="74" t="s">
        <v>9132</v>
      </c>
      <c r="C16016" s="74" t="s">
        <v>452</v>
      </c>
    </row>
    <row r="16017" spans="1:3">
      <c r="A16017" s="250">
        <v>37760</v>
      </c>
      <c r="B16017" s="74" t="s">
        <v>9133</v>
      </c>
      <c r="C16017" s="74" t="s">
        <v>452</v>
      </c>
    </row>
    <row r="16018" spans="1:3">
      <c r="A16018" s="250">
        <v>37762</v>
      </c>
      <c r="B16018" s="74" t="s">
        <v>9134</v>
      </c>
      <c r="C16018" s="74" t="s">
        <v>452</v>
      </c>
    </row>
    <row r="16019" spans="1:3">
      <c r="A16019" s="250">
        <v>37763</v>
      </c>
      <c r="B16019" s="74" t="s">
        <v>957</v>
      </c>
      <c r="C16019" s="74" t="s">
        <v>452</v>
      </c>
    </row>
    <row r="16020" spans="1:3">
      <c r="A16020" s="250">
        <v>37764</v>
      </c>
      <c r="B16020" s="74" t="s">
        <v>9135</v>
      </c>
      <c r="C16020" s="74" t="s">
        <v>452</v>
      </c>
    </row>
    <row r="16021" spans="1:3">
      <c r="A16021" s="250">
        <v>37765</v>
      </c>
      <c r="B16021" s="74" t="s">
        <v>9136</v>
      </c>
      <c r="C16021" s="74" t="s">
        <v>452</v>
      </c>
    </row>
    <row r="16022" spans="1:3">
      <c r="A16022" s="250">
        <v>37766</v>
      </c>
      <c r="B16022" s="74" t="s">
        <v>9137</v>
      </c>
      <c r="C16022" s="74" t="s">
        <v>452</v>
      </c>
    </row>
    <row r="16023" spans="1:3">
      <c r="A16023" s="250">
        <v>37769</v>
      </c>
      <c r="B16023" s="74" t="s">
        <v>4516</v>
      </c>
      <c r="C16023" s="74" t="s">
        <v>452</v>
      </c>
    </row>
    <row r="16024" spans="1:3">
      <c r="A16024" s="250">
        <v>37770</v>
      </c>
      <c r="B16024" s="74" t="s">
        <v>9138</v>
      </c>
      <c r="C16024" s="74" t="s">
        <v>452</v>
      </c>
    </row>
    <row r="16025" spans="1:3">
      <c r="A16025" s="250">
        <v>37771</v>
      </c>
      <c r="B16025" s="74" t="s">
        <v>9139</v>
      </c>
      <c r="C16025" s="74" t="s">
        <v>452</v>
      </c>
    </row>
    <row r="16026" spans="1:3">
      <c r="A16026" s="250">
        <v>37772</v>
      </c>
      <c r="B16026" s="74" t="s">
        <v>9139</v>
      </c>
      <c r="C16026" s="74" t="s">
        <v>452</v>
      </c>
    </row>
    <row r="16027" spans="1:3">
      <c r="A16027" s="250">
        <v>37773</v>
      </c>
      <c r="B16027" s="74" t="s">
        <v>9140</v>
      </c>
      <c r="C16027" s="74" t="s">
        <v>452</v>
      </c>
    </row>
    <row r="16028" spans="1:3">
      <c r="A16028" s="250">
        <v>37774</v>
      </c>
      <c r="B16028" s="74" t="s">
        <v>1225</v>
      </c>
      <c r="C16028" s="74" t="s">
        <v>452</v>
      </c>
    </row>
    <row r="16029" spans="1:3">
      <c r="A16029" s="250">
        <v>37777</v>
      </c>
      <c r="B16029" s="74" t="s">
        <v>7943</v>
      </c>
      <c r="C16029" s="74" t="s">
        <v>452</v>
      </c>
    </row>
    <row r="16030" spans="1:3">
      <c r="A16030" s="250">
        <v>37778</v>
      </c>
      <c r="B16030" s="74" t="s">
        <v>7448</v>
      </c>
      <c r="C16030" s="74" t="s">
        <v>452</v>
      </c>
    </row>
    <row r="16031" spans="1:3">
      <c r="A16031" s="250">
        <v>37779</v>
      </c>
      <c r="B16031" s="74" t="s">
        <v>9141</v>
      </c>
      <c r="C16031" s="74" t="s">
        <v>452</v>
      </c>
    </row>
    <row r="16032" spans="1:3">
      <c r="A16032" s="250">
        <v>37801</v>
      </c>
      <c r="B16032" s="74" t="s">
        <v>9142</v>
      </c>
      <c r="C16032" s="74" t="s">
        <v>452</v>
      </c>
    </row>
    <row r="16033" spans="1:3">
      <c r="A16033" s="250">
        <v>37802</v>
      </c>
      <c r="B16033" s="74" t="s">
        <v>9142</v>
      </c>
      <c r="C16033" s="74" t="s">
        <v>452</v>
      </c>
    </row>
    <row r="16034" spans="1:3">
      <c r="A16034" s="250">
        <v>37803</v>
      </c>
      <c r="B16034" s="74" t="s">
        <v>9142</v>
      </c>
      <c r="C16034" s="74" t="s">
        <v>452</v>
      </c>
    </row>
    <row r="16035" spans="1:3">
      <c r="A16035" s="250">
        <v>37804</v>
      </c>
      <c r="B16035" s="74" t="s">
        <v>9142</v>
      </c>
      <c r="C16035" s="74" t="s">
        <v>452</v>
      </c>
    </row>
    <row r="16036" spans="1:3">
      <c r="A16036" s="250">
        <v>37806</v>
      </c>
      <c r="B16036" s="74" t="s">
        <v>6083</v>
      </c>
      <c r="C16036" s="74" t="s">
        <v>452</v>
      </c>
    </row>
    <row r="16037" spans="1:3">
      <c r="A16037" s="250">
        <v>37807</v>
      </c>
      <c r="B16037" s="74" t="s">
        <v>9143</v>
      </c>
      <c r="C16037" s="74" t="s">
        <v>452</v>
      </c>
    </row>
    <row r="16038" spans="1:3">
      <c r="A16038" s="250">
        <v>37809</v>
      </c>
      <c r="B16038" s="74" t="s">
        <v>3995</v>
      </c>
      <c r="C16038" s="74" t="s">
        <v>452</v>
      </c>
    </row>
    <row r="16039" spans="1:3">
      <c r="A16039" s="250">
        <v>37810</v>
      </c>
      <c r="B16039" s="74" t="s">
        <v>3477</v>
      </c>
      <c r="C16039" s="74" t="s">
        <v>452</v>
      </c>
    </row>
    <row r="16040" spans="1:3">
      <c r="A16040" s="250">
        <v>37811</v>
      </c>
      <c r="B16040" s="74" t="s">
        <v>9144</v>
      </c>
      <c r="C16040" s="74" t="s">
        <v>452</v>
      </c>
    </row>
    <row r="16041" spans="1:3">
      <c r="A16041" s="250">
        <v>37813</v>
      </c>
      <c r="B16041" s="74" t="s">
        <v>2353</v>
      </c>
      <c r="C16041" s="74" t="s">
        <v>452</v>
      </c>
    </row>
    <row r="16042" spans="1:3">
      <c r="A16042" s="250">
        <v>37814</v>
      </c>
      <c r="B16042" s="74" t="s">
        <v>2353</v>
      </c>
      <c r="C16042" s="74" t="s">
        <v>452</v>
      </c>
    </row>
    <row r="16043" spans="1:3">
      <c r="A16043" s="250">
        <v>37815</v>
      </c>
      <c r="B16043" s="74" t="s">
        <v>2353</v>
      </c>
      <c r="C16043" s="74" t="s">
        <v>452</v>
      </c>
    </row>
    <row r="16044" spans="1:3">
      <c r="A16044" s="250">
        <v>37816</v>
      </c>
      <c r="B16044" s="74" t="s">
        <v>2353</v>
      </c>
      <c r="C16044" s="74" t="s">
        <v>452</v>
      </c>
    </row>
    <row r="16045" spans="1:3">
      <c r="A16045" s="250">
        <v>37818</v>
      </c>
      <c r="B16045" s="74" t="s">
        <v>9145</v>
      </c>
      <c r="C16045" s="74" t="s">
        <v>452</v>
      </c>
    </row>
    <row r="16046" spans="1:3">
      <c r="A16046" s="250">
        <v>37819</v>
      </c>
      <c r="B16046" s="74" t="s">
        <v>3250</v>
      </c>
      <c r="C16046" s="74" t="s">
        <v>452</v>
      </c>
    </row>
    <row r="16047" spans="1:3">
      <c r="A16047" s="250">
        <v>37820</v>
      </c>
      <c r="B16047" s="74" t="s">
        <v>5812</v>
      </c>
      <c r="C16047" s="74" t="s">
        <v>452</v>
      </c>
    </row>
    <row r="16048" spans="1:3">
      <c r="A16048" s="250">
        <v>37821</v>
      </c>
      <c r="B16048" s="74" t="s">
        <v>1118</v>
      </c>
      <c r="C16048" s="74" t="s">
        <v>452</v>
      </c>
    </row>
    <row r="16049" spans="1:3">
      <c r="A16049" s="250">
        <v>37822</v>
      </c>
      <c r="B16049" s="74" t="s">
        <v>1118</v>
      </c>
      <c r="C16049" s="74" t="s">
        <v>452</v>
      </c>
    </row>
    <row r="16050" spans="1:3">
      <c r="A16050" s="250">
        <v>37824</v>
      </c>
      <c r="B16050" s="74" t="s">
        <v>9146</v>
      </c>
      <c r="C16050" s="74" t="s">
        <v>452</v>
      </c>
    </row>
    <row r="16051" spans="1:3">
      <c r="A16051" s="250">
        <v>37825</v>
      </c>
      <c r="B16051" s="74" t="s">
        <v>9146</v>
      </c>
      <c r="C16051" s="74" t="s">
        <v>452</v>
      </c>
    </row>
    <row r="16052" spans="1:3">
      <c r="A16052" s="250">
        <v>37826</v>
      </c>
      <c r="B16052" s="74" t="s">
        <v>9147</v>
      </c>
      <c r="C16052" s="74" t="s">
        <v>452</v>
      </c>
    </row>
    <row r="16053" spans="1:3">
      <c r="A16053" s="250">
        <v>37828</v>
      </c>
      <c r="B16053" s="74" t="s">
        <v>7786</v>
      </c>
      <c r="C16053" s="74" t="s">
        <v>452</v>
      </c>
    </row>
    <row r="16054" spans="1:3">
      <c r="A16054" s="250">
        <v>37829</v>
      </c>
      <c r="B16054" s="74" t="s">
        <v>2024</v>
      </c>
      <c r="C16054" s="74" t="s">
        <v>452</v>
      </c>
    </row>
    <row r="16055" spans="1:3">
      <c r="A16055" s="250">
        <v>37830</v>
      </c>
      <c r="B16055" s="74" t="s">
        <v>2198</v>
      </c>
      <c r="C16055" s="74" t="s">
        <v>452</v>
      </c>
    </row>
    <row r="16056" spans="1:3">
      <c r="A16056" s="250">
        <v>37831</v>
      </c>
      <c r="B16056" s="74" t="s">
        <v>2198</v>
      </c>
      <c r="C16056" s="74" t="s">
        <v>452</v>
      </c>
    </row>
    <row r="16057" spans="1:3">
      <c r="A16057" s="250">
        <v>37840</v>
      </c>
      <c r="B16057" s="74" t="s">
        <v>9148</v>
      </c>
      <c r="C16057" s="74" t="s">
        <v>452</v>
      </c>
    </row>
    <row r="16058" spans="1:3">
      <c r="A16058" s="250">
        <v>37841</v>
      </c>
      <c r="B16058" s="74" t="s">
        <v>3483</v>
      </c>
      <c r="C16058" s="74" t="s">
        <v>452</v>
      </c>
    </row>
    <row r="16059" spans="1:3">
      <c r="A16059" s="250">
        <v>37843</v>
      </c>
      <c r="B16059" s="74" t="s">
        <v>9149</v>
      </c>
      <c r="C16059" s="74" t="s">
        <v>452</v>
      </c>
    </row>
    <row r="16060" spans="1:3">
      <c r="A16060" s="250">
        <v>37845</v>
      </c>
      <c r="B16060" s="74" t="s">
        <v>9150</v>
      </c>
      <c r="C16060" s="74" t="s">
        <v>452</v>
      </c>
    </row>
    <row r="16061" spans="1:3">
      <c r="A16061" s="250">
        <v>37846</v>
      </c>
      <c r="B16061" s="74" t="s">
        <v>3570</v>
      </c>
      <c r="C16061" s="74" t="s">
        <v>452</v>
      </c>
    </row>
    <row r="16062" spans="1:3">
      <c r="A16062" s="250">
        <v>37847</v>
      </c>
      <c r="B16062" s="74" t="s">
        <v>9151</v>
      </c>
      <c r="C16062" s="74" t="s">
        <v>452</v>
      </c>
    </row>
    <row r="16063" spans="1:3">
      <c r="A16063" s="250">
        <v>37848</v>
      </c>
      <c r="B16063" s="74" t="s">
        <v>7886</v>
      </c>
      <c r="C16063" s="74" t="s">
        <v>452</v>
      </c>
    </row>
    <row r="16064" spans="1:3">
      <c r="A16064" s="250">
        <v>37849</v>
      </c>
      <c r="B16064" s="74" t="s">
        <v>9152</v>
      </c>
      <c r="C16064" s="74" t="s">
        <v>452</v>
      </c>
    </row>
    <row r="16065" spans="1:3">
      <c r="A16065" s="250">
        <v>37851</v>
      </c>
      <c r="B16065" s="74" t="s">
        <v>9153</v>
      </c>
      <c r="C16065" s="74" t="s">
        <v>452</v>
      </c>
    </row>
    <row r="16066" spans="1:3">
      <c r="A16066" s="250">
        <v>37852</v>
      </c>
      <c r="B16066" s="74" t="s">
        <v>7115</v>
      </c>
      <c r="C16066" s="74" t="s">
        <v>452</v>
      </c>
    </row>
    <row r="16067" spans="1:3">
      <c r="A16067" s="250">
        <v>37853</v>
      </c>
      <c r="B16067" s="74" t="s">
        <v>8662</v>
      </c>
      <c r="C16067" s="74" t="s">
        <v>452</v>
      </c>
    </row>
    <row r="16068" spans="1:3">
      <c r="A16068" s="250">
        <v>37854</v>
      </c>
      <c r="B16068" s="74" t="s">
        <v>1525</v>
      </c>
      <c r="C16068" s="74" t="s">
        <v>452</v>
      </c>
    </row>
    <row r="16069" spans="1:3">
      <c r="A16069" s="250">
        <v>37857</v>
      </c>
      <c r="B16069" s="74" t="s">
        <v>4073</v>
      </c>
      <c r="C16069" s="74" t="s">
        <v>452</v>
      </c>
    </row>
    <row r="16070" spans="1:3">
      <c r="A16070" s="250">
        <v>37860</v>
      </c>
      <c r="B16070" s="74" t="s">
        <v>7718</v>
      </c>
      <c r="C16070" s="74" t="s">
        <v>452</v>
      </c>
    </row>
    <row r="16071" spans="1:3">
      <c r="A16071" s="250">
        <v>37861</v>
      </c>
      <c r="B16071" s="74" t="s">
        <v>8017</v>
      </c>
      <c r="C16071" s="74" t="s">
        <v>452</v>
      </c>
    </row>
    <row r="16072" spans="1:3">
      <c r="A16072" s="250">
        <v>37862</v>
      </c>
      <c r="B16072" s="74" t="s">
        <v>9154</v>
      </c>
      <c r="C16072" s="74" t="s">
        <v>452</v>
      </c>
    </row>
    <row r="16073" spans="1:3">
      <c r="A16073" s="250">
        <v>37863</v>
      </c>
      <c r="B16073" s="74" t="s">
        <v>9155</v>
      </c>
      <c r="C16073" s="74" t="s">
        <v>452</v>
      </c>
    </row>
    <row r="16074" spans="1:3">
      <c r="A16074" s="250">
        <v>37864</v>
      </c>
      <c r="B16074" s="74" t="s">
        <v>9154</v>
      </c>
      <c r="C16074" s="74" t="s">
        <v>452</v>
      </c>
    </row>
    <row r="16075" spans="1:3">
      <c r="A16075" s="250">
        <v>37865</v>
      </c>
      <c r="B16075" s="74" t="s">
        <v>2066</v>
      </c>
      <c r="C16075" s="74" t="s">
        <v>452</v>
      </c>
    </row>
    <row r="16076" spans="1:3">
      <c r="A16076" s="250">
        <v>37866</v>
      </c>
      <c r="B16076" s="74" t="s">
        <v>9156</v>
      </c>
      <c r="C16076" s="74" t="s">
        <v>452</v>
      </c>
    </row>
    <row r="16077" spans="1:3">
      <c r="A16077" s="250">
        <v>37867</v>
      </c>
      <c r="B16077" s="74" t="s">
        <v>9157</v>
      </c>
      <c r="C16077" s="74" t="s">
        <v>452</v>
      </c>
    </row>
    <row r="16078" spans="1:3">
      <c r="A16078" s="250">
        <v>37868</v>
      </c>
      <c r="B16078" s="74" t="s">
        <v>9155</v>
      </c>
      <c r="C16078" s="74" t="s">
        <v>452</v>
      </c>
    </row>
    <row r="16079" spans="1:3">
      <c r="A16079" s="250">
        <v>37869</v>
      </c>
      <c r="B16079" s="74" t="s">
        <v>9158</v>
      </c>
      <c r="C16079" s="74" t="s">
        <v>452</v>
      </c>
    </row>
    <row r="16080" spans="1:3">
      <c r="A16080" s="250">
        <v>37870</v>
      </c>
      <c r="B16080" s="74" t="s">
        <v>6374</v>
      </c>
      <c r="C16080" s="74" t="s">
        <v>452</v>
      </c>
    </row>
    <row r="16081" spans="1:3">
      <c r="A16081" s="250">
        <v>37871</v>
      </c>
      <c r="B16081" s="74" t="s">
        <v>9159</v>
      </c>
      <c r="C16081" s="74" t="s">
        <v>452</v>
      </c>
    </row>
    <row r="16082" spans="1:3">
      <c r="A16082" s="250">
        <v>37872</v>
      </c>
      <c r="B16082" s="74" t="s">
        <v>9160</v>
      </c>
      <c r="C16082" s="74" t="s">
        <v>452</v>
      </c>
    </row>
    <row r="16083" spans="1:3">
      <c r="A16083" s="250">
        <v>37873</v>
      </c>
      <c r="B16083" s="74" t="s">
        <v>9161</v>
      </c>
      <c r="C16083" s="74" t="s">
        <v>452</v>
      </c>
    </row>
    <row r="16084" spans="1:3">
      <c r="A16084" s="250">
        <v>37874</v>
      </c>
      <c r="B16084" s="74" t="s">
        <v>9162</v>
      </c>
      <c r="C16084" s="74" t="s">
        <v>452</v>
      </c>
    </row>
    <row r="16085" spans="1:3">
      <c r="A16085" s="250">
        <v>37876</v>
      </c>
      <c r="B16085" s="74" t="s">
        <v>9154</v>
      </c>
      <c r="C16085" s="74" t="s">
        <v>452</v>
      </c>
    </row>
    <row r="16086" spans="1:3">
      <c r="A16086" s="250">
        <v>37877</v>
      </c>
      <c r="B16086" s="74" t="s">
        <v>9163</v>
      </c>
      <c r="C16086" s="74" t="s">
        <v>452</v>
      </c>
    </row>
    <row r="16087" spans="1:3">
      <c r="A16087" s="250">
        <v>37878</v>
      </c>
      <c r="B16087" s="74" t="s">
        <v>8818</v>
      </c>
      <c r="C16087" s="74" t="s">
        <v>452</v>
      </c>
    </row>
    <row r="16088" spans="1:3">
      <c r="A16088" s="250">
        <v>37879</v>
      </c>
      <c r="B16088" s="74" t="s">
        <v>6475</v>
      </c>
      <c r="C16088" s="74" t="s">
        <v>452</v>
      </c>
    </row>
    <row r="16089" spans="1:3">
      <c r="A16089" s="250">
        <v>37880</v>
      </c>
      <c r="B16089" s="74" t="s">
        <v>9164</v>
      </c>
      <c r="C16089" s="74" t="s">
        <v>452</v>
      </c>
    </row>
    <row r="16090" spans="1:3">
      <c r="A16090" s="250">
        <v>37881</v>
      </c>
      <c r="B16090" s="74" t="s">
        <v>9165</v>
      </c>
      <c r="C16090" s="74" t="s">
        <v>452</v>
      </c>
    </row>
    <row r="16091" spans="1:3">
      <c r="A16091" s="250">
        <v>37882</v>
      </c>
      <c r="B16091" s="74" t="s">
        <v>719</v>
      </c>
      <c r="C16091" s="74" t="s">
        <v>452</v>
      </c>
    </row>
    <row r="16092" spans="1:3">
      <c r="A16092" s="250">
        <v>37885</v>
      </c>
      <c r="B16092" s="74" t="s">
        <v>9166</v>
      </c>
      <c r="C16092" s="74" t="s">
        <v>452</v>
      </c>
    </row>
    <row r="16093" spans="1:3">
      <c r="A16093" s="250">
        <v>37886</v>
      </c>
      <c r="B16093" s="74" t="s">
        <v>9167</v>
      </c>
      <c r="C16093" s="74" t="s">
        <v>452</v>
      </c>
    </row>
    <row r="16094" spans="1:3">
      <c r="A16094" s="250">
        <v>37887</v>
      </c>
      <c r="B16094" s="74" t="s">
        <v>9168</v>
      </c>
      <c r="C16094" s="74" t="s">
        <v>452</v>
      </c>
    </row>
    <row r="16095" spans="1:3">
      <c r="A16095" s="250">
        <v>37888</v>
      </c>
      <c r="B16095" s="74" t="s">
        <v>1659</v>
      </c>
      <c r="C16095" s="74" t="s">
        <v>452</v>
      </c>
    </row>
    <row r="16096" spans="1:3">
      <c r="A16096" s="250">
        <v>37890</v>
      </c>
      <c r="B16096" s="74" t="s">
        <v>9169</v>
      </c>
      <c r="C16096" s="74" t="s">
        <v>452</v>
      </c>
    </row>
    <row r="16097" spans="1:3">
      <c r="A16097" s="250">
        <v>37891</v>
      </c>
      <c r="B16097" s="74" t="s">
        <v>7903</v>
      </c>
      <c r="C16097" s="74" t="s">
        <v>452</v>
      </c>
    </row>
    <row r="16098" spans="1:3">
      <c r="A16098" s="250">
        <v>37892</v>
      </c>
      <c r="B16098" s="74" t="s">
        <v>4985</v>
      </c>
      <c r="C16098" s="74" t="s">
        <v>452</v>
      </c>
    </row>
    <row r="16099" spans="1:3">
      <c r="A16099" s="250">
        <v>37901</v>
      </c>
      <c r="B16099" s="74" t="s">
        <v>4677</v>
      </c>
      <c r="C16099" s="74" t="s">
        <v>452</v>
      </c>
    </row>
    <row r="16100" spans="1:3">
      <c r="A16100" s="250">
        <v>37902</v>
      </c>
      <c r="B16100" s="74" t="s">
        <v>4677</v>
      </c>
      <c r="C16100" s="74" t="s">
        <v>452</v>
      </c>
    </row>
    <row r="16101" spans="1:3">
      <c r="A16101" s="250">
        <v>37909</v>
      </c>
      <c r="B16101" s="74" t="s">
        <v>4677</v>
      </c>
      <c r="C16101" s="74" t="s">
        <v>452</v>
      </c>
    </row>
    <row r="16102" spans="1:3">
      <c r="A16102" s="250">
        <v>37912</v>
      </c>
      <c r="B16102" s="74" t="s">
        <v>4677</v>
      </c>
      <c r="C16102" s="74" t="s">
        <v>452</v>
      </c>
    </row>
    <row r="16103" spans="1:3">
      <c r="A16103" s="250">
        <v>37914</v>
      </c>
      <c r="B16103" s="74" t="s">
        <v>4677</v>
      </c>
      <c r="C16103" s="74" t="s">
        <v>452</v>
      </c>
    </row>
    <row r="16104" spans="1:3">
      <c r="A16104" s="250">
        <v>37915</v>
      </c>
      <c r="B16104" s="74" t="s">
        <v>4677</v>
      </c>
      <c r="C16104" s="74" t="s">
        <v>452</v>
      </c>
    </row>
    <row r="16105" spans="1:3">
      <c r="A16105" s="250">
        <v>37916</v>
      </c>
      <c r="B16105" s="74" t="s">
        <v>4677</v>
      </c>
      <c r="C16105" s="74" t="s">
        <v>452</v>
      </c>
    </row>
    <row r="16106" spans="1:3">
      <c r="A16106" s="250">
        <v>37917</v>
      </c>
      <c r="B16106" s="74" t="s">
        <v>4677</v>
      </c>
      <c r="C16106" s="74" t="s">
        <v>452</v>
      </c>
    </row>
    <row r="16107" spans="1:3">
      <c r="A16107" s="250">
        <v>37918</v>
      </c>
      <c r="B16107" s="74" t="s">
        <v>4677</v>
      </c>
      <c r="C16107" s="74" t="s">
        <v>452</v>
      </c>
    </row>
    <row r="16108" spans="1:3">
      <c r="A16108" s="250">
        <v>37919</v>
      </c>
      <c r="B16108" s="74" t="s">
        <v>4677</v>
      </c>
      <c r="C16108" s="74" t="s">
        <v>452</v>
      </c>
    </row>
    <row r="16109" spans="1:3">
      <c r="A16109" s="250">
        <v>37920</v>
      </c>
      <c r="B16109" s="74" t="s">
        <v>4677</v>
      </c>
      <c r="C16109" s="74" t="s">
        <v>452</v>
      </c>
    </row>
    <row r="16110" spans="1:3">
      <c r="A16110" s="250">
        <v>37921</v>
      </c>
      <c r="B16110" s="74" t="s">
        <v>4677</v>
      </c>
      <c r="C16110" s="74" t="s">
        <v>452</v>
      </c>
    </row>
    <row r="16111" spans="1:3">
      <c r="A16111" s="250">
        <v>37922</v>
      </c>
      <c r="B16111" s="74" t="s">
        <v>4677</v>
      </c>
      <c r="C16111" s="74" t="s">
        <v>452</v>
      </c>
    </row>
    <row r="16112" spans="1:3">
      <c r="A16112" s="250">
        <v>37923</v>
      </c>
      <c r="B16112" s="74" t="s">
        <v>4677</v>
      </c>
      <c r="C16112" s="74" t="s">
        <v>452</v>
      </c>
    </row>
    <row r="16113" spans="1:3">
      <c r="A16113" s="250">
        <v>37924</v>
      </c>
      <c r="B16113" s="74" t="s">
        <v>4677</v>
      </c>
      <c r="C16113" s="74" t="s">
        <v>452</v>
      </c>
    </row>
    <row r="16114" spans="1:3">
      <c r="A16114" s="250">
        <v>37927</v>
      </c>
      <c r="B16114" s="74" t="s">
        <v>4677</v>
      </c>
      <c r="C16114" s="74" t="s">
        <v>452</v>
      </c>
    </row>
    <row r="16115" spans="1:3">
      <c r="A16115" s="250">
        <v>37928</v>
      </c>
      <c r="B16115" s="74" t="s">
        <v>4677</v>
      </c>
      <c r="C16115" s="74" t="s">
        <v>452</v>
      </c>
    </row>
    <row r="16116" spans="1:3">
      <c r="A16116" s="250">
        <v>37929</v>
      </c>
      <c r="B16116" s="74" t="s">
        <v>4677</v>
      </c>
      <c r="C16116" s="74" t="s">
        <v>452</v>
      </c>
    </row>
    <row r="16117" spans="1:3">
      <c r="A16117" s="250">
        <v>37930</v>
      </c>
      <c r="B16117" s="74" t="s">
        <v>4677</v>
      </c>
      <c r="C16117" s="74" t="s">
        <v>452</v>
      </c>
    </row>
    <row r="16118" spans="1:3">
      <c r="A16118" s="250">
        <v>37931</v>
      </c>
      <c r="B16118" s="74" t="s">
        <v>4677</v>
      </c>
      <c r="C16118" s="74" t="s">
        <v>452</v>
      </c>
    </row>
    <row r="16119" spans="1:3">
      <c r="A16119" s="250">
        <v>37932</v>
      </c>
      <c r="B16119" s="74" t="s">
        <v>4677</v>
      </c>
      <c r="C16119" s="74" t="s">
        <v>452</v>
      </c>
    </row>
    <row r="16120" spans="1:3">
      <c r="A16120" s="250">
        <v>37933</v>
      </c>
      <c r="B16120" s="74" t="s">
        <v>4677</v>
      </c>
      <c r="C16120" s="74" t="s">
        <v>452</v>
      </c>
    </row>
    <row r="16121" spans="1:3">
      <c r="A16121" s="250">
        <v>37934</v>
      </c>
      <c r="B16121" s="74" t="s">
        <v>4677</v>
      </c>
      <c r="C16121" s="74" t="s">
        <v>452</v>
      </c>
    </row>
    <row r="16122" spans="1:3">
      <c r="A16122" s="250">
        <v>37938</v>
      </c>
      <c r="B16122" s="74" t="s">
        <v>4677</v>
      </c>
      <c r="C16122" s="74" t="s">
        <v>452</v>
      </c>
    </row>
    <row r="16123" spans="1:3">
      <c r="A16123" s="250">
        <v>37939</v>
      </c>
      <c r="B16123" s="74" t="s">
        <v>4677</v>
      </c>
      <c r="C16123" s="74" t="s">
        <v>452</v>
      </c>
    </row>
    <row r="16124" spans="1:3">
      <c r="A16124" s="250">
        <v>37940</v>
      </c>
      <c r="B16124" s="74" t="s">
        <v>4677</v>
      </c>
      <c r="C16124" s="74" t="s">
        <v>452</v>
      </c>
    </row>
    <row r="16125" spans="1:3">
      <c r="A16125" s="250">
        <v>37950</v>
      </c>
      <c r="B16125" s="74" t="s">
        <v>4677</v>
      </c>
      <c r="C16125" s="74" t="s">
        <v>452</v>
      </c>
    </row>
    <row r="16126" spans="1:3">
      <c r="A16126" s="250">
        <v>37990</v>
      </c>
      <c r="B16126" s="74" t="s">
        <v>4677</v>
      </c>
      <c r="C16126" s="74" t="s">
        <v>452</v>
      </c>
    </row>
    <row r="16127" spans="1:3">
      <c r="A16127" s="250">
        <v>37995</v>
      </c>
      <c r="B16127" s="74" t="s">
        <v>4677</v>
      </c>
      <c r="C16127" s="74" t="s">
        <v>452</v>
      </c>
    </row>
    <row r="16128" spans="1:3">
      <c r="A16128" s="250">
        <v>37996</v>
      </c>
      <c r="B16128" s="74" t="s">
        <v>4677</v>
      </c>
      <c r="C16128" s="74" t="s">
        <v>452</v>
      </c>
    </row>
    <row r="16129" spans="1:3">
      <c r="A16129" s="250">
        <v>37997</v>
      </c>
      <c r="B16129" s="74" t="s">
        <v>4677</v>
      </c>
      <c r="C16129" s="74" t="s">
        <v>452</v>
      </c>
    </row>
    <row r="16130" spans="1:3">
      <c r="A16130" s="250">
        <v>37998</v>
      </c>
      <c r="B16130" s="74" t="s">
        <v>4677</v>
      </c>
      <c r="C16130" s="74" t="s">
        <v>452</v>
      </c>
    </row>
    <row r="16131" spans="1:3">
      <c r="A16131" s="250">
        <v>38001</v>
      </c>
      <c r="B16131" s="74" t="s">
        <v>7934</v>
      </c>
      <c r="C16131" s="74" t="s">
        <v>452</v>
      </c>
    </row>
    <row r="16132" spans="1:3">
      <c r="A16132" s="250">
        <v>38002</v>
      </c>
      <c r="B16132" s="74" t="s">
        <v>984</v>
      </c>
      <c r="C16132" s="74" t="s">
        <v>452</v>
      </c>
    </row>
    <row r="16133" spans="1:3">
      <c r="A16133" s="250">
        <v>38004</v>
      </c>
      <c r="B16133" s="74" t="s">
        <v>9170</v>
      </c>
      <c r="C16133" s="74" t="s">
        <v>452</v>
      </c>
    </row>
    <row r="16134" spans="1:3">
      <c r="A16134" s="250">
        <v>38006</v>
      </c>
      <c r="B16134" s="74" t="s">
        <v>9171</v>
      </c>
      <c r="C16134" s="74" t="s">
        <v>452</v>
      </c>
    </row>
    <row r="16135" spans="1:3">
      <c r="A16135" s="250">
        <v>38007</v>
      </c>
      <c r="B16135" s="74" t="s">
        <v>2219</v>
      </c>
      <c r="C16135" s="74" t="s">
        <v>452</v>
      </c>
    </row>
    <row r="16136" spans="1:3">
      <c r="A16136" s="250">
        <v>38008</v>
      </c>
      <c r="B16136" s="74" t="s">
        <v>3846</v>
      </c>
      <c r="C16136" s="74" t="s">
        <v>452</v>
      </c>
    </row>
    <row r="16137" spans="1:3">
      <c r="A16137" s="250">
        <v>38010</v>
      </c>
      <c r="B16137" s="74" t="s">
        <v>9172</v>
      </c>
      <c r="C16137" s="74" t="s">
        <v>452</v>
      </c>
    </row>
    <row r="16138" spans="1:3">
      <c r="A16138" s="250">
        <v>38011</v>
      </c>
      <c r="B16138" s="74" t="s">
        <v>911</v>
      </c>
      <c r="C16138" s="74" t="s">
        <v>452</v>
      </c>
    </row>
    <row r="16139" spans="1:3">
      <c r="A16139" s="250">
        <v>38012</v>
      </c>
      <c r="B16139" s="74" t="s">
        <v>1731</v>
      </c>
      <c r="C16139" s="74" t="s">
        <v>452</v>
      </c>
    </row>
    <row r="16140" spans="1:3">
      <c r="A16140" s="250">
        <v>38014</v>
      </c>
      <c r="B16140" s="74" t="s">
        <v>1370</v>
      </c>
      <c r="C16140" s="74" t="s">
        <v>452</v>
      </c>
    </row>
    <row r="16141" spans="1:3">
      <c r="A16141" s="250">
        <v>38015</v>
      </c>
      <c r="B16141" s="74" t="s">
        <v>9173</v>
      </c>
      <c r="C16141" s="74" t="s">
        <v>452</v>
      </c>
    </row>
    <row r="16142" spans="1:3">
      <c r="A16142" s="250">
        <v>38016</v>
      </c>
      <c r="B16142" s="74" t="s">
        <v>5747</v>
      </c>
      <c r="C16142" s="74" t="s">
        <v>452</v>
      </c>
    </row>
    <row r="16143" spans="1:3">
      <c r="A16143" s="250">
        <v>38017</v>
      </c>
      <c r="B16143" s="74" t="s">
        <v>9174</v>
      </c>
      <c r="C16143" s="74" t="s">
        <v>452</v>
      </c>
    </row>
    <row r="16144" spans="1:3">
      <c r="A16144" s="250">
        <v>38018</v>
      </c>
      <c r="B16144" s="74" t="s">
        <v>5747</v>
      </c>
      <c r="C16144" s="74" t="s">
        <v>452</v>
      </c>
    </row>
    <row r="16145" spans="1:3">
      <c r="A16145" s="250">
        <v>38019</v>
      </c>
      <c r="B16145" s="74" t="s">
        <v>4668</v>
      </c>
      <c r="C16145" s="74" t="s">
        <v>452</v>
      </c>
    </row>
    <row r="16146" spans="1:3">
      <c r="A16146" s="250">
        <v>38021</v>
      </c>
      <c r="B16146" s="74" t="s">
        <v>9175</v>
      </c>
      <c r="C16146" s="74" t="s">
        <v>452</v>
      </c>
    </row>
    <row r="16147" spans="1:3">
      <c r="A16147" s="250">
        <v>38023</v>
      </c>
      <c r="B16147" s="74" t="s">
        <v>9176</v>
      </c>
      <c r="C16147" s="74" t="s">
        <v>452</v>
      </c>
    </row>
    <row r="16148" spans="1:3">
      <c r="A16148" s="250">
        <v>38024</v>
      </c>
      <c r="B16148" s="74" t="s">
        <v>9177</v>
      </c>
      <c r="C16148" s="74" t="s">
        <v>452</v>
      </c>
    </row>
    <row r="16149" spans="1:3">
      <c r="A16149" s="250">
        <v>38025</v>
      </c>
      <c r="B16149" s="74" t="s">
        <v>9177</v>
      </c>
      <c r="C16149" s="74" t="s">
        <v>452</v>
      </c>
    </row>
    <row r="16150" spans="1:3">
      <c r="A16150" s="250">
        <v>38027</v>
      </c>
      <c r="B16150" s="74" t="s">
        <v>9174</v>
      </c>
      <c r="C16150" s="74" t="s">
        <v>452</v>
      </c>
    </row>
    <row r="16151" spans="1:3">
      <c r="A16151" s="250">
        <v>38028</v>
      </c>
      <c r="B16151" s="74" t="s">
        <v>9178</v>
      </c>
      <c r="C16151" s="74" t="s">
        <v>452</v>
      </c>
    </row>
    <row r="16152" spans="1:3">
      <c r="A16152" s="250">
        <v>38029</v>
      </c>
      <c r="B16152" s="74" t="s">
        <v>5498</v>
      </c>
      <c r="C16152" s="74" t="s">
        <v>452</v>
      </c>
    </row>
    <row r="16153" spans="1:3">
      <c r="A16153" s="250">
        <v>38030</v>
      </c>
      <c r="B16153" s="74" t="s">
        <v>9179</v>
      </c>
      <c r="C16153" s="74" t="s">
        <v>452</v>
      </c>
    </row>
    <row r="16154" spans="1:3">
      <c r="A16154" s="250">
        <v>38034</v>
      </c>
      <c r="B16154" s="74" t="s">
        <v>1543</v>
      </c>
      <c r="C16154" s="74" t="s">
        <v>452</v>
      </c>
    </row>
    <row r="16155" spans="1:3">
      <c r="A16155" s="250">
        <v>38036</v>
      </c>
      <c r="B16155" s="74" t="s">
        <v>9180</v>
      </c>
      <c r="C16155" s="74" t="s">
        <v>452</v>
      </c>
    </row>
    <row r="16156" spans="1:3">
      <c r="A16156" s="250">
        <v>38037</v>
      </c>
      <c r="B16156" s="74" t="s">
        <v>7250</v>
      </c>
      <c r="C16156" s="74" t="s">
        <v>452</v>
      </c>
    </row>
    <row r="16157" spans="1:3">
      <c r="A16157" s="250">
        <v>38039</v>
      </c>
      <c r="B16157" s="74" t="s">
        <v>9181</v>
      </c>
      <c r="C16157" s="74" t="s">
        <v>452</v>
      </c>
    </row>
    <row r="16158" spans="1:3">
      <c r="A16158" s="250">
        <v>38040</v>
      </c>
      <c r="B16158" s="74" t="s">
        <v>9182</v>
      </c>
      <c r="C16158" s="74" t="s">
        <v>452</v>
      </c>
    </row>
    <row r="16159" spans="1:3">
      <c r="A16159" s="250">
        <v>38041</v>
      </c>
      <c r="B16159" s="74" t="s">
        <v>9183</v>
      </c>
      <c r="C16159" s="74" t="s">
        <v>452</v>
      </c>
    </row>
    <row r="16160" spans="1:3">
      <c r="A16160" s="250">
        <v>38042</v>
      </c>
      <c r="B16160" s="74" t="s">
        <v>9184</v>
      </c>
      <c r="C16160" s="74" t="s">
        <v>452</v>
      </c>
    </row>
    <row r="16161" spans="1:3">
      <c r="A16161" s="250">
        <v>38044</v>
      </c>
      <c r="B16161" s="74" t="s">
        <v>9185</v>
      </c>
      <c r="C16161" s="74" t="s">
        <v>452</v>
      </c>
    </row>
    <row r="16162" spans="1:3">
      <c r="A16162" s="250">
        <v>38045</v>
      </c>
      <c r="B16162" s="74" t="s">
        <v>1195</v>
      </c>
      <c r="C16162" s="74" t="s">
        <v>452</v>
      </c>
    </row>
    <row r="16163" spans="1:3">
      <c r="A16163" s="250">
        <v>38046</v>
      </c>
      <c r="B16163" s="74" t="s">
        <v>7447</v>
      </c>
      <c r="C16163" s="74" t="s">
        <v>452</v>
      </c>
    </row>
    <row r="16164" spans="1:3">
      <c r="A16164" s="250">
        <v>38047</v>
      </c>
      <c r="B16164" s="74" t="s">
        <v>650</v>
      </c>
      <c r="C16164" s="74" t="s">
        <v>452</v>
      </c>
    </row>
    <row r="16165" spans="1:3">
      <c r="A16165" s="250">
        <v>38048</v>
      </c>
      <c r="B16165" s="74" t="s">
        <v>6077</v>
      </c>
      <c r="C16165" s="74" t="s">
        <v>452</v>
      </c>
    </row>
    <row r="16166" spans="1:3">
      <c r="A16166" s="250">
        <v>38049</v>
      </c>
      <c r="B16166" s="74" t="s">
        <v>6673</v>
      </c>
      <c r="C16166" s="74" t="s">
        <v>452</v>
      </c>
    </row>
    <row r="16167" spans="1:3">
      <c r="A16167" s="250">
        <v>38050</v>
      </c>
      <c r="B16167" s="74" t="s">
        <v>9186</v>
      </c>
      <c r="C16167" s="74" t="s">
        <v>452</v>
      </c>
    </row>
    <row r="16168" spans="1:3">
      <c r="A16168" s="250">
        <v>38052</v>
      </c>
      <c r="B16168" s="74" t="s">
        <v>850</v>
      </c>
      <c r="C16168" s="74" t="s">
        <v>452</v>
      </c>
    </row>
    <row r="16169" spans="1:3">
      <c r="A16169" s="250">
        <v>38053</v>
      </c>
      <c r="B16169" s="74" t="s">
        <v>2351</v>
      </c>
      <c r="C16169" s="74" t="s">
        <v>452</v>
      </c>
    </row>
    <row r="16170" spans="1:3">
      <c r="A16170" s="250">
        <v>38054</v>
      </c>
      <c r="B16170" s="74" t="s">
        <v>2351</v>
      </c>
      <c r="C16170" s="74" t="s">
        <v>452</v>
      </c>
    </row>
    <row r="16171" spans="1:3">
      <c r="A16171" s="250">
        <v>38055</v>
      </c>
      <c r="B16171" s="74" t="s">
        <v>2351</v>
      </c>
      <c r="C16171" s="74" t="s">
        <v>452</v>
      </c>
    </row>
    <row r="16172" spans="1:3">
      <c r="A16172" s="250">
        <v>38057</v>
      </c>
      <c r="B16172" s="74" t="s">
        <v>1851</v>
      </c>
      <c r="C16172" s="74" t="s">
        <v>452</v>
      </c>
    </row>
    <row r="16173" spans="1:3">
      <c r="A16173" s="250">
        <v>38058</v>
      </c>
      <c r="B16173" s="74" t="s">
        <v>8834</v>
      </c>
      <c r="C16173" s="74" t="s">
        <v>452</v>
      </c>
    </row>
    <row r="16174" spans="1:3">
      <c r="A16174" s="250">
        <v>38059</v>
      </c>
      <c r="B16174" s="74" t="s">
        <v>6287</v>
      </c>
      <c r="C16174" s="74" t="s">
        <v>452</v>
      </c>
    </row>
    <row r="16175" spans="1:3">
      <c r="A16175" s="250">
        <v>38060</v>
      </c>
      <c r="B16175" s="74" t="s">
        <v>1121</v>
      </c>
      <c r="C16175" s="74" t="s">
        <v>452</v>
      </c>
    </row>
    <row r="16176" spans="1:3">
      <c r="A16176" s="250">
        <v>38061</v>
      </c>
      <c r="B16176" s="74" t="s">
        <v>6468</v>
      </c>
      <c r="C16176" s="74" t="s">
        <v>452</v>
      </c>
    </row>
    <row r="16177" spans="1:3">
      <c r="A16177" s="250">
        <v>38063</v>
      </c>
      <c r="B16177" s="74" t="s">
        <v>3884</v>
      </c>
      <c r="C16177" s="74" t="s">
        <v>452</v>
      </c>
    </row>
    <row r="16178" spans="1:3">
      <c r="A16178" s="250">
        <v>38066</v>
      </c>
      <c r="B16178" s="74" t="s">
        <v>4837</v>
      </c>
      <c r="C16178" s="74" t="s">
        <v>452</v>
      </c>
    </row>
    <row r="16179" spans="1:3">
      <c r="A16179" s="250">
        <v>38067</v>
      </c>
      <c r="B16179" s="74" t="s">
        <v>9187</v>
      </c>
      <c r="C16179" s="74" t="s">
        <v>452</v>
      </c>
    </row>
    <row r="16180" spans="1:3">
      <c r="A16180" s="250">
        <v>38068</v>
      </c>
      <c r="B16180" s="74" t="s">
        <v>915</v>
      </c>
      <c r="C16180" s="74" t="s">
        <v>452</v>
      </c>
    </row>
    <row r="16181" spans="1:3">
      <c r="A16181" s="250">
        <v>38069</v>
      </c>
      <c r="B16181" s="74" t="s">
        <v>2602</v>
      </c>
      <c r="C16181" s="74" t="s">
        <v>452</v>
      </c>
    </row>
    <row r="16182" spans="1:3">
      <c r="A16182" s="250">
        <v>38070</v>
      </c>
      <c r="B16182" s="74" t="s">
        <v>9188</v>
      </c>
      <c r="C16182" s="74" t="s">
        <v>452</v>
      </c>
    </row>
    <row r="16183" spans="1:3">
      <c r="A16183" s="250">
        <v>38071</v>
      </c>
      <c r="B16183" s="74" t="s">
        <v>4581</v>
      </c>
      <c r="C16183" s="74" t="s">
        <v>452</v>
      </c>
    </row>
    <row r="16184" spans="1:3">
      <c r="A16184" s="250">
        <v>38075</v>
      </c>
      <c r="B16184" s="74" t="s">
        <v>7420</v>
      </c>
      <c r="C16184" s="74" t="s">
        <v>452</v>
      </c>
    </row>
    <row r="16185" spans="1:3">
      <c r="A16185" s="250">
        <v>38076</v>
      </c>
      <c r="B16185" s="74" t="s">
        <v>1837</v>
      </c>
      <c r="C16185" s="74" t="s">
        <v>452</v>
      </c>
    </row>
    <row r="16186" spans="1:3">
      <c r="A16186" s="250">
        <v>38077</v>
      </c>
      <c r="B16186" s="74" t="s">
        <v>9189</v>
      </c>
      <c r="C16186" s="74" t="s">
        <v>452</v>
      </c>
    </row>
    <row r="16187" spans="1:3">
      <c r="A16187" s="250">
        <v>38079</v>
      </c>
      <c r="B16187" s="74" t="s">
        <v>9190</v>
      </c>
      <c r="C16187" s="74" t="s">
        <v>452</v>
      </c>
    </row>
    <row r="16188" spans="1:3">
      <c r="A16188" s="250">
        <v>38080</v>
      </c>
      <c r="B16188" s="74" t="s">
        <v>5769</v>
      </c>
      <c r="C16188" s="74" t="s">
        <v>452</v>
      </c>
    </row>
    <row r="16189" spans="1:3">
      <c r="A16189" s="250">
        <v>38083</v>
      </c>
      <c r="B16189" s="74" t="s">
        <v>2351</v>
      </c>
      <c r="C16189" s="74" t="s">
        <v>452</v>
      </c>
    </row>
    <row r="16190" spans="1:3">
      <c r="A16190" s="250">
        <v>38088</v>
      </c>
      <c r="B16190" s="74" t="s">
        <v>5747</v>
      </c>
      <c r="C16190" s="74" t="s">
        <v>452</v>
      </c>
    </row>
    <row r="16191" spans="1:3">
      <c r="A16191" s="250">
        <v>38101</v>
      </c>
      <c r="B16191" s="74" t="s">
        <v>3387</v>
      </c>
      <c r="C16191" s="74" t="s">
        <v>452</v>
      </c>
    </row>
    <row r="16192" spans="1:3">
      <c r="A16192" s="250">
        <v>38103</v>
      </c>
      <c r="B16192" s="74" t="s">
        <v>3387</v>
      </c>
      <c r="C16192" s="74" t="s">
        <v>452</v>
      </c>
    </row>
    <row r="16193" spans="1:3">
      <c r="A16193" s="250">
        <v>38104</v>
      </c>
      <c r="B16193" s="74" t="s">
        <v>3387</v>
      </c>
      <c r="C16193" s="74" t="s">
        <v>452</v>
      </c>
    </row>
    <row r="16194" spans="1:3">
      <c r="A16194" s="250">
        <v>38105</v>
      </c>
      <c r="B16194" s="74" t="s">
        <v>3387</v>
      </c>
      <c r="C16194" s="74" t="s">
        <v>452</v>
      </c>
    </row>
    <row r="16195" spans="1:3">
      <c r="A16195" s="250">
        <v>38106</v>
      </c>
      <c r="B16195" s="74" t="s">
        <v>3387</v>
      </c>
      <c r="C16195" s="74" t="s">
        <v>452</v>
      </c>
    </row>
    <row r="16196" spans="1:3">
      <c r="A16196" s="250">
        <v>38107</v>
      </c>
      <c r="B16196" s="74" t="s">
        <v>3387</v>
      </c>
      <c r="C16196" s="74" t="s">
        <v>452</v>
      </c>
    </row>
    <row r="16197" spans="1:3">
      <c r="A16197" s="250">
        <v>38108</v>
      </c>
      <c r="B16197" s="74" t="s">
        <v>3387</v>
      </c>
      <c r="C16197" s="74" t="s">
        <v>452</v>
      </c>
    </row>
    <row r="16198" spans="1:3">
      <c r="A16198" s="250">
        <v>38109</v>
      </c>
      <c r="B16198" s="74" t="s">
        <v>3387</v>
      </c>
      <c r="C16198" s="74" t="s">
        <v>452</v>
      </c>
    </row>
    <row r="16199" spans="1:3">
      <c r="A16199" s="250">
        <v>38110</v>
      </c>
      <c r="B16199" s="74" t="s">
        <v>3387</v>
      </c>
      <c r="C16199" s="74" t="s">
        <v>452</v>
      </c>
    </row>
    <row r="16200" spans="1:3">
      <c r="A16200" s="250">
        <v>38111</v>
      </c>
      <c r="B16200" s="74" t="s">
        <v>3387</v>
      </c>
      <c r="C16200" s="74" t="s">
        <v>452</v>
      </c>
    </row>
    <row r="16201" spans="1:3">
      <c r="A16201" s="250">
        <v>38112</v>
      </c>
      <c r="B16201" s="74" t="s">
        <v>3387</v>
      </c>
      <c r="C16201" s="74" t="s">
        <v>452</v>
      </c>
    </row>
    <row r="16202" spans="1:3">
      <c r="A16202" s="250">
        <v>38113</v>
      </c>
      <c r="B16202" s="74" t="s">
        <v>3387</v>
      </c>
      <c r="C16202" s="74" t="s">
        <v>452</v>
      </c>
    </row>
    <row r="16203" spans="1:3">
      <c r="A16203" s="250">
        <v>38114</v>
      </c>
      <c r="B16203" s="74" t="s">
        <v>3387</v>
      </c>
      <c r="C16203" s="74" t="s">
        <v>452</v>
      </c>
    </row>
    <row r="16204" spans="1:3">
      <c r="A16204" s="250">
        <v>38115</v>
      </c>
      <c r="B16204" s="74" t="s">
        <v>3387</v>
      </c>
      <c r="C16204" s="74" t="s">
        <v>452</v>
      </c>
    </row>
    <row r="16205" spans="1:3">
      <c r="A16205" s="250">
        <v>38116</v>
      </c>
      <c r="B16205" s="74" t="s">
        <v>3387</v>
      </c>
      <c r="C16205" s="74" t="s">
        <v>452</v>
      </c>
    </row>
    <row r="16206" spans="1:3">
      <c r="A16206" s="250">
        <v>38117</v>
      </c>
      <c r="B16206" s="74" t="s">
        <v>3387</v>
      </c>
      <c r="C16206" s="74" t="s">
        <v>452</v>
      </c>
    </row>
    <row r="16207" spans="1:3">
      <c r="A16207" s="250">
        <v>38118</v>
      </c>
      <c r="B16207" s="74" t="s">
        <v>3387</v>
      </c>
      <c r="C16207" s="74" t="s">
        <v>452</v>
      </c>
    </row>
    <row r="16208" spans="1:3">
      <c r="A16208" s="250">
        <v>38119</v>
      </c>
      <c r="B16208" s="74" t="s">
        <v>3387</v>
      </c>
      <c r="C16208" s="74" t="s">
        <v>452</v>
      </c>
    </row>
    <row r="16209" spans="1:3">
      <c r="A16209" s="250">
        <v>38120</v>
      </c>
      <c r="B16209" s="74" t="s">
        <v>3387</v>
      </c>
      <c r="C16209" s="74" t="s">
        <v>452</v>
      </c>
    </row>
    <row r="16210" spans="1:3">
      <c r="A16210" s="250">
        <v>38122</v>
      </c>
      <c r="B16210" s="74" t="s">
        <v>3387</v>
      </c>
      <c r="C16210" s="74" t="s">
        <v>452</v>
      </c>
    </row>
    <row r="16211" spans="1:3">
      <c r="A16211" s="250">
        <v>38124</v>
      </c>
      <c r="B16211" s="74" t="s">
        <v>3387</v>
      </c>
      <c r="C16211" s="74" t="s">
        <v>452</v>
      </c>
    </row>
    <row r="16212" spans="1:3">
      <c r="A16212" s="250">
        <v>38125</v>
      </c>
      <c r="B16212" s="74" t="s">
        <v>3387</v>
      </c>
      <c r="C16212" s="74" t="s">
        <v>452</v>
      </c>
    </row>
    <row r="16213" spans="1:3">
      <c r="A16213" s="250">
        <v>38126</v>
      </c>
      <c r="B16213" s="74" t="s">
        <v>3387</v>
      </c>
      <c r="C16213" s="74" t="s">
        <v>452</v>
      </c>
    </row>
    <row r="16214" spans="1:3">
      <c r="A16214" s="250">
        <v>38127</v>
      </c>
      <c r="B16214" s="74" t="s">
        <v>3387</v>
      </c>
      <c r="C16214" s="74" t="s">
        <v>452</v>
      </c>
    </row>
    <row r="16215" spans="1:3">
      <c r="A16215" s="250">
        <v>38128</v>
      </c>
      <c r="B16215" s="74" t="s">
        <v>3387</v>
      </c>
      <c r="C16215" s="74" t="s">
        <v>452</v>
      </c>
    </row>
    <row r="16216" spans="1:3">
      <c r="A16216" s="250">
        <v>38130</v>
      </c>
      <c r="B16216" s="74" t="s">
        <v>3387</v>
      </c>
      <c r="C16216" s="74" t="s">
        <v>452</v>
      </c>
    </row>
    <row r="16217" spans="1:3">
      <c r="A16217" s="250">
        <v>38131</v>
      </c>
      <c r="B16217" s="74" t="s">
        <v>3387</v>
      </c>
      <c r="C16217" s="74" t="s">
        <v>452</v>
      </c>
    </row>
    <row r="16218" spans="1:3">
      <c r="A16218" s="250">
        <v>38132</v>
      </c>
      <c r="B16218" s="74" t="s">
        <v>3387</v>
      </c>
      <c r="C16218" s="74" t="s">
        <v>452</v>
      </c>
    </row>
    <row r="16219" spans="1:3">
      <c r="A16219" s="250">
        <v>38133</v>
      </c>
      <c r="B16219" s="74" t="s">
        <v>3387</v>
      </c>
      <c r="C16219" s="74" t="s">
        <v>452</v>
      </c>
    </row>
    <row r="16220" spans="1:3">
      <c r="A16220" s="250">
        <v>38134</v>
      </c>
      <c r="B16220" s="74" t="s">
        <v>3387</v>
      </c>
      <c r="C16220" s="74" t="s">
        <v>452</v>
      </c>
    </row>
    <row r="16221" spans="1:3">
      <c r="A16221" s="250">
        <v>38135</v>
      </c>
      <c r="B16221" s="74" t="s">
        <v>3387</v>
      </c>
      <c r="C16221" s="74" t="s">
        <v>452</v>
      </c>
    </row>
    <row r="16222" spans="1:3">
      <c r="A16222" s="250">
        <v>38136</v>
      </c>
      <c r="B16222" s="74" t="s">
        <v>3387</v>
      </c>
      <c r="C16222" s="74" t="s">
        <v>452</v>
      </c>
    </row>
    <row r="16223" spans="1:3">
      <c r="A16223" s="250">
        <v>38137</v>
      </c>
      <c r="B16223" s="74" t="s">
        <v>3387</v>
      </c>
      <c r="C16223" s="74" t="s">
        <v>452</v>
      </c>
    </row>
    <row r="16224" spans="1:3">
      <c r="A16224" s="250">
        <v>38138</v>
      </c>
      <c r="B16224" s="74" t="s">
        <v>3118</v>
      </c>
      <c r="C16224" s="74" t="s">
        <v>452</v>
      </c>
    </row>
    <row r="16225" spans="1:3">
      <c r="A16225" s="250">
        <v>38139</v>
      </c>
      <c r="B16225" s="74" t="s">
        <v>3118</v>
      </c>
      <c r="C16225" s="74" t="s">
        <v>452</v>
      </c>
    </row>
    <row r="16226" spans="1:3">
      <c r="A16226" s="250">
        <v>38141</v>
      </c>
      <c r="B16226" s="74" t="s">
        <v>3387</v>
      </c>
      <c r="C16226" s="74" t="s">
        <v>452</v>
      </c>
    </row>
    <row r="16227" spans="1:3">
      <c r="A16227" s="250">
        <v>38142</v>
      </c>
      <c r="B16227" s="74" t="s">
        <v>3387</v>
      </c>
      <c r="C16227" s="74" t="s">
        <v>452</v>
      </c>
    </row>
    <row r="16228" spans="1:3">
      <c r="A16228" s="250">
        <v>38145</v>
      </c>
      <c r="B16228" s="74" t="s">
        <v>3387</v>
      </c>
      <c r="C16228" s="74" t="s">
        <v>452</v>
      </c>
    </row>
    <row r="16229" spans="1:3">
      <c r="A16229" s="250">
        <v>38147</v>
      </c>
      <c r="B16229" s="74" t="s">
        <v>3387</v>
      </c>
      <c r="C16229" s="74" t="s">
        <v>452</v>
      </c>
    </row>
    <row r="16230" spans="1:3">
      <c r="A16230" s="250">
        <v>38148</v>
      </c>
      <c r="B16230" s="74" t="s">
        <v>3387</v>
      </c>
      <c r="C16230" s="74" t="s">
        <v>452</v>
      </c>
    </row>
    <row r="16231" spans="1:3">
      <c r="A16231" s="250">
        <v>38150</v>
      </c>
      <c r="B16231" s="74" t="s">
        <v>3387</v>
      </c>
      <c r="C16231" s="74" t="s">
        <v>452</v>
      </c>
    </row>
    <row r="16232" spans="1:3">
      <c r="A16232" s="250">
        <v>38151</v>
      </c>
      <c r="B16232" s="74" t="s">
        <v>3387</v>
      </c>
      <c r="C16232" s="74" t="s">
        <v>452</v>
      </c>
    </row>
    <row r="16233" spans="1:3">
      <c r="A16233" s="250">
        <v>38152</v>
      </c>
      <c r="B16233" s="74" t="s">
        <v>3387</v>
      </c>
      <c r="C16233" s="74" t="s">
        <v>452</v>
      </c>
    </row>
    <row r="16234" spans="1:3">
      <c r="A16234" s="250">
        <v>38157</v>
      </c>
      <c r="B16234" s="74" t="s">
        <v>3387</v>
      </c>
      <c r="C16234" s="74" t="s">
        <v>452</v>
      </c>
    </row>
    <row r="16235" spans="1:3">
      <c r="A16235" s="250">
        <v>38159</v>
      </c>
      <c r="B16235" s="74" t="s">
        <v>3387</v>
      </c>
      <c r="C16235" s="74" t="s">
        <v>452</v>
      </c>
    </row>
    <row r="16236" spans="1:3">
      <c r="A16236" s="250">
        <v>38161</v>
      </c>
      <c r="B16236" s="74" t="s">
        <v>3387</v>
      </c>
      <c r="C16236" s="74" t="s">
        <v>452</v>
      </c>
    </row>
    <row r="16237" spans="1:3">
      <c r="A16237" s="250">
        <v>38163</v>
      </c>
      <c r="B16237" s="74" t="s">
        <v>3387</v>
      </c>
      <c r="C16237" s="74" t="s">
        <v>452</v>
      </c>
    </row>
    <row r="16238" spans="1:3">
      <c r="A16238" s="250">
        <v>38165</v>
      </c>
      <c r="B16238" s="74" t="s">
        <v>3387</v>
      </c>
      <c r="C16238" s="74" t="s">
        <v>452</v>
      </c>
    </row>
    <row r="16239" spans="1:3">
      <c r="A16239" s="250">
        <v>38166</v>
      </c>
      <c r="B16239" s="74" t="s">
        <v>3387</v>
      </c>
      <c r="C16239" s="74" t="s">
        <v>452</v>
      </c>
    </row>
    <row r="16240" spans="1:3">
      <c r="A16240" s="250">
        <v>38167</v>
      </c>
      <c r="B16240" s="74" t="s">
        <v>3387</v>
      </c>
      <c r="C16240" s="74" t="s">
        <v>452</v>
      </c>
    </row>
    <row r="16241" spans="1:3">
      <c r="A16241" s="250">
        <v>38168</v>
      </c>
      <c r="B16241" s="74" t="s">
        <v>3387</v>
      </c>
      <c r="C16241" s="74" t="s">
        <v>452</v>
      </c>
    </row>
    <row r="16242" spans="1:3">
      <c r="A16242" s="250">
        <v>38173</v>
      </c>
      <c r="B16242" s="74" t="s">
        <v>3387</v>
      </c>
      <c r="C16242" s="74" t="s">
        <v>452</v>
      </c>
    </row>
    <row r="16243" spans="1:3">
      <c r="A16243" s="250">
        <v>38174</v>
      </c>
      <c r="B16243" s="74" t="s">
        <v>3387</v>
      </c>
      <c r="C16243" s="74" t="s">
        <v>452</v>
      </c>
    </row>
    <row r="16244" spans="1:3">
      <c r="A16244" s="250">
        <v>38175</v>
      </c>
      <c r="B16244" s="74" t="s">
        <v>3387</v>
      </c>
      <c r="C16244" s="74" t="s">
        <v>452</v>
      </c>
    </row>
    <row r="16245" spans="1:3">
      <c r="A16245" s="250">
        <v>38177</v>
      </c>
      <c r="B16245" s="74" t="s">
        <v>3387</v>
      </c>
      <c r="C16245" s="74" t="s">
        <v>452</v>
      </c>
    </row>
    <row r="16246" spans="1:3">
      <c r="A16246" s="250">
        <v>38181</v>
      </c>
      <c r="B16246" s="74" t="s">
        <v>3387</v>
      </c>
      <c r="C16246" s="74" t="s">
        <v>452</v>
      </c>
    </row>
    <row r="16247" spans="1:3">
      <c r="A16247" s="250">
        <v>38182</v>
      </c>
      <c r="B16247" s="74" t="s">
        <v>3387</v>
      </c>
      <c r="C16247" s="74" t="s">
        <v>452</v>
      </c>
    </row>
    <row r="16248" spans="1:3">
      <c r="A16248" s="250">
        <v>38183</v>
      </c>
      <c r="B16248" s="74" t="s">
        <v>3118</v>
      </c>
      <c r="C16248" s="74" t="s">
        <v>452</v>
      </c>
    </row>
    <row r="16249" spans="1:3">
      <c r="A16249" s="250">
        <v>38184</v>
      </c>
      <c r="B16249" s="74" t="s">
        <v>3387</v>
      </c>
      <c r="C16249" s="74" t="s">
        <v>452</v>
      </c>
    </row>
    <row r="16250" spans="1:3">
      <c r="A16250" s="250">
        <v>38186</v>
      </c>
      <c r="B16250" s="74" t="s">
        <v>3387</v>
      </c>
      <c r="C16250" s="74" t="s">
        <v>452</v>
      </c>
    </row>
    <row r="16251" spans="1:3">
      <c r="A16251" s="250">
        <v>38187</v>
      </c>
      <c r="B16251" s="74" t="s">
        <v>3387</v>
      </c>
      <c r="C16251" s="74" t="s">
        <v>452</v>
      </c>
    </row>
    <row r="16252" spans="1:3">
      <c r="A16252" s="250">
        <v>38188</v>
      </c>
      <c r="B16252" s="74" t="s">
        <v>3387</v>
      </c>
      <c r="C16252" s="74" t="s">
        <v>452</v>
      </c>
    </row>
    <row r="16253" spans="1:3">
      <c r="A16253" s="250">
        <v>38190</v>
      </c>
      <c r="B16253" s="74" t="s">
        <v>3387</v>
      </c>
      <c r="C16253" s="74" t="s">
        <v>452</v>
      </c>
    </row>
    <row r="16254" spans="1:3">
      <c r="A16254" s="250">
        <v>38193</v>
      </c>
      <c r="B16254" s="74" t="s">
        <v>3387</v>
      </c>
      <c r="C16254" s="74" t="s">
        <v>452</v>
      </c>
    </row>
    <row r="16255" spans="1:3">
      <c r="A16255" s="250">
        <v>38194</v>
      </c>
      <c r="B16255" s="74" t="s">
        <v>3387</v>
      </c>
      <c r="C16255" s="74" t="s">
        <v>452</v>
      </c>
    </row>
    <row r="16256" spans="1:3">
      <c r="A16256" s="250">
        <v>38197</v>
      </c>
      <c r="B16256" s="74" t="s">
        <v>3387</v>
      </c>
      <c r="C16256" s="74" t="s">
        <v>452</v>
      </c>
    </row>
    <row r="16257" spans="1:3">
      <c r="A16257" s="250">
        <v>38201</v>
      </c>
      <c r="B16257" s="74" t="s">
        <v>8872</v>
      </c>
      <c r="C16257" s="74" t="s">
        <v>452</v>
      </c>
    </row>
    <row r="16258" spans="1:3">
      <c r="A16258" s="250">
        <v>38220</v>
      </c>
      <c r="B16258" s="74" t="s">
        <v>9191</v>
      </c>
      <c r="C16258" s="74" t="s">
        <v>452</v>
      </c>
    </row>
    <row r="16259" spans="1:3">
      <c r="A16259" s="250">
        <v>38221</v>
      </c>
      <c r="B16259" s="74" t="s">
        <v>6496</v>
      </c>
      <c r="C16259" s="74" t="s">
        <v>452</v>
      </c>
    </row>
    <row r="16260" spans="1:3">
      <c r="A16260" s="250">
        <v>38222</v>
      </c>
      <c r="B16260" s="74" t="s">
        <v>2621</v>
      </c>
      <c r="C16260" s="74" t="s">
        <v>452</v>
      </c>
    </row>
    <row r="16261" spans="1:3">
      <c r="A16261" s="250">
        <v>38223</v>
      </c>
      <c r="B16261" s="74" t="s">
        <v>7185</v>
      </c>
      <c r="C16261" s="74" t="s">
        <v>452</v>
      </c>
    </row>
    <row r="16262" spans="1:3">
      <c r="A16262" s="250">
        <v>38224</v>
      </c>
      <c r="B16262" s="74" t="s">
        <v>9192</v>
      </c>
      <c r="C16262" s="74" t="s">
        <v>452</v>
      </c>
    </row>
    <row r="16263" spans="1:3">
      <c r="A16263" s="250">
        <v>38225</v>
      </c>
      <c r="B16263" s="74" t="s">
        <v>1475</v>
      </c>
      <c r="C16263" s="74" t="s">
        <v>452</v>
      </c>
    </row>
    <row r="16264" spans="1:3">
      <c r="A16264" s="250">
        <v>38226</v>
      </c>
      <c r="B16264" s="74" t="s">
        <v>9193</v>
      </c>
      <c r="C16264" s="74" t="s">
        <v>452</v>
      </c>
    </row>
    <row r="16265" spans="1:3">
      <c r="A16265" s="250">
        <v>38227</v>
      </c>
      <c r="B16265" s="74" t="s">
        <v>3359</v>
      </c>
      <c r="C16265" s="74" t="s">
        <v>452</v>
      </c>
    </row>
    <row r="16266" spans="1:3">
      <c r="A16266" s="250">
        <v>38229</v>
      </c>
      <c r="B16266" s="74" t="s">
        <v>9194</v>
      </c>
      <c r="C16266" s="74" t="s">
        <v>452</v>
      </c>
    </row>
    <row r="16267" spans="1:3">
      <c r="A16267" s="250">
        <v>38230</v>
      </c>
      <c r="B16267" s="74" t="s">
        <v>670</v>
      </c>
      <c r="C16267" s="74" t="s">
        <v>452</v>
      </c>
    </row>
    <row r="16268" spans="1:3">
      <c r="A16268" s="250">
        <v>38231</v>
      </c>
      <c r="B16268" s="74" t="s">
        <v>6280</v>
      </c>
      <c r="C16268" s="74" t="s">
        <v>452</v>
      </c>
    </row>
    <row r="16269" spans="1:3">
      <c r="A16269" s="250">
        <v>38232</v>
      </c>
      <c r="B16269" s="74" t="s">
        <v>9195</v>
      </c>
      <c r="C16269" s="74" t="s">
        <v>452</v>
      </c>
    </row>
    <row r="16270" spans="1:3">
      <c r="A16270" s="250">
        <v>38233</v>
      </c>
      <c r="B16270" s="74" t="s">
        <v>5504</v>
      </c>
      <c r="C16270" s="74" t="s">
        <v>452</v>
      </c>
    </row>
    <row r="16271" spans="1:3">
      <c r="A16271" s="250">
        <v>38235</v>
      </c>
      <c r="B16271" s="74" t="s">
        <v>9196</v>
      </c>
      <c r="C16271" s="74" t="s">
        <v>452</v>
      </c>
    </row>
    <row r="16272" spans="1:3">
      <c r="A16272" s="250">
        <v>38236</v>
      </c>
      <c r="B16272" s="74" t="s">
        <v>879</v>
      </c>
      <c r="C16272" s="74" t="s">
        <v>452</v>
      </c>
    </row>
    <row r="16273" spans="1:3">
      <c r="A16273" s="250">
        <v>38237</v>
      </c>
      <c r="B16273" s="74" t="s">
        <v>4128</v>
      </c>
      <c r="C16273" s="74" t="s">
        <v>452</v>
      </c>
    </row>
    <row r="16274" spans="1:3">
      <c r="A16274" s="250">
        <v>38238</v>
      </c>
      <c r="B16274" s="74" t="s">
        <v>4128</v>
      </c>
      <c r="C16274" s="74" t="s">
        <v>452</v>
      </c>
    </row>
    <row r="16275" spans="1:3">
      <c r="A16275" s="250">
        <v>38240</v>
      </c>
      <c r="B16275" s="74" t="s">
        <v>9197</v>
      </c>
      <c r="C16275" s="74" t="s">
        <v>452</v>
      </c>
    </row>
    <row r="16276" spans="1:3">
      <c r="A16276" s="250">
        <v>38241</v>
      </c>
      <c r="B16276" s="74" t="s">
        <v>9198</v>
      </c>
      <c r="C16276" s="74" t="s">
        <v>452</v>
      </c>
    </row>
    <row r="16277" spans="1:3">
      <c r="A16277" s="250">
        <v>38242</v>
      </c>
      <c r="B16277" s="74" t="s">
        <v>1459</v>
      </c>
      <c r="C16277" s="74" t="s">
        <v>452</v>
      </c>
    </row>
    <row r="16278" spans="1:3">
      <c r="A16278" s="250">
        <v>38251</v>
      </c>
      <c r="B16278" s="74" t="s">
        <v>9199</v>
      </c>
      <c r="C16278" s="74" t="s">
        <v>452</v>
      </c>
    </row>
    <row r="16279" spans="1:3">
      <c r="A16279" s="250">
        <v>38253</v>
      </c>
      <c r="B16279" s="74" t="s">
        <v>9200</v>
      </c>
      <c r="C16279" s="74" t="s">
        <v>452</v>
      </c>
    </row>
    <row r="16280" spans="1:3">
      <c r="A16280" s="250">
        <v>38254</v>
      </c>
      <c r="B16280" s="74" t="s">
        <v>9201</v>
      </c>
      <c r="C16280" s="74" t="s">
        <v>452</v>
      </c>
    </row>
    <row r="16281" spans="1:3">
      <c r="A16281" s="250">
        <v>38255</v>
      </c>
      <c r="B16281" s="74" t="s">
        <v>893</v>
      </c>
      <c r="C16281" s="74" t="s">
        <v>452</v>
      </c>
    </row>
    <row r="16282" spans="1:3">
      <c r="A16282" s="250">
        <v>38256</v>
      </c>
      <c r="B16282" s="74" t="s">
        <v>3739</v>
      </c>
      <c r="C16282" s="74" t="s">
        <v>452</v>
      </c>
    </row>
    <row r="16283" spans="1:3">
      <c r="A16283" s="250">
        <v>38257</v>
      </c>
      <c r="B16283" s="74" t="s">
        <v>9202</v>
      </c>
      <c r="C16283" s="74" t="s">
        <v>452</v>
      </c>
    </row>
    <row r="16284" spans="1:3">
      <c r="A16284" s="250">
        <v>38258</v>
      </c>
      <c r="B16284" s="74" t="s">
        <v>9203</v>
      </c>
      <c r="C16284" s="74" t="s">
        <v>452</v>
      </c>
    </row>
    <row r="16285" spans="1:3">
      <c r="A16285" s="250">
        <v>38259</v>
      </c>
      <c r="B16285" s="74" t="s">
        <v>9204</v>
      </c>
      <c r="C16285" s="74" t="s">
        <v>452</v>
      </c>
    </row>
    <row r="16286" spans="1:3">
      <c r="A16286" s="250">
        <v>38260</v>
      </c>
      <c r="B16286" s="74" t="s">
        <v>1243</v>
      </c>
      <c r="C16286" s="74" t="s">
        <v>452</v>
      </c>
    </row>
    <row r="16287" spans="1:3">
      <c r="A16287" s="250">
        <v>38261</v>
      </c>
      <c r="B16287" s="74" t="s">
        <v>2166</v>
      </c>
      <c r="C16287" s="74" t="s">
        <v>452</v>
      </c>
    </row>
    <row r="16288" spans="1:3">
      <c r="A16288" s="250">
        <v>38271</v>
      </c>
      <c r="B16288" s="74" t="s">
        <v>9205</v>
      </c>
      <c r="C16288" s="74" t="s">
        <v>452</v>
      </c>
    </row>
    <row r="16289" spans="1:3">
      <c r="A16289" s="250">
        <v>38281</v>
      </c>
      <c r="B16289" s="74" t="s">
        <v>2166</v>
      </c>
      <c r="C16289" s="74" t="s">
        <v>452</v>
      </c>
    </row>
    <row r="16290" spans="1:3">
      <c r="A16290" s="250">
        <v>38301</v>
      </c>
      <c r="B16290" s="74" t="s">
        <v>1318</v>
      </c>
      <c r="C16290" s="74" t="s">
        <v>452</v>
      </c>
    </row>
    <row r="16291" spans="1:3">
      <c r="A16291" s="250">
        <v>38302</v>
      </c>
      <c r="B16291" s="74" t="s">
        <v>1318</v>
      </c>
      <c r="C16291" s="74" t="s">
        <v>452</v>
      </c>
    </row>
    <row r="16292" spans="1:3">
      <c r="A16292" s="250">
        <v>38303</v>
      </c>
      <c r="B16292" s="74" t="s">
        <v>1318</v>
      </c>
      <c r="C16292" s="74" t="s">
        <v>452</v>
      </c>
    </row>
    <row r="16293" spans="1:3">
      <c r="A16293" s="250">
        <v>38305</v>
      </c>
      <c r="B16293" s="74" t="s">
        <v>1318</v>
      </c>
      <c r="C16293" s="74" t="s">
        <v>452</v>
      </c>
    </row>
    <row r="16294" spans="1:3">
      <c r="A16294" s="250">
        <v>38308</v>
      </c>
      <c r="B16294" s="74" t="s">
        <v>1318</v>
      </c>
      <c r="C16294" s="74" t="s">
        <v>452</v>
      </c>
    </row>
    <row r="16295" spans="1:3">
      <c r="A16295" s="250">
        <v>38310</v>
      </c>
      <c r="B16295" s="74" t="s">
        <v>1092</v>
      </c>
      <c r="C16295" s="74" t="s">
        <v>452</v>
      </c>
    </row>
    <row r="16296" spans="1:3">
      <c r="A16296" s="250">
        <v>38311</v>
      </c>
      <c r="B16296" s="74" t="s">
        <v>9206</v>
      </c>
      <c r="C16296" s="74" t="s">
        <v>452</v>
      </c>
    </row>
    <row r="16297" spans="1:3">
      <c r="A16297" s="250">
        <v>38313</v>
      </c>
      <c r="B16297" s="74" t="s">
        <v>9207</v>
      </c>
      <c r="C16297" s="74" t="s">
        <v>452</v>
      </c>
    </row>
    <row r="16298" spans="1:3">
      <c r="A16298" s="250">
        <v>38314</v>
      </c>
      <c r="B16298" s="74" t="s">
        <v>1318</v>
      </c>
      <c r="C16298" s="74" t="s">
        <v>452</v>
      </c>
    </row>
    <row r="16299" spans="1:3">
      <c r="A16299" s="250">
        <v>38315</v>
      </c>
      <c r="B16299" s="74" t="s">
        <v>9208</v>
      </c>
      <c r="C16299" s="74" t="s">
        <v>452</v>
      </c>
    </row>
    <row r="16300" spans="1:3">
      <c r="A16300" s="250">
        <v>38316</v>
      </c>
      <c r="B16300" s="74" t="s">
        <v>1097</v>
      </c>
      <c r="C16300" s="74" t="s">
        <v>452</v>
      </c>
    </row>
    <row r="16301" spans="1:3">
      <c r="A16301" s="250">
        <v>38317</v>
      </c>
      <c r="B16301" s="74" t="s">
        <v>9209</v>
      </c>
      <c r="C16301" s="74" t="s">
        <v>452</v>
      </c>
    </row>
    <row r="16302" spans="1:3">
      <c r="A16302" s="250">
        <v>38318</v>
      </c>
      <c r="B16302" s="74" t="s">
        <v>3967</v>
      </c>
      <c r="C16302" s="74" t="s">
        <v>452</v>
      </c>
    </row>
    <row r="16303" spans="1:3">
      <c r="A16303" s="250">
        <v>38320</v>
      </c>
      <c r="B16303" s="74" t="s">
        <v>1660</v>
      </c>
      <c r="C16303" s="74" t="s">
        <v>452</v>
      </c>
    </row>
    <row r="16304" spans="1:3">
      <c r="A16304" s="250">
        <v>38321</v>
      </c>
      <c r="B16304" s="74" t="s">
        <v>2115</v>
      </c>
      <c r="C16304" s="74" t="s">
        <v>452</v>
      </c>
    </row>
    <row r="16305" spans="1:3">
      <c r="A16305" s="250">
        <v>38324</v>
      </c>
      <c r="B16305" s="74" t="s">
        <v>4269</v>
      </c>
      <c r="C16305" s="74" t="s">
        <v>452</v>
      </c>
    </row>
    <row r="16306" spans="1:3">
      <c r="A16306" s="250">
        <v>38326</v>
      </c>
      <c r="B16306" s="74" t="s">
        <v>9210</v>
      </c>
      <c r="C16306" s="74" t="s">
        <v>452</v>
      </c>
    </row>
    <row r="16307" spans="1:3">
      <c r="A16307" s="250">
        <v>38327</v>
      </c>
      <c r="B16307" s="74" t="s">
        <v>9211</v>
      </c>
      <c r="C16307" s="74" t="s">
        <v>452</v>
      </c>
    </row>
    <row r="16308" spans="1:3">
      <c r="A16308" s="250">
        <v>38328</v>
      </c>
      <c r="B16308" s="74" t="s">
        <v>9212</v>
      </c>
      <c r="C16308" s="74" t="s">
        <v>452</v>
      </c>
    </row>
    <row r="16309" spans="1:3">
      <c r="A16309" s="250">
        <v>38329</v>
      </c>
      <c r="B16309" s="74" t="s">
        <v>9213</v>
      </c>
      <c r="C16309" s="74" t="s">
        <v>452</v>
      </c>
    </row>
    <row r="16310" spans="1:3">
      <c r="A16310" s="250">
        <v>38330</v>
      </c>
      <c r="B16310" s="74" t="s">
        <v>9214</v>
      </c>
      <c r="C16310" s="74" t="s">
        <v>452</v>
      </c>
    </row>
    <row r="16311" spans="1:3">
      <c r="A16311" s="250">
        <v>38331</v>
      </c>
      <c r="B16311" s="74" t="s">
        <v>3452</v>
      </c>
      <c r="C16311" s="74" t="s">
        <v>452</v>
      </c>
    </row>
    <row r="16312" spans="1:3">
      <c r="A16312" s="250">
        <v>38332</v>
      </c>
      <c r="B16312" s="74" t="s">
        <v>9215</v>
      </c>
      <c r="C16312" s="74" t="s">
        <v>452</v>
      </c>
    </row>
    <row r="16313" spans="1:3">
      <c r="A16313" s="250">
        <v>38333</v>
      </c>
      <c r="B16313" s="74" t="s">
        <v>8728</v>
      </c>
      <c r="C16313" s="74" t="s">
        <v>452</v>
      </c>
    </row>
    <row r="16314" spans="1:3">
      <c r="A16314" s="250">
        <v>38334</v>
      </c>
      <c r="B16314" s="74" t="s">
        <v>9216</v>
      </c>
      <c r="C16314" s="74" t="s">
        <v>452</v>
      </c>
    </row>
    <row r="16315" spans="1:3">
      <c r="A16315" s="250">
        <v>38336</v>
      </c>
      <c r="B16315" s="74" t="s">
        <v>9217</v>
      </c>
      <c r="C16315" s="74" t="s">
        <v>452</v>
      </c>
    </row>
    <row r="16316" spans="1:3">
      <c r="A16316" s="250">
        <v>38337</v>
      </c>
      <c r="B16316" s="74" t="s">
        <v>7613</v>
      </c>
      <c r="C16316" s="74" t="s">
        <v>452</v>
      </c>
    </row>
    <row r="16317" spans="1:3">
      <c r="A16317" s="250">
        <v>38338</v>
      </c>
      <c r="B16317" s="74" t="s">
        <v>5239</v>
      </c>
      <c r="C16317" s="74" t="s">
        <v>452</v>
      </c>
    </row>
    <row r="16318" spans="1:3">
      <c r="A16318" s="250">
        <v>38339</v>
      </c>
      <c r="B16318" s="74" t="s">
        <v>9218</v>
      </c>
      <c r="C16318" s="74" t="s">
        <v>452</v>
      </c>
    </row>
    <row r="16319" spans="1:3">
      <c r="A16319" s="250">
        <v>38340</v>
      </c>
      <c r="B16319" s="74" t="s">
        <v>3556</v>
      </c>
      <c r="C16319" s="74" t="s">
        <v>452</v>
      </c>
    </row>
    <row r="16320" spans="1:3">
      <c r="A16320" s="250">
        <v>38341</v>
      </c>
      <c r="B16320" s="74" t="s">
        <v>9219</v>
      </c>
      <c r="C16320" s="74" t="s">
        <v>452</v>
      </c>
    </row>
    <row r="16321" spans="1:3">
      <c r="A16321" s="250">
        <v>38342</v>
      </c>
      <c r="B16321" s="74" t="s">
        <v>9220</v>
      </c>
      <c r="C16321" s="74" t="s">
        <v>452</v>
      </c>
    </row>
    <row r="16322" spans="1:3">
      <c r="A16322" s="250">
        <v>38343</v>
      </c>
      <c r="B16322" s="74" t="s">
        <v>9221</v>
      </c>
      <c r="C16322" s="74" t="s">
        <v>452</v>
      </c>
    </row>
    <row r="16323" spans="1:3">
      <c r="A16323" s="250">
        <v>38344</v>
      </c>
      <c r="B16323" s="74" t="s">
        <v>4556</v>
      </c>
      <c r="C16323" s="74" t="s">
        <v>452</v>
      </c>
    </row>
    <row r="16324" spans="1:3">
      <c r="A16324" s="250">
        <v>38345</v>
      </c>
      <c r="B16324" s="74" t="s">
        <v>9222</v>
      </c>
      <c r="C16324" s="74" t="s">
        <v>452</v>
      </c>
    </row>
    <row r="16325" spans="1:3">
      <c r="A16325" s="250">
        <v>38346</v>
      </c>
      <c r="B16325" s="74" t="s">
        <v>9223</v>
      </c>
      <c r="C16325" s="74" t="s">
        <v>452</v>
      </c>
    </row>
    <row r="16326" spans="1:3">
      <c r="A16326" s="250">
        <v>38347</v>
      </c>
      <c r="B16326" s="74" t="s">
        <v>9224</v>
      </c>
      <c r="C16326" s="74" t="s">
        <v>452</v>
      </c>
    </row>
    <row r="16327" spans="1:3">
      <c r="A16327" s="250">
        <v>38348</v>
      </c>
      <c r="B16327" s="74" t="s">
        <v>9225</v>
      </c>
      <c r="C16327" s="74" t="s">
        <v>452</v>
      </c>
    </row>
    <row r="16328" spans="1:3">
      <c r="A16328" s="250">
        <v>38351</v>
      </c>
      <c r="B16328" s="74" t="s">
        <v>966</v>
      </c>
      <c r="C16328" s="74" t="s">
        <v>452</v>
      </c>
    </row>
    <row r="16329" spans="1:3">
      <c r="A16329" s="250">
        <v>38352</v>
      </c>
      <c r="B16329" s="74" t="s">
        <v>5992</v>
      </c>
      <c r="C16329" s="74" t="s">
        <v>452</v>
      </c>
    </row>
    <row r="16330" spans="1:3">
      <c r="A16330" s="250">
        <v>38355</v>
      </c>
      <c r="B16330" s="74" t="s">
        <v>3719</v>
      </c>
      <c r="C16330" s="74" t="s">
        <v>452</v>
      </c>
    </row>
    <row r="16331" spans="1:3">
      <c r="A16331" s="250">
        <v>38356</v>
      </c>
      <c r="B16331" s="74" t="s">
        <v>9226</v>
      </c>
      <c r="C16331" s="74" t="s">
        <v>452</v>
      </c>
    </row>
    <row r="16332" spans="1:3">
      <c r="A16332" s="250">
        <v>38357</v>
      </c>
      <c r="B16332" s="74" t="s">
        <v>9227</v>
      </c>
      <c r="C16332" s="74" t="s">
        <v>452</v>
      </c>
    </row>
    <row r="16333" spans="1:3">
      <c r="A16333" s="250">
        <v>38358</v>
      </c>
      <c r="B16333" s="74" t="s">
        <v>1256</v>
      </c>
      <c r="C16333" s="74" t="s">
        <v>452</v>
      </c>
    </row>
    <row r="16334" spans="1:3">
      <c r="A16334" s="250">
        <v>38359</v>
      </c>
      <c r="B16334" s="74" t="s">
        <v>8087</v>
      </c>
      <c r="C16334" s="74" t="s">
        <v>452</v>
      </c>
    </row>
    <row r="16335" spans="1:3">
      <c r="A16335" s="250">
        <v>38361</v>
      </c>
      <c r="B16335" s="74" t="s">
        <v>9228</v>
      </c>
      <c r="C16335" s="74" t="s">
        <v>452</v>
      </c>
    </row>
    <row r="16336" spans="1:3">
      <c r="A16336" s="250">
        <v>38362</v>
      </c>
      <c r="B16336" s="74" t="s">
        <v>1642</v>
      </c>
      <c r="C16336" s="74" t="s">
        <v>452</v>
      </c>
    </row>
    <row r="16337" spans="1:3">
      <c r="A16337" s="250">
        <v>38363</v>
      </c>
      <c r="B16337" s="74" t="s">
        <v>6921</v>
      </c>
      <c r="C16337" s="74" t="s">
        <v>452</v>
      </c>
    </row>
    <row r="16338" spans="1:3">
      <c r="A16338" s="250">
        <v>38365</v>
      </c>
      <c r="B16338" s="74" t="s">
        <v>9229</v>
      </c>
      <c r="C16338" s="74" t="s">
        <v>452</v>
      </c>
    </row>
    <row r="16339" spans="1:3">
      <c r="A16339" s="250">
        <v>38366</v>
      </c>
      <c r="B16339" s="74" t="s">
        <v>8659</v>
      </c>
      <c r="C16339" s="74" t="s">
        <v>452</v>
      </c>
    </row>
    <row r="16340" spans="1:3">
      <c r="A16340" s="250">
        <v>38367</v>
      </c>
      <c r="B16340" s="74" t="s">
        <v>8816</v>
      </c>
      <c r="C16340" s="74" t="s">
        <v>452</v>
      </c>
    </row>
    <row r="16341" spans="1:3">
      <c r="A16341" s="250">
        <v>38368</v>
      </c>
      <c r="B16341" s="74" t="s">
        <v>9230</v>
      </c>
      <c r="C16341" s="74" t="s">
        <v>452</v>
      </c>
    </row>
    <row r="16342" spans="1:3">
      <c r="A16342" s="250">
        <v>38369</v>
      </c>
      <c r="B16342" s="74" t="s">
        <v>2153</v>
      </c>
      <c r="C16342" s="74" t="s">
        <v>452</v>
      </c>
    </row>
    <row r="16343" spans="1:3">
      <c r="A16343" s="250">
        <v>38370</v>
      </c>
      <c r="B16343" s="74" t="s">
        <v>4787</v>
      </c>
      <c r="C16343" s="74" t="s">
        <v>452</v>
      </c>
    </row>
    <row r="16344" spans="1:3">
      <c r="A16344" s="250">
        <v>38371</v>
      </c>
      <c r="B16344" s="74" t="s">
        <v>7952</v>
      </c>
      <c r="C16344" s="74" t="s">
        <v>452</v>
      </c>
    </row>
    <row r="16345" spans="1:3">
      <c r="A16345" s="250">
        <v>38372</v>
      </c>
      <c r="B16345" s="74" t="s">
        <v>3411</v>
      </c>
      <c r="C16345" s="74" t="s">
        <v>452</v>
      </c>
    </row>
    <row r="16346" spans="1:3">
      <c r="A16346" s="250">
        <v>38374</v>
      </c>
      <c r="B16346" s="74" t="s">
        <v>9231</v>
      </c>
      <c r="C16346" s="74" t="s">
        <v>452</v>
      </c>
    </row>
    <row r="16347" spans="1:3">
      <c r="A16347" s="250">
        <v>38375</v>
      </c>
      <c r="B16347" s="74" t="s">
        <v>9232</v>
      </c>
      <c r="C16347" s="74" t="s">
        <v>452</v>
      </c>
    </row>
    <row r="16348" spans="1:3">
      <c r="A16348" s="250">
        <v>38376</v>
      </c>
      <c r="B16348" s="74" t="s">
        <v>2501</v>
      </c>
      <c r="C16348" s="74" t="s">
        <v>452</v>
      </c>
    </row>
    <row r="16349" spans="1:3">
      <c r="A16349" s="250">
        <v>38377</v>
      </c>
      <c r="B16349" s="74" t="s">
        <v>9233</v>
      </c>
      <c r="C16349" s="74" t="s">
        <v>452</v>
      </c>
    </row>
    <row r="16350" spans="1:3">
      <c r="A16350" s="250">
        <v>38378</v>
      </c>
      <c r="B16350" s="74" t="s">
        <v>4525</v>
      </c>
      <c r="C16350" s="74" t="s">
        <v>452</v>
      </c>
    </row>
    <row r="16351" spans="1:3">
      <c r="A16351" s="250">
        <v>38379</v>
      </c>
      <c r="B16351" s="74" t="s">
        <v>9234</v>
      </c>
      <c r="C16351" s="74" t="s">
        <v>452</v>
      </c>
    </row>
    <row r="16352" spans="1:3">
      <c r="A16352" s="250">
        <v>38380</v>
      </c>
      <c r="B16352" s="74" t="s">
        <v>9235</v>
      </c>
      <c r="C16352" s="74" t="s">
        <v>452</v>
      </c>
    </row>
    <row r="16353" spans="1:3">
      <c r="A16353" s="250">
        <v>38381</v>
      </c>
      <c r="B16353" s="74" t="s">
        <v>9236</v>
      </c>
      <c r="C16353" s="74" t="s">
        <v>452</v>
      </c>
    </row>
    <row r="16354" spans="1:3">
      <c r="A16354" s="250">
        <v>38382</v>
      </c>
      <c r="B16354" s="74" t="s">
        <v>2532</v>
      </c>
      <c r="C16354" s="74" t="s">
        <v>452</v>
      </c>
    </row>
    <row r="16355" spans="1:3">
      <c r="A16355" s="250">
        <v>38387</v>
      </c>
      <c r="B16355" s="74" t="s">
        <v>1090</v>
      </c>
      <c r="C16355" s="74" t="s">
        <v>452</v>
      </c>
    </row>
    <row r="16356" spans="1:3">
      <c r="A16356" s="250">
        <v>38388</v>
      </c>
      <c r="B16356" s="74" t="s">
        <v>9237</v>
      </c>
      <c r="C16356" s="74" t="s">
        <v>452</v>
      </c>
    </row>
    <row r="16357" spans="1:3">
      <c r="A16357" s="250">
        <v>38389</v>
      </c>
      <c r="B16357" s="74" t="s">
        <v>3520</v>
      </c>
      <c r="C16357" s="74" t="s">
        <v>452</v>
      </c>
    </row>
    <row r="16358" spans="1:3">
      <c r="A16358" s="250">
        <v>38390</v>
      </c>
      <c r="B16358" s="74" t="s">
        <v>9238</v>
      </c>
      <c r="C16358" s="74" t="s">
        <v>452</v>
      </c>
    </row>
    <row r="16359" spans="1:3">
      <c r="A16359" s="250">
        <v>38391</v>
      </c>
      <c r="B16359" s="74" t="s">
        <v>1378</v>
      </c>
      <c r="C16359" s="74" t="s">
        <v>452</v>
      </c>
    </row>
    <row r="16360" spans="1:3">
      <c r="A16360" s="250">
        <v>38392</v>
      </c>
      <c r="B16360" s="74" t="s">
        <v>4423</v>
      </c>
      <c r="C16360" s="74" t="s">
        <v>452</v>
      </c>
    </row>
    <row r="16361" spans="1:3">
      <c r="A16361" s="250">
        <v>38393</v>
      </c>
      <c r="B16361" s="74" t="s">
        <v>9239</v>
      </c>
      <c r="C16361" s="74" t="s">
        <v>452</v>
      </c>
    </row>
    <row r="16362" spans="1:3">
      <c r="A16362" s="250">
        <v>38401</v>
      </c>
      <c r="B16362" s="74" t="s">
        <v>1985</v>
      </c>
      <c r="C16362" s="74" t="s">
        <v>452</v>
      </c>
    </row>
    <row r="16363" spans="1:3">
      <c r="A16363" s="250">
        <v>38402</v>
      </c>
      <c r="B16363" s="74" t="s">
        <v>1985</v>
      </c>
      <c r="C16363" s="74" t="s">
        <v>452</v>
      </c>
    </row>
    <row r="16364" spans="1:3">
      <c r="A16364" s="250">
        <v>38425</v>
      </c>
      <c r="B16364" s="74" t="s">
        <v>2117</v>
      </c>
      <c r="C16364" s="74" t="s">
        <v>452</v>
      </c>
    </row>
    <row r="16365" spans="1:3">
      <c r="A16365" s="250">
        <v>38449</v>
      </c>
      <c r="B16365" s="74" t="s">
        <v>5311</v>
      </c>
      <c r="C16365" s="74" t="s">
        <v>452</v>
      </c>
    </row>
    <row r="16366" spans="1:3">
      <c r="A16366" s="250">
        <v>38450</v>
      </c>
      <c r="B16366" s="74" t="s">
        <v>9240</v>
      </c>
      <c r="C16366" s="74" t="s">
        <v>452</v>
      </c>
    </row>
    <row r="16367" spans="1:3">
      <c r="A16367" s="250">
        <v>38451</v>
      </c>
      <c r="B16367" s="74" t="s">
        <v>9241</v>
      </c>
      <c r="C16367" s="74" t="s">
        <v>452</v>
      </c>
    </row>
    <row r="16368" spans="1:3">
      <c r="A16368" s="250">
        <v>38452</v>
      </c>
      <c r="B16368" s="74" t="s">
        <v>9242</v>
      </c>
      <c r="C16368" s="74" t="s">
        <v>452</v>
      </c>
    </row>
    <row r="16369" spans="1:3">
      <c r="A16369" s="250">
        <v>38453</v>
      </c>
      <c r="B16369" s="74" t="s">
        <v>9243</v>
      </c>
      <c r="C16369" s="74" t="s">
        <v>452</v>
      </c>
    </row>
    <row r="16370" spans="1:3">
      <c r="A16370" s="250">
        <v>38454</v>
      </c>
      <c r="B16370" s="74" t="s">
        <v>9244</v>
      </c>
      <c r="C16370" s="74" t="s">
        <v>452</v>
      </c>
    </row>
    <row r="16371" spans="1:3">
      <c r="A16371" s="250">
        <v>38455</v>
      </c>
      <c r="B16371" s="74" t="s">
        <v>5864</v>
      </c>
      <c r="C16371" s="74" t="s">
        <v>452</v>
      </c>
    </row>
    <row r="16372" spans="1:3">
      <c r="A16372" s="250">
        <v>38456</v>
      </c>
      <c r="B16372" s="74" t="s">
        <v>9245</v>
      </c>
      <c r="C16372" s="74" t="s">
        <v>452</v>
      </c>
    </row>
    <row r="16373" spans="1:3">
      <c r="A16373" s="250">
        <v>38457</v>
      </c>
      <c r="B16373" s="74" t="s">
        <v>8964</v>
      </c>
      <c r="C16373" s="74" t="s">
        <v>452</v>
      </c>
    </row>
    <row r="16374" spans="1:3">
      <c r="A16374" s="250">
        <v>38459</v>
      </c>
      <c r="B16374" s="74" t="s">
        <v>9246</v>
      </c>
      <c r="C16374" s="74" t="s">
        <v>452</v>
      </c>
    </row>
    <row r="16375" spans="1:3">
      <c r="A16375" s="250">
        <v>38460</v>
      </c>
      <c r="B16375" s="74" t="s">
        <v>9247</v>
      </c>
      <c r="C16375" s="74" t="s">
        <v>452</v>
      </c>
    </row>
    <row r="16376" spans="1:3">
      <c r="A16376" s="250">
        <v>38461</v>
      </c>
      <c r="B16376" s="74" t="s">
        <v>9248</v>
      </c>
      <c r="C16376" s="74" t="s">
        <v>452</v>
      </c>
    </row>
    <row r="16377" spans="1:3">
      <c r="A16377" s="250">
        <v>38462</v>
      </c>
      <c r="B16377" s="74" t="s">
        <v>9249</v>
      </c>
      <c r="C16377" s="74" t="s">
        <v>452</v>
      </c>
    </row>
    <row r="16378" spans="1:3">
      <c r="A16378" s="250">
        <v>38463</v>
      </c>
      <c r="B16378" s="74" t="s">
        <v>9250</v>
      </c>
      <c r="C16378" s="74" t="s">
        <v>452</v>
      </c>
    </row>
    <row r="16379" spans="1:3">
      <c r="A16379" s="250">
        <v>38464</v>
      </c>
      <c r="B16379" s="74" t="s">
        <v>9251</v>
      </c>
      <c r="C16379" s="74" t="s">
        <v>452</v>
      </c>
    </row>
    <row r="16380" spans="1:3">
      <c r="A16380" s="250">
        <v>38468</v>
      </c>
      <c r="B16380" s="74" t="s">
        <v>9252</v>
      </c>
      <c r="C16380" s="74" t="s">
        <v>452</v>
      </c>
    </row>
    <row r="16381" spans="1:3">
      <c r="A16381" s="250">
        <v>38469</v>
      </c>
      <c r="B16381" s="74" t="s">
        <v>4358</v>
      </c>
      <c r="C16381" s="74" t="s">
        <v>452</v>
      </c>
    </row>
    <row r="16382" spans="1:3">
      <c r="A16382" s="250">
        <v>38471</v>
      </c>
      <c r="B16382" s="74" t="s">
        <v>9253</v>
      </c>
      <c r="C16382" s="74" t="s">
        <v>452</v>
      </c>
    </row>
    <row r="16383" spans="1:3">
      <c r="A16383" s="250">
        <v>38472</v>
      </c>
      <c r="B16383" s="74" t="s">
        <v>9254</v>
      </c>
      <c r="C16383" s="74" t="s">
        <v>452</v>
      </c>
    </row>
    <row r="16384" spans="1:3">
      <c r="A16384" s="250">
        <v>38473</v>
      </c>
      <c r="B16384" s="74" t="s">
        <v>9255</v>
      </c>
      <c r="C16384" s="74" t="s">
        <v>452</v>
      </c>
    </row>
    <row r="16385" spans="1:3">
      <c r="A16385" s="250">
        <v>38474</v>
      </c>
      <c r="B16385" s="74" t="s">
        <v>4226</v>
      </c>
      <c r="C16385" s="74" t="s">
        <v>452</v>
      </c>
    </row>
    <row r="16386" spans="1:3">
      <c r="A16386" s="250">
        <v>38475</v>
      </c>
      <c r="B16386" s="74" t="s">
        <v>9256</v>
      </c>
      <c r="C16386" s="74" t="s">
        <v>452</v>
      </c>
    </row>
    <row r="16387" spans="1:3">
      <c r="A16387" s="250">
        <v>38476</v>
      </c>
      <c r="B16387" s="74" t="s">
        <v>9257</v>
      </c>
      <c r="C16387" s="74" t="s">
        <v>452</v>
      </c>
    </row>
    <row r="16388" spans="1:3">
      <c r="A16388" s="250">
        <v>38477</v>
      </c>
      <c r="B16388" s="74" t="s">
        <v>2079</v>
      </c>
      <c r="C16388" s="74" t="s">
        <v>452</v>
      </c>
    </row>
    <row r="16389" spans="1:3">
      <c r="A16389" s="250">
        <v>38478</v>
      </c>
      <c r="B16389" s="74" t="s">
        <v>3408</v>
      </c>
      <c r="C16389" s="74" t="s">
        <v>452</v>
      </c>
    </row>
    <row r="16390" spans="1:3">
      <c r="A16390" s="250">
        <v>38481</v>
      </c>
      <c r="B16390" s="74" t="s">
        <v>9258</v>
      </c>
      <c r="C16390" s="74" t="s">
        <v>452</v>
      </c>
    </row>
    <row r="16391" spans="1:3">
      <c r="A16391" s="250">
        <v>38482</v>
      </c>
      <c r="B16391" s="74" t="s">
        <v>9259</v>
      </c>
      <c r="C16391" s="74" t="s">
        <v>452</v>
      </c>
    </row>
    <row r="16392" spans="1:3">
      <c r="A16392" s="250">
        <v>38483</v>
      </c>
      <c r="B16392" s="74" t="s">
        <v>9260</v>
      </c>
      <c r="C16392" s="74" t="s">
        <v>452</v>
      </c>
    </row>
    <row r="16393" spans="1:3">
      <c r="A16393" s="250">
        <v>38485</v>
      </c>
      <c r="B16393" s="74" t="s">
        <v>4799</v>
      </c>
      <c r="C16393" s="74" t="s">
        <v>452</v>
      </c>
    </row>
    <row r="16394" spans="1:3">
      <c r="A16394" s="250">
        <v>38486</v>
      </c>
      <c r="B16394" s="74" t="s">
        <v>9261</v>
      </c>
      <c r="C16394" s="74" t="s">
        <v>452</v>
      </c>
    </row>
    <row r="16395" spans="1:3">
      <c r="A16395" s="250">
        <v>38487</v>
      </c>
      <c r="B16395" s="74" t="s">
        <v>4897</v>
      </c>
      <c r="C16395" s="74" t="s">
        <v>452</v>
      </c>
    </row>
    <row r="16396" spans="1:3">
      <c r="A16396" s="250">
        <v>38488</v>
      </c>
      <c r="B16396" s="74" t="s">
        <v>9262</v>
      </c>
      <c r="C16396" s="74" t="s">
        <v>452</v>
      </c>
    </row>
    <row r="16397" spans="1:3">
      <c r="A16397" s="250">
        <v>38501</v>
      </c>
      <c r="B16397" s="74" t="s">
        <v>9263</v>
      </c>
      <c r="C16397" s="74" t="s">
        <v>452</v>
      </c>
    </row>
    <row r="16398" spans="1:3">
      <c r="A16398" s="250">
        <v>38502</v>
      </c>
      <c r="B16398" s="74" t="s">
        <v>9263</v>
      </c>
      <c r="C16398" s="74" t="s">
        <v>452</v>
      </c>
    </row>
    <row r="16399" spans="1:3">
      <c r="A16399" s="250">
        <v>38503</v>
      </c>
      <c r="B16399" s="74" t="s">
        <v>9263</v>
      </c>
      <c r="C16399" s="74" t="s">
        <v>452</v>
      </c>
    </row>
    <row r="16400" spans="1:3">
      <c r="A16400" s="250">
        <v>38504</v>
      </c>
      <c r="B16400" s="74" t="s">
        <v>9264</v>
      </c>
      <c r="C16400" s="74" t="s">
        <v>452</v>
      </c>
    </row>
    <row r="16401" spans="1:3">
      <c r="A16401" s="250">
        <v>38505</v>
      </c>
      <c r="B16401" s="74" t="s">
        <v>9263</v>
      </c>
      <c r="C16401" s="74" t="s">
        <v>452</v>
      </c>
    </row>
    <row r="16402" spans="1:3">
      <c r="A16402" s="250">
        <v>38506</v>
      </c>
      <c r="B16402" s="74" t="s">
        <v>9263</v>
      </c>
      <c r="C16402" s="74" t="s">
        <v>452</v>
      </c>
    </row>
    <row r="16403" spans="1:3">
      <c r="A16403" s="250">
        <v>38541</v>
      </c>
      <c r="B16403" s="74" t="s">
        <v>9265</v>
      </c>
      <c r="C16403" s="74" t="s">
        <v>452</v>
      </c>
    </row>
    <row r="16404" spans="1:3">
      <c r="A16404" s="250">
        <v>38542</v>
      </c>
      <c r="B16404" s="74" t="s">
        <v>9266</v>
      </c>
      <c r="C16404" s="74" t="s">
        <v>452</v>
      </c>
    </row>
    <row r="16405" spans="1:3">
      <c r="A16405" s="250">
        <v>38543</v>
      </c>
      <c r="B16405" s="74" t="s">
        <v>2225</v>
      </c>
      <c r="C16405" s="74" t="s">
        <v>452</v>
      </c>
    </row>
    <row r="16406" spans="1:3">
      <c r="A16406" s="250">
        <v>38544</v>
      </c>
      <c r="B16406" s="74" t="s">
        <v>6978</v>
      </c>
      <c r="C16406" s="74" t="s">
        <v>452</v>
      </c>
    </row>
    <row r="16407" spans="1:3">
      <c r="A16407" s="250">
        <v>38545</v>
      </c>
      <c r="B16407" s="74" t="s">
        <v>9267</v>
      </c>
      <c r="C16407" s="74" t="s">
        <v>452</v>
      </c>
    </row>
    <row r="16408" spans="1:3">
      <c r="A16408" s="250">
        <v>38547</v>
      </c>
      <c r="B16408" s="74" t="s">
        <v>9268</v>
      </c>
      <c r="C16408" s="74" t="s">
        <v>452</v>
      </c>
    </row>
    <row r="16409" spans="1:3">
      <c r="A16409" s="250">
        <v>38548</v>
      </c>
      <c r="B16409" s="74" t="s">
        <v>9269</v>
      </c>
      <c r="C16409" s="74" t="s">
        <v>452</v>
      </c>
    </row>
    <row r="16410" spans="1:3">
      <c r="A16410" s="250">
        <v>38549</v>
      </c>
      <c r="B16410" s="74" t="s">
        <v>9270</v>
      </c>
      <c r="C16410" s="74" t="s">
        <v>452</v>
      </c>
    </row>
    <row r="16411" spans="1:3">
      <c r="A16411" s="250">
        <v>38550</v>
      </c>
      <c r="B16411" s="74" t="s">
        <v>9271</v>
      </c>
      <c r="C16411" s="74" t="s">
        <v>452</v>
      </c>
    </row>
    <row r="16412" spans="1:3">
      <c r="A16412" s="250">
        <v>38551</v>
      </c>
      <c r="B16412" s="74" t="s">
        <v>9272</v>
      </c>
      <c r="C16412" s="74" t="s">
        <v>452</v>
      </c>
    </row>
    <row r="16413" spans="1:3">
      <c r="A16413" s="250">
        <v>38552</v>
      </c>
      <c r="B16413" s="74" t="s">
        <v>9273</v>
      </c>
      <c r="C16413" s="74" t="s">
        <v>452</v>
      </c>
    </row>
    <row r="16414" spans="1:3">
      <c r="A16414" s="250">
        <v>38553</v>
      </c>
      <c r="B16414" s="74" t="s">
        <v>9274</v>
      </c>
      <c r="C16414" s="74" t="s">
        <v>452</v>
      </c>
    </row>
    <row r="16415" spans="1:3">
      <c r="A16415" s="250">
        <v>38554</v>
      </c>
      <c r="B16415" s="74" t="s">
        <v>6935</v>
      </c>
      <c r="C16415" s="74" t="s">
        <v>452</v>
      </c>
    </row>
    <row r="16416" spans="1:3">
      <c r="A16416" s="250">
        <v>38555</v>
      </c>
      <c r="B16416" s="74" t="s">
        <v>8765</v>
      </c>
      <c r="C16416" s="74" t="s">
        <v>452</v>
      </c>
    </row>
    <row r="16417" spans="1:3">
      <c r="A16417" s="250">
        <v>38556</v>
      </c>
      <c r="B16417" s="74" t="s">
        <v>1113</v>
      </c>
      <c r="C16417" s="74" t="s">
        <v>452</v>
      </c>
    </row>
    <row r="16418" spans="1:3">
      <c r="A16418" s="250">
        <v>38557</v>
      </c>
      <c r="B16418" s="74" t="s">
        <v>8765</v>
      </c>
      <c r="C16418" s="74" t="s">
        <v>452</v>
      </c>
    </row>
    <row r="16419" spans="1:3">
      <c r="A16419" s="250">
        <v>38558</v>
      </c>
      <c r="B16419" s="74" t="s">
        <v>8765</v>
      </c>
      <c r="C16419" s="74" t="s">
        <v>452</v>
      </c>
    </row>
    <row r="16420" spans="1:3">
      <c r="A16420" s="250">
        <v>38559</v>
      </c>
      <c r="B16420" s="74" t="s">
        <v>9275</v>
      </c>
      <c r="C16420" s="74" t="s">
        <v>452</v>
      </c>
    </row>
    <row r="16421" spans="1:3">
      <c r="A16421" s="250">
        <v>38560</v>
      </c>
      <c r="B16421" s="74" t="s">
        <v>942</v>
      </c>
      <c r="C16421" s="74" t="s">
        <v>452</v>
      </c>
    </row>
    <row r="16422" spans="1:3">
      <c r="A16422" s="250">
        <v>38562</v>
      </c>
      <c r="B16422" s="74" t="s">
        <v>9276</v>
      </c>
      <c r="C16422" s="74" t="s">
        <v>452</v>
      </c>
    </row>
    <row r="16423" spans="1:3">
      <c r="A16423" s="250">
        <v>38563</v>
      </c>
      <c r="B16423" s="74" t="s">
        <v>6014</v>
      </c>
      <c r="C16423" s="74" t="s">
        <v>452</v>
      </c>
    </row>
    <row r="16424" spans="1:3">
      <c r="A16424" s="250">
        <v>38564</v>
      </c>
      <c r="B16424" s="74" t="s">
        <v>594</v>
      </c>
      <c r="C16424" s="74" t="s">
        <v>452</v>
      </c>
    </row>
    <row r="16425" spans="1:3">
      <c r="A16425" s="250">
        <v>38565</v>
      </c>
      <c r="B16425" s="74" t="s">
        <v>9277</v>
      </c>
      <c r="C16425" s="74" t="s">
        <v>452</v>
      </c>
    </row>
    <row r="16426" spans="1:3">
      <c r="A16426" s="250">
        <v>38567</v>
      </c>
      <c r="B16426" s="74" t="s">
        <v>9278</v>
      </c>
      <c r="C16426" s="74" t="s">
        <v>452</v>
      </c>
    </row>
    <row r="16427" spans="1:3">
      <c r="A16427" s="250">
        <v>38568</v>
      </c>
      <c r="B16427" s="74" t="s">
        <v>9279</v>
      </c>
      <c r="C16427" s="74" t="s">
        <v>452</v>
      </c>
    </row>
    <row r="16428" spans="1:3">
      <c r="A16428" s="250">
        <v>38569</v>
      </c>
      <c r="B16428" s="74" t="s">
        <v>741</v>
      </c>
      <c r="C16428" s="74" t="s">
        <v>452</v>
      </c>
    </row>
    <row r="16429" spans="1:3">
      <c r="A16429" s="250">
        <v>38570</v>
      </c>
      <c r="B16429" s="74" t="s">
        <v>2135</v>
      </c>
      <c r="C16429" s="74" t="s">
        <v>452</v>
      </c>
    </row>
    <row r="16430" spans="1:3">
      <c r="A16430" s="250">
        <v>38571</v>
      </c>
      <c r="B16430" s="74" t="s">
        <v>8765</v>
      </c>
      <c r="C16430" s="74" t="s">
        <v>452</v>
      </c>
    </row>
    <row r="16431" spans="1:3">
      <c r="A16431" s="250">
        <v>38572</v>
      </c>
      <c r="B16431" s="74" t="s">
        <v>8765</v>
      </c>
      <c r="C16431" s="74" t="s">
        <v>452</v>
      </c>
    </row>
    <row r="16432" spans="1:3">
      <c r="A16432" s="250">
        <v>38573</v>
      </c>
      <c r="B16432" s="74" t="s">
        <v>1284</v>
      </c>
      <c r="C16432" s="74" t="s">
        <v>452</v>
      </c>
    </row>
    <row r="16433" spans="1:3">
      <c r="A16433" s="250">
        <v>38574</v>
      </c>
      <c r="B16433" s="74" t="s">
        <v>654</v>
      </c>
      <c r="C16433" s="74" t="s">
        <v>452</v>
      </c>
    </row>
    <row r="16434" spans="1:3">
      <c r="A16434" s="250">
        <v>38575</v>
      </c>
      <c r="B16434" s="74" t="s">
        <v>9280</v>
      </c>
      <c r="C16434" s="74" t="s">
        <v>452</v>
      </c>
    </row>
    <row r="16435" spans="1:3">
      <c r="A16435" s="250">
        <v>38577</v>
      </c>
      <c r="B16435" s="74" t="s">
        <v>9281</v>
      </c>
      <c r="C16435" s="74" t="s">
        <v>452</v>
      </c>
    </row>
    <row r="16436" spans="1:3">
      <c r="A16436" s="250">
        <v>38578</v>
      </c>
      <c r="B16436" s="74" t="s">
        <v>7214</v>
      </c>
      <c r="C16436" s="74" t="s">
        <v>452</v>
      </c>
    </row>
    <row r="16437" spans="1:3">
      <c r="A16437" s="250">
        <v>38579</v>
      </c>
      <c r="B16437" s="74" t="s">
        <v>9282</v>
      </c>
      <c r="C16437" s="74" t="s">
        <v>452</v>
      </c>
    </row>
    <row r="16438" spans="1:3">
      <c r="A16438" s="250">
        <v>38580</v>
      </c>
      <c r="B16438" s="74" t="s">
        <v>9283</v>
      </c>
      <c r="C16438" s="74" t="s">
        <v>452</v>
      </c>
    </row>
    <row r="16439" spans="1:3">
      <c r="A16439" s="250">
        <v>38581</v>
      </c>
      <c r="B16439" s="74" t="s">
        <v>9284</v>
      </c>
      <c r="C16439" s="74" t="s">
        <v>452</v>
      </c>
    </row>
    <row r="16440" spans="1:3">
      <c r="A16440" s="250">
        <v>38582</v>
      </c>
      <c r="B16440" s="74" t="s">
        <v>9285</v>
      </c>
      <c r="C16440" s="74" t="s">
        <v>452</v>
      </c>
    </row>
    <row r="16441" spans="1:3">
      <c r="A16441" s="250">
        <v>38583</v>
      </c>
      <c r="B16441" s="74" t="s">
        <v>2327</v>
      </c>
      <c r="C16441" s="74" t="s">
        <v>452</v>
      </c>
    </row>
    <row r="16442" spans="1:3">
      <c r="A16442" s="250">
        <v>38585</v>
      </c>
      <c r="B16442" s="74" t="s">
        <v>762</v>
      </c>
      <c r="C16442" s="74" t="s">
        <v>452</v>
      </c>
    </row>
    <row r="16443" spans="1:3">
      <c r="A16443" s="250">
        <v>38587</v>
      </c>
      <c r="B16443" s="74" t="s">
        <v>9286</v>
      </c>
      <c r="C16443" s="74" t="s">
        <v>452</v>
      </c>
    </row>
    <row r="16444" spans="1:3">
      <c r="A16444" s="250">
        <v>38588</v>
      </c>
      <c r="B16444" s="74" t="s">
        <v>9287</v>
      </c>
      <c r="C16444" s="74" t="s">
        <v>452</v>
      </c>
    </row>
    <row r="16445" spans="1:3">
      <c r="A16445" s="250">
        <v>38589</v>
      </c>
      <c r="B16445" s="74" t="s">
        <v>1761</v>
      </c>
      <c r="C16445" s="74" t="s">
        <v>452</v>
      </c>
    </row>
    <row r="16446" spans="1:3">
      <c r="A16446" s="250">
        <v>38601</v>
      </c>
      <c r="B16446" s="74" t="s">
        <v>7763</v>
      </c>
      <c r="C16446" s="74" t="s">
        <v>435</v>
      </c>
    </row>
    <row r="16447" spans="1:3">
      <c r="A16447" s="250">
        <v>38602</v>
      </c>
      <c r="B16447" s="74" t="s">
        <v>9288</v>
      </c>
      <c r="C16447" s="74" t="s">
        <v>435</v>
      </c>
    </row>
    <row r="16448" spans="1:3">
      <c r="A16448" s="250">
        <v>38603</v>
      </c>
      <c r="B16448" s="74" t="s">
        <v>782</v>
      </c>
      <c r="C16448" s="74" t="s">
        <v>435</v>
      </c>
    </row>
    <row r="16449" spans="1:3">
      <c r="A16449" s="250">
        <v>38606</v>
      </c>
      <c r="B16449" s="74" t="s">
        <v>6005</v>
      </c>
      <c r="C16449" s="74" t="s">
        <v>435</v>
      </c>
    </row>
    <row r="16450" spans="1:3">
      <c r="A16450" s="250">
        <v>38609</v>
      </c>
      <c r="B16450" s="74" t="s">
        <v>9289</v>
      </c>
      <c r="C16450" s="74" t="s">
        <v>435</v>
      </c>
    </row>
    <row r="16451" spans="1:3">
      <c r="A16451" s="250">
        <v>38610</v>
      </c>
      <c r="B16451" s="74" t="s">
        <v>9290</v>
      </c>
      <c r="C16451" s="74" t="s">
        <v>435</v>
      </c>
    </row>
    <row r="16452" spans="1:3">
      <c r="A16452" s="250">
        <v>38611</v>
      </c>
      <c r="B16452" s="74" t="s">
        <v>9291</v>
      </c>
      <c r="C16452" s="74" t="s">
        <v>435</v>
      </c>
    </row>
    <row r="16453" spans="1:3">
      <c r="A16453" s="250">
        <v>38614</v>
      </c>
      <c r="B16453" s="74" t="s">
        <v>9292</v>
      </c>
      <c r="C16453" s="74" t="s">
        <v>435</v>
      </c>
    </row>
    <row r="16454" spans="1:3">
      <c r="A16454" s="250">
        <v>38617</v>
      </c>
      <c r="B16454" s="74" t="s">
        <v>9293</v>
      </c>
      <c r="C16454" s="74" t="s">
        <v>435</v>
      </c>
    </row>
    <row r="16455" spans="1:3">
      <c r="A16455" s="250">
        <v>38618</v>
      </c>
      <c r="B16455" s="74" t="s">
        <v>9294</v>
      </c>
      <c r="C16455" s="74" t="s">
        <v>435</v>
      </c>
    </row>
    <row r="16456" spans="1:3">
      <c r="A16456" s="250">
        <v>38619</v>
      </c>
      <c r="B16456" s="74" t="s">
        <v>7185</v>
      </c>
      <c r="C16456" s="74" t="s">
        <v>435</v>
      </c>
    </row>
    <row r="16457" spans="1:3">
      <c r="A16457" s="250">
        <v>38620</v>
      </c>
      <c r="B16457" s="74" t="s">
        <v>6193</v>
      </c>
      <c r="C16457" s="74" t="s">
        <v>435</v>
      </c>
    </row>
    <row r="16458" spans="1:3">
      <c r="A16458" s="250">
        <v>38621</v>
      </c>
      <c r="B16458" s="74" t="s">
        <v>9295</v>
      </c>
      <c r="C16458" s="74" t="s">
        <v>435</v>
      </c>
    </row>
    <row r="16459" spans="1:3">
      <c r="A16459" s="250">
        <v>38622</v>
      </c>
      <c r="B16459" s="74" t="s">
        <v>9296</v>
      </c>
      <c r="C16459" s="74" t="s">
        <v>435</v>
      </c>
    </row>
    <row r="16460" spans="1:3">
      <c r="A16460" s="250">
        <v>38623</v>
      </c>
      <c r="B16460" s="74" t="s">
        <v>9297</v>
      </c>
      <c r="C16460" s="74" t="s">
        <v>435</v>
      </c>
    </row>
    <row r="16461" spans="1:3">
      <c r="A16461" s="250">
        <v>38625</v>
      </c>
      <c r="B16461" s="74" t="s">
        <v>9298</v>
      </c>
      <c r="C16461" s="74" t="s">
        <v>435</v>
      </c>
    </row>
    <row r="16462" spans="1:3">
      <c r="A16462" s="250">
        <v>38626</v>
      </c>
      <c r="B16462" s="74" t="s">
        <v>3912</v>
      </c>
      <c r="C16462" s="74" t="s">
        <v>435</v>
      </c>
    </row>
    <row r="16463" spans="1:3">
      <c r="A16463" s="250">
        <v>38627</v>
      </c>
      <c r="B16463" s="74" t="s">
        <v>9299</v>
      </c>
      <c r="C16463" s="74" t="s">
        <v>435</v>
      </c>
    </row>
    <row r="16464" spans="1:3">
      <c r="A16464" s="250">
        <v>38628</v>
      </c>
      <c r="B16464" s="74" t="s">
        <v>7354</v>
      </c>
      <c r="C16464" s="74" t="s">
        <v>435</v>
      </c>
    </row>
    <row r="16465" spans="1:3">
      <c r="A16465" s="250">
        <v>38629</v>
      </c>
      <c r="B16465" s="74" t="s">
        <v>9300</v>
      </c>
      <c r="C16465" s="74" t="s">
        <v>435</v>
      </c>
    </row>
    <row r="16466" spans="1:3">
      <c r="A16466" s="250">
        <v>38630</v>
      </c>
      <c r="B16466" s="74" t="s">
        <v>4416</v>
      </c>
      <c r="C16466" s="74" t="s">
        <v>435</v>
      </c>
    </row>
    <row r="16467" spans="1:3">
      <c r="A16467" s="250">
        <v>38631</v>
      </c>
      <c r="B16467" s="74" t="s">
        <v>9301</v>
      </c>
      <c r="C16467" s="74" t="s">
        <v>435</v>
      </c>
    </row>
    <row r="16468" spans="1:3">
      <c r="A16468" s="250">
        <v>38632</v>
      </c>
      <c r="B16468" s="74" t="s">
        <v>8568</v>
      </c>
      <c r="C16468" s="74" t="s">
        <v>435</v>
      </c>
    </row>
    <row r="16469" spans="1:3">
      <c r="A16469" s="250">
        <v>38633</v>
      </c>
      <c r="B16469" s="74" t="s">
        <v>9302</v>
      </c>
      <c r="C16469" s="74" t="s">
        <v>435</v>
      </c>
    </row>
    <row r="16470" spans="1:3">
      <c r="A16470" s="250">
        <v>38634</v>
      </c>
      <c r="B16470" s="74" t="s">
        <v>7150</v>
      </c>
      <c r="C16470" s="74" t="s">
        <v>435</v>
      </c>
    </row>
    <row r="16471" spans="1:3">
      <c r="A16471" s="250">
        <v>38635</v>
      </c>
      <c r="B16471" s="74" t="s">
        <v>7150</v>
      </c>
      <c r="C16471" s="74" t="s">
        <v>435</v>
      </c>
    </row>
    <row r="16472" spans="1:3">
      <c r="A16472" s="250">
        <v>38637</v>
      </c>
      <c r="B16472" s="74" t="s">
        <v>9303</v>
      </c>
      <c r="C16472" s="74" t="s">
        <v>435</v>
      </c>
    </row>
    <row r="16473" spans="1:3">
      <c r="A16473" s="250">
        <v>38638</v>
      </c>
      <c r="B16473" s="74" t="s">
        <v>6364</v>
      </c>
      <c r="C16473" s="74" t="s">
        <v>435</v>
      </c>
    </row>
    <row r="16474" spans="1:3">
      <c r="A16474" s="250">
        <v>38639</v>
      </c>
      <c r="B16474" s="74" t="s">
        <v>4712</v>
      </c>
      <c r="C16474" s="74" t="s">
        <v>435</v>
      </c>
    </row>
    <row r="16475" spans="1:3">
      <c r="A16475" s="250">
        <v>38641</v>
      </c>
      <c r="B16475" s="74" t="s">
        <v>9304</v>
      </c>
      <c r="C16475" s="74" t="s">
        <v>435</v>
      </c>
    </row>
    <row r="16476" spans="1:3">
      <c r="A16476" s="250">
        <v>38642</v>
      </c>
      <c r="B16476" s="74" t="s">
        <v>4632</v>
      </c>
      <c r="C16476" s="74" t="s">
        <v>435</v>
      </c>
    </row>
    <row r="16477" spans="1:3">
      <c r="A16477" s="250">
        <v>38643</v>
      </c>
      <c r="B16477" s="74" t="s">
        <v>9305</v>
      </c>
      <c r="C16477" s="74" t="s">
        <v>435</v>
      </c>
    </row>
    <row r="16478" spans="1:3">
      <c r="A16478" s="250">
        <v>38644</v>
      </c>
      <c r="B16478" s="74" t="s">
        <v>7986</v>
      </c>
      <c r="C16478" s="74" t="s">
        <v>435</v>
      </c>
    </row>
    <row r="16479" spans="1:3">
      <c r="A16479" s="250">
        <v>38645</v>
      </c>
      <c r="B16479" s="74" t="s">
        <v>9306</v>
      </c>
      <c r="C16479" s="74" t="s">
        <v>435</v>
      </c>
    </row>
    <row r="16480" spans="1:3">
      <c r="A16480" s="250">
        <v>38646</v>
      </c>
      <c r="B16480" s="74" t="s">
        <v>9307</v>
      </c>
      <c r="C16480" s="74" t="s">
        <v>435</v>
      </c>
    </row>
    <row r="16481" spans="1:3">
      <c r="A16481" s="250">
        <v>38647</v>
      </c>
      <c r="B16481" s="74" t="s">
        <v>9308</v>
      </c>
      <c r="C16481" s="74" t="s">
        <v>435</v>
      </c>
    </row>
    <row r="16482" spans="1:3">
      <c r="A16482" s="250">
        <v>38649</v>
      </c>
      <c r="B16482" s="74" t="s">
        <v>4226</v>
      </c>
      <c r="C16482" s="74" t="s">
        <v>435</v>
      </c>
    </row>
    <row r="16483" spans="1:3">
      <c r="A16483" s="250">
        <v>38650</v>
      </c>
      <c r="B16483" s="74" t="s">
        <v>9309</v>
      </c>
      <c r="C16483" s="74" t="s">
        <v>435</v>
      </c>
    </row>
    <row r="16484" spans="1:3">
      <c r="A16484" s="250">
        <v>38651</v>
      </c>
      <c r="B16484" s="74" t="s">
        <v>9310</v>
      </c>
      <c r="C16484" s="74" t="s">
        <v>435</v>
      </c>
    </row>
    <row r="16485" spans="1:3">
      <c r="A16485" s="250">
        <v>38652</v>
      </c>
      <c r="B16485" s="74" t="s">
        <v>5247</v>
      </c>
      <c r="C16485" s="74" t="s">
        <v>435</v>
      </c>
    </row>
    <row r="16486" spans="1:3">
      <c r="A16486" s="250">
        <v>38654</v>
      </c>
      <c r="B16486" s="74" t="s">
        <v>9311</v>
      </c>
      <c r="C16486" s="74" t="s">
        <v>435</v>
      </c>
    </row>
    <row r="16487" spans="1:3">
      <c r="A16487" s="250">
        <v>38655</v>
      </c>
      <c r="B16487" s="74" t="s">
        <v>754</v>
      </c>
      <c r="C16487" s="74" t="s">
        <v>435</v>
      </c>
    </row>
    <row r="16488" spans="1:3">
      <c r="A16488" s="250">
        <v>38658</v>
      </c>
      <c r="B16488" s="74" t="s">
        <v>9312</v>
      </c>
      <c r="C16488" s="74" t="s">
        <v>435</v>
      </c>
    </row>
    <row r="16489" spans="1:3">
      <c r="A16489" s="250">
        <v>38659</v>
      </c>
      <c r="B16489" s="74" t="s">
        <v>9313</v>
      </c>
      <c r="C16489" s="74" t="s">
        <v>435</v>
      </c>
    </row>
    <row r="16490" spans="1:3">
      <c r="A16490" s="250">
        <v>38661</v>
      </c>
      <c r="B16490" s="74" t="s">
        <v>9314</v>
      </c>
      <c r="C16490" s="74" t="s">
        <v>435</v>
      </c>
    </row>
    <row r="16491" spans="1:3">
      <c r="A16491" s="250">
        <v>38663</v>
      </c>
      <c r="B16491" s="74" t="s">
        <v>3884</v>
      </c>
      <c r="C16491" s="74" t="s">
        <v>435</v>
      </c>
    </row>
    <row r="16492" spans="1:3">
      <c r="A16492" s="250">
        <v>38664</v>
      </c>
      <c r="B16492" s="74" t="s">
        <v>9315</v>
      </c>
      <c r="C16492" s="74" t="s">
        <v>435</v>
      </c>
    </row>
    <row r="16493" spans="1:3">
      <c r="A16493" s="250">
        <v>38665</v>
      </c>
      <c r="B16493" s="74" t="s">
        <v>9316</v>
      </c>
      <c r="C16493" s="74" t="s">
        <v>435</v>
      </c>
    </row>
    <row r="16494" spans="1:3">
      <c r="A16494" s="250">
        <v>38666</v>
      </c>
      <c r="B16494" s="74" t="s">
        <v>7952</v>
      </c>
      <c r="C16494" s="74" t="s">
        <v>435</v>
      </c>
    </row>
    <row r="16495" spans="1:3">
      <c r="A16495" s="250">
        <v>38668</v>
      </c>
      <c r="B16495" s="74" t="s">
        <v>9317</v>
      </c>
      <c r="C16495" s="74" t="s">
        <v>435</v>
      </c>
    </row>
    <row r="16496" spans="1:3">
      <c r="A16496" s="250">
        <v>38669</v>
      </c>
      <c r="B16496" s="74" t="s">
        <v>9318</v>
      </c>
      <c r="C16496" s="74" t="s">
        <v>435</v>
      </c>
    </row>
    <row r="16497" spans="1:3">
      <c r="A16497" s="250">
        <v>38670</v>
      </c>
      <c r="B16497" s="74" t="s">
        <v>9319</v>
      </c>
      <c r="C16497" s="74" t="s">
        <v>435</v>
      </c>
    </row>
    <row r="16498" spans="1:3">
      <c r="A16498" s="250">
        <v>38671</v>
      </c>
      <c r="B16498" s="74" t="s">
        <v>9320</v>
      </c>
      <c r="C16498" s="74" t="s">
        <v>435</v>
      </c>
    </row>
    <row r="16499" spans="1:3">
      <c r="A16499" s="250">
        <v>38672</v>
      </c>
      <c r="B16499" s="74" t="s">
        <v>9320</v>
      </c>
      <c r="C16499" s="74" t="s">
        <v>435</v>
      </c>
    </row>
    <row r="16500" spans="1:3">
      <c r="A16500" s="250">
        <v>38673</v>
      </c>
      <c r="B16500" s="74" t="s">
        <v>5195</v>
      </c>
      <c r="C16500" s="74" t="s">
        <v>435</v>
      </c>
    </row>
    <row r="16501" spans="1:3">
      <c r="A16501" s="250">
        <v>38674</v>
      </c>
      <c r="B16501" s="74" t="s">
        <v>9321</v>
      </c>
      <c r="C16501" s="74" t="s">
        <v>435</v>
      </c>
    </row>
    <row r="16502" spans="1:3">
      <c r="A16502" s="250">
        <v>38675</v>
      </c>
      <c r="B16502" s="74" t="s">
        <v>9322</v>
      </c>
      <c r="C16502" s="74" t="s">
        <v>435</v>
      </c>
    </row>
    <row r="16503" spans="1:3">
      <c r="A16503" s="250">
        <v>38676</v>
      </c>
      <c r="B16503" s="74" t="s">
        <v>9323</v>
      </c>
      <c r="C16503" s="74" t="s">
        <v>435</v>
      </c>
    </row>
    <row r="16504" spans="1:3">
      <c r="A16504" s="250">
        <v>38677</v>
      </c>
      <c r="B16504" s="74" t="s">
        <v>9324</v>
      </c>
      <c r="C16504" s="74" t="s">
        <v>435</v>
      </c>
    </row>
    <row r="16505" spans="1:3">
      <c r="A16505" s="250">
        <v>38679</v>
      </c>
      <c r="B16505" s="74" t="s">
        <v>6250</v>
      </c>
      <c r="C16505" s="74" t="s">
        <v>435</v>
      </c>
    </row>
    <row r="16506" spans="1:3">
      <c r="A16506" s="250">
        <v>38680</v>
      </c>
      <c r="B16506" s="74" t="s">
        <v>9325</v>
      </c>
      <c r="C16506" s="74" t="s">
        <v>435</v>
      </c>
    </row>
    <row r="16507" spans="1:3">
      <c r="A16507" s="250">
        <v>38683</v>
      </c>
      <c r="B16507" s="74" t="s">
        <v>9326</v>
      </c>
      <c r="C16507" s="74" t="s">
        <v>435</v>
      </c>
    </row>
    <row r="16508" spans="1:3">
      <c r="A16508" s="250">
        <v>38685</v>
      </c>
      <c r="B16508" s="74" t="s">
        <v>1420</v>
      </c>
      <c r="C16508" s="74" t="s">
        <v>435</v>
      </c>
    </row>
    <row r="16509" spans="1:3">
      <c r="A16509" s="250">
        <v>38686</v>
      </c>
      <c r="B16509" s="74" t="s">
        <v>9325</v>
      </c>
      <c r="C16509" s="74" t="s">
        <v>435</v>
      </c>
    </row>
    <row r="16510" spans="1:3">
      <c r="A16510" s="250">
        <v>38701</v>
      </c>
      <c r="B16510" s="74" t="s">
        <v>1108</v>
      </c>
      <c r="C16510" s="74" t="s">
        <v>435</v>
      </c>
    </row>
    <row r="16511" spans="1:3">
      <c r="A16511" s="250">
        <v>38702</v>
      </c>
      <c r="B16511" s="74" t="s">
        <v>1108</v>
      </c>
      <c r="C16511" s="74" t="s">
        <v>435</v>
      </c>
    </row>
    <row r="16512" spans="1:3">
      <c r="A16512" s="250">
        <v>38703</v>
      </c>
      <c r="B16512" s="74" t="s">
        <v>1108</v>
      </c>
      <c r="C16512" s="74" t="s">
        <v>435</v>
      </c>
    </row>
    <row r="16513" spans="1:3">
      <c r="A16513" s="250">
        <v>38704</v>
      </c>
      <c r="B16513" s="74" t="s">
        <v>1108</v>
      </c>
      <c r="C16513" s="74" t="s">
        <v>435</v>
      </c>
    </row>
    <row r="16514" spans="1:3">
      <c r="A16514" s="250">
        <v>38720</v>
      </c>
      <c r="B16514" s="74" t="s">
        <v>9327</v>
      </c>
      <c r="C16514" s="74" t="s">
        <v>435</v>
      </c>
    </row>
    <row r="16515" spans="1:3">
      <c r="A16515" s="250">
        <v>38721</v>
      </c>
      <c r="B16515" s="74" t="s">
        <v>9328</v>
      </c>
      <c r="C16515" s="74" t="s">
        <v>435</v>
      </c>
    </row>
    <row r="16516" spans="1:3">
      <c r="A16516" s="250">
        <v>38722</v>
      </c>
      <c r="B16516" s="74" t="s">
        <v>5408</v>
      </c>
      <c r="C16516" s="74" t="s">
        <v>435</v>
      </c>
    </row>
    <row r="16517" spans="1:3">
      <c r="A16517" s="250">
        <v>38723</v>
      </c>
      <c r="B16517" s="74" t="s">
        <v>935</v>
      </c>
      <c r="C16517" s="74" t="s">
        <v>435</v>
      </c>
    </row>
    <row r="16518" spans="1:3">
      <c r="A16518" s="250">
        <v>38725</v>
      </c>
      <c r="B16518" s="74" t="s">
        <v>9329</v>
      </c>
      <c r="C16518" s="74" t="s">
        <v>435</v>
      </c>
    </row>
    <row r="16519" spans="1:3">
      <c r="A16519" s="250">
        <v>38726</v>
      </c>
      <c r="B16519" s="74" t="s">
        <v>9330</v>
      </c>
      <c r="C16519" s="74" t="s">
        <v>435</v>
      </c>
    </row>
    <row r="16520" spans="1:3">
      <c r="A16520" s="250">
        <v>38730</v>
      </c>
      <c r="B16520" s="74" t="s">
        <v>9331</v>
      </c>
      <c r="C16520" s="74" t="s">
        <v>435</v>
      </c>
    </row>
    <row r="16521" spans="1:3">
      <c r="A16521" s="250">
        <v>38731</v>
      </c>
      <c r="B16521" s="74" t="s">
        <v>1025</v>
      </c>
      <c r="C16521" s="74" t="s">
        <v>435</v>
      </c>
    </row>
    <row r="16522" spans="1:3">
      <c r="A16522" s="250">
        <v>38732</v>
      </c>
      <c r="B16522" s="74" t="s">
        <v>3350</v>
      </c>
      <c r="C16522" s="74" t="s">
        <v>435</v>
      </c>
    </row>
    <row r="16523" spans="1:3">
      <c r="A16523" s="250">
        <v>38733</v>
      </c>
      <c r="B16523" s="74" t="s">
        <v>3350</v>
      </c>
      <c r="C16523" s="74" t="s">
        <v>435</v>
      </c>
    </row>
    <row r="16524" spans="1:3">
      <c r="A16524" s="250">
        <v>38736</v>
      </c>
      <c r="B16524" s="74" t="s">
        <v>9332</v>
      </c>
      <c r="C16524" s="74" t="s">
        <v>435</v>
      </c>
    </row>
    <row r="16525" spans="1:3">
      <c r="A16525" s="250">
        <v>38737</v>
      </c>
      <c r="B16525" s="74" t="s">
        <v>9333</v>
      </c>
      <c r="C16525" s="74" t="s">
        <v>435</v>
      </c>
    </row>
    <row r="16526" spans="1:3">
      <c r="A16526" s="250">
        <v>38738</v>
      </c>
      <c r="B16526" s="74" t="s">
        <v>9334</v>
      </c>
      <c r="C16526" s="74" t="s">
        <v>435</v>
      </c>
    </row>
    <row r="16527" spans="1:3">
      <c r="A16527" s="250">
        <v>38739</v>
      </c>
      <c r="B16527" s="74" t="s">
        <v>1230</v>
      </c>
      <c r="C16527" s="74" t="s">
        <v>435</v>
      </c>
    </row>
    <row r="16528" spans="1:3">
      <c r="A16528" s="250">
        <v>38740</v>
      </c>
      <c r="B16528" s="74" t="s">
        <v>7669</v>
      </c>
      <c r="C16528" s="74" t="s">
        <v>435</v>
      </c>
    </row>
    <row r="16529" spans="1:3">
      <c r="A16529" s="250">
        <v>38744</v>
      </c>
      <c r="B16529" s="74" t="s">
        <v>9335</v>
      </c>
      <c r="C16529" s="74" t="s">
        <v>435</v>
      </c>
    </row>
    <row r="16530" spans="1:3">
      <c r="A16530" s="250">
        <v>38745</v>
      </c>
      <c r="B16530" s="74" t="s">
        <v>9336</v>
      </c>
      <c r="C16530" s="74" t="s">
        <v>435</v>
      </c>
    </row>
    <row r="16531" spans="1:3">
      <c r="A16531" s="250">
        <v>38746</v>
      </c>
      <c r="B16531" s="74" t="s">
        <v>9337</v>
      </c>
      <c r="C16531" s="74" t="s">
        <v>435</v>
      </c>
    </row>
    <row r="16532" spans="1:3">
      <c r="A16532" s="250">
        <v>38748</v>
      </c>
      <c r="B16532" s="74" t="s">
        <v>9338</v>
      </c>
      <c r="C16532" s="74" t="s">
        <v>435</v>
      </c>
    </row>
    <row r="16533" spans="1:3">
      <c r="A16533" s="250">
        <v>38749</v>
      </c>
      <c r="B16533" s="74" t="s">
        <v>7402</v>
      </c>
      <c r="C16533" s="74" t="s">
        <v>435</v>
      </c>
    </row>
    <row r="16534" spans="1:3">
      <c r="A16534" s="250">
        <v>38751</v>
      </c>
      <c r="B16534" s="74" t="s">
        <v>3988</v>
      </c>
      <c r="C16534" s="74" t="s">
        <v>435</v>
      </c>
    </row>
    <row r="16535" spans="1:3">
      <c r="A16535" s="250">
        <v>38753</v>
      </c>
      <c r="B16535" s="74" t="s">
        <v>8573</v>
      </c>
      <c r="C16535" s="74" t="s">
        <v>435</v>
      </c>
    </row>
    <row r="16536" spans="1:3">
      <c r="A16536" s="250">
        <v>38754</v>
      </c>
      <c r="B16536" s="74" t="s">
        <v>9339</v>
      </c>
      <c r="C16536" s="74" t="s">
        <v>435</v>
      </c>
    </row>
    <row r="16537" spans="1:3">
      <c r="A16537" s="250">
        <v>38756</v>
      </c>
      <c r="B16537" s="74" t="s">
        <v>7406</v>
      </c>
      <c r="C16537" s="74" t="s">
        <v>435</v>
      </c>
    </row>
    <row r="16538" spans="1:3">
      <c r="A16538" s="250">
        <v>38759</v>
      </c>
      <c r="B16538" s="74" t="s">
        <v>9340</v>
      </c>
      <c r="C16538" s="74" t="s">
        <v>435</v>
      </c>
    </row>
    <row r="16539" spans="1:3">
      <c r="A16539" s="250">
        <v>38760</v>
      </c>
      <c r="B16539" s="74" t="s">
        <v>9341</v>
      </c>
      <c r="C16539" s="74" t="s">
        <v>435</v>
      </c>
    </row>
    <row r="16540" spans="1:3">
      <c r="A16540" s="250">
        <v>38761</v>
      </c>
      <c r="B16540" s="74" t="s">
        <v>9342</v>
      </c>
      <c r="C16540" s="74" t="s">
        <v>435</v>
      </c>
    </row>
    <row r="16541" spans="1:3">
      <c r="A16541" s="250">
        <v>38762</v>
      </c>
      <c r="B16541" s="74" t="s">
        <v>9343</v>
      </c>
      <c r="C16541" s="74" t="s">
        <v>435</v>
      </c>
    </row>
    <row r="16542" spans="1:3">
      <c r="A16542" s="250">
        <v>38764</v>
      </c>
      <c r="B16542" s="74" t="s">
        <v>9344</v>
      </c>
      <c r="C16542" s="74" t="s">
        <v>435</v>
      </c>
    </row>
    <row r="16543" spans="1:3">
      <c r="A16543" s="250">
        <v>38765</v>
      </c>
      <c r="B16543" s="74" t="s">
        <v>9345</v>
      </c>
      <c r="C16543" s="74" t="s">
        <v>435</v>
      </c>
    </row>
    <row r="16544" spans="1:3">
      <c r="A16544" s="250">
        <v>38767</v>
      </c>
      <c r="B16544" s="74" t="s">
        <v>9346</v>
      </c>
      <c r="C16544" s="74" t="s">
        <v>435</v>
      </c>
    </row>
    <row r="16545" spans="1:3">
      <c r="A16545" s="250">
        <v>38768</v>
      </c>
      <c r="B16545" s="74" t="s">
        <v>3492</v>
      </c>
      <c r="C16545" s="74" t="s">
        <v>435</v>
      </c>
    </row>
    <row r="16546" spans="1:3">
      <c r="A16546" s="250">
        <v>38769</v>
      </c>
      <c r="B16546" s="74" t="s">
        <v>2759</v>
      </c>
      <c r="C16546" s="74" t="s">
        <v>435</v>
      </c>
    </row>
    <row r="16547" spans="1:3">
      <c r="A16547" s="250">
        <v>38771</v>
      </c>
      <c r="B16547" s="74" t="s">
        <v>9347</v>
      </c>
      <c r="C16547" s="74" t="s">
        <v>435</v>
      </c>
    </row>
    <row r="16548" spans="1:3">
      <c r="A16548" s="250">
        <v>38772</v>
      </c>
      <c r="B16548" s="74" t="s">
        <v>9348</v>
      </c>
      <c r="C16548" s="74" t="s">
        <v>435</v>
      </c>
    </row>
    <row r="16549" spans="1:3">
      <c r="A16549" s="250">
        <v>38773</v>
      </c>
      <c r="B16549" s="74" t="s">
        <v>9349</v>
      </c>
      <c r="C16549" s="74" t="s">
        <v>435</v>
      </c>
    </row>
    <row r="16550" spans="1:3">
      <c r="A16550" s="250">
        <v>38774</v>
      </c>
      <c r="B16550" s="74" t="s">
        <v>7335</v>
      </c>
      <c r="C16550" s="74" t="s">
        <v>435</v>
      </c>
    </row>
    <row r="16551" spans="1:3">
      <c r="A16551" s="250">
        <v>38776</v>
      </c>
      <c r="B16551" s="74" t="s">
        <v>7072</v>
      </c>
      <c r="C16551" s="74" t="s">
        <v>435</v>
      </c>
    </row>
    <row r="16552" spans="1:3">
      <c r="A16552" s="250">
        <v>38778</v>
      </c>
      <c r="B16552" s="74" t="s">
        <v>8925</v>
      </c>
      <c r="C16552" s="74" t="s">
        <v>435</v>
      </c>
    </row>
    <row r="16553" spans="1:3">
      <c r="A16553" s="250">
        <v>38780</v>
      </c>
      <c r="B16553" s="74" t="s">
        <v>6567</v>
      </c>
      <c r="C16553" s="74" t="s">
        <v>435</v>
      </c>
    </row>
    <row r="16554" spans="1:3">
      <c r="A16554" s="250">
        <v>38781</v>
      </c>
      <c r="B16554" s="74" t="s">
        <v>9350</v>
      </c>
      <c r="C16554" s="74" t="s">
        <v>435</v>
      </c>
    </row>
    <row r="16555" spans="1:3">
      <c r="A16555" s="250">
        <v>38782</v>
      </c>
      <c r="B16555" s="74" t="s">
        <v>7465</v>
      </c>
      <c r="C16555" s="74" t="s">
        <v>435</v>
      </c>
    </row>
    <row r="16556" spans="1:3">
      <c r="A16556" s="250">
        <v>38801</v>
      </c>
      <c r="B16556" s="74" t="s">
        <v>9351</v>
      </c>
      <c r="C16556" s="74" t="s">
        <v>435</v>
      </c>
    </row>
    <row r="16557" spans="1:3">
      <c r="A16557" s="250">
        <v>38802</v>
      </c>
      <c r="B16557" s="74" t="s">
        <v>9351</v>
      </c>
      <c r="C16557" s="74" t="s">
        <v>435</v>
      </c>
    </row>
    <row r="16558" spans="1:3">
      <c r="A16558" s="250">
        <v>38803</v>
      </c>
      <c r="B16558" s="74" t="s">
        <v>9351</v>
      </c>
      <c r="C16558" s="74" t="s">
        <v>435</v>
      </c>
    </row>
    <row r="16559" spans="1:3">
      <c r="A16559" s="250">
        <v>38804</v>
      </c>
      <c r="B16559" s="74" t="s">
        <v>9351</v>
      </c>
      <c r="C16559" s="74" t="s">
        <v>435</v>
      </c>
    </row>
    <row r="16560" spans="1:3">
      <c r="A16560" s="250">
        <v>38820</v>
      </c>
      <c r="B16560" s="74" t="s">
        <v>9352</v>
      </c>
      <c r="C16560" s="74" t="s">
        <v>435</v>
      </c>
    </row>
    <row r="16561" spans="1:3">
      <c r="A16561" s="250">
        <v>38821</v>
      </c>
      <c r="B16561" s="74" t="s">
        <v>9353</v>
      </c>
      <c r="C16561" s="74" t="s">
        <v>435</v>
      </c>
    </row>
    <row r="16562" spans="1:3">
      <c r="A16562" s="250">
        <v>38824</v>
      </c>
      <c r="B16562" s="74" t="s">
        <v>9354</v>
      </c>
      <c r="C16562" s="74" t="s">
        <v>435</v>
      </c>
    </row>
    <row r="16563" spans="1:3">
      <c r="A16563" s="250">
        <v>38825</v>
      </c>
      <c r="B16563" s="74" t="s">
        <v>9355</v>
      </c>
      <c r="C16563" s="74" t="s">
        <v>435</v>
      </c>
    </row>
    <row r="16564" spans="1:3">
      <c r="A16564" s="250">
        <v>38826</v>
      </c>
      <c r="B16564" s="74" t="s">
        <v>9356</v>
      </c>
      <c r="C16564" s="74" t="s">
        <v>435</v>
      </c>
    </row>
    <row r="16565" spans="1:3">
      <c r="A16565" s="250">
        <v>38827</v>
      </c>
      <c r="B16565" s="74" t="s">
        <v>986</v>
      </c>
      <c r="C16565" s="74" t="s">
        <v>435</v>
      </c>
    </row>
    <row r="16566" spans="1:3">
      <c r="A16566" s="250">
        <v>38828</v>
      </c>
      <c r="B16566" s="74" t="s">
        <v>9357</v>
      </c>
      <c r="C16566" s="74" t="s">
        <v>435</v>
      </c>
    </row>
    <row r="16567" spans="1:3">
      <c r="A16567" s="250">
        <v>38829</v>
      </c>
      <c r="B16567" s="74" t="s">
        <v>9358</v>
      </c>
      <c r="C16567" s="74" t="s">
        <v>435</v>
      </c>
    </row>
    <row r="16568" spans="1:3">
      <c r="A16568" s="250">
        <v>38833</v>
      </c>
      <c r="B16568" s="74" t="s">
        <v>6932</v>
      </c>
      <c r="C16568" s="74" t="s">
        <v>435</v>
      </c>
    </row>
    <row r="16569" spans="1:3">
      <c r="A16569" s="250">
        <v>38834</v>
      </c>
      <c r="B16569" s="74" t="s">
        <v>1501</v>
      </c>
      <c r="C16569" s="74" t="s">
        <v>435</v>
      </c>
    </row>
    <row r="16570" spans="1:3">
      <c r="A16570" s="250">
        <v>38835</v>
      </c>
      <c r="B16570" s="74" t="s">
        <v>1501</v>
      </c>
      <c r="C16570" s="74" t="s">
        <v>435</v>
      </c>
    </row>
    <row r="16571" spans="1:3">
      <c r="A16571" s="250">
        <v>38838</v>
      </c>
      <c r="B16571" s="74" t="s">
        <v>1028</v>
      </c>
      <c r="C16571" s="74" t="s">
        <v>435</v>
      </c>
    </row>
    <row r="16572" spans="1:3">
      <c r="A16572" s="250">
        <v>38839</v>
      </c>
      <c r="B16572" s="74" t="s">
        <v>9359</v>
      </c>
      <c r="C16572" s="74" t="s">
        <v>435</v>
      </c>
    </row>
    <row r="16573" spans="1:3">
      <c r="A16573" s="250">
        <v>38841</v>
      </c>
      <c r="B16573" s="74" t="s">
        <v>9360</v>
      </c>
      <c r="C16573" s="74" t="s">
        <v>435</v>
      </c>
    </row>
    <row r="16574" spans="1:3">
      <c r="A16574" s="250">
        <v>38843</v>
      </c>
      <c r="B16574" s="74" t="s">
        <v>3365</v>
      </c>
      <c r="C16574" s="74" t="s">
        <v>435</v>
      </c>
    </row>
    <row r="16575" spans="1:3">
      <c r="A16575" s="250">
        <v>38844</v>
      </c>
      <c r="B16575" s="74" t="s">
        <v>9361</v>
      </c>
      <c r="C16575" s="74" t="s">
        <v>435</v>
      </c>
    </row>
    <row r="16576" spans="1:3">
      <c r="A16576" s="250">
        <v>38846</v>
      </c>
      <c r="B16576" s="74" t="s">
        <v>1312</v>
      </c>
      <c r="C16576" s="74" t="s">
        <v>435</v>
      </c>
    </row>
    <row r="16577" spans="1:3">
      <c r="A16577" s="250">
        <v>38847</v>
      </c>
      <c r="B16577" s="74" t="s">
        <v>9362</v>
      </c>
      <c r="C16577" s="74" t="s">
        <v>435</v>
      </c>
    </row>
    <row r="16578" spans="1:3">
      <c r="A16578" s="250">
        <v>38848</v>
      </c>
      <c r="B16578" s="74" t="s">
        <v>9363</v>
      </c>
      <c r="C16578" s="74" t="s">
        <v>435</v>
      </c>
    </row>
    <row r="16579" spans="1:3">
      <c r="A16579" s="250">
        <v>38849</v>
      </c>
      <c r="B16579" s="74" t="s">
        <v>9364</v>
      </c>
      <c r="C16579" s="74" t="s">
        <v>435</v>
      </c>
    </row>
    <row r="16580" spans="1:3">
      <c r="A16580" s="250">
        <v>38850</v>
      </c>
      <c r="B16580" s="74" t="s">
        <v>9365</v>
      </c>
      <c r="C16580" s="74" t="s">
        <v>435</v>
      </c>
    </row>
    <row r="16581" spans="1:3">
      <c r="A16581" s="250">
        <v>38851</v>
      </c>
      <c r="B16581" s="74" t="s">
        <v>4063</v>
      </c>
      <c r="C16581" s="74" t="s">
        <v>435</v>
      </c>
    </row>
    <row r="16582" spans="1:3">
      <c r="A16582" s="250">
        <v>38852</v>
      </c>
      <c r="B16582" s="74" t="s">
        <v>9366</v>
      </c>
      <c r="C16582" s="74" t="s">
        <v>435</v>
      </c>
    </row>
    <row r="16583" spans="1:3">
      <c r="A16583" s="250">
        <v>38855</v>
      </c>
      <c r="B16583" s="74" t="s">
        <v>9367</v>
      </c>
      <c r="C16583" s="74" t="s">
        <v>435</v>
      </c>
    </row>
    <row r="16584" spans="1:3">
      <c r="A16584" s="250">
        <v>38856</v>
      </c>
      <c r="B16584" s="74" t="s">
        <v>3385</v>
      </c>
      <c r="C16584" s="74" t="s">
        <v>435</v>
      </c>
    </row>
    <row r="16585" spans="1:3">
      <c r="A16585" s="250">
        <v>38857</v>
      </c>
      <c r="B16585" s="74" t="s">
        <v>9368</v>
      </c>
      <c r="C16585" s="74" t="s">
        <v>435</v>
      </c>
    </row>
    <row r="16586" spans="1:3">
      <c r="A16586" s="250">
        <v>38858</v>
      </c>
      <c r="B16586" s="74" t="s">
        <v>9369</v>
      </c>
      <c r="C16586" s="74" t="s">
        <v>435</v>
      </c>
    </row>
    <row r="16587" spans="1:3">
      <c r="A16587" s="250">
        <v>38859</v>
      </c>
      <c r="B16587" s="74" t="s">
        <v>9370</v>
      </c>
      <c r="C16587" s="74" t="s">
        <v>435</v>
      </c>
    </row>
    <row r="16588" spans="1:3">
      <c r="A16588" s="250">
        <v>38860</v>
      </c>
      <c r="B16588" s="74" t="s">
        <v>9371</v>
      </c>
      <c r="C16588" s="74" t="s">
        <v>435</v>
      </c>
    </row>
    <row r="16589" spans="1:3">
      <c r="A16589" s="250">
        <v>38862</v>
      </c>
      <c r="B16589" s="74" t="s">
        <v>8946</v>
      </c>
      <c r="C16589" s="74" t="s">
        <v>435</v>
      </c>
    </row>
    <row r="16590" spans="1:3">
      <c r="A16590" s="250">
        <v>38863</v>
      </c>
      <c r="B16590" s="74" t="s">
        <v>9372</v>
      </c>
      <c r="C16590" s="74" t="s">
        <v>435</v>
      </c>
    </row>
    <row r="16591" spans="1:3">
      <c r="A16591" s="250">
        <v>38864</v>
      </c>
      <c r="B16591" s="74" t="s">
        <v>960</v>
      </c>
      <c r="C16591" s="74" t="s">
        <v>435</v>
      </c>
    </row>
    <row r="16592" spans="1:3">
      <c r="A16592" s="250">
        <v>38865</v>
      </c>
      <c r="B16592" s="74" t="s">
        <v>9373</v>
      </c>
      <c r="C16592" s="74" t="s">
        <v>435</v>
      </c>
    </row>
    <row r="16593" spans="1:3">
      <c r="A16593" s="250">
        <v>38866</v>
      </c>
      <c r="B16593" s="74" t="s">
        <v>4787</v>
      </c>
      <c r="C16593" s="74" t="s">
        <v>435</v>
      </c>
    </row>
    <row r="16594" spans="1:3">
      <c r="A16594" s="250">
        <v>38868</v>
      </c>
      <c r="B16594" s="74" t="s">
        <v>7380</v>
      </c>
      <c r="C16594" s="74" t="s">
        <v>435</v>
      </c>
    </row>
    <row r="16595" spans="1:3">
      <c r="A16595" s="250">
        <v>38869</v>
      </c>
      <c r="B16595" s="74" t="s">
        <v>1652</v>
      </c>
      <c r="C16595" s="74" t="s">
        <v>435</v>
      </c>
    </row>
    <row r="16596" spans="1:3">
      <c r="A16596" s="250">
        <v>38870</v>
      </c>
      <c r="B16596" s="74" t="s">
        <v>6884</v>
      </c>
      <c r="C16596" s="74" t="s">
        <v>435</v>
      </c>
    </row>
    <row r="16597" spans="1:3">
      <c r="A16597" s="250">
        <v>38871</v>
      </c>
      <c r="B16597" s="74" t="s">
        <v>6306</v>
      </c>
      <c r="C16597" s="74" t="s">
        <v>435</v>
      </c>
    </row>
    <row r="16598" spans="1:3">
      <c r="A16598" s="250">
        <v>38873</v>
      </c>
      <c r="B16598" s="74" t="s">
        <v>9374</v>
      </c>
      <c r="C16598" s="74" t="s">
        <v>435</v>
      </c>
    </row>
    <row r="16599" spans="1:3">
      <c r="A16599" s="250">
        <v>38874</v>
      </c>
      <c r="B16599" s="74" t="s">
        <v>9375</v>
      </c>
      <c r="C16599" s="74" t="s">
        <v>435</v>
      </c>
    </row>
    <row r="16600" spans="1:3">
      <c r="A16600" s="250">
        <v>38875</v>
      </c>
      <c r="B16600" s="74" t="s">
        <v>9376</v>
      </c>
      <c r="C16600" s="74" t="s">
        <v>435</v>
      </c>
    </row>
    <row r="16601" spans="1:3">
      <c r="A16601" s="250">
        <v>38876</v>
      </c>
      <c r="B16601" s="74" t="s">
        <v>5023</v>
      </c>
      <c r="C16601" s="74" t="s">
        <v>435</v>
      </c>
    </row>
    <row r="16602" spans="1:3">
      <c r="A16602" s="250">
        <v>38877</v>
      </c>
      <c r="B16602" s="74" t="s">
        <v>9377</v>
      </c>
      <c r="C16602" s="74" t="s">
        <v>435</v>
      </c>
    </row>
    <row r="16603" spans="1:3">
      <c r="A16603" s="250">
        <v>38878</v>
      </c>
      <c r="B16603" s="74" t="s">
        <v>9378</v>
      </c>
      <c r="C16603" s="74" t="s">
        <v>435</v>
      </c>
    </row>
    <row r="16604" spans="1:3">
      <c r="A16604" s="250">
        <v>38879</v>
      </c>
      <c r="B16604" s="74" t="s">
        <v>2139</v>
      </c>
      <c r="C16604" s="74" t="s">
        <v>435</v>
      </c>
    </row>
    <row r="16605" spans="1:3">
      <c r="A16605" s="250">
        <v>38880</v>
      </c>
      <c r="B16605" s="74" t="s">
        <v>9379</v>
      </c>
      <c r="C16605" s="74" t="s">
        <v>435</v>
      </c>
    </row>
    <row r="16606" spans="1:3">
      <c r="A16606" s="250">
        <v>38901</v>
      </c>
      <c r="B16606" s="74" t="s">
        <v>9380</v>
      </c>
      <c r="C16606" s="74" t="s">
        <v>435</v>
      </c>
    </row>
    <row r="16607" spans="1:3">
      <c r="A16607" s="250">
        <v>38902</v>
      </c>
      <c r="B16607" s="74" t="s">
        <v>9380</v>
      </c>
      <c r="C16607" s="74" t="s">
        <v>435</v>
      </c>
    </row>
    <row r="16608" spans="1:3">
      <c r="A16608" s="250">
        <v>38913</v>
      </c>
      <c r="B16608" s="74" t="s">
        <v>9381</v>
      </c>
      <c r="C16608" s="74" t="s">
        <v>435</v>
      </c>
    </row>
    <row r="16609" spans="1:3">
      <c r="A16609" s="250">
        <v>38914</v>
      </c>
      <c r="B16609" s="74" t="s">
        <v>6705</v>
      </c>
      <c r="C16609" s="74" t="s">
        <v>435</v>
      </c>
    </row>
    <row r="16610" spans="1:3">
      <c r="A16610" s="250">
        <v>38915</v>
      </c>
      <c r="B16610" s="74" t="s">
        <v>9382</v>
      </c>
      <c r="C16610" s="74" t="s">
        <v>435</v>
      </c>
    </row>
    <row r="16611" spans="1:3">
      <c r="A16611" s="250">
        <v>38916</v>
      </c>
      <c r="B16611" s="74" t="s">
        <v>9383</v>
      </c>
      <c r="C16611" s="74" t="s">
        <v>435</v>
      </c>
    </row>
    <row r="16612" spans="1:3">
      <c r="A16612" s="250">
        <v>38917</v>
      </c>
      <c r="B16612" s="74" t="s">
        <v>6129</v>
      </c>
      <c r="C16612" s="74" t="s">
        <v>435</v>
      </c>
    </row>
    <row r="16613" spans="1:3">
      <c r="A16613" s="250">
        <v>38920</v>
      </c>
      <c r="B16613" s="74" t="s">
        <v>9384</v>
      </c>
      <c r="C16613" s="74" t="s">
        <v>435</v>
      </c>
    </row>
    <row r="16614" spans="1:3">
      <c r="A16614" s="250">
        <v>38921</v>
      </c>
      <c r="B16614" s="74" t="s">
        <v>1498</v>
      </c>
      <c r="C16614" s="74" t="s">
        <v>435</v>
      </c>
    </row>
    <row r="16615" spans="1:3">
      <c r="A16615" s="250">
        <v>38922</v>
      </c>
      <c r="B16615" s="74" t="s">
        <v>8898</v>
      </c>
      <c r="C16615" s="74" t="s">
        <v>435</v>
      </c>
    </row>
    <row r="16616" spans="1:3">
      <c r="A16616" s="250">
        <v>38923</v>
      </c>
      <c r="B16616" s="74" t="s">
        <v>9385</v>
      </c>
      <c r="C16616" s="74" t="s">
        <v>435</v>
      </c>
    </row>
    <row r="16617" spans="1:3">
      <c r="A16617" s="250">
        <v>38924</v>
      </c>
      <c r="B16617" s="74" t="s">
        <v>9386</v>
      </c>
      <c r="C16617" s="74" t="s">
        <v>435</v>
      </c>
    </row>
    <row r="16618" spans="1:3">
      <c r="A16618" s="250">
        <v>38925</v>
      </c>
      <c r="B16618" s="74" t="s">
        <v>9387</v>
      </c>
      <c r="C16618" s="74" t="s">
        <v>435</v>
      </c>
    </row>
    <row r="16619" spans="1:3">
      <c r="A16619" s="250">
        <v>38926</v>
      </c>
      <c r="B16619" s="74" t="s">
        <v>7609</v>
      </c>
      <c r="C16619" s="74" t="s">
        <v>435</v>
      </c>
    </row>
    <row r="16620" spans="1:3">
      <c r="A16620" s="250">
        <v>38927</v>
      </c>
      <c r="B16620" s="74" t="s">
        <v>9388</v>
      </c>
      <c r="C16620" s="74" t="s">
        <v>435</v>
      </c>
    </row>
    <row r="16621" spans="1:3">
      <c r="A16621" s="250">
        <v>38928</v>
      </c>
      <c r="B16621" s="74" t="s">
        <v>2382</v>
      </c>
      <c r="C16621" s="74" t="s">
        <v>435</v>
      </c>
    </row>
    <row r="16622" spans="1:3">
      <c r="A16622" s="250">
        <v>38929</v>
      </c>
      <c r="B16622" s="74" t="s">
        <v>9389</v>
      </c>
      <c r="C16622" s="74" t="s">
        <v>435</v>
      </c>
    </row>
    <row r="16623" spans="1:3">
      <c r="A16623" s="250">
        <v>38930</v>
      </c>
      <c r="B16623" s="74" t="s">
        <v>1448</v>
      </c>
      <c r="C16623" s="74" t="s">
        <v>435</v>
      </c>
    </row>
    <row r="16624" spans="1:3">
      <c r="A16624" s="250">
        <v>38935</v>
      </c>
      <c r="B16624" s="74" t="s">
        <v>1448</v>
      </c>
      <c r="C16624" s="74" t="s">
        <v>435</v>
      </c>
    </row>
    <row r="16625" spans="1:3">
      <c r="A16625" s="250">
        <v>38940</v>
      </c>
      <c r="B16625" s="74" t="s">
        <v>9390</v>
      </c>
      <c r="C16625" s="74" t="s">
        <v>435</v>
      </c>
    </row>
    <row r="16626" spans="1:3">
      <c r="A16626" s="250">
        <v>38941</v>
      </c>
      <c r="B16626" s="74" t="s">
        <v>9391</v>
      </c>
      <c r="C16626" s="74" t="s">
        <v>435</v>
      </c>
    </row>
    <row r="16627" spans="1:3">
      <c r="A16627" s="250">
        <v>38943</v>
      </c>
      <c r="B16627" s="74" t="s">
        <v>9392</v>
      </c>
      <c r="C16627" s="74" t="s">
        <v>435</v>
      </c>
    </row>
    <row r="16628" spans="1:3">
      <c r="A16628" s="250">
        <v>38944</v>
      </c>
      <c r="B16628" s="74" t="s">
        <v>9393</v>
      </c>
      <c r="C16628" s="74" t="s">
        <v>435</v>
      </c>
    </row>
    <row r="16629" spans="1:3">
      <c r="A16629" s="250">
        <v>38945</v>
      </c>
      <c r="B16629" s="74" t="s">
        <v>9394</v>
      </c>
      <c r="C16629" s="74" t="s">
        <v>435</v>
      </c>
    </row>
    <row r="16630" spans="1:3">
      <c r="A16630" s="250">
        <v>38946</v>
      </c>
      <c r="B16630" s="74" t="s">
        <v>9395</v>
      </c>
      <c r="C16630" s="74" t="s">
        <v>435</v>
      </c>
    </row>
    <row r="16631" spans="1:3">
      <c r="A16631" s="250">
        <v>38947</v>
      </c>
      <c r="B16631" s="74" t="s">
        <v>9396</v>
      </c>
      <c r="C16631" s="74" t="s">
        <v>435</v>
      </c>
    </row>
    <row r="16632" spans="1:3">
      <c r="A16632" s="250">
        <v>38948</v>
      </c>
      <c r="B16632" s="74" t="s">
        <v>1121</v>
      </c>
      <c r="C16632" s="74" t="s">
        <v>435</v>
      </c>
    </row>
    <row r="16633" spans="1:3">
      <c r="A16633" s="250">
        <v>38949</v>
      </c>
      <c r="B16633" s="74" t="s">
        <v>1459</v>
      </c>
      <c r="C16633" s="74" t="s">
        <v>435</v>
      </c>
    </row>
    <row r="16634" spans="1:3">
      <c r="A16634" s="250">
        <v>38950</v>
      </c>
      <c r="B16634" s="74" t="s">
        <v>9397</v>
      </c>
      <c r="C16634" s="74" t="s">
        <v>435</v>
      </c>
    </row>
    <row r="16635" spans="1:3">
      <c r="A16635" s="250">
        <v>38951</v>
      </c>
      <c r="B16635" s="74" t="s">
        <v>7109</v>
      </c>
      <c r="C16635" s="74" t="s">
        <v>435</v>
      </c>
    </row>
    <row r="16636" spans="1:3">
      <c r="A16636" s="250">
        <v>38952</v>
      </c>
      <c r="B16636" s="74" t="s">
        <v>9398</v>
      </c>
      <c r="C16636" s="74" t="s">
        <v>435</v>
      </c>
    </row>
    <row r="16637" spans="1:3">
      <c r="A16637" s="250">
        <v>38953</v>
      </c>
      <c r="B16637" s="74" t="s">
        <v>9399</v>
      </c>
      <c r="C16637" s="74" t="s">
        <v>435</v>
      </c>
    </row>
    <row r="16638" spans="1:3">
      <c r="A16638" s="250">
        <v>38954</v>
      </c>
      <c r="B16638" s="74" t="s">
        <v>9400</v>
      </c>
      <c r="C16638" s="74" t="s">
        <v>435</v>
      </c>
    </row>
    <row r="16639" spans="1:3">
      <c r="A16639" s="250">
        <v>38955</v>
      </c>
      <c r="B16639" s="74" t="s">
        <v>9401</v>
      </c>
      <c r="C16639" s="74" t="s">
        <v>435</v>
      </c>
    </row>
    <row r="16640" spans="1:3">
      <c r="A16640" s="250">
        <v>38957</v>
      </c>
      <c r="B16640" s="74" t="s">
        <v>1472</v>
      </c>
      <c r="C16640" s="74" t="s">
        <v>435</v>
      </c>
    </row>
    <row r="16641" spans="1:3">
      <c r="A16641" s="250">
        <v>38958</v>
      </c>
      <c r="B16641" s="74" t="s">
        <v>3208</v>
      </c>
      <c r="C16641" s="74" t="s">
        <v>435</v>
      </c>
    </row>
    <row r="16642" spans="1:3">
      <c r="A16642" s="250">
        <v>38959</v>
      </c>
      <c r="B16642" s="74" t="s">
        <v>9402</v>
      </c>
      <c r="C16642" s="74" t="s">
        <v>435</v>
      </c>
    </row>
    <row r="16643" spans="1:3">
      <c r="A16643" s="250">
        <v>38960</v>
      </c>
      <c r="B16643" s="74" t="s">
        <v>9403</v>
      </c>
      <c r="C16643" s="74" t="s">
        <v>435</v>
      </c>
    </row>
    <row r="16644" spans="1:3">
      <c r="A16644" s="250">
        <v>38961</v>
      </c>
      <c r="B16644" s="74" t="s">
        <v>9404</v>
      </c>
      <c r="C16644" s="74" t="s">
        <v>435</v>
      </c>
    </row>
    <row r="16645" spans="1:3">
      <c r="A16645" s="250">
        <v>38962</v>
      </c>
      <c r="B16645" s="74" t="s">
        <v>9405</v>
      </c>
      <c r="C16645" s="74" t="s">
        <v>435</v>
      </c>
    </row>
    <row r="16646" spans="1:3">
      <c r="A16646" s="250">
        <v>38963</v>
      </c>
      <c r="B16646" s="74" t="s">
        <v>9406</v>
      </c>
      <c r="C16646" s="74" t="s">
        <v>435</v>
      </c>
    </row>
    <row r="16647" spans="1:3">
      <c r="A16647" s="250">
        <v>38964</v>
      </c>
      <c r="B16647" s="74" t="s">
        <v>7654</v>
      </c>
      <c r="C16647" s="74" t="s">
        <v>435</v>
      </c>
    </row>
    <row r="16648" spans="1:3">
      <c r="A16648" s="250">
        <v>38965</v>
      </c>
      <c r="B16648" s="74" t="s">
        <v>9407</v>
      </c>
      <c r="C16648" s="74" t="s">
        <v>435</v>
      </c>
    </row>
    <row r="16649" spans="1:3">
      <c r="A16649" s="250">
        <v>38966</v>
      </c>
      <c r="B16649" s="74" t="s">
        <v>8859</v>
      </c>
      <c r="C16649" s="74" t="s">
        <v>435</v>
      </c>
    </row>
    <row r="16650" spans="1:3">
      <c r="A16650" s="250">
        <v>38967</v>
      </c>
      <c r="B16650" s="74" t="s">
        <v>6832</v>
      </c>
      <c r="C16650" s="74" t="s">
        <v>435</v>
      </c>
    </row>
    <row r="16651" spans="1:3">
      <c r="A16651" s="250">
        <v>39038</v>
      </c>
      <c r="B16651" s="74" t="s">
        <v>9408</v>
      </c>
      <c r="C16651" s="74" t="s">
        <v>435</v>
      </c>
    </row>
    <row r="16652" spans="1:3">
      <c r="A16652" s="250">
        <v>39039</v>
      </c>
      <c r="B16652" s="74" t="s">
        <v>4938</v>
      </c>
      <c r="C16652" s="74" t="s">
        <v>435</v>
      </c>
    </row>
    <row r="16653" spans="1:3">
      <c r="A16653" s="250">
        <v>39040</v>
      </c>
      <c r="B16653" s="74" t="s">
        <v>9409</v>
      </c>
      <c r="C16653" s="74" t="s">
        <v>435</v>
      </c>
    </row>
    <row r="16654" spans="1:3">
      <c r="A16654" s="250">
        <v>39041</v>
      </c>
      <c r="B16654" s="74" t="s">
        <v>785</v>
      </c>
      <c r="C16654" s="74" t="s">
        <v>435</v>
      </c>
    </row>
    <row r="16655" spans="1:3">
      <c r="A16655" s="250">
        <v>39042</v>
      </c>
      <c r="B16655" s="74" t="s">
        <v>1864</v>
      </c>
      <c r="C16655" s="74" t="s">
        <v>435</v>
      </c>
    </row>
    <row r="16656" spans="1:3">
      <c r="A16656" s="250">
        <v>39043</v>
      </c>
      <c r="B16656" s="74" t="s">
        <v>1864</v>
      </c>
      <c r="C16656" s="74" t="s">
        <v>435</v>
      </c>
    </row>
    <row r="16657" spans="1:3">
      <c r="A16657" s="250">
        <v>39044</v>
      </c>
      <c r="B16657" s="74" t="s">
        <v>9410</v>
      </c>
      <c r="C16657" s="74" t="s">
        <v>435</v>
      </c>
    </row>
    <row r="16658" spans="1:3">
      <c r="A16658" s="250">
        <v>39045</v>
      </c>
      <c r="B16658" s="74" t="s">
        <v>1660</v>
      </c>
      <c r="C16658" s="74" t="s">
        <v>435</v>
      </c>
    </row>
    <row r="16659" spans="1:3">
      <c r="A16659" s="250">
        <v>39046</v>
      </c>
      <c r="B16659" s="74" t="s">
        <v>866</v>
      </c>
      <c r="C16659" s="74" t="s">
        <v>435</v>
      </c>
    </row>
    <row r="16660" spans="1:3">
      <c r="A16660" s="250">
        <v>39047</v>
      </c>
      <c r="B16660" s="74" t="s">
        <v>1864</v>
      </c>
      <c r="C16660" s="74" t="s">
        <v>435</v>
      </c>
    </row>
    <row r="16661" spans="1:3">
      <c r="A16661" s="250">
        <v>39051</v>
      </c>
      <c r="B16661" s="74" t="s">
        <v>3531</v>
      </c>
      <c r="C16661" s="74" t="s">
        <v>435</v>
      </c>
    </row>
    <row r="16662" spans="1:3">
      <c r="A16662" s="250">
        <v>39054</v>
      </c>
      <c r="B16662" s="74" t="s">
        <v>7142</v>
      </c>
      <c r="C16662" s="74" t="s">
        <v>435</v>
      </c>
    </row>
    <row r="16663" spans="1:3">
      <c r="A16663" s="250">
        <v>39056</v>
      </c>
      <c r="B16663" s="74" t="s">
        <v>732</v>
      </c>
      <c r="C16663" s="74" t="s">
        <v>435</v>
      </c>
    </row>
    <row r="16664" spans="1:3">
      <c r="A16664" s="250">
        <v>39057</v>
      </c>
      <c r="B16664" s="74" t="s">
        <v>9411</v>
      </c>
      <c r="C16664" s="74" t="s">
        <v>435</v>
      </c>
    </row>
    <row r="16665" spans="1:3">
      <c r="A16665" s="250">
        <v>39058</v>
      </c>
      <c r="B16665" s="74" t="s">
        <v>732</v>
      </c>
      <c r="C16665" s="74" t="s">
        <v>435</v>
      </c>
    </row>
    <row r="16666" spans="1:3">
      <c r="A16666" s="250">
        <v>39059</v>
      </c>
      <c r="B16666" s="74" t="s">
        <v>8463</v>
      </c>
      <c r="C16666" s="74" t="s">
        <v>435</v>
      </c>
    </row>
    <row r="16667" spans="1:3">
      <c r="A16667" s="250">
        <v>39060</v>
      </c>
      <c r="B16667" s="74" t="s">
        <v>732</v>
      </c>
      <c r="C16667" s="74" t="s">
        <v>435</v>
      </c>
    </row>
    <row r="16668" spans="1:3">
      <c r="A16668" s="250">
        <v>39061</v>
      </c>
      <c r="B16668" s="74" t="s">
        <v>9412</v>
      </c>
      <c r="C16668" s="74" t="s">
        <v>435</v>
      </c>
    </row>
    <row r="16669" spans="1:3">
      <c r="A16669" s="250">
        <v>39062</v>
      </c>
      <c r="B16669" s="74" t="s">
        <v>9413</v>
      </c>
      <c r="C16669" s="74" t="s">
        <v>435</v>
      </c>
    </row>
    <row r="16670" spans="1:3">
      <c r="A16670" s="250">
        <v>39063</v>
      </c>
      <c r="B16670" s="74" t="s">
        <v>8464</v>
      </c>
      <c r="C16670" s="74" t="s">
        <v>435</v>
      </c>
    </row>
    <row r="16671" spans="1:3">
      <c r="A16671" s="250">
        <v>39066</v>
      </c>
      <c r="B16671" s="74" t="s">
        <v>3543</v>
      </c>
      <c r="C16671" s="74" t="s">
        <v>435</v>
      </c>
    </row>
    <row r="16672" spans="1:3">
      <c r="A16672" s="250">
        <v>39067</v>
      </c>
      <c r="B16672" s="74" t="s">
        <v>6604</v>
      </c>
      <c r="C16672" s="74" t="s">
        <v>435</v>
      </c>
    </row>
    <row r="16673" spans="1:3">
      <c r="A16673" s="250">
        <v>39069</v>
      </c>
      <c r="B16673" s="74" t="s">
        <v>3362</v>
      </c>
      <c r="C16673" s="74" t="s">
        <v>435</v>
      </c>
    </row>
    <row r="16674" spans="1:3">
      <c r="A16674" s="250">
        <v>39071</v>
      </c>
      <c r="B16674" s="74" t="s">
        <v>9414</v>
      </c>
      <c r="C16674" s="74" t="s">
        <v>435</v>
      </c>
    </row>
    <row r="16675" spans="1:3">
      <c r="A16675" s="250">
        <v>39072</v>
      </c>
      <c r="B16675" s="74" t="s">
        <v>6468</v>
      </c>
      <c r="C16675" s="74" t="s">
        <v>435</v>
      </c>
    </row>
    <row r="16676" spans="1:3">
      <c r="A16676" s="250">
        <v>39073</v>
      </c>
      <c r="B16676" s="74" t="s">
        <v>608</v>
      </c>
      <c r="C16676" s="74" t="s">
        <v>435</v>
      </c>
    </row>
    <row r="16677" spans="1:3">
      <c r="A16677" s="250">
        <v>39074</v>
      </c>
      <c r="B16677" s="74" t="s">
        <v>6426</v>
      </c>
      <c r="C16677" s="74" t="s">
        <v>435</v>
      </c>
    </row>
    <row r="16678" spans="1:3">
      <c r="A16678" s="250">
        <v>39077</v>
      </c>
      <c r="B16678" s="74" t="s">
        <v>9415</v>
      </c>
      <c r="C16678" s="74" t="s">
        <v>435</v>
      </c>
    </row>
    <row r="16679" spans="1:3">
      <c r="A16679" s="250">
        <v>39078</v>
      </c>
      <c r="B16679" s="74" t="s">
        <v>813</v>
      </c>
      <c r="C16679" s="74" t="s">
        <v>435</v>
      </c>
    </row>
    <row r="16680" spans="1:3">
      <c r="A16680" s="250">
        <v>39079</v>
      </c>
      <c r="B16680" s="74" t="s">
        <v>9416</v>
      </c>
      <c r="C16680" s="74" t="s">
        <v>435</v>
      </c>
    </row>
    <row r="16681" spans="1:3">
      <c r="A16681" s="250">
        <v>39080</v>
      </c>
      <c r="B16681" s="74" t="s">
        <v>9417</v>
      </c>
      <c r="C16681" s="74" t="s">
        <v>435</v>
      </c>
    </row>
    <row r="16682" spans="1:3">
      <c r="A16682" s="250">
        <v>39081</v>
      </c>
      <c r="B16682" s="74" t="s">
        <v>9418</v>
      </c>
      <c r="C16682" s="74" t="s">
        <v>435</v>
      </c>
    </row>
    <row r="16683" spans="1:3">
      <c r="A16683" s="250">
        <v>39082</v>
      </c>
      <c r="B16683" s="74" t="s">
        <v>1110</v>
      </c>
      <c r="C16683" s="74" t="s">
        <v>435</v>
      </c>
    </row>
    <row r="16684" spans="1:3">
      <c r="A16684" s="250">
        <v>39083</v>
      </c>
      <c r="B16684" s="74" t="s">
        <v>8126</v>
      </c>
      <c r="C16684" s="74" t="s">
        <v>435</v>
      </c>
    </row>
    <row r="16685" spans="1:3">
      <c r="A16685" s="250">
        <v>39086</v>
      </c>
      <c r="B16685" s="74" t="s">
        <v>9419</v>
      </c>
      <c r="C16685" s="74" t="s">
        <v>435</v>
      </c>
    </row>
    <row r="16686" spans="1:3">
      <c r="A16686" s="250">
        <v>39087</v>
      </c>
      <c r="B16686" s="74" t="s">
        <v>5758</v>
      </c>
      <c r="C16686" s="74" t="s">
        <v>435</v>
      </c>
    </row>
    <row r="16687" spans="1:3">
      <c r="A16687" s="250">
        <v>39088</v>
      </c>
      <c r="B16687" s="74" t="s">
        <v>9420</v>
      </c>
      <c r="C16687" s="74" t="s">
        <v>435</v>
      </c>
    </row>
    <row r="16688" spans="1:3">
      <c r="A16688" s="250">
        <v>39090</v>
      </c>
      <c r="B16688" s="74" t="s">
        <v>9421</v>
      </c>
      <c r="C16688" s="74" t="s">
        <v>435</v>
      </c>
    </row>
    <row r="16689" spans="1:3">
      <c r="A16689" s="250">
        <v>39092</v>
      </c>
      <c r="B16689" s="74" t="s">
        <v>6623</v>
      </c>
      <c r="C16689" s="74" t="s">
        <v>435</v>
      </c>
    </row>
    <row r="16690" spans="1:3">
      <c r="A16690" s="250">
        <v>39094</v>
      </c>
      <c r="B16690" s="74" t="s">
        <v>9422</v>
      </c>
      <c r="C16690" s="74" t="s">
        <v>435</v>
      </c>
    </row>
    <row r="16691" spans="1:3">
      <c r="A16691" s="250">
        <v>39095</v>
      </c>
      <c r="B16691" s="74" t="s">
        <v>966</v>
      </c>
      <c r="C16691" s="74" t="s">
        <v>435</v>
      </c>
    </row>
    <row r="16692" spans="1:3">
      <c r="A16692" s="250">
        <v>39096</v>
      </c>
      <c r="B16692" s="74" t="s">
        <v>9423</v>
      </c>
      <c r="C16692" s="74" t="s">
        <v>435</v>
      </c>
    </row>
    <row r="16693" spans="1:3">
      <c r="A16693" s="250">
        <v>39097</v>
      </c>
      <c r="B16693" s="74" t="s">
        <v>9424</v>
      </c>
      <c r="C16693" s="74" t="s">
        <v>435</v>
      </c>
    </row>
    <row r="16694" spans="1:3">
      <c r="A16694" s="250">
        <v>39098</v>
      </c>
      <c r="B16694" s="74" t="s">
        <v>604</v>
      </c>
      <c r="C16694" s="74" t="s">
        <v>435</v>
      </c>
    </row>
    <row r="16695" spans="1:3">
      <c r="A16695" s="250">
        <v>39107</v>
      </c>
      <c r="B16695" s="74" t="s">
        <v>9425</v>
      </c>
      <c r="C16695" s="74" t="s">
        <v>435</v>
      </c>
    </row>
    <row r="16696" spans="1:3">
      <c r="A16696" s="250">
        <v>39108</v>
      </c>
      <c r="B16696" s="74" t="s">
        <v>9426</v>
      </c>
      <c r="C16696" s="74" t="s">
        <v>435</v>
      </c>
    </row>
    <row r="16697" spans="1:3">
      <c r="A16697" s="250">
        <v>39109</v>
      </c>
      <c r="B16697" s="74" t="s">
        <v>9427</v>
      </c>
      <c r="C16697" s="74" t="s">
        <v>435</v>
      </c>
    </row>
    <row r="16698" spans="1:3">
      <c r="A16698" s="250">
        <v>39110</v>
      </c>
      <c r="B16698" s="74" t="s">
        <v>1320</v>
      </c>
      <c r="C16698" s="74" t="s">
        <v>435</v>
      </c>
    </row>
    <row r="16699" spans="1:3">
      <c r="A16699" s="250">
        <v>39111</v>
      </c>
      <c r="B16699" s="74" t="s">
        <v>9428</v>
      </c>
      <c r="C16699" s="74" t="s">
        <v>435</v>
      </c>
    </row>
    <row r="16700" spans="1:3">
      <c r="A16700" s="250">
        <v>39113</v>
      </c>
      <c r="B16700" s="74" t="s">
        <v>9429</v>
      </c>
      <c r="C16700" s="74" t="s">
        <v>435</v>
      </c>
    </row>
    <row r="16701" spans="1:3">
      <c r="A16701" s="250">
        <v>39114</v>
      </c>
      <c r="B16701" s="74" t="s">
        <v>5392</v>
      </c>
      <c r="C16701" s="74" t="s">
        <v>435</v>
      </c>
    </row>
    <row r="16702" spans="1:3">
      <c r="A16702" s="250">
        <v>39115</v>
      </c>
      <c r="B16702" s="74" t="s">
        <v>9430</v>
      </c>
      <c r="C16702" s="74" t="s">
        <v>435</v>
      </c>
    </row>
    <row r="16703" spans="1:3">
      <c r="A16703" s="250">
        <v>39116</v>
      </c>
      <c r="B16703" s="74" t="s">
        <v>9431</v>
      </c>
      <c r="C16703" s="74" t="s">
        <v>435</v>
      </c>
    </row>
    <row r="16704" spans="1:3">
      <c r="A16704" s="250">
        <v>39117</v>
      </c>
      <c r="B16704" s="74" t="s">
        <v>3794</v>
      </c>
      <c r="C16704" s="74" t="s">
        <v>435</v>
      </c>
    </row>
    <row r="16705" spans="1:3">
      <c r="A16705" s="250">
        <v>39119</v>
      </c>
      <c r="B16705" s="74" t="s">
        <v>6650</v>
      </c>
      <c r="C16705" s="74" t="s">
        <v>435</v>
      </c>
    </row>
    <row r="16706" spans="1:3">
      <c r="A16706" s="250">
        <v>39120</v>
      </c>
      <c r="B16706" s="74" t="s">
        <v>9432</v>
      </c>
      <c r="C16706" s="74" t="s">
        <v>435</v>
      </c>
    </row>
    <row r="16707" spans="1:3">
      <c r="A16707" s="250">
        <v>39121</v>
      </c>
      <c r="B16707" s="74" t="s">
        <v>9432</v>
      </c>
      <c r="C16707" s="74" t="s">
        <v>435</v>
      </c>
    </row>
    <row r="16708" spans="1:3">
      <c r="A16708" s="250">
        <v>39122</v>
      </c>
      <c r="B16708" s="74" t="s">
        <v>9432</v>
      </c>
      <c r="C16708" s="74" t="s">
        <v>435</v>
      </c>
    </row>
    <row r="16709" spans="1:3">
      <c r="A16709" s="250">
        <v>39130</v>
      </c>
      <c r="B16709" s="74" t="s">
        <v>1320</v>
      </c>
      <c r="C16709" s="74" t="s">
        <v>435</v>
      </c>
    </row>
    <row r="16710" spans="1:3">
      <c r="A16710" s="250">
        <v>39140</v>
      </c>
      <c r="B16710" s="74" t="s">
        <v>9433</v>
      </c>
      <c r="C16710" s="74" t="s">
        <v>435</v>
      </c>
    </row>
    <row r="16711" spans="1:3">
      <c r="A16711" s="250">
        <v>39144</v>
      </c>
      <c r="B16711" s="74" t="s">
        <v>9434</v>
      </c>
      <c r="C16711" s="74" t="s">
        <v>435</v>
      </c>
    </row>
    <row r="16712" spans="1:3">
      <c r="A16712" s="250">
        <v>39145</v>
      </c>
      <c r="B16712" s="74" t="s">
        <v>9435</v>
      </c>
      <c r="C16712" s="74" t="s">
        <v>435</v>
      </c>
    </row>
    <row r="16713" spans="1:3">
      <c r="A16713" s="250">
        <v>39146</v>
      </c>
      <c r="B16713" s="74" t="s">
        <v>6899</v>
      </c>
      <c r="C16713" s="74" t="s">
        <v>435</v>
      </c>
    </row>
    <row r="16714" spans="1:3">
      <c r="A16714" s="250">
        <v>39148</v>
      </c>
      <c r="B16714" s="74" t="s">
        <v>9436</v>
      </c>
      <c r="C16714" s="74" t="s">
        <v>435</v>
      </c>
    </row>
    <row r="16715" spans="1:3">
      <c r="A16715" s="250">
        <v>39149</v>
      </c>
      <c r="B16715" s="74" t="s">
        <v>9437</v>
      </c>
      <c r="C16715" s="74" t="s">
        <v>435</v>
      </c>
    </row>
    <row r="16716" spans="1:3">
      <c r="A16716" s="250">
        <v>39150</v>
      </c>
      <c r="B16716" s="74" t="s">
        <v>3811</v>
      </c>
      <c r="C16716" s="74" t="s">
        <v>435</v>
      </c>
    </row>
    <row r="16717" spans="1:3">
      <c r="A16717" s="250">
        <v>39151</v>
      </c>
      <c r="B16717" s="74" t="s">
        <v>9438</v>
      </c>
      <c r="C16717" s="74" t="s">
        <v>435</v>
      </c>
    </row>
    <row r="16718" spans="1:3">
      <c r="A16718" s="250">
        <v>39152</v>
      </c>
      <c r="B16718" s="74" t="s">
        <v>3408</v>
      </c>
      <c r="C16718" s="74" t="s">
        <v>435</v>
      </c>
    </row>
    <row r="16719" spans="1:3">
      <c r="A16719" s="250">
        <v>39153</v>
      </c>
      <c r="B16719" s="74" t="s">
        <v>6819</v>
      </c>
      <c r="C16719" s="74" t="s">
        <v>435</v>
      </c>
    </row>
    <row r="16720" spans="1:3">
      <c r="A16720" s="250">
        <v>39154</v>
      </c>
      <c r="B16720" s="74" t="s">
        <v>1170</v>
      </c>
      <c r="C16720" s="74" t="s">
        <v>435</v>
      </c>
    </row>
    <row r="16721" spans="1:3">
      <c r="A16721" s="250">
        <v>39156</v>
      </c>
      <c r="B16721" s="74" t="s">
        <v>3576</v>
      </c>
      <c r="C16721" s="74" t="s">
        <v>435</v>
      </c>
    </row>
    <row r="16722" spans="1:3">
      <c r="A16722" s="250">
        <v>39157</v>
      </c>
      <c r="B16722" s="74" t="s">
        <v>7846</v>
      </c>
      <c r="C16722" s="74" t="s">
        <v>435</v>
      </c>
    </row>
    <row r="16723" spans="1:3">
      <c r="A16723" s="250">
        <v>39158</v>
      </c>
      <c r="B16723" s="74" t="s">
        <v>7846</v>
      </c>
      <c r="C16723" s="74" t="s">
        <v>435</v>
      </c>
    </row>
    <row r="16724" spans="1:3">
      <c r="A16724" s="250">
        <v>39159</v>
      </c>
      <c r="B16724" s="74" t="s">
        <v>9439</v>
      </c>
      <c r="C16724" s="74" t="s">
        <v>435</v>
      </c>
    </row>
    <row r="16725" spans="1:3">
      <c r="A16725" s="250">
        <v>39160</v>
      </c>
      <c r="B16725" s="74" t="s">
        <v>9440</v>
      </c>
      <c r="C16725" s="74" t="s">
        <v>435</v>
      </c>
    </row>
    <row r="16726" spans="1:3">
      <c r="A16726" s="250">
        <v>39161</v>
      </c>
      <c r="B16726" s="74" t="s">
        <v>9441</v>
      </c>
      <c r="C16726" s="74" t="s">
        <v>435</v>
      </c>
    </row>
    <row r="16727" spans="1:3">
      <c r="A16727" s="250">
        <v>39162</v>
      </c>
      <c r="B16727" s="74" t="s">
        <v>9442</v>
      </c>
      <c r="C16727" s="74" t="s">
        <v>435</v>
      </c>
    </row>
    <row r="16728" spans="1:3">
      <c r="A16728" s="250">
        <v>39163</v>
      </c>
      <c r="B16728" s="74" t="s">
        <v>893</v>
      </c>
      <c r="C16728" s="74" t="s">
        <v>435</v>
      </c>
    </row>
    <row r="16729" spans="1:3">
      <c r="A16729" s="250">
        <v>39165</v>
      </c>
      <c r="B16729" s="74" t="s">
        <v>9443</v>
      </c>
      <c r="C16729" s="74" t="s">
        <v>435</v>
      </c>
    </row>
    <row r="16730" spans="1:3">
      <c r="A16730" s="250">
        <v>39166</v>
      </c>
      <c r="B16730" s="74" t="s">
        <v>9444</v>
      </c>
      <c r="C16730" s="74" t="s">
        <v>435</v>
      </c>
    </row>
    <row r="16731" spans="1:3">
      <c r="A16731" s="250">
        <v>39167</v>
      </c>
      <c r="B16731" s="74" t="s">
        <v>7125</v>
      </c>
      <c r="C16731" s="74" t="s">
        <v>435</v>
      </c>
    </row>
    <row r="16732" spans="1:3">
      <c r="A16732" s="250">
        <v>39168</v>
      </c>
      <c r="B16732" s="74" t="s">
        <v>7516</v>
      </c>
      <c r="C16732" s="74" t="s">
        <v>435</v>
      </c>
    </row>
    <row r="16733" spans="1:3">
      <c r="A16733" s="250">
        <v>39169</v>
      </c>
      <c r="B16733" s="74" t="s">
        <v>9445</v>
      </c>
      <c r="C16733" s="74" t="s">
        <v>435</v>
      </c>
    </row>
    <row r="16734" spans="1:3">
      <c r="A16734" s="250">
        <v>39170</v>
      </c>
      <c r="B16734" s="74" t="s">
        <v>9446</v>
      </c>
      <c r="C16734" s="74" t="s">
        <v>435</v>
      </c>
    </row>
    <row r="16735" spans="1:3">
      <c r="A16735" s="250">
        <v>39171</v>
      </c>
      <c r="B16735" s="74" t="s">
        <v>9447</v>
      </c>
      <c r="C16735" s="74" t="s">
        <v>435</v>
      </c>
    </row>
    <row r="16736" spans="1:3">
      <c r="A16736" s="250">
        <v>39173</v>
      </c>
      <c r="B16736" s="74" t="s">
        <v>9448</v>
      </c>
      <c r="C16736" s="74" t="s">
        <v>435</v>
      </c>
    </row>
    <row r="16737" spans="1:3">
      <c r="A16737" s="250">
        <v>39174</v>
      </c>
      <c r="B16737" s="74" t="s">
        <v>9449</v>
      </c>
      <c r="C16737" s="74" t="s">
        <v>435</v>
      </c>
    </row>
    <row r="16738" spans="1:3">
      <c r="A16738" s="250">
        <v>39175</v>
      </c>
      <c r="B16738" s="74" t="s">
        <v>3521</v>
      </c>
      <c r="C16738" s="74" t="s">
        <v>435</v>
      </c>
    </row>
    <row r="16739" spans="1:3">
      <c r="A16739" s="250">
        <v>39176</v>
      </c>
      <c r="B16739" s="74" t="s">
        <v>9450</v>
      </c>
      <c r="C16739" s="74" t="s">
        <v>435</v>
      </c>
    </row>
    <row r="16740" spans="1:3">
      <c r="A16740" s="250">
        <v>39177</v>
      </c>
      <c r="B16740" s="74" t="s">
        <v>9451</v>
      </c>
      <c r="C16740" s="74" t="s">
        <v>435</v>
      </c>
    </row>
    <row r="16741" spans="1:3">
      <c r="A16741" s="250">
        <v>39179</v>
      </c>
      <c r="B16741" s="74" t="s">
        <v>7172</v>
      </c>
      <c r="C16741" s="74" t="s">
        <v>435</v>
      </c>
    </row>
    <row r="16742" spans="1:3">
      <c r="A16742" s="250">
        <v>39180</v>
      </c>
      <c r="B16742" s="74" t="s">
        <v>4980</v>
      </c>
      <c r="C16742" s="74" t="s">
        <v>435</v>
      </c>
    </row>
    <row r="16743" spans="1:3">
      <c r="A16743" s="250">
        <v>39181</v>
      </c>
      <c r="B16743" s="74" t="s">
        <v>4980</v>
      </c>
      <c r="C16743" s="74" t="s">
        <v>435</v>
      </c>
    </row>
    <row r="16744" spans="1:3">
      <c r="A16744" s="250">
        <v>39182</v>
      </c>
      <c r="B16744" s="74" t="s">
        <v>4980</v>
      </c>
      <c r="C16744" s="74" t="s">
        <v>435</v>
      </c>
    </row>
    <row r="16745" spans="1:3">
      <c r="A16745" s="250">
        <v>39183</v>
      </c>
      <c r="B16745" s="74" t="s">
        <v>4980</v>
      </c>
      <c r="C16745" s="74" t="s">
        <v>435</v>
      </c>
    </row>
    <row r="16746" spans="1:3">
      <c r="A16746" s="250">
        <v>39189</v>
      </c>
      <c r="B16746" s="74" t="s">
        <v>8780</v>
      </c>
      <c r="C16746" s="74" t="s">
        <v>435</v>
      </c>
    </row>
    <row r="16747" spans="1:3">
      <c r="A16747" s="250">
        <v>39190</v>
      </c>
      <c r="B16747" s="74" t="s">
        <v>1215</v>
      </c>
      <c r="C16747" s="74" t="s">
        <v>435</v>
      </c>
    </row>
    <row r="16748" spans="1:3">
      <c r="A16748" s="250">
        <v>39191</v>
      </c>
      <c r="B16748" s="74" t="s">
        <v>9452</v>
      </c>
      <c r="C16748" s="74" t="s">
        <v>435</v>
      </c>
    </row>
    <row r="16749" spans="1:3">
      <c r="A16749" s="250">
        <v>39192</v>
      </c>
      <c r="B16749" s="74" t="s">
        <v>9453</v>
      </c>
      <c r="C16749" s="74" t="s">
        <v>435</v>
      </c>
    </row>
    <row r="16750" spans="1:3">
      <c r="A16750" s="250">
        <v>39193</v>
      </c>
      <c r="B16750" s="74" t="s">
        <v>9454</v>
      </c>
      <c r="C16750" s="74" t="s">
        <v>435</v>
      </c>
    </row>
    <row r="16751" spans="1:3">
      <c r="A16751" s="250">
        <v>39194</v>
      </c>
      <c r="B16751" s="74" t="s">
        <v>9455</v>
      </c>
      <c r="C16751" s="74" t="s">
        <v>435</v>
      </c>
    </row>
    <row r="16752" spans="1:3">
      <c r="A16752" s="250">
        <v>39201</v>
      </c>
      <c r="B16752" s="74" t="s">
        <v>1318</v>
      </c>
      <c r="C16752" s="74" t="s">
        <v>435</v>
      </c>
    </row>
    <row r="16753" spans="1:3">
      <c r="A16753" s="250">
        <v>39202</v>
      </c>
      <c r="B16753" s="74" t="s">
        <v>1318</v>
      </c>
      <c r="C16753" s="74" t="s">
        <v>435</v>
      </c>
    </row>
    <row r="16754" spans="1:3">
      <c r="A16754" s="250">
        <v>39203</v>
      </c>
      <c r="B16754" s="74" t="s">
        <v>1318</v>
      </c>
      <c r="C16754" s="74" t="s">
        <v>435</v>
      </c>
    </row>
    <row r="16755" spans="1:3">
      <c r="A16755" s="250">
        <v>39204</v>
      </c>
      <c r="B16755" s="74" t="s">
        <v>1318</v>
      </c>
      <c r="C16755" s="74" t="s">
        <v>435</v>
      </c>
    </row>
    <row r="16756" spans="1:3">
      <c r="A16756" s="250">
        <v>39205</v>
      </c>
      <c r="B16756" s="74" t="s">
        <v>1318</v>
      </c>
      <c r="C16756" s="74" t="s">
        <v>435</v>
      </c>
    </row>
    <row r="16757" spans="1:3">
      <c r="A16757" s="250">
        <v>39206</v>
      </c>
      <c r="B16757" s="74" t="s">
        <v>1318</v>
      </c>
      <c r="C16757" s="74" t="s">
        <v>435</v>
      </c>
    </row>
    <row r="16758" spans="1:3">
      <c r="A16758" s="250">
        <v>39207</v>
      </c>
      <c r="B16758" s="74" t="s">
        <v>1318</v>
      </c>
      <c r="C16758" s="74" t="s">
        <v>435</v>
      </c>
    </row>
    <row r="16759" spans="1:3">
      <c r="A16759" s="250">
        <v>39208</v>
      </c>
      <c r="B16759" s="74" t="s">
        <v>9456</v>
      </c>
      <c r="C16759" s="74" t="s">
        <v>435</v>
      </c>
    </row>
    <row r="16760" spans="1:3">
      <c r="A16760" s="250">
        <v>39209</v>
      </c>
      <c r="B16760" s="74" t="s">
        <v>1318</v>
      </c>
      <c r="C16760" s="74" t="s">
        <v>435</v>
      </c>
    </row>
    <row r="16761" spans="1:3">
      <c r="A16761" s="250">
        <v>39210</v>
      </c>
      <c r="B16761" s="74" t="s">
        <v>1318</v>
      </c>
      <c r="C16761" s="74" t="s">
        <v>435</v>
      </c>
    </row>
    <row r="16762" spans="1:3">
      <c r="A16762" s="250">
        <v>39211</v>
      </c>
      <c r="B16762" s="74" t="s">
        <v>1318</v>
      </c>
      <c r="C16762" s="74" t="s">
        <v>435</v>
      </c>
    </row>
    <row r="16763" spans="1:3">
      <c r="A16763" s="250">
        <v>39212</v>
      </c>
      <c r="B16763" s="74" t="s">
        <v>1318</v>
      </c>
      <c r="C16763" s="74" t="s">
        <v>435</v>
      </c>
    </row>
    <row r="16764" spans="1:3">
      <c r="A16764" s="250">
        <v>39213</v>
      </c>
      <c r="B16764" s="74" t="s">
        <v>1318</v>
      </c>
      <c r="C16764" s="74" t="s">
        <v>435</v>
      </c>
    </row>
    <row r="16765" spans="1:3">
      <c r="A16765" s="250">
        <v>39215</v>
      </c>
      <c r="B16765" s="74" t="s">
        <v>1318</v>
      </c>
      <c r="C16765" s="74" t="s">
        <v>435</v>
      </c>
    </row>
    <row r="16766" spans="1:3">
      <c r="A16766" s="250">
        <v>39216</v>
      </c>
      <c r="B16766" s="74" t="s">
        <v>1318</v>
      </c>
      <c r="C16766" s="74" t="s">
        <v>435</v>
      </c>
    </row>
    <row r="16767" spans="1:3">
      <c r="A16767" s="250">
        <v>39217</v>
      </c>
      <c r="B16767" s="74" t="s">
        <v>1318</v>
      </c>
      <c r="C16767" s="74" t="s">
        <v>435</v>
      </c>
    </row>
    <row r="16768" spans="1:3">
      <c r="A16768" s="250">
        <v>39218</v>
      </c>
      <c r="B16768" s="74" t="s">
        <v>2499</v>
      </c>
      <c r="C16768" s="74" t="s">
        <v>435</v>
      </c>
    </row>
    <row r="16769" spans="1:3">
      <c r="A16769" s="250">
        <v>39225</v>
      </c>
      <c r="B16769" s="74" t="s">
        <v>1318</v>
      </c>
      <c r="C16769" s="74" t="s">
        <v>435</v>
      </c>
    </row>
    <row r="16770" spans="1:3">
      <c r="A16770" s="250">
        <v>39232</v>
      </c>
      <c r="B16770" s="74" t="s">
        <v>9457</v>
      </c>
      <c r="C16770" s="74" t="s">
        <v>435</v>
      </c>
    </row>
    <row r="16771" spans="1:3">
      <c r="A16771" s="250">
        <v>39235</v>
      </c>
      <c r="B16771" s="74" t="s">
        <v>1318</v>
      </c>
      <c r="C16771" s="74" t="s">
        <v>435</v>
      </c>
    </row>
    <row r="16772" spans="1:3">
      <c r="A16772" s="250">
        <v>39236</v>
      </c>
      <c r="B16772" s="74" t="s">
        <v>1318</v>
      </c>
      <c r="C16772" s="74" t="s">
        <v>435</v>
      </c>
    </row>
    <row r="16773" spans="1:3">
      <c r="A16773" s="250">
        <v>39250</v>
      </c>
      <c r="B16773" s="74" t="s">
        <v>1318</v>
      </c>
      <c r="C16773" s="74" t="s">
        <v>435</v>
      </c>
    </row>
    <row r="16774" spans="1:3">
      <c r="A16774" s="250">
        <v>39269</v>
      </c>
      <c r="B16774" s="74" t="s">
        <v>1318</v>
      </c>
      <c r="C16774" s="74" t="s">
        <v>435</v>
      </c>
    </row>
    <row r="16775" spans="1:3">
      <c r="A16775" s="250">
        <v>39271</v>
      </c>
      <c r="B16775" s="74" t="s">
        <v>1318</v>
      </c>
      <c r="C16775" s="74" t="s">
        <v>435</v>
      </c>
    </row>
    <row r="16776" spans="1:3">
      <c r="A16776" s="250">
        <v>39272</v>
      </c>
      <c r="B16776" s="74" t="s">
        <v>9458</v>
      </c>
      <c r="C16776" s="74" t="s">
        <v>435</v>
      </c>
    </row>
    <row r="16777" spans="1:3">
      <c r="A16777" s="250">
        <v>39282</v>
      </c>
      <c r="B16777" s="74" t="s">
        <v>1318</v>
      </c>
      <c r="C16777" s="74" t="s">
        <v>435</v>
      </c>
    </row>
    <row r="16778" spans="1:3">
      <c r="A16778" s="250">
        <v>39283</v>
      </c>
      <c r="B16778" s="74" t="s">
        <v>1318</v>
      </c>
      <c r="C16778" s="74" t="s">
        <v>435</v>
      </c>
    </row>
    <row r="16779" spans="1:3">
      <c r="A16779" s="250">
        <v>39284</v>
      </c>
      <c r="B16779" s="74" t="s">
        <v>1318</v>
      </c>
      <c r="C16779" s="74" t="s">
        <v>435</v>
      </c>
    </row>
    <row r="16780" spans="1:3">
      <c r="A16780" s="250">
        <v>39286</v>
      </c>
      <c r="B16780" s="74" t="s">
        <v>1318</v>
      </c>
      <c r="C16780" s="74" t="s">
        <v>435</v>
      </c>
    </row>
    <row r="16781" spans="1:3">
      <c r="A16781" s="250">
        <v>39288</v>
      </c>
      <c r="B16781" s="74" t="s">
        <v>9456</v>
      </c>
      <c r="C16781" s="74" t="s">
        <v>435</v>
      </c>
    </row>
    <row r="16782" spans="1:3">
      <c r="A16782" s="250">
        <v>39289</v>
      </c>
      <c r="B16782" s="74" t="s">
        <v>1318</v>
      </c>
      <c r="C16782" s="74" t="s">
        <v>435</v>
      </c>
    </row>
    <row r="16783" spans="1:3">
      <c r="A16783" s="250">
        <v>39296</v>
      </c>
      <c r="B16783" s="74" t="s">
        <v>1318</v>
      </c>
      <c r="C16783" s="74" t="s">
        <v>435</v>
      </c>
    </row>
    <row r="16784" spans="1:3">
      <c r="A16784" s="250">
        <v>39298</v>
      </c>
      <c r="B16784" s="74" t="s">
        <v>1318</v>
      </c>
      <c r="C16784" s="74" t="s">
        <v>435</v>
      </c>
    </row>
    <row r="16785" spans="1:3">
      <c r="A16785" s="250">
        <v>39301</v>
      </c>
      <c r="B16785" s="74" t="s">
        <v>3388</v>
      </c>
      <c r="C16785" s="74" t="s">
        <v>435</v>
      </c>
    </row>
    <row r="16786" spans="1:3">
      <c r="A16786" s="250">
        <v>39302</v>
      </c>
      <c r="B16786" s="74" t="s">
        <v>3388</v>
      </c>
      <c r="C16786" s="74" t="s">
        <v>435</v>
      </c>
    </row>
    <row r="16787" spans="1:3">
      <c r="A16787" s="250">
        <v>39303</v>
      </c>
      <c r="B16787" s="74" t="s">
        <v>3388</v>
      </c>
      <c r="C16787" s="74" t="s">
        <v>435</v>
      </c>
    </row>
    <row r="16788" spans="1:3">
      <c r="A16788" s="250">
        <v>39304</v>
      </c>
      <c r="B16788" s="74" t="s">
        <v>3388</v>
      </c>
      <c r="C16788" s="74" t="s">
        <v>435</v>
      </c>
    </row>
    <row r="16789" spans="1:3">
      <c r="A16789" s="250">
        <v>39305</v>
      </c>
      <c r="B16789" s="74" t="s">
        <v>3388</v>
      </c>
      <c r="C16789" s="74" t="s">
        <v>435</v>
      </c>
    </row>
    <row r="16790" spans="1:3">
      <c r="A16790" s="250">
        <v>39307</v>
      </c>
      <c r="B16790" s="74" t="s">
        <v>3388</v>
      </c>
      <c r="C16790" s="74" t="s">
        <v>435</v>
      </c>
    </row>
    <row r="16791" spans="1:3">
      <c r="A16791" s="250">
        <v>39309</v>
      </c>
      <c r="B16791" s="74" t="s">
        <v>3388</v>
      </c>
      <c r="C16791" s="74" t="s">
        <v>435</v>
      </c>
    </row>
    <row r="16792" spans="1:3">
      <c r="A16792" s="250">
        <v>39320</v>
      </c>
      <c r="B16792" s="74" t="s">
        <v>7178</v>
      </c>
      <c r="C16792" s="74" t="s">
        <v>435</v>
      </c>
    </row>
    <row r="16793" spans="1:3">
      <c r="A16793" s="250">
        <v>39322</v>
      </c>
      <c r="B16793" s="74" t="s">
        <v>9459</v>
      </c>
      <c r="C16793" s="74" t="s">
        <v>435</v>
      </c>
    </row>
    <row r="16794" spans="1:3">
      <c r="A16794" s="250">
        <v>39323</v>
      </c>
      <c r="B16794" s="74" t="s">
        <v>9460</v>
      </c>
      <c r="C16794" s="74" t="s">
        <v>435</v>
      </c>
    </row>
    <row r="16795" spans="1:3">
      <c r="A16795" s="250">
        <v>39324</v>
      </c>
      <c r="B16795" s="74" t="s">
        <v>9461</v>
      </c>
      <c r="C16795" s="74" t="s">
        <v>435</v>
      </c>
    </row>
    <row r="16796" spans="1:3">
      <c r="A16796" s="250">
        <v>39325</v>
      </c>
      <c r="B16796" s="74" t="s">
        <v>1936</v>
      </c>
      <c r="C16796" s="74" t="s">
        <v>435</v>
      </c>
    </row>
    <row r="16797" spans="1:3">
      <c r="A16797" s="250">
        <v>39326</v>
      </c>
      <c r="B16797" s="74" t="s">
        <v>6268</v>
      </c>
      <c r="C16797" s="74" t="s">
        <v>435</v>
      </c>
    </row>
    <row r="16798" spans="1:3">
      <c r="A16798" s="250">
        <v>39327</v>
      </c>
      <c r="B16798" s="74" t="s">
        <v>7862</v>
      </c>
      <c r="C16798" s="74" t="s">
        <v>435</v>
      </c>
    </row>
    <row r="16799" spans="1:3">
      <c r="A16799" s="250">
        <v>39328</v>
      </c>
      <c r="B16799" s="74" t="s">
        <v>9462</v>
      </c>
      <c r="C16799" s="74" t="s">
        <v>435</v>
      </c>
    </row>
    <row r="16800" spans="1:3">
      <c r="A16800" s="250">
        <v>39330</v>
      </c>
      <c r="B16800" s="74" t="s">
        <v>6981</v>
      </c>
      <c r="C16800" s="74" t="s">
        <v>435</v>
      </c>
    </row>
    <row r="16801" spans="1:3">
      <c r="A16801" s="250">
        <v>39332</v>
      </c>
      <c r="B16801" s="74" t="s">
        <v>4062</v>
      </c>
      <c r="C16801" s="74" t="s">
        <v>435</v>
      </c>
    </row>
    <row r="16802" spans="1:3">
      <c r="A16802" s="250">
        <v>39335</v>
      </c>
      <c r="B16802" s="74" t="s">
        <v>9463</v>
      </c>
      <c r="C16802" s="74" t="s">
        <v>435</v>
      </c>
    </row>
    <row r="16803" spans="1:3">
      <c r="A16803" s="250">
        <v>39336</v>
      </c>
      <c r="B16803" s="74" t="s">
        <v>815</v>
      </c>
      <c r="C16803" s="74" t="s">
        <v>435</v>
      </c>
    </row>
    <row r="16804" spans="1:3">
      <c r="A16804" s="250">
        <v>39337</v>
      </c>
      <c r="B16804" s="74" t="s">
        <v>7745</v>
      </c>
      <c r="C16804" s="74" t="s">
        <v>435</v>
      </c>
    </row>
    <row r="16805" spans="1:3">
      <c r="A16805" s="250">
        <v>39338</v>
      </c>
      <c r="B16805" s="74" t="s">
        <v>9464</v>
      </c>
      <c r="C16805" s="74" t="s">
        <v>435</v>
      </c>
    </row>
    <row r="16806" spans="1:3">
      <c r="A16806" s="250">
        <v>39339</v>
      </c>
      <c r="B16806" s="74" t="s">
        <v>7943</v>
      </c>
      <c r="C16806" s="74" t="s">
        <v>435</v>
      </c>
    </row>
    <row r="16807" spans="1:3">
      <c r="A16807" s="250">
        <v>39341</v>
      </c>
      <c r="B16807" s="74" t="s">
        <v>6077</v>
      </c>
      <c r="C16807" s="74" t="s">
        <v>435</v>
      </c>
    </row>
    <row r="16808" spans="1:3">
      <c r="A16808" s="250">
        <v>39342</v>
      </c>
      <c r="B16808" s="74" t="s">
        <v>1071</v>
      </c>
      <c r="C16808" s="74" t="s">
        <v>435</v>
      </c>
    </row>
    <row r="16809" spans="1:3">
      <c r="A16809" s="250">
        <v>39345</v>
      </c>
      <c r="B16809" s="74" t="s">
        <v>973</v>
      </c>
      <c r="C16809" s="74" t="s">
        <v>435</v>
      </c>
    </row>
    <row r="16810" spans="1:3">
      <c r="A16810" s="250">
        <v>39346</v>
      </c>
      <c r="B16810" s="74" t="s">
        <v>9465</v>
      </c>
      <c r="C16810" s="74" t="s">
        <v>435</v>
      </c>
    </row>
    <row r="16811" spans="1:3">
      <c r="A16811" s="250">
        <v>39347</v>
      </c>
      <c r="B16811" s="74" t="s">
        <v>9466</v>
      </c>
      <c r="C16811" s="74" t="s">
        <v>435</v>
      </c>
    </row>
    <row r="16812" spans="1:3">
      <c r="A16812" s="250">
        <v>39348</v>
      </c>
      <c r="B16812" s="74" t="s">
        <v>9467</v>
      </c>
      <c r="C16812" s="74" t="s">
        <v>435</v>
      </c>
    </row>
    <row r="16813" spans="1:3">
      <c r="A16813" s="250">
        <v>39350</v>
      </c>
      <c r="B16813" s="74" t="s">
        <v>3570</v>
      </c>
      <c r="C16813" s="74" t="s">
        <v>435</v>
      </c>
    </row>
    <row r="16814" spans="1:3">
      <c r="A16814" s="250">
        <v>39352</v>
      </c>
      <c r="B16814" s="74" t="s">
        <v>9468</v>
      </c>
      <c r="C16814" s="74" t="s">
        <v>435</v>
      </c>
    </row>
    <row r="16815" spans="1:3">
      <c r="A16815" s="250">
        <v>39354</v>
      </c>
      <c r="B16815" s="74" t="s">
        <v>2023</v>
      </c>
      <c r="C16815" s="74" t="s">
        <v>435</v>
      </c>
    </row>
    <row r="16816" spans="1:3">
      <c r="A16816" s="250">
        <v>39355</v>
      </c>
      <c r="B16816" s="74" t="s">
        <v>8155</v>
      </c>
      <c r="C16816" s="74" t="s">
        <v>435</v>
      </c>
    </row>
    <row r="16817" spans="1:3">
      <c r="A16817" s="250">
        <v>39356</v>
      </c>
      <c r="B16817" s="74" t="s">
        <v>6339</v>
      </c>
      <c r="C16817" s="74" t="s">
        <v>435</v>
      </c>
    </row>
    <row r="16818" spans="1:3">
      <c r="A16818" s="250">
        <v>39358</v>
      </c>
      <c r="B16818" s="74" t="s">
        <v>9469</v>
      </c>
      <c r="C16818" s="74" t="s">
        <v>435</v>
      </c>
    </row>
    <row r="16819" spans="1:3">
      <c r="A16819" s="250">
        <v>39359</v>
      </c>
      <c r="B16819" s="74" t="s">
        <v>9470</v>
      </c>
      <c r="C16819" s="74" t="s">
        <v>435</v>
      </c>
    </row>
    <row r="16820" spans="1:3">
      <c r="A16820" s="250">
        <v>39360</v>
      </c>
      <c r="B16820" s="74" t="s">
        <v>9471</v>
      </c>
      <c r="C16820" s="74" t="s">
        <v>435</v>
      </c>
    </row>
    <row r="16821" spans="1:3">
      <c r="A16821" s="250">
        <v>39361</v>
      </c>
      <c r="B16821" s="74" t="s">
        <v>9472</v>
      </c>
      <c r="C16821" s="74" t="s">
        <v>435</v>
      </c>
    </row>
    <row r="16822" spans="1:3">
      <c r="A16822" s="250">
        <v>39362</v>
      </c>
      <c r="B16822" s="74" t="s">
        <v>4794</v>
      </c>
      <c r="C16822" s="74" t="s">
        <v>435</v>
      </c>
    </row>
    <row r="16823" spans="1:3">
      <c r="A16823" s="250">
        <v>39363</v>
      </c>
      <c r="B16823" s="74" t="s">
        <v>7462</v>
      </c>
      <c r="C16823" s="74" t="s">
        <v>435</v>
      </c>
    </row>
    <row r="16824" spans="1:3">
      <c r="A16824" s="250">
        <v>39364</v>
      </c>
      <c r="B16824" s="74" t="s">
        <v>9473</v>
      </c>
      <c r="C16824" s="74" t="s">
        <v>435</v>
      </c>
    </row>
    <row r="16825" spans="1:3">
      <c r="A16825" s="250">
        <v>39365</v>
      </c>
      <c r="B16825" s="74" t="s">
        <v>1346</v>
      </c>
      <c r="C16825" s="74" t="s">
        <v>435</v>
      </c>
    </row>
    <row r="16826" spans="1:3">
      <c r="A16826" s="250">
        <v>39366</v>
      </c>
      <c r="B16826" s="74" t="s">
        <v>9474</v>
      </c>
      <c r="C16826" s="74" t="s">
        <v>435</v>
      </c>
    </row>
    <row r="16827" spans="1:3">
      <c r="A16827" s="250">
        <v>39367</v>
      </c>
      <c r="B16827" s="74" t="s">
        <v>4799</v>
      </c>
      <c r="C16827" s="74" t="s">
        <v>435</v>
      </c>
    </row>
    <row r="16828" spans="1:3">
      <c r="A16828" s="250">
        <v>39401</v>
      </c>
      <c r="B16828" s="74" t="s">
        <v>9475</v>
      </c>
      <c r="C16828" s="74" t="s">
        <v>435</v>
      </c>
    </row>
    <row r="16829" spans="1:3">
      <c r="A16829" s="250">
        <v>39402</v>
      </c>
      <c r="B16829" s="74" t="s">
        <v>9475</v>
      </c>
      <c r="C16829" s="74" t="s">
        <v>435</v>
      </c>
    </row>
    <row r="16830" spans="1:3">
      <c r="A16830" s="250">
        <v>39403</v>
      </c>
      <c r="B16830" s="74" t="s">
        <v>9475</v>
      </c>
      <c r="C16830" s="74" t="s">
        <v>435</v>
      </c>
    </row>
    <row r="16831" spans="1:3">
      <c r="A16831" s="250">
        <v>39404</v>
      </c>
      <c r="B16831" s="74" t="s">
        <v>9475</v>
      </c>
      <c r="C16831" s="74" t="s">
        <v>435</v>
      </c>
    </row>
    <row r="16832" spans="1:3">
      <c r="A16832" s="250">
        <v>39406</v>
      </c>
      <c r="B16832" s="74" t="s">
        <v>9475</v>
      </c>
      <c r="C16832" s="74" t="s">
        <v>435</v>
      </c>
    </row>
    <row r="16833" spans="1:3">
      <c r="A16833" s="250">
        <v>39407</v>
      </c>
      <c r="B16833" s="74" t="s">
        <v>9475</v>
      </c>
      <c r="C16833" s="74" t="s">
        <v>435</v>
      </c>
    </row>
    <row r="16834" spans="1:3">
      <c r="A16834" s="250">
        <v>39421</v>
      </c>
      <c r="B16834" s="74" t="s">
        <v>9476</v>
      </c>
      <c r="C16834" s="74" t="s">
        <v>435</v>
      </c>
    </row>
    <row r="16835" spans="1:3">
      <c r="A16835" s="250">
        <v>39422</v>
      </c>
      <c r="B16835" s="74" t="s">
        <v>9477</v>
      </c>
      <c r="C16835" s="74" t="s">
        <v>435</v>
      </c>
    </row>
    <row r="16836" spans="1:3">
      <c r="A16836" s="250">
        <v>39423</v>
      </c>
      <c r="B16836" s="74" t="s">
        <v>6036</v>
      </c>
      <c r="C16836" s="74" t="s">
        <v>435</v>
      </c>
    </row>
    <row r="16837" spans="1:3">
      <c r="A16837" s="250">
        <v>39425</v>
      </c>
      <c r="B16837" s="74" t="s">
        <v>1983</v>
      </c>
      <c r="C16837" s="74" t="s">
        <v>435</v>
      </c>
    </row>
    <row r="16838" spans="1:3">
      <c r="A16838" s="250">
        <v>39426</v>
      </c>
      <c r="B16838" s="74" t="s">
        <v>9478</v>
      </c>
      <c r="C16838" s="74" t="s">
        <v>435</v>
      </c>
    </row>
    <row r="16839" spans="1:3">
      <c r="A16839" s="250">
        <v>39427</v>
      </c>
      <c r="B16839" s="74" t="s">
        <v>6190</v>
      </c>
      <c r="C16839" s="74" t="s">
        <v>435</v>
      </c>
    </row>
    <row r="16840" spans="1:3">
      <c r="A16840" s="250">
        <v>39428</v>
      </c>
      <c r="B16840" s="74" t="s">
        <v>3686</v>
      </c>
      <c r="C16840" s="74" t="s">
        <v>435</v>
      </c>
    </row>
    <row r="16841" spans="1:3">
      <c r="A16841" s="250">
        <v>39429</v>
      </c>
      <c r="B16841" s="74" t="s">
        <v>1985</v>
      </c>
      <c r="C16841" s="74" t="s">
        <v>435</v>
      </c>
    </row>
    <row r="16842" spans="1:3">
      <c r="A16842" s="250">
        <v>39436</v>
      </c>
      <c r="B16842" s="74" t="s">
        <v>9479</v>
      </c>
      <c r="C16842" s="74" t="s">
        <v>435</v>
      </c>
    </row>
    <row r="16843" spans="1:3">
      <c r="A16843" s="250">
        <v>39437</v>
      </c>
      <c r="B16843" s="74" t="s">
        <v>9480</v>
      </c>
      <c r="C16843" s="74" t="s">
        <v>435</v>
      </c>
    </row>
    <row r="16844" spans="1:3">
      <c r="A16844" s="250">
        <v>39439</v>
      </c>
      <c r="B16844" s="74" t="s">
        <v>9481</v>
      </c>
      <c r="C16844" s="74" t="s">
        <v>435</v>
      </c>
    </row>
    <row r="16845" spans="1:3">
      <c r="A16845" s="250">
        <v>39440</v>
      </c>
      <c r="B16845" s="74" t="s">
        <v>2882</v>
      </c>
      <c r="C16845" s="74" t="s">
        <v>435</v>
      </c>
    </row>
    <row r="16846" spans="1:3">
      <c r="A16846" s="250">
        <v>39441</v>
      </c>
      <c r="B16846" s="74" t="s">
        <v>2882</v>
      </c>
      <c r="C16846" s="74" t="s">
        <v>435</v>
      </c>
    </row>
    <row r="16847" spans="1:3">
      <c r="A16847" s="250">
        <v>39442</v>
      </c>
      <c r="B16847" s="74" t="s">
        <v>2882</v>
      </c>
      <c r="C16847" s="74" t="s">
        <v>435</v>
      </c>
    </row>
    <row r="16848" spans="1:3">
      <c r="A16848" s="250">
        <v>39443</v>
      </c>
      <c r="B16848" s="74" t="s">
        <v>2882</v>
      </c>
      <c r="C16848" s="74" t="s">
        <v>435</v>
      </c>
    </row>
    <row r="16849" spans="1:3">
      <c r="A16849" s="250">
        <v>39451</v>
      </c>
      <c r="B16849" s="74" t="s">
        <v>9482</v>
      </c>
      <c r="C16849" s="74" t="s">
        <v>435</v>
      </c>
    </row>
    <row r="16850" spans="1:3">
      <c r="A16850" s="250">
        <v>39452</v>
      </c>
      <c r="B16850" s="74" t="s">
        <v>9483</v>
      </c>
      <c r="C16850" s="74" t="s">
        <v>435</v>
      </c>
    </row>
    <row r="16851" spans="1:3">
      <c r="A16851" s="250">
        <v>39455</v>
      </c>
      <c r="B16851" s="74" t="s">
        <v>2397</v>
      </c>
      <c r="C16851" s="74" t="s">
        <v>435</v>
      </c>
    </row>
    <row r="16852" spans="1:3">
      <c r="A16852" s="250">
        <v>39456</v>
      </c>
      <c r="B16852" s="74" t="s">
        <v>9484</v>
      </c>
      <c r="C16852" s="74" t="s">
        <v>435</v>
      </c>
    </row>
    <row r="16853" spans="1:3">
      <c r="A16853" s="250">
        <v>39457</v>
      </c>
      <c r="B16853" s="74" t="s">
        <v>9485</v>
      </c>
      <c r="C16853" s="74" t="s">
        <v>435</v>
      </c>
    </row>
    <row r="16854" spans="1:3">
      <c r="A16854" s="250">
        <v>39459</v>
      </c>
      <c r="B16854" s="74" t="s">
        <v>9486</v>
      </c>
      <c r="C16854" s="74" t="s">
        <v>435</v>
      </c>
    </row>
    <row r="16855" spans="1:3">
      <c r="A16855" s="250">
        <v>39460</v>
      </c>
      <c r="B16855" s="74" t="s">
        <v>9280</v>
      </c>
      <c r="C16855" s="74" t="s">
        <v>435</v>
      </c>
    </row>
    <row r="16856" spans="1:3">
      <c r="A16856" s="250">
        <v>39461</v>
      </c>
      <c r="B16856" s="74" t="s">
        <v>9487</v>
      </c>
      <c r="C16856" s="74" t="s">
        <v>435</v>
      </c>
    </row>
    <row r="16857" spans="1:3">
      <c r="A16857" s="250">
        <v>39462</v>
      </c>
      <c r="B16857" s="74" t="s">
        <v>9488</v>
      </c>
      <c r="C16857" s="74" t="s">
        <v>435</v>
      </c>
    </row>
    <row r="16858" spans="1:3">
      <c r="A16858" s="250">
        <v>39463</v>
      </c>
      <c r="B16858" s="74" t="s">
        <v>5172</v>
      </c>
      <c r="C16858" s="74" t="s">
        <v>435</v>
      </c>
    </row>
    <row r="16859" spans="1:3">
      <c r="A16859" s="250">
        <v>39464</v>
      </c>
      <c r="B16859" s="74" t="s">
        <v>9489</v>
      </c>
      <c r="C16859" s="74" t="s">
        <v>435</v>
      </c>
    </row>
    <row r="16860" spans="1:3">
      <c r="A16860" s="250">
        <v>39465</v>
      </c>
      <c r="B16860" s="74" t="s">
        <v>9490</v>
      </c>
      <c r="C16860" s="74" t="s">
        <v>435</v>
      </c>
    </row>
    <row r="16861" spans="1:3">
      <c r="A16861" s="250">
        <v>39466</v>
      </c>
      <c r="B16861" s="74" t="s">
        <v>9491</v>
      </c>
      <c r="C16861" s="74" t="s">
        <v>435</v>
      </c>
    </row>
    <row r="16862" spans="1:3">
      <c r="A16862" s="250">
        <v>39470</v>
      </c>
      <c r="B16862" s="74" t="s">
        <v>9492</v>
      </c>
      <c r="C16862" s="74" t="s">
        <v>435</v>
      </c>
    </row>
    <row r="16863" spans="1:3">
      <c r="A16863" s="250">
        <v>39474</v>
      </c>
      <c r="B16863" s="74" t="s">
        <v>9493</v>
      </c>
      <c r="C16863" s="74" t="s">
        <v>435</v>
      </c>
    </row>
    <row r="16864" spans="1:3">
      <c r="A16864" s="250">
        <v>39475</v>
      </c>
      <c r="B16864" s="74" t="s">
        <v>9494</v>
      </c>
      <c r="C16864" s="74" t="s">
        <v>435</v>
      </c>
    </row>
    <row r="16865" spans="1:3">
      <c r="A16865" s="250">
        <v>39476</v>
      </c>
      <c r="B16865" s="74" t="s">
        <v>9495</v>
      </c>
      <c r="C16865" s="74" t="s">
        <v>435</v>
      </c>
    </row>
    <row r="16866" spans="1:3">
      <c r="A16866" s="250">
        <v>39477</v>
      </c>
      <c r="B16866" s="74" t="s">
        <v>8097</v>
      </c>
      <c r="C16866" s="74" t="s">
        <v>435</v>
      </c>
    </row>
    <row r="16867" spans="1:3">
      <c r="A16867" s="250">
        <v>39478</v>
      </c>
      <c r="B16867" s="74" t="s">
        <v>2065</v>
      </c>
      <c r="C16867" s="74" t="s">
        <v>435</v>
      </c>
    </row>
    <row r="16868" spans="1:3">
      <c r="A16868" s="250">
        <v>39479</v>
      </c>
      <c r="B16868" s="74" t="s">
        <v>9496</v>
      </c>
      <c r="C16868" s="74" t="s">
        <v>435</v>
      </c>
    </row>
    <row r="16869" spans="1:3">
      <c r="A16869" s="250">
        <v>39480</v>
      </c>
      <c r="B16869" s="74" t="s">
        <v>9497</v>
      </c>
      <c r="C16869" s="74" t="s">
        <v>435</v>
      </c>
    </row>
    <row r="16870" spans="1:3">
      <c r="A16870" s="250">
        <v>39481</v>
      </c>
      <c r="B16870" s="74" t="s">
        <v>9498</v>
      </c>
      <c r="C16870" s="74" t="s">
        <v>435</v>
      </c>
    </row>
    <row r="16871" spans="1:3">
      <c r="A16871" s="250">
        <v>39482</v>
      </c>
      <c r="B16871" s="74" t="s">
        <v>9499</v>
      </c>
      <c r="C16871" s="74" t="s">
        <v>435</v>
      </c>
    </row>
    <row r="16872" spans="1:3">
      <c r="A16872" s="250">
        <v>39483</v>
      </c>
      <c r="B16872" s="74" t="s">
        <v>9500</v>
      </c>
      <c r="C16872" s="74" t="s">
        <v>435</v>
      </c>
    </row>
    <row r="16873" spans="1:3">
      <c r="A16873" s="250">
        <v>39501</v>
      </c>
      <c r="B16873" s="74" t="s">
        <v>9501</v>
      </c>
      <c r="C16873" s="74" t="s">
        <v>435</v>
      </c>
    </row>
    <row r="16874" spans="1:3">
      <c r="A16874" s="250">
        <v>39502</v>
      </c>
      <c r="B16874" s="74" t="s">
        <v>9501</v>
      </c>
      <c r="C16874" s="74" t="s">
        <v>435</v>
      </c>
    </row>
    <row r="16875" spans="1:3">
      <c r="A16875" s="250">
        <v>39503</v>
      </c>
      <c r="B16875" s="74" t="s">
        <v>9501</v>
      </c>
      <c r="C16875" s="74" t="s">
        <v>435</v>
      </c>
    </row>
    <row r="16876" spans="1:3">
      <c r="A16876" s="250">
        <v>39505</v>
      </c>
      <c r="B16876" s="74" t="s">
        <v>9501</v>
      </c>
      <c r="C16876" s="74" t="s">
        <v>435</v>
      </c>
    </row>
    <row r="16877" spans="1:3">
      <c r="A16877" s="250">
        <v>39506</v>
      </c>
      <c r="B16877" s="74" t="s">
        <v>9501</v>
      </c>
      <c r="C16877" s="74" t="s">
        <v>435</v>
      </c>
    </row>
    <row r="16878" spans="1:3">
      <c r="A16878" s="250">
        <v>39507</v>
      </c>
      <c r="B16878" s="74" t="s">
        <v>9501</v>
      </c>
      <c r="C16878" s="74" t="s">
        <v>435</v>
      </c>
    </row>
    <row r="16879" spans="1:3">
      <c r="A16879" s="250">
        <v>39520</v>
      </c>
      <c r="B16879" s="74" t="s">
        <v>9502</v>
      </c>
      <c r="C16879" s="74" t="s">
        <v>435</v>
      </c>
    </row>
    <row r="16880" spans="1:3">
      <c r="A16880" s="250">
        <v>39521</v>
      </c>
      <c r="B16880" s="74" t="s">
        <v>9502</v>
      </c>
      <c r="C16880" s="74" t="s">
        <v>435</v>
      </c>
    </row>
    <row r="16881" spans="1:3">
      <c r="A16881" s="250">
        <v>39522</v>
      </c>
      <c r="B16881" s="74" t="s">
        <v>9503</v>
      </c>
      <c r="C16881" s="74" t="s">
        <v>435</v>
      </c>
    </row>
    <row r="16882" spans="1:3">
      <c r="A16882" s="250">
        <v>39525</v>
      </c>
      <c r="B16882" s="74" t="s">
        <v>9504</v>
      </c>
      <c r="C16882" s="74" t="s">
        <v>435</v>
      </c>
    </row>
    <row r="16883" spans="1:3">
      <c r="A16883" s="250">
        <v>39529</v>
      </c>
      <c r="B16883" s="74" t="s">
        <v>9503</v>
      </c>
      <c r="C16883" s="74" t="s">
        <v>435</v>
      </c>
    </row>
    <row r="16884" spans="1:3">
      <c r="A16884" s="250">
        <v>39530</v>
      </c>
      <c r="B16884" s="74" t="s">
        <v>9505</v>
      </c>
      <c r="C16884" s="74" t="s">
        <v>435</v>
      </c>
    </row>
    <row r="16885" spans="1:3">
      <c r="A16885" s="250">
        <v>39531</v>
      </c>
      <c r="B16885" s="74" t="s">
        <v>9505</v>
      </c>
      <c r="C16885" s="74" t="s">
        <v>435</v>
      </c>
    </row>
    <row r="16886" spans="1:3">
      <c r="A16886" s="250">
        <v>39532</v>
      </c>
      <c r="B16886" s="74" t="s">
        <v>9505</v>
      </c>
      <c r="C16886" s="74" t="s">
        <v>435</v>
      </c>
    </row>
    <row r="16887" spans="1:3">
      <c r="A16887" s="250">
        <v>39533</v>
      </c>
      <c r="B16887" s="74" t="s">
        <v>9505</v>
      </c>
      <c r="C16887" s="74" t="s">
        <v>435</v>
      </c>
    </row>
    <row r="16888" spans="1:3">
      <c r="A16888" s="250">
        <v>39534</v>
      </c>
      <c r="B16888" s="74" t="s">
        <v>9505</v>
      </c>
      <c r="C16888" s="74" t="s">
        <v>435</v>
      </c>
    </row>
    <row r="16889" spans="1:3">
      <c r="A16889" s="250">
        <v>39535</v>
      </c>
      <c r="B16889" s="74" t="s">
        <v>9505</v>
      </c>
      <c r="C16889" s="74" t="s">
        <v>435</v>
      </c>
    </row>
    <row r="16890" spans="1:3">
      <c r="A16890" s="250">
        <v>39540</v>
      </c>
      <c r="B16890" s="74" t="s">
        <v>9506</v>
      </c>
      <c r="C16890" s="74" t="s">
        <v>435</v>
      </c>
    </row>
    <row r="16891" spans="1:3">
      <c r="A16891" s="250">
        <v>39552</v>
      </c>
      <c r="B16891" s="74" t="s">
        <v>9507</v>
      </c>
      <c r="C16891" s="74" t="s">
        <v>435</v>
      </c>
    </row>
    <row r="16892" spans="1:3">
      <c r="A16892" s="250">
        <v>39553</v>
      </c>
      <c r="B16892" s="74" t="s">
        <v>9508</v>
      </c>
      <c r="C16892" s="74" t="s">
        <v>435</v>
      </c>
    </row>
    <row r="16893" spans="1:3">
      <c r="A16893" s="250">
        <v>39555</v>
      </c>
      <c r="B16893" s="74" t="s">
        <v>3057</v>
      </c>
      <c r="C16893" s="74" t="s">
        <v>435</v>
      </c>
    </row>
    <row r="16894" spans="1:3">
      <c r="A16894" s="250">
        <v>39556</v>
      </c>
      <c r="B16894" s="74" t="s">
        <v>9509</v>
      </c>
      <c r="C16894" s="74" t="s">
        <v>435</v>
      </c>
    </row>
    <row r="16895" spans="1:3">
      <c r="A16895" s="250">
        <v>39558</v>
      </c>
      <c r="B16895" s="74" t="s">
        <v>8506</v>
      </c>
      <c r="C16895" s="74" t="s">
        <v>435</v>
      </c>
    </row>
    <row r="16896" spans="1:3">
      <c r="A16896" s="250">
        <v>39560</v>
      </c>
      <c r="B16896" s="74" t="s">
        <v>2780</v>
      </c>
      <c r="C16896" s="74" t="s">
        <v>435</v>
      </c>
    </row>
    <row r="16897" spans="1:3">
      <c r="A16897" s="250">
        <v>39561</v>
      </c>
      <c r="B16897" s="74" t="s">
        <v>5733</v>
      </c>
      <c r="C16897" s="74" t="s">
        <v>435</v>
      </c>
    </row>
    <row r="16898" spans="1:3">
      <c r="A16898" s="250">
        <v>39562</v>
      </c>
      <c r="B16898" s="74" t="s">
        <v>9510</v>
      </c>
      <c r="C16898" s="74" t="s">
        <v>435</v>
      </c>
    </row>
    <row r="16899" spans="1:3">
      <c r="A16899" s="250">
        <v>39563</v>
      </c>
      <c r="B16899" s="74" t="s">
        <v>9510</v>
      </c>
      <c r="C16899" s="74" t="s">
        <v>435</v>
      </c>
    </row>
    <row r="16900" spans="1:3">
      <c r="A16900" s="250">
        <v>39564</v>
      </c>
      <c r="B16900" s="74" t="s">
        <v>9511</v>
      </c>
      <c r="C16900" s="74" t="s">
        <v>435</v>
      </c>
    </row>
    <row r="16901" spans="1:3">
      <c r="A16901" s="250">
        <v>39565</v>
      </c>
      <c r="B16901" s="74" t="s">
        <v>9512</v>
      </c>
      <c r="C16901" s="74" t="s">
        <v>435</v>
      </c>
    </row>
    <row r="16902" spans="1:3">
      <c r="A16902" s="250">
        <v>39566</v>
      </c>
      <c r="B16902" s="74" t="s">
        <v>9511</v>
      </c>
      <c r="C16902" s="74" t="s">
        <v>435</v>
      </c>
    </row>
    <row r="16903" spans="1:3">
      <c r="A16903" s="250">
        <v>39567</v>
      </c>
      <c r="B16903" s="74" t="s">
        <v>9513</v>
      </c>
      <c r="C16903" s="74" t="s">
        <v>435</v>
      </c>
    </row>
    <row r="16904" spans="1:3">
      <c r="A16904" s="250">
        <v>39568</v>
      </c>
      <c r="B16904" s="74" t="s">
        <v>9513</v>
      </c>
      <c r="C16904" s="74" t="s">
        <v>435</v>
      </c>
    </row>
    <row r="16905" spans="1:3">
      <c r="A16905" s="250">
        <v>39569</v>
      </c>
      <c r="B16905" s="74" t="s">
        <v>9513</v>
      </c>
      <c r="C16905" s="74" t="s">
        <v>435</v>
      </c>
    </row>
    <row r="16906" spans="1:3">
      <c r="A16906" s="250">
        <v>39571</v>
      </c>
      <c r="B16906" s="74" t="s">
        <v>9514</v>
      </c>
      <c r="C16906" s="74" t="s">
        <v>435</v>
      </c>
    </row>
    <row r="16907" spans="1:3">
      <c r="A16907" s="250">
        <v>39572</v>
      </c>
      <c r="B16907" s="74" t="s">
        <v>9515</v>
      </c>
      <c r="C16907" s="74" t="s">
        <v>435</v>
      </c>
    </row>
    <row r="16908" spans="1:3">
      <c r="A16908" s="250">
        <v>39573</v>
      </c>
      <c r="B16908" s="74" t="s">
        <v>9516</v>
      </c>
      <c r="C16908" s="74" t="s">
        <v>435</v>
      </c>
    </row>
    <row r="16909" spans="1:3">
      <c r="A16909" s="250">
        <v>39574</v>
      </c>
      <c r="B16909" s="74" t="s">
        <v>9517</v>
      </c>
      <c r="C16909" s="74" t="s">
        <v>435</v>
      </c>
    </row>
    <row r="16910" spans="1:3">
      <c r="A16910" s="250">
        <v>39576</v>
      </c>
      <c r="B16910" s="74" t="s">
        <v>9518</v>
      </c>
      <c r="C16910" s="74" t="s">
        <v>435</v>
      </c>
    </row>
    <row r="16911" spans="1:3">
      <c r="A16911" s="250">
        <v>39577</v>
      </c>
      <c r="B16911" s="74" t="s">
        <v>9519</v>
      </c>
      <c r="C16911" s="74" t="s">
        <v>435</v>
      </c>
    </row>
    <row r="16912" spans="1:3">
      <c r="A16912" s="250">
        <v>39581</v>
      </c>
      <c r="B16912" s="74" t="s">
        <v>9513</v>
      </c>
      <c r="C16912" s="74" t="s">
        <v>435</v>
      </c>
    </row>
    <row r="16913" spans="1:3">
      <c r="A16913" s="250">
        <v>39595</v>
      </c>
      <c r="B16913" s="74" t="s">
        <v>9513</v>
      </c>
      <c r="C16913" s="74" t="s">
        <v>435</v>
      </c>
    </row>
    <row r="16914" spans="1:3">
      <c r="A16914" s="250">
        <v>39601</v>
      </c>
      <c r="B16914" s="74" t="s">
        <v>2813</v>
      </c>
      <c r="C16914" s="74" t="s">
        <v>435</v>
      </c>
    </row>
    <row r="16915" spans="1:3">
      <c r="A16915" s="250">
        <v>39602</v>
      </c>
      <c r="B16915" s="74" t="s">
        <v>2813</v>
      </c>
      <c r="C16915" s="74" t="s">
        <v>435</v>
      </c>
    </row>
    <row r="16916" spans="1:3">
      <c r="A16916" s="250">
        <v>39603</v>
      </c>
      <c r="B16916" s="74" t="s">
        <v>2813</v>
      </c>
      <c r="C16916" s="74" t="s">
        <v>435</v>
      </c>
    </row>
    <row r="16917" spans="1:3">
      <c r="A16917" s="250">
        <v>39629</v>
      </c>
      <c r="B16917" s="74" t="s">
        <v>9520</v>
      </c>
      <c r="C16917" s="74" t="s">
        <v>435</v>
      </c>
    </row>
    <row r="16918" spans="1:3">
      <c r="A16918" s="250">
        <v>39630</v>
      </c>
      <c r="B16918" s="74" t="s">
        <v>9521</v>
      </c>
      <c r="C16918" s="74" t="s">
        <v>435</v>
      </c>
    </row>
    <row r="16919" spans="1:3">
      <c r="A16919" s="250">
        <v>39631</v>
      </c>
      <c r="B16919" s="74" t="s">
        <v>5518</v>
      </c>
      <c r="C16919" s="74" t="s">
        <v>435</v>
      </c>
    </row>
    <row r="16920" spans="1:3">
      <c r="A16920" s="250">
        <v>39632</v>
      </c>
      <c r="B16920" s="74" t="s">
        <v>9522</v>
      </c>
      <c r="C16920" s="74" t="s">
        <v>435</v>
      </c>
    </row>
    <row r="16921" spans="1:3">
      <c r="A16921" s="250">
        <v>39633</v>
      </c>
      <c r="B16921" s="74" t="s">
        <v>4588</v>
      </c>
      <c r="C16921" s="74" t="s">
        <v>435</v>
      </c>
    </row>
    <row r="16922" spans="1:3">
      <c r="A16922" s="250">
        <v>39635</v>
      </c>
      <c r="B16922" s="74" t="s">
        <v>9523</v>
      </c>
      <c r="C16922" s="74" t="s">
        <v>435</v>
      </c>
    </row>
    <row r="16923" spans="1:3">
      <c r="A16923" s="250">
        <v>39638</v>
      </c>
      <c r="B16923" s="74" t="s">
        <v>9524</v>
      </c>
      <c r="C16923" s="74" t="s">
        <v>435</v>
      </c>
    </row>
    <row r="16924" spans="1:3">
      <c r="A16924" s="250">
        <v>39641</v>
      </c>
      <c r="B16924" s="74" t="s">
        <v>9525</v>
      </c>
      <c r="C16924" s="74" t="s">
        <v>435</v>
      </c>
    </row>
    <row r="16925" spans="1:3">
      <c r="A16925" s="250">
        <v>39643</v>
      </c>
      <c r="B16925" s="74" t="s">
        <v>9526</v>
      </c>
      <c r="C16925" s="74" t="s">
        <v>435</v>
      </c>
    </row>
    <row r="16926" spans="1:3">
      <c r="A16926" s="250">
        <v>39645</v>
      </c>
      <c r="B16926" s="74" t="s">
        <v>1701</v>
      </c>
      <c r="C16926" s="74" t="s">
        <v>435</v>
      </c>
    </row>
    <row r="16927" spans="1:3">
      <c r="A16927" s="250">
        <v>39647</v>
      </c>
      <c r="B16927" s="74" t="s">
        <v>9527</v>
      </c>
      <c r="C16927" s="74" t="s">
        <v>435</v>
      </c>
    </row>
    <row r="16928" spans="1:3">
      <c r="A16928" s="250">
        <v>39648</v>
      </c>
      <c r="B16928" s="74" t="s">
        <v>9528</v>
      </c>
      <c r="C16928" s="74" t="s">
        <v>435</v>
      </c>
    </row>
    <row r="16929" spans="1:3">
      <c r="A16929" s="250">
        <v>39649</v>
      </c>
      <c r="B16929" s="74" t="s">
        <v>9528</v>
      </c>
      <c r="C16929" s="74" t="s">
        <v>435</v>
      </c>
    </row>
    <row r="16930" spans="1:3">
      <c r="A16930" s="250">
        <v>39652</v>
      </c>
      <c r="B16930" s="74" t="s">
        <v>2398</v>
      </c>
      <c r="C16930" s="74" t="s">
        <v>435</v>
      </c>
    </row>
    <row r="16931" spans="1:3">
      <c r="A16931" s="250">
        <v>39653</v>
      </c>
      <c r="B16931" s="74" t="s">
        <v>4488</v>
      </c>
      <c r="C16931" s="74" t="s">
        <v>435</v>
      </c>
    </row>
    <row r="16932" spans="1:3">
      <c r="A16932" s="250">
        <v>39654</v>
      </c>
      <c r="B16932" s="74" t="s">
        <v>1639</v>
      </c>
      <c r="C16932" s="74" t="s">
        <v>435</v>
      </c>
    </row>
    <row r="16933" spans="1:3">
      <c r="A16933" s="250">
        <v>39656</v>
      </c>
      <c r="B16933" s="74" t="s">
        <v>9529</v>
      </c>
      <c r="C16933" s="74" t="s">
        <v>435</v>
      </c>
    </row>
    <row r="16934" spans="1:3">
      <c r="A16934" s="250">
        <v>39657</v>
      </c>
      <c r="B16934" s="74" t="s">
        <v>9530</v>
      </c>
      <c r="C16934" s="74" t="s">
        <v>435</v>
      </c>
    </row>
    <row r="16935" spans="1:3">
      <c r="A16935" s="250">
        <v>39661</v>
      </c>
      <c r="B16935" s="74" t="s">
        <v>9531</v>
      </c>
      <c r="C16935" s="74" t="s">
        <v>435</v>
      </c>
    </row>
    <row r="16936" spans="1:3">
      <c r="A16936" s="250">
        <v>39662</v>
      </c>
      <c r="B16936" s="74" t="s">
        <v>9532</v>
      </c>
      <c r="C16936" s="74" t="s">
        <v>435</v>
      </c>
    </row>
    <row r="16937" spans="1:3">
      <c r="A16937" s="250">
        <v>39663</v>
      </c>
      <c r="B16937" s="74" t="s">
        <v>3735</v>
      </c>
      <c r="C16937" s="74" t="s">
        <v>435</v>
      </c>
    </row>
    <row r="16938" spans="1:3">
      <c r="A16938" s="250">
        <v>39664</v>
      </c>
      <c r="B16938" s="74" t="s">
        <v>9533</v>
      </c>
      <c r="C16938" s="74" t="s">
        <v>435</v>
      </c>
    </row>
    <row r="16939" spans="1:3">
      <c r="A16939" s="250">
        <v>39665</v>
      </c>
      <c r="B16939" s="74" t="s">
        <v>9534</v>
      </c>
      <c r="C16939" s="74" t="s">
        <v>435</v>
      </c>
    </row>
    <row r="16940" spans="1:3">
      <c r="A16940" s="250">
        <v>39666</v>
      </c>
      <c r="B16940" s="74" t="s">
        <v>2335</v>
      </c>
      <c r="C16940" s="74" t="s">
        <v>435</v>
      </c>
    </row>
    <row r="16941" spans="1:3">
      <c r="A16941" s="250">
        <v>39667</v>
      </c>
      <c r="B16941" s="74" t="s">
        <v>9535</v>
      </c>
      <c r="C16941" s="74" t="s">
        <v>435</v>
      </c>
    </row>
    <row r="16942" spans="1:3">
      <c r="A16942" s="250">
        <v>39668</v>
      </c>
      <c r="B16942" s="74" t="s">
        <v>9536</v>
      </c>
      <c r="C16942" s="74" t="s">
        <v>435</v>
      </c>
    </row>
    <row r="16943" spans="1:3">
      <c r="A16943" s="250">
        <v>39669</v>
      </c>
      <c r="B16943" s="74" t="s">
        <v>804</v>
      </c>
      <c r="C16943" s="74" t="s">
        <v>435</v>
      </c>
    </row>
    <row r="16944" spans="1:3">
      <c r="A16944" s="250">
        <v>39701</v>
      </c>
      <c r="B16944" s="74" t="s">
        <v>2376</v>
      </c>
      <c r="C16944" s="74" t="s">
        <v>435</v>
      </c>
    </row>
    <row r="16945" spans="1:3">
      <c r="A16945" s="250">
        <v>39702</v>
      </c>
      <c r="B16945" s="74" t="s">
        <v>2376</v>
      </c>
      <c r="C16945" s="74" t="s">
        <v>435</v>
      </c>
    </row>
    <row r="16946" spans="1:3">
      <c r="A16946" s="250">
        <v>39703</v>
      </c>
      <c r="B16946" s="74" t="s">
        <v>2376</v>
      </c>
      <c r="C16946" s="74" t="s">
        <v>435</v>
      </c>
    </row>
    <row r="16947" spans="1:3">
      <c r="A16947" s="250">
        <v>39704</v>
      </c>
      <c r="B16947" s="74" t="s">
        <v>2376</v>
      </c>
      <c r="C16947" s="74" t="s">
        <v>435</v>
      </c>
    </row>
    <row r="16948" spans="1:3">
      <c r="A16948" s="250">
        <v>39705</v>
      </c>
      <c r="B16948" s="74" t="s">
        <v>2376</v>
      </c>
      <c r="C16948" s="74" t="s">
        <v>435</v>
      </c>
    </row>
    <row r="16949" spans="1:3">
      <c r="A16949" s="250">
        <v>39710</v>
      </c>
      <c r="B16949" s="74" t="s">
        <v>2376</v>
      </c>
      <c r="C16949" s="74" t="s">
        <v>435</v>
      </c>
    </row>
    <row r="16950" spans="1:3">
      <c r="A16950" s="250">
        <v>39730</v>
      </c>
      <c r="B16950" s="74" t="s">
        <v>5648</v>
      </c>
      <c r="C16950" s="74" t="s">
        <v>435</v>
      </c>
    </row>
    <row r="16951" spans="1:3">
      <c r="A16951" s="250">
        <v>39735</v>
      </c>
      <c r="B16951" s="74" t="s">
        <v>9537</v>
      </c>
      <c r="C16951" s="74" t="s">
        <v>435</v>
      </c>
    </row>
    <row r="16952" spans="1:3">
      <c r="A16952" s="250">
        <v>39736</v>
      </c>
      <c r="B16952" s="74" t="s">
        <v>9538</v>
      </c>
      <c r="C16952" s="74" t="s">
        <v>435</v>
      </c>
    </row>
    <row r="16953" spans="1:3">
      <c r="A16953" s="250">
        <v>39737</v>
      </c>
      <c r="B16953" s="74" t="s">
        <v>9539</v>
      </c>
      <c r="C16953" s="74" t="s">
        <v>435</v>
      </c>
    </row>
    <row r="16954" spans="1:3">
      <c r="A16954" s="250">
        <v>39739</v>
      </c>
      <c r="B16954" s="74" t="s">
        <v>1572</v>
      </c>
      <c r="C16954" s="74" t="s">
        <v>435</v>
      </c>
    </row>
    <row r="16955" spans="1:3">
      <c r="A16955" s="250">
        <v>39740</v>
      </c>
      <c r="B16955" s="74" t="s">
        <v>3759</v>
      </c>
      <c r="C16955" s="74" t="s">
        <v>435</v>
      </c>
    </row>
    <row r="16956" spans="1:3">
      <c r="A16956" s="250">
        <v>39741</v>
      </c>
      <c r="B16956" s="74" t="s">
        <v>9540</v>
      </c>
      <c r="C16956" s="74" t="s">
        <v>435</v>
      </c>
    </row>
    <row r="16957" spans="1:3">
      <c r="A16957" s="250">
        <v>39743</v>
      </c>
      <c r="B16957" s="74" t="s">
        <v>6935</v>
      </c>
      <c r="C16957" s="74" t="s">
        <v>435</v>
      </c>
    </row>
    <row r="16958" spans="1:3">
      <c r="A16958" s="250">
        <v>39744</v>
      </c>
      <c r="B16958" s="74" t="s">
        <v>9541</v>
      </c>
      <c r="C16958" s="74" t="s">
        <v>435</v>
      </c>
    </row>
    <row r="16959" spans="1:3">
      <c r="A16959" s="250">
        <v>39745</v>
      </c>
      <c r="B16959" s="74" t="s">
        <v>9542</v>
      </c>
      <c r="C16959" s="74" t="s">
        <v>435</v>
      </c>
    </row>
    <row r="16960" spans="1:3">
      <c r="A16960" s="250">
        <v>39746</v>
      </c>
      <c r="B16960" s="74" t="s">
        <v>844</v>
      </c>
      <c r="C16960" s="74" t="s">
        <v>435</v>
      </c>
    </row>
    <row r="16961" spans="1:3">
      <c r="A16961" s="250">
        <v>39747</v>
      </c>
      <c r="B16961" s="74" t="s">
        <v>9543</v>
      </c>
      <c r="C16961" s="74" t="s">
        <v>435</v>
      </c>
    </row>
    <row r="16962" spans="1:3">
      <c r="A16962" s="250">
        <v>39750</v>
      </c>
      <c r="B16962" s="74" t="s">
        <v>6806</v>
      </c>
      <c r="C16962" s="74" t="s">
        <v>435</v>
      </c>
    </row>
    <row r="16963" spans="1:3">
      <c r="A16963" s="250">
        <v>39751</v>
      </c>
      <c r="B16963" s="74" t="s">
        <v>9544</v>
      </c>
      <c r="C16963" s="74" t="s">
        <v>435</v>
      </c>
    </row>
    <row r="16964" spans="1:3">
      <c r="A16964" s="250">
        <v>39752</v>
      </c>
      <c r="B16964" s="74" t="s">
        <v>9545</v>
      </c>
      <c r="C16964" s="74" t="s">
        <v>435</v>
      </c>
    </row>
    <row r="16965" spans="1:3">
      <c r="A16965" s="250">
        <v>39753</v>
      </c>
      <c r="B16965" s="74" t="s">
        <v>9546</v>
      </c>
      <c r="C16965" s="74" t="s">
        <v>435</v>
      </c>
    </row>
    <row r="16966" spans="1:3">
      <c r="A16966" s="250">
        <v>39754</v>
      </c>
      <c r="B16966" s="74" t="s">
        <v>1838</v>
      </c>
      <c r="C16966" s="74" t="s">
        <v>435</v>
      </c>
    </row>
    <row r="16967" spans="1:3">
      <c r="A16967" s="250">
        <v>39755</v>
      </c>
      <c r="B16967" s="74" t="s">
        <v>9547</v>
      </c>
      <c r="C16967" s="74" t="s">
        <v>435</v>
      </c>
    </row>
    <row r="16968" spans="1:3">
      <c r="A16968" s="250">
        <v>39756</v>
      </c>
      <c r="B16968" s="74" t="s">
        <v>9548</v>
      </c>
      <c r="C16968" s="74" t="s">
        <v>435</v>
      </c>
    </row>
    <row r="16969" spans="1:3">
      <c r="A16969" s="250">
        <v>39759</v>
      </c>
      <c r="B16969" s="74" t="s">
        <v>9549</v>
      </c>
      <c r="C16969" s="74" t="s">
        <v>435</v>
      </c>
    </row>
    <row r="16970" spans="1:3">
      <c r="A16970" s="250">
        <v>39760</v>
      </c>
      <c r="B16970" s="74" t="s">
        <v>9549</v>
      </c>
      <c r="C16970" s="74" t="s">
        <v>435</v>
      </c>
    </row>
    <row r="16971" spans="1:3">
      <c r="A16971" s="250">
        <v>39762</v>
      </c>
      <c r="B16971" s="74" t="s">
        <v>9550</v>
      </c>
      <c r="C16971" s="74" t="s">
        <v>435</v>
      </c>
    </row>
    <row r="16972" spans="1:3">
      <c r="A16972" s="250">
        <v>39766</v>
      </c>
      <c r="B16972" s="74" t="s">
        <v>9551</v>
      </c>
      <c r="C16972" s="74" t="s">
        <v>435</v>
      </c>
    </row>
    <row r="16973" spans="1:3">
      <c r="A16973" s="250">
        <v>39767</v>
      </c>
      <c r="B16973" s="74" t="s">
        <v>9039</v>
      </c>
      <c r="C16973" s="74" t="s">
        <v>435</v>
      </c>
    </row>
    <row r="16974" spans="1:3">
      <c r="A16974" s="250">
        <v>39769</v>
      </c>
      <c r="B16974" s="74" t="s">
        <v>9552</v>
      </c>
      <c r="C16974" s="74" t="s">
        <v>435</v>
      </c>
    </row>
    <row r="16975" spans="1:3">
      <c r="A16975" s="250">
        <v>39771</v>
      </c>
      <c r="B16975" s="74" t="s">
        <v>9553</v>
      </c>
      <c r="C16975" s="74" t="s">
        <v>435</v>
      </c>
    </row>
    <row r="16976" spans="1:3">
      <c r="A16976" s="250">
        <v>39772</v>
      </c>
      <c r="B16976" s="74" t="s">
        <v>9554</v>
      </c>
      <c r="C16976" s="74" t="s">
        <v>435</v>
      </c>
    </row>
    <row r="16977" spans="1:3">
      <c r="A16977" s="250">
        <v>39773</v>
      </c>
      <c r="B16977" s="74" t="s">
        <v>2720</v>
      </c>
      <c r="C16977" s="74" t="s">
        <v>435</v>
      </c>
    </row>
    <row r="16978" spans="1:3">
      <c r="A16978" s="250">
        <v>39776</v>
      </c>
      <c r="B16978" s="74" t="s">
        <v>4660</v>
      </c>
      <c r="C16978" s="74" t="s">
        <v>435</v>
      </c>
    </row>
    <row r="16979" spans="1:3">
      <c r="A16979" s="250">
        <v>39813</v>
      </c>
      <c r="B16979" s="74" t="s">
        <v>984</v>
      </c>
      <c r="C16979" s="74" t="s">
        <v>421</v>
      </c>
    </row>
    <row r="16980" spans="1:3">
      <c r="A16980" s="250">
        <v>39815</v>
      </c>
      <c r="B16980" s="74" t="s">
        <v>9555</v>
      </c>
      <c r="C16980" s="74" t="s">
        <v>421</v>
      </c>
    </row>
    <row r="16981" spans="1:3">
      <c r="A16981" s="250">
        <v>39817</v>
      </c>
      <c r="B16981" s="74" t="s">
        <v>3593</v>
      </c>
      <c r="C16981" s="74" t="s">
        <v>421</v>
      </c>
    </row>
    <row r="16982" spans="1:3">
      <c r="A16982" s="250">
        <v>39818</v>
      </c>
      <c r="B16982" s="74" t="s">
        <v>3593</v>
      </c>
      <c r="C16982" s="74" t="s">
        <v>421</v>
      </c>
    </row>
    <row r="16983" spans="1:3">
      <c r="A16983" s="250">
        <v>39819</v>
      </c>
      <c r="B16983" s="74" t="s">
        <v>3593</v>
      </c>
      <c r="C16983" s="74" t="s">
        <v>421</v>
      </c>
    </row>
    <row r="16984" spans="1:3">
      <c r="A16984" s="250">
        <v>39823</v>
      </c>
      <c r="B16984" s="74" t="s">
        <v>9556</v>
      </c>
      <c r="C16984" s="74" t="s">
        <v>421</v>
      </c>
    </row>
    <row r="16985" spans="1:3">
      <c r="A16985" s="250">
        <v>39824</v>
      </c>
      <c r="B16985" s="74" t="s">
        <v>7830</v>
      </c>
      <c r="C16985" s="74" t="s">
        <v>421</v>
      </c>
    </row>
    <row r="16986" spans="1:3">
      <c r="A16986" s="250">
        <v>39825</v>
      </c>
      <c r="B16986" s="74" t="s">
        <v>9557</v>
      </c>
      <c r="C16986" s="74" t="s">
        <v>421</v>
      </c>
    </row>
    <row r="16987" spans="1:3">
      <c r="A16987" s="250">
        <v>39826</v>
      </c>
      <c r="B16987" s="74" t="s">
        <v>9558</v>
      </c>
      <c r="C16987" s="74" t="s">
        <v>421</v>
      </c>
    </row>
    <row r="16988" spans="1:3">
      <c r="A16988" s="250">
        <v>39827</v>
      </c>
      <c r="B16988" s="74" t="s">
        <v>3034</v>
      </c>
      <c r="C16988" s="74" t="s">
        <v>421</v>
      </c>
    </row>
    <row r="16989" spans="1:3">
      <c r="A16989" s="250">
        <v>39828</v>
      </c>
      <c r="B16989" s="74" t="s">
        <v>3034</v>
      </c>
      <c r="C16989" s="74" t="s">
        <v>421</v>
      </c>
    </row>
    <row r="16990" spans="1:3">
      <c r="A16990" s="250">
        <v>39829</v>
      </c>
      <c r="B16990" s="74" t="s">
        <v>9559</v>
      </c>
      <c r="C16990" s="74" t="s">
        <v>421</v>
      </c>
    </row>
    <row r="16991" spans="1:3">
      <c r="A16991" s="250">
        <v>39832</v>
      </c>
      <c r="B16991" s="74" t="s">
        <v>9560</v>
      </c>
      <c r="C16991" s="74" t="s">
        <v>421</v>
      </c>
    </row>
    <row r="16992" spans="1:3">
      <c r="A16992" s="250">
        <v>39834</v>
      </c>
      <c r="B16992" s="74" t="s">
        <v>2927</v>
      </c>
      <c r="C16992" s="74" t="s">
        <v>421</v>
      </c>
    </row>
    <row r="16993" spans="1:3">
      <c r="A16993" s="250">
        <v>39836</v>
      </c>
      <c r="B16993" s="74" t="s">
        <v>8461</v>
      </c>
      <c r="C16993" s="74" t="s">
        <v>421</v>
      </c>
    </row>
    <row r="16994" spans="1:3">
      <c r="A16994" s="250">
        <v>39837</v>
      </c>
      <c r="B16994" s="74" t="s">
        <v>9561</v>
      </c>
      <c r="C16994" s="74" t="s">
        <v>421</v>
      </c>
    </row>
    <row r="16995" spans="1:3">
      <c r="A16995" s="250">
        <v>39840</v>
      </c>
      <c r="B16995" s="74" t="s">
        <v>9562</v>
      </c>
      <c r="C16995" s="74" t="s">
        <v>421</v>
      </c>
    </row>
    <row r="16996" spans="1:3">
      <c r="A16996" s="250">
        <v>39841</v>
      </c>
      <c r="B16996" s="74" t="s">
        <v>5154</v>
      </c>
      <c r="C16996" s="74" t="s">
        <v>421</v>
      </c>
    </row>
    <row r="16997" spans="1:3">
      <c r="A16997" s="250">
        <v>39842</v>
      </c>
      <c r="B16997" s="74" t="s">
        <v>4101</v>
      </c>
      <c r="C16997" s="74" t="s">
        <v>421</v>
      </c>
    </row>
    <row r="16998" spans="1:3">
      <c r="A16998" s="250">
        <v>39845</v>
      </c>
      <c r="B16998" s="74" t="s">
        <v>9563</v>
      </c>
      <c r="C16998" s="74" t="s">
        <v>421</v>
      </c>
    </row>
    <row r="16999" spans="1:3">
      <c r="A16999" s="250">
        <v>39846</v>
      </c>
      <c r="B16999" s="74" t="s">
        <v>2567</v>
      </c>
      <c r="C16999" s="74" t="s">
        <v>421</v>
      </c>
    </row>
    <row r="17000" spans="1:3">
      <c r="A17000" s="250">
        <v>39851</v>
      </c>
      <c r="B17000" s="74" t="s">
        <v>9564</v>
      </c>
      <c r="C17000" s="74" t="s">
        <v>421</v>
      </c>
    </row>
    <row r="17001" spans="1:3">
      <c r="A17001" s="250">
        <v>39852</v>
      </c>
      <c r="B17001" s="74" t="s">
        <v>9565</v>
      </c>
      <c r="C17001" s="74" t="s">
        <v>421</v>
      </c>
    </row>
    <row r="17002" spans="1:3">
      <c r="A17002" s="250">
        <v>39854</v>
      </c>
      <c r="B17002" s="74" t="s">
        <v>813</v>
      </c>
      <c r="C17002" s="74" t="s">
        <v>421</v>
      </c>
    </row>
    <row r="17003" spans="1:3">
      <c r="A17003" s="250">
        <v>39859</v>
      </c>
      <c r="B17003" s="74" t="s">
        <v>9250</v>
      </c>
      <c r="C17003" s="74" t="s">
        <v>421</v>
      </c>
    </row>
    <row r="17004" spans="1:3">
      <c r="A17004" s="250">
        <v>39861</v>
      </c>
      <c r="B17004" s="74" t="s">
        <v>9566</v>
      </c>
      <c r="C17004" s="74" t="s">
        <v>421</v>
      </c>
    </row>
    <row r="17005" spans="1:3">
      <c r="A17005" s="250">
        <v>39862</v>
      </c>
      <c r="B17005" s="74" t="s">
        <v>9567</v>
      </c>
      <c r="C17005" s="74" t="s">
        <v>421</v>
      </c>
    </row>
    <row r="17006" spans="1:3">
      <c r="A17006" s="250">
        <v>39866</v>
      </c>
      <c r="B17006" s="74" t="s">
        <v>1918</v>
      </c>
      <c r="C17006" s="74" t="s">
        <v>421</v>
      </c>
    </row>
    <row r="17007" spans="1:3">
      <c r="A17007" s="250">
        <v>39867</v>
      </c>
      <c r="B17007" s="74" t="s">
        <v>2086</v>
      </c>
      <c r="C17007" s="74" t="s">
        <v>421</v>
      </c>
    </row>
    <row r="17008" spans="1:3">
      <c r="A17008" s="250">
        <v>39870</v>
      </c>
      <c r="B17008" s="74" t="s">
        <v>973</v>
      </c>
      <c r="C17008" s="74" t="s">
        <v>421</v>
      </c>
    </row>
    <row r="17009" spans="1:3">
      <c r="A17009" s="250">
        <v>39877</v>
      </c>
      <c r="B17009" s="74" t="s">
        <v>6290</v>
      </c>
      <c r="C17009" s="74" t="s">
        <v>421</v>
      </c>
    </row>
    <row r="17010" spans="1:3">
      <c r="A17010" s="250">
        <v>39885</v>
      </c>
      <c r="B17010" s="74" t="s">
        <v>9568</v>
      </c>
      <c r="C17010" s="74" t="s">
        <v>421</v>
      </c>
    </row>
    <row r="17011" spans="1:3">
      <c r="A17011" s="250">
        <v>39886</v>
      </c>
      <c r="B17011" s="74" t="s">
        <v>9569</v>
      </c>
      <c r="C17011" s="74" t="s">
        <v>421</v>
      </c>
    </row>
    <row r="17012" spans="1:3">
      <c r="A17012" s="250">
        <v>39897</v>
      </c>
      <c r="B17012" s="74" t="s">
        <v>9570</v>
      </c>
      <c r="C17012" s="74" t="s">
        <v>421</v>
      </c>
    </row>
    <row r="17013" spans="1:3">
      <c r="A17013" s="250">
        <v>39901</v>
      </c>
      <c r="B17013" s="74" t="s">
        <v>3895</v>
      </c>
      <c r="C17013" s="74" t="s">
        <v>421</v>
      </c>
    </row>
    <row r="17014" spans="1:3">
      <c r="A17014" s="250">
        <v>40003</v>
      </c>
      <c r="B17014" s="74" t="s">
        <v>8320</v>
      </c>
      <c r="C17014" s="74" t="s">
        <v>428</v>
      </c>
    </row>
    <row r="17015" spans="1:3">
      <c r="A17015" s="250">
        <v>40004</v>
      </c>
      <c r="B17015" s="74" t="s">
        <v>9571</v>
      </c>
      <c r="C17015" s="74" t="s">
        <v>428</v>
      </c>
    </row>
    <row r="17016" spans="1:3">
      <c r="A17016" s="250">
        <v>40006</v>
      </c>
      <c r="B17016" s="74" t="s">
        <v>783</v>
      </c>
      <c r="C17016" s="74" t="s">
        <v>428</v>
      </c>
    </row>
    <row r="17017" spans="1:3">
      <c r="A17017" s="250">
        <v>40007</v>
      </c>
      <c r="B17017" s="74" t="s">
        <v>1247</v>
      </c>
      <c r="C17017" s="74" t="s">
        <v>428</v>
      </c>
    </row>
    <row r="17018" spans="1:3">
      <c r="A17018" s="250">
        <v>40008</v>
      </c>
      <c r="B17018" s="74" t="s">
        <v>1933</v>
      </c>
      <c r="C17018" s="74" t="s">
        <v>428</v>
      </c>
    </row>
    <row r="17019" spans="1:3">
      <c r="A17019" s="250">
        <v>40009</v>
      </c>
      <c r="B17019" s="74" t="s">
        <v>9572</v>
      </c>
      <c r="C17019" s="74" t="s">
        <v>428</v>
      </c>
    </row>
    <row r="17020" spans="1:3">
      <c r="A17020" s="250">
        <v>40010</v>
      </c>
      <c r="B17020" s="74" t="s">
        <v>9573</v>
      </c>
      <c r="C17020" s="74" t="s">
        <v>428</v>
      </c>
    </row>
    <row r="17021" spans="1:3">
      <c r="A17021" s="250">
        <v>40011</v>
      </c>
      <c r="B17021" s="74" t="s">
        <v>9574</v>
      </c>
      <c r="C17021" s="74" t="s">
        <v>428</v>
      </c>
    </row>
    <row r="17022" spans="1:3">
      <c r="A17022" s="250">
        <v>40012</v>
      </c>
      <c r="B17022" s="74" t="s">
        <v>1984</v>
      </c>
      <c r="C17022" s="74" t="s">
        <v>428</v>
      </c>
    </row>
    <row r="17023" spans="1:3">
      <c r="A17023" s="250">
        <v>40013</v>
      </c>
      <c r="B17023" s="74" t="s">
        <v>9575</v>
      </c>
      <c r="C17023" s="74" t="s">
        <v>428</v>
      </c>
    </row>
    <row r="17024" spans="1:3">
      <c r="A17024" s="250">
        <v>40014</v>
      </c>
      <c r="B17024" s="74" t="s">
        <v>9576</v>
      </c>
      <c r="C17024" s="74" t="s">
        <v>428</v>
      </c>
    </row>
    <row r="17025" spans="1:3">
      <c r="A17025" s="250">
        <v>40018</v>
      </c>
      <c r="B17025" s="74" t="s">
        <v>9577</v>
      </c>
      <c r="C17025" s="74" t="s">
        <v>428</v>
      </c>
    </row>
    <row r="17026" spans="1:3">
      <c r="A17026" s="250">
        <v>40019</v>
      </c>
      <c r="B17026" s="74" t="s">
        <v>9578</v>
      </c>
      <c r="C17026" s="74" t="s">
        <v>428</v>
      </c>
    </row>
    <row r="17027" spans="1:3">
      <c r="A17027" s="250">
        <v>40020</v>
      </c>
      <c r="B17027" s="74" t="s">
        <v>1694</v>
      </c>
      <c r="C17027" s="74" t="s">
        <v>428</v>
      </c>
    </row>
    <row r="17028" spans="1:3">
      <c r="A17028" s="250">
        <v>40022</v>
      </c>
      <c r="B17028" s="74" t="s">
        <v>9579</v>
      </c>
      <c r="C17028" s="74" t="s">
        <v>428</v>
      </c>
    </row>
    <row r="17029" spans="1:3">
      <c r="A17029" s="250">
        <v>40023</v>
      </c>
      <c r="B17029" s="74" t="s">
        <v>9580</v>
      </c>
      <c r="C17029" s="74" t="s">
        <v>428</v>
      </c>
    </row>
    <row r="17030" spans="1:3">
      <c r="A17030" s="250">
        <v>40025</v>
      </c>
      <c r="B17030" s="74" t="s">
        <v>9581</v>
      </c>
      <c r="C17030" s="74" t="s">
        <v>428</v>
      </c>
    </row>
    <row r="17031" spans="1:3">
      <c r="A17031" s="250">
        <v>40026</v>
      </c>
      <c r="B17031" s="74" t="s">
        <v>592</v>
      </c>
      <c r="C17031" s="74" t="s">
        <v>428</v>
      </c>
    </row>
    <row r="17032" spans="1:3">
      <c r="A17032" s="250">
        <v>40027</v>
      </c>
      <c r="B17032" s="74" t="s">
        <v>9582</v>
      </c>
      <c r="C17032" s="74" t="s">
        <v>428</v>
      </c>
    </row>
    <row r="17033" spans="1:3">
      <c r="A17033" s="250">
        <v>40031</v>
      </c>
      <c r="B17033" s="74" t="s">
        <v>7447</v>
      </c>
      <c r="C17033" s="74" t="s">
        <v>428</v>
      </c>
    </row>
    <row r="17034" spans="1:3">
      <c r="A17034" s="250">
        <v>40032</v>
      </c>
      <c r="B17034" s="74" t="s">
        <v>7447</v>
      </c>
      <c r="C17034" s="74" t="s">
        <v>428</v>
      </c>
    </row>
    <row r="17035" spans="1:3">
      <c r="A17035" s="250">
        <v>40033</v>
      </c>
      <c r="B17035" s="74" t="s">
        <v>1280</v>
      </c>
      <c r="C17035" s="74" t="s">
        <v>428</v>
      </c>
    </row>
    <row r="17036" spans="1:3">
      <c r="A17036" s="250">
        <v>40036</v>
      </c>
      <c r="B17036" s="74" t="s">
        <v>3717</v>
      </c>
      <c r="C17036" s="74" t="s">
        <v>428</v>
      </c>
    </row>
    <row r="17037" spans="1:3">
      <c r="A17037" s="250">
        <v>40037</v>
      </c>
      <c r="B17037" s="74" t="s">
        <v>4358</v>
      </c>
      <c r="C17037" s="74" t="s">
        <v>428</v>
      </c>
    </row>
    <row r="17038" spans="1:3">
      <c r="A17038" s="250">
        <v>40040</v>
      </c>
      <c r="B17038" s="74" t="s">
        <v>9583</v>
      </c>
      <c r="C17038" s="74" t="s">
        <v>428</v>
      </c>
    </row>
    <row r="17039" spans="1:3">
      <c r="A17039" s="250">
        <v>40041</v>
      </c>
      <c r="B17039" s="74" t="s">
        <v>9584</v>
      </c>
      <c r="C17039" s="74" t="s">
        <v>428</v>
      </c>
    </row>
    <row r="17040" spans="1:3">
      <c r="A17040" s="250">
        <v>40045</v>
      </c>
      <c r="B17040" s="74" t="s">
        <v>927</v>
      </c>
      <c r="C17040" s="74" t="s">
        <v>428</v>
      </c>
    </row>
    <row r="17041" spans="1:3">
      <c r="A17041" s="250">
        <v>40046</v>
      </c>
      <c r="B17041" s="74" t="s">
        <v>9585</v>
      </c>
      <c r="C17041" s="74" t="s">
        <v>428</v>
      </c>
    </row>
    <row r="17042" spans="1:3">
      <c r="A17042" s="250">
        <v>40047</v>
      </c>
      <c r="B17042" s="74" t="s">
        <v>1257</v>
      </c>
      <c r="C17042" s="74" t="s">
        <v>428</v>
      </c>
    </row>
    <row r="17043" spans="1:3">
      <c r="A17043" s="250">
        <v>40048</v>
      </c>
      <c r="B17043" s="74" t="s">
        <v>5053</v>
      </c>
      <c r="C17043" s="74" t="s">
        <v>428</v>
      </c>
    </row>
    <row r="17044" spans="1:3">
      <c r="A17044" s="250">
        <v>40049</v>
      </c>
      <c r="B17044" s="74" t="s">
        <v>9586</v>
      </c>
      <c r="C17044" s="74" t="s">
        <v>428</v>
      </c>
    </row>
    <row r="17045" spans="1:3">
      <c r="A17045" s="250">
        <v>40050</v>
      </c>
      <c r="B17045" s="74" t="s">
        <v>1324</v>
      </c>
      <c r="C17045" s="74" t="s">
        <v>428</v>
      </c>
    </row>
    <row r="17046" spans="1:3">
      <c r="A17046" s="250">
        <v>40051</v>
      </c>
      <c r="B17046" s="74" t="s">
        <v>1823</v>
      </c>
      <c r="C17046" s="74" t="s">
        <v>428</v>
      </c>
    </row>
    <row r="17047" spans="1:3">
      <c r="A17047" s="250">
        <v>40052</v>
      </c>
      <c r="B17047" s="74" t="s">
        <v>5282</v>
      </c>
      <c r="C17047" s="74" t="s">
        <v>428</v>
      </c>
    </row>
    <row r="17048" spans="1:3">
      <c r="A17048" s="250">
        <v>40055</v>
      </c>
      <c r="B17048" s="74" t="s">
        <v>7210</v>
      </c>
      <c r="C17048" s="74" t="s">
        <v>428</v>
      </c>
    </row>
    <row r="17049" spans="1:3">
      <c r="A17049" s="250">
        <v>40056</v>
      </c>
      <c r="B17049" s="74" t="s">
        <v>9587</v>
      </c>
      <c r="C17049" s="74" t="s">
        <v>428</v>
      </c>
    </row>
    <row r="17050" spans="1:3">
      <c r="A17050" s="250">
        <v>40057</v>
      </c>
      <c r="B17050" s="74" t="s">
        <v>9588</v>
      </c>
      <c r="C17050" s="74" t="s">
        <v>428</v>
      </c>
    </row>
    <row r="17051" spans="1:3">
      <c r="A17051" s="250">
        <v>40058</v>
      </c>
      <c r="B17051" s="74" t="s">
        <v>4746</v>
      </c>
      <c r="C17051" s="74" t="s">
        <v>428</v>
      </c>
    </row>
    <row r="17052" spans="1:3">
      <c r="A17052" s="250">
        <v>40059</v>
      </c>
      <c r="B17052" s="74" t="s">
        <v>2079</v>
      </c>
      <c r="C17052" s="74" t="s">
        <v>428</v>
      </c>
    </row>
    <row r="17053" spans="1:3">
      <c r="A17053" s="250">
        <v>40060</v>
      </c>
      <c r="B17053" s="74" t="s">
        <v>9589</v>
      </c>
      <c r="C17053" s="74" t="s">
        <v>428</v>
      </c>
    </row>
    <row r="17054" spans="1:3">
      <c r="A17054" s="250">
        <v>40061</v>
      </c>
      <c r="B17054" s="74" t="s">
        <v>9590</v>
      </c>
      <c r="C17054" s="74" t="s">
        <v>428</v>
      </c>
    </row>
    <row r="17055" spans="1:3">
      <c r="A17055" s="250">
        <v>40062</v>
      </c>
      <c r="B17055" s="74" t="s">
        <v>1650</v>
      </c>
      <c r="C17055" s="74" t="s">
        <v>428</v>
      </c>
    </row>
    <row r="17056" spans="1:3">
      <c r="A17056" s="250">
        <v>40063</v>
      </c>
      <c r="B17056" s="74" t="s">
        <v>9591</v>
      </c>
      <c r="C17056" s="74" t="s">
        <v>428</v>
      </c>
    </row>
    <row r="17057" spans="1:3">
      <c r="A17057" s="250">
        <v>40065</v>
      </c>
      <c r="B17057" s="74" t="s">
        <v>9037</v>
      </c>
      <c r="C17057" s="74" t="s">
        <v>428</v>
      </c>
    </row>
    <row r="17058" spans="1:3">
      <c r="A17058" s="250">
        <v>40066</v>
      </c>
      <c r="B17058" s="74" t="s">
        <v>9037</v>
      </c>
      <c r="C17058" s="74" t="s">
        <v>428</v>
      </c>
    </row>
    <row r="17059" spans="1:3">
      <c r="A17059" s="250">
        <v>40067</v>
      </c>
      <c r="B17059" s="74" t="s">
        <v>5702</v>
      </c>
      <c r="C17059" s="74" t="s">
        <v>428</v>
      </c>
    </row>
    <row r="17060" spans="1:3">
      <c r="A17060" s="250">
        <v>40068</v>
      </c>
      <c r="B17060" s="74" t="s">
        <v>1149</v>
      </c>
      <c r="C17060" s="74" t="s">
        <v>428</v>
      </c>
    </row>
    <row r="17061" spans="1:3">
      <c r="A17061" s="250">
        <v>40069</v>
      </c>
      <c r="B17061" s="74" t="s">
        <v>634</v>
      </c>
      <c r="C17061" s="74" t="s">
        <v>428</v>
      </c>
    </row>
    <row r="17062" spans="1:3">
      <c r="A17062" s="250">
        <v>40070</v>
      </c>
      <c r="B17062" s="74" t="s">
        <v>9592</v>
      </c>
      <c r="C17062" s="74" t="s">
        <v>428</v>
      </c>
    </row>
    <row r="17063" spans="1:3">
      <c r="A17063" s="250">
        <v>40071</v>
      </c>
      <c r="B17063" s="74" t="s">
        <v>7516</v>
      </c>
      <c r="C17063" s="74" t="s">
        <v>428</v>
      </c>
    </row>
    <row r="17064" spans="1:3">
      <c r="A17064" s="250">
        <v>40075</v>
      </c>
      <c r="B17064" s="74" t="s">
        <v>9593</v>
      </c>
      <c r="C17064" s="74" t="s">
        <v>428</v>
      </c>
    </row>
    <row r="17065" spans="1:3">
      <c r="A17065" s="250">
        <v>40076</v>
      </c>
      <c r="B17065" s="74" t="s">
        <v>9594</v>
      </c>
      <c r="C17065" s="74" t="s">
        <v>428</v>
      </c>
    </row>
    <row r="17066" spans="1:3">
      <c r="A17066" s="250">
        <v>40077</v>
      </c>
      <c r="B17066" s="74" t="s">
        <v>1090</v>
      </c>
      <c r="C17066" s="74" t="s">
        <v>428</v>
      </c>
    </row>
    <row r="17067" spans="1:3">
      <c r="A17067" s="250">
        <v>40078</v>
      </c>
      <c r="B17067" s="74" t="s">
        <v>9595</v>
      </c>
      <c r="C17067" s="74" t="s">
        <v>428</v>
      </c>
    </row>
    <row r="17068" spans="1:3">
      <c r="A17068" s="250">
        <v>40104</v>
      </c>
      <c r="B17068" s="74" t="s">
        <v>9596</v>
      </c>
      <c r="C17068" s="74" t="s">
        <v>428</v>
      </c>
    </row>
    <row r="17069" spans="1:3">
      <c r="A17069" s="250">
        <v>40107</v>
      </c>
      <c r="B17069" s="74" t="s">
        <v>900</v>
      </c>
      <c r="C17069" s="74" t="s">
        <v>428</v>
      </c>
    </row>
    <row r="17070" spans="1:3">
      <c r="A17070" s="250">
        <v>40108</v>
      </c>
      <c r="B17070" s="74" t="s">
        <v>9597</v>
      </c>
      <c r="C17070" s="74" t="s">
        <v>428</v>
      </c>
    </row>
    <row r="17071" spans="1:3">
      <c r="A17071" s="250">
        <v>40109</v>
      </c>
      <c r="B17071" s="74" t="s">
        <v>1683</v>
      </c>
      <c r="C17071" s="74" t="s">
        <v>428</v>
      </c>
    </row>
    <row r="17072" spans="1:3">
      <c r="A17072" s="250">
        <v>40110</v>
      </c>
      <c r="B17072" s="74" t="s">
        <v>7969</v>
      </c>
      <c r="C17072" s="74" t="s">
        <v>428</v>
      </c>
    </row>
    <row r="17073" spans="1:3">
      <c r="A17073" s="250">
        <v>40111</v>
      </c>
      <c r="B17073" s="74" t="s">
        <v>9598</v>
      </c>
      <c r="C17073" s="74" t="s">
        <v>428</v>
      </c>
    </row>
    <row r="17074" spans="1:3">
      <c r="A17074" s="250">
        <v>40115</v>
      </c>
      <c r="B17074" s="74" t="s">
        <v>9599</v>
      </c>
      <c r="C17074" s="74" t="s">
        <v>428</v>
      </c>
    </row>
    <row r="17075" spans="1:3">
      <c r="A17075" s="250">
        <v>40117</v>
      </c>
      <c r="B17075" s="74" t="s">
        <v>9600</v>
      </c>
      <c r="C17075" s="74" t="s">
        <v>428</v>
      </c>
    </row>
    <row r="17076" spans="1:3">
      <c r="A17076" s="250">
        <v>40118</v>
      </c>
      <c r="B17076" s="74" t="s">
        <v>6791</v>
      </c>
      <c r="C17076" s="74" t="s">
        <v>428</v>
      </c>
    </row>
    <row r="17077" spans="1:3">
      <c r="A17077" s="250">
        <v>40119</v>
      </c>
      <c r="B17077" s="74" t="s">
        <v>9601</v>
      </c>
      <c r="C17077" s="74" t="s">
        <v>428</v>
      </c>
    </row>
    <row r="17078" spans="1:3">
      <c r="A17078" s="250">
        <v>40121</v>
      </c>
      <c r="B17078" s="74" t="s">
        <v>9602</v>
      </c>
      <c r="C17078" s="74" t="s">
        <v>428</v>
      </c>
    </row>
    <row r="17079" spans="1:3">
      <c r="A17079" s="250">
        <v>40122</v>
      </c>
      <c r="B17079" s="74" t="s">
        <v>9602</v>
      </c>
      <c r="C17079" s="74" t="s">
        <v>428</v>
      </c>
    </row>
    <row r="17080" spans="1:3">
      <c r="A17080" s="250">
        <v>40129</v>
      </c>
      <c r="B17080" s="74" t="s">
        <v>9603</v>
      </c>
      <c r="C17080" s="74" t="s">
        <v>428</v>
      </c>
    </row>
    <row r="17081" spans="1:3">
      <c r="A17081" s="250">
        <v>40140</v>
      </c>
      <c r="B17081" s="74" t="s">
        <v>2125</v>
      </c>
      <c r="C17081" s="74" t="s">
        <v>428</v>
      </c>
    </row>
    <row r="17082" spans="1:3">
      <c r="A17082" s="250">
        <v>40142</v>
      </c>
      <c r="B17082" s="74" t="s">
        <v>9604</v>
      </c>
      <c r="C17082" s="74" t="s">
        <v>428</v>
      </c>
    </row>
    <row r="17083" spans="1:3">
      <c r="A17083" s="250">
        <v>40143</v>
      </c>
      <c r="B17083" s="74" t="s">
        <v>9605</v>
      </c>
      <c r="C17083" s="74" t="s">
        <v>428</v>
      </c>
    </row>
    <row r="17084" spans="1:3">
      <c r="A17084" s="250">
        <v>40144</v>
      </c>
      <c r="B17084" s="74" t="s">
        <v>9606</v>
      </c>
      <c r="C17084" s="74" t="s">
        <v>428</v>
      </c>
    </row>
    <row r="17085" spans="1:3">
      <c r="A17085" s="250">
        <v>40145</v>
      </c>
      <c r="B17085" s="74" t="s">
        <v>792</v>
      </c>
      <c r="C17085" s="74" t="s">
        <v>428</v>
      </c>
    </row>
    <row r="17086" spans="1:3">
      <c r="A17086" s="250">
        <v>40146</v>
      </c>
      <c r="B17086" s="74" t="s">
        <v>2175</v>
      </c>
      <c r="C17086" s="74" t="s">
        <v>428</v>
      </c>
    </row>
    <row r="17087" spans="1:3">
      <c r="A17087" s="250">
        <v>40150</v>
      </c>
      <c r="B17087" s="74" t="s">
        <v>9607</v>
      </c>
      <c r="C17087" s="74" t="s">
        <v>428</v>
      </c>
    </row>
    <row r="17088" spans="1:3">
      <c r="A17088" s="250">
        <v>40152</v>
      </c>
      <c r="B17088" s="74" t="s">
        <v>9608</v>
      </c>
      <c r="C17088" s="74" t="s">
        <v>428</v>
      </c>
    </row>
    <row r="17089" spans="1:3">
      <c r="A17089" s="250">
        <v>40153</v>
      </c>
      <c r="B17089" s="74" t="s">
        <v>9609</v>
      </c>
      <c r="C17089" s="74" t="s">
        <v>428</v>
      </c>
    </row>
    <row r="17090" spans="1:3">
      <c r="A17090" s="250">
        <v>40155</v>
      </c>
      <c r="B17090" s="74" t="s">
        <v>9610</v>
      </c>
      <c r="C17090" s="74" t="s">
        <v>428</v>
      </c>
    </row>
    <row r="17091" spans="1:3">
      <c r="A17091" s="250">
        <v>40157</v>
      </c>
      <c r="B17091" s="74" t="s">
        <v>9611</v>
      </c>
      <c r="C17091" s="74" t="s">
        <v>428</v>
      </c>
    </row>
    <row r="17092" spans="1:3">
      <c r="A17092" s="250">
        <v>40159</v>
      </c>
      <c r="B17092" s="74" t="s">
        <v>9612</v>
      </c>
      <c r="C17092" s="74" t="s">
        <v>428</v>
      </c>
    </row>
    <row r="17093" spans="1:3">
      <c r="A17093" s="250">
        <v>40160</v>
      </c>
      <c r="B17093" s="74" t="s">
        <v>9612</v>
      </c>
      <c r="C17093" s="74" t="s">
        <v>428</v>
      </c>
    </row>
    <row r="17094" spans="1:3">
      <c r="A17094" s="250">
        <v>40161</v>
      </c>
      <c r="B17094" s="74" t="s">
        <v>9613</v>
      </c>
      <c r="C17094" s="74" t="s">
        <v>428</v>
      </c>
    </row>
    <row r="17095" spans="1:3">
      <c r="A17095" s="250">
        <v>40162</v>
      </c>
      <c r="B17095" s="74" t="s">
        <v>9614</v>
      </c>
      <c r="C17095" s="74" t="s">
        <v>428</v>
      </c>
    </row>
    <row r="17096" spans="1:3">
      <c r="A17096" s="250">
        <v>40165</v>
      </c>
      <c r="B17096" s="74" t="s">
        <v>9615</v>
      </c>
      <c r="C17096" s="74" t="s">
        <v>428</v>
      </c>
    </row>
    <row r="17097" spans="1:3">
      <c r="A17097" s="250">
        <v>40170</v>
      </c>
      <c r="B17097" s="74" t="s">
        <v>9616</v>
      </c>
      <c r="C17097" s="74" t="s">
        <v>428</v>
      </c>
    </row>
    <row r="17098" spans="1:3">
      <c r="A17098" s="250">
        <v>40171</v>
      </c>
      <c r="B17098" s="74" t="s">
        <v>9617</v>
      </c>
      <c r="C17098" s="74" t="s">
        <v>428</v>
      </c>
    </row>
    <row r="17099" spans="1:3">
      <c r="A17099" s="250">
        <v>40175</v>
      </c>
      <c r="B17099" s="74" t="s">
        <v>9618</v>
      </c>
      <c r="C17099" s="74" t="s">
        <v>428</v>
      </c>
    </row>
    <row r="17100" spans="1:3">
      <c r="A17100" s="250">
        <v>40176</v>
      </c>
      <c r="B17100" s="74" t="s">
        <v>767</v>
      </c>
      <c r="C17100" s="74" t="s">
        <v>428</v>
      </c>
    </row>
    <row r="17101" spans="1:3">
      <c r="A17101" s="250">
        <v>40177</v>
      </c>
      <c r="B17101" s="74" t="s">
        <v>2720</v>
      </c>
      <c r="C17101" s="74" t="s">
        <v>428</v>
      </c>
    </row>
    <row r="17102" spans="1:3">
      <c r="A17102" s="250">
        <v>40178</v>
      </c>
      <c r="B17102" s="74" t="s">
        <v>9619</v>
      </c>
      <c r="C17102" s="74" t="s">
        <v>428</v>
      </c>
    </row>
    <row r="17103" spans="1:3">
      <c r="A17103" s="250">
        <v>40201</v>
      </c>
      <c r="B17103" s="74" t="s">
        <v>7943</v>
      </c>
      <c r="C17103" s="74" t="s">
        <v>428</v>
      </c>
    </row>
    <row r="17104" spans="1:3">
      <c r="A17104" s="250">
        <v>40202</v>
      </c>
      <c r="B17104" s="74" t="s">
        <v>7943</v>
      </c>
      <c r="C17104" s="74" t="s">
        <v>428</v>
      </c>
    </row>
    <row r="17105" spans="1:3">
      <c r="A17105" s="250">
        <v>40203</v>
      </c>
      <c r="B17105" s="74" t="s">
        <v>7943</v>
      </c>
      <c r="C17105" s="74" t="s">
        <v>428</v>
      </c>
    </row>
    <row r="17106" spans="1:3">
      <c r="A17106" s="250">
        <v>40204</v>
      </c>
      <c r="B17106" s="74" t="s">
        <v>7943</v>
      </c>
      <c r="C17106" s="74" t="s">
        <v>428</v>
      </c>
    </row>
    <row r="17107" spans="1:3">
      <c r="A17107" s="250">
        <v>40205</v>
      </c>
      <c r="B17107" s="74" t="s">
        <v>7943</v>
      </c>
      <c r="C17107" s="74" t="s">
        <v>428</v>
      </c>
    </row>
    <row r="17108" spans="1:3">
      <c r="A17108" s="250">
        <v>40206</v>
      </c>
      <c r="B17108" s="74" t="s">
        <v>7943</v>
      </c>
      <c r="C17108" s="74" t="s">
        <v>428</v>
      </c>
    </row>
    <row r="17109" spans="1:3">
      <c r="A17109" s="250">
        <v>40207</v>
      </c>
      <c r="B17109" s="74" t="s">
        <v>7943</v>
      </c>
      <c r="C17109" s="74" t="s">
        <v>428</v>
      </c>
    </row>
    <row r="17110" spans="1:3">
      <c r="A17110" s="250">
        <v>40208</v>
      </c>
      <c r="B17110" s="74" t="s">
        <v>7943</v>
      </c>
      <c r="C17110" s="74" t="s">
        <v>428</v>
      </c>
    </row>
    <row r="17111" spans="1:3">
      <c r="A17111" s="250">
        <v>40209</v>
      </c>
      <c r="B17111" s="74" t="s">
        <v>7943</v>
      </c>
      <c r="C17111" s="74" t="s">
        <v>428</v>
      </c>
    </row>
    <row r="17112" spans="1:3">
      <c r="A17112" s="250">
        <v>40210</v>
      </c>
      <c r="B17112" s="74" t="s">
        <v>7943</v>
      </c>
      <c r="C17112" s="74" t="s">
        <v>428</v>
      </c>
    </row>
    <row r="17113" spans="1:3">
      <c r="A17113" s="250">
        <v>40211</v>
      </c>
      <c r="B17113" s="74" t="s">
        <v>7943</v>
      </c>
      <c r="C17113" s="74" t="s">
        <v>428</v>
      </c>
    </row>
    <row r="17114" spans="1:3">
      <c r="A17114" s="250">
        <v>40212</v>
      </c>
      <c r="B17114" s="74" t="s">
        <v>7943</v>
      </c>
      <c r="C17114" s="74" t="s">
        <v>428</v>
      </c>
    </row>
    <row r="17115" spans="1:3">
      <c r="A17115" s="250">
        <v>40213</v>
      </c>
      <c r="B17115" s="74" t="s">
        <v>7943</v>
      </c>
      <c r="C17115" s="74" t="s">
        <v>428</v>
      </c>
    </row>
    <row r="17116" spans="1:3">
      <c r="A17116" s="250">
        <v>40214</v>
      </c>
      <c r="B17116" s="74" t="s">
        <v>7943</v>
      </c>
      <c r="C17116" s="74" t="s">
        <v>428</v>
      </c>
    </row>
    <row r="17117" spans="1:3">
      <c r="A17117" s="250">
        <v>40215</v>
      </c>
      <c r="B17117" s="74" t="s">
        <v>7943</v>
      </c>
      <c r="C17117" s="74" t="s">
        <v>428</v>
      </c>
    </row>
    <row r="17118" spans="1:3">
      <c r="A17118" s="250">
        <v>40216</v>
      </c>
      <c r="B17118" s="74" t="s">
        <v>7943</v>
      </c>
      <c r="C17118" s="74" t="s">
        <v>428</v>
      </c>
    </row>
    <row r="17119" spans="1:3">
      <c r="A17119" s="250">
        <v>40217</v>
      </c>
      <c r="B17119" s="74" t="s">
        <v>7943</v>
      </c>
      <c r="C17119" s="74" t="s">
        <v>428</v>
      </c>
    </row>
    <row r="17120" spans="1:3">
      <c r="A17120" s="250">
        <v>40218</v>
      </c>
      <c r="B17120" s="74" t="s">
        <v>7943</v>
      </c>
      <c r="C17120" s="74" t="s">
        <v>428</v>
      </c>
    </row>
    <row r="17121" spans="1:3">
      <c r="A17121" s="250">
        <v>40219</v>
      </c>
      <c r="B17121" s="74" t="s">
        <v>7943</v>
      </c>
      <c r="C17121" s="74" t="s">
        <v>428</v>
      </c>
    </row>
    <row r="17122" spans="1:3">
      <c r="A17122" s="250">
        <v>40220</v>
      </c>
      <c r="B17122" s="74" t="s">
        <v>7943</v>
      </c>
      <c r="C17122" s="74" t="s">
        <v>428</v>
      </c>
    </row>
    <row r="17123" spans="1:3">
      <c r="A17123" s="250">
        <v>40221</v>
      </c>
      <c r="B17123" s="74" t="s">
        <v>7943</v>
      </c>
      <c r="C17123" s="74" t="s">
        <v>428</v>
      </c>
    </row>
    <row r="17124" spans="1:3">
      <c r="A17124" s="250">
        <v>40222</v>
      </c>
      <c r="B17124" s="74" t="s">
        <v>7943</v>
      </c>
      <c r="C17124" s="74" t="s">
        <v>428</v>
      </c>
    </row>
    <row r="17125" spans="1:3">
      <c r="A17125" s="250">
        <v>40223</v>
      </c>
      <c r="B17125" s="74" t="s">
        <v>7943</v>
      </c>
      <c r="C17125" s="74" t="s">
        <v>428</v>
      </c>
    </row>
    <row r="17126" spans="1:3">
      <c r="A17126" s="250">
        <v>40224</v>
      </c>
      <c r="B17126" s="74" t="s">
        <v>7943</v>
      </c>
      <c r="C17126" s="74" t="s">
        <v>428</v>
      </c>
    </row>
    <row r="17127" spans="1:3">
      <c r="A17127" s="250">
        <v>40225</v>
      </c>
      <c r="B17127" s="74" t="s">
        <v>7943</v>
      </c>
      <c r="C17127" s="74" t="s">
        <v>428</v>
      </c>
    </row>
    <row r="17128" spans="1:3">
      <c r="A17128" s="250">
        <v>40228</v>
      </c>
      <c r="B17128" s="74" t="s">
        <v>7943</v>
      </c>
      <c r="C17128" s="74" t="s">
        <v>428</v>
      </c>
    </row>
    <row r="17129" spans="1:3">
      <c r="A17129" s="250">
        <v>40229</v>
      </c>
      <c r="B17129" s="74" t="s">
        <v>7943</v>
      </c>
      <c r="C17129" s="74" t="s">
        <v>428</v>
      </c>
    </row>
    <row r="17130" spans="1:3">
      <c r="A17130" s="250">
        <v>40231</v>
      </c>
      <c r="B17130" s="74" t="s">
        <v>7943</v>
      </c>
      <c r="C17130" s="74" t="s">
        <v>428</v>
      </c>
    </row>
    <row r="17131" spans="1:3">
      <c r="A17131" s="250">
        <v>40232</v>
      </c>
      <c r="B17131" s="74" t="s">
        <v>7943</v>
      </c>
      <c r="C17131" s="74" t="s">
        <v>428</v>
      </c>
    </row>
    <row r="17132" spans="1:3">
      <c r="A17132" s="250">
        <v>40233</v>
      </c>
      <c r="B17132" s="74" t="s">
        <v>7943</v>
      </c>
      <c r="C17132" s="74" t="s">
        <v>428</v>
      </c>
    </row>
    <row r="17133" spans="1:3">
      <c r="A17133" s="250">
        <v>40241</v>
      </c>
      <c r="B17133" s="74" t="s">
        <v>7943</v>
      </c>
      <c r="C17133" s="74" t="s">
        <v>428</v>
      </c>
    </row>
    <row r="17134" spans="1:3">
      <c r="A17134" s="250">
        <v>40242</v>
      </c>
      <c r="B17134" s="74" t="s">
        <v>7943</v>
      </c>
      <c r="C17134" s="74" t="s">
        <v>428</v>
      </c>
    </row>
    <row r="17135" spans="1:3">
      <c r="A17135" s="250">
        <v>40243</v>
      </c>
      <c r="B17135" s="74" t="s">
        <v>7943</v>
      </c>
      <c r="C17135" s="74" t="s">
        <v>428</v>
      </c>
    </row>
    <row r="17136" spans="1:3">
      <c r="A17136" s="250">
        <v>40245</v>
      </c>
      <c r="B17136" s="74" t="s">
        <v>7943</v>
      </c>
      <c r="C17136" s="74" t="s">
        <v>428</v>
      </c>
    </row>
    <row r="17137" spans="1:3">
      <c r="A17137" s="250">
        <v>40250</v>
      </c>
      <c r="B17137" s="74" t="s">
        <v>7943</v>
      </c>
      <c r="C17137" s="74" t="s">
        <v>428</v>
      </c>
    </row>
    <row r="17138" spans="1:3">
      <c r="A17138" s="250">
        <v>40251</v>
      </c>
      <c r="B17138" s="74" t="s">
        <v>7943</v>
      </c>
      <c r="C17138" s="74" t="s">
        <v>428</v>
      </c>
    </row>
    <row r="17139" spans="1:3">
      <c r="A17139" s="250">
        <v>40252</v>
      </c>
      <c r="B17139" s="74" t="s">
        <v>7943</v>
      </c>
      <c r="C17139" s="74" t="s">
        <v>428</v>
      </c>
    </row>
    <row r="17140" spans="1:3">
      <c r="A17140" s="250">
        <v>40253</v>
      </c>
      <c r="B17140" s="74" t="s">
        <v>7943</v>
      </c>
      <c r="C17140" s="74" t="s">
        <v>428</v>
      </c>
    </row>
    <row r="17141" spans="1:3">
      <c r="A17141" s="250">
        <v>40255</v>
      </c>
      <c r="B17141" s="74" t="s">
        <v>7943</v>
      </c>
      <c r="C17141" s="74" t="s">
        <v>428</v>
      </c>
    </row>
    <row r="17142" spans="1:3">
      <c r="A17142" s="250">
        <v>40256</v>
      </c>
      <c r="B17142" s="74" t="s">
        <v>7943</v>
      </c>
      <c r="C17142" s="74" t="s">
        <v>428</v>
      </c>
    </row>
    <row r="17143" spans="1:3">
      <c r="A17143" s="250">
        <v>40257</v>
      </c>
      <c r="B17143" s="74" t="s">
        <v>7943</v>
      </c>
      <c r="C17143" s="74" t="s">
        <v>428</v>
      </c>
    </row>
    <row r="17144" spans="1:3">
      <c r="A17144" s="250">
        <v>40258</v>
      </c>
      <c r="B17144" s="74" t="s">
        <v>7943</v>
      </c>
      <c r="C17144" s="74" t="s">
        <v>428</v>
      </c>
    </row>
    <row r="17145" spans="1:3">
      <c r="A17145" s="250">
        <v>40259</v>
      </c>
      <c r="B17145" s="74" t="s">
        <v>7943</v>
      </c>
      <c r="C17145" s="74" t="s">
        <v>428</v>
      </c>
    </row>
    <row r="17146" spans="1:3">
      <c r="A17146" s="250">
        <v>40261</v>
      </c>
      <c r="B17146" s="74" t="s">
        <v>7943</v>
      </c>
      <c r="C17146" s="74" t="s">
        <v>428</v>
      </c>
    </row>
    <row r="17147" spans="1:3">
      <c r="A17147" s="250">
        <v>40266</v>
      </c>
      <c r="B17147" s="74" t="s">
        <v>7943</v>
      </c>
      <c r="C17147" s="74" t="s">
        <v>428</v>
      </c>
    </row>
    <row r="17148" spans="1:3">
      <c r="A17148" s="250">
        <v>40268</v>
      </c>
      <c r="B17148" s="74" t="s">
        <v>7943</v>
      </c>
      <c r="C17148" s="74" t="s">
        <v>428</v>
      </c>
    </row>
    <row r="17149" spans="1:3">
      <c r="A17149" s="250">
        <v>40269</v>
      </c>
      <c r="B17149" s="74" t="s">
        <v>7943</v>
      </c>
      <c r="C17149" s="74" t="s">
        <v>428</v>
      </c>
    </row>
    <row r="17150" spans="1:3">
      <c r="A17150" s="250">
        <v>40270</v>
      </c>
      <c r="B17150" s="74" t="s">
        <v>7943</v>
      </c>
      <c r="C17150" s="74" t="s">
        <v>428</v>
      </c>
    </row>
    <row r="17151" spans="1:3">
      <c r="A17151" s="250">
        <v>40272</v>
      </c>
      <c r="B17151" s="74" t="s">
        <v>7943</v>
      </c>
      <c r="C17151" s="74" t="s">
        <v>428</v>
      </c>
    </row>
    <row r="17152" spans="1:3">
      <c r="A17152" s="250">
        <v>40280</v>
      </c>
      <c r="B17152" s="74" t="s">
        <v>7943</v>
      </c>
      <c r="C17152" s="74" t="s">
        <v>428</v>
      </c>
    </row>
    <row r="17153" spans="1:3">
      <c r="A17153" s="250">
        <v>40281</v>
      </c>
      <c r="B17153" s="74" t="s">
        <v>7943</v>
      </c>
      <c r="C17153" s="74" t="s">
        <v>428</v>
      </c>
    </row>
    <row r="17154" spans="1:3">
      <c r="A17154" s="250">
        <v>40282</v>
      </c>
      <c r="B17154" s="74" t="s">
        <v>7943</v>
      </c>
      <c r="C17154" s="74" t="s">
        <v>428</v>
      </c>
    </row>
    <row r="17155" spans="1:3">
      <c r="A17155" s="250">
        <v>40283</v>
      </c>
      <c r="B17155" s="74" t="s">
        <v>7943</v>
      </c>
      <c r="C17155" s="74" t="s">
        <v>428</v>
      </c>
    </row>
    <row r="17156" spans="1:3">
      <c r="A17156" s="250">
        <v>40285</v>
      </c>
      <c r="B17156" s="74" t="s">
        <v>7943</v>
      </c>
      <c r="C17156" s="74" t="s">
        <v>428</v>
      </c>
    </row>
    <row r="17157" spans="1:3">
      <c r="A17157" s="250">
        <v>40287</v>
      </c>
      <c r="B17157" s="74" t="s">
        <v>7943</v>
      </c>
      <c r="C17157" s="74" t="s">
        <v>428</v>
      </c>
    </row>
    <row r="17158" spans="1:3">
      <c r="A17158" s="250">
        <v>40289</v>
      </c>
      <c r="B17158" s="74" t="s">
        <v>7943</v>
      </c>
      <c r="C17158" s="74" t="s">
        <v>428</v>
      </c>
    </row>
    <row r="17159" spans="1:3">
      <c r="A17159" s="250">
        <v>40290</v>
      </c>
      <c r="B17159" s="74" t="s">
        <v>7943</v>
      </c>
      <c r="C17159" s="74" t="s">
        <v>428</v>
      </c>
    </row>
    <row r="17160" spans="1:3">
      <c r="A17160" s="250">
        <v>40291</v>
      </c>
      <c r="B17160" s="74" t="s">
        <v>7943</v>
      </c>
      <c r="C17160" s="74" t="s">
        <v>428</v>
      </c>
    </row>
    <row r="17161" spans="1:3">
      <c r="A17161" s="250">
        <v>40292</v>
      </c>
      <c r="B17161" s="74" t="s">
        <v>7943</v>
      </c>
      <c r="C17161" s="74" t="s">
        <v>428</v>
      </c>
    </row>
    <row r="17162" spans="1:3">
      <c r="A17162" s="250">
        <v>40293</v>
      </c>
      <c r="B17162" s="74" t="s">
        <v>7943</v>
      </c>
      <c r="C17162" s="74" t="s">
        <v>428</v>
      </c>
    </row>
    <row r="17163" spans="1:3">
      <c r="A17163" s="250">
        <v>40294</v>
      </c>
      <c r="B17163" s="74" t="s">
        <v>7943</v>
      </c>
      <c r="C17163" s="74" t="s">
        <v>428</v>
      </c>
    </row>
    <row r="17164" spans="1:3">
      <c r="A17164" s="250">
        <v>40295</v>
      </c>
      <c r="B17164" s="74" t="s">
        <v>7943</v>
      </c>
      <c r="C17164" s="74" t="s">
        <v>428</v>
      </c>
    </row>
    <row r="17165" spans="1:3">
      <c r="A17165" s="250">
        <v>40296</v>
      </c>
      <c r="B17165" s="74" t="s">
        <v>7943</v>
      </c>
      <c r="C17165" s="74" t="s">
        <v>428</v>
      </c>
    </row>
    <row r="17166" spans="1:3">
      <c r="A17166" s="250">
        <v>40297</v>
      </c>
      <c r="B17166" s="74" t="s">
        <v>7943</v>
      </c>
      <c r="C17166" s="74" t="s">
        <v>428</v>
      </c>
    </row>
    <row r="17167" spans="1:3">
      <c r="A17167" s="250">
        <v>40298</v>
      </c>
      <c r="B17167" s="74" t="s">
        <v>7943</v>
      </c>
      <c r="C17167" s="74" t="s">
        <v>428</v>
      </c>
    </row>
    <row r="17168" spans="1:3">
      <c r="A17168" s="250">
        <v>40299</v>
      </c>
      <c r="B17168" s="74" t="s">
        <v>7943</v>
      </c>
      <c r="C17168" s="74" t="s">
        <v>428</v>
      </c>
    </row>
    <row r="17169" spans="1:3">
      <c r="A17169" s="250">
        <v>40310</v>
      </c>
      <c r="B17169" s="74" t="s">
        <v>9620</v>
      </c>
      <c r="C17169" s="74" t="s">
        <v>428</v>
      </c>
    </row>
    <row r="17170" spans="1:3">
      <c r="A17170" s="250">
        <v>40311</v>
      </c>
      <c r="B17170" s="74" t="s">
        <v>786</v>
      </c>
      <c r="C17170" s="74" t="s">
        <v>428</v>
      </c>
    </row>
    <row r="17171" spans="1:3">
      <c r="A17171" s="250">
        <v>40312</v>
      </c>
      <c r="B17171" s="74" t="s">
        <v>9621</v>
      </c>
      <c r="C17171" s="74" t="s">
        <v>428</v>
      </c>
    </row>
    <row r="17172" spans="1:3">
      <c r="A17172" s="250">
        <v>40313</v>
      </c>
      <c r="B17172" s="74" t="s">
        <v>4618</v>
      </c>
      <c r="C17172" s="74" t="s">
        <v>428</v>
      </c>
    </row>
    <row r="17173" spans="1:3">
      <c r="A17173" s="250">
        <v>40316</v>
      </c>
      <c r="B17173" s="74" t="s">
        <v>9622</v>
      </c>
      <c r="C17173" s="74" t="s">
        <v>428</v>
      </c>
    </row>
    <row r="17174" spans="1:3">
      <c r="A17174" s="250">
        <v>40317</v>
      </c>
      <c r="B17174" s="74" t="s">
        <v>9623</v>
      </c>
      <c r="C17174" s="74" t="s">
        <v>428</v>
      </c>
    </row>
    <row r="17175" spans="1:3">
      <c r="A17175" s="250">
        <v>40319</v>
      </c>
      <c r="B17175" s="74" t="s">
        <v>9624</v>
      </c>
      <c r="C17175" s="74" t="s">
        <v>428</v>
      </c>
    </row>
    <row r="17176" spans="1:3">
      <c r="A17176" s="250">
        <v>40322</v>
      </c>
      <c r="B17176" s="74" t="s">
        <v>9625</v>
      </c>
      <c r="C17176" s="74" t="s">
        <v>428</v>
      </c>
    </row>
    <row r="17177" spans="1:3">
      <c r="A17177" s="250">
        <v>40324</v>
      </c>
      <c r="B17177" s="74" t="s">
        <v>813</v>
      </c>
      <c r="C17177" s="74" t="s">
        <v>428</v>
      </c>
    </row>
    <row r="17178" spans="1:3">
      <c r="A17178" s="250">
        <v>40328</v>
      </c>
      <c r="B17178" s="74" t="s">
        <v>9626</v>
      </c>
      <c r="C17178" s="74" t="s">
        <v>428</v>
      </c>
    </row>
    <row r="17179" spans="1:3">
      <c r="A17179" s="250">
        <v>40330</v>
      </c>
      <c r="B17179" s="74" t="s">
        <v>9627</v>
      </c>
      <c r="C17179" s="74" t="s">
        <v>428</v>
      </c>
    </row>
    <row r="17180" spans="1:3">
      <c r="A17180" s="250">
        <v>40334</v>
      </c>
      <c r="B17180" s="74" t="s">
        <v>1111</v>
      </c>
      <c r="C17180" s="74" t="s">
        <v>428</v>
      </c>
    </row>
    <row r="17181" spans="1:3">
      <c r="A17181" s="250">
        <v>40336</v>
      </c>
      <c r="B17181" s="74" t="s">
        <v>4484</v>
      </c>
      <c r="C17181" s="74" t="s">
        <v>428</v>
      </c>
    </row>
    <row r="17182" spans="1:3">
      <c r="A17182" s="250">
        <v>40337</v>
      </c>
      <c r="B17182" s="74" t="s">
        <v>1817</v>
      </c>
      <c r="C17182" s="74" t="s">
        <v>428</v>
      </c>
    </row>
    <row r="17183" spans="1:3">
      <c r="A17183" s="250">
        <v>40339</v>
      </c>
      <c r="B17183" s="74" t="s">
        <v>1226</v>
      </c>
      <c r="C17183" s="74" t="s">
        <v>428</v>
      </c>
    </row>
    <row r="17184" spans="1:3">
      <c r="A17184" s="250">
        <v>40340</v>
      </c>
      <c r="B17184" s="74" t="s">
        <v>9628</v>
      </c>
      <c r="C17184" s="74" t="s">
        <v>428</v>
      </c>
    </row>
    <row r="17185" spans="1:3">
      <c r="A17185" s="250">
        <v>40342</v>
      </c>
      <c r="B17185" s="74" t="s">
        <v>9251</v>
      </c>
      <c r="C17185" s="74" t="s">
        <v>428</v>
      </c>
    </row>
    <row r="17186" spans="1:3">
      <c r="A17186" s="250">
        <v>40346</v>
      </c>
      <c r="B17186" s="74" t="s">
        <v>9629</v>
      </c>
      <c r="C17186" s="74" t="s">
        <v>428</v>
      </c>
    </row>
    <row r="17187" spans="1:3">
      <c r="A17187" s="250">
        <v>40347</v>
      </c>
      <c r="B17187" s="74" t="s">
        <v>3995</v>
      </c>
      <c r="C17187" s="74" t="s">
        <v>428</v>
      </c>
    </row>
    <row r="17188" spans="1:3">
      <c r="A17188" s="250">
        <v>40348</v>
      </c>
      <c r="B17188" s="74" t="s">
        <v>4729</v>
      </c>
      <c r="C17188" s="74" t="s">
        <v>428</v>
      </c>
    </row>
    <row r="17189" spans="1:3">
      <c r="A17189" s="250">
        <v>40350</v>
      </c>
      <c r="B17189" s="74" t="s">
        <v>7042</v>
      </c>
      <c r="C17189" s="74" t="s">
        <v>428</v>
      </c>
    </row>
    <row r="17190" spans="1:3">
      <c r="A17190" s="250">
        <v>40351</v>
      </c>
      <c r="B17190" s="74" t="s">
        <v>9630</v>
      </c>
      <c r="C17190" s="74" t="s">
        <v>428</v>
      </c>
    </row>
    <row r="17191" spans="1:3">
      <c r="A17191" s="250">
        <v>40353</v>
      </c>
      <c r="B17191" s="74" t="s">
        <v>9631</v>
      </c>
      <c r="C17191" s="74" t="s">
        <v>428</v>
      </c>
    </row>
    <row r="17192" spans="1:3">
      <c r="A17192" s="250">
        <v>40355</v>
      </c>
      <c r="B17192" s="74" t="s">
        <v>9632</v>
      </c>
      <c r="C17192" s="74" t="s">
        <v>428</v>
      </c>
    </row>
    <row r="17193" spans="1:3">
      <c r="A17193" s="250">
        <v>40356</v>
      </c>
      <c r="B17193" s="74" t="s">
        <v>9628</v>
      </c>
      <c r="C17193" s="74" t="s">
        <v>428</v>
      </c>
    </row>
    <row r="17194" spans="1:3">
      <c r="A17194" s="250">
        <v>40357</v>
      </c>
      <c r="B17194" s="74" t="s">
        <v>9633</v>
      </c>
      <c r="C17194" s="74" t="s">
        <v>428</v>
      </c>
    </row>
    <row r="17195" spans="1:3">
      <c r="A17195" s="250">
        <v>40358</v>
      </c>
      <c r="B17195" s="74" t="s">
        <v>9634</v>
      </c>
      <c r="C17195" s="74" t="s">
        <v>428</v>
      </c>
    </row>
    <row r="17196" spans="1:3">
      <c r="A17196" s="250">
        <v>40359</v>
      </c>
      <c r="B17196" s="74" t="s">
        <v>9635</v>
      </c>
      <c r="C17196" s="74" t="s">
        <v>428</v>
      </c>
    </row>
    <row r="17197" spans="1:3">
      <c r="A17197" s="250">
        <v>40360</v>
      </c>
      <c r="B17197" s="74" t="s">
        <v>9636</v>
      </c>
      <c r="C17197" s="74" t="s">
        <v>428</v>
      </c>
    </row>
    <row r="17198" spans="1:3">
      <c r="A17198" s="250">
        <v>40361</v>
      </c>
      <c r="B17198" s="74" t="s">
        <v>1459</v>
      </c>
      <c r="C17198" s="74" t="s">
        <v>428</v>
      </c>
    </row>
    <row r="17199" spans="1:3">
      <c r="A17199" s="250">
        <v>40362</v>
      </c>
      <c r="B17199" s="74" t="s">
        <v>1459</v>
      </c>
      <c r="C17199" s="74" t="s">
        <v>428</v>
      </c>
    </row>
    <row r="17200" spans="1:3">
      <c r="A17200" s="250">
        <v>40363</v>
      </c>
      <c r="B17200" s="74" t="s">
        <v>9637</v>
      </c>
      <c r="C17200" s="74" t="s">
        <v>428</v>
      </c>
    </row>
    <row r="17201" spans="1:3">
      <c r="A17201" s="250">
        <v>40366</v>
      </c>
      <c r="B17201" s="74" t="s">
        <v>2023</v>
      </c>
      <c r="C17201" s="74" t="s">
        <v>428</v>
      </c>
    </row>
    <row r="17202" spans="1:3">
      <c r="A17202" s="250">
        <v>40370</v>
      </c>
      <c r="B17202" s="74" t="s">
        <v>9638</v>
      </c>
      <c r="C17202" s="74" t="s">
        <v>428</v>
      </c>
    </row>
    <row r="17203" spans="1:3">
      <c r="A17203" s="250">
        <v>40371</v>
      </c>
      <c r="B17203" s="74" t="s">
        <v>9639</v>
      </c>
      <c r="C17203" s="74" t="s">
        <v>428</v>
      </c>
    </row>
    <row r="17204" spans="1:3">
      <c r="A17204" s="250">
        <v>40372</v>
      </c>
      <c r="B17204" s="74" t="s">
        <v>9640</v>
      </c>
      <c r="C17204" s="74" t="s">
        <v>428</v>
      </c>
    </row>
    <row r="17205" spans="1:3">
      <c r="A17205" s="250">
        <v>40374</v>
      </c>
      <c r="B17205" s="74" t="s">
        <v>5818</v>
      </c>
      <c r="C17205" s="74" t="s">
        <v>428</v>
      </c>
    </row>
    <row r="17206" spans="1:3">
      <c r="A17206" s="250">
        <v>40376</v>
      </c>
      <c r="B17206" s="74" t="s">
        <v>9641</v>
      </c>
      <c r="C17206" s="74" t="s">
        <v>428</v>
      </c>
    </row>
    <row r="17207" spans="1:3">
      <c r="A17207" s="250">
        <v>40379</v>
      </c>
      <c r="B17207" s="74" t="s">
        <v>9642</v>
      </c>
      <c r="C17207" s="74" t="s">
        <v>428</v>
      </c>
    </row>
    <row r="17208" spans="1:3">
      <c r="A17208" s="250">
        <v>40380</v>
      </c>
      <c r="B17208" s="74" t="s">
        <v>2602</v>
      </c>
      <c r="C17208" s="74" t="s">
        <v>428</v>
      </c>
    </row>
    <row r="17209" spans="1:3">
      <c r="A17209" s="250">
        <v>40383</v>
      </c>
      <c r="B17209" s="74" t="s">
        <v>2033</v>
      </c>
      <c r="C17209" s="74" t="s">
        <v>428</v>
      </c>
    </row>
    <row r="17210" spans="1:3">
      <c r="A17210" s="250">
        <v>40384</v>
      </c>
      <c r="B17210" s="74" t="s">
        <v>2033</v>
      </c>
      <c r="C17210" s="74" t="s">
        <v>428</v>
      </c>
    </row>
    <row r="17211" spans="1:3">
      <c r="A17211" s="250">
        <v>40385</v>
      </c>
      <c r="B17211" s="74" t="s">
        <v>7341</v>
      </c>
      <c r="C17211" s="74" t="s">
        <v>428</v>
      </c>
    </row>
    <row r="17212" spans="1:3">
      <c r="A17212" s="250">
        <v>40386</v>
      </c>
      <c r="B17212" s="74" t="s">
        <v>2033</v>
      </c>
      <c r="C17212" s="74" t="s">
        <v>428</v>
      </c>
    </row>
    <row r="17213" spans="1:3">
      <c r="A17213" s="250">
        <v>40387</v>
      </c>
      <c r="B17213" s="74" t="s">
        <v>8439</v>
      </c>
      <c r="C17213" s="74" t="s">
        <v>428</v>
      </c>
    </row>
    <row r="17214" spans="1:3">
      <c r="A17214" s="250">
        <v>40390</v>
      </c>
      <c r="B17214" s="74" t="s">
        <v>4376</v>
      </c>
      <c r="C17214" s="74" t="s">
        <v>428</v>
      </c>
    </row>
    <row r="17215" spans="1:3">
      <c r="A17215" s="250">
        <v>40391</v>
      </c>
      <c r="B17215" s="74" t="s">
        <v>832</v>
      </c>
      <c r="C17215" s="74" t="s">
        <v>428</v>
      </c>
    </row>
    <row r="17216" spans="1:3">
      <c r="A17216" s="250">
        <v>40392</v>
      </c>
      <c r="B17216" s="74" t="s">
        <v>832</v>
      </c>
      <c r="C17216" s="74" t="s">
        <v>428</v>
      </c>
    </row>
    <row r="17217" spans="1:3">
      <c r="A17217" s="250">
        <v>40402</v>
      </c>
      <c r="B17217" s="74" t="s">
        <v>4689</v>
      </c>
      <c r="C17217" s="74" t="s">
        <v>428</v>
      </c>
    </row>
    <row r="17218" spans="1:3">
      <c r="A17218" s="250">
        <v>40403</v>
      </c>
      <c r="B17218" s="74" t="s">
        <v>6931</v>
      </c>
      <c r="C17218" s="74" t="s">
        <v>428</v>
      </c>
    </row>
    <row r="17219" spans="1:3">
      <c r="A17219" s="250">
        <v>40404</v>
      </c>
      <c r="B17219" s="74" t="s">
        <v>6931</v>
      </c>
      <c r="C17219" s="74" t="s">
        <v>428</v>
      </c>
    </row>
    <row r="17220" spans="1:3">
      <c r="A17220" s="250">
        <v>40405</v>
      </c>
      <c r="B17220" s="74" t="s">
        <v>9643</v>
      </c>
      <c r="C17220" s="74" t="s">
        <v>428</v>
      </c>
    </row>
    <row r="17221" spans="1:3">
      <c r="A17221" s="250">
        <v>40409</v>
      </c>
      <c r="B17221" s="74" t="s">
        <v>9644</v>
      </c>
      <c r="C17221" s="74" t="s">
        <v>428</v>
      </c>
    </row>
    <row r="17222" spans="1:3">
      <c r="A17222" s="250">
        <v>40410</v>
      </c>
      <c r="B17222" s="74" t="s">
        <v>9645</v>
      </c>
      <c r="C17222" s="74" t="s">
        <v>428</v>
      </c>
    </row>
    <row r="17223" spans="1:3">
      <c r="A17223" s="250">
        <v>40419</v>
      </c>
      <c r="B17223" s="74" t="s">
        <v>6785</v>
      </c>
      <c r="C17223" s="74" t="s">
        <v>428</v>
      </c>
    </row>
    <row r="17224" spans="1:3">
      <c r="A17224" s="250">
        <v>40422</v>
      </c>
      <c r="B17224" s="74" t="s">
        <v>1302</v>
      </c>
      <c r="C17224" s="74" t="s">
        <v>428</v>
      </c>
    </row>
    <row r="17225" spans="1:3">
      <c r="A17225" s="250">
        <v>40423</v>
      </c>
      <c r="B17225" s="74" t="s">
        <v>1302</v>
      </c>
      <c r="C17225" s="74" t="s">
        <v>428</v>
      </c>
    </row>
    <row r="17226" spans="1:3">
      <c r="A17226" s="250">
        <v>40434</v>
      </c>
      <c r="B17226" s="74" t="s">
        <v>9646</v>
      </c>
      <c r="C17226" s="74" t="s">
        <v>428</v>
      </c>
    </row>
    <row r="17227" spans="1:3">
      <c r="A17227" s="250">
        <v>40437</v>
      </c>
      <c r="B17227" s="74" t="s">
        <v>9647</v>
      </c>
      <c r="C17227" s="74" t="s">
        <v>428</v>
      </c>
    </row>
    <row r="17228" spans="1:3">
      <c r="A17228" s="250">
        <v>40440</v>
      </c>
      <c r="B17228" s="74" t="s">
        <v>8198</v>
      </c>
      <c r="C17228" s="74" t="s">
        <v>428</v>
      </c>
    </row>
    <row r="17229" spans="1:3">
      <c r="A17229" s="250">
        <v>40442</v>
      </c>
      <c r="B17229" s="74" t="s">
        <v>7311</v>
      </c>
      <c r="C17229" s="74" t="s">
        <v>428</v>
      </c>
    </row>
    <row r="17230" spans="1:3">
      <c r="A17230" s="250">
        <v>40444</v>
      </c>
      <c r="B17230" s="74" t="s">
        <v>741</v>
      </c>
      <c r="C17230" s="74" t="s">
        <v>428</v>
      </c>
    </row>
    <row r="17231" spans="1:3">
      <c r="A17231" s="250">
        <v>40445</v>
      </c>
      <c r="B17231" s="74" t="s">
        <v>2135</v>
      </c>
      <c r="C17231" s="74" t="s">
        <v>428</v>
      </c>
    </row>
    <row r="17232" spans="1:3">
      <c r="A17232" s="250">
        <v>40446</v>
      </c>
      <c r="B17232" s="74" t="s">
        <v>741</v>
      </c>
      <c r="C17232" s="74" t="s">
        <v>428</v>
      </c>
    </row>
    <row r="17233" spans="1:3">
      <c r="A17233" s="250">
        <v>40447</v>
      </c>
      <c r="B17233" s="74" t="s">
        <v>9648</v>
      </c>
      <c r="C17233" s="74" t="s">
        <v>428</v>
      </c>
    </row>
    <row r="17234" spans="1:3">
      <c r="A17234" s="250">
        <v>40448</v>
      </c>
      <c r="B17234" s="74" t="s">
        <v>9649</v>
      </c>
      <c r="C17234" s="74" t="s">
        <v>428</v>
      </c>
    </row>
    <row r="17235" spans="1:3">
      <c r="A17235" s="250">
        <v>40452</v>
      </c>
      <c r="B17235" s="74" t="s">
        <v>9650</v>
      </c>
      <c r="C17235" s="74" t="s">
        <v>428</v>
      </c>
    </row>
    <row r="17236" spans="1:3">
      <c r="A17236" s="250">
        <v>40456</v>
      </c>
      <c r="B17236" s="74" t="s">
        <v>1481</v>
      </c>
      <c r="C17236" s="74" t="s">
        <v>428</v>
      </c>
    </row>
    <row r="17237" spans="1:3">
      <c r="A17237" s="250">
        <v>40460</v>
      </c>
      <c r="B17237" s="74" t="s">
        <v>6950</v>
      </c>
      <c r="C17237" s="74" t="s">
        <v>428</v>
      </c>
    </row>
    <row r="17238" spans="1:3">
      <c r="A17238" s="250">
        <v>40461</v>
      </c>
      <c r="B17238" s="74" t="s">
        <v>9651</v>
      </c>
      <c r="C17238" s="74" t="s">
        <v>428</v>
      </c>
    </row>
    <row r="17239" spans="1:3">
      <c r="A17239" s="250">
        <v>40464</v>
      </c>
      <c r="B17239" s="74" t="s">
        <v>3197</v>
      </c>
      <c r="C17239" s="74" t="s">
        <v>428</v>
      </c>
    </row>
    <row r="17240" spans="1:3">
      <c r="A17240" s="250">
        <v>40468</v>
      </c>
      <c r="B17240" s="74" t="s">
        <v>5854</v>
      </c>
      <c r="C17240" s="74" t="s">
        <v>428</v>
      </c>
    </row>
    <row r="17241" spans="1:3">
      <c r="A17241" s="250">
        <v>40472</v>
      </c>
      <c r="B17241" s="74" t="s">
        <v>9652</v>
      </c>
      <c r="C17241" s="74" t="s">
        <v>428</v>
      </c>
    </row>
    <row r="17242" spans="1:3">
      <c r="A17242" s="250">
        <v>40473</v>
      </c>
      <c r="B17242" s="74" t="s">
        <v>9653</v>
      </c>
      <c r="C17242" s="74" t="s">
        <v>428</v>
      </c>
    </row>
    <row r="17243" spans="1:3">
      <c r="A17243" s="250">
        <v>40475</v>
      </c>
      <c r="B17243" s="74" t="s">
        <v>658</v>
      </c>
      <c r="C17243" s="74" t="s">
        <v>428</v>
      </c>
    </row>
    <row r="17244" spans="1:3">
      <c r="A17244" s="250">
        <v>40476</v>
      </c>
      <c r="B17244" s="74" t="s">
        <v>658</v>
      </c>
      <c r="C17244" s="74" t="s">
        <v>428</v>
      </c>
    </row>
    <row r="17245" spans="1:3">
      <c r="A17245" s="250">
        <v>40481</v>
      </c>
      <c r="B17245" s="74" t="s">
        <v>9654</v>
      </c>
      <c r="C17245" s="74" t="s">
        <v>428</v>
      </c>
    </row>
    <row r="17246" spans="1:3">
      <c r="A17246" s="250">
        <v>40484</v>
      </c>
      <c r="B17246" s="74" t="s">
        <v>9655</v>
      </c>
      <c r="C17246" s="74" t="s">
        <v>428</v>
      </c>
    </row>
    <row r="17247" spans="1:3">
      <c r="A17247" s="250">
        <v>40486</v>
      </c>
      <c r="B17247" s="74" t="s">
        <v>7280</v>
      </c>
      <c r="C17247" s="74" t="s">
        <v>428</v>
      </c>
    </row>
    <row r="17248" spans="1:3">
      <c r="A17248" s="250">
        <v>40488</v>
      </c>
      <c r="B17248" s="74" t="s">
        <v>9656</v>
      </c>
      <c r="C17248" s="74" t="s">
        <v>428</v>
      </c>
    </row>
    <row r="17249" spans="1:3">
      <c r="A17249" s="250">
        <v>40489</v>
      </c>
      <c r="B17249" s="74" t="s">
        <v>4083</v>
      </c>
      <c r="C17249" s="74" t="s">
        <v>428</v>
      </c>
    </row>
    <row r="17250" spans="1:3">
      <c r="A17250" s="250">
        <v>40492</v>
      </c>
      <c r="B17250" s="74" t="s">
        <v>9657</v>
      </c>
      <c r="C17250" s="74" t="s">
        <v>428</v>
      </c>
    </row>
    <row r="17251" spans="1:3">
      <c r="A17251" s="250">
        <v>40495</v>
      </c>
      <c r="B17251" s="74" t="s">
        <v>7904</v>
      </c>
      <c r="C17251" s="74" t="s">
        <v>428</v>
      </c>
    </row>
    <row r="17252" spans="1:3">
      <c r="A17252" s="250">
        <v>40502</v>
      </c>
      <c r="B17252" s="74" t="s">
        <v>966</v>
      </c>
      <c r="C17252" s="74" t="s">
        <v>428</v>
      </c>
    </row>
    <row r="17253" spans="1:3">
      <c r="A17253" s="250">
        <v>40503</v>
      </c>
      <c r="B17253" s="74" t="s">
        <v>966</v>
      </c>
      <c r="C17253" s="74" t="s">
        <v>428</v>
      </c>
    </row>
    <row r="17254" spans="1:3">
      <c r="A17254" s="250">
        <v>40504</v>
      </c>
      <c r="B17254" s="74" t="s">
        <v>966</v>
      </c>
      <c r="C17254" s="74" t="s">
        <v>428</v>
      </c>
    </row>
    <row r="17255" spans="1:3">
      <c r="A17255" s="250">
        <v>40505</v>
      </c>
      <c r="B17255" s="74" t="s">
        <v>966</v>
      </c>
      <c r="C17255" s="74" t="s">
        <v>428</v>
      </c>
    </row>
    <row r="17256" spans="1:3">
      <c r="A17256" s="250">
        <v>40506</v>
      </c>
      <c r="B17256" s="74" t="s">
        <v>966</v>
      </c>
      <c r="C17256" s="74" t="s">
        <v>428</v>
      </c>
    </row>
    <row r="17257" spans="1:3">
      <c r="A17257" s="250">
        <v>40507</v>
      </c>
      <c r="B17257" s="74" t="s">
        <v>966</v>
      </c>
      <c r="C17257" s="74" t="s">
        <v>428</v>
      </c>
    </row>
    <row r="17258" spans="1:3">
      <c r="A17258" s="250">
        <v>40508</v>
      </c>
      <c r="B17258" s="74" t="s">
        <v>966</v>
      </c>
      <c r="C17258" s="74" t="s">
        <v>428</v>
      </c>
    </row>
    <row r="17259" spans="1:3">
      <c r="A17259" s="250">
        <v>40509</v>
      </c>
      <c r="B17259" s="74" t="s">
        <v>966</v>
      </c>
      <c r="C17259" s="74" t="s">
        <v>428</v>
      </c>
    </row>
    <row r="17260" spans="1:3">
      <c r="A17260" s="250">
        <v>40510</v>
      </c>
      <c r="B17260" s="74" t="s">
        <v>966</v>
      </c>
      <c r="C17260" s="74" t="s">
        <v>428</v>
      </c>
    </row>
    <row r="17261" spans="1:3">
      <c r="A17261" s="250">
        <v>40511</v>
      </c>
      <c r="B17261" s="74" t="s">
        <v>966</v>
      </c>
      <c r="C17261" s="74" t="s">
        <v>428</v>
      </c>
    </row>
    <row r="17262" spans="1:3">
      <c r="A17262" s="250">
        <v>40512</v>
      </c>
      <c r="B17262" s="74" t="s">
        <v>966</v>
      </c>
      <c r="C17262" s="74" t="s">
        <v>428</v>
      </c>
    </row>
    <row r="17263" spans="1:3">
      <c r="A17263" s="250">
        <v>40513</v>
      </c>
      <c r="B17263" s="74" t="s">
        <v>966</v>
      </c>
      <c r="C17263" s="74" t="s">
        <v>428</v>
      </c>
    </row>
    <row r="17264" spans="1:3">
      <c r="A17264" s="250">
        <v>40514</v>
      </c>
      <c r="B17264" s="74" t="s">
        <v>966</v>
      </c>
      <c r="C17264" s="74" t="s">
        <v>428</v>
      </c>
    </row>
    <row r="17265" spans="1:3">
      <c r="A17265" s="250">
        <v>40515</v>
      </c>
      <c r="B17265" s="74" t="s">
        <v>966</v>
      </c>
      <c r="C17265" s="74" t="s">
        <v>428</v>
      </c>
    </row>
    <row r="17266" spans="1:3">
      <c r="A17266" s="250">
        <v>40516</v>
      </c>
      <c r="B17266" s="74" t="s">
        <v>966</v>
      </c>
      <c r="C17266" s="74" t="s">
        <v>428</v>
      </c>
    </row>
    <row r="17267" spans="1:3">
      <c r="A17267" s="250">
        <v>40517</v>
      </c>
      <c r="B17267" s="74" t="s">
        <v>966</v>
      </c>
      <c r="C17267" s="74" t="s">
        <v>428</v>
      </c>
    </row>
    <row r="17268" spans="1:3">
      <c r="A17268" s="250">
        <v>40522</v>
      </c>
      <c r="B17268" s="74" t="s">
        <v>966</v>
      </c>
      <c r="C17268" s="74" t="s">
        <v>428</v>
      </c>
    </row>
    <row r="17269" spans="1:3">
      <c r="A17269" s="250">
        <v>40523</v>
      </c>
      <c r="B17269" s="74" t="s">
        <v>966</v>
      </c>
      <c r="C17269" s="74" t="s">
        <v>428</v>
      </c>
    </row>
    <row r="17270" spans="1:3">
      <c r="A17270" s="250">
        <v>40524</v>
      </c>
      <c r="B17270" s="74" t="s">
        <v>966</v>
      </c>
      <c r="C17270" s="74" t="s">
        <v>428</v>
      </c>
    </row>
    <row r="17271" spans="1:3">
      <c r="A17271" s="250">
        <v>40526</v>
      </c>
      <c r="B17271" s="74" t="s">
        <v>966</v>
      </c>
      <c r="C17271" s="74" t="s">
        <v>428</v>
      </c>
    </row>
    <row r="17272" spans="1:3">
      <c r="A17272" s="250">
        <v>40533</v>
      </c>
      <c r="B17272" s="74" t="s">
        <v>966</v>
      </c>
      <c r="C17272" s="74" t="s">
        <v>428</v>
      </c>
    </row>
    <row r="17273" spans="1:3">
      <c r="A17273" s="250">
        <v>40536</v>
      </c>
      <c r="B17273" s="74" t="s">
        <v>966</v>
      </c>
      <c r="C17273" s="74" t="s">
        <v>428</v>
      </c>
    </row>
    <row r="17274" spans="1:3">
      <c r="A17274" s="250">
        <v>40544</v>
      </c>
      <c r="B17274" s="74" t="s">
        <v>966</v>
      </c>
      <c r="C17274" s="74" t="s">
        <v>428</v>
      </c>
    </row>
    <row r="17275" spans="1:3">
      <c r="A17275" s="250">
        <v>40546</v>
      </c>
      <c r="B17275" s="74" t="s">
        <v>966</v>
      </c>
      <c r="C17275" s="74" t="s">
        <v>428</v>
      </c>
    </row>
    <row r="17276" spans="1:3">
      <c r="A17276" s="250">
        <v>40550</v>
      </c>
      <c r="B17276" s="74" t="s">
        <v>966</v>
      </c>
      <c r="C17276" s="74" t="s">
        <v>428</v>
      </c>
    </row>
    <row r="17277" spans="1:3">
      <c r="A17277" s="250">
        <v>40555</v>
      </c>
      <c r="B17277" s="74" t="s">
        <v>966</v>
      </c>
      <c r="C17277" s="74" t="s">
        <v>428</v>
      </c>
    </row>
    <row r="17278" spans="1:3">
      <c r="A17278" s="250">
        <v>40574</v>
      </c>
      <c r="B17278" s="74" t="s">
        <v>966</v>
      </c>
      <c r="C17278" s="74" t="s">
        <v>428</v>
      </c>
    </row>
    <row r="17279" spans="1:3">
      <c r="A17279" s="250">
        <v>40575</v>
      </c>
      <c r="B17279" s="74" t="s">
        <v>966</v>
      </c>
      <c r="C17279" s="74" t="s">
        <v>428</v>
      </c>
    </row>
    <row r="17280" spans="1:3">
      <c r="A17280" s="250">
        <v>40576</v>
      </c>
      <c r="B17280" s="74" t="s">
        <v>966</v>
      </c>
      <c r="C17280" s="74" t="s">
        <v>428</v>
      </c>
    </row>
    <row r="17281" spans="1:3">
      <c r="A17281" s="250">
        <v>40577</v>
      </c>
      <c r="B17281" s="74" t="s">
        <v>966</v>
      </c>
      <c r="C17281" s="74" t="s">
        <v>428</v>
      </c>
    </row>
    <row r="17282" spans="1:3">
      <c r="A17282" s="250">
        <v>40578</v>
      </c>
      <c r="B17282" s="74" t="s">
        <v>966</v>
      </c>
      <c r="C17282" s="74" t="s">
        <v>428</v>
      </c>
    </row>
    <row r="17283" spans="1:3">
      <c r="A17283" s="250">
        <v>40579</v>
      </c>
      <c r="B17283" s="74" t="s">
        <v>966</v>
      </c>
      <c r="C17283" s="74" t="s">
        <v>428</v>
      </c>
    </row>
    <row r="17284" spans="1:3">
      <c r="A17284" s="250">
        <v>40580</v>
      </c>
      <c r="B17284" s="74" t="s">
        <v>966</v>
      </c>
      <c r="C17284" s="74" t="s">
        <v>428</v>
      </c>
    </row>
    <row r="17285" spans="1:3">
      <c r="A17285" s="250">
        <v>40581</v>
      </c>
      <c r="B17285" s="74" t="s">
        <v>966</v>
      </c>
      <c r="C17285" s="74" t="s">
        <v>428</v>
      </c>
    </row>
    <row r="17286" spans="1:3">
      <c r="A17286" s="250">
        <v>40582</v>
      </c>
      <c r="B17286" s="74" t="s">
        <v>966</v>
      </c>
      <c r="C17286" s="74" t="s">
        <v>428</v>
      </c>
    </row>
    <row r="17287" spans="1:3">
      <c r="A17287" s="250">
        <v>40583</v>
      </c>
      <c r="B17287" s="74" t="s">
        <v>966</v>
      </c>
      <c r="C17287" s="74" t="s">
        <v>428</v>
      </c>
    </row>
    <row r="17288" spans="1:3">
      <c r="A17288" s="250">
        <v>40588</v>
      </c>
      <c r="B17288" s="74" t="s">
        <v>966</v>
      </c>
      <c r="C17288" s="74" t="s">
        <v>428</v>
      </c>
    </row>
    <row r="17289" spans="1:3">
      <c r="A17289" s="250">
        <v>40591</v>
      </c>
      <c r="B17289" s="74" t="s">
        <v>966</v>
      </c>
      <c r="C17289" s="74" t="s">
        <v>428</v>
      </c>
    </row>
    <row r="17290" spans="1:3">
      <c r="A17290" s="250">
        <v>40598</v>
      </c>
      <c r="B17290" s="74" t="s">
        <v>966</v>
      </c>
      <c r="C17290" s="74" t="s">
        <v>428</v>
      </c>
    </row>
    <row r="17291" spans="1:3">
      <c r="A17291" s="250">
        <v>40601</v>
      </c>
      <c r="B17291" s="74" t="s">
        <v>1505</v>
      </c>
      <c r="C17291" s="74" t="s">
        <v>428</v>
      </c>
    </row>
    <row r="17292" spans="1:3">
      <c r="A17292" s="250">
        <v>40602</v>
      </c>
      <c r="B17292" s="74" t="s">
        <v>1505</v>
      </c>
      <c r="C17292" s="74" t="s">
        <v>428</v>
      </c>
    </row>
    <row r="17293" spans="1:3">
      <c r="A17293" s="250">
        <v>40603</v>
      </c>
      <c r="B17293" s="74" t="s">
        <v>1505</v>
      </c>
      <c r="C17293" s="74" t="s">
        <v>428</v>
      </c>
    </row>
    <row r="17294" spans="1:3">
      <c r="A17294" s="250">
        <v>40604</v>
      </c>
      <c r="B17294" s="74" t="s">
        <v>1505</v>
      </c>
      <c r="C17294" s="74" t="s">
        <v>428</v>
      </c>
    </row>
    <row r="17295" spans="1:3">
      <c r="A17295" s="250">
        <v>40618</v>
      </c>
      <c r="B17295" s="74" t="s">
        <v>1505</v>
      </c>
      <c r="C17295" s="74" t="s">
        <v>428</v>
      </c>
    </row>
    <row r="17296" spans="1:3">
      <c r="A17296" s="250">
        <v>40619</v>
      </c>
      <c r="B17296" s="74" t="s">
        <v>1505</v>
      </c>
      <c r="C17296" s="74" t="s">
        <v>428</v>
      </c>
    </row>
    <row r="17297" spans="1:3">
      <c r="A17297" s="250">
        <v>40620</v>
      </c>
      <c r="B17297" s="74" t="s">
        <v>1505</v>
      </c>
      <c r="C17297" s="74" t="s">
        <v>428</v>
      </c>
    </row>
    <row r="17298" spans="1:3">
      <c r="A17298" s="250">
        <v>40621</v>
      </c>
      <c r="B17298" s="74" t="s">
        <v>1505</v>
      </c>
      <c r="C17298" s="74" t="s">
        <v>428</v>
      </c>
    </row>
    <row r="17299" spans="1:3">
      <c r="A17299" s="250">
        <v>40622</v>
      </c>
      <c r="B17299" s="74" t="s">
        <v>1505</v>
      </c>
      <c r="C17299" s="74" t="s">
        <v>428</v>
      </c>
    </row>
    <row r="17300" spans="1:3">
      <c r="A17300" s="250">
        <v>40701</v>
      </c>
      <c r="B17300" s="74" t="s">
        <v>5888</v>
      </c>
      <c r="C17300" s="74" t="s">
        <v>428</v>
      </c>
    </row>
    <row r="17301" spans="1:3">
      <c r="A17301" s="250">
        <v>40702</v>
      </c>
      <c r="B17301" s="74" t="s">
        <v>5888</v>
      </c>
      <c r="C17301" s="74" t="s">
        <v>428</v>
      </c>
    </row>
    <row r="17302" spans="1:3">
      <c r="A17302" s="250">
        <v>40724</v>
      </c>
      <c r="B17302" s="74" t="s">
        <v>9658</v>
      </c>
      <c r="C17302" s="74" t="s">
        <v>428</v>
      </c>
    </row>
    <row r="17303" spans="1:3">
      <c r="A17303" s="250">
        <v>40729</v>
      </c>
      <c r="B17303" s="74" t="s">
        <v>9659</v>
      </c>
      <c r="C17303" s="74" t="s">
        <v>428</v>
      </c>
    </row>
    <row r="17304" spans="1:3">
      <c r="A17304" s="250">
        <v>40730</v>
      </c>
      <c r="B17304" s="74" t="s">
        <v>9660</v>
      </c>
      <c r="C17304" s="74" t="s">
        <v>428</v>
      </c>
    </row>
    <row r="17305" spans="1:3">
      <c r="A17305" s="250">
        <v>40734</v>
      </c>
      <c r="B17305" s="74" t="s">
        <v>1385</v>
      </c>
      <c r="C17305" s="74" t="s">
        <v>428</v>
      </c>
    </row>
    <row r="17306" spans="1:3">
      <c r="A17306" s="250">
        <v>40737</v>
      </c>
      <c r="B17306" s="74" t="s">
        <v>9661</v>
      </c>
      <c r="C17306" s="74" t="s">
        <v>428</v>
      </c>
    </row>
    <row r="17307" spans="1:3">
      <c r="A17307" s="250">
        <v>40740</v>
      </c>
      <c r="B17307" s="74" t="s">
        <v>9662</v>
      </c>
      <c r="C17307" s="74" t="s">
        <v>428</v>
      </c>
    </row>
    <row r="17308" spans="1:3">
      <c r="A17308" s="250">
        <v>40741</v>
      </c>
      <c r="B17308" s="74" t="s">
        <v>6625</v>
      </c>
      <c r="C17308" s="74" t="s">
        <v>428</v>
      </c>
    </row>
    <row r="17309" spans="1:3">
      <c r="A17309" s="250">
        <v>40742</v>
      </c>
      <c r="B17309" s="74" t="s">
        <v>6625</v>
      </c>
      <c r="C17309" s="74" t="s">
        <v>428</v>
      </c>
    </row>
    <row r="17310" spans="1:3">
      <c r="A17310" s="250">
        <v>40743</v>
      </c>
      <c r="B17310" s="74" t="s">
        <v>6625</v>
      </c>
      <c r="C17310" s="74" t="s">
        <v>428</v>
      </c>
    </row>
    <row r="17311" spans="1:3">
      <c r="A17311" s="250">
        <v>40744</v>
      </c>
      <c r="B17311" s="74" t="s">
        <v>6625</v>
      </c>
      <c r="C17311" s="74" t="s">
        <v>428</v>
      </c>
    </row>
    <row r="17312" spans="1:3">
      <c r="A17312" s="250">
        <v>40745</v>
      </c>
      <c r="B17312" s="74" t="s">
        <v>6625</v>
      </c>
      <c r="C17312" s="74" t="s">
        <v>428</v>
      </c>
    </row>
    <row r="17313" spans="1:3">
      <c r="A17313" s="250">
        <v>40754</v>
      </c>
      <c r="B17313" s="74" t="s">
        <v>9663</v>
      </c>
      <c r="C17313" s="74" t="s">
        <v>428</v>
      </c>
    </row>
    <row r="17314" spans="1:3">
      <c r="A17314" s="250">
        <v>40755</v>
      </c>
      <c r="B17314" s="74" t="s">
        <v>1259</v>
      </c>
      <c r="C17314" s="74" t="s">
        <v>428</v>
      </c>
    </row>
    <row r="17315" spans="1:3">
      <c r="A17315" s="250">
        <v>40759</v>
      </c>
      <c r="B17315" s="74" t="s">
        <v>9664</v>
      </c>
      <c r="C17315" s="74" t="s">
        <v>428</v>
      </c>
    </row>
    <row r="17316" spans="1:3">
      <c r="A17316" s="250">
        <v>40763</v>
      </c>
      <c r="B17316" s="74" t="s">
        <v>9665</v>
      </c>
      <c r="C17316" s="74" t="s">
        <v>428</v>
      </c>
    </row>
    <row r="17317" spans="1:3">
      <c r="A17317" s="250">
        <v>40769</v>
      </c>
      <c r="B17317" s="74" t="s">
        <v>631</v>
      </c>
      <c r="C17317" s="74" t="s">
        <v>428</v>
      </c>
    </row>
    <row r="17318" spans="1:3">
      <c r="A17318" s="250">
        <v>40771</v>
      </c>
      <c r="B17318" s="74" t="s">
        <v>2472</v>
      </c>
      <c r="C17318" s="74" t="s">
        <v>428</v>
      </c>
    </row>
    <row r="17319" spans="1:3">
      <c r="A17319" s="250">
        <v>40801</v>
      </c>
      <c r="B17319" s="74" t="s">
        <v>9666</v>
      </c>
      <c r="C17319" s="74" t="s">
        <v>428</v>
      </c>
    </row>
    <row r="17320" spans="1:3">
      <c r="A17320" s="250">
        <v>40803</v>
      </c>
      <c r="B17320" s="74" t="s">
        <v>9667</v>
      </c>
      <c r="C17320" s="74" t="s">
        <v>428</v>
      </c>
    </row>
    <row r="17321" spans="1:3">
      <c r="A17321" s="250">
        <v>40806</v>
      </c>
      <c r="B17321" s="74" t="s">
        <v>6978</v>
      </c>
      <c r="C17321" s="74" t="s">
        <v>428</v>
      </c>
    </row>
    <row r="17322" spans="1:3">
      <c r="A17322" s="250">
        <v>40807</v>
      </c>
      <c r="B17322" s="74" t="s">
        <v>9668</v>
      </c>
      <c r="C17322" s="74" t="s">
        <v>428</v>
      </c>
    </row>
    <row r="17323" spans="1:3">
      <c r="A17323" s="250">
        <v>40808</v>
      </c>
      <c r="B17323" s="74" t="s">
        <v>9669</v>
      </c>
      <c r="C17323" s="74" t="s">
        <v>428</v>
      </c>
    </row>
    <row r="17324" spans="1:3">
      <c r="A17324" s="250">
        <v>40810</v>
      </c>
      <c r="B17324" s="74" t="s">
        <v>9670</v>
      </c>
      <c r="C17324" s="74" t="s">
        <v>428</v>
      </c>
    </row>
    <row r="17325" spans="1:3">
      <c r="A17325" s="250">
        <v>40813</v>
      </c>
      <c r="B17325" s="74" t="s">
        <v>4536</v>
      </c>
      <c r="C17325" s="74" t="s">
        <v>428</v>
      </c>
    </row>
    <row r="17326" spans="1:3">
      <c r="A17326" s="250">
        <v>40815</v>
      </c>
      <c r="B17326" s="74" t="s">
        <v>9671</v>
      </c>
      <c r="C17326" s="74" t="s">
        <v>428</v>
      </c>
    </row>
    <row r="17327" spans="1:3">
      <c r="A17327" s="250">
        <v>40816</v>
      </c>
      <c r="B17327" s="74" t="s">
        <v>9672</v>
      </c>
      <c r="C17327" s="74" t="s">
        <v>428</v>
      </c>
    </row>
    <row r="17328" spans="1:3">
      <c r="A17328" s="250">
        <v>40818</v>
      </c>
      <c r="B17328" s="74" t="s">
        <v>9673</v>
      </c>
      <c r="C17328" s="74" t="s">
        <v>428</v>
      </c>
    </row>
    <row r="17329" spans="1:3">
      <c r="A17329" s="250">
        <v>40819</v>
      </c>
      <c r="B17329" s="74" t="s">
        <v>9674</v>
      </c>
      <c r="C17329" s="74" t="s">
        <v>428</v>
      </c>
    </row>
    <row r="17330" spans="1:3">
      <c r="A17330" s="250">
        <v>40820</v>
      </c>
      <c r="B17330" s="74" t="s">
        <v>9675</v>
      </c>
      <c r="C17330" s="74" t="s">
        <v>428</v>
      </c>
    </row>
    <row r="17331" spans="1:3">
      <c r="A17331" s="250">
        <v>40823</v>
      </c>
      <c r="B17331" s="74" t="s">
        <v>1125</v>
      </c>
      <c r="C17331" s="74" t="s">
        <v>428</v>
      </c>
    </row>
    <row r="17332" spans="1:3">
      <c r="A17332" s="250">
        <v>40824</v>
      </c>
      <c r="B17332" s="74" t="s">
        <v>9676</v>
      </c>
      <c r="C17332" s="74" t="s">
        <v>428</v>
      </c>
    </row>
    <row r="17333" spans="1:3">
      <c r="A17333" s="250">
        <v>40826</v>
      </c>
      <c r="B17333" s="74" t="s">
        <v>9677</v>
      </c>
      <c r="C17333" s="74" t="s">
        <v>428</v>
      </c>
    </row>
    <row r="17334" spans="1:3">
      <c r="A17334" s="250">
        <v>40827</v>
      </c>
      <c r="B17334" s="74" t="s">
        <v>9678</v>
      </c>
      <c r="C17334" s="74" t="s">
        <v>428</v>
      </c>
    </row>
    <row r="17335" spans="1:3">
      <c r="A17335" s="250">
        <v>40828</v>
      </c>
      <c r="B17335" s="74" t="s">
        <v>9679</v>
      </c>
      <c r="C17335" s="74" t="s">
        <v>428</v>
      </c>
    </row>
    <row r="17336" spans="1:3">
      <c r="A17336" s="250">
        <v>40829</v>
      </c>
      <c r="B17336" s="74" t="s">
        <v>9680</v>
      </c>
      <c r="C17336" s="74" t="s">
        <v>428</v>
      </c>
    </row>
    <row r="17337" spans="1:3">
      <c r="A17337" s="250">
        <v>40830</v>
      </c>
      <c r="B17337" s="74" t="s">
        <v>9681</v>
      </c>
      <c r="C17337" s="74" t="s">
        <v>428</v>
      </c>
    </row>
    <row r="17338" spans="1:3">
      <c r="A17338" s="250">
        <v>40831</v>
      </c>
      <c r="B17338" s="74" t="s">
        <v>9682</v>
      </c>
      <c r="C17338" s="74" t="s">
        <v>428</v>
      </c>
    </row>
    <row r="17339" spans="1:3">
      <c r="A17339" s="250">
        <v>40840</v>
      </c>
      <c r="B17339" s="74" t="s">
        <v>9683</v>
      </c>
      <c r="C17339" s="74" t="s">
        <v>428</v>
      </c>
    </row>
    <row r="17340" spans="1:3">
      <c r="A17340" s="250">
        <v>40843</v>
      </c>
      <c r="B17340" s="74" t="s">
        <v>9684</v>
      </c>
      <c r="C17340" s="74" t="s">
        <v>428</v>
      </c>
    </row>
    <row r="17341" spans="1:3">
      <c r="A17341" s="250">
        <v>40844</v>
      </c>
      <c r="B17341" s="74" t="s">
        <v>9685</v>
      </c>
      <c r="C17341" s="74" t="s">
        <v>428</v>
      </c>
    </row>
    <row r="17342" spans="1:3">
      <c r="A17342" s="250">
        <v>40845</v>
      </c>
      <c r="B17342" s="74" t="s">
        <v>9686</v>
      </c>
      <c r="C17342" s="74" t="s">
        <v>428</v>
      </c>
    </row>
    <row r="17343" spans="1:3">
      <c r="A17343" s="250">
        <v>40847</v>
      </c>
      <c r="B17343" s="74" t="s">
        <v>9687</v>
      </c>
      <c r="C17343" s="74" t="s">
        <v>428</v>
      </c>
    </row>
    <row r="17344" spans="1:3">
      <c r="A17344" s="250">
        <v>40849</v>
      </c>
      <c r="B17344" s="74" t="s">
        <v>9688</v>
      </c>
      <c r="C17344" s="74" t="s">
        <v>428</v>
      </c>
    </row>
    <row r="17345" spans="1:3">
      <c r="A17345" s="250">
        <v>40854</v>
      </c>
      <c r="B17345" s="74" t="s">
        <v>9689</v>
      </c>
      <c r="C17345" s="74" t="s">
        <v>428</v>
      </c>
    </row>
    <row r="17346" spans="1:3">
      <c r="A17346" s="250">
        <v>40855</v>
      </c>
      <c r="B17346" s="74" t="s">
        <v>9690</v>
      </c>
      <c r="C17346" s="74" t="s">
        <v>428</v>
      </c>
    </row>
    <row r="17347" spans="1:3">
      <c r="A17347" s="250">
        <v>40856</v>
      </c>
      <c r="B17347" s="74" t="s">
        <v>9691</v>
      </c>
      <c r="C17347" s="74" t="s">
        <v>428</v>
      </c>
    </row>
    <row r="17348" spans="1:3">
      <c r="A17348" s="250">
        <v>40858</v>
      </c>
      <c r="B17348" s="74" t="s">
        <v>9692</v>
      </c>
      <c r="C17348" s="74" t="s">
        <v>428</v>
      </c>
    </row>
    <row r="17349" spans="1:3">
      <c r="A17349" s="250">
        <v>40862</v>
      </c>
      <c r="B17349" s="74" t="s">
        <v>9693</v>
      </c>
      <c r="C17349" s="74" t="s">
        <v>428</v>
      </c>
    </row>
    <row r="17350" spans="1:3">
      <c r="A17350" s="250">
        <v>40863</v>
      </c>
      <c r="B17350" s="74" t="s">
        <v>9694</v>
      </c>
      <c r="C17350" s="74" t="s">
        <v>428</v>
      </c>
    </row>
    <row r="17351" spans="1:3">
      <c r="A17351" s="250">
        <v>40865</v>
      </c>
      <c r="B17351" s="74" t="s">
        <v>1786</v>
      </c>
      <c r="C17351" s="74" t="s">
        <v>428</v>
      </c>
    </row>
    <row r="17352" spans="1:3">
      <c r="A17352" s="250">
        <v>40868</v>
      </c>
      <c r="B17352" s="74" t="s">
        <v>9695</v>
      </c>
      <c r="C17352" s="74" t="s">
        <v>428</v>
      </c>
    </row>
    <row r="17353" spans="1:3">
      <c r="A17353" s="250">
        <v>40870</v>
      </c>
      <c r="B17353" s="74" t="s">
        <v>9696</v>
      </c>
      <c r="C17353" s="74" t="s">
        <v>428</v>
      </c>
    </row>
    <row r="17354" spans="1:3">
      <c r="A17354" s="250">
        <v>40873</v>
      </c>
      <c r="B17354" s="74" t="s">
        <v>9697</v>
      </c>
      <c r="C17354" s="74" t="s">
        <v>428</v>
      </c>
    </row>
    <row r="17355" spans="1:3">
      <c r="A17355" s="250">
        <v>40874</v>
      </c>
      <c r="B17355" s="74" t="s">
        <v>9698</v>
      </c>
      <c r="C17355" s="74" t="s">
        <v>428</v>
      </c>
    </row>
    <row r="17356" spans="1:3">
      <c r="A17356" s="250">
        <v>40902</v>
      </c>
      <c r="B17356" s="74" t="s">
        <v>9699</v>
      </c>
      <c r="C17356" s="74" t="s">
        <v>428</v>
      </c>
    </row>
    <row r="17357" spans="1:3">
      <c r="A17357" s="250">
        <v>40903</v>
      </c>
      <c r="B17357" s="74" t="s">
        <v>9700</v>
      </c>
      <c r="C17357" s="74" t="s">
        <v>428</v>
      </c>
    </row>
    <row r="17358" spans="1:3">
      <c r="A17358" s="250">
        <v>40906</v>
      </c>
      <c r="B17358" s="74" t="s">
        <v>9701</v>
      </c>
      <c r="C17358" s="74" t="s">
        <v>428</v>
      </c>
    </row>
    <row r="17359" spans="1:3">
      <c r="A17359" s="250">
        <v>40913</v>
      </c>
      <c r="B17359" s="74" t="s">
        <v>838</v>
      </c>
      <c r="C17359" s="74" t="s">
        <v>428</v>
      </c>
    </row>
    <row r="17360" spans="1:3">
      <c r="A17360" s="250">
        <v>40914</v>
      </c>
      <c r="B17360" s="74" t="s">
        <v>6705</v>
      </c>
      <c r="C17360" s="74" t="s">
        <v>428</v>
      </c>
    </row>
    <row r="17361" spans="1:3">
      <c r="A17361" s="250">
        <v>40915</v>
      </c>
      <c r="B17361" s="74" t="s">
        <v>9702</v>
      </c>
      <c r="C17361" s="74" t="s">
        <v>428</v>
      </c>
    </row>
    <row r="17362" spans="1:3">
      <c r="A17362" s="250">
        <v>40921</v>
      </c>
      <c r="B17362" s="74" t="s">
        <v>9703</v>
      </c>
      <c r="C17362" s="74" t="s">
        <v>428</v>
      </c>
    </row>
    <row r="17363" spans="1:3">
      <c r="A17363" s="250">
        <v>40923</v>
      </c>
      <c r="B17363" s="74" t="s">
        <v>9704</v>
      </c>
      <c r="C17363" s="74" t="s">
        <v>428</v>
      </c>
    </row>
    <row r="17364" spans="1:3">
      <c r="A17364" s="250">
        <v>40927</v>
      </c>
      <c r="B17364" s="74" t="s">
        <v>9705</v>
      </c>
      <c r="C17364" s="74" t="s">
        <v>428</v>
      </c>
    </row>
    <row r="17365" spans="1:3">
      <c r="A17365" s="250">
        <v>40930</v>
      </c>
      <c r="B17365" s="74" t="s">
        <v>6195</v>
      </c>
      <c r="C17365" s="74" t="s">
        <v>428</v>
      </c>
    </row>
    <row r="17366" spans="1:3">
      <c r="A17366" s="250">
        <v>40931</v>
      </c>
      <c r="B17366" s="74" t="s">
        <v>9706</v>
      </c>
      <c r="C17366" s="74" t="s">
        <v>428</v>
      </c>
    </row>
    <row r="17367" spans="1:3">
      <c r="A17367" s="250">
        <v>40932</v>
      </c>
      <c r="B17367" s="74" t="s">
        <v>9707</v>
      </c>
      <c r="C17367" s="74" t="s">
        <v>428</v>
      </c>
    </row>
    <row r="17368" spans="1:3">
      <c r="A17368" s="250">
        <v>40935</v>
      </c>
      <c r="B17368" s="74" t="s">
        <v>9708</v>
      </c>
      <c r="C17368" s="74" t="s">
        <v>428</v>
      </c>
    </row>
    <row r="17369" spans="1:3">
      <c r="A17369" s="250">
        <v>40939</v>
      </c>
      <c r="B17369" s="74" t="s">
        <v>9709</v>
      </c>
      <c r="C17369" s="74" t="s">
        <v>428</v>
      </c>
    </row>
    <row r="17370" spans="1:3">
      <c r="A17370" s="250">
        <v>40940</v>
      </c>
      <c r="B17370" s="74" t="s">
        <v>9710</v>
      </c>
      <c r="C17370" s="74" t="s">
        <v>428</v>
      </c>
    </row>
    <row r="17371" spans="1:3">
      <c r="A17371" s="250">
        <v>40941</v>
      </c>
      <c r="B17371" s="74" t="s">
        <v>9711</v>
      </c>
      <c r="C17371" s="74" t="s">
        <v>428</v>
      </c>
    </row>
    <row r="17372" spans="1:3">
      <c r="A17372" s="250">
        <v>40943</v>
      </c>
      <c r="B17372" s="74" t="s">
        <v>9712</v>
      </c>
      <c r="C17372" s="74" t="s">
        <v>428</v>
      </c>
    </row>
    <row r="17373" spans="1:3">
      <c r="A17373" s="250">
        <v>40944</v>
      </c>
      <c r="B17373" s="74" t="s">
        <v>9713</v>
      </c>
      <c r="C17373" s="74" t="s">
        <v>428</v>
      </c>
    </row>
    <row r="17374" spans="1:3">
      <c r="A17374" s="250">
        <v>40946</v>
      </c>
      <c r="B17374" s="74" t="s">
        <v>9714</v>
      </c>
      <c r="C17374" s="74" t="s">
        <v>428</v>
      </c>
    </row>
    <row r="17375" spans="1:3">
      <c r="A17375" s="250">
        <v>40949</v>
      </c>
      <c r="B17375" s="74" t="s">
        <v>9715</v>
      </c>
      <c r="C17375" s="74" t="s">
        <v>428</v>
      </c>
    </row>
    <row r="17376" spans="1:3">
      <c r="A17376" s="250">
        <v>40951</v>
      </c>
      <c r="B17376" s="74" t="s">
        <v>9716</v>
      </c>
      <c r="C17376" s="74" t="s">
        <v>428</v>
      </c>
    </row>
    <row r="17377" spans="1:3">
      <c r="A17377" s="250">
        <v>40953</v>
      </c>
      <c r="B17377" s="74" t="s">
        <v>9717</v>
      </c>
      <c r="C17377" s="74" t="s">
        <v>428</v>
      </c>
    </row>
    <row r="17378" spans="1:3">
      <c r="A17378" s="250">
        <v>40955</v>
      </c>
      <c r="B17378" s="74" t="s">
        <v>9718</v>
      </c>
      <c r="C17378" s="74" t="s">
        <v>428</v>
      </c>
    </row>
    <row r="17379" spans="1:3">
      <c r="A17379" s="250">
        <v>40958</v>
      </c>
      <c r="B17379" s="74" t="s">
        <v>9719</v>
      </c>
      <c r="C17379" s="74" t="s">
        <v>428</v>
      </c>
    </row>
    <row r="17380" spans="1:3">
      <c r="A17380" s="250">
        <v>40962</v>
      </c>
      <c r="B17380" s="74" t="s">
        <v>848</v>
      </c>
      <c r="C17380" s="74" t="s">
        <v>428</v>
      </c>
    </row>
    <row r="17381" spans="1:3">
      <c r="A17381" s="250">
        <v>40964</v>
      </c>
      <c r="B17381" s="74" t="s">
        <v>9720</v>
      </c>
      <c r="C17381" s="74" t="s">
        <v>428</v>
      </c>
    </row>
    <row r="17382" spans="1:3">
      <c r="A17382" s="250">
        <v>40965</v>
      </c>
      <c r="B17382" s="74" t="s">
        <v>9721</v>
      </c>
      <c r="C17382" s="74" t="s">
        <v>428</v>
      </c>
    </row>
    <row r="17383" spans="1:3">
      <c r="A17383" s="250">
        <v>40972</v>
      </c>
      <c r="B17383" s="74" t="s">
        <v>3483</v>
      </c>
      <c r="C17383" s="74" t="s">
        <v>428</v>
      </c>
    </row>
    <row r="17384" spans="1:3">
      <c r="A17384" s="250">
        <v>40977</v>
      </c>
      <c r="B17384" s="74" t="s">
        <v>5286</v>
      </c>
      <c r="C17384" s="74" t="s">
        <v>428</v>
      </c>
    </row>
    <row r="17385" spans="1:3">
      <c r="A17385" s="250">
        <v>40979</v>
      </c>
      <c r="B17385" s="74" t="s">
        <v>9722</v>
      </c>
      <c r="C17385" s="74" t="s">
        <v>428</v>
      </c>
    </row>
    <row r="17386" spans="1:3">
      <c r="A17386" s="250">
        <v>40981</v>
      </c>
      <c r="B17386" s="74" t="s">
        <v>9723</v>
      </c>
      <c r="C17386" s="74" t="s">
        <v>428</v>
      </c>
    </row>
    <row r="17387" spans="1:3">
      <c r="A17387" s="250">
        <v>40982</v>
      </c>
      <c r="B17387" s="74" t="s">
        <v>9724</v>
      </c>
      <c r="C17387" s="74" t="s">
        <v>428</v>
      </c>
    </row>
    <row r="17388" spans="1:3">
      <c r="A17388" s="250">
        <v>40983</v>
      </c>
      <c r="B17388" s="74" t="s">
        <v>9725</v>
      </c>
      <c r="C17388" s="74" t="s">
        <v>428</v>
      </c>
    </row>
    <row r="17389" spans="1:3">
      <c r="A17389" s="250">
        <v>40988</v>
      </c>
      <c r="B17389" s="74" t="s">
        <v>9726</v>
      </c>
      <c r="C17389" s="74" t="s">
        <v>428</v>
      </c>
    </row>
    <row r="17390" spans="1:3">
      <c r="A17390" s="250">
        <v>40995</v>
      </c>
      <c r="B17390" s="74" t="s">
        <v>9727</v>
      </c>
      <c r="C17390" s="74" t="s">
        <v>428</v>
      </c>
    </row>
    <row r="17391" spans="1:3">
      <c r="A17391" s="250">
        <v>40997</v>
      </c>
      <c r="B17391" s="74" t="s">
        <v>6885</v>
      </c>
      <c r="C17391" s="74" t="s">
        <v>428</v>
      </c>
    </row>
    <row r="17392" spans="1:3">
      <c r="A17392" s="250">
        <v>40999</v>
      </c>
      <c r="B17392" s="74" t="s">
        <v>9728</v>
      </c>
      <c r="C17392" s="74" t="s">
        <v>428</v>
      </c>
    </row>
    <row r="17393" spans="1:3">
      <c r="A17393" s="250">
        <v>41001</v>
      </c>
      <c r="B17393" s="74" t="s">
        <v>4530</v>
      </c>
      <c r="C17393" s="74" t="s">
        <v>428</v>
      </c>
    </row>
    <row r="17394" spans="1:3">
      <c r="A17394" s="250">
        <v>41002</v>
      </c>
      <c r="B17394" s="74" t="s">
        <v>1473</v>
      </c>
      <c r="C17394" s="74" t="s">
        <v>428</v>
      </c>
    </row>
    <row r="17395" spans="1:3">
      <c r="A17395" s="250">
        <v>41003</v>
      </c>
      <c r="B17395" s="74" t="s">
        <v>8709</v>
      </c>
      <c r="C17395" s="74" t="s">
        <v>428</v>
      </c>
    </row>
    <row r="17396" spans="1:3">
      <c r="A17396" s="250">
        <v>41004</v>
      </c>
      <c r="B17396" s="74" t="s">
        <v>1572</v>
      </c>
      <c r="C17396" s="74" t="s">
        <v>428</v>
      </c>
    </row>
    <row r="17397" spans="1:3">
      <c r="A17397" s="250">
        <v>41005</v>
      </c>
      <c r="B17397" s="74" t="s">
        <v>806</v>
      </c>
      <c r="C17397" s="74" t="s">
        <v>428</v>
      </c>
    </row>
    <row r="17398" spans="1:3">
      <c r="A17398" s="250">
        <v>41006</v>
      </c>
      <c r="B17398" s="74" t="s">
        <v>2183</v>
      </c>
      <c r="C17398" s="74" t="s">
        <v>428</v>
      </c>
    </row>
    <row r="17399" spans="1:3">
      <c r="A17399" s="250">
        <v>41007</v>
      </c>
      <c r="B17399" s="74" t="s">
        <v>4093</v>
      </c>
      <c r="C17399" s="74" t="s">
        <v>428</v>
      </c>
    </row>
    <row r="17400" spans="1:3">
      <c r="A17400" s="250">
        <v>41008</v>
      </c>
      <c r="B17400" s="74" t="s">
        <v>6129</v>
      </c>
      <c r="C17400" s="74" t="s">
        <v>428</v>
      </c>
    </row>
    <row r="17401" spans="1:3">
      <c r="A17401" s="250">
        <v>41010</v>
      </c>
      <c r="B17401" s="74" t="s">
        <v>1501</v>
      </c>
      <c r="C17401" s="74" t="s">
        <v>428</v>
      </c>
    </row>
    <row r="17402" spans="1:3">
      <c r="A17402" s="250">
        <v>41011</v>
      </c>
      <c r="B17402" s="74" t="s">
        <v>4668</v>
      </c>
      <c r="C17402" s="74" t="s">
        <v>428</v>
      </c>
    </row>
    <row r="17403" spans="1:3">
      <c r="A17403" s="250">
        <v>41012</v>
      </c>
      <c r="B17403" s="74" t="s">
        <v>4668</v>
      </c>
      <c r="C17403" s="74" t="s">
        <v>428</v>
      </c>
    </row>
    <row r="17404" spans="1:3">
      <c r="A17404" s="250">
        <v>41014</v>
      </c>
      <c r="B17404" s="74" t="s">
        <v>4668</v>
      </c>
      <c r="C17404" s="74" t="s">
        <v>428</v>
      </c>
    </row>
    <row r="17405" spans="1:3">
      <c r="A17405" s="250">
        <v>41015</v>
      </c>
      <c r="B17405" s="74" t="s">
        <v>9729</v>
      </c>
      <c r="C17405" s="74" t="s">
        <v>428</v>
      </c>
    </row>
    <row r="17406" spans="1:3">
      <c r="A17406" s="250">
        <v>41016</v>
      </c>
      <c r="B17406" s="74" t="s">
        <v>4668</v>
      </c>
      <c r="C17406" s="74" t="s">
        <v>428</v>
      </c>
    </row>
    <row r="17407" spans="1:3">
      <c r="A17407" s="250">
        <v>41017</v>
      </c>
      <c r="B17407" s="74" t="s">
        <v>9730</v>
      </c>
      <c r="C17407" s="74" t="s">
        <v>428</v>
      </c>
    </row>
    <row r="17408" spans="1:3">
      <c r="A17408" s="250">
        <v>41018</v>
      </c>
      <c r="B17408" s="74" t="s">
        <v>9731</v>
      </c>
      <c r="C17408" s="74" t="s">
        <v>428</v>
      </c>
    </row>
    <row r="17409" spans="1:3">
      <c r="A17409" s="250">
        <v>41019</v>
      </c>
      <c r="B17409" s="74" t="s">
        <v>4668</v>
      </c>
      <c r="C17409" s="74" t="s">
        <v>428</v>
      </c>
    </row>
    <row r="17410" spans="1:3">
      <c r="A17410" s="250">
        <v>41022</v>
      </c>
      <c r="B17410" s="74" t="s">
        <v>608</v>
      </c>
      <c r="C17410" s="74" t="s">
        <v>428</v>
      </c>
    </row>
    <row r="17411" spans="1:3">
      <c r="A17411" s="250">
        <v>41030</v>
      </c>
      <c r="B17411" s="74" t="s">
        <v>3690</v>
      </c>
      <c r="C17411" s="74" t="s">
        <v>428</v>
      </c>
    </row>
    <row r="17412" spans="1:3">
      <c r="A17412" s="250">
        <v>41031</v>
      </c>
      <c r="B17412" s="74" t="s">
        <v>9732</v>
      </c>
      <c r="C17412" s="74" t="s">
        <v>428</v>
      </c>
    </row>
    <row r="17413" spans="1:3">
      <c r="A17413" s="250">
        <v>41033</v>
      </c>
      <c r="B17413" s="74" t="s">
        <v>9733</v>
      </c>
      <c r="C17413" s="74" t="s">
        <v>428</v>
      </c>
    </row>
    <row r="17414" spans="1:3">
      <c r="A17414" s="250">
        <v>41034</v>
      </c>
      <c r="B17414" s="74" t="s">
        <v>869</v>
      </c>
      <c r="C17414" s="74" t="s">
        <v>428</v>
      </c>
    </row>
    <row r="17415" spans="1:3">
      <c r="A17415" s="250">
        <v>41035</v>
      </c>
      <c r="B17415" s="74" t="s">
        <v>9734</v>
      </c>
      <c r="C17415" s="74" t="s">
        <v>428</v>
      </c>
    </row>
    <row r="17416" spans="1:3">
      <c r="A17416" s="250">
        <v>41037</v>
      </c>
      <c r="B17416" s="74" t="s">
        <v>3116</v>
      </c>
      <c r="C17416" s="74" t="s">
        <v>428</v>
      </c>
    </row>
    <row r="17417" spans="1:3">
      <c r="A17417" s="250">
        <v>41039</v>
      </c>
      <c r="B17417" s="74" t="s">
        <v>6327</v>
      </c>
      <c r="C17417" s="74" t="s">
        <v>428</v>
      </c>
    </row>
    <row r="17418" spans="1:3">
      <c r="A17418" s="250">
        <v>41040</v>
      </c>
      <c r="B17418" s="74" t="s">
        <v>1001</v>
      </c>
      <c r="C17418" s="74" t="s">
        <v>428</v>
      </c>
    </row>
    <row r="17419" spans="1:3">
      <c r="A17419" s="250">
        <v>41041</v>
      </c>
      <c r="B17419" s="74" t="s">
        <v>9735</v>
      </c>
      <c r="C17419" s="74" t="s">
        <v>428</v>
      </c>
    </row>
    <row r="17420" spans="1:3">
      <c r="A17420" s="250">
        <v>41042</v>
      </c>
      <c r="B17420" s="74" t="s">
        <v>608</v>
      </c>
      <c r="C17420" s="74" t="s">
        <v>428</v>
      </c>
    </row>
    <row r="17421" spans="1:3">
      <c r="A17421" s="250">
        <v>41043</v>
      </c>
      <c r="B17421" s="74" t="s">
        <v>1106</v>
      </c>
      <c r="C17421" s="74" t="s">
        <v>428</v>
      </c>
    </row>
    <row r="17422" spans="1:3">
      <c r="A17422" s="250">
        <v>41044</v>
      </c>
      <c r="B17422" s="74" t="s">
        <v>3118</v>
      </c>
      <c r="C17422" s="74" t="s">
        <v>428</v>
      </c>
    </row>
    <row r="17423" spans="1:3">
      <c r="A17423" s="250">
        <v>41045</v>
      </c>
      <c r="B17423" s="74" t="s">
        <v>2957</v>
      </c>
      <c r="C17423" s="74" t="s">
        <v>428</v>
      </c>
    </row>
    <row r="17424" spans="1:3">
      <c r="A17424" s="250">
        <v>41046</v>
      </c>
      <c r="B17424" s="74" t="s">
        <v>9736</v>
      </c>
      <c r="C17424" s="74" t="s">
        <v>428</v>
      </c>
    </row>
    <row r="17425" spans="1:3">
      <c r="A17425" s="250">
        <v>41048</v>
      </c>
      <c r="B17425" s="74" t="s">
        <v>1190</v>
      </c>
      <c r="C17425" s="74" t="s">
        <v>428</v>
      </c>
    </row>
    <row r="17426" spans="1:3">
      <c r="A17426" s="250">
        <v>41049</v>
      </c>
      <c r="B17426" s="74" t="s">
        <v>5758</v>
      </c>
      <c r="C17426" s="74" t="s">
        <v>428</v>
      </c>
    </row>
    <row r="17427" spans="1:3">
      <c r="A17427" s="250">
        <v>41051</v>
      </c>
      <c r="B17427" s="74" t="s">
        <v>6364</v>
      </c>
      <c r="C17427" s="74" t="s">
        <v>428</v>
      </c>
    </row>
    <row r="17428" spans="1:3">
      <c r="A17428" s="250">
        <v>41052</v>
      </c>
      <c r="B17428" s="74" t="s">
        <v>1819</v>
      </c>
      <c r="C17428" s="74" t="s">
        <v>428</v>
      </c>
    </row>
    <row r="17429" spans="1:3">
      <c r="A17429" s="250">
        <v>41053</v>
      </c>
      <c r="B17429" s="74" t="s">
        <v>5504</v>
      </c>
      <c r="C17429" s="74" t="s">
        <v>428</v>
      </c>
    </row>
    <row r="17430" spans="1:3">
      <c r="A17430" s="250">
        <v>41054</v>
      </c>
      <c r="B17430" s="74" t="s">
        <v>6673</v>
      </c>
      <c r="C17430" s="74" t="s">
        <v>428</v>
      </c>
    </row>
    <row r="17431" spans="1:3">
      <c r="A17431" s="250">
        <v>41055</v>
      </c>
      <c r="B17431" s="74" t="s">
        <v>9737</v>
      </c>
      <c r="C17431" s="74" t="s">
        <v>428</v>
      </c>
    </row>
    <row r="17432" spans="1:3">
      <c r="A17432" s="250">
        <v>41056</v>
      </c>
      <c r="B17432" s="74" t="s">
        <v>7041</v>
      </c>
      <c r="C17432" s="74" t="s">
        <v>428</v>
      </c>
    </row>
    <row r="17433" spans="1:3">
      <c r="A17433" s="250">
        <v>41059</v>
      </c>
      <c r="B17433" s="74" t="s">
        <v>8393</v>
      </c>
      <c r="C17433" s="74" t="s">
        <v>428</v>
      </c>
    </row>
    <row r="17434" spans="1:3">
      <c r="A17434" s="250">
        <v>41061</v>
      </c>
      <c r="B17434" s="74" t="s">
        <v>796</v>
      </c>
      <c r="C17434" s="74" t="s">
        <v>428</v>
      </c>
    </row>
    <row r="17435" spans="1:3">
      <c r="A17435" s="250">
        <v>41062</v>
      </c>
      <c r="B17435" s="74" t="s">
        <v>3249</v>
      </c>
      <c r="C17435" s="74" t="s">
        <v>428</v>
      </c>
    </row>
    <row r="17436" spans="1:3">
      <c r="A17436" s="250">
        <v>41063</v>
      </c>
      <c r="B17436" s="74" t="s">
        <v>9738</v>
      </c>
      <c r="C17436" s="74" t="s">
        <v>428</v>
      </c>
    </row>
    <row r="17437" spans="1:3">
      <c r="A17437" s="250">
        <v>41064</v>
      </c>
      <c r="B17437" s="74" t="s">
        <v>9739</v>
      </c>
      <c r="C17437" s="74" t="s">
        <v>428</v>
      </c>
    </row>
    <row r="17438" spans="1:3">
      <c r="A17438" s="250">
        <v>41065</v>
      </c>
      <c r="B17438" s="74" t="s">
        <v>9740</v>
      </c>
      <c r="C17438" s="74" t="s">
        <v>428</v>
      </c>
    </row>
    <row r="17439" spans="1:3">
      <c r="A17439" s="250">
        <v>41071</v>
      </c>
      <c r="B17439" s="74" t="s">
        <v>1118</v>
      </c>
      <c r="C17439" s="74" t="s">
        <v>428</v>
      </c>
    </row>
    <row r="17440" spans="1:3">
      <c r="A17440" s="250">
        <v>41072</v>
      </c>
      <c r="B17440" s="74" t="s">
        <v>1118</v>
      </c>
      <c r="C17440" s="74" t="s">
        <v>428</v>
      </c>
    </row>
    <row r="17441" spans="1:3">
      <c r="A17441" s="250">
        <v>41073</v>
      </c>
      <c r="B17441" s="74" t="s">
        <v>9741</v>
      </c>
      <c r="C17441" s="74" t="s">
        <v>428</v>
      </c>
    </row>
    <row r="17442" spans="1:3">
      <c r="A17442" s="250">
        <v>41074</v>
      </c>
      <c r="B17442" s="74" t="s">
        <v>2564</v>
      </c>
      <c r="C17442" s="74" t="s">
        <v>428</v>
      </c>
    </row>
    <row r="17443" spans="1:3">
      <c r="A17443" s="250">
        <v>41075</v>
      </c>
      <c r="B17443" s="74" t="s">
        <v>9742</v>
      </c>
      <c r="C17443" s="74" t="s">
        <v>428</v>
      </c>
    </row>
    <row r="17444" spans="1:3">
      <c r="A17444" s="250">
        <v>41076</v>
      </c>
      <c r="B17444" s="74" t="s">
        <v>1118</v>
      </c>
      <c r="C17444" s="74" t="s">
        <v>428</v>
      </c>
    </row>
    <row r="17445" spans="1:3">
      <c r="A17445" s="250">
        <v>41080</v>
      </c>
      <c r="B17445" s="74" t="s">
        <v>2988</v>
      </c>
      <c r="C17445" s="74" t="s">
        <v>428</v>
      </c>
    </row>
    <row r="17446" spans="1:3">
      <c r="A17446" s="250">
        <v>41081</v>
      </c>
      <c r="B17446" s="74" t="s">
        <v>9743</v>
      </c>
      <c r="C17446" s="74" t="s">
        <v>428</v>
      </c>
    </row>
    <row r="17447" spans="1:3">
      <c r="A17447" s="250">
        <v>41083</v>
      </c>
      <c r="B17447" s="74" t="s">
        <v>9744</v>
      </c>
      <c r="C17447" s="74" t="s">
        <v>428</v>
      </c>
    </row>
    <row r="17448" spans="1:3">
      <c r="A17448" s="250">
        <v>41085</v>
      </c>
      <c r="B17448" s="74" t="s">
        <v>9745</v>
      </c>
      <c r="C17448" s="74" t="s">
        <v>428</v>
      </c>
    </row>
    <row r="17449" spans="1:3">
      <c r="A17449" s="250">
        <v>41086</v>
      </c>
      <c r="B17449" s="74" t="s">
        <v>2327</v>
      </c>
      <c r="C17449" s="74" t="s">
        <v>428</v>
      </c>
    </row>
    <row r="17450" spans="1:3">
      <c r="A17450" s="250">
        <v>41091</v>
      </c>
      <c r="B17450" s="74" t="s">
        <v>1346</v>
      </c>
      <c r="C17450" s="74" t="s">
        <v>428</v>
      </c>
    </row>
    <row r="17451" spans="1:3">
      <c r="A17451" s="250">
        <v>41092</v>
      </c>
      <c r="B17451" s="74" t="s">
        <v>2139</v>
      </c>
      <c r="C17451" s="74" t="s">
        <v>428</v>
      </c>
    </row>
    <row r="17452" spans="1:3">
      <c r="A17452" s="250">
        <v>41093</v>
      </c>
      <c r="B17452" s="74" t="s">
        <v>1891</v>
      </c>
      <c r="C17452" s="74" t="s">
        <v>428</v>
      </c>
    </row>
    <row r="17453" spans="1:3">
      <c r="A17453" s="250">
        <v>41094</v>
      </c>
      <c r="B17453" s="74" t="s">
        <v>3659</v>
      </c>
      <c r="C17453" s="74" t="s">
        <v>428</v>
      </c>
    </row>
    <row r="17454" spans="1:3">
      <c r="A17454" s="250">
        <v>41095</v>
      </c>
      <c r="B17454" s="74" t="s">
        <v>3834</v>
      </c>
      <c r="C17454" s="74" t="s">
        <v>428</v>
      </c>
    </row>
    <row r="17455" spans="1:3">
      <c r="A17455" s="250">
        <v>41096</v>
      </c>
      <c r="B17455" s="74" t="s">
        <v>1215</v>
      </c>
      <c r="C17455" s="74" t="s">
        <v>428</v>
      </c>
    </row>
    <row r="17456" spans="1:3">
      <c r="A17456" s="250">
        <v>41097</v>
      </c>
      <c r="B17456" s="74" t="s">
        <v>668</v>
      </c>
      <c r="C17456" s="74" t="s">
        <v>428</v>
      </c>
    </row>
    <row r="17457" spans="1:3">
      <c r="A17457" s="250">
        <v>41098</v>
      </c>
      <c r="B17457" s="74" t="s">
        <v>4313</v>
      </c>
      <c r="C17457" s="74" t="s">
        <v>428</v>
      </c>
    </row>
    <row r="17458" spans="1:3">
      <c r="A17458" s="250">
        <v>41099</v>
      </c>
      <c r="B17458" s="74" t="s">
        <v>1118</v>
      </c>
      <c r="C17458" s="74" t="s">
        <v>428</v>
      </c>
    </row>
    <row r="17459" spans="1:3">
      <c r="A17459" s="250">
        <v>41101</v>
      </c>
      <c r="B17459" s="74" t="s">
        <v>782</v>
      </c>
      <c r="C17459" s="74" t="s">
        <v>428</v>
      </c>
    </row>
    <row r="17460" spans="1:3">
      <c r="A17460" s="250">
        <v>41102</v>
      </c>
      <c r="B17460" s="74" t="s">
        <v>782</v>
      </c>
      <c r="C17460" s="74" t="s">
        <v>428</v>
      </c>
    </row>
    <row r="17461" spans="1:3">
      <c r="A17461" s="250">
        <v>41105</v>
      </c>
      <c r="B17461" s="74" t="s">
        <v>782</v>
      </c>
      <c r="C17461" s="74" t="s">
        <v>428</v>
      </c>
    </row>
    <row r="17462" spans="1:3">
      <c r="A17462" s="250">
        <v>41114</v>
      </c>
      <c r="B17462" s="74" t="s">
        <v>782</v>
      </c>
      <c r="C17462" s="74" t="s">
        <v>428</v>
      </c>
    </row>
    <row r="17463" spans="1:3">
      <c r="A17463" s="250">
        <v>41121</v>
      </c>
      <c r="B17463" s="74" t="s">
        <v>9746</v>
      </c>
      <c r="C17463" s="74" t="s">
        <v>428</v>
      </c>
    </row>
    <row r="17464" spans="1:3">
      <c r="A17464" s="250">
        <v>41124</v>
      </c>
      <c r="B17464" s="74" t="s">
        <v>1623</v>
      </c>
      <c r="C17464" s="74" t="s">
        <v>428</v>
      </c>
    </row>
    <row r="17465" spans="1:3">
      <c r="A17465" s="250">
        <v>41128</v>
      </c>
      <c r="B17465" s="74" t="s">
        <v>9747</v>
      </c>
      <c r="C17465" s="74" t="s">
        <v>428</v>
      </c>
    </row>
    <row r="17466" spans="1:3">
      <c r="A17466" s="250">
        <v>41129</v>
      </c>
      <c r="B17466" s="74" t="s">
        <v>9748</v>
      </c>
      <c r="C17466" s="74" t="s">
        <v>428</v>
      </c>
    </row>
    <row r="17467" spans="1:3">
      <c r="A17467" s="250">
        <v>41132</v>
      </c>
      <c r="B17467" s="74" t="s">
        <v>5751</v>
      </c>
      <c r="C17467" s="74" t="s">
        <v>428</v>
      </c>
    </row>
    <row r="17468" spans="1:3">
      <c r="A17468" s="250">
        <v>41135</v>
      </c>
      <c r="B17468" s="74" t="s">
        <v>2231</v>
      </c>
      <c r="C17468" s="74" t="s">
        <v>428</v>
      </c>
    </row>
    <row r="17469" spans="1:3">
      <c r="A17469" s="250">
        <v>41139</v>
      </c>
      <c r="B17469" s="74" t="s">
        <v>6997</v>
      </c>
      <c r="C17469" s="74" t="s">
        <v>428</v>
      </c>
    </row>
    <row r="17470" spans="1:3">
      <c r="A17470" s="250">
        <v>41141</v>
      </c>
      <c r="B17470" s="74" t="s">
        <v>2630</v>
      </c>
      <c r="C17470" s="74" t="s">
        <v>428</v>
      </c>
    </row>
    <row r="17471" spans="1:3">
      <c r="A17471" s="250">
        <v>41142</v>
      </c>
      <c r="B17471" s="74" t="s">
        <v>9749</v>
      </c>
      <c r="C17471" s="74" t="s">
        <v>428</v>
      </c>
    </row>
    <row r="17472" spans="1:3">
      <c r="A17472" s="250">
        <v>41143</v>
      </c>
      <c r="B17472" s="74" t="s">
        <v>7855</v>
      </c>
      <c r="C17472" s="74" t="s">
        <v>428</v>
      </c>
    </row>
    <row r="17473" spans="1:3">
      <c r="A17473" s="250">
        <v>41144</v>
      </c>
      <c r="B17473" s="74" t="s">
        <v>9750</v>
      </c>
      <c r="C17473" s="74" t="s">
        <v>428</v>
      </c>
    </row>
    <row r="17474" spans="1:3">
      <c r="A17474" s="250">
        <v>41146</v>
      </c>
      <c r="B17474" s="74" t="s">
        <v>9751</v>
      </c>
      <c r="C17474" s="74" t="s">
        <v>428</v>
      </c>
    </row>
    <row r="17475" spans="1:3">
      <c r="A17475" s="250">
        <v>41149</v>
      </c>
      <c r="B17475" s="74" t="s">
        <v>9752</v>
      </c>
      <c r="C17475" s="74" t="s">
        <v>428</v>
      </c>
    </row>
    <row r="17476" spans="1:3">
      <c r="A17476" s="250">
        <v>41159</v>
      </c>
      <c r="B17476" s="74" t="s">
        <v>9753</v>
      </c>
      <c r="C17476" s="74" t="s">
        <v>428</v>
      </c>
    </row>
    <row r="17477" spans="1:3">
      <c r="A17477" s="250">
        <v>41160</v>
      </c>
      <c r="B17477" s="74" t="s">
        <v>9754</v>
      </c>
      <c r="C17477" s="74" t="s">
        <v>428</v>
      </c>
    </row>
    <row r="17478" spans="1:3">
      <c r="A17478" s="250">
        <v>41164</v>
      </c>
      <c r="B17478" s="74" t="s">
        <v>9755</v>
      </c>
      <c r="C17478" s="74" t="s">
        <v>428</v>
      </c>
    </row>
    <row r="17479" spans="1:3">
      <c r="A17479" s="250">
        <v>41166</v>
      </c>
      <c r="B17479" s="74" t="s">
        <v>923</v>
      </c>
      <c r="C17479" s="74" t="s">
        <v>428</v>
      </c>
    </row>
    <row r="17480" spans="1:3">
      <c r="A17480" s="250">
        <v>41168</v>
      </c>
      <c r="B17480" s="74" t="s">
        <v>3816</v>
      </c>
      <c r="C17480" s="74" t="s">
        <v>428</v>
      </c>
    </row>
    <row r="17481" spans="1:3">
      <c r="A17481" s="250">
        <v>41169</v>
      </c>
      <c r="B17481" s="74" t="s">
        <v>612</v>
      </c>
      <c r="C17481" s="74" t="s">
        <v>428</v>
      </c>
    </row>
    <row r="17482" spans="1:3">
      <c r="A17482" s="250">
        <v>41171</v>
      </c>
      <c r="B17482" s="74" t="s">
        <v>2065</v>
      </c>
      <c r="C17482" s="74" t="s">
        <v>428</v>
      </c>
    </row>
    <row r="17483" spans="1:3">
      <c r="A17483" s="250">
        <v>41173</v>
      </c>
      <c r="B17483" s="74" t="s">
        <v>9756</v>
      </c>
      <c r="C17483" s="74" t="s">
        <v>428</v>
      </c>
    </row>
    <row r="17484" spans="1:3">
      <c r="A17484" s="250">
        <v>41174</v>
      </c>
      <c r="B17484" s="74" t="s">
        <v>9757</v>
      </c>
      <c r="C17484" s="74" t="s">
        <v>428</v>
      </c>
    </row>
    <row r="17485" spans="1:3">
      <c r="A17485" s="250">
        <v>41175</v>
      </c>
      <c r="B17485" s="74" t="s">
        <v>9758</v>
      </c>
      <c r="C17485" s="74" t="s">
        <v>428</v>
      </c>
    </row>
    <row r="17486" spans="1:3">
      <c r="A17486" s="250">
        <v>41179</v>
      </c>
      <c r="B17486" s="74" t="s">
        <v>9759</v>
      </c>
      <c r="C17486" s="74" t="s">
        <v>428</v>
      </c>
    </row>
    <row r="17487" spans="1:3">
      <c r="A17487" s="250">
        <v>41180</v>
      </c>
      <c r="B17487" s="74" t="s">
        <v>9760</v>
      </c>
      <c r="C17487" s="74" t="s">
        <v>428</v>
      </c>
    </row>
    <row r="17488" spans="1:3">
      <c r="A17488" s="250">
        <v>41181</v>
      </c>
      <c r="B17488" s="74" t="s">
        <v>3838</v>
      </c>
      <c r="C17488" s="74" t="s">
        <v>428</v>
      </c>
    </row>
    <row r="17489" spans="1:3">
      <c r="A17489" s="250">
        <v>41183</v>
      </c>
      <c r="B17489" s="74" t="s">
        <v>633</v>
      </c>
      <c r="C17489" s="74" t="s">
        <v>428</v>
      </c>
    </row>
    <row r="17490" spans="1:3">
      <c r="A17490" s="250">
        <v>41189</v>
      </c>
      <c r="B17490" s="74" t="s">
        <v>9761</v>
      </c>
      <c r="C17490" s="74" t="s">
        <v>428</v>
      </c>
    </row>
    <row r="17491" spans="1:3">
      <c r="A17491" s="250">
        <v>41201</v>
      </c>
      <c r="B17491" s="74" t="s">
        <v>638</v>
      </c>
      <c r="C17491" s="74" t="s">
        <v>428</v>
      </c>
    </row>
    <row r="17492" spans="1:3">
      <c r="A17492" s="250">
        <v>41203</v>
      </c>
      <c r="B17492" s="74" t="s">
        <v>9762</v>
      </c>
      <c r="C17492" s="74" t="s">
        <v>428</v>
      </c>
    </row>
    <row r="17493" spans="1:3">
      <c r="A17493" s="250">
        <v>41204</v>
      </c>
      <c r="B17493" s="74" t="s">
        <v>9763</v>
      </c>
      <c r="C17493" s="74" t="s">
        <v>428</v>
      </c>
    </row>
    <row r="17494" spans="1:3">
      <c r="A17494" s="250">
        <v>41214</v>
      </c>
      <c r="B17494" s="74" t="s">
        <v>9764</v>
      </c>
      <c r="C17494" s="74" t="s">
        <v>428</v>
      </c>
    </row>
    <row r="17495" spans="1:3">
      <c r="A17495" s="250">
        <v>41216</v>
      </c>
      <c r="B17495" s="74" t="s">
        <v>9765</v>
      </c>
      <c r="C17495" s="74" t="s">
        <v>428</v>
      </c>
    </row>
    <row r="17496" spans="1:3">
      <c r="A17496" s="250">
        <v>41219</v>
      </c>
      <c r="B17496" s="74" t="s">
        <v>9766</v>
      </c>
      <c r="C17496" s="74" t="s">
        <v>428</v>
      </c>
    </row>
    <row r="17497" spans="1:3">
      <c r="A17497" s="250">
        <v>41222</v>
      </c>
      <c r="B17497" s="74" t="s">
        <v>9767</v>
      </c>
      <c r="C17497" s="74" t="s">
        <v>428</v>
      </c>
    </row>
    <row r="17498" spans="1:3">
      <c r="A17498" s="250">
        <v>41224</v>
      </c>
      <c r="B17498" s="74" t="s">
        <v>9768</v>
      </c>
      <c r="C17498" s="74" t="s">
        <v>428</v>
      </c>
    </row>
    <row r="17499" spans="1:3">
      <c r="A17499" s="250">
        <v>41226</v>
      </c>
      <c r="B17499" s="74" t="s">
        <v>9769</v>
      </c>
      <c r="C17499" s="74" t="s">
        <v>428</v>
      </c>
    </row>
    <row r="17500" spans="1:3">
      <c r="A17500" s="250">
        <v>41230</v>
      </c>
      <c r="B17500" s="74" t="s">
        <v>6076</v>
      </c>
      <c r="C17500" s="74" t="s">
        <v>428</v>
      </c>
    </row>
    <row r="17501" spans="1:3">
      <c r="A17501" s="250">
        <v>41231</v>
      </c>
      <c r="B17501" s="74" t="s">
        <v>9770</v>
      </c>
      <c r="C17501" s="74" t="s">
        <v>428</v>
      </c>
    </row>
    <row r="17502" spans="1:3">
      <c r="A17502" s="250">
        <v>41232</v>
      </c>
      <c r="B17502" s="74" t="s">
        <v>9771</v>
      </c>
      <c r="C17502" s="74" t="s">
        <v>428</v>
      </c>
    </row>
    <row r="17503" spans="1:3">
      <c r="A17503" s="250">
        <v>41234</v>
      </c>
      <c r="B17503" s="74" t="s">
        <v>9772</v>
      </c>
      <c r="C17503" s="74" t="s">
        <v>428</v>
      </c>
    </row>
    <row r="17504" spans="1:3">
      <c r="A17504" s="250">
        <v>41238</v>
      </c>
      <c r="B17504" s="74" t="s">
        <v>9773</v>
      </c>
      <c r="C17504" s="74" t="s">
        <v>428</v>
      </c>
    </row>
    <row r="17505" spans="1:3">
      <c r="A17505" s="250">
        <v>41240</v>
      </c>
      <c r="B17505" s="74" t="s">
        <v>9774</v>
      </c>
      <c r="C17505" s="74" t="s">
        <v>428</v>
      </c>
    </row>
    <row r="17506" spans="1:3">
      <c r="A17506" s="250">
        <v>41250</v>
      </c>
      <c r="B17506" s="74" t="s">
        <v>9775</v>
      </c>
      <c r="C17506" s="74" t="s">
        <v>428</v>
      </c>
    </row>
    <row r="17507" spans="1:3">
      <c r="A17507" s="250">
        <v>41254</v>
      </c>
      <c r="B17507" s="74" t="s">
        <v>9776</v>
      </c>
      <c r="C17507" s="74" t="s">
        <v>428</v>
      </c>
    </row>
    <row r="17508" spans="1:3">
      <c r="A17508" s="250">
        <v>41255</v>
      </c>
      <c r="B17508" s="74" t="s">
        <v>9777</v>
      </c>
      <c r="C17508" s="74" t="s">
        <v>428</v>
      </c>
    </row>
    <row r="17509" spans="1:3">
      <c r="A17509" s="250">
        <v>41256</v>
      </c>
      <c r="B17509" s="74" t="s">
        <v>6303</v>
      </c>
      <c r="C17509" s="74" t="s">
        <v>428</v>
      </c>
    </row>
    <row r="17510" spans="1:3">
      <c r="A17510" s="250">
        <v>41257</v>
      </c>
      <c r="B17510" s="74" t="s">
        <v>9778</v>
      </c>
      <c r="C17510" s="74" t="s">
        <v>428</v>
      </c>
    </row>
    <row r="17511" spans="1:3">
      <c r="A17511" s="250">
        <v>41260</v>
      </c>
      <c r="B17511" s="74" t="s">
        <v>9779</v>
      </c>
      <c r="C17511" s="74" t="s">
        <v>428</v>
      </c>
    </row>
    <row r="17512" spans="1:3">
      <c r="A17512" s="250">
        <v>41262</v>
      </c>
      <c r="B17512" s="74" t="s">
        <v>9780</v>
      </c>
      <c r="C17512" s="74" t="s">
        <v>428</v>
      </c>
    </row>
    <row r="17513" spans="1:3">
      <c r="A17513" s="250">
        <v>41263</v>
      </c>
      <c r="B17513" s="74" t="s">
        <v>9781</v>
      </c>
      <c r="C17513" s="74" t="s">
        <v>428</v>
      </c>
    </row>
    <row r="17514" spans="1:3">
      <c r="A17514" s="250">
        <v>41264</v>
      </c>
      <c r="B17514" s="74" t="s">
        <v>4686</v>
      </c>
      <c r="C17514" s="74" t="s">
        <v>428</v>
      </c>
    </row>
    <row r="17515" spans="1:3">
      <c r="A17515" s="250">
        <v>41265</v>
      </c>
      <c r="B17515" s="74" t="s">
        <v>9782</v>
      </c>
      <c r="C17515" s="74" t="s">
        <v>428</v>
      </c>
    </row>
    <row r="17516" spans="1:3">
      <c r="A17516" s="250">
        <v>41267</v>
      </c>
      <c r="B17516" s="74" t="s">
        <v>6216</v>
      </c>
      <c r="C17516" s="74" t="s">
        <v>428</v>
      </c>
    </row>
    <row r="17517" spans="1:3">
      <c r="A17517" s="250">
        <v>41268</v>
      </c>
      <c r="B17517" s="74" t="s">
        <v>9783</v>
      </c>
      <c r="C17517" s="74" t="s">
        <v>428</v>
      </c>
    </row>
    <row r="17518" spans="1:3">
      <c r="A17518" s="250">
        <v>41271</v>
      </c>
      <c r="B17518" s="74" t="s">
        <v>4897</v>
      </c>
      <c r="C17518" s="74" t="s">
        <v>428</v>
      </c>
    </row>
    <row r="17519" spans="1:3">
      <c r="A17519" s="250">
        <v>41274</v>
      </c>
      <c r="B17519" s="74" t="s">
        <v>9784</v>
      </c>
      <c r="C17519" s="74" t="s">
        <v>428</v>
      </c>
    </row>
    <row r="17520" spans="1:3">
      <c r="A17520" s="250">
        <v>41301</v>
      </c>
      <c r="B17520" s="74" t="s">
        <v>1178</v>
      </c>
      <c r="C17520" s="74" t="s">
        <v>428</v>
      </c>
    </row>
    <row r="17521" spans="1:3">
      <c r="A17521" s="250">
        <v>41307</v>
      </c>
      <c r="B17521" s="74" t="s">
        <v>672</v>
      </c>
      <c r="C17521" s="74" t="s">
        <v>428</v>
      </c>
    </row>
    <row r="17522" spans="1:3">
      <c r="A17522" s="250">
        <v>41310</v>
      </c>
      <c r="B17522" s="74" t="s">
        <v>9785</v>
      </c>
      <c r="C17522" s="74" t="s">
        <v>428</v>
      </c>
    </row>
    <row r="17523" spans="1:3">
      <c r="A17523" s="250">
        <v>41311</v>
      </c>
      <c r="B17523" s="74" t="s">
        <v>9786</v>
      </c>
      <c r="C17523" s="74" t="s">
        <v>428</v>
      </c>
    </row>
    <row r="17524" spans="1:3">
      <c r="A17524" s="250">
        <v>41313</v>
      </c>
      <c r="B17524" s="74" t="s">
        <v>2075</v>
      </c>
      <c r="C17524" s="74" t="s">
        <v>428</v>
      </c>
    </row>
    <row r="17525" spans="1:3">
      <c r="A17525" s="250">
        <v>41314</v>
      </c>
      <c r="B17525" s="74" t="s">
        <v>9358</v>
      </c>
      <c r="C17525" s="74" t="s">
        <v>428</v>
      </c>
    </row>
    <row r="17526" spans="1:3">
      <c r="A17526" s="250">
        <v>41317</v>
      </c>
      <c r="B17526" s="74" t="s">
        <v>9787</v>
      </c>
      <c r="C17526" s="74" t="s">
        <v>428</v>
      </c>
    </row>
    <row r="17527" spans="1:3">
      <c r="A17527" s="250">
        <v>41332</v>
      </c>
      <c r="B17527" s="74" t="s">
        <v>8744</v>
      </c>
      <c r="C17527" s="74" t="s">
        <v>428</v>
      </c>
    </row>
    <row r="17528" spans="1:3">
      <c r="A17528" s="250">
        <v>41333</v>
      </c>
      <c r="B17528" s="74" t="s">
        <v>9481</v>
      </c>
      <c r="C17528" s="74" t="s">
        <v>428</v>
      </c>
    </row>
    <row r="17529" spans="1:3">
      <c r="A17529" s="250">
        <v>41338</v>
      </c>
      <c r="B17529" s="74" t="s">
        <v>9788</v>
      </c>
      <c r="C17529" s="74" t="s">
        <v>428</v>
      </c>
    </row>
    <row r="17530" spans="1:3">
      <c r="A17530" s="250">
        <v>41339</v>
      </c>
      <c r="B17530" s="74" t="s">
        <v>1318</v>
      </c>
      <c r="C17530" s="74" t="s">
        <v>428</v>
      </c>
    </row>
    <row r="17531" spans="1:3">
      <c r="A17531" s="250">
        <v>41347</v>
      </c>
      <c r="B17531" s="74" t="s">
        <v>9789</v>
      </c>
      <c r="C17531" s="74" t="s">
        <v>428</v>
      </c>
    </row>
    <row r="17532" spans="1:3">
      <c r="A17532" s="250">
        <v>41348</v>
      </c>
      <c r="B17532" s="74" t="s">
        <v>5002</v>
      </c>
      <c r="C17532" s="74" t="s">
        <v>428</v>
      </c>
    </row>
    <row r="17533" spans="1:3">
      <c r="A17533" s="250">
        <v>41351</v>
      </c>
      <c r="B17533" s="74" t="s">
        <v>9790</v>
      </c>
      <c r="C17533" s="74" t="s">
        <v>428</v>
      </c>
    </row>
    <row r="17534" spans="1:3">
      <c r="A17534" s="250">
        <v>41352</v>
      </c>
      <c r="B17534" s="74" t="s">
        <v>9431</v>
      </c>
      <c r="C17534" s="74" t="s">
        <v>428</v>
      </c>
    </row>
    <row r="17535" spans="1:3">
      <c r="A17535" s="250">
        <v>41360</v>
      </c>
      <c r="B17535" s="74" t="s">
        <v>9791</v>
      </c>
      <c r="C17535" s="74" t="s">
        <v>428</v>
      </c>
    </row>
    <row r="17536" spans="1:3">
      <c r="A17536" s="250">
        <v>41362</v>
      </c>
      <c r="B17536" s="74" t="s">
        <v>9792</v>
      </c>
      <c r="C17536" s="74" t="s">
        <v>428</v>
      </c>
    </row>
    <row r="17537" spans="1:3">
      <c r="A17537" s="250">
        <v>41364</v>
      </c>
      <c r="B17537" s="74" t="s">
        <v>9793</v>
      </c>
      <c r="C17537" s="74" t="s">
        <v>428</v>
      </c>
    </row>
    <row r="17538" spans="1:3">
      <c r="A17538" s="250">
        <v>41365</v>
      </c>
      <c r="B17538" s="74" t="s">
        <v>2002</v>
      </c>
      <c r="C17538" s="74" t="s">
        <v>428</v>
      </c>
    </row>
    <row r="17539" spans="1:3">
      <c r="A17539" s="250">
        <v>41366</v>
      </c>
      <c r="B17539" s="74" t="s">
        <v>9794</v>
      </c>
      <c r="C17539" s="74" t="s">
        <v>428</v>
      </c>
    </row>
    <row r="17540" spans="1:3">
      <c r="A17540" s="250">
        <v>41367</v>
      </c>
      <c r="B17540" s="74" t="s">
        <v>9795</v>
      </c>
      <c r="C17540" s="74" t="s">
        <v>428</v>
      </c>
    </row>
    <row r="17541" spans="1:3">
      <c r="A17541" s="250">
        <v>41368</v>
      </c>
      <c r="B17541" s="74" t="s">
        <v>9796</v>
      </c>
      <c r="C17541" s="74" t="s">
        <v>428</v>
      </c>
    </row>
    <row r="17542" spans="1:3">
      <c r="A17542" s="250">
        <v>41385</v>
      </c>
      <c r="B17542" s="74" t="s">
        <v>9797</v>
      </c>
      <c r="C17542" s="74" t="s">
        <v>428</v>
      </c>
    </row>
    <row r="17543" spans="1:3">
      <c r="A17543" s="250">
        <v>41386</v>
      </c>
      <c r="B17543" s="74" t="s">
        <v>8672</v>
      </c>
      <c r="C17543" s="74" t="s">
        <v>428</v>
      </c>
    </row>
    <row r="17544" spans="1:3">
      <c r="A17544" s="250">
        <v>41390</v>
      </c>
      <c r="B17544" s="74" t="s">
        <v>9798</v>
      </c>
      <c r="C17544" s="74" t="s">
        <v>428</v>
      </c>
    </row>
    <row r="17545" spans="1:3">
      <c r="A17545" s="250">
        <v>41397</v>
      </c>
      <c r="B17545" s="74" t="s">
        <v>9799</v>
      </c>
      <c r="C17545" s="74" t="s">
        <v>428</v>
      </c>
    </row>
    <row r="17546" spans="1:3">
      <c r="A17546" s="250">
        <v>41408</v>
      </c>
      <c r="B17546" s="74" t="s">
        <v>9800</v>
      </c>
      <c r="C17546" s="74" t="s">
        <v>428</v>
      </c>
    </row>
    <row r="17547" spans="1:3">
      <c r="A17547" s="250">
        <v>41413</v>
      </c>
      <c r="B17547" s="74" t="s">
        <v>6354</v>
      </c>
      <c r="C17547" s="74" t="s">
        <v>428</v>
      </c>
    </row>
    <row r="17548" spans="1:3">
      <c r="A17548" s="250">
        <v>41421</v>
      </c>
      <c r="B17548" s="74" t="s">
        <v>9801</v>
      </c>
      <c r="C17548" s="74" t="s">
        <v>428</v>
      </c>
    </row>
    <row r="17549" spans="1:3">
      <c r="A17549" s="250">
        <v>41425</v>
      </c>
      <c r="B17549" s="74" t="s">
        <v>9802</v>
      </c>
      <c r="C17549" s="74" t="s">
        <v>428</v>
      </c>
    </row>
    <row r="17550" spans="1:3">
      <c r="A17550" s="250">
        <v>41426</v>
      </c>
      <c r="B17550" s="74" t="s">
        <v>7354</v>
      </c>
      <c r="C17550" s="74" t="s">
        <v>428</v>
      </c>
    </row>
    <row r="17551" spans="1:3">
      <c r="A17551" s="250">
        <v>41433</v>
      </c>
      <c r="B17551" s="74" t="s">
        <v>9803</v>
      </c>
      <c r="C17551" s="74" t="s">
        <v>428</v>
      </c>
    </row>
    <row r="17552" spans="1:3">
      <c r="A17552" s="250">
        <v>41451</v>
      </c>
      <c r="B17552" s="74" t="s">
        <v>3305</v>
      </c>
      <c r="C17552" s="74" t="s">
        <v>428</v>
      </c>
    </row>
    <row r="17553" spans="1:3">
      <c r="A17553" s="250">
        <v>41459</v>
      </c>
      <c r="B17553" s="74" t="s">
        <v>9804</v>
      </c>
      <c r="C17553" s="74" t="s">
        <v>428</v>
      </c>
    </row>
    <row r="17554" spans="1:3">
      <c r="A17554" s="250">
        <v>41464</v>
      </c>
      <c r="B17554" s="74" t="s">
        <v>9805</v>
      </c>
      <c r="C17554" s="74" t="s">
        <v>428</v>
      </c>
    </row>
    <row r="17555" spans="1:3">
      <c r="A17555" s="250">
        <v>41465</v>
      </c>
      <c r="B17555" s="74" t="s">
        <v>9806</v>
      </c>
      <c r="C17555" s="74" t="s">
        <v>428</v>
      </c>
    </row>
    <row r="17556" spans="1:3">
      <c r="A17556" s="250">
        <v>41472</v>
      </c>
      <c r="B17556" s="74" t="s">
        <v>6862</v>
      </c>
      <c r="C17556" s="74" t="s">
        <v>428</v>
      </c>
    </row>
    <row r="17557" spans="1:3">
      <c r="A17557" s="250">
        <v>41477</v>
      </c>
      <c r="B17557" s="74" t="s">
        <v>9807</v>
      </c>
      <c r="C17557" s="74" t="s">
        <v>428</v>
      </c>
    </row>
    <row r="17558" spans="1:3">
      <c r="A17558" s="250">
        <v>41501</v>
      </c>
      <c r="B17558" s="74" t="s">
        <v>7211</v>
      </c>
      <c r="C17558" s="74" t="s">
        <v>428</v>
      </c>
    </row>
    <row r="17559" spans="1:3">
      <c r="A17559" s="250">
        <v>41502</v>
      </c>
      <c r="B17559" s="74" t="s">
        <v>7211</v>
      </c>
      <c r="C17559" s="74" t="s">
        <v>428</v>
      </c>
    </row>
    <row r="17560" spans="1:3">
      <c r="A17560" s="250">
        <v>41503</v>
      </c>
      <c r="B17560" s="74" t="s">
        <v>9808</v>
      </c>
      <c r="C17560" s="74" t="s">
        <v>428</v>
      </c>
    </row>
    <row r="17561" spans="1:3">
      <c r="A17561" s="250">
        <v>41512</v>
      </c>
      <c r="B17561" s="74" t="s">
        <v>9809</v>
      </c>
      <c r="C17561" s="74" t="s">
        <v>428</v>
      </c>
    </row>
    <row r="17562" spans="1:3">
      <c r="A17562" s="250">
        <v>41513</v>
      </c>
      <c r="B17562" s="74" t="s">
        <v>9810</v>
      </c>
      <c r="C17562" s="74" t="s">
        <v>428</v>
      </c>
    </row>
    <row r="17563" spans="1:3">
      <c r="A17563" s="250">
        <v>41514</v>
      </c>
      <c r="B17563" s="74" t="s">
        <v>9811</v>
      </c>
      <c r="C17563" s="74" t="s">
        <v>428</v>
      </c>
    </row>
    <row r="17564" spans="1:3">
      <c r="A17564" s="250">
        <v>41517</v>
      </c>
      <c r="B17564" s="74" t="s">
        <v>9812</v>
      </c>
      <c r="C17564" s="74" t="s">
        <v>428</v>
      </c>
    </row>
    <row r="17565" spans="1:3">
      <c r="A17565" s="250">
        <v>41519</v>
      </c>
      <c r="B17565" s="74" t="s">
        <v>9813</v>
      </c>
      <c r="C17565" s="74" t="s">
        <v>428</v>
      </c>
    </row>
    <row r="17566" spans="1:3">
      <c r="A17566" s="250">
        <v>41520</v>
      </c>
      <c r="B17566" s="74" t="s">
        <v>9814</v>
      </c>
      <c r="C17566" s="74" t="s">
        <v>428</v>
      </c>
    </row>
    <row r="17567" spans="1:3">
      <c r="A17567" s="250">
        <v>41522</v>
      </c>
      <c r="B17567" s="74" t="s">
        <v>9815</v>
      </c>
      <c r="C17567" s="74" t="s">
        <v>428</v>
      </c>
    </row>
    <row r="17568" spans="1:3">
      <c r="A17568" s="250">
        <v>41524</v>
      </c>
      <c r="B17568" s="74" t="s">
        <v>9816</v>
      </c>
      <c r="C17568" s="74" t="s">
        <v>428</v>
      </c>
    </row>
    <row r="17569" spans="1:3">
      <c r="A17569" s="250">
        <v>41526</v>
      </c>
      <c r="B17569" s="74" t="s">
        <v>9817</v>
      </c>
      <c r="C17569" s="74" t="s">
        <v>428</v>
      </c>
    </row>
    <row r="17570" spans="1:3">
      <c r="A17570" s="250">
        <v>41527</v>
      </c>
      <c r="B17570" s="74" t="s">
        <v>2746</v>
      </c>
      <c r="C17570" s="74" t="s">
        <v>428</v>
      </c>
    </row>
    <row r="17571" spans="1:3">
      <c r="A17571" s="250">
        <v>41528</v>
      </c>
      <c r="B17571" s="74" t="s">
        <v>9818</v>
      </c>
      <c r="C17571" s="74" t="s">
        <v>428</v>
      </c>
    </row>
    <row r="17572" spans="1:3">
      <c r="A17572" s="250">
        <v>41531</v>
      </c>
      <c r="B17572" s="74" t="s">
        <v>6279</v>
      </c>
      <c r="C17572" s="74" t="s">
        <v>428</v>
      </c>
    </row>
    <row r="17573" spans="1:3">
      <c r="A17573" s="250">
        <v>41534</v>
      </c>
      <c r="B17573" s="74" t="s">
        <v>9819</v>
      </c>
      <c r="C17573" s="74" t="s">
        <v>428</v>
      </c>
    </row>
    <row r="17574" spans="1:3">
      <c r="A17574" s="250">
        <v>41535</v>
      </c>
      <c r="B17574" s="74" t="s">
        <v>9820</v>
      </c>
      <c r="C17574" s="74" t="s">
        <v>428</v>
      </c>
    </row>
    <row r="17575" spans="1:3">
      <c r="A17575" s="250">
        <v>41537</v>
      </c>
      <c r="B17575" s="74" t="s">
        <v>9821</v>
      </c>
      <c r="C17575" s="74" t="s">
        <v>428</v>
      </c>
    </row>
    <row r="17576" spans="1:3">
      <c r="A17576" s="250">
        <v>41538</v>
      </c>
      <c r="B17576" s="74" t="s">
        <v>9822</v>
      </c>
      <c r="C17576" s="74" t="s">
        <v>428</v>
      </c>
    </row>
    <row r="17577" spans="1:3">
      <c r="A17577" s="250">
        <v>41539</v>
      </c>
      <c r="B17577" s="74" t="s">
        <v>9823</v>
      </c>
      <c r="C17577" s="74" t="s">
        <v>428</v>
      </c>
    </row>
    <row r="17578" spans="1:3">
      <c r="A17578" s="250">
        <v>41540</v>
      </c>
      <c r="B17578" s="74" t="s">
        <v>9824</v>
      </c>
      <c r="C17578" s="74" t="s">
        <v>428</v>
      </c>
    </row>
    <row r="17579" spans="1:3">
      <c r="A17579" s="250">
        <v>41542</v>
      </c>
      <c r="B17579" s="74" t="s">
        <v>6805</v>
      </c>
      <c r="C17579" s="74" t="s">
        <v>428</v>
      </c>
    </row>
    <row r="17580" spans="1:3">
      <c r="A17580" s="250">
        <v>41543</v>
      </c>
      <c r="B17580" s="74" t="s">
        <v>9825</v>
      </c>
      <c r="C17580" s="74" t="s">
        <v>428</v>
      </c>
    </row>
    <row r="17581" spans="1:3">
      <c r="A17581" s="250">
        <v>41544</v>
      </c>
      <c r="B17581" s="74" t="s">
        <v>9826</v>
      </c>
      <c r="C17581" s="74" t="s">
        <v>428</v>
      </c>
    </row>
    <row r="17582" spans="1:3">
      <c r="A17582" s="250">
        <v>41547</v>
      </c>
      <c r="B17582" s="74" t="s">
        <v>9827</v>
      </c>
      <c r="C17582" s="74" t="s">
        <v>428</v>
      </c>
    </row>
    <row r="17583" spans="1:3">
      <c r="A17583" s="250">
        <v>41548</v>
      </c>
      <c r="B17583" s="74" t="s">
        <v>9828</v>
      </c>
      <c r="C17583" s="74" t="s">
        <v>428</v>
      </c>
    </row>
    <row r="17584" spans="1:3">
      <c r="A17584" s="250">
        <v>41549</v>
      </c>
      <c r="B17584" s="74" t="s">
        <v>6722</v>
      </c>
      <c r="C17584" s="74" t="s">
        <v>428</v>
      </c>
    </row>
    <row r="17585" spans="1:3">
      <c r="A17585" s="250">
        <v>41553</v>
      </c>
      <c r="B17585" s="74" t="s">
        <v>3808</v>
      </c>
      <c r="C17585" s="74" t="s">
        <v>428</v>
      </c>
    </row>
    <row r="17586" spans="1:3">
      <c r="A17586" s="250">
        <v>41554</v>
      </c>
      <c r="B17586" s="74" t="s">
        <v>9829</v>
      </c>
      <c r="C17586" s="74" t="s">
        <v>428</v>
      </c>
    </row>
    <row r="17587" spans="1:3">
      <c r="A17587" s="250">
        <v>41555</v>
      </c>
      <c r="B17587" s="74" t="s">
        <v>9830</v>
      </c>
      <c r="C17587" s="74" t="s">
        <v>428</v>
      </c>
    </row>
    <row r="17588" spans="1:3">
      <c r="A17588" s="250">
        <v>41557</v>
      </c>
      <c r="B17588" s="74" t="s">
        <v>9831</v>
      </c>
      <c r="C17588" s="74" t="s">
        <v>428</v>
      </c>
    </row>
    <row r="17589" spans="1:3">
      <c r="A17589" s="250">
        <v>41558</v>
      </c>
      <c r="B17589" s="74" t="s">
        <v>5223</v>
      </c>
      <c r="C17589" s="74" t="s">
        <v>428</v>
      </c>
    </row>
    <row r="17590" spans="1:3">
      <c r="A17590" s="250">
        <v>41559</v>
      </c>
      <c r="B17590" s="74" t="s">
        <v>9832</v>
      </c>
      <c r="C17590" s="74" t="s">
        <v>428</v>
      </c>
    </row>
    <row r="17591" spans="1:3">
      <c r="A17591" s="250">
        <v>41560</v>
      </c>
      <c r="B17591" s="74" t="s">
        <v>9833</v>
      </c>
      <c r="C17591" s="74" t="s">
        <v>428</v>
      </c>
    </row>
    <row r="17592" spans="1:3">
      <c r="A17592" s="250">
        <v>41561</v>
      </c>
      <c r="B17592" s="74" t="s">
        <v>9834</v>
      </c>
      <c r="C17592" s="74" t="s">
        <v>428</v>
      </c>
    </row>
    <row r="17593" spans="1:3">
      <c r="A17593" s="250">
        <v>41562</v>
      </c>
      <c r="B17593" s="74" t="s">
        <v>9835</v>
      </c>
      <c r="C17593" s="74" t="s">
        <v>428</v>
      </c>
    </row>
    <row r="17594" spans="1:3">
      <c r="A17594" s="250">
        <v>41563</v>
      </c>
      <c r="B17594" s="74" t="s">
        <v>9836</v>
      </c>
      <c r="C17594" s="74" t="s">
        <v>428</v>
      </c>
    </row>
    <row r="17595" spans="1:3">
      <c r="A17595" s="250">
        <v>41564</v>
      </c>
      <c r="B17595" s="74" t="s">
        <v>3646</v>
      </c>
      <c r="C17595" s="74" t="s">
        <v>428</v>
      </c>
    </row>
    <row r="17596" spans="1:3">
      <c r="A17596" s="250">
        <v>41566</v>
      </c>
      <c r="B17596" s="74" t="s">
        <v>8779</v>
      </c>
      <c r="C17596" s="74" t="s">
        <v>428</v>
      </c>
    </row>
    <row r="17597" spans="1:3">
      <c r="A17597" s="250">
        <v>41567</v>
      </c>
      <c r="B17597" s="74" t="s">
        <v>9837</v>
      </c>
      <c r="C17597" s="74" t="s">
        <v>428</v>
      </c>
    </row>
    <row r="17598" spans="1:3">
      <c r="A17598" s="250">
        <v>41568</v>
      </c>
      <c r="B17598" s="74" t="s">
        <v>9838</v>
      </c>
      <c r="C17598" s="74" t="s">
        <v>428</v>
      </c>
    </row>
    <row r="17599" spans="1:3">
      <c r="A17599" s="250">
        <v>41571</v>
      </c>
      <c r="B17599" s="74" t="s">
        <v>6774</v>
      </c>
      <c r="C17599" s="74" t="s">
        <v>428</v>
      </c>
    </row>
    <row r="17600" spans="1:3">
      <c r="A17600" s="250">
        <v>41572</v>
      </c>
      <c r="B17600" s="74" t="s">
        <v>9839</v>
      </c>
      <c r="C17600" s="74" t="s">
        <v>428</v>
      </c>
    </row>
    <row r="17601" spans="1:3">
      <c r="A17601" s="250">
        <v>41601</v>
      </c>
      <c r="B17601" s="74" t="s">
        <v>5826</v>
      </c>
      <c r="C17601" s="74" t="s">
        <v>428</v>
      </c>
    </row>
    <row r="17602" spans="1:3">
      <c r="A17602" s="250">
        <v>41602</v>
      </c>
      <c r="B17602" s="74" t="s">
        <v>9840</v>
      </c>
      <c r="C17602" s="74" t="s">
        <v>428</v>
      </c>
    </row>
    <row r="17603" spans="1:3">
      <c r="A17603" s="250">
        <v>41603</v>
      </c>
      <c r="B17603" s="74" t="s">
        <v>9381</v>
      </c>
      <c r="C17603" s="74" t="s">
        <v>428</v>
      </c>
    </row>
    <row r="17604" spans="1:3">
      <c r="A17604" s="250">
        <v>41604</v>
      </c>
      <c r="B17604" s="74" t="s">
        <v>3962</v>
      </c>
      <c r="C17604" s="74" t="s">
        <v>428</v>
      </c>
    </row>
    <row r="17605" spans="1:3">
      <c r="A17605" s="250">
        <v>41605</v>
      </c>
      <c r="B17605" s="74" t="s">
        <v>9841</v>
      </c>
      <c r="C17605" s="74" t="s">
        <v>428</v>
      </c>
    </row>
    <row r="17606" spans="1:3">
      <c r="A17606" s="250">
        <v>41606</v>
      </c>
      <c r="B17606" s="74" t="s">
        <v>9842</v>
      </c>
      <c r="C17606" s="74" t="s">
        <v>428</v>
      </c>
    </row>
    <row r="17607" spans="1:3">
      <c r="A17607" s="250">
        <v>41607</v>
      </c>
      <c r="B17607" s="74" t="s">
        <v>9843</v>
      </c>
      <c r="C17607" s="74" t="s">
        <v>428</v>
      </c>
    </row>
    <row r="17608" spans="1:3">
      <c r="A17608" s="250">
        <v>41612</v>
      </c>
      <c r="B17608" s="74" t="s">
        <v>9844</v>
      </c>
      <c r="C17608" s="74" t="s">
        <v>428</v>
      </c>
    </row>
    <row r="17609" spans="1:3">
      <c r="A17609" s="250">
        <v>41615</v>
      </c>
      <c r="B17609" s="74" t="s">
        <v>7543</v>
      </c>
      <c r="C17609" s="74" t="s">
        <v>428</v>
      </c>
    </row>
    <row r="17610" spans="1:3">
      <c r="A17610" s="250">
        <v>41616</v>
      </c>
      <c r="B17610" s="74" t="s">
        <v>9845</v>
      </c>
      <c r="C17610" s="74" t="s">
        <v>428</v>
      </c>
    </row>
    <row r="17611" spans="1:3">
      <c r="A17611" s="250">
        <v>41619</v>
      </c>
      <c r="B17611" s="74" t="s">
        <v>9846</v>
      </c>
      <c r="C17611" s="74" t="s">
        <v>428</v>
      </c>
    </row>
    <row r="17612" spans="1:3">
      <c r="A17612" s="250">
        <v>41621</v>
      </c>
      <c r="B17612" s="74" t="s">
        <v>9847</v>
      </c>
      <c r="C17612" s="74" t="s">
        <v>428</v>
      </c>
    </row>
    <row r="17613" spans="1:3">
      <c r="A17613" s="250">
        <v>41622</v>
      </c>
      <c r="B17613" s="74" t="s">
        <v>9848</v>
      </c>
      <c r="C17613" s="74" t="s">
        <v>428</v>
      </c>
    </row>
    <row r="17614" spans="1:3">
      <c r="A17614" s="250">
        <v>41630</v>
      </c>
      <c r="B17614" s="74" t="s">
        <v>4167</v>
      </c>
      <c r="C17614" s="74" t="s">
        <v>428</v>
      </c>
    </row>
    <row r="17615" spans="1:3">
      <c r="A17615" s="250">
        <v>41631</v>
      </c>
      <c r="B17615" s="74" t="s">
        <v>9849</v>
      </c>
      <c r="C17615" s="74" t="s">
        <v>428</v>
      </c>
    </row>
    <row r="17616" spans="1:3">
      <c r="A17616" s="250">
        <v>41632</v>
      </c>
      <c r="B17616" s="74" t="s">
        <v>9850</v>
      </c>
      <c r="C17616" s="74" t="s">
        <v>428</v>
      </c>
    </row>
    <row r="17617" spans="1:3">
      <c r="A17617" s="250">
        <v>41635</v>
      </c>
      <c r="B17617" s="74" t="s">
        <v>9851</v>
      </c>
      <c r="C17617" s="74" t="s">
        <v>428</v>
      </c>
    </row>
    <row r="17618" spans="1:3">
      <c r="A17618" s="250">
        <v>41636</v>
      </c>
      <c r="B17618" s="74" t="s">
        <v>9852</v>
      </c>
      <c r="C17618" s="74" t="s">
        <v>428</v>
      </c>
    </row>
    <row r="17619" spans="1:3">
      <c r="A17619" s="250">
        <v>41640</v>
      </c>
      <c r="B17619" s="74" t="s">
        <v>9853</v>
      </c>
      <c r="C17619" s="74" t="s">
        <v>428</v>
      </c>
    </row>
    <row r="17620" spans="1:3">
      <c r="A17620" s="250">
        <v>41642</v>
      </c>
      <c r="B17620" s="74" t="s">
        <v>9854</v>
      </c>
      <c r="C17620" s="74" t="s">
        <v>428</v>
      </c>
    </row>
    <row r="17621" spans="1:3">
      <c r="A17621" s="250">
        <v>41643</v>
      </c>
      <c r="B17621" s="74" t="s">
        <v>6184</v>
      </c>
      <c r="C17621" s="74" t="s">
        <v>428</v>
      </c>
    </row>
    <row r="17622" spans="1:3">
      <c r="A17622" s="250">
        <v>41645</v>
      </c>
      <c r="B17622" s="74" t="s">
        <v>7817</v>
      </c>
      <c r="C17622" s="74" t="s">
        <v>428</v>
      </c>
    </row>
    <row r="17623" spans="1:3">
      <c r="A17623" s="250">
        <v>41647</v>
      </c>
      <c r="B17623" s="74" t="s">
        <v>6395</v>
      </c>
      <c r="C17623" s="74" t="s">
        <v>428</v>
      </c>
    </row>
    <row r="17624" spans="1:3">
      <c r="A17624" s="250">
        <v>41649</v>
      </c>
      <c r="B17624" s="74" t="s">
        <v>4128</v>
      </c>
      <c r="C17624" s="74" t="s">
        <v>428</v>
      </c>
    </row>
    <row r="17625" spans="1:3">
      <c r="A17625" s="250">
        <v>41650</v>
      </c>
      <c r="B17625" s="74" t="s">
        <v>8980</v>
      </c>
      <c r="C17625" s="74" t="s">
        <v>428</v>
      </c>
    </row>
    <row r="17626" spans="1:3">
      <c r="A17626" s="250">
        <v>41651</v>
      </c>
      <c r="B17626" s="74" t="s">
        <v>9855</v>
      </c>
      <c r="C17626" s="74" t="s">
        <v>428</v>
      </c>
    </row>
    <row r="17627" spans="1:3">
      <c r="A17627" s="250">
        <v>41653</v>
      </c>
      <c r="B17627" s="74" t="s">
        <v>9856</v>
      </c>
      <c r="C17627" s="74" t="s">
        <v>428</v>
      </c>
    </row>
    <row r="17628" spans="1:3">
      <c r="A17628" s="250">
        <v>41655</v>
      </c>
      <c r="B17628" s="74" t="s">
        <v>9857</v>
      </c>
      <c r="C17628" s="74" t="s">
        <v>428</v>
      </c>
    </row>
    <row r="17629" spans="1:3">
      <c r="A17629" s="250">
        <v>41659</v>
      </c>
      <c r="B17629" s="74" t="s">
        <v>9858</v>
      </c>
      <c r="C17629" s="74" t="s">
        <v>428</v>
      </c>
    </row>
    <row r="17630" spans="1:3">
      <c r="A17630" s="250">
        <v>41660</v>
      </c>
      <c r="B17630" s="74" t="s">
        <v>9859</v>
      </c>
      <c r="C17630" s="74" t="s">
        <v>428</v>
      </c>
    </row>
    <row r="17631" spans="1:3">
      <c r="A17631" s="250">
        <v>41663</v>
      </c>
      <c r="B17631" s="74" t="s">
        <v>9860</v>
      </c>
      <c r="C17631" s="74" t="s">
        <v>428</v>
      </c>
    </row>
    <row r="17632" spans="1:3">
      <c r="A17632" s="250">
        <v>41666</v>
      </c>
      <c r="B17632" s="74" t="s">
        <v>803</v>
      </c>
      <c r="C17632" s="74" t="s">
        <v>428</v>
      </c>
    </row>
    <row r="17633" spans="1:3">
      <c r="A17633" s="250">
        <v>41667</v>
      </c>
      <c r="B17633" s="74" t="s">
        <v>9861</v>
      </c>
      <c r="C17633" s="74" t="s">
        <v>428</v>
      </c>
    </row>
    <row r="17634" spans="1:3">
      <c r="A17634" s="250">
        <v>41669</v>
      </c>
      <c r="B17634" s="74" t="s">
        <v>629</v>
      </c>
      <c r="C17634" s="74" t="s">
        <v>428</v>
      </c>
    </row>
    <row r="17635" spans="1:3">
      <c r="A17635" s="250">
        <v>41701</v>
      </c>
      <c r="B17635" s="74" t="s">
        <v>9862</v>
      </c>
      <c r="C17635" s="74" t="s">
        <v>428</v>
      </c>
    </row>
    <row r="17636" spans="1:3">
      <c r="A17636" s="250">
        <v>41702</v>
      </c>
      <c r="B17636" s="74" t="s">
        <v>9862</v>
      </c>
      <c r="C17636" s="74" t="s">
        <v>428</v>
      </c>
    </row>
    <row r="17637" spans="1:3">
      <c r="A17637" s="250">
        <v>41712</v>
      </c>
      <c r="B17637" s="74" t="s">
        <v>9863</v>
      </c>
      <c r="C17637" s="74" t="s">
        <v>428</v>
      </c>
    </row>
    <row r="17638" spans="1:3">
      <c r="A17638" s="250">
        <v>41713</v>
      </c>
      <c r="B17638" s="74" t="s">
        <v>9864</v>
      </c>
      <c r="C17638" s="74" t="s">
        <v>428</v>
      </c>
    </row>
    <row r="17639" spans="1:3">
      <c r="A17639" s="250">
        <v>41714</v>
      </c>
      <c r="B17639" s="74" t="s">
        <v>9865</v>
      </c>
      <c r="C17639" s="74" t="s">
        <v>428</v>
      </c>
    </row>
    <row r="17640" spans="1:3">
      <c r="A17640" s="250">
        <v>41719</v>
      </c>
      <c r="B17640" s="74" t="s">
        <v>9866</v>
      </c>
      <c r="C17640" s="74" t="s">
        <v>428</v>
      </c>
    </row>
    <row r="17641" spans="1:3">
      <c r="A17641" s="250">
        <v>41721</v>
      </c>
      <c r="B17641" s="74" t="s">
        <v>9867</v>
      </c>
      <c r="C17641" s="74" t="s">
        <v>428</v>
      </c>
    </row>
    <row r="17642" spans="1:3">
      <c r="A17642" s="250">
        <v>41722</v>
      </c>
      <c r="B17642" s="74" t="s">
        <v>9868</v>
      </c>
      <c r="C17642" s="74" t="s">
        <v>428</v>
      </c>
    </row>
    <row r="17643" spans="1:3">
      <c r="A17643" s="250">
        <v>41723</v>
      </c>
      <c r="B17643" s="74" t="s">
        <v>9869</v>
      </c>
      <c r="C17643" s="74" t="s">
        <v>428</v>
      </c>
    </row>
    <row r="17644" spans="1:3">
      <c r="A17644" s="250">
        <v>41725</v>
      </c>
      <c r="B17644" s="74" t="s">
        <v>9870</v>
      </c>
      <c r="C17644" s="74" t="s">
        <v>428</v>
      </c>
    </row>
    <row r="17645" spans="1:3">
      <c r="A17645" s="250">
        <v>41727</v>
      </c>
      <c r="B17645" s="74" t="s">
        <v>9871</v>
      </c>
      <c r="C17645" s="74" t="s">
        <v>428</v>
      </c>
    </row>
    <row r="17646" spans="1:3">
      <c r="A17646" s="250">
        <v>41729</v>
      </c>
      <c r="B17646" s="74" t="s">
        <v>9872</v>
      </c>
      <c r="C17646" s="74" t="s">
        <v>428</v>
      </c>
    </row>
    <row r="17647" spans="1:3">
      <c r="A17647" s="250">
        <v>41731</v>
      </c>
      <c r="B17647" s="74" t="s">
        <v>9873</v>
      </c>
      <c r="C17647" s="74" t="s">
        <v>428</v>
      </c>
    </row>
    <row r="17648" spans="1:3">
      <c r="A17648" s="250">
        <v>41735</v>
      </c>
      <c r="B17648" s="74" t="s">
        <v>9874</v>
      </c>
      <c r="C17648" s="74" t="s">
        <v>428</v>
      </c>
    </row>
    <row r="17649" spans="1:3">
      <c r="A17649" s="250">
        <v>41736</v>
      </c>
      <c r="B17649" s="74" t="s">
        <v>9875</v>
      </c>
      <c r="C17649" s="74" t="s">
        <v>428</v>
      </c>
    </row>
    <row r="17650" spans="1:3">
      <c r="A17650" s="250">
        <v>41739</v>
      </c>
      <c r="B17650" s="74" t="s">
        <v>9876</v>
      </c>
      <c r="C17650" s="74" t="s">
        <v>428</v>
      </c>
    </row>
    <row r="17651" spans="1:3">
      <c r="A17651" s="250">
        <v>41740</v>
      </c>
      <c r="B17651" s="74" t="s">
        <v>9877</v>
      </c>
      <c r="C17651" s="74" t="s">
        <v>428</v>
      </c>
    </row>
    <row r="17652" spans="1:3">
      <c r="A17652" s="250">
        <v>41743</v>
      </c>
      <c r="B17652" s="74" t="s">
        <v>9878</v>
      </c>
      <c r="C17652" s="74" t="s">
        <v>428</v>
      </c>
    </row>
    <row r="17653" spans="1:3">
      <c r="A17653" s="250">
        <v>41745</v>
      </c>
      <c r="B17653" s="74" t="s">
        <v>9879</v>
      </c>
      <c r="C17653" s="74" t="s">
        <v>428</v>
      </c>
    </row>
    <row r="17654" spans="1:3">
      <c r="A17654" s="250">
        <v>41746</v>
      </c>
      <c r="B17654" s="74" t="s">
        <v>9880</v>
      </c>
      <c r="C17654" s="74" t="s">
        <v>428</v>
      </c>
    </row>
    <row r="17655" spans="1:3">
      <c r="A17655" s="250">
        <v>41747</v>
      </c>
      <c r="B17655" s="74" t="s">
        <v>9881</v>
      </c>
      <c r="C17655" s="74" t="s">
        <v>428</v>
      </c>
    </row>
    <row r="17656" spans="1:3">
      <c r="A17656" s="250">
        <v>41749</v>
      </c>
      <c r="B17656" s="74" t="s">
        <v>9882</v>
      </c>
      <c r="C17656" s="74" t="s">
        <v>428</v>
      </c>
    </row>
    <row r="17657" spans="1:3">
      <c r="A17657" s="250">
        <v>41751</v>
      </c>
      <c r="B17657" s="74" t="s">
        <v>9883</v>
      </c>
      <c r="C17657" s="74" t="s">
        <v>428</v>
      </c>
    </row>
    <row r="17658" spans="1:3">
      <c r="A17658" s="250">
        <v>41754</v>
      </c>
      <c r="B17658" s="74" t="s">
        <v>9884</v>
      </c>
      <c r="C17658" s="74" t="s">
        <v>428</v>
      </c>
    </row>
    <row r="17659" spans="1:3">
      <c r="A17659" s="250">
        <v>41759</v>
      </c>
      <c r="B17659" s="74" t="s">
        <v>9885</v>
      </c>
      <c r="C17659" s="74" t="s">
        <v>428</v>
      </c>
    </row>
    <row r="17660" spans="1:3">
      <c r="A17660" s="250">
        <v>41760</v>
      </c>
      <c r="B17660" s="74" t="s">
        <v>9886</v>
      </c>
      <c r="C17660" s="74" t="s">
        <v>428</v>
      </c>
    </row>
    <row r="17661" spans="1:3">
      <c r="A17661" s="250">
        <v>41762</v>
      </c>
      <c r="B17661" s="74" t="s">
        <v>9887</v>
      </c>
      <c r="C17661" s="74" t="s">
        <v>428</v>
      </c>
    </row>
    <row r="17662" spans="1:3">
      <c r="A17662" s="250">
        <v>41763</v>
      </c>
      <c r="B17662" s="74" t="s">
        <v>9888</v>
      </c>
      <c r="C17662" s="74" t="s">
        <v>428</v>
      </c>
    </row>
    <row r="17663" spans="1:3">
      <c r="A17663" s="250">
        <v>41764</v>
      </c>
      <c r="B17663" s="74" t="s">
        <v>9889</v>
      </c>
      <c r="C17663" s="74" t="s">
        <v>428</v>
      </c>
    </row>
    <row r="17664" spans="1:3">
      <c r="A17664" s="250">
        <v>41766</v>
      </c>
      <c r="B17664" s="74" t="s">
        <v>9890</v>
      </c>
      <c r="C17664" s="74" t="s">
        <v>428</v>
      </c>
    </row>
    <row r="17665" spans="1:3">
      <c r="A17665" s="250">
        <v>41772</v>
      </c>
      <c r="B17665" s="74" t="s">
        <v>9891</v>
      </c>
      <c r="C17665" s="74" t="s">
        <v>428</v>
      </c>
    </row>
    <row r="17666" spans="1:3">
      <c r="A17666" s="250">
        <v>41773</v>
      </c>
      <c r="B17666" s="74" t="s">
        <v>9892</v>
      </c>
      <c r="C17666" s="74" t="s">
        <v>428</v>
      </c>
    </row>
    <row r="17667" spans="1:3">
      <c r="A17667" s="250">
        <v>41774</v>
      </c>
      <c r="B17667" s="74" t="s">
        <v>9893</v>
      </c>
      <c r="C17667" s="74" t="s">
        <v>428</v>
      </c>
    </row>
    <row r="17668" spans="1:3">
      <c r="A17668" s="250">
        <v>41775</v>
      </c>
      <c r="B17668" s="74" t="s">
        <v>9894</v>
      </c>
      <c r="C17668" s="74" t="s">
        <v>428</v>
      </c>
    </row>
    <row r="17669" spans="1:3">
      <c r="A17669" s="250">
        <v>41776</v>
      </c>
      <c r="B17669" s="74" t="s">
        <v>9895</v>
      </c>
      <c r="C17669" s="74" t="s">
        <v>428</v>
      </c>
    </row>
    <row r="17670" spans="1:3">
      <c r="A17670" s="250">
        <v>41777</v>
      </c>
      <c r="B17670" s="74" t="s">
        <v>9896</v>
      </c>
      <c r="C17670" s="74" t="s">
        <v>428</v>
      </c>
    </row>
    <row r="17671" spans="1:3">
      <c r="A17671" s="250">
        <v>41778</v>
      </c>
      <c r="B17671" s="74" t="s">
        <v>9897</v>
      </c>
      <c r="C17671" s="74" t="s">
        <v>428</v>
      </c>
    </row>
    <row r="17672" spans="1:3">
      <c r="A17672" s="250">
        <v>41804</v>
      </c>
      <c r="B17672" s="74" t="s">
        <v>9898</v>
      </c>
      <c r="C17672" s="74" t="s">
        <v>428</v>
      </c>
    </row>
    <row r="17673" spans="1:3">
      <c r="A17673" s="250">
        <v>41810</v>
      </c>
      <c r="B17673" s="74" t="s">
        <v>9899</v>
      </c>
      <c r="C17673" s="74" t="s">
        <v>428</v>
      </c>
    </row>
    <row r="17674" spans="1:3">
      <c r="A17674" s="250">
        <v>41812</v>
      </c>
      <c r="B17674" s="74" t="s">
        <v>9900</v>
      </c>
      <c r="C17674" s="74" t="s">
        <v>428</v>
      </c>
    </row>
    <row r="17675" spans="1:3">
      <c r="A17675" s="250">
        <v>41815</v>
      </c>
      <c r="B17675" s="74" t="s">
        <v>9901</v>
      </c>
      <c r="C17675" s="74" t="s">
        <v>428</v>
      </c>
    </row>
    <row r="17676" spans="1:3">
      <c r="A17676" s="250">
        <v>41817</v>
      </c>
      <c r="B17676" s="74" t="s">
        <v>7149</v>
      </c>
      <c r="C17676" s="74" t="s">
        <v>428</v>
      </c>
    </row>
    <row r="17677" spans="1:3">
      <c r="A17677" s="250">
        <v>41819</v>
      </c>
      <c r="B17677" s="74" t="s">
        <v>4995</v>
      </c>
      <c r="C17677" s="74" t="s">
        <v>428</v>
      </c>
    </row>
    <row r="17678" spans="1:3">
      <c r="A17678" s="250">
        <v>41821</v>
      </c>
      <c r="B17678" s="74" t="s">
        <v>9902</v>
      </c>
      <c r="C17678" s="74" t="s">
        <v>428</v>
      </c>
    </row>
    <row r="17679" spans="1:3">
      <c r="A17679" s="250">
        <v>41822</v>
      </c>
      <c r="B17679" s="74" t="s">
        <v>9903</v>
      </c>
      <c r="C17679" s="74" t="s">
        <v>428</v>
      </c>
    </row>
    <row r="17680" spans="1:3">
      <c r="A17680" s="250">
        <v>41824</v>
      </c>
      <c r="B17680" s="74" t="s">
        <v>9904</v>
      </c>
      <c r="C17680" s="74" t="s">
        <v>428</v>
      </c>
    </row>
    <row r="17681" spans="1:3">
      <c r="A17681" s="250">
        <v>41825</v>
      </c>
      <c r="B17681" s="74" t="s">
        <v>9905</v>
      </c>
      <c r="C17681" s="74" t="s">
        <v>428</v>
      </c>
    </row>
    <row r="17682" spans="1:3">
      <c r="A17682" s="250">
        <v>41826</v>
      </c>
      <c r="B17682" s="74" t="s">
        <v>9906</v>
      </c>
      <c r="C17682" s="74" t="s">
        <v>428</v>
      </c>
    </row>
    <row r="17683" spans="1:3">
      <c r="A17683" s="250">
        <v>41828</v>
      </c>
      <c r="B17683" s="74" t="s">
        <v>8082</v>
      </c>
      <c r="C17683" s="74" t="s">
        <v>428</v>
      </c>
    </row>
    <row r="17684" spans="1:3">
      <c r="A17684" s="250">
        <v>41831</v>
      </c>
      <c r="B17684" s="74" t="s">
        <v>9907</v>
      </c>
      <c r="C17684" s="74" t="s">
        <v>428</v>
      </c>
    </row>
    <row r="17685" spans="1:3">
      <c r="A17685" s="250">
        <v>41832</v>
      </c>
      <c r="B17685" s="74" t="s">
        <v>9908</v>
      </c>
      <c r="C17685" s="74" t="s">
        <v>428</v>
      </c>
    </row>
    <row r="17686" spans="1:3">
      <c r="A17686" s="250">
        <v>41833</v>
      </c>
      <c r="B17686" s="74" t="s">
        <v>9909</v>
      </c>
      <c r="C17686" s="74" t="s">
        <v>428</v>
      </c>
    </row>
    <row r="17687" spans="1:3">
      <c r="A17687" s="250">
        <v>41834</v>
      </c>
      <c r="B17687" s="74" t="s">
        <v>9910</v>
      </c>
      <c r="C17687" s="74" t="s">
        <v>428</v>
      </c>
    </row>
    <row r="17688" spans="1:3">
      <c r="A17688" s="250">
        <v>41835</v>
      </c>
      <c r="B17688" s="74" t="s">
        <v>9911</v>
      </c>
      <c r="C17688" s="74" t="s">
        <v>428</v>
      </c>
    </row>
    <row r="17689" spans="1:3">
      <c r="A17689" s="250">
        <v>41836</v>
      </c>
      <c r="B17689" s="74" t="s">
        <v>9912</v>
      </c>
      <c r="C17689" s="74" t="s">
        <v>428</v>
      </c>
    </row>
    <row r="17690" spans="1:3">
      <c r="A17690" s="250">
        <v>41837</v>
      </c>
      <c r="B17690" s="74" t="s">
        <v>9913</v>
      </c>
      <c r="C17690" s="74" t="s">
        <v>428</v>
      </c>
    </row>
    <row r="17691" spans="1:3">
      <c r="A17691" s="250">
        <v>41838</v>
      </c>
      <c r="B17691" s="74" t="s">
        <v>6674</v>
      </c>
      <c r="C17691" s="74" t="s">
        <v>428</v>
      </c>
    </row>
    <row r="17692" spans="1:3">
      <c r="A17692" s="250">
        <v>41839</v>
      </c>
      <c r="B17692" s="74" t="s">
        <v>9914</v>
      </c>
      <c r="C17692" s="74" t="s">
        <v>428</v>
      </c>
    </row>
    <row r="17693" spans="1:3">
      <c r="A17693" s="250">
        <v>41840</v>
      </c>
      <c r="B17693" s="74" t="s">
        <v>9915</v>
      </c>
      <c r="C17693" s="74" t="s">
        <v>428</v>
      </c>
    </row>
    <row r="17694" spans="1:3">
      <c r="A17694" s="250">
        <v>41843</v>
      </c>
      <c r="B17694" s="74" t="s">
        <v>9916</v>
      </c>
      <c r="C17694" s="74" t="s">
        <v>428</v>
      </c>
    </row>
    <row r="17695" spans="1:3">
      <c r="A17695" s="250">
        <v>41844</v>
      </c>
      <c r="B17695" s="74" t="s">
        <v>9917</v>
      </c>
      <c r="C17695" s="74" t="s">
        <v>428</v>
      </c>
    </row>
    <row r="17696" spans="1:3">
      <c r="A17696" s="250">
        <v>41845</v>
      </c>
      <c r="B17696" s="74" t="s">
        <v>9918</v>
      </c>
      <c r="C17696" s="74" t="s">
        <v>428</v>
      </c>
    </row>
    <row r="17697" spans="1:3">
      <c r="A17697" s="250">
        <v>41847</v>
      </c>
      <c r="B17697" s="74" t="s">
        <v>9919</v>
      </c>
      <c r="C17697" s="74" t="s">
        <v>428</v>
      </c>
    </row>
    <row r="17698" spans="1:3">
      <c r="A17698" s="250">
        <v>41848</v>
      </c>
      <c r="B17698" s="74" t="s">
        <v>9920</v>
      </c>
      <c r="C17698" s="74" t="s">
        <v>428</v>
      </c>
    </row>
    <row r="17699" spans="1:3">
      <c r="A17699" s="250">
        <v>41849</v>
      </c>
      <c r="B17699" s="74" t="s">
        <v>9921</v>
      </c>
      <c r="C17699" s="74" t="s">
        <v>428</v>
      </c>
    </row>
    <row r="17700" spans="1:3">
      <c r="A17700" s="250">
        <v>41855</v>
      </c>
      <c r="B17700" s="74" t="s">
        <v>1218</v>
      </c>
      <c r="C17700" s="74" t="s">
        <v>428</v>
      </c>
    </row>
    <row r="17701" spans="1:3">
      <c r="A17701" s="250">
        <v>41858</v>
      </c>
      <c r="B17701" s="74" t="s">
        <v>7903</v>
      </c>
      <c r="C17701" s="74" t="s">
        <v>428</v>
      </c>
    </row>
    <row r="17702" spans="1:3">
      <c r="A17702" s="250">
        <v>41859</v>
      </c>
      <c r="B17702" s="74" t="s">
        <v>9922</v>
      </c>
      <c r="C17702" s="74" t="s">
        <v>428</v>
      </c>
    </row>
    <row r="17703" spans="1:3">
      <c r="A17703" s="250">
        <v>41861</v>
      </c>
      <c r="B17703" s="74" t="s">
        <v>6470</v>
      </c>
      <c r="C17703" s="74" t="s">
        <v>428</v>
      </c>
    </row>
    <row r="17704" spans="1:3">
      <c r="A17704" s="250">
        <v>41862</v>
      </c>
      <c r="B17704" s="74" t="s">
        <v>9923</v>
      </c>
      <c r="C17704" s="74" t="s">
        <v>428</v>
      </c>
    </row>
    <row r="17705" spans="1:3">
      <c r="A17705" s="250">
        <v>42001</v>
      </c>
      <c r="B17705" s="74" t="s">
        <v>9924</v>
      </c>
      <c r="C17705" s="74" t="s">
        <v>428</v>
      </c>
    </row>
    <row r="17706" spans="1:3">
      <c r="A17706" s="250">
        <v>42002</v>
      </c>
      <c r="B17706" s="74" t="s">
        <v>9924</v>
      </c>
      <c r="C17706" s="74" t="s">
        <v>428</v>
      </c>
    </row>
    <row r="17707" spans="1:3">
      <c r="A17707" s="250">
        <v>42003</v>
      </c>
      <c r="B17707" s="74" t="s">
        <v>9924</v>
      </c>
      <c r="C17707" s="74" t="s">
        <v>428</v>
      </c>
    </row>
    <row r="17708" spans="1:3">
      <c r="A17708" s="250">
        <v>42020</v>
      </c>
      <c r="B17708" s="74" t="s">
        <v>9925</v>
      </c>
      <c r="C17708" s="74" t="s">
        <v>428</v>
      </c>
    </row>
    <row r="17709" spans="1:3">
      <c r="A17709" s="250">
        <v>42021</v>
      </c>
      <c r="B17709" s="74" t="s">
        <v>984</v>
      </c>
      <c r="C17709" s="74" t="s">
        <v>428</v>
      </c>
    </row>
    <row r="17710" spans="1:3">
      <c r="A17710" s="250">
        <v>42022</v>
      </c>
      <c r="B17710" s="74" t="s">
        <v>9926</v>
      </c>
      <c r="C17710" s="74" t="s">
        <v>428</v>
      </c>
    </row>
    <row r="17711" spans="1:3">
      <c r="A17711" s="250">
        <v>42023</v>
      </c>
      <c r="B17711" s="74" t="s">
        <v>9927</v>
      </c>
      <c r="C17711" s="74" t="s">
        <v>428</v>
      </c>
    </row>
    <row r="17712" spans="1:3">
      <c r="A17712" s="250">
        <v>42024</v>
      </c>
      <c r="B17712" s="74" t="s">
        <v>9928</v>
      </c>
      <c r="C17712" s="74" t="s">
        <v>428</v>
      </c>
    </row>
    <row r="17713" spans="1:3">
      <c r="A17713" s="250">
        <v>42025</v>
      </c>
      <c r="B17713" s="74" t="s">
        <v>4938</v>
      </c>
      <c r="C17713" s="74" t="s">
        <v>428</v>
      </c>
    </row>
    <row r="17714" spans="1:3">
      <c r="A17714" s="250">
        <v>42027</v>
      </c>
      <c r="B17714" s="74" t="s">
        <v>8762</v>
      </c>
      <c r="C17714" s="74" t="s">
        <v>428</v>
      </c>
    </row>
    <row r="17715" spans="1:3">
      <c r="A17715" s="250">
        <v>42028</v>
      </c>
      <c r="B17715" s="74" t="s">
        <v>9929</v>
      </c>
      <c r="C17715" s="74" t="s">
        <v>428</v>
      </c>
    </row>
    <row r="17716" spans="1:3">
      <c r="A17716" s="250">
        <v>42029</v>
      </c>
      <c r="B17716" s="74" t="s">
        <v>9930</v>
      </c>
      <c r="C17716" s="74" t="s">
        <v>428</v>
      </c>
    </row>
    <row r="17717" spans="1:3">
      <c r="A17717" s="250">
        <v>42031</v>
      </c>
      <c r="B17717" s="74" t="s">
        <v>732</v>
      </c>
      <c r="C17717" s="74" t="s">
        <v>428</v>
      </c>
    </row>
    <row r="17718" spans="1:3">
      <c r="A17718" s="250">
        <v>42032</v>
      </c>
      <c r="B17718" s="74" t="s">
        <v>2376</v>
      </c>
      <c r="C17718" s="74" t="s">
        <v>428</v>
      </c>
    </row>
    <row r="17719" spans="1:3">
      <c r="A17719" s="250">
        <v>42033</v>
      </c>
      <c r="B17719" s="74" t="s">
        <v>9931</v>
      </c>
      <c r="C17719" s="74" t="s">
        <v>428</v>
      </c>
    </row>
    <row r="17720" spans="1:3">
      <c r="A17720" s="250">
        <v>42035</v>
      </c>
      <c r="B17720" s="74" t="s">
        <v>9001</v>
      </c>
      <c r="C17720" s="74" t="s">
        <v>428</v>
      </c>
    </row>
    <row r="17721" spans="1:3">
      <c r="A17721" s="250">
        <v>42036</v>
      </c>
      <c r="B17721" s="74" t="s">
        <v>1689</v>
      </c>
      <c r="C17721" s="74" t="s">
        <v>428</v>
      </c>
    </row>
    <row r="17722" spans="1:3">
      <c r="A17722" s="250">
        <v>42037</v>
      </c>
      <c r="B17722" s="74" t="s">
        <v>9932</v>
      </c>
      <c r="C17722" s="74" t="s">
        <v>428</v>
      </c>
    </row>
    <row r="17723" spans="1:3">
      <c r="A17723" s="250">
        <v>42038</v>
      </c>
      <c r="B17723" s="74" t="s">
        <v>9933</v>
      </c>
      <c r="C17723" s="74" t="s">
        <v>428</v>
      </c>
    </row>
    <row r="17724" spans="1:3">
      <c r="A17724" s="250">
        <v>42039</v>
      </c>
      <c r="B17724" s="74" t="s">
        <v>9934</v>
      </c>
      <c r="C17724" s="74" t="s">
        <v>428</v>
      </c>
    </row>
    <row r="17725" spans="1:3">
      <c r="A17725" s="250">
        <v>42040</v>
      </c>
      <c r="B17725" s="74" t="s">
        <v>1309</v>
      </c>
      <c r="C17725" s="74" t="s">
        <v>428</v>
      </c>
    </row>
    <row r="17726" spans="1:3">
      <c r="A17726" s="250">
        <v>42041</v>
      </c>
      <c r="B17726" s="74" t="s">
        <v>3365</v>
      </c>
      <c r="C17726" s="74" t="s">
        <v>428</v>
      </c>
    </row>
    <row r="17727" spans="1:3">
      <c r="A17727" s="250">
        <v>42044</v>
      </c>
      <c r="B17727" s="74" t="s">
        <v>3617</v>
      </c>
      <c r="C17727" s="74" t="s">
        <v>428</v>
      </c>
    </row>
    <row r="17728" spans="1:3">
      <c r="A17728" s="250">
        <v>42045</v>
      </c>
      <c r="B17728" s="74" t="s">
        <v>9935</v>
      </c>
      <c r="C17728" s="74" t="s">
        <v>428</v>
      </c>
    </row>
    <row r="17729" spans="1:3">
      <c r="A17729" s="250">
        <v>42047</v>
      </c>
      <c r="B17729" s="74" t="s">
        <v>1315</v>
      </c>
      <c r="C17729" s="74" t="s">
        <v>428</v>
      </c>
    </row>
    <row r="17730" spans="1:3">
      <c r="A17730" s="250">
        <v>42048</v>
      </c>
      <c r="B17730" s="74" t="s">
        <v>9936</v>
      </c>
      <c r="C17730" s="74" t="s">
        <v>428</v>
      </c>
    </row>
    <row r="17731" spans="1:3">
      <c r="A17731" s="250">
        <v>42049</v>
      </c>
      <c r="B17731" s="74" t="s">
        <v>9937</v>
      </c>
      <c r="C17731" s="74" t="s">
        <v>428</v>
      </c>
    </row>
    <row r="17732" spans="1:3">
      <c r="A17732" s="250">
        <v>42050</v>
      </c>
      <c r="B17732" s="74" t="s">
        <v>9278</v>
      </c>
      <c r="C17732" s="74" t="s">
        <v>428</v>
      </c>
    </row>
    <row r="17733" spans="1:3">
      <c r="A17733" s="250">
        <v>42051</v>
      </c>
      <c r="B17733" s="74" t="s">
        <v>4062</v>
      </c>
      <c r="C17733" s="74" t="s">
        <v>428</v>
      </c>
    </row>
    <row r="17734" spans="1:3">
      <c r="A17734" s="250">
        <v>42053</v>
      </c>
      <c r="B17734" s="74" t="s">
        <v>9938</v>
      </c>
      <c r="C17734" s="74" t="s">
        <v>428</v>
      </c>
    </row>
    <row r="17735" spans="1:3">
      <c r="A17735" s="250">
        <v>42054</v>
      </c>
      <c r="B17735" s="74" t="s">
        <v>9939</v>
      </c>
      <c r="C17735" s="74" t="s">
        <v>428</v>
      </c>
    </row>
    <row r="17736" spans="1:3">
      <c r="A17736" s="250">
        <v>42055</v>
      </c>
      <c r="B17736" s="74" t="s">
        <v>9940</v>
      </c>
      <c r="C17736" s="74" t="s">
        <v>428</v>
      </c>
    </row>
    <row r="17737" spans="1:3">
      <c r="A17737" s="250">
        <v>42056</v>
      </c>
      <c r="B17737" s="74" t="s">
        <v>9941</v>
      </c>
      <c r="C17737" s="74" t="s">
        <v>428</v>
      </c>
    </row>
    <row r="17738" spans="1:3">
      <c r="A17738" s="250">
        <v>42058</v>
      </c>
      <c r="B17738" s="74" t="s">
        <v>9942</v>
      </c>
      <c r="C17738" s="74" t="s">
        <v>428</v>
      </c>
    </row>
    <row r="17739" spans="1:3">
      <c r="A17739" s="250">
        <v>42060</v>
      </c>
      <c r="B17739" s="74" t="s">
        <v>9943</v>
      </c>
      <c r="C17739" s="74" t="s">
        <v>428</v>
      </c>
    </row>
    <row r="17740" spans="1:3">
      <c r="A17740" s="250">
        <v>42061</v>
      </c>
      <c r="B17740" s="74" t="s">
        <v>9944</v>
      </c>
      <c r="C17740" s="74" t="s">
        <v>428</v>
      </c>
    </row>
    <row r="17741" spans="1:3">
      <c r="A17741" s="250">
        <v>42063</v>
      </c>
      <c r="B17741" s="74" t="s">
        <v>9254</v>
      </c>
      <c r="C17741" s="74" t="s">
        <v>428</v>
      </c>
    </row>
    <row r="17742" spans="1:3">
      <c r="A17742" s="250">
        <v>42064</v>
      </c>
      <c r="B17742" s="74" t="s">
        <v>1071</v>
      </c>
      <c r="C17742" s="74" t="s">
        <v>428</v>
      </c>
    </row>
    <row r="17743" spans="1:3">
      <c r="A17743" s="250">
        <v>42066</v>
      </c>
      <c r="B17743" s="74" t="s">
        <v>2975</v>
      </c>
      <c r="C17743" s="74" t="s">
        <v>428</v>
      </c>
    </row>
    <row r="17744" spans="1:3">
      <c r="A17744" s="250">
        <v>42069</v>
      </c>
      <c r="B17744" s="74" t="s">
        <v>9945</v>
      </c>
      <c r="C17744" s="74" t="s">
        <v>428</v>
      </c>
    </row>
    <row r="17745" spans="1:3">
      <c r="A17745" s="250">
        <v>42070</v>
      </c>
      <c r="B17745" s="74" t="s">
        <v>9946</v>
      </c>
      <c r="C17745" s="74" t="s">
        <v>428</v>
      </c>
    </row>
    <row r="17746" spans="1:3">
      <c r="A17746" s="250">
        <v>42071</v>
      </c>
      <c r="B17746" s="74" t="s">
        <v>9947</v>
      </c>
      <c r="C17746" s="74" t="s">
        <v>428</v>
      </c>
    </row>
    <row r="17747" spans="1:3">
      <c r="A17747" s="250">
        <v>42076</v>
      </c>
      <c r="B17747" s="74" t="s">
        <v>9948</v>
      </c>
      <c r="C17747" s="74" t="s">
        <v>428</v>
      </c>
    </row>
    <row r="17748" spans="1:3">
      <c r="A17748" s="250">
        <v>42078</v>
      </c>
      <c r="B17748" s="74" t="s">
        <v>858</v>
      </c>
      <c r="C17748" s="74" t="s">
        <v>428</v>
      </c>
    </row>
    <row r="17749" spans="1:3">
      <c r="A17749" s="250">
        <v>42079</v>
      </c>
      <c r="B17749" s="74" t="s">
        <v>7119</v>
      </c>
      <c r="C17749" s="74" t="s">
        <v>428</v>
      </c>
    </row>
    <row r="17750" spans="1:3">
      <c r="A17750" s="250">
        <v>42081</v>
      </c>
      <c r="B17750" s="74" t="s">
        <v>9949</v>
      </c>
      <c r="C17750" s="74" t="s">
        <v>428</v>
      </c>
    </row>
    <row r="17751" spans="1:3">
      <c r="A17751" s="250">
        <v>42082</v>
      </c>
      <c r="B17751" s="74" t="s">
        <v>9950</v>
      </c>
      <c r="C17751" s="74" t="s">
        <v>428</v>
      </c>
    </row>
    <row r="17752" spans="1:3">
      <c r="A17752" s="250">
        <v>42083</v>
      </c>
      <c r="B17752" s="74" t="s">
        <v>9951</v>
      </c>
      <c r="C17752" s="74" t="s">
        <v>428</v>
      </c>
    </row>
    <row r="17753" spans="1:3">
      <c r="A17753" s="250">
        <v>42084</v>
      </c>
      <c r="B17753" s="74" t="s">
        <v>9952</v>
      </c>
      <c r="C17753" s="74" t="s">
        <v>428</v>
      </c>
    </row>
    <row r="17754" spans="1:3">
      <c r="A17754" s="250">
        <v>42085</v>
      </c>
      <c r="B17754" s="74" t="s">
        <v>9407</v>
      </c>
      <c r="C17754" s="74" t="s">
        <v>428</v>
      </c>
    </row>
    <row r="17755" spans="1:3">
      <c r="A17755" s="250">
        <v>42086</v>
      </c>
      <c r="B17755" s="74" t="s">
        <v>9953</v>
      </c>
      <c r="C17755" s="74" t="s">
        <v>428</v>
      </c>
    </row>
    <row r="17756" spans="1:3">
      <c r="A17756" s="250">
        <v>42087</v>
      </c>
      <c r="B17756" s="74" t="s">
        <v>9954</v>
      </c>
      <c r="C17756" s="74" t="s">
        <v>428</v>
      </c>
    </row>
    <row r="17757" spans="1:3">
      <c r="A17757" s="250">
        <v>42088</v>
      </c>
      <c r="B17757" s="74" t="s">
        <v>9955</v>
      </c>
      <c r="C17757" s="74" t="s">
        <v>428</v>
      </c>
    </row>
    <row r="17758" spans="1:3">
      <c r="A17758" s="250">
        <v>42101</v>
      </c>
      <c r="B17758" s="74" t="s">
        <v>5879</v>
      </c>
      <c r="C17758" s="74" t="s">
        <v>428</v>
      </c>
    </row>
    <row r="17759" spans="1:3">
      <c r="A17759" s="250">
        <v>42102</v>
      </c>
      <c r="B17759" s="74" t="s">
        <v>5879</v>
      </c>
      <c r="C17759" s="74" t="s">
        <v>428</v>
      </c>
    </row>
    <row r="17760" spans="1:3">
      <c r="A17760" s="250">
        <v>42103</v>
      </c>
      <c r="B17760" s="74" t="s">
        <v>5879</v>
      </c>
      <c r="C17760" s="74" t="s">
        <v>428</v>
      </c>
    </row>
    <row r="17761" spans="1:3">
      <c r="A17761" s="250">
        <v>42104</v>
      </c>
      <c r="B17761" s="74" t="s">
        <v>5879</v>
      </c>
      <c r="C17761" s="74" t="s">
        <v>428</v>
      </c>
    </row>
    <row r="17762" spans="1:3">
      <c r="A17762" s="250">
        <v>42120</v>
      </c>
      <c r="B17762" s="74" t="s">
        <v>9956</v>
      </c>
      <c r="C17762" s="74" t="s">
        <v>428</v>
      </c>
    </row>
    <row r="17763" spans="1:3">
      <c r="A17763" s="250">
        <v>42122</v>
      </c>
      <c r="B17763" s="74" t="s">
        <v>9957</v>
      </c>
      <c r="C17763" s="74" t="s">
        <v>428</v>
      </c>
    </row>
    <row r="17764" spans="1:3">
      <c r="A17764" s="250">
        <v>42123</v>
      </c>
      <c r="B17764" s="74" t="s">
        <v>4587</v>
      </c>
      <c r="C17764" s="74" t="s">
        <v>428</v>
      </c>
    </row>
    <row r="17765" spans="1:3">
      <c r="A17765" s="250">
        <v>42124</v>
      </c>
      <c r="B17765" s="74" t="s">
        <v>6036</v>
      </c>
      <c r="C17765" s="74" t="s">
        <v>428</v>
      </c>
    </row>
    <row r="17766" spans="1:3">
      <c r="A17766" s="250">
        <v>42127</v>
      </c>
      <c r="B17766" s="74" t="s">
        <v>9958</v>
      </c>
      <c r="C17766" s="74" t="s">
        <v>428</v>
      </c>
    </row>
    <row r="17767" spans="1:3">
      <c r="A17767" s="250">
        <v>42128</v>
      </c>
      <c r="B17767" s="74" t="s">
        <v>9959</v>
      </c>
      <c r="C17767" s="74" t="s">
        <v>428</v>
      </c>
    </row>
    <row r="17768" spans="1:3">
      <c r="A17768" s="250">
        <v>42129</v>
      </c>
      <c r="B17768" s="74" t="s">
        <v>9960</v>
      </c>
      <c r="C17768" s="74" t="s">
        <v>428</v>
      </c>
    </row>
    <row r="17769" spans="1:3">
      <c r="A17769" s="250">
        <v>42130</v>
      </c>
      <c r="B17769" s="74" t="s">
        <v>9961</v>
      </c>
      <c r="C17769" s="74" t="s">
        <v>428</v>
      </c>
    </row>
    <row r="17770" spans="1:3">
      <c r="A17770" s="250">
        <v>42131</v>
      </c>
      <c r="B17770" s="74" t="s">
        <v>9962</v>
      </c>
      <c r="C17770" s="74" t="s">
        <v>428</v>
      </c>
    </row>
    <row r="17771" spans="1:3">
      <c r="A17771" s="250">
        <v>42133</v>
      </c>
      <c r="B17771" s="74" t="s">
        <v>9963</v>
      </c>
      <c r="C17771" s="74" t="s">
        <v>428</v>
      </c>
    </row>
    <row r="17772" spans="1:3">
      <c r="A17772" s="250">
        <v>42134</v>
      </c>
      <c r="B17772" s="74" t="s">
        <v>873</v>
      </c>
      <c r="C17772" s="74" t="s">
        <v>428</v>
      </c>
    </row>
    <row r="17773" spans="1:3">
      <c r="A17773" s="250">
        <v>42135</v>
      </c>
      <c r="B17773" s="74" t="s">
        <v>873</v>
      </c>
      <c r="C17773" s="74" t="s">
        <v>428</v>
      </c>
    </row>
    <row r="17774" spans="1:3">
      <c r="A17774" s="250">
        <v>42140</v>
      </c>
      <c r="B17774" s="74" t="s">
        <v>9964</v>
      </c>
      <c r="C17774" s="74" t="s">
        <v>428</v>
      </c>
    </row>
    <row r="17775" spans="1:3">
      <c r="A17775" s="250">
        <v>42141</v>
      </c>
      <c r="B17775" s="74" t="s">
        <v>4551</v>
      </c>
      <c r="C17775" s="74" t="s">
        <v>428</v>
      </c>
    </row>
    <row r="17776" spans="1:3">
      <c r="A17776" s="250">
        <v>42142</v>
      </c>
      <c r="B17776" s="74" t="s">
        <v>4551</v>
      </c>
      <c r="C17776" s="74" t="s">
        <v>428</v>
      </c>
    </row>
    <row r="17777" spans="1:3">
      <c r="A17777" s="250">
        <v>42151</v>
      </c>
      <c r="B17777" s="74" t="s">
        <v>9965</v>
      </c>
      <c r="C17777" s="74" t="s">
        <v>428</v>
      </c>
    </row>
    <row r="17778" spans="1:3">
      <c r="A17778" s="250">
        <v>42152</v>
      </c>
      <c r="B17778" s="74" t="s">
        <v>9966</v>
      </c>
      <c r="C17778" s="74" t="s">
        <v>428</v>
      </c>
    </row>
    <row r="17779" spans="1:3">
      <c r="A17779" s="250">
        <v>42153</v>
      </c>
      <c r="B17779" s="74" t="s">
        <v>739</v>
      </c>
      <c r="C17779" s="74" t="s">
        <v>428</v>
      </c>
    </row>
    <row r="17780" spans="1:3">
      <c r="A17780" s="250">
        <v>42154</v>
      </c>
      <c r="B17780" s="74" t="s">
        <v>9967</v>
      </c>
      <c r="C17780" s="74" t="s">
        <v>428</v>
      </c>
    </row>
    <row r="17781" spans="1:3">
      <c r="A17781" s="250">
        <v>42156</v>
      </c>
      <c r="B17781" s="74" t="s">
        <v>9968</v>
      </c>
      <c r="C17781" s="74" t="s">
        <v>428</v>
      </c>
    </row>
    <row r="17782" spans="1:3">
      <c r="A17782" s="250">
        <v>42157</v>
      </c>
      <c r="B17782" s="74" t="s">
        <v>9969</v>
      </c>
      <c r="C17782" s="74" t="s">
        <v>428</v>
      </c>
    </row>
    <row r="17783" spans="1:3">
      <c r="A17783" s="250">
        <v>42159</v>
      </c>
      <c r="B17783" s="74" t="s">
        <v>1121</v>
      </c>
      <c r="C17783" s="74" t="s">
        <v>428</v>
      </c>
    </row>
    <row r="17784" spans="1:3">
      <c r="A17784" s="250">
        <v>42160</v>
      </c>
      <c r="B17784" s="74" t="s">
        <v>9970</v>
      </c>
      <c r="C17784" s="74" t="s">
        <v>428</v>
      </c>
    </row>
    <row r="17785" spans="1:3">
      <c r="A17785" s="250">
        <v>42163</v>
      </c>
      <c r="B17785" s="74" t="s">
        <v>1955</v>
      </c>
      <c r="C17785" s="74" t="s">
        <v>428</v>
      </c>
    </row>
    <row r="17786" spans="1:3">
      <c r="A17786" s="250">
        <v>42164</v>
      </c>
      <c r="B17786" s="74" t="s">
        <v>3819</v>
      </c>
      <c r="C17786" s="74" t="s">
        <v>428</v>
      </c>
    </row>
    <row r="17787" spans="1:3">
      <c r="A17787" s="250">
        <v>42166</v>
      </c>
      <c r="B17787" s="74" t="s">
        <v>9971</v>
      </c>
      <c r="C17787" s="74" t="s">
        <v>428</v>
      </c>
    </row>
    <row r="17788" spans="1:3">
      <c r="A17788" s="250">
        <v>42167</v>
      </c>
      <c r="B17788" s="74" t="s">
        <v>9972</v>
      </c>
      <c r="C17788" s="74" t="s">
        <v>428</v>
      </c>
    </row>
    <row r="17789" spans="1:3">
      <c r="A17789" s="250">
        <v>42170</v>
      </c>
      <c r="B17789" s="74" t="s">
        <v>9973</v>
      </c>
      <c r="C17789" s="74" t="s">
        <v>428</v>
      </c>
    </row>
    <row r="17790" spans="1:3">
      <c r="A17790" s="250">
        <v>42171</v>
      </c>
      <c r="B17790" s="74" t="s">
        <v>9974</v>
      </c>
      <c r="C17790" s="74" t="s">
        <v>428</v>
      </c>
    </row>
    <row r="17791" spans="1:3">
      <c r="A17791" s="250">
        <v>42201</v>
      </c>
      <c r="B17791" s="74" t="s">
        <v>5648</v>
      </c>
      <c r="C17791" s="74" t="s">
        <v>428</v>
      </c>
    </row>
    <row r="17792" spans="1:3">
      <c r="A17792" s="250">
        <v>42202</v>
      </c>
      <c r="B17792" s="74" t="s">
        <v>9975</v>
      </c>
      <c r="C17792" s="74" t="s">
        <v>428</v>
      </c>
    </row>
    <row r="17793" spans="1:3">
      <c r="A17793" s="250">
        <v>42204</v>
      </c>
      <c r="B17793" s="74" t="s">
        <v>4688</v>
      </c>
      <c r="C17793" s="74" t="s">
        <v>428</v>
      </c>
    </row>
    <row r="17794" spans="1:3">
      <c r="A17794" s="250">
        <v>42206</v>
      </c>
      <c r="B17794" s="74" t="s">
        <v>724</v>
      </c>
      <c r="C17794" s="74" t="s">
        <v>428</v>
      </c>
    </row>
    <row r="17795" spans="1:3">
      <c r="A17795" s="250">
        <v>42207</v>
      </c>
      <c r="B17795" s="74" t="s">
        <v>9976</v>
      </c>
      <c r="C17795" s="74" t="s">
        <v>428</v>
      </c>
    </row>
    <row r="17796" spans="1:3">
      <c r="A17796" s="250">
        <v>42210</v>
      </c>
      <c r="B17796" s="74" t="s">
        <v>1731</v>
      </c>
      <c r="C17796" s="74" t="s">
        <v>428</v>
      </c>
    </row>
    <row r="17797" spans="1:3">
      <c r="A17797" s="250">
        <v>42211</v>
      </c>
      <c r="B17797" s="74" t="s">
        <v>9977</v>
      </c>
      <c r="C17797" s="74" t="s">
        <v>428</v>
      </c>
    </row>
    <row r="17798" spans="1:3">
      <c r="A17798" s="250">
        <v>42214</v>
      </c>
      <c r="B17798" s="74" t="s">
        <v>9978</v>
      </c>
      <c r="C17798" s="74" t="s">
        <v>428</v>
      </c>
    </row>
    <row r="17799" spans="1:3">
      <c r="A17799" s="250">
        <v>42215</v>
      </c>
      <c r="B17799" s="74" t="s">
        <v>9979</v>
      </c>
      <c r="C17799" s="74" t="s">
        <v>428</v>
      </c>
    </row>
    <row r="17800" spans="1:3">
      <c r="A17800" s="250">
        <v>42216</v>
      </c>
      <c r="B17800" s="74" t="s">
        <v>9980</v>
      </c>
      <c r="C17800" s="74" t="s">
        <v>428</v>
      </c>
    </row>
    <row r="17801" spans="1:3">
      <c r="A17801" s="250">
        <v>42217</v>
      </c>
      <c r="B17801" s="74" t="s">
        <v>5689</v>
      </c>
      <c r="C17801" s="74" t="s">
        <v>428</v>
      </c>
    </row>
    <row r="17802" spans="1:3">
      <c r="A17802" s="250">
        <v>42219</v>
      </c>
      <c r="B17802" s="74" t="s">
        <v>4104</v>
      </c>
      <c r="C17802" s="74" t="s">
        <v>428</v>
      </c>
    </row>
    <row r="17803" spans="1:3">
      <c r="A17803" s="250">
        <v>42220</v>
      </c>
      <c r="B17803" s="74" t="s">
        <v>5864</v>
      </c>
      <c r="C17803" s="74" t="s">
        <v>428</v>
      </c>
    </row>
    <row r="17804" spans="1:3">
      <c r="A17804" s="250">
        <v>42221</v>
      </c>
      <c r="B17804" s="74" t="s">
        <v>2122</v>
      </c>
      <c r="C17804" s="74" t="s">
        <v>428</v>
      </c>
    </row>
    <row r="17805" spans="1:3">
      <c r="A17805" s="250">
        <v>42223</v>
      </c>
      <c r="B17805" s="74" t="s">
        <v>9981</v>
      </c>
      <c r="C17805" s="74" t="s">
        <v>428</v>
      </c>
    </row>
    <row r="17806" spans="1:3">
      <c r="A17806" s="250">
        <v>42232</v>
      </c>
      <c r="B17806" s="74" t="s">
        <v>9982</v>
      </c>
      <c r="C17806" s="74" t="s">
        <v>428</v>
      </c>
    </row>
    <row r="17807" spans="1:3">
      <c r="A17807" s="250">
        <v>42234</v>
      </c>
      <c r="B17807" s="74" t="s">
        <v>9983</v>
      </c>
      <c r="C17807" s="74" t="s">
        <v>428</v>
      </c>
    </row>
    <row r="17808" spans="1:3">
      <c r="A17808" s="250">
        <v>42236</v>
      </c>
      <c r="B17808" s="74" t="s">
        <v>4945</v>
      </c>
      <c r="C17808" s="74" t="s">
        <v>428</v>
      </c>
    </row>
    <row r="17809" spans="1:3">
      <c r="A17809" s="250">
        <v>42240</v>
      </c>
      <c r="B17809" s="74" t="s">
        <v>9984</v>
      </c>
      <c r="C17809" s="74" t="s">
        <v>428</v>
      </c>
    </row>
    <row r="17810" spans="1:3">
      <c r="A17810" s="250">
        <v>42241</v>
      </c>
      <c r="B17810" s="74" t="s">
        <v>9984</v>
      </c>
      <c r="C17810" s="74" t="s">
        <v>428</v>
      </c>
    </row>
    <row r="17811" spans="1:3">
      <c r="A17811" s="250">
        <v>42252</v>
      </c>
      <c r="B17811" s="74" t="s">
        <v>9985</v>
      </c>
      <c r="C17811" s="74" t="s">
        <v>428</v>
      </c>
    </row>
    <row r="17812" spans="1:3">
      <c r="A17812" s="250">
        <v>42254</v>
      </c>
      <c r="B17812" s="74" t="s">
        <v>3375</v>
      </c>
      <c r="C17812" s="74" t="s">
        <v>428</v>
      </c>
    </row>
    <row r="17813" spans="1:3">
      <c r="A17813" s="250">
        <v>42256</v>
      </c>
      <c r="B17813" s="74" t="s">
        <v>4952</v>
      </c>
      <c r="C17813" s="74" t="s">
        <v>428</v>
      </c>
    </row>
    <row r="17814" spans="1:3">
      <c r="A17814" s="250">
        <v>42259</v>
      </c>
      <c r="B17814" s="74" t="s">
        <v>9986</v>
      </c>
      <c r="C17814" s="74" t="s">
        <v>428</v>
      </c>
    </row>
    <row r="17815" spans="1:3">
      <c r="A17815" s="250">
        <v>42261</v>
      </c>
      <c r="B17815" s="74" t="s">
        <v>5469</v>
      </c>
      <c r="C17815" s="74" t="s">
        <v>428</v>
      </c>
    </row>
    <row r="17816" spans="1:3">
      <c r="A17816" s="250">
        <v>42262</v>
      </c>
      <c r="B17816" s="74" t="s">
        <v>9987</v>
      </c>
      <c r="C17816" s="74" t="s">
        <v>428</v>
      </c>
    </row>
    <row r="17817" spans="1:3">
      <c r="A17817" s="250">
        <v>42265</v>
      </c>
      <c r="B17817" s="74" t="s">
        <v>9988</v>
      </c>
      <c r="C17817" s="74" t="s">
        <v>428</v>
      </c>
    </row>
    <row r="17818" spans="1:3">
      <c r="A17818" s="250">
        <v>42266</v>
      </c>
      <c r="B17818" s="74" t="s">
        <v>955</v>
      </c>
      <c r="C17818" s="74" t="s">
        <v>428</v>
      </c>
    </row>
    <row r="17819" spans="1:3">
      <c r="A17819" s="250">
        <v>42273</v>
      </c>
      <c r="B17819" s="74" t="s">
        <v>1085</v>
      </c>
      <c r="C17819" s="74" t="s">
        <v>428</v>
      </c>
    </row>
    <row r="17820" spans="1:3">
      <c r="A17820" s="250">
        <v>42274</v>
      </c>
      <c r="B17820" s="74" t="s">
        <v>9989</v>
      </c>
      <c r="C17820" s="74" t="s">
        <v>428</v>
      </c>
    </row>
    <row r="17821" spans="1:3">
      <c r="A17821" s="250">
        <v>42275</v>
      </c>
      <c r="B17821" s="74" t="s">
        <v>9990</v>
      </c>
      <c r="C17821" s="74" t="s">
        <v>428</v>
      </c>
    </row>
    <row r="17822" spans="1:3">
      <c r="A17822" s="250">
        <v>42276</v>
      </c>
      <c r="B17822" s="74" t="s">
        <v>7718</v>
      </c>
      <c r="C17822" s="74" t="s">
        <v>428</v>
      </c>
    </row>
    <row r="17823" spans="1:3">
      <c r="A17823" s="250">
        <v>42280</v>
      </c>
      <c r="B17823" s="74" t="s">
        <v>9991</v>
      </c>
      <c r="C17823" s="74" t="s">
        <v>428</v>
      </c>
    </row>
    <row r="17824" spans="1:3">
      <c r="A17824" s="250">
        <v>42283</v>
      </c>
      <c r="B17824" s="74" t="s">
        <v>9992</v>
      </c>
      <c r="C17824" s="74" t="s">
        <v>428</v>
      </c>
    </row>
    <row r="17825" spans="1:3">
      <c r="A17825" s="250">
        <v>42285</v>
      </c>
      <c r="B17825" s="74" t="s">
        <v>9993</v>
      </c>
      <c r="C17825" s="74" t="s">
        <v>428</v>
      </c>
    </row>
    <row r="17826" spans="1:3">
      <c r="A17826" s="250">
        <v>42286</v>
      </c>
      <c r="B17826" s="74" t="s">
        <v>2532</v>
      </c>
      <c r="C17826" s="74" t="s">
        <v>428</v>
      </c>
    </row>
    <row r="17827" spans="1:3">
      <c r="A17827" s="250">
        <v>42287</v>
      </c>
      <c r="B17827" s="74" t="s">
        <v>9994</v>
      </c>
      <c r="C17827" s="74" t="s">
        <v>428</v>
      </c>
    </row>
    <row r="17828" spans="1:3">
      <c r="A17828" s="250">
        <v>42288</v>
      </c>
      <c r="B17828" s="74" t="s">
        <v>1861</v>
      </c>
      <c r="C17828" s="74" t="s">
        <v>428</v>
      </c>
    </row>
    <row r="17829" spans="1:3">
      <c r="A17829" s="250">
        <v>42301</v>
      </c>
      <c r="B17829" s="74" t="s">
        <v>9995</v>
      </c>
      <c r="C17829" s="74" t="s">
        <v>428</v>
      </c>
    </row>
    <row r="17830" spans="1:3">
      <c r="A17830" s="250">
        <v>42302</v>
      </c>
      <c r="B17830" s="74" t="s">
        <v>9995</v>
      </c>
      <c r="C17830" s="74" t="s">
        <v>428</v>
      </c>
    </row>
    <row r="17831" spans="1:3">
      <c r="A17831" s="250">
        <v>42303</v>
      </c>
      <c r="B17831" s="74" t="s">
        <v>9995</v>
      </c>
      <c r="C17831" s="74" t="s">
        <v>428</v>
      </c>
    </row>
    <row r="17832" spans="1:3">
      <c r="A17832" s="250">
        <v>42304</v>
      </c>
      <c r="B17832" s="74" t="s">
        <v>9995</v>
      </c>
      <c r="C17832" s="74" t="s">
        <v>428</v>
      </c>
    </row>
    <row r="17833" spans="1:3">
      <c r="A17833" s="250">
        <v>42320</v>
      </c>
      <c r="B17833" s="74" t="s">
        <v>9996</v>
      </c>
      <c r="C17833" s="74" t="s">
        <v>428</v>
      </c>
    </row>
    <row r="17834" spans="1:3">
      <c r="A17834" s="250">
        <v>42321</v>
      </c>
      <c r="B17834" s="74" t="s">
        <v>4612</v>
      </c>
      <c r="C17834" s="74" t="s">
        <v>428</v>
      </c>
    </row>
    <row r="17835" spans="1:3">
      <c r="A17835" s="250">
        <v>42322</v>
      </c>
      <c r="B17835" s="74" t="s">
        <v>9997</v>
      </c>
      <c r="C17835" s="74" t="s">
        <v>428</v>
      </c>
    </row>
    <row r="17836" spans="1:3">
      <c r="A17836" s="250">
        <v>42323</v>
      </c>
      <c r="B17836" s="74" t="s">
        <v>9998</v>
      </c>
      <c r="C17836" s="74" t="s">
        <v>428</v>
      </c>
    </row>
    <row r="17837" spans="1:3">
      <c r="A17837" s="250">
        <v>42324</v>
      </c>
      <c r="B17837" s="74" t="s">
        <v>7765</v>
      </c>
      <c r="C17837" s="74" t="s">
        <v>428</v>
      </c>
    </row>
    <row r="17838" spans="1:3">
      <c r="A17838" s="250">
        <v>42325</v>
      </c>
      <c r="B17838" s="74" t="s">
        <v>1545</v>
      </c>
      <c r="C17838" s="74" t="s">
        <v>428</v>
      </c>
    </row>
    <row r="17839" spans="1:3">
      <c r="A17839" s="250">
        <v>42326</v>
      </c>
      <c r="B17839" s="74" t="s">
        <v>9999</v>
      </c>
      <c r="C17839" s="74" t="s">
        <v>428</v>
      </c>
    </row>
    <row r="17840" spans="1:3">
      <c r="A17840" s="250">
        <v>42327</v>
      </c>
      <c r="B17840" s="74" t="s">
        <v>8025</v>
      </c>
      <c r="C17840" s="74" t="s">
        <v>428</v>
      </c>
    </row>
    <row r="17841" spans="1:3">
      <c r="A17841" s="250">
        <v>42328</v>
      </c>
      <c r="B17841" s="74" t="s">
        <v>10000</v>
      </c>
      <c r="C17841" s="74" t="s">
        <v>428</v>
      </c>
    </row>
    <row r="17842" spans="1:3">
      <c r="A17842" s="250">
        <v>42330</v>
      </c>
      <c r="B17842" s="74" t="s">
        <v>4347</v>
      </c>
      <c r="C17842" s="74" t="s">
        <v>428</v>
      </c>
    </row>
    <row r="17843" spans="1:3">
      <c r="A17843" s="250">
        <v>42332</v>
      </c>
      <c r="B17843" s="74" t="s">
        <v>10001</v>
      </c>
      <c r="C17843" s="74" t="s">
        <v>428</v>
      </c>
    </row>
    <row r="17844" spans="1:3">
      <c r="A17844" s="250">
        <v>42333</v>
      </c>
      <c r="B17844" s="74" t="s">
        <v>2045</v>
      </c>
      <c r="C17844" s="74" t="s">
        <v>428</v>
      </c>
    </row>
    <row r="17845" spans="1:3">
      <c r="A17845" s="250">
        <v>42334</v>
      </c>
      <c r="B17845" s="74" t="s">
        <v>10002</v>
      </c>
      <c r="C17845" s="74" t="s">
        <v>428</v>
      </c>
    </row>
    <row r="17846" spans="1:3">
      <c r="A17846" s="250">
        <v>42337</v>
      </c>
      <c r="B17846" s="74" t="s">
        <v>10003</v>
      </c>
      <c r="C17846" s="74" t="s">
        <v>428</v>
      </c>
    </row>
    <row r="17847" spans="1:3">
      <c r="A17847" s="250">
        <v>42338</v>
      </c>
      <c r="B17847" s="74" t="s">
        <v>3912</v>
      </c>
      <c r="C17847" s="74" t="s">
        <v>428</v>
      </c>
    </row>
    <row r="17848" spans="1:3">
      <c r="A17848" s="250">
        <v>42339</v>
      </c>
      <c r="B17848" s="74" t="s">
        <v>10004</v>
      </c>
      <c r="C17848" s="74" t="s">
        <v>428</v>
      </c>
    </row>
    <row r="17849" spans="1:3">
      <c r="A17849" s="250">
        <v>42343</v>
      </c>
      <c r="B17849" s="74" t="s">
        <v>10005</v>
      </c>
      <c r="C17849" s="74" t="s">
        <v>428</v>
      </c>
    </row>
    <row r="17850" spans="1:3">
      <c r="A17850" s="250">
        <v>42344</v>
      </c>
      <c r="B17850" s="74" t="s">
        <v>7098</v>
      </c>
      <c r="C17850" s="74" t="s">
        <v>428</v>
      </c>
    </row>
    <row r="17851" spans="1:3">
      <c r="A17851" s="250">
        <v>42345</v>
      </c>
      <c r="B17851" s="74" t="s">
        <v>1108</v>
      </c>
      <c r="C17851" s="74" t="s">
        <v>428</v>
      </c>
    </row>
    <row r="17852" spans="1:3">
      <c r="A17852" s="250">
        <v>42347</v>
      </c>
      <c r="B17852" s="74" t="s">
        <v>1737</v>
      </c>
      <c r="C17852" s="74" t="s">
        <v>428</v>
      </c>
    </row>
    <row r="17853" spans="1:3">
      <c r="A17853" s="250">
        <v>42348</v>
      </c>
      <c r="B17853" s="74" t="s">
        <v>10006</v>
      </c>
      <c r="C17853" s="74" t="s">
        <v>428</v>
      </c>
    </row>
    <row r="17854" spans="1:3">
      <c r="A17854" s="250">
        <v>42349</v>
      </c>
      <c r="B17854" s="74" t="s">
        <v>10007</v>
      </c>
      <c r="C17854" s="74" t="s">
        <v>428</v>
      </c>
    </row>
    <row r="17855" spans="1:3">
      <c r="A17855" s="250">
        <v>42350</v>
      </c>
      <c r="B17855" s="74" t="s">
        <v>10008</v>
      </c>
      <c r="C17855" s="74" t="s">
        <v>428</v>
      </c>
    </row>
    <row r="17856" spans="1:3">
      <c r="A17856" s="250">
        <v>42351</v>
      </c>
      <c r="B17856" s="74" t="s">
        <v>10009</v>
      </c>
      <c r="C17856" s="74" t="s">
        <v>428</v>
      </c>
    </row>
    <row r="17857" spans="1:3">
      <c r="A17857" s="250">
        <v>42352</v>
      </c>
      <c r="B17857" s="74" t="s">
        <v>1446</v>
      </c>
      <c r="C17857" s="74" t="s">
        <v>428</v>
      </c>
    </row>
    <row r="17858" spans="1:3">
      <c r="A17858" s="250">
        <v>42354</v>
      </c>
      <c r="B17858" s="74" t="s">
        <v>5733</v>
      </c>
      <c r="C17858" s="74" t="s">
        <v>428</v>
      </c>
    </row>
    <row r="17859" spans="1:3">
      <c r="A17859" s="250">
        <v>42355</v>
      </c>
      <c r="B17859" s="74" t="s">
        <v>10010</v>
      </c>
      <c r="C17859" s="74" t="s">
        <v>428</v>
      </c>
    </row>
    <row r="17860" spans="1:3">
      <c r="A17860" s="250">
        <v>42356</v>
      </c>
      <c r="B17860" s="74" t="s">
        <v>10011</v>
      </c>
      <c r="C17860" s="74" t="s">
        <v>428</v>
      </c>
    </row>
    <row r="17861" spans="1:3">
      <c r="A17861" s="250">
        <v>42361</v>
      </c>
      <c r="B17861" s="74" t="s">
        <v>10012</v>
      </c>
      <c r="C17861" s="74" t="s">
        <v>428</v>
      </c>
    </row>
    <row r="17862" spans="1:3">
      <c r="A17862" s="250">
        <v>42364</v>
      </c>
      <c r="B17862" s="74" t="s">
        <v>10013</v>
      </c>
      <c r="C17862" s="74" t="s">
        <v>428</v>
      </c>
    </row>
    <row r="17863" spans="1:3">
      <c r="A17863" s="250">
        <v>42366</v>
      </c>
      <c r="B17863" s="74" t="s">
        <v>10014</v>
      </c>
      <c r="C17863" s="74" t="s">
        <v>428</v>
      </c>
    </row>
    <row r="17864" spans="1:3">
      <c r="A17864" s="250">
        <v>42367</v>
      </c>
      <c r="B17864" s="74" t="s">
        <v>10015</v>
      </c>
      <c r="C17864" s="74" t="s">
        <v>428</v>
      </c>
    </row>
    <row r="17865" spans="1:3">
      <c r="A17865" s="250">
        <v>42368</v>
      </c>
      <c r="B17865" s="74" t="s">
        <v>10016</v>
      </c>
      <c r="C17865" s="74" t="s">
        <v>428</v>
      </c>
    </row>
    <row r="17866" spans="1:3">
      <c r="A17866" s="250">
        <v>42369</v>
      </c>
      <c r="B17866" s="74" t="s">
        <v>856</v>
      </c>
      <c r="C17866" s="74" t="s">
        <v>428</v>
      </c>
    </row>
    <row r="17867" spans="1:3">
      <c r="A17867" s="250">
        <v>42370</v>
      </c>
      <c r="B17867" s="74" t="s">
        <v>10017</v>
      </c>
      <c r="C17867" s="74" t="s">
        <v>428</v>
      </c>
    </row>
    <row r="17868" spans="1:3">
      <c r="A17868" s="250">
        <v>42371</v>
      </c>
      <c r="B17868" s="74" t="s">
        <v>10018</v>
      </c>
      <c r="C17868" s="74" t="s">
        <v>428</v>
      </c>
    </row>
    <row r="17869" spans="1:3">
      <c r="A17869" s="250">
        <v>42372</v>
      </c>
      <c r="B17869" s="74" t="s">
        <v>5016</v>
      </c>
      <c r="C17869" s="74" t="s">
        <v>428</v>
      </c>
    </row>
    <row r="17870" spans="1:3">
      <c r="A17870" s="250">
        <v>42374</v>
      </c>
      <c r="B17870" s="74" t="s">
        <v>10019</v>
      </c>
      <c r="C17870" s="74" t="s">
        <v>428</v>
      </c>
    </row>
    <row r="17871" spans="1:3">
      <c r="A17871" s="250">
        <v>42375</v>
      </c>
      <c r="B17871" s="74" t="s">
        <v>3830</v>
      </c>
      <c r="C17871" s="74" t="s">
        <v>428</v>
      </c>
    </row>
    <row r="17872" spans="1:3">
      <c r="A17872" s="250">
        <v>42376</v>
      </c>
      <c r="B17872" s="74" t="s">
        <v>3521</v>
      </c>
      <c r="C17872" s="74" t="s">
        <v>428</v>
      </c>
    </row>
    <row r="17873" spans="1:3">
      <c r="A17873" s="250">
        <v>42377</v>
      </c>
      <c r="B17873" s="74" t="s">
        <v>10020</v>
      </c>
      <c r="C17873" s="74" t="s">
        <v>428</v>
      </c>
    </row>
    <row r="17874" spans="1:3">
      <c r="A17874" s="250">
        <v>42378</v>
      </c>
      <c r="B17874" s="74" t="s">
        <v>3953</v>
      </c>
      <c r="C17874" s="74" t="s">
        <v>428</v>
      </c>
    </row>
    <row r="17875" spans="1:3">
      <c r="A17875" s="250">
        <v>42402</v>
      </c>
      <c r="B17875" s="74" t="s">
        <v>10021</v>
      </c>
      <c r="C17875" s="74" t="s">
        <v>428</v>
      </c>
    </row>
    <row r="17876" spans="1:3">
      <c r="A17876" s="250">
        <v>42403</v>
      </c>
      <c r="B17876" s="74" t="s">
        <v>10022</v>
      </c>
      <c r="C17876" s="74" t="s">
        <v>428</v>
      </c>
    </row>
    <row r="17877" spans="1:3">
      <c r="A17877" s="250">
        <v>42404</v>
      </c>
      <c r="B17877" s="74" t="s">
        <v>3349</v>
      </c>
      <c r="C17877" s="74" t="s">
        <v>428</v>
      </c>
    </row>
    <row r="17878" spans="1:3">
      <c r="A17878" s="250">
        <v>42406</v>
      </c>
      <c r="B17878" s="74" t="s">
        <v>10023</v>
      </c>
      <c r="C17878" s="74" t="s">
        <v>428</v>
      </c>
    </row>
    <row r="17879" spans="1:3">
      <c r="A17879" s="250">
        <v>42408</v>
      </c>
      <c r="B17879" s="74" t="s">
        <v>10024</v>
      </c>
      <c r="C17879" s="74" t="s">
        <v>428</v>
      </c>
    </row>
    <row r="17880" spans="1:3">
      <c r="A17880" s="250">
        <v>42409</v>
      </c>
      <c r="B17880" s="74" t="s">
        <v>10025</v>
      </c>
      <c r="C17880" s="74" t="s">
        <v>428</v>
      </c>
    </row>
    <row r="17881" spans="1:3">
      <c r="A17881" s="250">
        <v>42410</v>
      </c>
      <c r="B17881" s="74" t="s">
        <v>5266</v>
      </c>
      <c r="C17881" s="74" t="s">
        <v>428</v>
      </c>
    </row>
    <row r="17882" spans="1:3">
      <c r="A17882" s="250">
        <v>42411</v>
      </c>
      <c r="B17882" s="74" t="s">
        <v>3706</v>
      </c>
      <c r="C17882" s="74" t="s">
        <v>428</v>
      </c>
    </row>
    <row r="17883" spans="1:3">
      <c r="A17883" s="250">
        <v>42413</v>
      </c>
      <c r="B17883" s="74" t="s">
        <v>945</v>
      </c>
      <c r="C17883" s="74" t="s">
        <v>428</v>
      </c>
    </row>
    <row r="17884" spans="1:3">
      <c r="A17884" s="250">
        <v>42419</v>
      </c>
      <c r="B17884" s="74" t="s">
        <v>3556</v>
      </c>
      <c r="C17884" s="74" t="s">
        <v>428</v>
      </c>
    </row>
    <row r="17885" spans="1:3">
      <c r="A17885" s="250">
        <v>42420</v>
      </c>
      <c r="B17885" s="74" t="s">
        <v>3556</v>
      </c>
      <c r="C17885" s="74" t="s">
        <v>428</v>
      </c>
    </row>
    <row r="17886" spans="1:3">
      <c r="A17886" s="250">
        <v>42431</v>
      </c>
      <c r="B17886" s="74" t="s">
        <v>9071</v>
      </c>
      <c r="C17886" s="74" t="s">
        <v>428</v>
      </c>
    </row>
    <row r="17887" spans="1:3">
      <c r="A17887" s="250">
        <v>42436</v>
      </c>
      <c r="B17887" s="74" t="s">
        <v>10026</v>
      </c>
      <c r="C17887" s="74" t="s">
        <v>428</v>
      </c>
    </row>
    <row r="17888" spans="1:3">
      <c r="A17888" s="250">
        <v>42437</v>
      </c>
      <c r="B17888" s="74" t="s">
        <v>10027</v>
      </c>
      <c r="C17888" s="74" t="s">
        <v>428</v>
      </c>
    </row>
    <row r="17889" spans="1:3">
      <c r="A17889" s="250">
        <v>42440</v>
      </c>
      <c r="B17889" s="74" t="s">
        <v>10028</v>
      </c>
      <c r="C17889" s="74" t="s">
        <v>428</v>
      </c>
    </row>
    <row r="17890" spans="1:3">
      <c r="A17890" s="250">
        <v>42441</v>
      </c>
      <c r="B17890" s="74" t="s">
        <v>6630</v>
      </c>
      <c r="C17890" s="74" t="s">
        <v>428</v>
      </c>
    </row>
    <row r="17891" spans="1:3">
      <c r="A17891" s="250">
        <v>42442</v>
      </c>
      <c r="B17891" s="74" t="s">
        <v>10029</v>
      </c>
      <c r="C17891" s="74" t="s">
        <v>428</v>
      </c>
    </row>
    <row r="17892" spans="1:3">
      <c r="A17892" s="250">
        <v>42444</v>
      </c>
      <c r="B17892" s="74" t="s">
        <v>10030</v>
      </c>
      <c r="C17892" s="74" t="s">
        <v>428</v>
      </c>
    </row>
    <row r="17893" spans="1:3">
      <c r="A17893" s="250">
        <v>42445</v>
      </c>
      <c r="B17893" s="74" t="s">
        <v>755</v>
      </c>
      <c r="C17893" s="74" t="s">
        <v>428</v>
      </c>
    </row>
    <row r="17894" spans="1:3">
      <c r="A17894" s="250">
        <v>42450</v>
      </c>
      <c r="B17894" s="74" t="s">
        <v>1143</v>
      </c>
      <c r="C17894" s="74" t="s">
        <v>428</v>
      </c>
    </row>
    <row r="17895" spans="1:3">
      <c r="A17895" s="250">
        <v>42451</v>
      </c>
      <c r="B17895" s="74" t="s">
        <v>10031</v>
      </c>
      <c r="C17895" s="74" t="s">
        <v>428</v>
      </c>
    </row>
    <row r="17896" spans="1:3">
      <c r="A17896" s="250">
        <v>42452</v>
      </c>
      <c r="B17896" s="74" t="s">
        <v>10032</v>
      </c>
      <c r="C17896" s="74" t="s">
        <v>428</v>
      </c>
    </row>
    <row r="17897" spans="1:3">
      <c r="A17897" s="250">
        <v>42453</v>
      </c>
      <c r="B17897" s="74" t="s">
        <v>6340</v>
      </c>
      <c r="C17897" s="74" t="s">
        <v>428</v>
      </c>
    </row>
    <row r="17898" spans="1:3">
      <c r="A17898" s="250">
        <v>42455</v>
      </c>
      <c r="B17898" s="74" t="s">
        <v>10033</v>
      </c>
      <c r="C17898" s="74" t="s">
        <v>428</v>
      </c>
    </row>
    <row r="17899" spans="1:3">
      <c r="A17899" s="250">
        <v>42456</v>
      </c>
      <c r="B17899" s="74" t="s">
        <v>10034</v>
      </c>
      <c r="C17899" s="74" t="s">
        <v>428</v>
      </c>
    </row>
    <row r="17900" spans="1:3">
      <c r="A17900" s="250">
        <v>42457</v>
      </c>
      <c r="B17900" s="74" t="s">
        <v>10035</v>
      </c>
      <c r="C17900" s="74" t="s">
        <v>428</v>
      </c>
    </row>
    <row r="17901" spans="1:3">
      <c r="A17901" s="250">
        <v>42458</v>
      </c>
      <c r="B17901" s="74" t="s">
        <v>10036</v>
      </c>
      <c r="C17901" s="74" t="s">
        <v>428</v>
      </c>
    </row>
    <row r="17902" spans="1:3">
      <c r="A17902" s="250">
        <v>42459</v>
      </c>
      <c r="B17902" s="74" t="s">
        <v>9552</v>
      </c>
      <c r="C17902" s="74" t="s">
        <v>428</v>
      </c>
    </row>
    <row r="17903" spans="1:3">
      <c r="A17903" s="250">
        <v>42460</v>
      </c>
      <c r="B17903" s="74" t="s">
        <v>1231</v>
      </c>
      <c r="C17903" s="74" t="s">
        <v>428</v>
      </c>
    </row>
    <row r="17904" spans="1:3">
      <c r="A17904" s="250">
        <v>42461</v>
      </c>
      <c r="B17904" s="74" t="s">
        <v>4089</v>
      </c>
      <c r="C17904" s="74" t="s">
        <v>428</v>
      </c>
    </row>
    <row r="17905" spans="1:3">
      <c r="A17905" s="250">
        <v>42462</v>
      </c>
      <c r="B17905" s="74" t="s">
        <v>3950</v>
      </c>
      <c r="C17905" s="74" t="s">
        <v>428</v>
      </c>
    </row>
    <row r="17906" spans="1:3">
      <c r="A17906" s="250">
        <v>42463</v>
      </c>
      <c r="B17906" s="74" t="s">
        <v>10037</v>
      </c>
      <c r="C17906" s="74" t="s">
        <v>428</v>
      </c>
    </row>
    <row r="17907" spans="1:3">
      <c r="A17907" s="250">
        <v>42464</v>
      </c>
      <c r="B17907" s="74" t="s">
        <v>2665</v>
      </c>
      <c r="C17907" s="74" t="s">
        <v>428</v>
      </c>
    </row>
    <row r="17908" spans="1:3">
      <c r="A17908" s="250">
        <v>42501</v>
      </c>
      <c r="B17908" s="74" t="s">
        <v>1070</v>
      </c>
      <c r="C17908" s="74" t="s">
        <v>428</v>
      </c>
    </row>
    <row r="17909" spans="1:3">
      <c r="A17909" s="250">
        <v>42502</v>
      </c>
      <c r="B17909" s="74" t="s">
        <v>1070</v>
      </c>
      <c r="C17909" s="74" t="s">
        <v>428</v>
      </c>
    </row>
    <row r="17910" spans="1:3">
      <c r="A17910" s="250">
        <v>42503</v>
      </c>
      <c r="B17910" s="74" t="s">
        <v>1070</v>
      </c>
      <c r="C17910" s="74" t="s">
        <v>428</v>
      </c>
    </row>
    <row r="17911" spans="1:3">
      <c r="A17911" s="250">
        <v>42516</v>
      </c>
      <c r="B17911" s="74" t="s">
        <v>10038</v>
      </c>
      <c r="C17911" s="74" t="s">
        <v>428</v>
      </c>
    </row>
    <row r="17912" spans="1:3">
      <c r="A17912" s="250">
        <v>42518</v>
      </c>
      <c r="B17912" s="74" t="s">
        <v>10039</v>
      </c>
      <c r="C17912" s="74" t="s">
        <v>428</v>
      </c>
    </row>
    <row r="17913" spans="1:3">
      <c r="A17913" s="250">
        <v>42519</v>
      </c>
      <c r="B17913" s="74" t="s">
        <v>4265</v>
      </c>
      <c r="C17913" s="74" t="s">
        <v>428</v>
      </c>
    </row>
    <row r="17914" spans="1:3">
      <c r="A17914" s="250">
        <v>42528</v>
      </c>
      <c r="B17914" s="74" t="s">
        <v>10040</v>
      </c>
      <c r="C17914" s="74" t="s">
        <v>428</v>
      </c>
    </row>
    <row r="17915" spans="1:3">
      <c r="A17915" s="250">
        <v>42533</v>
      </c>
      <c r="B17915" s="74" t="s">
        <v>7480</v>
      </c>
      <c r="C17915" s="74" t="s">
        <v>428</v>
      </c>
    </row>
    <row r="17916" spans="1:3">
      <c r="A17916" s="250">
        <v>42539</v>
      </c>
      <c r="B17916" s="74" t="s">
        <v>1701</v>
      </c>
      <c r="C17916" s="74" t="s">
        <v>428</v>
      </c>
    </row>
    <row r="17917" spans="1:3">
      <c r="A17917" s="250">
        <v>42541</v>
      </c>
      <c r="B17917" s="74" t="s">
        <v>4956</v>
      </c>
      <c r="C17917" s="74" t="s">
        <v>428</v>
      </c>
    </row>
    <row r="17918" spans="1:3">
      <c r="A17918" s="250">
        <v>42544</v>
      </c>
      <c r="B17918" s="74" t="s">
        <v>10041</v>
      </c>
      <c r="C17918" s="74" t="s">
        <v>428</v>
      </c>
    </row>
    <row r="17919" spans="1:3">
      <c r="A17919" s="250">
        <v>42553</v>
      </c>
      <c r="B17919" s="74" t="s">
        <v>10042</v>
      </c>
      <c r="C17919" s="74" t="s">
        <v>428</v>
      </c>
    </row>
    <row r="17920" spans="1:3">
      <c r="A17920" s="250">
        <v>42558</v>
      </c>
      <c r="B17920" s="74" t="s">
        <v>10043</v>
      </c>
      <c r="C17920" s="74" t="s">
        <v>428</v>
      </c>
    </row>
    <row r="17921" spans="1:3">
      <c r="A17921" s="250">
        <v>42564</v>
      </c>
      <c r="B17921" s="74" t="s">
        <v>10044</v>
      </c>
      <c r="C17921" s="74" t="s">
        <v>428</v>
      </c>
    </row>
    <row r="17922" spans="1:3">
      <c r="A17922" s="250">
        <v>42565</v>
      </c>
      <c r="B17922" s="74" t="s">
        <v>669</v>
      </c>
      <c r="C17922" s="74" t="s">
        <v>428</v>
      </c>
    </row>
    <row r="17923" spans="1:3">
      <c r="A17923" s="250">
        <v>42566</v>
      </c>
      <c r="B17923" s="74" t="s">
        <v>10045</v>
      </c>
      <c r="C17923" s="74" t="s">
        <v>428</v>
      </c>
    </row>
    <row r="17924" spans="1:3">
      <c r="A17924" s="250">
        <v>42567</v>
      </c>
      <c r="B17924" s="74" t="s">
        <v>10046</v>
      </c>
      <c r="C17924" s="74" t="s">
        <v>428</v>
      </c>
    </row>
    <row r="17925" spans="1:3">
      <c r="A17925" s="250">
        <v>42602</v>
      </c>
      <c r="B17925" s="74" t="s">
        <v>1896</v>
      </c>
      <c r="C17925" s="74" t="s">
        <v>428</v>
      </c>
    </row>
    <row r="17926" spans="1:3">
      <c r="A17926" s="250">
        <v>42603</v>
      </c>
      <c r="B17926" s="74" t="s">
        <v>10047</v>
      </c>
      <c r="C17926" s="74" t="s">
        <v>428</v>
      </c>
    </row>
    <row r="17927" spans="1:3">
      <c r="A17927" s="250">
        <v>42629</v>
      </c>
      <c r="B17927" s="74" t="s">
        <v>1113</v>
      </c>
      <c r="C17927" s="74" t="s">
        <v>428</v>
      </c>
    </row>
    <row r="17928" spans="1:3">
      <c r="A17928" s="250">
        <v>42631</v>
      </c>
      <c r="B17928" s="74" t="s">
        <v>10048</v>
      </c>
      <c r="C17928" s="74" t="s">
        <v>428</v>
      </c>
    </row>
    <row r="17929" spans="1:3">
      <c r="A17929" s="250">
        <v>42633</v>
      </c>
      <c r="B17929" s="74" t="s">
        <v>1639</v>
      </c>
      <c r="C17929" s="74" t="s">
        <v>428</v>
      </c>
    </row>
    <row r="17930" spans="1:3">
      <c r="A17930" s="250">
        <v>42634</v>
      </c>
      <c r="B17930" s="74" t="s">
        <v>10049</v>
      </c>
      <c r="C17930" s="74" t="s">
        <v>428</v>
      </c>
    </row>
    <row r="17931" spans="1:3">
      <c r="A17931" s="250">
        <v>42635</v>
      </c>
      <c r="B17931" s="74" t="s">
        <v>10050</v>
      </c>
      <c r="C17931" s="74" t="s">
        <v>428</v>
      </c>
    </row>
    <row r="17932" spans="1:3">
      <c r="A17932" s="250">
        <v>42638</v>
      </c>
      <c r="B17932" s="74" t="s">
        <v>10051</v>
      </c>
      <c r="C17932" s="74" t="s">
        <v>428</v>
      </c>
    </row>
    <row r="17933" spans="1:3">
      <c r="A17933" s="250">
        <v>42642</v>
      </c>
      <c r="B17933" s="74" t="s">
        <v>10052</v>
      </c>
      <c r="C17933" s="74" t="s">
        <v>428</v>
      </c>
    </row>
    <row r="17934" spans="1:3">
      <c r="A17934" s="250">
        <v>42647</v>
      </c>
      <c r="B17934" s="74" t="s">
        <v>10053</v>
      </c>
      <c r="C17934" s="74" t="s">
        <v>428</v>
      </c>
    </row>
    <row r="17935" spans="1:3">
      <c r="A17935" s="250">
        <v>42649</v>
      </c>
      <c r="B17935" s="74" t="s">
        <v>10054</v>
      </c>
      <c r="C17935" s="74" t="s">
        <v>428</v>
      </c>
    </row>
    <row r="17936" spans="1:3">
      <c r="A17936" s="250">
        <v>42653</v>
      </c>
      <c r="B17936" s="74" t="s">
        <v>10055</v>
      </c>
      <c r="C17936" s="74" t="s">
        <v>428</v>
      </c>
    </row>
    <row r="17937" spans="1:3">
      <c r="A17937" s="250">
        <v>42701</v>
      </c>
      <c r="B17937" s="74" t="s">
        <v>3293</v>
      </c>
      <c r="C17937" s="74" t="s">
        <v>428</v>
      </c>
    </row>
    <row r="17938" spans="1:3">
      <c r="A17938" s="250">
        <v>42702</v>
      </c>
      <c r="B17938" s="74" t="s">
        <v>3293</v>
      </c>
      <c r="C17938" s="74" t="s">
        <v>428</v>
      </c>
    </row>
    <row r="17939" spans="1:3">
      <c r="A17939" s="250">
        <v>42712</v>
      </c>
      <c r="B17939" s="74" t="s">
        <v>10056</v>
      </c>
      <c r="C17939" s="74" t="s">
        <v>428</v>
      </c>
    </row>
    <row r="17940" spans="1:3">
      <c r="A17940" s="250">
        <v>42713</v>
      </c>
      <c r="B17940" s="74" t="s">
        <v>10057</v>
      </c>
      <c r="C17940" s="74" t="s">
        <v>428</v>
      </c>
    </row>
    <row r="17941" spans="1:3">
      <c r="A17941" s="250">
        <v>42715</v>
      </c>
      <c r="B17941" s="74" t="s">
        <v>10058</v>
      </c>
      <c r="C17941" s="74" t="s">
        <v>428</v>
      </c>
    </row>
    <row r="17942" spans="1:3">
      <c r="A17942" s="250">
        <v>42716</v>
      </c>
      <c r="B17942" s="74" t="s">
        <v>3751</v>
      </c>
      <c r="C17942" s="74" t="s">
        <v>428</v>
      </c>
    </row>
    <row r="17943" spans="1:3">
      <c r="A17943" s="250">
        <v>42717</v>
      </c>
      <c r="B17943" s="74" t="s">
        <v>10059</v>
      </c>
      <c r="C17943" s="74" t="s">
        <v>428</v>
      </c>
    </row>
    <row r="17944" spans="1:3">
      <c r="A17944" s="250">
        <v>42718</v>
      </c>
      <c r="B17944" s="74" t="s">
        <v>10060</v>
      </c>
      <c r="C17944" s="74" t="s">
        <v>428</v>
      </c>
    </row>
    <row r="17945" spans="1:3">
      <c r="A17945" s="250">
        <v>42719</v>
      </c>
      <c r="B17945" s="74" t="s">
        <v>10060</v>
      </c>
      <c r="C17945" s="74" t="s">
        <v>428</v>
      </c>
    </row>
    <row r="17946" spans="1:3">
      <c r="A17946" s="250">
        <v>42720</v>
      </c>
      <c r="B17946" s="74" t="s">
        <v>10061</v>
      </c>
      <c r="C17946" s="74" t="s">
        <v>428</v>
      </c>
    </row>
    <row r="17947" spans="1:3">
      <c r="A17947" s="250">
        <v>42721</v>
      </c>
      <c r="B17947" s="74" t="s">
        <v>10062</v>
      </c>
      <c r="C17947" s="74" t="s">
        <v>428</v>
      </c>
    </row>
    <row r="17948" spans="1:3">
      <c r="A17948" s="250">
        <v>42722</v>
      </c>
      <c r="B17948" s="74" t="s">
        <v>10063</v>
      </c>
      <c r="C17948" s="74" t="s">
        <v>428</v>
      </c>
    </row>
    <row r="17949" spans="1:3">
      <c r="A17949" s="250">
        <v>42724</v>
      </c>
      <c r="B17949" s="74" t="s">
        <v>10064</v>
      </c>
      <c r="C17949" s="74" t="s">
        <v>428</v>
      </c>
    </row>
    <row r="17950" spans="1:3">
      <c r="A17950" s="250">
        <v>42726</v>
      </c>
      <c r="B17950" s="74" t="s">
        <v>3764</v>
      </c>
      <c r="C17950" s="74" t="s">
        <v>428</v>
      </c>
    </row>
    <row r="17951" spans="1:3">
      <c r="A17951" s="250">
        <v>42728</v>
      </c>
      <c r="B17951" s="74" t="s">
        <v>1985</v>
      </c>
      <c r="C17951" s="74" t="s">
        <v>428</v>
      </c>
    </row>
    <row r="17952" spans="1:3">
      <c r="A17952" s="250">
        <v>42729</v>
      </c>
      <c r="B17952" s="74" t="s">
        <v>10065</v>
      </c>
      <c r="C17952" s="74" t="s">
        <v>428</v>
      </c>
    </row>
    <row r="17953" spans="1:3">
      <c r="A17953" s="250">
        <v>42731</v>
      </c>
      <c r="B17953" s="74" t="s">
        <v>10066</v>
      </c>
      <c r="C17953" s="74" t="s">
        <v>428</v>
      </c>
    </row>
    <row r="17954" spans="1:3">
      <c r="A17954" s="250">
        <v>42732</v>
      </c>
      <c r="B17954" s="74" t="s">
        <v>10067</v>
      </c>
      <c r="C17954" s="74" t="s">
        <v>428</v>
      </c>
    </row>
    <row r="17955" spans="1:3">
      <c r="A17955" s="250">
        <v>42733</v>
      </c>
      <c r="B17955" s="74" t="s">
        <v>10068</v>
      </c>
      <c r="C17955" s="74" t="s">
        <v>428</v>
      </c>
    </row>
    <row r="17956" spans="1:3">
      <c r="A17956" s="250">
        <v>42740</v>
      </c>
      <c r="B17956" s="74" t="s">
        <v>644</v>
      </c>
      <c r="C17956" s="74" t="s">
        <v>428</v>
      </c>
    </row>
    <row r="17957" spans="1:3">
      <c r="A17957" s="250">
        <v>42741</v>
      </c>
      <c r="B17957" s="74" t="s">
        <v>10069</v>
      </c>
      <c r="C17957" s="74" t="s">
        <v>428</v>
      </c>
    </row>
    <row r="17958" spans="1:3">
      <c r="A17958" s="250">
        <v>42742</v>
      </c>
      <c r="B17958" s="74" t="s">
        <v>5339</v>
      </c>
      <c r="C17958" s="74" t="s">
        <v>428</v>
      </c>
    </row>
    <row r="17959" spans="1:3">
      <c r="A17959" s="250">
        <v>42743</v>
      </c>
      <c r="B17959" s="74" t="s">
        <v>4185</v>
      </c>
      <c r="C17959" s="74" t="s">
        <v>428</v>
      </c>
    </row>
    <row r="17960" spans="1:3">
      <c r="A17960" s="250">
        <v>42746</v>
      </c>
      <c r="B17960" s="74" t="s">
        <v>6063</v>
      </c>
      <c r="C17960" s="74" t="s">
        <v>428</v>
      </c>
    </row>
    <row r="17961" spans="1:3">
      <c r="A17961" s="250">
        <v>42748</v>
      </c>
      <c r="B17961" s="74" t="s">
        <v>10070</v>
      </c>
      <c r="C17961" s="74" t="s">
        <v>428</v>
      </c>
    </row>
    <row r="17962" spans="1:3">
      <c r="A17962" s="250">
        <v>42749</v>
      </c>
      <c r="B17962" s="74" t="s">
        <v>10071</v>
      </c>
      <c r="C17962" s="74" t="s">
        <v>428</v>
      </c>
    </row>
    <row r="17963" spans="1:3">
      <c r="A17963" s="250">
        <v>42753</v>
      </c>
      <c r="B17963" s="74" t="s">
        <v>10072</v>
      </c>
      <c r="C17963" s="74" t="s">
        <v>428</v>
      </c>
    </row>
    <row r="17964" spans="1:3">
      <c r="A17964" s="250">
        <v>42754</v>
      </c>
      <c r="B17964" s="74" t="s">
        <v>10073</v>
      </c>
      <c r="C17964" s="74" t="s">
        <v>428</v>
      </c>
    </row>
    <row r="17965" spans="1:3">
      <c r="A17965" s="250">
        <v>42755</v>
      </c>
      <c r="B17965" s="74" t="s">
        <v>10073</v>
      </c>
      <c r="C17965" s="74" t="s">
        <v>428</v>
      </c>
    </row>
    <row r="17966" spans="1:3">
      <c r="A17966" s="250">
        <v>42757</v>
      </c>
      <c r="B17966" s="74" t="s">
        <v>2398</v>
      </c>
      <c r="C17966" s="74" t="s">
        <v>428</v>
      </c>
    </row>
    <row r="17967" spans="1:3">
      <c r="A17967" s="250">
        <v>42758</v>
      </c>
      <c r="B17967" s="74" t="s">
        <v>3564</v>
      </c>
      <c r="C17967" s="74" t="s">
        <v>428</v>
      </c>
    </row>
    <row r="17968" spans="1:3">
      <c r="A17968" s="250">
        <v>42759</v>
      </c>
      <c r="B17968" s="74" t="s">
        <v>10074</v>
      </c>
      <c r="C17968" s="74" t="s">
        <v>428</v>
      </c>
    </row>
    <row r="17969" spans="1:3">
      <c r="A17969" s="250">
        <v>42762</v>
      </c>
      <c r="B17969" s="74" t="s">
        <v>2643</v>
      </c>
      <c r="C17969" s="74" t="s">
        <v>428</v>
      </c>
    </row>
    <row r="17970" spans="1:3">
      <c r="A17970" s="250">
        <v>42764</v>
      </c>
      <c r="B17970" s="74" t="s">
        <v>10075</v>
      </c>
      <c r="C17970" s="74" t="s">
        <v>428</v>
      </c>
    </row>
    <row r="17971" spans="1:3">
      <c r="A17971" s="250">
        <v>42765</v>
      </c>
      <c r="B17971" s="74" t="s">
        <v>10076</v>
      </c>
      <c r="C17971" s="74" t="s">
        <v>428</v>
      </c>
    </row>
    <row r="17972" spans="1:3">
      <c r="A17972" s="250">
        <v>42776</v>
      </c>
      <c r="B17972" s="74" t="s">
        <v>10077</v>
      </c>
      <c r="C17972" s="74" t="s">
        <v>428</v>
      </c>
    </row>
    <row r="17973" spans="1:3">
      <c r="A17973" s="250">
        <v>42782</v>
      </c>
      <c r="B17973" s="74" t="s">
        <v>7004</v>
      </c>
      <c r="C17973" s="74" t="s">
        <v>428</v>
      </c>
    </row>
    <row r="17974" spans="1:3">
      <c r="A17974" s="250">
        <v>42784</v>
      </c>
      <c r="B17974" s="74" t="s">
        <v>765</v>
      </c>
      <c r="C17974" s="74" t="s">
        <v>428</v>
      </c>
    </row>
    <row r="17975" spans="1:3">
      <c r="A17975" s="250">
        <v>42788</v>
      </c>
      <c r="B17975" s="74" t="s">
        <v>5192</v>
      </c>
      <c r="C17975" s="74" t="s">
        <v>428</v>
      </c>
    </row>
    <row r="17976" spans="1:3">
      <c r="A17976" s="250">
        <v>43001</v>
      </c>
      <c r="B17976" s="74" t="s">
        <v>4530</v>
      </c>
      <c r="C17976" s="74" t="s">
        <v>446</v>
      </c>
    </row>
    <row r="17977" spans="1:3">
      <c r="A17977" s="250">
        <v>43002</v>
      </c>
      <c r="B17977" s="74" t="s">
        <v>10078</v>
      </c>
      <c r="C17977" s="74" t="s">
        <v>446</v>
      </c>
    </row>
    <row r="17978" spans="1:3">
      <c r="A17978" s="250">
        <v>43003</v>
      </c>
      <c r="B17978" s="74" t="s">
        <v>10079</v>
      </c>
      <c r="C17978" s="74" t="s">
        <v>446</v>
      </c>
    </row>
    <row r="17979" spans="1:3">
      <c r="A17979" s="250">
        <v>43004</v>
      </c>
      <c r="B17979" s="74" t="s">
        <v>10080</v>
      </c>
      <c r="C17979" s="74" t="s">
        <v>446</v>
      </c>
    </row>
    <row r="17980" spans="1:3">
      <c r="A17980" s="250">
        <v>43005</v>
      </c>
      <c r="B17980" s="74" t="s">
        <v>5598</v>
      </c>
      <c r="C17980" s="74" t="s">
        <v>446</v>
      </c>
    </row>
    <row r="17981" spans="1:3">
      <c r="A17981" s="250">
        <v>43006</v>
      </c>
      <c r="B17981" s="74" t="s">
        <v>10081</v>
      </c>
      <c r="C17981" s="74" t="s">
        <v>446</v>
      </c>
    </row>
    <row r="17982" spans="1:3">
      <c r="A17982" s="250">
        <v>43007</v>
      </c>
      <c r="B17982" s="74" t="s">
        <v>2563</v>
      </c>
      <c r="C17982" s="74" t="s">
        <v>446</v>
      </c>
    </row>
    <row r="17983" spans="1:3">
      <c r="A17983" s="250">
        <v>43008</v>
      </c>
      <c r="B17983" s="74" t="s">
        <v>10082</v>
      </c>
      <c r="C17983" s="74" t="s">
        <v>446</v>
      </c>
    </row>
    <row r="17984" spans="1:3">
      <c r="A17984" s="250">
        <v>43009</v>
      </c>
      <c r="B17984" s="74" t="s">
        <v>10083</v>
      </c>
      <c r="C17984" s="74" t="s">
        <v>446</v>
      </c>
    </row>
    <row r="17985" spans="1:3">
      <c r="A17985" s="250">
        <v>43010</v>
      </c>
      <c r="B17985" s="74" t="s">
        <v>6262</v>
      </c>
      <c r="C17985" s="74" t="s">
        <v>446</v>
      </c>
    </row>
    <row r="17986" spans="1:3">
      <c r="A17986" s="250">
        <v>43011</v>
      </c>
      <c r="B17986" s="74" t="s">
        <v>10084</v>
      </c>
      <c r="C17986" s="74" t="s">
        <v>446</v>
      </c>
    </row>
    <row r="17987" spans="1:3">
      <c r="A17987" s="250">
        <v>43013</v>
      </c>
      <c r="B17987" s="74" t="s">
        <v>10085</v>
      </c>
      <c r="C17987" s="74" t="s">
        <v>446</v>
      </c>
    </row>
    <row r="17988" spans="1:3">
      <c r="A17988" s="250">
        <v>43014</v>
      </c>
      <c r="B17988" s="74" t="s">
        <v>1302</v>
      </c>
      <c r="C17988" s="74" t="s">
        <v>446</v>
      </c>
    </row>
    <row r="17989" spans="1:3">
      <c r="A17989" s="250">
        <v>43015</v>
      </c>
      <c r="B17989" s="74" t="s">
        <v>2303</v>
      </c>
      <c r="C17989" s="74" t="s">
        <v>446</v>
      </c>
    </row>
    <row r="17990" spans="1:3">
      <c r="A17990" s="250">
        <v>43016</v>
      </c>
      <c r="B17990" s="74" t="s">
        <v>1230</v>
      </c>
      <c r="C17990" s="74" t="s">
        <v>446</v>
      </c>
    </row>
    <row r="17991" spans="1:3">
      <c r="A17991" s="250">
        <v>43017</v>
      </c>
      <c r="B17991" s="74" t="s">
        <v>1230</v>
      </c>
      <c r="C17991" s="74" t="s">
        <v>446</v>
      </c>
    </row>
    <row r="17992" spans="1:3">
      <c r="A17992" s="250">
        <v>43018</v>
      </c>
      <c r="B17992" s="74" t="s">
        <v>1276</v>
      </c>
      <c r="C17992" s="74" t="s">
        <v>446</v>
      </c>
    </row>
    <row r="17993" spans="1:3">
      <c r="A17993" s="250">
        <v>43019</v>
      </c>
      <c r="B17993" s="74" t="s">
        <v>4057</v>
      </c>
      <c r="C17993" s="74" t="s">
        <v>446</v>
      </c>
    </row>
    <row r="17994" spans="1:3">
      <c r="A17994" s="250">
        <v>43021</v>
      </c>
      <c r="B17994" s="74" t="s">
        <v>5755</v>
      </c>
      <c r="C17994" s="74" t="s">
        <v>446</v>
      </c>
    </row>
    <row r="17995" spans="1:3">
      <c r="A17995" s="250">
        <v>43022</v>
      </c>
      <c r="B17995" s="74" t="s">
        <v>10086</v>
      </c>
      <c r="C17995" s="74" t="s">
        <v>446</v>
      </c>
    </row>
    <row r="17996" spans="1:3">
      <c r="A17996" s="250">
        <v>43023</v>
      </c>
      <c r="B17996" s="74" t="s">
        <v>594</v>
      </c>
      <c r="C17996" s="74" t="s">
        <v>446</v>
      </c>
    </row>
    <row r="17997" spans="1:3">
      <c r="A17997" s="250">
        <v>43025</v>
      </c>
      <c r="B17997" s="74" t="s">
        <v>1190</v>
      </c>
      <c r="C17997" s="74" t="s">
        <v>446</v>
      </c>
    </row>
    <row r="17998" spans="1:3">
      <c r="A17998" s="250">
        <v>43026</v>
      </c>
      <c r="B17998" s="74" t="s">
        <v>8220</v>
      </c>
      <c r="C17998" s="74" t="s">
        <v>446</v>
      </c>
    </row>
    <row r="17999" spans="1:3">
      <c r="A17999" s="250">
        <v>43027</v>
      </c>
      <c r="B17999" s="74" t="s">
        <v>3369</v>
      </c>
      <c r="C17999" s="74" t="s">
        <v>446</v>
      </c>
    </row>
    <row r="18000" spans="1:3">
      <c r="A18000" s="250">
        <v>43028</v>
      </c>
      <c r="B18000" s="74" t="s">
        <v>4627</v>
      </c>
      <c r="C18000" s="74" t="s">
        <v>446</v>
      </c>
    </row>
    <row r="18001" spans="1:3">
      <c r="A18001" s="250">
        <v>43029</v>
      </c>
      <c r="B18001" s="74" t="s">
        <v>4213</v>
      </c>
      <c r="C18001" s="74" t="s">
        <v>446</v>
      </c>
    </row>
    <row r="18002" spans="1:3">
      <c r="A18002" s="250">
        <v>43030</v>
      </c>
      <c r="B18002" s="74" t="s">
        <v>10087</v>
      </c>
      <c r="C18002" s="74" t="s">
        <v>446</v>
      </c>
    </row>
    <row r="18003" spans="1:3">
      <c r="A18003" s="250">
        <v>43031</v>
      </c>
      <c r="B18003" s="74" t="s">
        <v>2969</v>
      </c>
      <c r="C18003" s="74" t="s">
        <v>446</v>
      </c>
    </row>
    <row r="18004" spans="1:3">
      <c r="A18004" s="250">
        <v>43032</v>
      </c>
      <c r="B18004" s="74" t="s">
        <v>10088</v>
      </c>
      <c r="C18004" s="74" t="s">
        <v>446</v>
      </c>
    </row>
    <row r="18005" spans="1:3">
      <c r="A18005" s="250">
        <v>43033</v>
      </c>
      <c r="B18005" s="74" t="s">
        <v>10089</v>
      </c>
      <c r="C18005" s="74" t="s">
        <v>446</v>
      </c>
    </row>
    <row r="18006" spans="1:3">
      <c r="A18006" s="250">
        <v>43035</v>
      </c>
      <c r="B18006" s="74" t="s">
        <v>10090</v>
      </c>
      <c r="C18006" s="74" t="s">
        <v>446</v>
      </c>
    </row>
    <row r="18007" spans="1:3">
      <c r="A18007" s="250">
        <v>43036</v>
      </c>
      <c r="B18007" s="74" t="s">
        <v>10091</v>
      </c>
      <c r="C18007" s="74" t="s">
        <v>446</v>
      </c>
    </row>
    <row r="18008" spans="1:3">
      <c r="A18008" s="250">
        <v>43037</v>
      </c>
      <c r="B18008" s="74" t="s">
        <v>3476</v>
      </c>
      <c r="C18008" s="74" t="s">
        <v>446</v>
      </c>
    </row>
    <row r="18009" spans="1:3">
      <c r="A18009" s="250">
        <v>43040</v>
      </c>
      <c r="B18009" s="74" t="s">
        <v>4724</v>
      </c>
      <c r="C18009" s="74" t="s">
        <v>446</v>
      </c>
    </row>
    <row r="18010" spans="1:3">
      <c r="A18010" s="250">
        <v>43041</v>
      </c>
      <c r="B18010" s="74" t="s">
        <v>4724</v>
      </c>
      <c r="C18010" s="74" t="s">
        <v>446</v>
      </c>
    </row>
    <row r="18011" spans="1:3">
      <c r="A18011" s="250">
        <v>43044</v>
      </c>
      <c r="B18011" s="74" t="s">
        <v>4721</v>
      </c>
      <c r="C18011" s="74" t="s">
        <v>446</v>
      </c>
    </row>
    <row r="18012" spans="1:3">
      <c r="A18012" s="250">
        <v>43045</v>
      </c>
      <c r="B18012" s="74" t="s">
        <v>10092</v>
      </c>
      <c r="C18012" s="74" t="s">
        <v>446</v>
      </c>
    </row>
    <row r="18013" spans="1:3">
      <c r="A18013" s="250">
        <v>43046</v>
      </c>
      <c r="B18013" s="74" t="s">
        <v>10093</v>
      </c>
      <c r="C18013" s="74" t="s">
        <v>446</v>
      </c>
    </row>
    <row r="18014" spans="1:3">
      <c r="A18014" s="250">
        <v>43047</v>
      </c>
      <c r="B18014" s="74" t="s">
        <v>10094</v>
      </c>
      <c r="C18014" s="74" t="s">
        <v>446</v>
      </c>
    </row>
    <row r="18015" spans="1:3">
      <c r="A18015" s="250">
        <v>43048</v>
      </c>
      <c r="B18015" s="74" t="s">
        <v>10095</v>
      </c>
      <c r="C18015" s="74" t="s">
        <v>446</v>
      </c>
    </row>
    <row r="18016" spans="1:3">
      <c r="A18016" s="250">
        <v>43050</v>
      </c>
      <c r="B18016" s="74" t="s">
        <v>1481</v>
      </c>
      <c r="C18016" s="74" t="s">
        <v>446</v>
      </c>
    </row>
    <row r="18017" spans="1:3">
      <c r="A18017" s="250">
        <v>43054</v>
      </c>
      <c r="B18017" s="74" t="s">
        <v>5247</v>
      </c>
      <c r="C18017" s="74" t="s">
        <v>446</v>
      </c>
    </row>
    <row r="18018" spans="1:3">
      <c r="A18018" s="250">
        <v>43055</v>
      </c>
      <c r="B18018" s="74" t="s">
        <v>2172</v>
      </c>
      <c r="C18018" s="74" t="s">
        <v>446</v>
      </c>
    </row>
    <row r="18019" spans="1:3">
      <c r="A18019" s="250">
        <v>43056</v>
      </c>
      <c r="B18019" s="74" t="s">
        <v>681</v>
      </c>
      <c r="C18019" s="74" t="s">
        <v>446</v>
      </c>
    </row>
    <row r="18020" spans="1:3">
      <c r="A18020" s="250">
        <v>43058</v>
      </c>
      <c r="B18020" s="74" t="s">
        <v>2172</v>
      </c>
      <c r="C18020" s="74" t="s">
        <v>446</v>
      </c>
    </row>
    <row r="18021" spans="1:3">
      <c r="A18021" s="250">
        <v>43060</v>
      </c>
      <c r="B18021" s="74" t="s">
        <v>10096</v>
      </c>
      <c r="C18021" s="74" t="s">
        <v>446</v>
      </c>
    </row>
    <row r="18022" spans="1:3">
      <c r="A18022" s="250">
        <v>43061</v>
      </c>
      <c r="B18022" s="74" t="s">
        <v>10097</v>
      </c>
      <c r="C18022" s="74" t="s">
        <v>446</v>
      </c>
    </row>
    <row r="18023" spans="1:3">
      <c r="A18023" s="250">
        <v>43062</v>
      </c>
      <c r="B18023" s="74" t="s">
        <v>10098</v>
      </c>
      <c r="C18023" s="74" t="s">
        <v>446</v>
      </c>
    </row>
    <row r="18024" spans="1:3">
      <c r="A18024" s="250">
        <v>43064</v>
      </c>
      <c r="B18024" s="74" t="s">
        <v>10099</v>
      </c>
      <c r="C18024" s="74" t="s">
        <v>446</v>
      </c>
    </row>
    <row r="18025" spans="1:3">
      <c r="A18025" s="250">
        <v>43065</v>
      </c>
      <c r="B18025" s="74" t="s">
        <v>9152</v>
      </c>
      <c r="C18025" s="74" t="s">
        <v>446</v>
      </c>
    </row>
    <row r="18026" spans="1:3">
      <c r="A18026" s="250">
        <v>43066</v>
      </c>
      <c r="B18026" s="74" t="s">
        <v>10100</v>
      </c>
      <c r="C18026" s="74" t="s">
        <v>446</v>
      </c>
    </row>
    <row r="18027" spans="1:3">
      <c r="A18027" s="250">
        <v>43067</v>
      </c>
      <c r="B18027" s="74" t="s">
        <v>1170</v>
      </c>
      <c r="C18027" s="74" t="s">
        <v>446</v>
      </c>
    </row>
    <row r="18028" spans="1:3">
      <c r="A18028" s="250">
        <v>43068</v>
      </c>
      <c r="B18028" s="74" t="s">
        <v>10101</v>
      </c>
      <c r="C18028" s="74" t="s">
        <v>446</v>
      </c>
    </row>
    <row r="18029" spans="1:3">
      <c r="A18029" s="250">
        <v>43069</v>
      </c>
      <c r="B18029" s="74" t="s">
        <v>10101</v>
      </c>
      <c r="C18029" s="74" t="s">
        <v>446</v>
      </c>
    </row>
    <row r="18030" spans="1:3">
      <c r="A18030" s="250">
        <v>43070</v>
      </c>
      <c r="B18030" s="74" t="s">
        <v>10102</v>
      </c>
      <c r="C18030" s="74" t="s">
        <v>446</v>
      </c>
    </row>
    <row r="18031" spans="1:3">
      <c r="A18031" s="250">
        <v>43071</v>
      </c>
      <c r="B18031" s="74" t="s">
        <v>10103</v>
      </c>
      <c r="C18031" s="74" t="s">
        <v>446</v>
      </c>
    </row>
    <row r="18032" spans="1:3">
      <c r="A18032" s="250">
        <v>43072</v>
      </c>
      <c r="B18032" s="74" t="s">
        <v>10104</v>
      </c>
      <c r="C18032" s="74" t="s">
        <v>446</v>
      </c>
    </row>
    <row r="18033" spans="1:3">
      <c r="A18033" s="250">
        <v>43073</v>
      </c>
      <c r="B18033" s="74" t="s">
        <v>5021</v>
      </c>
      <c r="C18033" s="74" t="s">
        <v>446</v>
      </c>
    </row>
    <row r="18034" spans="1:3">
      <c r="A18034" s="250">
        <v>43074</v>
      </c>
      <c r="B18034" s="74" t="s">
        <v>4935</v>
      </c>
      <c r="C18034" s="74" t="s">
        <v>446</v>
      </c>
    </row>
    <row r="18035" spans="1:3">
      <c r="A18035" s="250">
        <v>43076</v>
      </c>
      <c r="B18035" s="74" t="s">
        <v>10105</v>
      </c>
      <c r="C18035" s="74" t="s">
        <v>446</v>
      </c>
    </row>
    <row r="18036" spans="1:3">
      <c r="A18036" s="250">
        <v>43077</v>
      </c>
      <c r="B18036" s="74" t="s">
        <v>10106</v>
      </c>
      <c r="C18036" s="74" t="s">
        <v>446</v>
      </c>
    </row>
    <row r="18037" spans="1:3">
      <c r="A18037" s="250">
        <v>43078</v>
      </c>
      <c r="B18037" s="74" t="s">
        <v>10107</v>
      </c>
      <c r="C18037" s="74" t="s">
        <v>446</v>
      </c>
    </row>
    <row r="18038" spans="1:3">
      <c r="A18038" s="250">
        <v>43080</v>
      </c>
      <c r="B18038" s="74" t="s">
        <v>3521</v>
      </c>
      <c r="C18038" s="74" t="s">
        <v>446</v>
      </c>
    </row>
    <row r="18039" spans="1:3">
      <c r="A18039" s="250">
        <v>43081</v>
      </c>
      <c r="B18039" s="74" t="s">
        <v>10108</v>
      </c>
      <c r="C18039" s="74" t="s">
        <v>446</v>
      </c>
    </row>
    <row r="18040" spans="1:3">
      <c r="A18040" s="250">
        <v>43082</v>
      </c>
      <c r="B18040" s="74" t="s">
        <v>10108</v>
      </c>
      <c r="C18040" s="74" t="s">
        <v>446</v>
      </c>
    </row>
    <row r="18041" spans="1:3">
      <c r="A18041" s="250">
        <v>43083</v>
      </c>
      <c r="B18041" s="74" t="s">
        <v>2432</v>
      </c>
      <c r="C18041" s="74" t="s">
        <v>446</v>
      </c>
    </row>
    <row r="18042" spans="1:3">
      <c r="A18042" s="250">
        <v>43084</v>
      </c>
      <c r="B18042" s="74" t="s">
        <v>1223</v>
      </c>
      <c r="C18042" s="74" t="s">
        <v>446</v>
      </c>
    </row>
    <row r="18043" spans="1:3">
      <c r="A18043" s="250">
        <v>43085</v>
      </c>
      <c r="B18043" s="74" t="s">
        <v>2376</v>
      </c>
      <c r="C18043" s="74" t="s">
        <v>446</v>
      </c>
    </row>
    <row r="18044" spans="1:3">
      <c r="A18044" s="250">
        <v>43086</v>
      </c>
      <c r="B18044" s="74" t="s">
        <v>10108</v>
      </c>
      <c r="C18044" s="74" t="s">
        <v>446</v>
      </c>
    </row>
    <row r="18045" spans="1:3">
      <c r="A18045" s="250">
        <v>43093</v>
      </c>
      <c r="B18045" s="74" t="s">
        <v>2172</v>
      </c>
      <c r="C18045" s="74" t="s">
        <v>446</v>
      </c>
    </row>
    <row r="18046" spans="1:3">
      <c r="A18046" s="250">
        <v>43098</v>
      </c>
      <c r="B18046" s="74" t="s">
        <v>1190</v>
      </c>
      <c r="C18046" s="74" t="s">
        <v>446</v>
      </c>
    </row>
    <row r="18047" spans="1:3">
      <c r="A18047" s="250">
        <v>43101</v>
      </c>
      <c r="B18047" s="74" t="s">
        <v>10109</v>
      </c>
      <c r="C18047" s="74" t="s">
        <v>446</v>
      </c>
    </row>
    <row r="18048" spans="1:3">
      <c r="A18048" s="250">
        <v>43102</v>
      </c>
      <c r="B18048" s="74" t="s">
        <v>10110</v>
      </c>
      <c r="C18048" s="74" t="s">
        <v>446</v>
      </c>
    </row>
    <row r="18049" spans="1:3">
      <c r="A18049" s="250">
        <v>43103</v>
      </c>
      <c r="B18049" s="74" t="s">
        <v>3843</v>
      </c>
      <c r="C18049" s="74" t="s">
        <v>446</v>
      </c>
    </row>
    <row r="18050" spans="1:3">
      <c r="A18050" s="250">
        <v>43105</v>
      </c>
      <c r="B18050" s="74" t="s">
        <v>5710</v>
      </c>
      <c r="C18050" s="74" t="s">
        <v>446</v>
      </c>
    </row>
    <row r="18051" spans="1:3">
      <c r="A18051" s="250">
        <v>43106</v>
      </c>
      <c r="B18051" s="74" t="s">
        <v>3163</v>
      </c>
      <c r="C18051" s="74" t="s">
        <v>446</v>
      </c>
    </row>
    <row r="18052" spans="1:3">
      <c r="A18052" s="250">
        <v>43107</v>
      </c>
      <c r="B18052" s="74" t="s">
        <v>1545</v>
      </c>
      <c r="C18052" s="74" t="s">
        <v>446</v>
      </c>
    </row>
    <row r="18053" spans="1:3">
      <c r="A18053" s="250">
        <v>43109</v>
      </c>
      <c r="B18053" s="74" t="s">
        <v>10111</v>
      </c>
      <c r="C18053" s="74" t="s">
        <v>446</v>
      </c>
    </row>
    <row r="18054" spans="1:3">
      <c r="A18054" s="250">
        <v>43110</v>
      </c>
      <c r="B18054" s="74" t="s">
        <v>10112</v>
      </c>
      <c r="C18054" s="74" t="s">
        <v>446</v>
      </c>
    </row>
    <row r="18055" spans="1:3">
      <c r="A18055" s="250">
        <v>43111</v>
      </c>
      <c r="B18055" s="74" t="s">
        <v>8711</v>
      </c>
      <c r="C18055" s="74" t="s">
        <v>446</v>
      </c>
    </row>
    <row r="18056" spans="1:3">
      <c r="A18056" s="250">
        <v>43112</v>
      </c>
      <c r="B18056" s="74" t="s">
        <v>10113</v>
      </c>
      <c r="C18056" s="74" t="s">
        <v>446</v>
      </c>
    </row>
    <row r="18057" spans="1:3">
      <c r="A18057" s="250">
        <v>43113</v>
      </c>
      <c r="B18057" s="74" t="s">
        <v>2681</v>
      </c>
      <c r="C18057" s="74" t="s">
        <v>446</v>
      </c>
    </row>
    <row r="18058" spans="1:3">
      <c r="A18058" s="250">
        <v>43115</v>
      </c>
      <c r="B18058" s="74" t="s">
        <v>4269</v>
      </c>
      <c r="C18058" s="74" t="s">
        <v>446</v>
      </c>
    </row>
    <row r="18059" spans="1:3">
      <c r="A18059" s="250">
        <v>43116</v>
      </c>
      <c r="B18059" s="74" t="s">
        <v>10114</v>
      </c>
      <c r="C18059" s="74" t="s">
        <v>446</v>
      </c>
    </row>
    <row r="18060" spans="1:3">
      <c r="A18060" s="250">
        <v>43117</v>
      </c>
      <c r="B18060" s="74" t="s">
        <v>1902</v>
      </c>
      <c r="C18060" s="74" t="s">
        <v>446</v>
      </c>
    </row>
    <row r="18061" spans="1:3">
      <c r="A18061" s="250">
        <v>43119</v>
      </c>
      <c r="B18061" s="74" t="s">
        <v>6937</v>
      </c>
      <c r="C18061" s="74" t="s">
        <v>446</v>
      </c>
    </row>
    <row r="18062" spans="1:3">
      <c r="A18062" s="250">
        <v>43123</v>
      </c>
      <c r="B18062" s="74" t="s">
        <v>4418</v>
      </c>
      <c r="C18062" s="74" t="s">
        <v>446</v>
      </c>
    </row>
    <row r="18063" spans="1:3">
      <c r="A18063" s="250">
        <v>43125</v>
      </c>
      <c r="B18063" s="74" t="s">
        <v>10115</v>
      </c>
      <c r="C18063" s="74" t="s">
        <v>446</v>
      </c>
    </row>
    <row r="18064" spans="1:3">
      <c r="A18064" s="250">
        <v>43126</v>
      </c>
      <c r="B18064" s="74" t="s">
        <v>4757</v>
      </c>
      <c r="C18064" s="74" t="s">
        <v>446</v>
      </c>
    </row>
    <row r="18065" spans="1:3">
      <c r="A18065" s="250">
        <v>43127</v>
      </c>
      <c r="B18065" s="74" t="s">
        <v>599</v>
      </c>
      <c r="C18065" s="74" t="s">
        <v>446</v>
      </c>
    </row>
    <row r="18066" spans="1:3">
      <c r="A18066" s="250">
        <v>43128</v>
      </c>
      <c r="B18066" s="74" t="s">
        <v>1817</v>
      </c>
      <c r="C18066" s="74" t="s">
        <v>446</v>
      </c>
    </row>
    <row r="18067" spans="1:3">
      <c r="A18067" s="250">
        <v>43130</v>
      </c>
      <c r="B18067" s="74" t="s">
        <v>741</v>
      </c>
      <c r="C18067" s="74" t="s">
        <v>446</v>
      </c>
    </row>
    <row r="18068" spans="1:3">
      <c r="A18068" s="250">
        <v>43135</v>
      </c>
      <c r="B18068" s="74" t="s">
        <v>10116</v>
      </c>
      <c r="C18068" s="74" t="s">
        <v>446</v>
      </c>
    </row>
    <row r="18069" spans="1:3">
      <c r="A18069" s="250">
        <v>43136</v>
      </c>
      <c r="B18069" s="74" t="s">
        <v>10117</v>
      </c>
      <c r="C18069" s="74" t="s">
        <v>446</v>
      </c>
    </row>
    <row r="18070" spans="1:3">
      <c r="A18070" s="250">
        <v>43137</v>
      </c>
      <c r="B18070" s="74" t="s">
        <v>10118</v>
      </c>
      <c r="C18070" s="74" t="s">
        <v>446</v>
      </c>
    </row>
    <row r="18071" spans="1:3">
      <c r="A18071" s="250">
        <v>43138</v>
      </c>
      <c r="B18071" s="74" t="s">
        <v>6736</v>
      </c>
      <c r="C18071" s="74" t="s">
        <v>446</v>
      </c>
    </row>
    <row r="18072" spans="1:3">
      <c r="A18072" s="250">
        <v>43140</v>
      </c>
      <c r="B18072" s="74" t="s">
        <v>6625</v>
      </c>
      <c r="C18072" s="74" t="s">
        <v>446</v>
      </c>
    </row>
    <row r="18073" spans="1:3">
      <c r="A18073" s="250">
        <v>43142</v>
      </c>
      <c r="B18073" s="74" t="s">
        <v>8087</v>
      </c>
      <c r="C18073" s="74" t="s">
        <v>446</v>
      </c>
    </row>
    <row r="18074" spans="1:3">
      <c r="A18074" s="250">
        <v>43143</v>
      </c>
      <c r="B18074" s="74" t="s">
        <v>9631</v>
      </c>
      <c r="C18074" s="74" t="s">
        <v>446</v>
      </c>
    </row>
    <row r="18075" spans="1:3">
      <c r="A18075" s="250">
        <v>43144</v>
      </c>
      <c r="B18075" s="74" t="s">
        <v>10119</v>
      </c>
      <c r="C18075" s="74" t="s">
        <v>446</v>
      </c>
    </row>
    <row r="18076" spans="1:3">
      <c r="A18076" s="250">
        <v>43145</v>
      </c>
      <c r="B18076" s="74" t="s">
        <v>4876</v>
      </c>
      <c r="C18076" s="74" t="s">
        <v>446</v>
      </c>
    </row>
    <row r="18077" spans="1:3">
      <c r="A18077" s="250">
        <v>43146</v>
      </c>
      <c r="B18077" s="74" t="s">
        <v>1520</v>
      </c>
      <c r="C18077" s="74" t="s">
        <v>446</v>
      </c>
    </row>
    <row r="18078" spans="1:3">
      <c r="A18078" s="250">
        <v>43147</v>
      </c>
      <c r="B18078" s="74" t="s">
        <v>10120</v>
      </c>
      <c r="C18078" s="74" t="s">
        <v>446</v>
      </c>
    </row>
    <row r="18079" spans="1:3">
      <c r="A18079" s="250">
        <v>43148</v>
      </c>
      <c r="B18079" s="74" t="s">
        <v>2459</v>
      </c>
      <c r="C18079" s="74" t="s">
        <v>446</v>
      </c>
    </row>
    <row r="18080" spans="1:3">
      <c r="A18080" s="250">
        <v>43149</v>
      </c>
      <c r="B18080" s="74" t="s">
        <v>10121</v>
      </c>
      <c r="C18080" s="74" t="s">
        <v>446</v>
      </c>
    </row>
    <row r="18081" spans="1:3">
      <c r="A18081" s="250">
        <v>43150</v>
      </c>
      <c r="B18081" s="74" t="s">
        <v>3817</v>
      </c>
      <c r="C18081" s="74" t="s">
        <v>446</v>
      </c>
    </row>
    <row r="18082" spans="1:3">
      <c r="A18082" s="250">
        <v>43151</v>
      </c>
      <c r="B18082" s="74" t="s">
        <v>7119</v>
      </c>
      <c r="C18082" s="74" t="s">
        <v>446</v>
      </c>
    </row>
    <row r="18083" spans="1:3">
      <c r="A18083" s="250">
        <v>43152</v>
      </c>
      <c r="B18083" s="74" t="s">
        <v>10122</v>
      </c>
      <c r="C18083" s="74" t="s">
        <v>446</v>
      </c>
    </row>
    <row r="18084" spans="1:3">
      <c r="A18084" s="250">
        <v>43153</v>
      </c>
      <c r="B18084" s="74" t="s">
        <v>10123</v>
      </c>
      <c r="C18084" s="74" t="s">
        <v>446</v>
      </c>
    </row>
    <row r="18085" spans="1:3">
      <c r="A18085" s="250">
        <v>43154</v>
      </c>
      <c r="B18085" s="74" t="s">
        <v>10124</v>
      </c>
      <c r="C18085" s="74" t="s">
        <v>446</v>
      </c>
    </row>
    <row r="18086" spans="1:3">
      <c r="A18086" s="250">
        <v>43155</v>
      </c>
      <c r="B18086" s="74" t="s">
        <v>4493</v>
      </c>
      <c r="C18086" s="74" t="s">
        <v>446</v>
      </c>
    </row>
    <row r="18087" spans="1:3">
      <c r="A18087" s="250">
        <v>43156</v>
      </c>
      <c r="B18087" s="74" t="s">
        <v>10125</v>
      </c>
      <c r="C18087" s="74" t="s">
        <v>446</v>
      </c>
    </row>
    <row r="18088" spans="1:3">
      <c r="A18088" s="250">
        <v>43157</v>
      </c>
      <c r="B18088" s="74" t="s">
        <v>10126</v>
      </c>
      <c r="C18088" s="74" t="s">
        <v>446</v>
      </c>
    </row>
    <row r="18089" spans="1:3">
      <c r="A18089" s="250">
        <v>43158</v>
      </c>
      <c r="B18089" s="74" t="s">
        <v>10127</v>
      </c>
      <c r="C18089" s="74" t="s">
        <v>446</v>
      </c>
    </row>
    <row r="18090" spans="1:3">
      <c r="A18090" s="250">
        <v>43160</v>
      </c>
      <c r="B18090" s="74" t="s">
        <v>10128</v>
      </c>
      <c r="C18090" s="74" t="s">
        <v>446</v>
      </c>
    </row>
    <row r="18091" spans="1:3">
      <c r="A18091" s="250">
        <v>43162</v>
      </c>
      <c r="B18091" s="74" t="s">
        <v>7525</v>
      </c>
      <c r="C18091" s="74" t="s">
        <v>446</v>
      </c>
    </row>
    <row r="18092" spans="1:3">
      <c r="A18092" s="250">
        <v>43163</v>
      </c>
      <c r="B18092" s="74" t="s">
        <v>10129</v>
      </c>
      <c r="C18092" s="74" t="s">
        <v>446</v>
      </c>
    </row>
    <row r="18093" spans="1:3">
      <c r="A18093" s="250">
        <v>43164</v>
      </c>
      <c r="B18093" s="74" t="s">
        <v>4897</v>
      </c>
      <c r="C18093" s="74" t="s">
        <v>446</v>
      </c>
    </row>
    <row r="18094" spans="1:3">
      <c r="A18094" s="250">
        <v>43194</v>
      </c>
      <c r="B18094" s="74" t="s">
        <v>10118</v>
      </c>
      <c r="C18094" s="74" t="s">
        <v>446</v>
      </c>
    </row>
    <row r="18095" spans="1:3">
      <c r="A18095" s="250">
        <v>43195</v>
      </c>
      <c r="B18095" s="74" t="s">
        <v>10115</v>
      </c>
      <c r="C18095" s="74" t="s">
        <v>446</v>
      </c>
    </row>
    <row r="18096" spans="1:3">
      <c r="A18096" s="250">
        <v>43196</v>
      </c>
      <c r="B18096" s="74" t="s">
        <v>10115</v>
      </c>
      <c r="C18096" s="74" t="s">
        <v>446</v>
      </c>
    </row>
    <row r="18097" spans="1:3">
      <c r="A18097" s="250">
        <v>43198</v>
      </c>
      <c r="B18097" s="74" t="s">
        <v>10115</v>
      </c>
      <c r="C18097" s="74" t="s">
        <v>446</v>
      </c>
    </row>
    <row r="18098" spans="1:3">
      <c r="A18098" s="250">
        <v>43199</v>
      </c>
      <c r="B18098" s="74" t="s">
        <v>10115</v>
      </c>
      <c r="C18098" s="74" t="s">
        <v>446</v>
      </c>
    </row>
    <row r="18099" spans="1:3">
      <c r="A18099" s="250">
        <v>43201</v>
      </c>
      <c r="B18099" s="74" t="s">
        <v>2376</v>
      </c>
      <c r="C18099" s="74" t="s">
        <v>446</v>
      </c>
    </row>
    <row r="18100" spans="1:3">
      <c r="A18100" s="250">
        <v>43202</v>
      </c>
      <c r="B18100" s="74" t="s">
        <v>2376</v>
      </c>
      <c r="C18100" s="74" t="s">
        <v>446</v>
      </c>
    </row>
    <row r="18101" spans="1:3">
      <c r="A18101" s="250">
        <v>43203</v>
      </c>
      <c r="B18101" s="74" t="s">
        <v>2376</v>
      </c>
      <c r="C18101" s="74" t="s">
        <v>446</v>
      </c>
    </row>
    <row r="18102" spans="1:3">
      <c r="A18102" s="250">
        <v>43204</v>
      </c>
      <c r="B18102" s="74" t="s">
        <v>2376</v>
      </c>
      <c r="C18102" s="74" t="s">
        <v>446</v>
      </c>
    </row>
    <row r="18103" spans="1:3">
      <c r="A18103" s="250">
        <v>43205</v>
      </c>
      <c r="B18103" s="74" t="s">
        <v>2376</v>
      </c>
      <c r="C18103" s="74" t="s">
        <v>446</v>
      </c>
    </row>
    <row r="18104" spans="1:3">
      <c r="A18104" s="250">
        <v>43206</v>
      </c>
      <c r="B18104" s="74" t="s">
        <v>2376</v>
      </c>
      <c r="C18104" s="74" t="s">
        <v>446</v>
      </c>
    </row>
    <row r="18105" spans="1:3">
      <c r="A18105" s="250">
        <v>43207</v>
      </c>
      <c r="B18105" s="74" t="s">
        <v>2376</v>
      </c>
      <c r="C18105" s="74" t="s">
        <v>446</v>
      </c>
    </row>
    <row r="18106" spans="1:3">
      <c r="A18106" s="250">
        <v>43209</v>
      </c>
      <c r="B18106" s="74" t="s">
        <v>2376</v>
      </c>
      <c r="C18106" s="74" t="s">
        <v>446</v>
      </c>
    </row>
    <row r="18107" spans="1:3">
      <c r="A18107" s="250">
        <v>43210</v>
      </c>
      <c r="B18107" s="74" t="s">
        <v>2376</v>
      </c>
      <c r="C18107" s="74" t="s">
        <v>446</v>
      </c>
    </row>
    <row r="18108" spans="1:3">
      <c r="A18108" s="250">
        <v>43211</v>
      </c>
      <c r="B18108" s="74" t="s">
        <v>2376</v>
      </c>
      <c r="C18108" s="74" t="s">
        <v>446</v>
      </c>
    </row>
    <row r="18109" spans="1:3">
      <c r="A18109" s="250">
        <v>43212</v>
      </c>
      <c r="B18109" s="74" t="s">
        <v>2376</v>
      </c>
      <c r="C18109" s="74" t="s">
        <v>446</v>
      </c>
    </row>
    <row r="18110" spans="1:3">
      <c r="A18110" s="250">
        <v>43213</v>
      </c>
      <c r="B18110" s="74" t="s">
        <v>2376</v>
      </c>
      <c r="C18110" s="74" t="s">
        <v>446</v>
      </c>
    </row>
    <row r="18111" spans="1:3">
      <c r="A18111" s="250">
        <v>43214</v>
      </c>
      <c r="B18111" s="74" t="s">
        <v>2376</v>
      </c>
      <c r="C18111" s="74" t="s">
        <v>446</v>
      </c>
    </row>
    <row r="18112" spans="1:3">
      <c r="A18112" s="250">
        <v>43215</v>
      </c>
      <c r="B18112" s="74" t="s">
        <v>2376</v>
      </c>
      <c r="C18112" s="74" t="s">
        <v>446</v>
      </c>
    </row>
    <row r="18113" spans="1:3">
      <c r="A18113" s="250">
        <v>43216</v>
      </c>
      <c r="B18113" s="74" t="s">
        <v>2376</v>
      </c>
      <c r="C18113" s="74" t="s">
        <v>446</v>
      </c>
    </row>
    <row r="18114" spans="1:3">
      <c r="A18114" s="250">
        <v>43217</v>
      </c>
      <c r="B18114" s="74" t="s">
        <v>2376</v>
      </c>
      <c r="C18114" s="74" t="s">
        <v>446</v>
      </c>
    </row>
    <row r="18115" spans="1:3">
      <c r="A18115" s="250">
        <v>43218</v>
      </c>
      <c r="B18115" s="74" t="s">
        <v>2376</v>
      </c>
      <c r="C18115" s="74" t="s">
        <v>446</v>
      </c>
    </row>
    <row r="18116" spans="1:3">
      <c r="A18116" s="250">
        <v>43219</v>
      </c>
      <c r="B18116" s="74" t="s">
        <v>2376</v>
      </c>
      <c r="C18116" s="74" t="s">
        <v>446</v>
      </c>
    </row>
    <row r="18117" spans="1:3">
      <c r="A18117" s="250">
        <v>43220</v>
      </c>
      <c r="B18117" s="74" t="s">
        <v>2376</v>
      </c>
      <c r="C18117" s="74" t="s">
        <v>446</v>
      </c>
    </row>
    <row r="18118" spans="1:3">
      <c r="A18118" s="250">
        <v>43221</v>
      </c>
      <c r="B18118" s="74" t="s">
        <v>2376</v>
      </c>
      <c r="C18118" s="74" t="s">
        <v>446</v>
      </c>
    </row>
    <row r="18119" spans="1:3">
      <c r="A18119" s="250">
        <v>43222</v>
      </c>
      <c r="B18119" s="74" t="s">
        <v>2376</v>
      </c>
      <c r="C18119" s="74" t="s">
        <v>446</v>
      </c>
    </row>
    <row r="18120" spans="1:3">
      <c r="A18120" s="250">
        <v>43223</v>
      </c>
      <c r="B18120" s="74" t="s">
        <v>2376</v>
      </c>
      <c r="C18120" s="74" t="s">
        <v>446</v>
      </c>
    </row>
    <row r="18121" spans="1:3">
      <c r="A18121" s="250">
        <v>43224</v>
      </c>
      <c r="B18121" s="74" t="s">
        <v>2376</v>
      </c>
      <c r="C18121" s="74" t="s">
        <v>446</v>
      </c>
    </row>
    <row r="18122" spans="1:3">
      <c r="A18122" s="250">
        <v>43226</v>
      </c>
      <c r="B18122" s="74" t="s">
        <v>2376</v>
      </c>
      <c r="C18122" s="74" t="s">
        <v>446</v>
      </c>
    </row>
    <row r="18123" spans="1:3">
      <c r="A18123" s="250">
        <v>43227</v>
      </c>
      <c r="B18123" s="74" t="s">
        <v>2376</v>
      </c>
      <c r="C18123" s="74" t="s">
        <v>446</v>
      </c>
    </row>
    <row r="18124" spans="1:3">
      <c r="A18124" s="250">
        <v>43228</v>
      </c>
      <c r="B18124" s="74" t="s">
        <v>2376</v>
      </c>
      <c r="C18124" s="74" t="s">
        <v>446</v>
      </c>
    </row>
    <row r="18125" spans="1:3">
      <c r="A18125" s="250">
        <v>43229</v>
      </c>
      <c r="B18125" s="74" t="s">
        <v>2376</v>
      </c>
      <c r="C18125" s="74" t="s">
        <v>446</v>
      </c>
    </row>
    <row r="18126" spans="1:3">
      <c r="A18126" s="250">
        <v>43230</v>
      </c>
      <c r="B18126" s="74" t="s">
        <v>2376</v>
      </c>
      <c r="C18126" s="74" t="s">
        <v>446</v>
      </c>
    </row>
    <row r="18127" spans="1:3">
      <c r="A18127" s="250">
        <v>43231</v>
      </c>
      <c r="B18127" s="74" t="s">
        <v>2376</v>
      </c>
      <c r="C18127" s="74" t="s">
        <v>446</v>
      </c>
    </row>
    <row r="18128" spans="1:3">
      <c r="A18128" s="250">
        <v>43232</v>
      </c>
      <c r="B18128" s="74" t="s">
        <v>2376</v>
      </c>
      <c r="C18128" s="74" t="s">
        <v>446</v>
      </c>
    </row>
    <row r="18129" spans="1:3">
      <c r="A18129" s="250">
        <v>43234</v>
      </c>
      <c r="B18129" s="74" t="s">
        <v>2376</v>
      </c>
      <c r="C18129" s="74" t="s">
        <v>446</v>
      </c>
    </row>
    <row r="18130" spans="1:3">
      <c r="A18130" s="250">
        <v>43235</v>
      </c>
      <c r="B18130" s="74" t="s">
        <v>2376</v>
      </c>
      <c r="C18130" s="74" t="s">
        <v>446</v>
      </c>
    </row>
    <row r="18131" spans="1:3">
      <c r="A18131" s="250">
        <v>43236</v>
      </c>
      <c r="B18131" s="74" t="s">
        <v>2376</v>
      </c>
      <c r="C18131" s="74" t="s">
        <v>446</v>
      </c>
    </row>
    <row r="18132" spans="1:3">
      <c r="A18132" s="250">
        <v>43240</v>
      </c>
      <c r="B18132" s="74" t="s">
        <v>2376</v>
      </c>
      <c r="C18132" s="74" t="s">
        <v>446</v>
      </c>
    </row>
    <row r="18133" spans="1:3">
      <c r="A18133" s="250">
        <v>43251</v>
      </c>
      <c r="B18133" s="74" t="s">
        <v>2376</v>
      </c>
      <c r="C18133" s="74" t="s">
        <v>446</v>
      </c>
    </row>
    <row r="18134" spans="1:3">
      <c r="A18134" s="250">
        <v>43260</v>
      </c>
      <c r="B18134" s="74" t="s">
        <v>2376</v>
      </c>
      <c r="C18134" s="74" t="s">
        <v>446</v>
      </c>
    </row>
    <row r="18135" spans="1:3">
      <c r="A18135" s="250">
        <v>43265</v>
      </c>
      <c r="B18135" s="74" t="s">
        <v>2376</v>
      </c>
      <c r="C18135" s="74" t="s">
        <v>446</v>
      </c>
    </row>
    <row r="18136" spans="1:3">
      <c r="A18136" s="250">
        <v>43266</v>
      </c>
      <c r="B18136" s="74" t="s">
        <v>2376</v>
      </c>
      <c r="C18136" s="74" t="s">
        <v>446</v>
      </c>
    </row>
    <row r="18137" spans="1:3">
      <c r="A18137" s="250">
        <v>43268</v>
      </c>
      <c r="B18137" s="74" t="s">
        <v>2376</v>
      </c>
      <c r="C18137" s="74" t="s">
        <v>446</v>
      </c>
    </row>
    <row r="18138" spans="1:3">
      <c r="A18138" s="250">
        <v>43270</v>
      </c>
      <c r="B18138" s="74" t="s">
        <v>2376</v>
      </c>
      <c r="C18138" s="74" t="s">
        <v>446</v>
      </c>
    </row>
    <row r="18139" spans="1:3">
      <c r="A18139" s="250">
        <v>43271</v>
      </c>
      <c r="B18139" s="74" t="s">
        <v>2376</v>
      </c>
      <c r="C18139" s="74" t="s">
        <v>446</v>
      </c>
    </row>
    <row r="18140" spans="1:3">
      <c r="A18140" s="250">
        <v>43272</v>
      </c>
      <c r="B18140" s="74" t="s">
        <v>2376</v>
      </c>
      <c r="C18140" s="74" t="s">
        <v>446</v>
      </c>
    </row>
    <row r="18141" spans="1:3">
      <c r="A18141" s="250">
        <v>43279</v>
      </c>
      <c r="B18141" s="74" t="s">
        <v>2376</v>
      </c>
      <c r="C18141" s="74" t="s">
        <v>446</v>
      </c>
    </row>
    <row r="18142" spans="1:3">
      <c r="A18142" s="250">
        <v>43287</v>
      </c>
      <c r="B18142" s="74" t="s">
        <v>2376</v>
      </c>
      <c r="C18142" s="74" t="s">
        <v>446</v>
      </c>
    </row>
    <row r="18143" spans="1:3">
      <c r="A18143" s="250">
        <v>43291</v>
      </c>
      <c r="B18143" s="74" t="s">
        <v>2376</v>
      </c>
      <c r="C18143" s="74" t="s">
        <v>446</v>
      </c>
    </row>
    <row r="18144" spans="1:3">
      <c r="A18144" s="250">
        <v>43299</v>
      </c>
      <c r="B18144" s="74" t="s">
        <v>2376</v>
      </c>
      <c r="C18144" s="74" t="s">
        <v>446</v>
      </c>
    </row>
    <row r="18145" spans="1:3">
      <c r="A18145" s="250">
        <v>43301</v>
      </c>
      <c r="B18145" s="74" t="s">
        <v>1071</v>
      </c>
      <c r="C18145" s="74" t="s">
        <v>446</v>
      </c>
    </row>
    <row r="18146" spans="1:3">
      <c r="A18146" s="250">
        <v>43302</v>
      </c>
      <c r="B18146" s="74" t="s">
        <v>1071</v>
      </c>
      <c r="C18146" s="74" t="s">
        <v>446</v>
      </c>
    </row>
    <row r="18147" spans="1:3">
      <c r="A18147" s="250">
        <v>43306</v>
      </c>
      <c r="B18147" s="74" t="s">
        <v>1071</v>
      </c>
      <c r="C18147" s="74" t="s">
        <v>446</v>
      </c>
    </row>
    <row r="18148" spans="1:3">
      <c r="A18148" s="250">
        <v>43307</v>
      </c>
      <c r="B18148" s="74" t="s">
        <v>1071</v>
      </c>
      <c r="C18148" s="74" t="s">
        <v>446</v>
      </c>
    </row>
    <row r="18149" spans="1:3">
      <c r="A18149" s="250">
        <v>43310</v>
      </c>
      <c r="B18149" s="74" t="s">
        <v>10130</v>
      </c>
      <c r="C18149" s="74" t="s">
        <v>446</v>
      </c>
    </row>
    <row r="18150" spans="1:3">
      <c r="A18150" s="250">
        <v>43311</v>
      </c>
      <c r="B18150" s="74" t="s">
        <v>9539</v>
      </c>
      <c r="C18150" s="74" t="s">
        <v>446</v>
      </c>
    </row>
    <row r="18151" spans="1:3">
      <c r="A18151" s="250">
        <v>43314</v>
      </c>
      <c r="B18151" s="74" t="s">
        <v>3759</v>
      </c>
      <c r="C18151" s="74" t="s">
        <v>446</v>
      </c>
    </row>
    <row r="18152" spans="1:3">
      <c r="A18152" s="250">
        <v>43315</v>
      </c>
      <c r="B18152" s="74" t="s">
        <v>10131</v>
      </c>
      <c r="C18152" s="74" t="s">
        <v>446</v>
      </c>
    </row>
    <row r="18153" spans="1:3">
      <c r="A18153" s="250">
        <v>43316</v>
      </c>
      <c r="B18153" s="74" t="s">
        <v>10132</v>
      </c>
      <c r="C18153" s="74" t="s">
        <v>446</v>
      </c>
    </row>
    <row r="18154" spans="1:3">
      <c r="A18154" s="250">
        <v>43317</v>
      </c>
      <c r="B18154" s="74" t="s">
        <v>10133</v>
      </c>
      <c r="C18154" s="74" t="s">
        <v>446</v>
      </c>
    </row>
    <row r="18155" spans="1:3">
      <c r="A18155" s="250">
        <v>43318</v>
      </c>
      <c r="B18155" s="74" t="s">
        <v>10134</v>
      </c>
      <c r="C18155" s="74" t="s">
        <v>446</v>
      </c>
    </row>
    <row r="18156" spans="1:3">
      <c r="A18156" s="250">
        <v>43319</v>
      </c>
      <c r="B18156" s="74" t="s">
        <v>10135</v>
      </c>
      <c r="C18156" s="74" t="s">
        <v>446</v>
      </c>
    </row>
    <row r="18157" spans="1:3">
      <c r="A18157" s="250">
        <v>43320</v>
      </c>
      <c r="B18157" s="74" t="s">
        <v>2567</v>
      </c>
      <c r="C18157" s="74" t="s">
        <v>446</v>
      </c>
    </row>
    <row r="18158" spans="1:3">
      <c r="A18158" s="250">
        <v>43321</v>
      </c>
      <c r="B18158" s="74" t="s">
        <v>3365</v>
      </c>
      <c r="C18158" s="74" t="s">
        <v>446</v>
      </c>
    </row>
    <row r="18159" spans="1:3">
      <c r="A18159" s="250">
        <v>43322</v>
      </c>
      <c r="B18159" s="74" t="s">
        <v>10136</v>
      </c>
      <c r="C18159" s="74" t="s">
        <v>446</v>
      </c>
    </row>
    <row r="18160" spans="1:3">
      <c r="A18160" s="250">
        <v>43323</v>
      </c>
      <c r="B18160" s="74" t="s">
        <v>10137</v>
      </c>
      <c r="C18160" s="74" t="s">
        <v>446</v>
      </c>
    </row>
    <row r="18161" spans="1:3">
      <c r="A18161" s="250">
        <v>43324</v>
      </c>
      <c r="B18161" s="74" t="s">
        <v>8758</v>
      </c>
      <c r="C18161" s="74" t="s">
        <v>446</v>
      </c>
    </row>
    <row r="18162" spans="1:3">
      <c r="A18162" s="250">
        <v>43325</v>
      </c>
      <c r="B18162" s="74" t="s">
        <v>10138</v>
      </c>
      <c r="C18162" s="74" t="s">
        <v>446</v>
      </c>
    </row>
    <row r="18163" spans="1:3">
      <c r="A18163" s="250">
        <v>43326</v>
      </c>
      <c r="B18163" s="74" t="s">
        <v>5504</v>
      </c>
      <c r="C18163" s="74" t="s">
        <v>446</v>
      </c>
    </row>
    <row r="18164" spans="1:3">
      <c r="A18164" s="250">
        <v>43330</v>
      </c>
      <c r="B18164" s="74" t="s">
        <v>10139</v>
      </c>
      <c r="C18164" s="74" t="s">
        <v>446</v>
      </c>
    </row>
    <row r="18165" spans="1:3">
      <c r="A18165" s="250">
        <v>43331</v>
      </c>
      <c r="B18165" s="74" t="s">
        <v>7360</v>
      </c>
      <c r="C18165" s="74" t="s">
        <v>446</v>
      </c>
    </row>
    <row r="18166" spans="1:3">
      <c r="A18166" s="250">
        <v>43332</v>
      </c>
      <c r="B18166" s="74" t="s">
        <v>10140</v>
      </c>
      <c r="C18166" s="74" t="s">
        <v>446</v>
      </c>
    </row>
    <row r="18167" spans="1:3">
      <c r="A18167" s="250">
        <v>43333</v>
      </c>
      <c r="B18167" s="74" t="s">
        <v>4717</v>
      </c>
      <c r="C18167" s="74" t="s">
        <v>446</v>
      </c>
    </row>
    <row r="18168" spans="1:3">
      <c r="A18168" s="250">
        <v>43334</v>
      </c>
      <c r="B18168" s="74" t="s">
        <v>10141</v>
      </c>
      <c r="C18168" s="74" t="s">
        <v>446</v>
      </c>
    </row>
    <row r="18169" spans="1:3">
      <c r="A18169" s="250">
        <v>43335</v>
      </c>
      <c r="B18169" s="74" t="s">
        <v>10142</v>
      </c>
      <c r="C18169" s="74" t="s">
        <v>446</v>
      </c>
    </row>
    <row r="18170" spans="1:3">
      <c r="A18170" s="250">
        <v>43336</v>
      </c>
      <c r="B18170" s="74" t="s">
        <v>4956</v>
      </c>
      <c r="C18170" s="74" t="s">
        <v>446</v>
      </c>
    </row>
    <row r="18171" spans="1:3">
      <c r="A18171" s="250">
        <v>43337</v>
      </c>
      <c r="B18171" s="74" t="s">
        <v>10143</v>
      </c>
      <c r="C18171" s="74" t="s">
        <v>446</v>
      </c>
    </row>
    <row r="18172" spans="1:3">
      <c r="A18172" s="250">
        <v>43338</v>
      </c>
      <c r="B18172" s="74" t="s">
        <v>7108</v>
      </c>
      <c r="C18172" s="74" t="s">
        <v>446</v>
      </c>
    </row>
    <row r="18173" spans="1:3">
      <c r="A18173" s="250">
        <v>43340</v>
      </c>
      <c r="B18173" s="74" t="s">
        <v>10144</v>
      </c>
      <c r="C18173" s="74" t="s">
        <v>446</v>
      </c>
    </row>
    <row r="18174" spans="1:3">
      <c r="A18174" s="250">
        <v>43341</v>
      </c>
      <c r="B18174" s="74" t="s">
        <v>10145</v>
      </c>
      <c r="C18174" s="74" t="s">
        <v>446</v>
      </c>
    </row>
    <row r="18175" spans="1:3">
      <c r="A18175" s="250">
        <v>43342</v>
      </c>
      <c r="B18175" s="74" t="s">
        <v>2079</v>
      </c>
      <c r="C18175" s="74" t="s">
        <v>446</v>
      </c>
    </row>
    <row r="18176" spans="1:3">
      <c r="A18176" s="250">
        <v>43343</v>
      </c>
      <c r="B18176" s="74" t="s">
        <v>923</v>
      </c>
      <c r="C18176" s="74" t="s">
        <v>446</v>
      </c>
    </row>
    <row r="18177" spans="1:3">
      <c r="A18177" s="250">
        <v>43344</v>
      </c>
      <c r="B18177" s="74" t="s">
        <v>2419</v>
      </c>
      <c r="C18177" s="74" t="s">
        <v>446</v>
      </c>
    </row>
    <row r="18178" spans="1:3">
      <c r="A18178" s="250">
        <v>43345</v>
      </c>
      <c r="B18178" s="74" t="s">
        <v>6297</v>
      </c>
      <c r="C18178" s="74" t="s">
        <v>446</v>
      </c>
    </row>
    <row r="18179" spans="1:3">
      <c r="A18179" s="250">
        <v>43346</v>
      </c>
      <c r="B18179" s="74" t="s">
        <v>10146</v>
      </c>
      <c r="C18179" s="74" t="s">
        <v>446</v>
      </c>
    </row>
    <row r="18180" spans="1:3">
      <c r="A18180" s="250">
        <v>43347</v>
      </c>
      <c r="B18180" s="74" t="s">
        <v>10147</v>
      </c>
      <c r="C18180" s="74" t="s">
        <v>446</v>
      </c>
    </row>
    <row r="18181" spans="1:3">
      <c r="A18181" s="250">
        <v>43348</v>
      </c>
      <c r="B18181" s="74" t="s">
        <v>10148</v>
      </c>
      <c r="C18181" s="74" t="s">
        <v>446</v>
      </c>
    </row>
    <row r="18182" spans="1:3">
      <c r="A18182" s="250">
        <v>43349</v>
      </c>
      <c r="B18182" s="74" t="s">
        <v>10149</v>
      </c>
      <c r="C18182" s="74" t="s">
        <v>446</v>
      </c>
    </row>
    <row r="18183" spans="1:3">
      <c r="A18183" s="250">
        <v>43350</v>
      </c>
      <c r="B18183" s="74" t="s">
        <v>2327</v>
      </c>
      <c r="C18183" s="74" t="s">
        <v>446</v>
      </c>
    </row>
    <row r="18184" spans="1:3">
      <c r="A18184" s="250">
        <v>43351</v>
      </c>
      <c r="B18184" s="74" t="s">
        <v>10150</v>
      </c>
      <c r="C18184" s="74" t="s">
        <v>446</v>
      </c>
    </row>
    <row r="18185" spans="1:3">
      <c r="A18185" s="250">
        <v>43356</v>
      </c>
      <c r="B18185" s="74" t="s">
        <v>8364</v>
      </c>
      <c r="C18185" s="74" t="s">
        <v>446</v>
      </c>
    </row>
    <row r="18186" spans="1:3">
      <c r="A18186" s="250">
        <v>43357</v>
      </c>
      <c r="B18186" s="74" t="s">
        <v>6862</v>
      </c>
      <c r="C18186" s="74" t="s">
        <v>446</v>
      </c>
    </row>
    <row r="18187" spans="1:3">
      <c r="A18187" s="250">
        <v>43358</v>
      </c>
      <c r="B18187" s="74" t="s">
        <v>10151</v>
      </c>
      <c r="C18187" s="74" t="s">
        <v>446</v>
      </c>
    </row>
    <row r="18188" spans="1:3">
      <c r="A18188" s="250">
        <v>43359</v>
      </c>
      <c r="B18188" s="74" t="s">
        <v>2334</v>
      </c>
      <c r="C18188" s="74" t="s">
        <v>446</v>
      </c>
    </row>
    <row r="18189" spans="1:3">
      <c r="A18189" s="250">
        <v>43360</v>
      </c>
      <c r="B18189" s="74" t="s">
        <v>10152</v>
      </c>
      <c r="C18189" s="74" t="s">
        <v>446</v>
      </c>
    </row>
    <row r="18190" spans="1:3">
      <c r="A18190" s="250">
        <v>43402</v>
      </c>
      <c r="B18190" s="74" t="s">
        <v>5879</v>
      </c>
      <c r="C18190" s="74" t="s">
        <v>446</v>
      </c>
    </row>
    <row r="18191" spans="1:3">
      <c r="A18191" s="250">
        <v>43403</v>
      </c>
      <c r="B18191" s="74" t="s">
        <v>5879</v>
      </c>
      <c r="C18191" s="74" t="s">
        <v>446</v>
      </c>
    </row>
    <row r="18192" spans="1:3">
      <c r="A18192" s="250">
        <v>43406</v>
      </c>
      <c r="B18192" s="74" t="s">
        <v>10153</v>
      </c>
      <c r="C18192" s="74" t="s">
        <v>446</v>
      </c>
    </row>
    <row r="18193" spans="1:3">
      <c r="A18193" s="250">
        <v>43407</v>
      </c>
      <c r="B18193" s="74" t="s">
        <v>10154</v>
      </c>
      <c r="C18193" s="74" t="s">
        <v>446</v>
      </c>
    </row>
    <row r="18194" spans="1:3">
      <c r="A18194" s="250">
        <v>43408</v>
      </c>
      <c r="B18194" s="74" t="s">
        <v>10155</v>
      </c>
      <c r="C18194" s="74" t="s">
        <v>446</v>
      </c>
    </row>
    <row r="18195" spans="1:3">
      <c r="A18195" s="250">
        <v>43410</v>
      </c>
      <c r="B18195" s="74" t="s">
        <v>3766</v>
      </c>
      <c r="C18195" s="74" t="s">
        <v>446</v>
      </c>
    </row>
    <row r="18196" spans="1:3">
      <c r="A18196" s="250">
        <v>43412</v>
      </c>
      <c r="B18196" s="74" t="s">
        <v>10156</v>
      </c>
      <c r="C18196" s="74" t="s">
        <v>446</v>
      </c>
    </row>
    <row r="18197" spans="1:3">
      <c r="A18197" s="250">
        <v>43413</v>
      </c>
      <c r="B18197" s="74" t="s">
        <v>10157</v>
      </c>
      <c r="C18197" s="74" t="s">
        <v>446</v>
      </c>
    </row>
    <row r="18198" spans="1:3">
      <c r="A18198" s="250">
        <v>43414</v>
      </c>
      <c r="B18198" s="74" t="s">
        <v>10158</v>
      </c>
      <c r="C18198" s="74" t="s">
        <v>446</v>
      </c>
    </row>
    <row r="18199" spans="1:3">
      <c r="A18199" s="250">
        <v>43416</v>
      </c>
      <c r="B18199" s="74" t="s">
        <v>8792</v>
      </c>
      <c r="C18199" s="74" t="s">
        <v>446</v>
      </c>
    </row>
    <row r="18200" spans="1:3">
      <c r="A18200" s="250">
        <v>43420</v>
      </c>
      <c r="B18200" s="74" t="s">
        <v>1157</v>
      </c>
      <c r="C18200" s="74" t="s">
        <v>446</v>
      </c>
    </row>
    <row r="18201" spans="1:3">
      <c r="A18201" s="250">
        <v>43430</v>
      </c>
      <c r="B18201" s="74" t="s">
        <v>3366</v>
      </c>
      <c r="C18201" s="74" t="s">
        <v>446</v>
      </c>
    </row>
    <row r="18202" spans="1:3">
      <c r="A18202" s="250">
        <v>43431</v>
      </c>
      <c r="B18202" s="74" t="s">
        <v>10159</v>
      </c>
      <c r="C18202" s="74" t="s">
        <v>446</v>
      </c>
    </row>
    <row r="18203" spans="1:3">
      <c r="A18203" s="250">
        <v>43432</v>
      </c>
      <c r="B18203" s="74" t="s">
        <v>10160</v>
      </c>
      <c r="C18203" s="74" t="s">
        <v>446</v>
      </c>
    </row>
    <row r="18204" spans="1:3">
      <c r="A18204" s="250">
        <v>43433</v>
      </c>
      <c r="B18204" s="74" t="s">
        <v>10161</v>
      </c>
      <c r="C18204" s="74" t="s">
        <v>446</v>
      </c>
    </row>
    <row r="18205" spans="1:3">
      <c r="A18205" s="250">
        <v>43434</v>
      </c>
      <c r="B18205" s="74" t="s">
        <v>10162</v>
      </c>
      <c r="C18205" s="74" t="s">
        <v>446</v>
      </c>
    </row>
    <row r="18206" spans="1:3">
      <c r="A18206" s="250">
        <v>43435</v>
      </c>
      <c r="B18206" s="74" t="s">
        <v>3555</v>
      </c>
      <c r="C18206" s="74" t="s">
        <v>446</v>
      </c>
    </row>
    <row r="18207" spans="1:3">
      <c r="A18207" s="250">
        <v>43436</v>
      </c>
      <c r="B18207" s="74" t="s">
        <v>10163</v>
      </c>
      <c r="C18207" s="74" t="s">
        <v>446</v>
      </c>
    </row>
    <row r="18208" spans="1:3">
      <c r="A18208" s="250">
        <v>43437</v>
      </c>
      <c r="B18208" s="74" t="s">
        <v>10164</v>
      </c>
      <c r="C18208" s="74" t="s">
        <v>446</v>
      </c>
    </row>
    <row r="18209" spans="1:3">
      <c r="A18209" s="250">
        <v>43438</v>
      </c>
      <c r="B18209" s="74" t="s">
        <v>10165</v>
      </c>
      <c r="C18209" s="74" t="s">
        <v>446</v>
      </c>
    </row>
    <row r="18210" spans="1:3">
      <c r="A18210" s="250">
        <v>43439</v>
      </c>
      <c r="B18210" s="74" t="s">
        <v>10166</v>
      </c>
      <c r="C18210" s="74" t="s">
        <v>446</v>
      </c>
    </row>
    <row r="18211" spans="1:3">
      <c r="A18211" s="250">
        <v>43440</v>
      </c>
      <c r="B18211" s="74" t="s">
        <v>10167</v>
      </c>
      <c r="C18211" s="74" t="s">
        <v>446</v>
      </c>
    </row>
    <row r="18212" spans="1:3">
      <c r="A18212" s="250">
        <v>43441</v>
      </c>
      <c r="B18212" s="74" t="s">
        <v>4716</v>
      </c>
      <c r="C18212" s="74" t="s">
        <v>446</v>
      </c>
    </row>
    <row r="18213" spans="1:3">
      <c r="A18213" s="250">
        <v>43442</v>
      </c>
      <c r="B18213" s="74" t="s">
        <v>10168</v>
      </c>
      <c r="C18213" s="74" t="s">
        <v>446</v>
      </c>
    </row>
    <row r="18214" spans="1:3">
      <c r="A18214" s="250">
        <v>43443</v>
      </c>
      <c r="B18214" s="74" t="s">
        <v>10169</v>
      </c>
      <c r="C18214" s="74" t="s">
        <v>446</v>
      </c>
    </row>
    <row r="18215" spans="1:3">
      <c r="A18215" s="250">
        <v>43445</v>
      </c>
      <c r="B18215" s="74" t="s">
        <v>4128</v>
      </c>
      <c r="C18215" s="74" t="s">
        <v>446</v>
      </c>
    </row>
    <row r="18216" spans="1:3">
      <c r="A18216" s="250">
        <v>43446</v>
      </c>
      <c r="B18216" s="74" t="s">
        <v>10170</v>
      </c>
      <c r="C18216" s="74" t="s">
        <v>446</v>
      </c>
    </row>
    <row r="18217" spans="1:3">
      <c r="A18217" s="250">
        <v>43447</v>
      </c>
      <c r="B18217" s="74" t="s">
        <v>745</v>
      </c>
      <c r="C18217" s="74" t="s">
        <v>446</v>
      </c>
    </row>
    <row r="18218" spans="1:3">
      <c r="A18218" s="250">
        <v>43449</v>
      </c>
      <c r="B18218" s="74" t="s">
        <v>10171</v>
      </c>
      <c r="C18218" s="74" t="s">
        <v>446</v>
      </c>
    </row>
    <row r="18219" spans="1:3">
      <c r="A18219" s="250">
        <v>43450</v>
      </c>
      <c r="B18219" s="74" t="s">
        <v>10172</v>
      </c>
      <c r="C18219" s="74" t="s">
        <v>446</v>
      </c>
    </row>
    <row r="18220" spans="1:3">
      <c r="A18220" s="250">
        <v>43451</v>
      </c>
      <c r="B18220" s="74" t="s">
        <v>1646</v>
      </c>
      <c r="C18220" s="74" t="s">
        <v>446</v>
      </c>
    </row>
    <row r="18221" spans="1:3">
      <c r="A18221" s="250">
        <v>43452</v>
      </c>
      <c r="B18221" s="74" t="s">
        <v>5474</v>
      </c>
      <c r="C18221" s="74" t="s">
        <v>446</v>
      </c>
    </row>
    <row r="18222" spans="1:3">
      <c r="A18222" s="250">
        <v>43456</v>
      </c>
      <c r="B18222" s="74" t="s">
        <v>10173</v>
      </c>
      <c r="C18222" s="74" t="s">
        <v>446</v>
      </c>
    </row>
    <row r="18223" spans="1:3">
      <c r="A18223" s="250">
        <v>43457</v>
      </c>
      <c r="B18223" s="74" t="s">
        <v>10174</v>
      </c>
      <c r="C18223" s="74" t="s">
        <v>446</v>
      </c>
    </row>
    <row r="18224" spans="1:3">
      <c r="A18224" s="250">
        <v>43458</v>
      </c>
      <c r="B18224" s="74" t="s">
        <v>5815</v>
      </c>
      <c r="C18224" s="74" t="s">
        <v>446</v>
      </c>
    </row>
    <row r="18225" spans="1:3">
      <c r="A18225" s="250">
        <v>43460</v>
      </c>
      <c r="B18225" s="74" t="s">
        <v>10175</v>
      </c>
      <c r="C18225" s="74" t="s">
        <v>446</v>
      </c>
    </row>
    <row r="18226" spans="1:3">
      <c r="A18226" s="250">
        <v>43462</v>
      </c>
      <c r="B18226" s="74" t="s">
        <v>10176</v>
      </c>
      <c r="C18226" s="74" t="s">
        <v>446</v>
      </c>
    </row>
    <row r="18227" spans="1:3">
      <c r="A18227" s="250">
        <v>43463</v>
      </c>
      <c r="B18227" s="74" t="s">
        <v>10177</v>
      </c>
      <c r="C18227" s="74" t="s">
        <v>446</v>
      </c>
    </row>
    <row r="18228" spans="1:3">
      <c r="A18228" s="250">
        <v>43464</v>
      </c>
      <c r="B18228" s="74" t="s">
        <v>10178</v>
      </c>
      <c r="C18228" s="74" t="s">
        <v>446</v>
      </c>
    </row>
    <row r="18229" spans="1:3">
      <c r="A18229" s="250">
        <v>43465</v>
      </c>
      <c r="B18229" s="74" t="s">
        <v>10179</v>
      </c>
      <c r="C18229" s="74" t="s">
        <v>446</v>
      </c>
    </row>
    <row r="18230" spans="1:3">
      <c r="A18230" s="250">
        <v>43466</v>
      </c>
      <c r="B18230" s="74" t="s">
        <v>1464</v>
      </c>
      <c r="C18230" s="74" t="s">
        <v>446</v>
      </c>
    </row>
    <row r="18231" spans="1:3">
      <c r="A18231" s="250">
        <v>43467</v>
      </c>
      <c r="B18231" s="74" t="s">
        <v>10180</v>
      </c>
      <c r="C18231" s="74" t="s">
        <v>446</v>
      </c>
    </row>
    <row r="18232" spans="1:3">
      <c r="A18232" s="250">
        <v>43468</v>
      </c>
      <c r="B18232" s="74" t="s">
        <v>1837</v>
      </c>
      <c r="C18232" s="74" t="s">
        <v>446</v>
      </c>
    </row>
    <row r="18233" spans="1:3">
      <c r="A18233" s="250">
        <v>43469</v>
      </c>
      <c r="B18233" s="74" t="s">
        <v>804</v>
      </c>
      <c r="C18233" s="74" t="s">
        <v>446</v>
      </c>
    </row>
    <row r="18234" spans="1:3">
      <c r="A18234" s="250">
        <v>43501</v>
      </c>
      <c r="B18234" s="74" t="s">
        <v>10181</v>
      </c>
      <c r="C18234" s="74" t="s">
        <v>446</v>
      </c>
    </row>
    <row r="18235" spans="1:3">
      <c r="A18235" s="250">
        <v>43502</v>
      </c>
      <c r="B18235" s="74" t="s">
        <v>10182</v>
      </c>
      <c r="C18235" s="74" t="s">
        <v>446</v>
      </c>
    </row>
    <row r="18236" spans="1:3">
      <c r="A18236" s="250">
        <v>43504</v>
      </c>
      <c r="B18236" s="74" t="s">
        <v>10183</v>
      </c>
      <c r="C18236" s="74" t="s">
        <v>446</v>
      </c>
    </row>
    <row r="18237" spans="1:3">
      <c r="A18237" s="250">
        <v>43505</v>
      </c>
      <c r="B18237" s="74" t="s">
        <v>5197</v>
      </c>
      <c r="C18237" s="74" t="s">
        <v>446</v>
      </c>
    </row>
    <row r="18238" spans="1:3">
      <c r="A18238" s="250">
        <v>43506</v>
      </c>
      <c r="B18238" s="74" t="s">
        <v>10184</v>
      </c>
      <c r="C18238" s="74" t="s">
        <v>446</v>
      </c>
    </row>
    <row r="18239" spans="1:3">
      <c r="A18239" s="250">
        <v>43510</v>
      </c>
      <c r="B18239" s="74" t="s">
        <v>3536</v>
      </c>
      <c r="C18239" s="74" t="s">
        <v>446</v>
      </c>
    </row>
    <row r="18240" spans="1:3">
      <c r="A18240" s="250">
        <v>43511</v>
      </c>
      <c r="B18240" s="74" t="s">
        <v>10185</v>
      </c>
      <c r="C18240" s="74" t="s">
        <v>446</v>
      </c>
    </row>
    <row r="18241" spans="1:3">
      <c r="A18241" s="250">
        <v>43512</v>
      </c>
      <c r="B18241" s="74" t="s">
        <v>4543</v>
      </c>
      <c r="C18241" s="74" t="s">
        <v>446</v>
      </c>
    </row>
    <row r="18242" spans="1:3">
      <c r="A18242" s="250">
        <v>43515</v>
      </c>
      <c r="B18242" s="74" t="s">
        <v>4813</v>
      </c>
      <c r="C18242" s="74" t="s">
        <v>446</v>
      </c>
    </row>
    <row r="18243" spans="1:3">
      <c r="A18243" s="250">
        <v>43516</v>
      </c>
      <c r="B18243" s="74" t="s">
        <v>10186</v>
      </c>
      <c r="C18243" s="74" t="s">
        <v>446</v>
      </c>
    </row>
    <row r="18244" spans="1:3">
      <c r="A18244" s="250">
        <v>43517</v>
      </c>
      <c r="B18244" s="74" t="s">
        <v>10187</v>
      </c>
      <c r="C18244" s="74" t="s">
        <v>446</v>
      </c>
    </row>
    <row r="18245" spans="1:3">
      <c r="A18245" s="250">
        <v>43518</v>
      </c>
      <c r="B18245" s="74" t="s">
        <v>10188</v>
      </c>
      <c r="C18245" s="74" t="s">
        <v>446</v>
      </c>
    </row>
    <row r="18246" spans="1:3">
      <c r="A18246" s="250">
        <v>43519</v>
      </c>
      <c r="B18246" s="74" t="s">
        <v>10189</v>
      </c>
      <c r="C18246" s="74" t="s">
        <v>446</v>
      </c>
    </row>
    <row r="18247" spans="1:3">
      <c r="A18247" s="250">
        <v>43520</v>
      </c>
      <c r="B18247" s="74" t="s">
        <v>10190</v>
      </c>
      <c r="C18247" s="74" t="s">
        <v>446</v>
      </c>
    </row>
    <row r="18248" spans="1:3">
      <c r="A18248" s="250">
        <v>43521</v>
      </c>
      <c r="B18248" s="74" t="s">
        <v>3362</v>
      </c>
      <c r="C18248" s="74" t="s">
        <v>446</v>
      </c>
    </row>
    <row r="18249" spans="1:3">
      <c r="A18249" s="250">
        <v>43522</v>
      </c>
      <c r="B18249" s="74" t="s">
        <v>10191</v>
      </c>
      <c r="C18249" s="74" t="s">
        <v>446</v>
      </c>
    </row>
    <row r="18250" spans="1:3">
      <c r="A18250" s="250">
        <v>43523</v>
      </c>
      <c r="B18250" s="74" t="s">
        <v>10192</v>
      </c>
      <c r="C18250" s="74" t="s">
        <v>446</v>
      </c>
    </row>
    <row r="18251" spans="1:3">
      <c r="A18251" s="250">
        <v>43524</v>
      </c>
      <c r="B18251" s="74" t="s">
        <v>10193</v>
      </c>
      <c r="C18251" s="74" t="s">
        <v>446</v>
      </c>
    </row>
    <row r="18252" spans="1:3">
      <c r="A18252" s="250">
        <v>43525</v>
      </c>
      <c r="B18252" s="74" t="s">
        <v>10194</v>
      </c>
      <c r="C18252" s="74" t="s">
        <v>446</v>
      </c>
    </row>
    <row r="18253" spans="1:3">
      <c r="A18253" s="250">
        <v>43526</v>
      </c>
      <c r="B18253" s="74" t="s">
        <v>2866</v>
      </c>
      <c r="C18253" s="74" t="s">
        <v>446</v>
      </c>
    </row>
    <row r="18254" spans="1:3">
      <c r="A18254" s="250">
        <v>43527</v>
      </c>
      <c r="B18254" s="74" t="s">
        <v>10195</v>
      </c>
      <c r="C18254" s="74" t="s">
        <v>446</v>
      </c>
    </row>
    <row r="18255" spans="1:3">
      <c r="A18255" s="250">
        <v>43528</v>
      </c>
      <c r="B18255" s="74" t="s">
        <v>739</v>
      </c>
      <c r="C18255" s="74" t="s">
        <v>446</v>
      </c>
    </row>
    <row r="18256" spans="1:3">
      <c r="A18256" s="250">
        <v>43529</v>
      </c>
      <c r="B18256" s="74" t="s">
        <v>10196</v>
      </c>
      <c r="C18256" s="74" t="s">
        <v>446</v>
      </c>
    </row>
    <row r="18257" spans="1:3">
      <c r="A18257" s="250">
        <v>43530</v>
      </c>
      <c r="B18257" s="74" t="s">
        <v>8079</v>
      </c>
      <c r="C18257" s="74" t="s">
        <v>446</v>
      </c>
    </row>
    <row r="18258" spans="1:3">
      <c r="A18258" s="250">
        <v>43531</v>
      </c>
      <c r="B18258" s="74" t="s">
        <v>10197</v>
      </c>
      <c r="C18258" s="74" t="s">
        <v>446</v>
      </c>
    </row>
    <row r="18259" spans="1:3">
      <c r="A18259" s="250">
        <v>43532</v>
      </c>
      <c r="B18259" s="74" t="s">
        <v>10198</v>
      </c>
      <c r="C18259" s="74" t="s">
        <v>446</v>
      </c>
    </row>
    <row r="18260" spans="1:3">
      <c r="A18260" s="250">
        <v>43533</v>
      </c>
      <c r="B18260" s="74" t="s">
        <v>2349</v>
      </c>
      <c r="C18260" s="74" t="s">
        <v>446</v>
      </c>
    </row>
    <row r="18261" spans="1:3">
      <c r="A18261" s="250">
        <v>43534</v>
      </c>
      <c r="B18261" s="74" t="s">
        <v>4955</v>
      </c>
      <c r="C18261" s="74" t="s">
        <v>446</v>
      </c>
    </row>
    <row r="18262" spans="1:3">
      <c r="A18262" s="250">
        <v>43535</v>
      </c>
      <c r="B18262" s="74" t="s">
        <v>10199</v>
      </c>
      <c r="C18262" s="74" t="s">
        <v>446</v>
      </c>
    </row>
    <row r="18263" spans="1:3">
      <c r="A18263" s="250">
        <v>43536</v>
      </c>
      <c r="B18263" s="74" t="s">
        <v>10200</v>
      </c>
      <c r="C18263" s="74" t="s">
        <v>446</v>
      </c>
    </row>
    <row r="18264" spans="1:3">
      <c r="A18264" s="250">
        <v>43537</v>
      </c>
      <c r="B18264" s="74" t="s">
        <v>10201</v>
      </c>
      <c r="C18264" s="74" t="s">
        <v>446</v>
      </c>
    </row>
    <row r="18265" spans="1:3">
      <c r="A18265" s="250">
        <v>43540</v>
      </c>
      <c r="B18265" s="74" t="s">
        <v>10202</v>
      </c>
      <c r="C18265" s="74" t="s">
        <v>446</v>
      </c>
    </row>
    <row r="18266" spans="1:3">
      <c r="A18266" s="250">
        <v>43541</v>
      </c>
      <c r="B18266" s="74" t="s">
        <v>10203</v>
      </c>
      <c r="C18266" s="74" t="s">
        <v>446</v>
      </c>
    </row>
    <row r="18267" spans="1:3">
      <c r="A18267" s="250">
        <v>43542</v>
      </c>
      <c r="B18267" s="74" t="s">
        <v>10204</v>
      </c>
      <c r="C18267" s="74" t="s">
        <v>446</v>
      </c>
    </row>
    <row r="18268" spans="1:3">
      <c r="A18268" s="250">
        <v>43543</v>
      </c>
      <c r="B18268" s="74" t="s">
        <v>1838</v>
      </c>
      <c r="C18268" s="74" t="s">
        <v>446</v>
      </c>
    </row>
    <row r="18269" spans="1:3">
      <c r="A18269" s="250">
        <v>43545</v>
      </c>
      <c r="B18269" s="74" t="s">
        <v>10205</v>
      </c>
      <c r="C18269" s="74" t="s">
        <v>446</v>
      </c>
    </row>
    <row r="18270" spans="1:3">
      <c r="A18270" s="250">
        <v>43547</v>
      </c>
      <c r="B18270" s="74" t="s">
        <v>10206</v>
      </c>
      <c r="C18270" s="74" t="s">
        <v>446</v>
      </c>
    </row>
    <row r="18271" spans="1:3">
      <c r="A18271" s="250">
        <v>43548</v>
      </c>
      <c r="B18271" s="74" t="s">
        <v>10207</v>
      </c>
      <c r="C18271" s="74" t="s">
        <v>446</v>
      </c>
    </row>
    <row r="18272" spans="1:3">
      <c r="A18272" s="250">
        <v>43549</v>
      </c>
      <c r="B18272" s="74" t="s">
        <v>10208</v>
      </c>
      <c r="C18272" s="74" t="s">
        <v>446</v>
      </c>
    </row>
    <row r="18273" spans="1:3">
      <c r="A18273" s="250">
        <v>43550</v>
      </c>
      <c r="B18273" s="74" t="s">
        <v>9371</v>
      </c>
      <c r="C18273" s="74" t="s">
        <v>446</v>
      </c>
    </row>
    <row r="18274" spans="1:3">
      <c r="A18274" s="250">
        <v>43551</v>
      </c>
      <c r="B18274" s="74" t="s">
        <v>3730</v>
      </c>
      <c r="C18274" s="74" t="s">
        <v>446</v>
      </c>
    </row>
    <row r="18275" spans="1:3">
      <c r="A18275" s="250">
        <v>43552</v>
      </c>
      <c r="B18275" s="74" t="s">
        <v>3730</v>
      </c>
      <c r="C18275" s="74" t="s">
        <v>446</v>
      </c>
    </row>
    <row r="18276" spans="1:3">
      <c r="A18276" s="250">
        <v>43553</v>
      </c>
      <c r="B18276" s="74" t="s">
        <v>10209</v>
      </c>
      <c r="C18276" s="74" t="s">
        <v>446</v>
      </c>
    </row>
    <row r="18277" spans="1:3">
      <c r="A18277" s="250">
        <v>43554</v>
      </c>
      <c r="B18277" s="74" t="s">
        <v>9151</v>
      </c>
      <c r="C18277" s="74" t="s">
        <v>446</v>
      </c>
    </row>
    <row r="18278" spans="1:3">
      <c r="A18278" s="250">
        <v>43555</v>
      </c>
      <c r="B18278" s="74" t="s">
        <v>10210</v>
      </c>
      <c r="C18278" s="74" t="s">
        <v>446</v>
      </c>
    </row>
    <row r="18279" spans="1:3">
      <c r="A18279" s="250">
        <v>43556</v>
      </c>
      <c r="B18279" s="74" t="s">
        <v>5774</v>
      </c>
      <c r="C18279" s="74" t="s">
        <v>446</v>
      </c>
    </row>
    <row r="18280" spans="1:3">
      <c r="A18280" s="250">
        <v>43557</v>
      </c>
      <c r="B18280" s="74" t="s">
        <v>10211</v>
      </c>
      <c r="C18280" s="74" t="s">
        <v>446</v>
      </c>
    </row>
    <row r="18281" spans="1:3">
      <c r="A18281" s="250">
        <v>43558</v>
      </c>
      <c r="B18281" s="74" t="s">
        <v>1833</v>
      </c>
      <c r="C18281" s="74" t="s">
        <v>446</v>
      </c>
    </row>
    <row r="18282" spans="1:3">
      <c r="A18282" s="250">
        <v>43560</v>
      </c>
      <c r="B18282" s="74" t="s">
        <v>4684</v>
      </c>
      <c r="C18282" s="74" t="s">
        <v>446</v>
      </c>
    </row>
    <row r="18283" spans="1:3">
      <c r="A18283" s="250">
        <v>43565</v>
      </c>
      <c r="B18283" s="74" t="s">
        <v>10212</v>
      </c>
      <c r="C18283" s="74" t="s">
        <v>446</v>
      </c>
    </row>
    <row r="18284" spans="1:3">
      <c r="A18284" s="250">
        <v>43566</v>
      </c>
      <c r="B18284" s="74" t="s">
        <v>1676</v>
      </c>
      <c r="C18284" s="74" t="s">
        <v>446</v>
      </c>
    </row>
    <row r="18285" spans="1:3">
      <c r="A18285" s="250">
        <v>43567</v>
      </c>
      <c r="B18285" s="74" t="s">
        <v>10213</v>
      </c>
      <c r="C18285" s="74" t="s">
        <v>446</v>
      </c>
    </row>
    <row r="18286" spans="1:3">
      <c r="A18286" s="250">
        <v>43569</v>
      </c>
      <c r="B18286" s="74" t="s">
        <v>991</v>
      </c>
      <c r="C18286" s="74" t="s">
        <v>446</v>
      </c>
    </row>
    <row r="18287" spans="1:3">
      <c r="A18287" s="250">
        <v>43570</v>
      </c>
      <c r="B18287" s="74" t="s">
        <v>10214</v>
      </c>
      <c r="C18287" s="74" t="s">
        <v>446</v>
      </c>
    </row>
    <row r="18288" spans="1:3">
      <c r="A18288" s="250">
        <v>43571</v>
      </c>
      <c r="B18288" s="74" t="s">
        <v>2605</v>
      </c>
      <c r="C18288" s="74" t="s">
        <v>446</v>
      </c>
    </row>
    <row r="18289" spans="1:3">
      <c r="A18289" s="250">
        <v>43601</v>
      </c>
      <c r="B18289" s="74" t="s">
        <v>10215</v>
      </c>
      <c r="C18289" s="74" t="s">
        <v>446</v>
      </c>
    </row>
    <row r="18290" spans="1:3">
      <c r="A18290" s="250">
        <v>43603</v>
      </c>
      <c r="B18290" s="74" t="s">
        <v>10215</v>
      </c>
      <c r="C18290" s="74" t="s">
        <v>446</v>
      </c>
    </row>
    <row r="18291" spans="1:3">
      <c r="A18291" s="250">
        <v>43604</v>
      </c>
      <c r="B18291" s="74" t="s">
        <v>10215</v>
      </c>
      <c r="C18291" s="74" t="s">
        <v>446</v>
      </c>
    </row>
    <row r="18292" spans="1:3">
      <c r="A18292" s="250">
        <v>43605</v>
      </c>
      <c r="B18292" s="74" t="s">
        <v>10215</v>
      </c>
      <c r="C18292" s="74" t="s">
        <v>446</v>
      </c>
    </row>
    <row r="18293" spans="1:3">
      <c r="A18293" s="250">
        <v>43606</v>
      </c>
      <c r="B18293" s="74" t="s">
        <v>10215</v>
      </c>
      <c r="C18293" s="74" t="s">
        <v>446</v>
      </c>
    </row>
    <row r="18294" spans="1:3">
      <c r="A18294" s="250">
        <v>43607</v>
      </c>
      <c r="B18294" s="74" t="s">
        <v>10215</v>
      </c>
      <c r="C18294" s="74" t="s">
        <v>446</v>
      </c>
    </row>
    <row r="18295" spans="1:3">
      <c r="A18295" s="250">
        <v>43608</v>
      </c>
      <c r="B18295" s="74" t="s">
        <v>10215</v>
      </c>
      <c r="C18295" s="74" t="s">
        <v>446</v>
      </c>
    </row>
    <row r="18296" spans="1:3">
      <c r="A18296" s="250">
        <v>43609</v>
      </c>
      <c r="B18296" s="74" t="s">
        <v>10215</v>
      </c>
      <c r="C18296" s="74" t="s">
        <v>446</v>
      </c>
    </row>
    <row r="18297" spans="1:3">
      <c r="A18297" s="250">
        <v>43610</v>
      </c>
      <c r="B18297" s="74" t="s">
        <v>10215</v>
      </c>
      <c r="C18297" s="74" t="s">
        <v>446</v>
      </c>
    </row>
    <row r="18298" spans="1:3">
      <c r="A18298" s="250">
        <v>43611</v>
      </c>
      <c r="B18298" s="74" t="s">
        <v>10215</v>
      </c>
      <c r="C18298" s="74" t="s">
        <v>446</v>
      </c>
    </row>
    <row r="18299" spans="1:3">
      <c r="A18299" s="250">
        <v>43612</v>
      </c>
      <c r="B18299" s="74" t="s">
        <v>10215</v>
      </c>
      <c r="C18299" s="74" t="s">
        <v>446</v>
      </c>
    </row>
    <row r="18300" spans="1:3">
      <c r="A18300" s="250">
        <v>43613</v>
      </c>
      <c r="B18300" s="74" t="s">
        <v>10215</v>
      </c>
      <c r="C18300" s="74" t="s">
        <v>446</v>
      </c>
    </row>
    <row r="18301" spans="1:3">
      <c r="A18301" s="250">
        <v>43614</v>
      </c>
      <c r="B18301" s="74" t="s">
        <v>10215</v>
      </c>
      <c r="C18301" s="74" t="s">
        <v>446</v>
      </c>
    </row>
    <row r="18302" spans="1:3">
      <c r="A18302" s="250">
        <v>43615</v>
      </c>
      <c r="B18302" s="74" t="s">
        <v>10215</v>
      </c>
      <c r="C18302" s="74" t="s">
        <v>446</v>
      </c>
    </row>
    <row r="18303" spans="1:3">
      <c r="A18303" s="250">
        <v>43616</v>
      </c>
      <c r="B18303" s="74" t="s">
        <v>10216</v>
      </c>
      <c r="C18303" s="74" t="s">
        <v>446</v>
      </c>
    </row>
    <row r="18304" spans="1:3">
      <c r="A18304" s="250">
        <v>43617</v>
      </c>
      <c r="B18304" s="74" t="s">
        <v>10215</v>
      </c>
      <c r="C18304" s="74" t="s">
        <v>446</v>
      </c>
    </row>
    <row r="18305" spans="1:3">
      <c r="A18305" s="250">
        <v>43618</v>
      </c>
      <c r="B18305" s="74" t="s">
        <v>10216</v>
      </c>
      <c r="C18305" s="74" t="s">
        <v>446</v>
      </c>
    </row>
    <row r="18306" spans="1:3">
      <c r="A18306" s="250">
        <v>43619</v>
      </c>
      <c r="B18306" s="74" t="s">
        <v>1205</v>
      </c>
      <c r="C18306" s="74" t="s">
        <v>446</v>
      </c>
    </row>
    <row r="18307" spans="1:3">
      <c r="A18307" s="250">
        <v>43620</v>
      </c>
      <c r="B18307" s="74" t="s">
        <v>10215</v>
      </c>
      <c r="C18307" s="74" t="s">
        <v>446</v>
      </c>
    </row>
    <row r="18308" spans="1:3">
      <c r="A18308" s="250">
        <v>43623</v>
      </c>
      <c r="B18308" s="74" t="s">
        <v>10215</v>
      </c>
      <c r="C18308" s="74" t="s">
        <v>446</v>
      </c>
    </row>
    <row r="18309" spans="1:3">
      <c r="A18309" s="250">
        <v>43635</v>
      </c>
      <c r="B18309" s="74" t="s">
        <v>10215</v>
      </c>
      <c r="C18309" s="74" t="s">
        <v>446</v>
      </c>
    </row>
    <row r="18310" spans="1:3">
      <c r="A18310" s="250">
        <v>43652</v>
      </c>
      <c r="B18310" s="74" t="s">
        <v>10215</v>
      </c>
      <c r="C18310" s="74" t="s">
        <v>446</v>
      </c>
    </row>
    <row r="18311" spans="1:3">
      <c r="A18311" s="250">
        <v>43654</v>
      </c>
      <c r="B18311" s="74" t="s">
        <v>10215</v>
      </c>
      <c r="C18311" s="74" t="s">
        <v>446</v>
      </c>
    </row>
    <row r="18312" spans="1:3">
      <c r="A18312" s="250">
        <v>43656</v>
      </c>
      <c r="B18312" s="74" t="s">
        <v>10215</v>
      </c>
      <c r="C18312" s="74" t="s">
        <v>446</v>
      </c>
    </row>
    <row r="18313" spans="1:3">
      <c r="A18313" s="250">
        <v>43657</v>
      </c>
      <c r="B18313" s="74" t="s">
        <v>10215</v>
      </c>
      <c r="C18313" s="74" t="s">
        <v>446</v>
      </c>
    </row>
    <row r="18314" spans="1:3">
      <c r="A18314" s="250">
        <v>43659</v>
      </c>
      <c r="B18314" s="74" t="s">
        <v>10215</v>
      </c>
      <c r="C18314" s="74" t="s">
        <v>446</v>
      </c>
    </row>
    <row r="18315" spans="1:3">
      <c r="A18315" s="250">
        <v>43660</v>
      </c>
      <c r="B18315" s="74" t="s">
        <v>10215</v>
      </c>
      <c r="C18315" s="74" t="s">
        <v>446</v>
      </c>
    </row>
    <row r="18316" spans="1:3">
      <c r="A18316" s="250">
        <v>43661</v>
      </c>
      <c r="B18316" s="74" t="s">
        <v>10215</v>
      </c>
      <c r="C18316" s="74" t="s">
        <v>446</v>
      </c>
    </row>
    <row r="18317" spans="1:3">
      <c r="A18317" s="250">
        <v>43666</v>
      </c>
      <c r="B18317" s="74" t="s">
        <v>10215</v>
      </c>
      <c r="C18317" s="74" t="s">
        <v>446</v>
      </c>
    </row>
    <row r="18318" spans="1:3">
      <c r="A18318" s="250">
        <v>43667</v>
      </c>
      <c r="B18318" s="74" t="s">
        <v>10215</v>
      </c>
      <c r="C18318" s="74" t="s">
        <v>446</v>
      </c>
    </row>
    <row r="18319" spans="1:3">
      <c r="A18319" s="250">
        <v>43681</v>
      </c>
      <c r="B18319" s="74" t="s">
        <v>10215</v>
      </c>
      <c r="C18319" s="74" t="s">
        <v>446</v>
      </c>
    </row>
    <row r="18320" spans="1:3">
      <c r="A18320" s="250">
        <v>43682</v>
      </c>
      <c r="B18320" s="74" t="s">
        <v>10215</v>
      </c>
      <c r="C18320" s="74" t="s">
        <v>446</v>
      </c>
    </row>
    <row r="18321" spans="1:3">
      <c r="A18321" s="250">
        <v>43697</v>
      </c>
      <c r="B18321" s="74" t="s">
        <v>10215</v>
      </c>
      <c r="C18321" s="74" t="s">
        <v>446</v>
      </c>
    </row>
    <row r="18322" spans="1:3">
      <c r="A18322" s="250">
        <v>43699</v>
      </c>
      <c r="B18322" s="74" t="s">
        <v>10215</v>
      </c>
      <c r="C18322" s="74" t="s">
        <v>446</v>
      </c>
    </row>
    <row r="18323" spans="1:3">
      <c r="A18323" s="250">
        <v>43701</v>
      </c>
      <c r="B18323" s="74" t="s">
        <v>10217</v>
      </c>
      <c r="C18323" s="74" t="s">
        <v>446</v>
      </c>
    </row>
    <row r="18324" spans="1:3">
      <c r="A18324" s="250">
        <v>43702</v>
      </c>
      <c r="B18324" s="74" t="s">
        <v>10217</v>
      </c>
      <c r="C18324" s="74" t="s">
        <v>446</v>
      </c>
    </row>
    <row r="18325" spans="1:3">
      <c r="A18325" s="250">
        <v>43711</v>
      </c>
      <c r="B18325" s="74" t="s">
        <v>3431</v>
      </c>
      <c r="C18325" s="74" t="s">
        <v>446</v>
      </c>
    </row>
    <row r="18326" spans="1:3">
      <c r="A18326" s="250">
        <v>43713</v>
      </c>
      <c r="B18326" s="74" t="s">
        <v>5080</v>
      </c>
      <c r="C18326" s="74" t="s">
        <v>446</v>
      </c>
    </row>
    <row r="18327" spans="1:3">
      <c r="A18327" s="250">
        <v>43716</v>
      </c>
      <c r="B18327" s="74" t="s">
        <v>4043</v>
      </c>
      <c r="C18327" s="74" t="s">
        <v>446</v>
      </c>
    </row>
    <row r="18328" spans="1:3">
      <c r="A18328" s="250">
        <v>43717</v>
      </c>
      <c r="B18328" s="74" t="s">
        <v>10218</v>
      </c>
      <c r="C18328" s="74" t="s">
        <v>446</v>
      </c>
    </row>
    <row r="18329" spans="1:3">
      <c r="A18329" s="250">
        <v>43718</v>
      </c>
      <c r="B18329" s="74" t="s">
        <v>986</v>
      </c>
      <c r="C18329" s="74" t="s">
        <v>446</v>
      </c>
    </row>
    <row r="18330" spans="1:3">
      <c r="A18330" s="250">
        <v>43719</v>
      </c>
      <c r="B18330" s="74" t="s">
        <v>5625</v>
      </c>
      <c r="C18330" s="74" t="s">
        <v>446</v>
      </c>
    </row>
    <row r="18331" spans="1:3">
      <c r="A18331" s="250">
        <v>43720</v>
      </c>
      <c r="B18331" s="74" t="s">
        <v>10219</v>
      </c>
      <c r="C18331" s="74" t="s">
        <v>446</v>
      </c>
    </row>
    <row r="18332" spans="1:3">
      <c r="A18332" s="250">
        <v>43721</v>
      </c>
      <c r="B18332" s="74" t="s">
        <v>1731</v>
      </c>
      <c r="C18332" s="74" t="s">
        <v>446</v>
      </c>
    </row>
    <row r="18333" spans="1:3">
      <c r="A18333" s="250">
        <v>43722</v>
      </c>
      <c r="B18333" s="74" t="s">
        <v>3751</v>
      </c>
      <c r="C18333" s="74" t="s">
        <v>446</v>
      </c>
    </row>
    <row r="18334" spans="1:3">
      <c r="A18334" s="250">
        <v>43723</v>
      </c>
      <c r="B18334" s="74" t="s">
        <v>10220</v>
      </c>
      <c r="C18334" s="74" t="s">
        <v>446</v>
      </c>
    </row>
    <row r="18335" spans="1:3">
      <c r="A18335" s="250">
        <v>43724</v>
      </c>
      <c r="B18335" s="74" t="s">
        <v>2113</v>
      </c>
      <c r="C18335" s="74" t="s">
        <v>446</v>
      </c>
    </row>
    <row r="18336" spans="1:3">
      <c r="A18336" s="250">
        <v>43725</v>
      </c>
      <c r="B18336" s="74" t="s">
        <v>914</v>
      </c>
      <c r="C18336" s="74" t="s">
        <v>446</v>
      </c>
    </row>
    <row r="18337" spans="1:3">
      <c r="A18337" s="250">
        <v>43727</v>
      </c>
      <c r="B18337" s="74" t="s">
        <v>10221</v>
      </c>
      <c r="C18337" s="74" t="s">
        <v>446</v>
      </c>
    </row>
    <row r="18338" spans="1:3">
      <c r="A18338" s="250">
        <v>43728</v>
      </c>
      <c r="B18338" s="74" t="s">
        <v>10222</v>
      </c>
      <c r="C18338" s="74" t="s">
        <v>446</v>
      </c>
    </row>
    <row r="18339" spans="1:3">
      <c r="A18339" s="250">
        <v>43730</v>
      </c>
      <c r="B18339" s="74" t="s">
        <v>3911</v>
      </c>
      <c r="C18339" s="74" t="s">
        <v>446</v>
      </c>
    </row>
    <row r="18340" spans="1:3">
      <c r="A18340" s="250">
        <v>43731</v>
      </c>
      <c r="B18340" s="74" t="s">
        <v>10223</v>
      </c>
      <c r="C18340" s="74" t="s">
        <v>446</v>
      </c>
    </row>
    <row r="18341" spans="1:3">
      <c r="A18341" s="250">
        <v>43732</v>
      </c>
      <c r="B18341" s="74" t="s">
        <v>1125</v>
      </c>
      <c r="C18341" s="74" t="s">
        <v>446</v>
      </c>
    </row>
    <row r="18342" spans="1:3">
      <c r="A18342" s="250">
        <v>43733</v>
      </c>
      <c r="B18342" s="74" t="s">
        <v>10224</v>
      </c>
      <c r="C18342" s="74" t="s">
        <v>446</v>
      </c>
    </row>
    <row r="18343" spans="1:3">
      <c r="A18343" s="250">
        <v>43734</v>
      </c>
      <c r="B18343" s="74" t="s">
        <v>10225</v>
      </c>
      <c r="C18343" s="74" t="s">
        <v>446</v>
      </c>
    </row>
    <row r="18344" spans="1:3">
      <c r="A18344" s="250">
        <v>43735</v>
      </c>
      <c r="B18344" s="74" t="s">
        <v>10226</v>
      </c>
      <c r="C18344" s="74" t="s">
        <v>446</v>
      </c>
    </row>
    <row r="18345" spans="1:3">
      <c r="A18345" s="250">
        <v>43736</v>
      </c>
      <c r="B18345" s="74" t="s">
        <v>2122</v>
      </c>
      <c r="C18345" s="74" t="s">
        <v>446</v>
      </c>
    </row>
    <row r="18346" spans="1:3">
      <c r="A18346" s="250">
        <v>43738</v>
      </c>
      <c r="B18346" s="74" t="s">
        <v>2953</v>
      </c>
      <c r="C18346" s="74" t="s">
        <v>446</v>
      </c>
    </row>
    <row r="18347" spans="1:3">
      <c r="A18347" s="250">
        <v>43739</v>
      </c>
      <c r="B18347" s="74" t="s">
        <v>3048</v>
      </c>
      <c r="C18347" s="74" t="s">
        <v>446</v>
      </c>
    </row>
    <row r="18348" spans="1:3">
      <c r="A18348" s="250">
        <v>43740</v>
      </c>
      <c r="B18348" s="74" t="s">
        <v>10227</v>
      </c>
      <c r="C18348" s="74" t="s">
        <v>446</v>
      </c>
    </row>
    <row r="18349" spans="1:3">
      <c r="A18349" s="250">
        <v>43746</v>
      </c>
      <c r="B18349" s="74" t="s">
        <v>2516</v>
      </c>
      <c r="C18349" s="74" t="s">
        <v>446</v>
      </c>
    </row>
    <row r="18350" spans="1:3">
      <c r="A18350" s="250">
        <v>43747</v>
      </c>
      <c r="B18350" s="74" t="s">
        <v>10228</v>
      </c>
      <c r="C18350" s="74" t="s">
        <v>446</v>
      </c>
    </row>
    <row r="18351" spans="1:3">
      <c r="A18351" s="250">
        <v>43748</v>
      </c>
      <c r="B18351" s="74" t="s">
        <v>8198</v>
      </c>
      <c r="C18351" s="74" t="s">
        <v>446</v>
      </c>
    </row>
    <row r="18352" spans="1:3">
      <c r="A18352" s="250">
        <v>43749</v>
      </c>
      <c r="B18352" s="74" t="s">
        <v>10229</v>
      </c>
      <c r="C18352" s="74" t="s">
        <v>446</v>
      </c>
    </row>
    <row r="18353" spans="1:3">
      <c r="A18353" s="250">
        <v>43750</v>
      </c>
      <c r="B18353" s="74" t="s">
        <v>7153</v>
      </c>
      <c r="C18353" s="74" t="s">
        <v>446</v>
      </c>
    </row>
    <row r="18354" spans="1:3">
      <c r="A18354" s="250">
        <v>43752</v>
      </c>
      <c r="B18354" s="74" t="s">
        <v>10230</v>
      </c>
      <c r="C18354" s="74" t="s">
        <v>446</v>
      </c>
    </row>
    <row r="18355" spans="1:3">
      <c r="A18355" s="250">
        <v>43754</v>
      </c>
      <c r="B18355" s="74" t="s">
        <v>5387</v>
      </c>
      <c r="C18355" s="74" t="s">
        <v>446</v>
      </c>
    </row>
    <row r="18356" spans="1:3">
      <c r="A18356" s="250">
        <v>43755</v>
      </c>
      <c r="B18356" s="74" t="s">
        <v>10231</v>
      </c>
      <c r="C18356" s="74" t="s">
        <v>446</v>
      </c>
    </row>
    <row r="18357" spans="1:3">
      <c r="A18357" s="250">
        <v>43756</v>
      </c>
      <c r="B18357" s="74" t="s">
        <v>10232</v>
      </c>
      <c r="C18357" s="74" t="s">
        <v>446</v>
      </c>
    </row>
    <row r="18358" spans="1:3">
      <c r="A18358" s="250">
        <v>43757</v>
      </c>
      <c r="B18358" s="74" t="s">
        <v>2489</v>
      </c>
      <c r="C18358" s="74" t="s">
        <v>446</v>
      </c>
    </row>
    <row r="18359" spans="1:3">
      <c r="A18359" s="250">
        <v>43758</v>
      </c>
      <c r="B18359" s="74" t="s">
        <v>10233</v>
      </c>
      <c r="C18359" s="74" t="s">
        <v>446</v>
      </c>
    </row>
    <row r="18360" spans="1:3">
      <c r="A18360" s="250">
        <v>43759</v>
      </c>
      <c r="B18360" s="74" t="s">
        <v>2353</v>
      </c>
      <c r="C18360" s="74" t="s">
        <v>446</v>
      </c>
    </row>
    <row r="18361" spans="1:3">
      <c r="A18361" s="250">
        <v>43760</v>
      </c>
      <c r="B18361" s="74" t="s">
        <v>10234</v>
      </c>
      <c r="C18361" s="74" t="s">
        <v>446</v>
      </c>
    </row>
    <row r="18362" spans="1:3">
      <c r="A18362" s="250">
        <v>43761</v>
      </c>
      <c r="B18362" s="74" t="s">
        <v>10235</v>
      </c>
      <c r="C18362" s="74" t="s">
        <v>446</v>
      </c>
    </row>
    <row r="18363" spans="1:3">
      <c r="A18363" s="250">
        <v>43762</v>
      </c>
      <c r="B18363" s="74" t="s">
        <v>9948</v>
      </c>
      <c r="C18363" s="74" t="s">
        <v>446</v>
      </c>
    </row>
    <row r="18364" spans="1:3">
      <c r="A18364" s="250">
        <v>43764</v>
      </c>
      <c r="B18364" s="74" t="s">
        <v>10236</v>
      </c>
      <c r="C18364" s="74" t="s">
        <v>446</v>
      </c>
    </row>
    <row r="18365" spans="1:3">
      <c r="A18365" s="250">
        <v>43766</v>
      </c>
      <c r="B18365" s="74" t="s">
        <v>10237</v>
      </c>
      <c r="C18365" s="74" t="s">
        <v>446</v>
      </c>
    </row>
    <row r="18366" spans="1:3">
      <c r="A18366" s="250">
        <v>43767</v>
      </c>
      <c r="B18366" s="74" t="s">
        <v>1743</v>
      </c>
      <c r="C18366" s="74" t="s">
        <v>446</v>
      </c>
    </row>
    <row r="18367" spans="1:3">
      <c r="A18367" s="250">
        <v>43768</v>
      </c>
      <c r="B18367" s="74" t="s">
        <v>10238</v>
      </c>
      <c r="C18367" s="74" t="s">
        <v>446</v>
      </c>
    </row>
    <row r="18368" spans="1:3">
      <c r="A18368" s="250">
        <v>43771</v>
      </c>
      <c r="B18368" s="74" t="s">
        <v>10239</v>
      </c>
      <c r="C18368" s="74" t="s">
        <v>446</v>
      </c>
    </row>
    <row r="18369" spans="1:3">
      <c r="A18369" s="250">
        <v>43772</v>
      </c>
      <c r="B18369" s="74" t="s">
        <v>10240</v>
      </c>
      <c r="C18369" s="74" t="s">
        <v>446</v>
      </c>
    </row>
    <row r="18370" spans="1:3">
      <c r="A18370" s="250">
        <v>43773</v>
      </c>
      <c r="B18370" s="74" t="s">
        <v>10241</v>
      </c>
      <c r="C18370" s="74" t="s">
        <v>446</v>
      </c>
    </row>
    <row r="18371" spans="1:3">
      <c r="A18371" s="250">
        <v>43777</v>
      </c>
      <c r="B18371" s="74" t="s">
        <v>10242</v>
      </c>
      <c r="C18371" s="74" t="s">
        <v>446</v>
      </c>
    </row>
    <row r="18372" spans="1:3">
      <c r="A18372" s="250">
        <v>43778</v>
      </c>
      <c r="B18372" s="74" t="s">
        <v>10243</v>
      </c>
      <c r="C18372" s="74" t="s">
        <v>446</v>
      </c>
    </row>
    <row r="18373" spans="1:3">
      <c r="A18373" s="250">
        <v>43779</v>
      </c>
      <c r="B18373" s="74" t="s">
        <v>10244</v>
      </c>
      <c r="C18373" s="74" t="s">
        <v>446</v>
      </c>
    </row>
    <row r="18374" spans="1:3">
      <c r="A18374" s="250">
        <v>43780</v>
      </c>
      <c r="B18374" s="74" t="s">
        <v>10245</v>
      </c>
      <c r="C18374" s="74" t="s">
        <v>446</v>
      </c>
    </row>
    <row r="18375" spans="1:3">
      <c r="A18375" s="250">
        <v>43782</v>
      </c>
      <c r="B18375" s="74" t="s">
        <v>10246</v>
      </c>
      <c r="C18375" s="74" t="s">
        <v>446</v>
      </c>
    </row>
    <row r="18376" spans="1:3">
      <c r="A18376" s="250">
        <v>43783</v>
      </c>
      <c r="B18376" s="74" t="s">
        <v>1070</v>
      </c>
      <c r="C18376" s="74" t="s">
        <v>446</v>
      </c>
    </row>
    <row r="18377" spans="1:3">
      <c r="A18377" s="250">
        <v>43786</v>
      </c>
      <c r="B18377" s="74" t="s">
        <v>1961</v>
      </c>
      <c r="C18377" s="74" t="s">
        <v>446</v>
      </c>
    </row>
    <row r="18378" spans="1:3">
      <c r="A18378" s="250">
        <v>43787</v>
      </c>
      <c r="B18378" s="74" t="s">
        <v>10247</v>
      </c>
      <c r="C18378" s="74" t="s">
        <v>446</v>
      </c>
    </row>
    <row r="18379" spans="1:3">
      <c r="A18379" s="250">
        <v>43788</v>
      </c>
      <c r="B18379" s="74" t="s">
        <v>7127</v>
      </c>
      <c r="C18379" s="74" t="s">
        <v>446</v>
      </c>
    </row>
    <row r="18380" spans="1:3">
      <c r="A18380" s="250">
        <v>43789</v>
      </c>
      <c r="B18380" s="74" t="s">
        <v>10248</v>
      </c>
      <c r="C18380" s="74" t="s">
        <v>446</v>
      </c>
    </row>
    <row r="18381" spans="1:3">
      <c r="A18381" s="250">
        <v>43791</v>
      </c>
      <c r="B18381" s="74" t="s">
        <v>10249</v>
      </c>
      <c r="C18381" s="74" t="s">
        <v>446</v>
      </c>
    </row>
    <row r="18382" spans="1:3">
      <c r="A18382" s="250">
        <v>43793</v>
      </c>
      <c r="B18382" s="74" t="s">
        <v>10250</v>
      </c>
      <c r="C18382" s="74" t="s">
        <v>446</v>
      </c>
    </row>
    <row r="18383" spans="1:3">
      <c r="A18383" s="250">
        <v>43802</v>
      </c>
      <c r="B18383" s="74" t="s">
        <v>1092</v>
      </c>
      <c r="C18383" s="74" t="s">
        <v>446</v>
      </c>
    </row>
    <row r="18384" spans="1:3">
      <c r="A18384" s="250">
        <v>43803</v>
      </c>
      <c r="B18384" s="74" t="s">
        <v>7529</v>
      </c>
      <c r="C18384" s="74" t="s">
        <v>446</v>
      </c>
    </row>
    <row r="18385" spans="1:3">
      <c r="A18385" s="250">
        <v>43804</v>
      </c>
      <c r="B18385" s="74" t="s">
        <v>2010</v>
      </c>
      <c r="C18385" s="74" t="s">
        <v>446</v>
      </c>
    </row>
    <row r="18386" spans="1:3">
      <c r="A18386" s="250">
        <v>43805</v>
      </c>
      <c r="B18386" s="74" t="s">
        <v>10251</v>
      </c>
      <c r="C18386" s="74" t="s">
        <v>446</v>
      </c>
    </row>
    <row r="18387" spans="1:3">
      <c r="A18387" s="250">
        <v>43811</v>
      </c>
      <c r="B18387" s="74" t="s">
        <v>10252</v>
      </c>
      <c r="C18387" s="74" t="s">
        <v>446</v>
      </c>
    </row>
    <row r="18388" spans="1:3">
      <c r="A18388" s="250">
        <v>43812</v>
      </c>
      <c r="B18388" s="74" t="s">
        <v>10253</v>
      </c>
      <c r="C18388" s="74" t="s">
        <v>446</v>
      </c>
    </row>
    <row r="18389" spans="1:3">
      <c r="A18389" s="250">
        <v>43821</v>
      </c>
      <c r="B18389" s="74" t="s">
        <v>1475</v>
      </c>
      <c r="C18389" s="74" t="s">
        <v>446</v>
      </c>
    </row>
    <row r="18390" spans="1:3">
      <c r="A18390" s="250">
        <v>43822</v>
      </c>
      <c r="B18390" s="74" t="s">
        <v>10254</v>
      </c>
      <c r="C18390" s="74" t="s">
        <v>446</v>
      </c>
    </row>
    <row r="18391" spans="1:3">
      <c r="A18391" s="250">
        <v>43824</v>
      </c>
      <c r="B18391" s="74" t="s">
        <v>10255</v>
      </c>
      <c r="C18391" s="74" t="s">
        <v>446</v>
      </c>
    </row>
    <row r="18392" spans="1:3">
      <c r="A18392" s="250">
        <v>43828</v>
      </c>
      <c r="B18392" s="74" t="s">
        <v>1226</v>
      </c>
      <c r="C18392" s="74" t="s">
        <v>446</v>
      </c>
    </row>
    <row r="18393" spans="1:3">
      <c r="A18393" s="250">
        <v>43830</v>
      </c>
      <c r="B18393" s="74" t="s">
        <v>10256</v>
      </c>
      <c r="C18393" s="74" t="s">
        <v>446</v>
      </c>
    </row>
    <row r="18394" spans="1:3">
      <c r="A18394" s="250">
        <v>43832</v>
      </c>
      <c r="B18394" s="74" t="s">
        <v>10257</v>
      </c>
      <c r="C18394" s="74" t="s">
        <v>446</v>
      </c>
    </row>
    <row r="18395" spans="1:3">
      <c r="A18395" s="250">
        <v>43836</v>
      </c>
      <c r="B18395" s="74" t="s">
        <v>611</v>
      </c>
      <c r="C18395" s="74" t="s">
        <v>446</v>
      </c>
    </row>
    <row r="18396" spans="1:3">
      <c r="A18396" s="250">
        <v>43837</v>
      </c>
      <c r="B18396" s="74" t="s">
        <v>2729</v>
      </c>
      <c r="C18396" s="74" t="s">
        <v>446</v>
      </c>
    </row>
    <row r="18397" spans="1:3">
      <c r="A18397" s="250">
        <v>43840</v>
      </c>
      <c r="B18397" s="74" t="s">
        <v>10258</v>
      </c>
      <c r="C18397" s="74" t="s">
        <v>446</v>
      </c>
    </row>
    <row r="18398" spans="1:3">
      <c r="A18398" s="250">
        <v>43842</v>
      </c>
      <c r="B18398" s="74" t="s">
        <v>10259</v>
      </c>
      <c r="C18398" s="74" t="s">
        <v>446</v>
      </c>
    </row>
    <row r="18399" spans="1:3">
      <c r="A18399" s="250">
        <v>43843</v>
      </c>
      <c r="B18399" s="74" t="s">
        <v>10260</v>
      </c>
      <c r="C18399" s="74" t="s">
        <v>446</v>
      </c>
    </row>
    <row r="18400" spans="1:3">
      <c r="A18400" s="250">
        <v>43844</v>
      </c>
      <c r="B18400" s="74" t="s">
        <v>3834</v>
      </c>
      <c r="C18400" s="74" t="s">
        <v>446</v>
      </c>
    </row>
    <row r="18401" spans="1:3">
      <c r="A18401" s="250">
        <v>43845</v>
      </c>
      <c r="B18401" s="74" t="s">
        <v>10261</v>
      </c>
      <c r="C18401" s="74" t="s">
        <v>446</v>
      </c>
    </row>
    <row r="18402" spans="1:3">
      <c r="A18402" s="250">
        <v>43901</v>
      </c>
      <c r="B18402" s="74" t="s">
        <v>10262</v>
      </c>
      <c r="C18402" s="74" t="s">
        <v>446</v>
      </c>
    </row>
    <row r="18403" spans="1:3">
      <c r="A18403" s="250">
        <v>43902</v>
      </c>
      <c r="B18403" s="74" t="s">
        <v>10263</v>
      </c>
      <c r="C18403" s="74" t="s">
        <v>446</v>
      </c>
    </row>
    <row r="18404" spans="1:3">
      <c r="A18404" s="250">
        <v>43903</v>
      </c>
      <c r="B18404" s="74" t="s">
        <v>2910</v>
      </c>
      <c r="C18404" s="74" t="s">
        <v>446</v>
      </c>
    </row>
    <row r="18405" spans="1:3">
      <c r="A18405" s="250">
        <v>43905</v>
      </c>
      <c r="B18405" s="74" t="s">
        <v>1898</v>
      </c>
      <c r="C18405" s="74" t="s">
        <v>446</v>
      </c>
    </row>
    <row r="18406" spans="1:3">
      <c r="A18406" s="250">
        <v>43906</v>
      </c>
      <c r="B18406" s="74" t="s">
        <v>10264</v>
      </c>
      <c r="C18406" s="74" t="s">
        <v>446</v>
      </c>
    </row>
    <row r="18407" spans="1:3">
      <c r="A18407" s="250">
        <v>43907</v>
      </c>
      <c r="B18407" s="74" t="s">
        <v>9977</v>
      </c>
      <c r="C18407" s="74" t="s">
        <v>446</v>
      </c>
    </row>
    <row r="18408" spans="1:3">
      <c r="A18408" s="250">
        <v>43908</v>
      </c>
      <c r="B18408" s="74" t="s">
        <v>10265</v>
      </c>
      <c r="C18408" s="74" t="s">
        <v>446</v>
      </c>
    </row>
    <row r="18409" spans="1:3">
      <c r="A18409" s="250">
        <v>43909</v>
      </c>
      <c r="B18409" s="74" t="s">
        <v>1623</v>
      </c>
      <c r="C18409" s="74" t="s">
        <v>446</v>
      </c>
    </row>
    <row r="18410" spans="1:3">
      <c r="A18410" s="250">
        <v>43910</v>
      </c>
      <c r="B18410" s="74" t="s">
        <v>2182</v>
      </c>
      <c r="C18410" s="74" t="s">
        <v>446</v>
      </c>
    </row>
    <row r="18411" spans="1:3">
      <c r="A18411" s="250">
        <v>43912</v>
      </c>
      <c r="B18411" s="74" t="s">
        <v>2077</v>
      </c>
      <c r="C18411" s="74" t="s">
        <v>446</v>
      </c>
    </row>
    <row r="18412" spans="1:3">
      <c r="A18412" s="250">
        <v>43913</v>
      </c>
      <c r="B18412" s="74" t="s">
        <v>8710</v>
      </c>
      <c r="C18412" s="74" t="s">
        <v>446</v>
      </c>
    </row>
    <row r="18413" spans="1:3">
      <c r="A18413" s="250">
        <v>43914</v>
      </c>
      <c r="B18413" s="74" t="s">
        <v>3902</v>
      </c>
      <c r="C18413" s="74" t="s">
        <v>446</v>
      </c>
    </row>
    <row r="18414" spans="1:3">
      <c r="A18414" s="250">
        <v>43915</v>
      </c>
      <c r="B18414" s="74" t="s">
        <v>4320</v>
      </c>
      <c r="C18414" s="74" t="s">
        <v>446</v>
      </c>
    </row>
    <row r="18415" spans="1:3">
      <c r="A18415" s="250">
        <v>43916</v>
      </c>
      <c r="B18415" s="74" t="s">
        <v>7241</v>
      </c>
      <c r="C18415" s="74" t="s">
        <v>446</v>
      </c>
    </row>
    <row r="18416" spans="1:3">
      <c r="A18416" s="250">
        <v>43917</v>
      </c>
      <c r="B18416" s="74" t="s">
        <v>10266</v>
      </c>
      <c r="C18416" s="74" t="s">
        <v>446</v>
      </c>
    </row>
    <row r="18417" spans="1:3">
      <c r="A18417" s="250">
        <v>43920</v>
      </c>
      <c r="B18417" s="74" t="s">
        <v>10267</v>
      </c>
      <c r="C18417" s="74" t="s">
        <v>446</v>
      </c>
    </row>
    <row r="18418" spans="1:3">
      <c r="A18418" s="250">
        <v>43925</v>
      </c>
      <c r="B18418" s="74" t="s">
        <v>3451</v>
      </c>
      <c r="C18418" s="74" t="s">
        <v>446</v>
      </c>
    </row>
    <row r="18419" spans="1:3">
      <c r="A18419" s="250">
        <v>43926</v>
      </c>
      <c r="B18419" s="74" t="s">
        <v>8639</v>
      </c>
      <c r="C18419" s="74" t="s">
        <v>446</v>
      </c>
    </row>
    <row r="18420" spans="1:3">
      <c r="A18420" s="250">
        <v>43927</v>
      </c>
      <c r="B18420" s="74" t="s">
        <v>10268</v>
      </c>
      <c r="C18420" s="74" t="s">
        <v>446</v>
      </c>
    </row>
    <row r="18421" spans="1:3">
      <c r="A18421" s="250">
        <v>43928</v>
      </c>
      <c r="B18421" s="74" t="s">
        <v>9736</v>
      </c>
      <c r="C18421" s="74" t="s">
        <v>446</v>
      </c>
    </row>
    <row r="18422" spans="1:3">
      <c r="A18422" s="250">
        <v>43930</v>
      </c>
      <c r="B18422" s="74" t="s">
        <v>10269</v>
      </c>
      <c r="C18422" s="74" t="s">
        <v>446</v>
      </c>
    </row>
    <row r="18423" spans="1:3">
      <c r="A18423" s="250">
        <v>43931</v>
      </c>
      <c r="B18423" s="74" t="s">
        <v>3367</v>
      </c>
      <c r="C18423" s="74" t="s">
        <v>446</v>
      </c>
    </row>
    <row r="18424" spans="1:3">
      <c r="A18424" s="250">
        <v>43932</v>
      </c>
      <c r="B18424" s="74" t="s">
        <v>10270</v>
      </c>
      <c r="C18424" s="74" t="s">
        <v>446</v>
      </c>
    </row>
    <row r="18425" spans="1:3">
      <c r="A18425" s="250">
        <v>43933</v>
      </c>
      <c r="B18425" s="74" t="s">
        <v>10271</v>
      </c>
      <c r="C18425" s="74" t="s">
        <v>446</v>
      </c>
    </row>
    <row r="18426" spans="1:3">
      <c r="A18426" s="250">
        <v>43934</v>
      </c>
      <c r="B18426" s="74" t="s">
        <v>3943</v>
      </c>
      <c r="C18426" s="74" t="s">
        <v>446</v>
      </c>
    </row>
    <row r="18427" spans="1:3">
      <c r="A18427" s="250">
        <v>43935</v>
      </c>
      <c r="B18427" s="74" t="s">
        <v>10272</v>
      </c>
      <c r="C18427" s="74" t="s">
        <v>446</v>
      </c>
    </row>
    <row r="18428" spans="1:3">
      <c r="A18428" s="250">
        <v>43937</v>
      </c>
      <c r="B18428" s="74" t="s">
        <v>794</v>
      </c>
      <c r="C18428" s="74" t="s">
        <v>446</v>
      </c>
    </row>
    <row r="18429" spans="1:3">
      <c r="A18429" s="250">
        <v>43938</v>
      </c>
      <c r="B18429" s="74" t="s">
        <v>10273</v>
      </c>
      <c r="C18429" s="74" t="s">
        <v>446</v>
      </c>
    </row>
    <row r="18430" spans="1:3">
      <c r="A18430" s="250">
        <v>43939</v>
      </c>
      <c r="B18430" s="74" t="s">
        <v>4226</v>
      </c>
      <c r="C18430" s="74" t="s">
        <v>446</v>
      </c>
    </row>
    <row r="18431" spans="1:3">
      <c r="A18431" s="250">
        <v>43940</v>
      </c>
      <c r="B18431" s="74" t="s">
        <v>5054</v>
      </c>
      <c r="C18431" s="74" t="s">
        <v>446</v>
      </c>
    </row>
    <row r="18432" spans="1:3">
      <c r="A18432" s="250">
        <v>43941</v>
      </c>
      <c r="B18432" s="74" t="s">
        <v>10274</v>
      </c>
      <c r="C18432" s="74" t="s">
        <v>446</v>
      </c>
    </row>
    <row r="18433" spans="1:3">
      <c r="A18433" s="250">
        <v>43942</v>
      </c>
      <c r="B18433" s="74" t="s">
        <v>10275</v>
      </c>
      <c r="C18433" s="74" t="s">
        <v>446</v>
      </c>
    </row>
    <row r="18434" spans="1:3">
      <c r="A18434" s="250">
        <v>43943</v>
      </c>
      <c r="B18434" s="74" t="s">
        <v>10276</v>
      </c>
      <c r="C18434" s="74" t="s">
        <v>446</v>
      </c>
    </row>
    <row r="18435" spans="1:3">
      <c r="A18435" s="250">
        <v>43944</v>
      </c>
      <c r="B18435" s="74" t="s">
        <v>658</v>
      </c>
      <c r="C18435" s="74" t="s">
        <v>446</v>
      </c>
    </row>
    <row r="18436" spans="1:3">
      <c r="A18436" s="250">
        <v>43945</v>
      </c>
      <c r="B18436" s="74" t="s">
        <v>10277</v>
      </c>
      <c r="C18436" s="74" t="s">
        <v>446</v>
      </c>
    </row>
    <row r="18437" spans="1:3">
      <c r="A18437" s="250">
        <v>43946</v>
      </c>
      <c r="B18437" s="74" t="s">
        <v>7952</v>
      </c>
      <c r="C18437" s="74" t="s">
        <v>446</v>
      </c>
    </row>
    <row r="18438" spans="1:3">
      <c r="A18438" s="250">
        <v>43947</v>
      </c>
      <c r="B18438" s="74" t="s">
        <v>10278</v>
      </c>
      <c r="C18438" s="74" t="s">
        <v>446</v>
      </c>
    </row>
    <row r="18439" spans="1:3">
      <c r="A18439" s="250">
        <v>43948</v>
      </c>
      <c r="B18439" s="74" t="s">
        <v>1149</v>
      </c>
      <c r="C18439" s="74" t="s">
        <v>446</v>
      </c>
    </row>
    <row r="18440" spans="1:3">
      <c r="A18440" s="250">
        <v>43950</v>
      </c>
      <c r="B18440" s="74" t="s">
        <v>10279</v>
      </c>
      <c r="C18440" s="74" t="s">
        <v>446</v>
      </c>
    </row>
    <row r="18441" spans="1:3">
      <c r="A18441" s="250">
        <v>43951</v>
      </c>
      <c r="B18441" s="74" t="s">
        <v>10280</v>
      </c>
      <c r="C18441" s="74" t="s">
        <v>446</v>
      </c>
    </row>
    <row r="18442" spans="1:3">
      <c r="A18442" s="250">
        <v>43952</v>
      </c>
      <c r="B18442" s="74" t="s">
        <v>10281</v>
      </c>
      <c r="C18442" s="74" t="s">
        <v>446</v>
      </c>
    </row>
    <row r="18443" spans="1:3">
      <c r="A18443" s="250">
        <v>43953</v>
      </c>
      <c r="B18443" s="74" t="s">
        <v>10281</v>
      </c>
      <c r="C18443" s="74" t="s">
        <v>446</v>
      </c>
    </row>
    <row r="18444" spans="1:3">
      <c r="A18444" s="250">
        <v>43961</v>
      </c>
      <c r="B18444" s="74" t="s">
        <v>1721</v>
      </c>
      <c r="C18444" s="74" t="s">
        <v>446</v>
      </c>
    </row>
    <row r="18445" spans="1:3">
      <c r="A18445" s="250">
        <v>43962</v>
      </c>
      <c r="B18445" s="74" t="s">
        <v>3207</v>
      </c>
      <c r="C18445" s="74" t="s">
        <v>446</v>
      </c>
    </row>
    <row r="18446" spans="1:3">
      <c r="A18446" s="250">
        <v>43963</v>
      </c>
      <c r="B18446" s="74" t="s">
        <v>10282</v>
      </c>
      <c r="C18446" s="74" t="s">
        <v>446</v>
      </c>
    </row>
    <row r="18447" spans="1:3">
      <c r="A18447" s="250">
        <v>43964</v>
      </c>
      <c r="B18447" s="74" t="s">
        <v>10283</v>
      </c>
      <c r="C18447" s="74" t="s">
        <v>446</v>
      </c>
    </row>
    <row r="18448" spans="1:3">
      <c r="A18448" s="250">
        <v>43967</v>
      </c>
      <c r="B18448" s="74" t="s">
        <v>10284</v>
      </c>
      <c r="C18448" s="74" t="s">
        <v>446</v>
      </c>
    </row>
    <row r="18449" spans="1:3">
      <c r="A18449" s="250">
        <v>43968</v>
      </c>
      <c r="B18449" s="74" t="s">
        <v>3952</v>
      </c>
      <c r="C18449" s="74" t="s">
        <v>446</v>
      </c>
    </row>
    <row r="18450" spans="1:3">
      <c r="A18450" s="250">
        <v>43970</v>
      </c>
      <c r="B18450" s="74" t="s">
        <v>10285</v>
      </c>
      <c r="C18450" s="74" t="s">
        <v>446</v>
      </c>
    </row>
    <row r="18451" spans="1:3">
      <c r="A18451" s="250">
        <v>43971</v>
      </c>
      <c r="B18451" s="74" t="s">
        <v>3520</v>
      </c>
      <c r="C18451" s="74" t="s">
        <v>446</v>
      </c>
    </row>
    <row r="18452" spans="1:3">
      <c r="A18452" s="250">
        <v>43972</v>
      </c>
      <c r="B18452" s="74" t="s">
        <v>10286</v>
      </c>
      <c r="C18452" s="74" t="s">
        <v>446</v>
      </c>
    </row>
    <row r="18453" spans="1:3">
      <c r="A18453" s="250">
        <v>43973</v>
      </c>
      <c r="B18453" s="74" t="s">
        <v>1383</v>
      </c>
      <c r="C18453" s="74" t="s">
        <v>446</v>
      </c>
    </row>
    <row r="18454" spans="1:3">
      <c r="A18454" s="250">
        <v>43974</v>
      </c>
      <c r="B18454" s="74" t="s">
        <v>1110</v>
      </c>
      <c r="C18454" s="74" t="s">
        <v>446</v>
      </c>
    </row>
    <row r="18455" spans="1:3">
      <c r="A18455" s="250">
        <v>43976</v>
      </c>
      <c r="B18455" s="74" t="s">
        <v>790</v>
      </c>
      <c r="C18455" s="74" t="s">
        <v>446</v>
      </c>
    </row>
    <row r="18456" spans="1:3">
      <c r="A18456" s="250">
        <v>43977</v>
      </c>
      <c r="B18456" s="74" t="s">
        <v>2734</v>
      </c>
      <c r="C18456" s="74" t="s">
        <v>446</v>
      </c>
    </row>
    <row r="18457" spans="1:3">
      <c r="A18457" s="250">
        <v>43981</v>
      </c>
      <c r="B18457" s="74" t="s">
        <v>10287</v>
      </c>
      <c r="C18457" s="74" t="s">
        <v>446</v>
      </c>
    </row>
    <row r="18458" spans="1:3">
      <c r="A18458" s="250">
        <v>43983</v>
      </c>
      <c r="B18458" s="74" t="s">
        <v>7028</v>
      </c>
      <c r="C18458" s="74" t="s">
        <v>446</v>
      </c>
    </row>
    <row r="18459" spans="1:3">
      <c r="A18459" s="250">
        <v>43984</v>
      </c>
      <c r="B18459" s="74" t="s">
        <v>10288</v>
      </c>
      <c r="C18459" s="74" t="s">
        <v>446</v>
      </c>
    </row>
    <row r="18460" spans="1:3">
      <c r="A18460" s="250">
        <v>43985</v>
      </c>
      <c r="B18460" s="74" t="s">
        <v>10289</v>
      </c>
      <c r="C18460" s="74" t="s">
        <v>446</v>
      </c>
    </row>
    <row r="18461" spans="1:3">
      <c r="A18461" s="250">
        <v>43986</v>
      </c>
      <c r="B18461" s="74" t="s">
        <v>3058</v>
      </c>
      <c r="C18461" s="74" t="s">
        <v>446</v>
      </c>
    </row>
    <row r="18462" spans="1:3">
      <c r="A18462" s="250">
        <v>43988</v>
      </c>
      <c r="B18462" s="74" t="s">
        <v>3941</v>
      </c>
      <c r="C18462" s="74" t="s">
        <v>446</v>
      </c>
    </row>
    <row r="18463" spans="1:3">
      <c r="A18463" s="250">
        <v>44001</v>
      </c>
      <c r="B18463" s="74" t="s">
        <v>577</v>
      </c>
      <c r="C18463" s="74" t="s">
        <v>446</v>
      </c>
    </row>
    <row r="18464" spans="1:3">
      <c r="A18464" s="250">
        <v>44003</v>
      </c>
      <c r="B18464" s="74" t="s">
        <v>807</v>
      </c>
      <c r="C18464" s="74" t="s">
        <v>446</v>
      </c>
    </row>
    <row r="18465" spans="1:3">
      <c r="A18465" s="250">
        <v>44004</v>
      </c>
      <c r="B18465" s="74" t="s">
        <v>10290</v>
      </c>
      <c r="C18465" s="74" t="s">
        <v>446</v>
      </c>
    </row>
    <row r="18466" spans="1:3">
      <c r="A18466" s="250">
        <v>44005</v>
      </c>
      <c r="B18466" s="74" t="s">
        <v>10290</v>
      </c>
      <c r="C18466" s="74" t="s">
        <v>446</v>
      </c>
    </row>
    <row r="18467" spans="1:3">
      <c r="A18467" s="250">
        <v>44010</v>
      </c>
      <c r="B18467" s="74" t="s">
        <v>10291</v>
      </c>
      <c r="C18467" s="74" t="s">
        <v>446</v>
      </c>
    </row>
    <row r="18468" spans="1:3">
      <c r="A18468" s="250">
        <v>44011</v>
      </c>
      <c r="B18468" s="74" t="s">
        <v>935</v>
      </c>
      <c r="C18468" s="74" t="s">
        <v>446</v>
      </c>
    </row>
    <row r="18469" spans="1:3">
      <c r="A18469" s="250">
        <v>44012</v>
      </c>
      <c r="B18469" s="74" t="s">
        <v>10292</v>
      </c>
      <c r="C18469" s="74" t="s">
        <v>446</v>
      </c>
    </row>
    <row r="18470" spans="1:3">
      <c r="A18470" s="250">
        <v>44017</v>
      </c>
      <c r="B18470" s="74" t="s">
        <v>6931</v>
      </c>
      <c r="C18470" s="74" t="s">
        <v>446</v>
      </c>
    </row>
    <row r="18471" spans="1:3">
      <c r="A18471" s="250">
        <v>44021</v>
      </c>
      <c r="B18471" s="74" t="s">
        <v>6979</v>
      </c>
      <c r="C18471" s="74" t="s">
        <v>446</v>
      </c>
    </row>
    <row r="18472" spans="1:3">
      <c r="A18472" s="250">
        <v>44022</v>
      </c>
      <c r="B18472" s="74" t="s">
        <v>10293</v>
      </c>
      <c r="C18472" s="74" t="s">
        <v>446</v>
      </c>
    </row>
    <row r="18473" spans="1:3">
      <c r="A18473" s="250">
        <v>44023</v>
      </c>
      <c r="B18473" s="74" t="s">
        <v>10293</v>
      </c>
      <c r="C18473" s="74" t="s">
        <v>446</v>
      </c>
    </row>
    <row r="18474" spans="1:3">
      <c r="A18474" s="250">
        <v>44024</v>
      </c>
      <c r="B18474" s="74" t="s">
        <v>10294</v>
      </c>
      <c r="C18474" s="74" t="s">
        <v>446</v>
      </c>
    </row>
    <row r="18475" spans="1:3">
      <c r="A18475" s="250">
        <v>44026</v>
      </c>
      <c r="B18475" s="74" t="s">
        <v>10295</v>
      </c>
      <c r="C18475" s="74" t="s">
        <v>446</v>
      </c>
    </row>
    <row r="18476" spans="1:3">
      <c r="A18476" s="250">
        <v>44028</v>
      </c>
      <c r="B18476" s="74" t="s">
        <v>10296</v>
      </c>
      <c r="C18476" s="74" t="s">
        <v>446</v>
      </c>
    </row>
    <row r="18477" spans="1:3">
      <c r="A18477" s="250">
        <v>44030</v>
      </c>
      <c r="B18477" s="74" t="s">
        <v>10297</v>
      </c>
      <c r="C18477" s="74" t="s">
        <v>446</v>
      </c>
    </row>
    <row r="18478" spans="1:3">
      <c r="A18478" s="250">
        <v>44032</v>
      </c>
      <c r="B18478" s="74" t="s">
        <v>1772</v>
      </c>
      <c r="C18478" s="74" t="s">
        <v>446</v>
      </c>
    </row>
    <row r="18479" spans="1:3">
      <c r="A18479" s="250">
        <v>44033</v>
      </c>
      <c r="B18479" s="74" t="s">
        <v>10298</v>
      </c>
      <c r="C18479" s="74" t="s">
        <v>446</v>
      </c>
    </row>
    <row r="18480" spans="1:3">
      <c r="A18480" s="250">
        <v>44035</v>
      </c>
      <c r="B18480" s="74" t="s">
        <v>10299</v>
      </c>
      <c r="C18480" s="74" t="s">
        <v>446</v>
      </c>
    </row>
    <row r="18481" spans="1:3">
      <c r="A18481" s="250">
        <v>44036</v>
      </c>
      <c r="B18481" s="74" t="s">
        <v>10299</v>
      </c>
      <c r="C18481" s="74" t="s">
        <v>446</v>
      </c>
    </row>
    <row r="18482" spans="1:3">
      <c r="A18482" s="250">
        <v>44039</v>
      </c>
      <c r="B18482" s="74" t="s">
        <v>10300</v>
      </c>
      <c r="C18482" s="74" t="s">
        <v>446</v>
      </c>
    </row>
    <row r="18483" spans="1:3">
      <c r="A18483" s="250">
        <v>44040</v>
      </c>
      <c r="B18483" s="74" t="s">
        <v>10301</v>
      </c>
      <c r="C18483" s="74" t="s">
        <v>446</v>
      </c>
    </row>
    <row r="18484" spans="1:3">
      <c r="A18484" s="250">
        <v>44041</v>
      </c>
      <c r="B18484" s="74" t="s">
        <v>3776</v>
      </c>
      <c r="C18484" s="74" t="s">
        <v>446</v>
      </c>
    </row>
    <row r="18485" spans="1:3">
      <c r="A18485" s="250">
        <v>44044</v>
      </c>
      <c r="B18485" s="74" t="s">
        <v>737</v>
      </c>
      <c r="C18485" s="74" t="s">
        <v>446</v>
      </c>
    </row>
    <row r="18486" spans="1:3">
      <c r="A18486" s="250">
        <v>44045</v>
      </c>
      <c r="B18486" s="74" t="s">
        <v>10302</v>
      </c>
      <c r="C18486" s="74" t="s">
        <v>446</v>
      </c>
    </row>
    <row r="18487" spans="1:3">
      <c r="A18487" s="250">
        <v>44046</v>
      </c>
      <c r="B18487" s="74" t="s">
        <v>10303</v>
      </c>
      <c r="C18487" s="74" t="s">
        <v>446</v>
      </c>
    </row>
    <row r="18488" spans="1:3">
      <c r="A18488" s="250">
        <v>44047</v>
      </c>
      <c r="B18488" s="74" t="s">
        <v>740</v>
      </c>
      <c r="C18488" s="74" t="s">
        <v>446</v>
      </c>
    </row>
    <row r="18489" spans="1:3">
      <c r="A18489" s="250">
        <v>44048</v>
      </c>
      <c r="B18489" s="74" t="s">
        <v>5680</v>
      </c>
      <c r="C18489" s="74" t="s">
        <v>446</v>
      </c>
    </row>
    <row r="18490" spans="1:3">
      <c r="A18490" s="250">
        <v>44049</v>
      </c>
      <c r="B18490" s="74" t="s">
        <v>10304</v>
      </c>
      <c r="C18490" s="74" t="s">
        <v>446</v>
      </c>
    </row>
    <row r="18491" spans="1:3">
      <c r="A18491" s="250">
        <v>44050</v>
      </c>
      <c r="B18491" s="74" t="s">
        <v>1511</v>
      </c>
      <c r="C18491" s="74" t="s">
        <v>446</v>
      </c>
    </row>
    <row r="18492" spans="1:3">
      <c r="A18492" s="250">
        <v>44052</v>
      </c>
      <c r="B18492" s="74" t="s">
        <v>10305</v>
      </c>
      <c r="C18492" s="74" t="s">
        <v>446</v>
      </c>
    </row>
    <row r="18493" spans="1:3">
      <c r="A18493" s="250">
        <v>44053</v>
      </c>
      <c r="B18493" s="74" t="s">
        <v>10305</v>
      </c>
      <c r="C18493" s="74" t="s">
        <v>446</v>
      </c>
    </row>
    <row r="18494" spans="1:3">
      <c r="A18494" s="250">
        <v>44054</v>
      </c>
      <c r="B18494" s="74" t="s">
        <v>10306</v>
      </c>
      <c r="C18494" s="74" t="s">
        <v>446</v>
      </c>
    </row>
    <row r="18495" spans="1:3">
      <c r="A18495" s="250">
        <v>44055</v>
      </c>
      <c r="B18495" s="74" t="s">
        <v>10305</v>
      </c>
      <c r="C18495" s="74" t="s">
        <v>446</v>
      </c>
    </row>
    <row r="18496" spans="1:3">
      <c r="A18496" s="250">
        <v>44056</v>
      </c>
      <c r="B18496" s="74" t="s">
        <v>10307</v>
      </c>
      <c r="C18496" s="74" t="s">
        <v>446</v>
      </c>
    </row>
    <row r="18497" spans="1:3">
      <c r="A18497" s="250">
        <v>44057</v>
      </c>
      <c r="B18497" s="74" t="s">
        <v>1320</v>
      </c>
      <c r="C18497" s="74" t="s">
        <v>446</v>
      </c>
    </row>
    <row r="18498" spans="1:3">
      <c r="A18498" s="250">
        <v>44060</v>
      </c>
      <c r="B18498" s="74" t="s">
        <v>10308</v>
      </c>
      <c r="C18498" s="74" t="s">
        <v>446</v>
      </c>
    </row>
    <row r="18499" spans="1:3">
      <c r="A18499" s="250">
        <v>44061</v>
      </c>
      <c r="B18499" s="74" t="s">
        <v>10308</v>
      </c>
      <c r="C18499" s="74" t="s">
        <v>446</v>
      </c>
    </row>
    <row r="18500" spans="1:3">
      <c r="A18500" s="250">
        <v>44062</v>
      </c>
      <c r="B18500" s="74" t="s">
        <v>652</v>
      </c>
      <c r="C18500" s="74" t="s">
        <v>446</v>
      </c>
    </row>
    <row r="18501" spans="1:3">
      <c r="A18501" s="250">
        <v>44064</v>
      </c>
      <c r="B18501" s="74" t="s">
        <v>2018</v>
      </c>
      <c r="C18501" s="74" t="s">
        <v>446</v>
      </c>
    </row>
    <row r="18502" spans="1:3">
      <c r="A18502" s="250">
        <v>44065</v>
      </c>
      <c r="B18502" s="74" t="s">
        <v>852</v>
      </c>
      <c r="C18502" s="74" t="s">
        <v>446</v>
      </c>
    </row>
    <row r="18503" spans="1:3">
      <c r="A18503" s="250">
        <v>44067</v>
      </c>
      <c r="B18503" s="74" t="s">
        <v>688</v>
      </c>
      <c r="C18503" s="74" t="s">
        <v>446</v>
      </c>
    </row>
    <row r="18504" spans="1:3">
      <c r="A18504" s="250">
        <v>44068</v>
      </c>
      <c r="B18504" s="74" t="s">
        <v>10309</v>
      </c>
      <c r="C18504" s="74" t="s">
        <v>446</v>
      </c>
    </row>
    <row r="18505" spans="1:3">
      <c r="A18505" s="250">
        <v>44070</v>
      </c>
      <c r="B18505" s="74" t="s">
        <v>10310</v>
      </c>
      <c r="C18505" s="74" t="s">
        <v>446</v>
      </c>
    </row>
    <row r="18506" spans="1:3">
      <c r="A18506" s="250">
        <v>44072</v>
      </c>
      <c r="B18506" s="74" t="s">
        <v>10311</v>
      </c>
      <c r="C18506" s="74" t="s">
        <v>446</v>
      </c>
    </row>
    <row r="18507" spans="1:3">
      <c r="A18507" s="250">
        <v>44073</v>
      </c>
      <c r="B18507" s="74" t="s">
        <v>10311</v>
      </c>
      <c r="C18507" s="74" t="s">
        <v>446</v>
      </c>
    </row>
    <row r="18508" spans="1:3">
      <c r="A18508" s="250">
        <v>44074</v>
      </c>
      <c r="B18508" s="74" t="s">
        <v>10312</v>
      </c>
      <c r="C18508" s="74" t="s">
        <v>446</v>
      </c>
    </row>
    <row r="18509" spans="1:3">
      <c r="A18509" s="250">
        <v>44076</v>
      </c>
      <c r="B18509" s="74" t="s">
        <v>1883</v>
      </c>
      <c r="C18509" s="74" t="s">
        <v>446</v>
      </c>
    </row>
    <row r="18510" spans="1:3">
      <c r="A18510" s="250">
        <v>44077</v>
      </c>
      <c r="B18510" s="74" t="s">
        <v>10313</v>
      </c>
      <c r="C18510" s="74" t="s">
        <v>446</v>
      </c>
    </row>
    <row r="18511" spans="1:3">
      <c r="A18511" s="250">
        <v>44080</v>
      </c>
      <c r="B18511" s="74" t="s">
        <v>10314</v>
      </c>
      <c r="C18511" s="74" t="s">
        <v>446</v>
      </c>
    </row>
    <row r="18512" spans="1:3">
      <c r="A18512" s="250">
        <v>44081</v>
      </c>
      <c r="B18512" s="74" t="s">
        <v>1602</v>
      </c>
      <c r="C18512" s="74" t="s">
        <v>446</v>
      </c>
    </row>
    <row r="18513" spans="1:3">
      <c r="A18513" s="250">
        <v>44082</v>
      </c>
      <c r="B18513" s="74" t="s">
        <v>10315</v>
      </c>
      <c r="C18513" s="74" t="s">
        <v>446</v>
      </c>
    </row>
    <row r="18514" spans="1:3">
      <c r="A18514" s="250">
        <v>44084</v>
      </c>
      <c r="B18514" s="74" t="s">
        <v>6646</v>
      </c>
      <c r="C18514" s="74" t="s">
        <v>446</v>
      </c>
    </row>
    <row r="18515" spans="1:3">
      <c r="A18515" s="250">
        <v>44085</v>
      </c>
      <c r="B18515" s="74" t="s">
        <v>3492</v>
      </c>
      <c r="C18515" s="74" t="s">
        <v>446</v>
      </c>
    </row>
    <row r="18516" spans="1:3">
      <c r="A18516" s="250">
        <v>44086</v>
      </c>
      <c r="B18516" s="74" t="s">
        <v>2006</v>
      </c>
      <c r="C18516" s="74" t="s">
        <v>446</v>
      </c>
    </row>
    <row r="18517" spans="1:3">
      <c r="A18517" s="250">
        <v>44087</v>
      </c>
      <c r="B18517" s="74" t="s">
        <v>10316</v>
      </c>
      <c r="C18517" s="74" t="s">
        <v>446</v>
      </c>
    </row>
    <row r="18518" spans="1:3">
      <c r="A18518" s="250">
        <v>44088</v>
      </c>
      <c r="B18518" s="74" t="s">
        <v>1968</v>
      </c>
      <c r="C18518" s="74" t="s">
        <v>446</v>
      </c>
    </row>
    <row r="18519" spans="1:3">
      <c r="A18519" s="250">
        <v>44089</v>
      </c>
      <c r="B18519" s="74" t="s">
        <v>10317</v>
      </c>
      <c r="C18519" s="74" t="s">
        <v>446</v>
      </c>
    </row>
    <row r="18520" spans="1:3">
      <c r="A18520" s="250">
        <v>44090</v>
      </c>
      <c r="B18520" s="74" t="s">
        <v>8439</v>
      </c>
      <c r="C18520" s="74" t="s">
        <v>446</v>
      </c>
    </row>
    <row r="18521" spans="1:3">
      <c r="A18521" s="250">
        <v>44092</v>
      </c>
      <c r="B18521" s="74" t="s">
        <v>9954</v>
      </c>
      <c r="C18521" s="74" t="s">
        <v>446</v>
      </c>
    </row>
    <row r="18522" spans="1:3">
      <c r="A18522" s="250">
        <v>44093</v>
      </c>
      <c r="B18522" s="74" t="s">
        <v>10318</v>
      </c>
      <c r="C18522" s="74" t="s">
        <v>446</v>
      </c>
    </row>
    <row r="18523" spans="1:3">
      <c r="A18523" s="250">
        <v>44094</v>
      </c>
      <c r="B18523" s="74" t="s">
        <v>10319</v>
      </c>
      <c r="C18523" s="74" t="s">
        <v>446</v>
      </c>
    </row>
    <row r="18524" spans="1:3">
      <c r="A18524" s="250">
        <v>44095</v>
      </c>
      <c r="B18524" s="74" t="s">
        <v>10320</v>
      </c>
      <c r="C18524" s="74" t="s">
        <v>446</v>
      </c>
    </row>
    <row r="18525" spans="1:3">
      <c r="A18525" s="250">
        <v>44096</v>
      </c>
      <c r="B18525" s="74" t="s">
        <v>10319</v>
      </c>
      <c r="C18525" s="74" t="s">
        <v>446</v>
      </c>
    </row>
    <row r="18526" spans="1:3">
      <c r="A18526" s="250">
        <v>44097</v>
      </c>
      <c r="B18526" s="74" t="s">
        <v>10320</v>
      </c>
      <c r="C18526" s="74" t="s">
        <v>446</v>
      </c>
    </row>
    <row r="18527" spans="1:3">
      <c r="A18527" s="250">
        <v>44099</v>
      </c>
      <c r="B18527" s="74" t="s">
        <v>669</v>
      </c>
      <c r="C18527" s="74" t="s">
        <v>446</v>
      </c>
    </row>
    <row r="18528" spans="1:3">
      <c r="A18528" s="250">
        <v>44101</v>
      </c>
      <c r="B18528" s="74" t="s">
        <v>3350</v>
      </c>
      <c r="C18528" s="74" t="s">
        <v>446</v>
      </c>
    </row>
    <row r="18529" spans="1:3">
      <c r="A18529" s="250">
        <v>44102</v>
      </c>
      <c r="B18529" s="74" t="s">
        <v>3350</v>
      </c>
      <c r="C18529" s="74" t="s">
        <v>446</v>
      </c>
    </row>
    <row r="18530" spans="1:3">
      <c r="A18530" s="250">
        <v>44103</v>
      </c>
      <c r="B18530" s="74" t="s">
        <v>3350</v>
      </c>
      <c r="C18530" s="74" t="s">
        <v>446</v>
      </c>
    </row>
    <row r="18531" spans="1:3">
      <c r="A18531" s="250">
        <v>44104</v>
      </c>
      <c r="B18531" s="74" t="s">
        <v>3350</v>
      </c>
      <c r="C18531" s="74" t="s">
        <v>446</v>
      </c>
    </row>
    <row r="18532" spans="1:3">
      <c r="A18532" s="250">
        <v>44105</v>
      </c>
      <c r="B18532" s="74" t="s">
        <v>3350</v>
      </c>
      <c r="C18532" s="74" t="s">
        <v>446</v>
      </c>
    </row>
    <row r="18533" spans="1:3">
      <c r="A18533" s="250">
        <v>44106</v>
      </c>
      <c r="B18533" s="74" t="s">
        <v>3350</v>
      </c>
      <c r="C18533" s="74" t="s">
        <v>446</v>
      </c>
    </row>
    <row r="18534" spans="1:3">
      <c r="A18534" s="250">
        <v>44107</v>
      </c>
      <c r="B18534" s="74" t="s">
        <v>2535</v>
      </c>
      <c r="C18534" s="74" t="s">
        <v>446</v>
      </c>
    </row>
    <row r="18535" spans="1:3">
      <c r="A18535" s="250">
        <v>44108</v>
      </c>
      <c r="B18535" s="74" t="s">
        <v>3350</v>
      </c>
      <c r="C18535" s="74" t="s">
        <v>446</v>
      </c>
    </row>
    <row r="18536" spans="1:3">
      <c r="A18536" s="250">
        <v>44109</v>
      </c>
      <c r="B18536" s="74" t="s">
        <v>3350</v>
      </c>
      <c r="C18536" s="74" t="s">
        <v>446</v>
      </c>
    </row>
    <row r="18537" spans="1:3">
      <c r="A18537" s="250">
        <v>44110</v>
      </c>
      <c r="B18537" s="74" t="s">
        <v>3350</v>
      </c>
      <c r="C18537" s="74" t="s">
        <v>446</v>
      </c>
    </row>
    <row r="18538" spans="1:3">
      <c r="A18538" s="250">
        <v>44111</v>
      </c>
      <c r="B18538" s="74" t="s">
        <v>3350</v>
      </c>
      <c r="C18538" s="74" t="s">
        <v>446</v>
      </c>
    </row>
    <row r="18539" spans="1:3">
      <c r="A18539" s="250">
        <v>44112</v>
      </c>
      <c r="B18539" s="74" t="s">
        <v>3350</v>
      </c>
      <c r="C18539" s="74" t="s">
        <v>446</v>
      </c>
    </row>
    <row r="18540" spans="1:3">
      <c r="A18540" s="250">
        <v>44113</v>
      </c>
      <c r="B18540" s="74" t="s">
        <v>3350</v>
      </c>
      <c r="C18540" s="74" t="s">
        <v>446</v>
      </c>
    </row>
    <row r="18541" spans="1:3">
      <c r="A18541" s="250">
        <v>44114</v>
      </c>
      <c r="B18541" s="74" t="s">
        <v>3350</v>
      </c>
      <c r="C18541" s="74" t="s">
        <v>446</v>
      </c>
    </row>
    <row r="18542" spans="1:3">
      <c r="A18542" s="250">
        <v>44115</v>
      </c>
      <c r="B18542" s="74" t="s">
        <v>3350</v>
      </c>
      <c r="C18542" s="74" t="s">
        <v>446</v>
      </c>
    </row>
    <row r="18543" spans="1:3">
      <c r="A18543" s="250">
        <v>44116</v>
      </c>
      <c r="B18543" s="74" t="s">
        <v>10321</v>
      </c>
      <c r="C18543" s="74" t="s">
        <v>446</v>
      </c>
    </row>
    <row r="18544" spans="1:3">
      <c r="A18544" s="250">
        <v>44117</v>
      </c>
      <c r="B18544" s="74" t="s">
        <v>10322</v>
      </c>
      <c r="C18544" s="74" t="s">
        <v>446</v>
      </c>
    </row>
    <row r="18545" spans="1:3">
      <c r="A18545" s="250">
        <v>44118</v>
      </c>
      <c r="B18545" s="74" t="s">
        <v>3350</v>
      </c>
      <c r="C18545" s="74" t="s">
        <v>446</v>
      </c>
    </row>
    <row r="18546" spans="1:3">
      <c r="A18546" s="250">
        <v>44119</v>
      </c>
      <c r="B18546" s="74" t="s">
        <v>3350</v>
      </c>
      <c r="C18546" s="74" t="s">
        <v>446</v>
      </c>
    </row>
    <row r="18547" spans="1:3">
      <c r="A18547" s="250">
        <v>44120</v>
      </c>
      <c r="B18547" s="74" t="s">
        <v>3350</v>
      </c>
      <c r="C18547" s="74" t="s">
        <v>446</v>
      </c>
    </row>
    <row r="18548" spans="1:3">
      <c r="A18548" s="250">
        <v>44121</v>
      </c>
      <c r="B18548" s="74" t="s">
        <v>3350</v>
      </c>
      <c r="C18548" s="74" t="s">
        <v>446</v>
      </c>
    </row>
    <row r="18549" spans="1:3">
      <c r="A18549" s="250">
        <v>44122</v>
      </c>
      <c r="B18549" s="74" t="s">
        <v>2538</v>
      </c>
      <c r="C18549" s="74" t="s">
        <v>446</v>
      </c>
    </row>
    <row r="18550" spans="1:3">
      <c r="A18550" s="250">
        <v>44123</v>
      </c>
      <c r="B18550" s="74" t="s">
        <v>10322</v>
      </c>
      <c r="C18550" s="74" t="s">
        <v>446</v>
      </c>
    </row>
    <row r="18551" spans="1:3">
      <c r="A18551" s="250">
        <v>44124</v>
      </c>
      <c r="B18551" s="74" t="s">
        <v>3350</v>
      </c>
      <c r="C18551" s="74" t="s">
        <v>446</v>
      </c>
    </row>
    <row r="18552" spans="1:3">
      <c r="A18552" s="250">
        <v>44125</v>
      </c>
      <c r="B18552" s="74" t="s">
        <v>3350</v>
      </c>
      <c r="C18552" s="74" t="s">
        <v>446</v>
      </c>
    </row>
    <row r="18553" spans="1:3">
      <c r="A18553" s="250">
        <v>44126</v>
      </c>
      <c r="B18553" s="74" t="s">
        <v>3350</v>
      </c>
      <c r="C18553" s="74" t="s">
        <v>446</v>
      </c>
    </row>
    <row r="18554" spans="1:3">
      <c r="A18554" s="250">
        <v>44127</v>
      </c>
      <c r="B18554" s="74" t="s">
        <v>3350</v>
      </c>
      <c r="C18554" s="74" t="s">
        <v>446</v>
      </c>
    </row>
    <row r="18555" spans="1:3">
      <c r="A18555" s="250">
        <v>44128</v>
      </c>
      <c r="B18555" s="74" t="s">
        <v>3350</v>
      </c>
      <c r="C18555" s="74" t="s">
        <v>446</v>
      </c>
    </row>
    <row r="18556" spans="1:3">
      <c r="A18556" s="250">
        <v>44129</v>
      </c>
      <c r="B18556" s="74" t="s">
        <v>3350</v>
      </c>
      <c r="C18556" s="74" t="s">
        <v>446</v>
      </c>
    </row>
    <row r="18557" spans="1:3">
      <c r="A18557" s="250">
        <v>44130</v>
      </c>
      <c r="B18557" s="74" t="s">
        <v>3350</v>
      </c>
      <c r="C18557" s="74" t="s">
        <v>446</v>
      </c>
    </row>
    <row r="18558" spans="1:3">
      <c r="A18558" s="250">
        <v>44131</v>
      </c>
      <c r="B18558" s="74" t="s">
        <v>6364</v>
      </c>
      <c r="C18558" s="74" t="s">
        <v>446</v>
      </c>
    </row>
    <row r="18559" spans="1:3">
      <c r="A18559" s="250">
        <v>44132</v>
      </c>
      <c r="B18559" s="74" t="s">
        <v>10322</v>
      </c>
      <c r="C18559" s="74" t="s">
        <v>446</v>
      </c>
    </row>
    <row r="18560" spans="1:3">
      <c r="A18560" s="250">
        <v>44133</v>
      </c>
      <c r="B18560" s="74" t="s">
        <v>10323</v>
      </c>
      <c r="C18560" s="74" t="s">
        <v>446</v>
      </c>
    </row>
    <row r="18561" spans="1:3">
      <c r="A18561" s="250">
        <v>44134</v>
      </c>
      <c r="B18561" s="74" t="s">
        <v>3350</v>
      </c>
      <c r="C18561" s="74" t="s">
        <v>446</v>
      </c>
    </row>
    <row r="18562" spans="1:3">
      <c r="A18562" s="250">
        <v>44135</v>
      </c>
      <c r="B18562" s="74" t="s">
        <v>3350</v>
      </c>
      <c r="C18562" s="74" t="s">
        <v>446</v>
      </c>
    </row>
    <row r="18563" spans="1:3">
      <c r="A18563" s="250">
        <v>44136</v>
      </c>
      <c r="B18563" s="74" t="s">
        <v>10324</v>
      </c>
      <c r="C18563" s="74" t="s">
        <v>446</v>
      </c>
    </row>
    <row r="18564" spans="1:3">
      <c r="A18564" s="250">
        <v>44137</v>
      </c>
      <c r="B18564" s="74" t="s">
        <v>10325</v>
      </c>
      <c r="C18564" s="74" t="s">
        <v>446</v>
      </c>
    </row>
    <row r="18565" spans="1:3">
      <c r="A18565" s="250">
        <v>44138</v>
      </c>
      <c r="B18565" s="74" t="s">
        <v>10326</v>
      </c>
      <c r="C18565" s="74" t="s">
        <v>446</v>
      </c>
    </row>
    <row r="18566" spans="1:3">
      <c r="A18566" s="250">
        <v>44139</v>
      </c>
      <c r="B18566" s="74" t="s">
        <v>1719</v>
      </c>
      <c r="C18566" s="74" t="s">
        <v>446</v>
      </c>
    </row>
    <row r="18567" spans="1:3">
      <c r="A18567" s="250">
        <v>44140</v>
      </c>
      <c r="B18567" s="74" t="s">
        <v>10327</v>
      </c>
      <c r="C18567" s="74" t="s">
        <v>446</v>
      </c>
    </row>
    <row r="18568" spans="1:3">
      <c r="A18568" s="250">
        <v>44141</v>
      </c>
      <c r="B18568" s="74" t="s">
        <v>10328</v>
      </c>
      <c r="C18568" s="74" t="s">
        <v>446</v>
      </c>
    </row>
    <row r="18569" spans="1:3">
      <c r="A18569" s="250">
        <v>44142</v>
      </c>
      <c r="B18569" s="74" t="s">
        <v>10329</v>
      </c>
      <c r="C18569" s="74" t="s">
        <v>446</v>
      </c>
    </row>
    <row r="18570" spans="1:3">
      <c r="A18570" s="250">
        <v>44143</v>
      </c>
      <c r="B18570" s="74" t="s">
        <v>3350</v>
      </c>
      <c r="C18570" s="74" t="s">
        <v>446</v>
      </c>
    </row>
    <row r="18571" spans="1:3">
      <c r="A18571" s="250">
        <v>44144</v>
      </c>
      <c r="B18571" s="74" t="s">
        <v>3350</v>
      </c>
      <c r="C18571" s="74" t="s">
        <v>446</v>
      </c>
    </row>
    <row r="18572" spans="1:3">
      <c r="A18572" s="250">
        <v>44145</v>
      </c>
      <c r="B18572" s="74" t="s">
        <v>10330</v>
      </c>
      <c r="C18572" s="74" t="s">
        <v>446</v>
      </c>
    </row>
    <row r="18573" spans="1:3">
      <c r="A18573" s="250">
        <v>44146</v>
      </c>
      <c r="B18573" s="74" t="s">
        <v>783</v>
      </c>
      <c r="C18573" s="74" t="s">
        <v>446</v>
      </c>
    </row>
    <row r="18574" spans="1:3">
      <c r="A18574" s="250">
        <v>44147</v>
      </c>
      <c r="B18574" s="74" t="s">
        <v>10331</v>
      </c>
      <c r="C18574" s="74" t="s">
        <v>446</v>
      </c>
    </row>
    <row r="18575" spans="1:3">
      <c r="A18575" s="250">
        <v>44149</v>
      </c>
      <c r="B18575" s="74" t="s">
        <v>10324</v>
      </c>
      <c r="C18575" s="74" t="s">
        <v>446</v>
      </c>
    </row>
    <row r="18576" spans="1:3">
      <c r="A18576" s="250">
        <v>44178</v>
      </c>
      <c r="B18576" s="74" t="s">
        <v>3350</v>
      </c>
      <c r="C18576" s="74" t="s">
        <v>446</v>
      </c>
    </row>
    <row r="18577" spans="1:3">
      <c r="A18577" s="250">
        <v>44181</v>
      </c>
      <c r="B18577" s="74" t="s">
        <v>3350</v>
      </c>
      <c r="C18577" s="74" t="s">
        <v>446</v>
      </c>
    </row>
    <row r="18578" spans="1:3">
      <c r="A18578" s="250">
        <v>44185</v>
      </c>
      <c r="B18578" s="74" t="s">
        <v>3350</v>
      </c>
      <c r="C18578" s="74" t="s">
        <v>446</v>
      </c>
    </row>
    <row r="18579" spans="1:3">
      <c r="A18579" s="250">
        <v>44188</v>
      </c>
      <c r="B18579" s="74" t="s">
        <v>3350</v>
      </c>
      <c r="C18579" s="74" t="s">
        <v>446</v>
      </c>
    </row>
    <row r="18580" spans="1:3">
      <c r="A18580" s="250">
        <v>44189</v>
      </c>
      <c r="B18580" s="74" t="s">
        <v>3350</v>
      </c>
      <c r="C18580" s="74" t="s">
        <v>446</v>
      </c>
    </row>
    <row r="18581" spans="1:3">
      <c r="A18581" s="250">
        <v>44190</v>
      </c>
      <c r="B18581" s="74" t="s">
        <v>3350</v>
      </c>
      <c r="C18581" s="74" t="s">
        <v>446</v>
      </c>
    </row>
    <row r="18582" spans="1:3">
      <c r="A18582" s="250">
        <v>44191</v>
      </c>
      <c r="B18582" s="74" t="s">
        <v>3350</v>
      </c>
      <c r="C18582" s="74" t="s">
        <v>446</v>
      </c>
    </row>
    <row r="18583" spans="1:3">
      <c r="A18583" s="250">
        <v>44192</v>
      </c>
      <c r="B18583" s="74" t="s">
        <v>3350</v>
      </c>
      <c r="C18583" s="74" t="s">
        <v>446</v>
      </c>
    </row>
    <row r="18584" spans="1:3">
      <c r="A18584" s="250">
        <v>44193</v>
      </c>
      <c r="B18584" s="74" t="s">
        <v>3350</v>
      </c>
      <c r="C18584" s="74" t="s">
        <v>446</v>
      </c>
    </row>
    <row r="18585" spans="1:3">
      <c r="A18585" s="250">
        <v>44194</v>
      </c>
      <c r="B18585" s="74" t="s">
        <v>3350</v>
      </c>
      <c r="C18585" s="74" t="s">
        <v>446</v>
      </c>
    </row>
    <row r="18586" spans="1:3">
      <c r="A18586" s="250">
        <v>44195</v>
      </c>
      <c r="B18586" s="74" t="s">
        <v>3350</v>
      </c>
      <c r="C18586" s="74" t="s">
        <v>446</v>
      </c>
    </row>
    <row r="18587" spans="1:3">
      <c r="A18587" s="250">
        <v>44197</v>
      </c>
      <c r="B18587" s="74" t="s">
        <v>3350</v>
      </c>
      <c r="C18587" s="74" t="s">
        <v>446</v>
      </c>
    </row>
    <row r="18588" spans="1:3">
      <c r="A18588" s="250">
        <v>44198</v>
      </c>
      <c r="B18588" s="74" t="s">
        <v>3350</v>
      </c>
      <c r="C18588" s="74" t="s">
        <v>446</v>
      </c>
    </row>
    <row r="18589" spans="1:3">
      <c r="A18589" s="250">
        <v>44199</v>
      </c>
      <c r="B18589" s="74" t="s">
        <v>3350</v>
      </c>
      <c r="C18589" s="74" t="s">
        <v>446</v>
      </c>
    </row>
    <row r="18590" spans="1:3">
      <c r="A18590" s="250">
        <v>44201</v>
      </c>
      <c r="B18590" s="74" t="s">
        <v>10332</v>
      </c>
      <c r="C18590" s="74" t="s">
        <v>446</v>
      </c>
    </row>
    <row r="18591" spans="1:3">
      <c r="A18591" s="250">
        <v>44202</v>
      </c>
      <c r="B18591" s="74" t="s">
        <v>1489</v>
      </c>
      <c r="C18591" s="74" t="s">
        <v>446</v>
      </c>
    </row>
    <row r="18592" spans="1:3">
      <c r="A18592" s="250">
        <v>44203</v>
      </c>
      <c r="B18592" s="74" t="s">
        <v>10333</v>
      </c>
      <c r="C18592" s="74" t="s">
        <v>446</v>
      </c>
    </row>
    <row r="18593" spans="1:3">
      <c r="A18593" s="250">
        <v>44210</v>
      </c>
      <c r="B18593" s="74" t="s">
        <v>1269</v>
      </c>
      <c r="C18593" s="74" t="s">
        <v>446</v>
      </c>
    </row>
    <row r="18594" spans="1:3">
      <c r="A18594" s="250">
        <v>44211</v>
      </c>
      <c r="B18594" s="74" t="s">
        <v>10334</v>
      </c>
      <c r="C18594" s="74" t="s">
        <v>446</v>
      </c>
    </row>
    <row r="18595" spans="1:3">
      <c r="A18595" s="250">
        <v>44212</v>
      </c>
      <c r="B18595" s="74" t="s">
        <v>1370</v>
      </c>
      <c r="C18595" s="74" t="s">
        <v>446</v>
      </c>
    </row>
    <row r="18596" spans="1:3">
      <c r="A18596" s="250">
        <v>44214</v>
      </c>
      <c r="B18596" s="74" t="s">
        <v>10335</v>
      </c>
      <c r="C18596" s="74" t="s">
        <v>446</v>
      </c>
    </row>
    <row r="18597" spans="1:3">
      <c r="A18597" s="250">
        <v>44215</v>
      </c>
      <c r="B18597" s="74" t="s">
        <v>10336</v>
      </c>
      <c r="C18597" s="74" t="s">
        <v>446</v>
      </c>
    </row>
    <row r="18598" spans="1:3">
      <c r="A18598" s="250">
        <v>44216</v>
      </c>
      <c r="B18598" s="74" t="s">
        <v>732</v>
      </c>
      <c r="C18598" s="74" t="s">
        <v>446</v>
      </c>
    </row>
    <row r="18599" spans="1:3">
      <c r="A18599" s="250">
        <v>44217</v>
      </c>
      <c r="B18599" s="74" t="s">
        <v>6869</v>
      </c>
      <c r="C18599" s="74" t="s">
        <v>446</v>
      </c>
    </row>
    <row r="18600" spans="1:3">
      <c r="A18600" s="250">
        <v>44221</v>
      </c>
      <c r="B18600" s="74" t="s">
        <v>10337</v>
      </c>
      <c r="C18600" s="74" t="s">
        <v>446</v>
      </c>
    </row>
    <row r="18601" spans="1:3">
      <c r="A18601" s="250">
        <v>44222</v>
      </c>
      <c r="B18601" s="74" t="s">
        <v>10337</v>
      </c>
      <c r="C18601" s="74" t="s">
        <v>446</v>
      </c>
    </row>
    <row r="18602" spans="1:3">
      <c r="A18602" s="250">
        <v>44223</v>
      </c>
      <c r="B18602" s="74" t="s">
        <v>10337</v>
      </c>
      <c r="C18602" s="74" t="s">
        <v>446</v>
      </c>
    </row>
    <row r="18603" spans="1:3">
      <c r="A18603" s="250">
        <v>44224</v>
      </c>
      <c r="B18603" s="74" t="s">
        <v>801</v>
      </c>
      <c r="C18603" s="74" t="s">
        <v>446</v>
      </c>
    </row>
    <row r="18604" spans="1:3">
      <c r="A18604" s="250">
        <v>44230</v>
      </c>
      <c r="B18604" s="74" t="s">
        <v>5259</v>
      </c>
      <c r="C18604" s="74" t="s">
        <v>446</v>
      </c>
    </row>
    <row r="18605" spans="1:3">
      <c r="A18605" s="250">
        <v>44231</v>
      </c>
      <c r="B18605" s="74" t="s">
        <v>10338</v>
      </c>
      <c r="C18605" s="74" t="s">
        <v>446</v>
      </c>
    </row>
    <row r="18606" spans="1:3">
      <c r="A18606" s="250">
        <v>44232</v>
      </c>
      <c r="B18606" s="74" t="s">
        <v>10339</v>
      </c>
      <c r="C18606" s="74" t="s">
        <v>446</v>
      </c>
    </row>
    <row r="18607" spans="1:3">
      <c r="A18607" s="250">
        <v>44233</v>
      </c>
      <c r="B18607" s="74" t="s">
        <v>1698</v>
      </c>
      <c r="C18607" s="74" t="s">
        <v>446</v>
      </c>
    </row>
    <row r="18608" spans="1:3">
      <c r="A18608" s="250">
        <v>44234</v>
      </c>
      <c r="B18608" s="74" t="s">
        <v>1387</v>
      </c>
      <c r="C18608" s="74" t="s">
        <v>446</v>
      </c>
    </row>
    <row r="18609" spans="1:3">
      <c r="A18609" s="250">
        <v>44235</v>
      </c>
      <c r="B18609" s="74" t="s">
        <v>8150</v>
      </c>
      <c r="C18609" s="74" t="s">
        <v>446</v>
      </c>
    </row>
    <row r="18610" spans="1:3">
      <c r="A18610" s="250">
        <v>44236</v>
      </c>
      <c r="B18610" s="74" t="s">
        <v>792</v>
      </c>
      <c r="C18610" s="74" t="s">
        <v>446</v>
      </c>
    </row>
    <row r="18611" spans="1:3">
      <c r="A18611" s="250">
        <v>44237</v>
      </c>
      <c r="B18611" s="74" t="s">
        <v>792</v>
      </c>
      <c r="C18611" s="74" t="s">
        <v>446</v>
      </c>
    </row>
    <row r="18612" spans="1:3">
      <c r="A18612" s="250">
        <v>44240</v>
      </c>
      <c r="B18612" s="74" t="s">
        <v>2084</v>
      </c>
      <c r="C18612" s="74" t="s">
        <v>446</v>
      </c>
    </row>
    <row r="18613" spans="1:3">
      <c r="A18613" s="250">
        <v>44241</v>
      </c>
      <c r="B18613" s="74" t="s">
        <v>10340</v>
      </c>
      <c r="C18613" s="74" t="s">
        <v>446</v>
      </c>
    </row>
    <row r="18614" spans="1:3">
      <c r="A18614" s="250">
        <v>44242</v>
      </c>
      <c r="B18614" s="74" t="s">
        <v>2084</v>
      </c>
      <c r="C18614" s="74" t="s">
        <v>446</v>
      </c>
    </row>
    <row r="18615" spans="1:3">
      <c r="A18615" s="250">
        <v>44243</v>
      </c>
      <c r="B18615" s="74" t="s">
        <v>2084</v>
      </c>
      <c r="C18615" s="74" t="s">
        <v>446</v>
      </c>
    </row>
    <row r="18616" spans="1:3">
      <c r="A18616" s="250">
        <v>44250</v>
      </c>
      <c r="B18616" s="74" t="s">
        <v>10341</v>
      </c>
      <c r="C18616" s="74" t="s">
        <v>446</v>
      </c>
    </row>
    <row r="18617" spans="1:3">
      <c r="A18617" s="250">
        <v>44251</v>
      </c>
      <c r="B18617" s="74" t="s">
        <v>10342</v>
      </c>
      <c r="C18617" s="74" t="s">
        <v>446</v>
      </c>
    </row>
    <row r="18618" spans="1:3">
      <c r="A18618" s="250">
        <v>44253</v>
      </c>
      <c r="B18618" s="74" t="s">
        <v>1161</v>
      </c>
      <c r="C18618" s="74" t="s">
        <v>446</v>
      </c>
    </row>
    <row r="18619" spans="1:3">
      <c r="A18619" s="250">
        <v>44254</v>
      </c>
      <c r="B18619" s="74" t="s">
        <v>2238</v>
      </c>
      <c r="C18619" s="74" t="s">
        <v>446</v>
      </c>
    </row>
    <row r="18620" spans="1:3">
      <c r="A18620" s="250">
        <v>44255</v>
      </c>
      <c r="B18620" s="74" t="s">
        <v>2400</v>
      </c>
      <c r="C18620" s="74" t="s">
        <v>446</v>
      </c>
    </row>
    <row r="18621" spans="1:3">
      <c r="A18621" s="250">
        <v>44256</v>
      </c>
      <c r="B18621" s="74" t="s">
        <v>3719</v>
      </c>
      <c r="C18621" s="74" t="s">
        <v>446</v>
      </c>
    </row>
    <row r="18622" spans="1:3">
      <c r="A18622" s="250">
        <v>44258</v>
      </c>
      <c r="B18622" s="74" t="s">
        <v>3719</v>
      </c>
      <c r="C18622" s="74" t="s">
        <v>446</v>
      </c>
    </row>
    <row r="18623" spans="1:3">
      <c r="A18623" s="250">
        <v>44260</v>
      </c>
      <c r="B18623" s="74" t="s">
        <v>10343</v>
      </c>
      <c r="C18623" s="74" t="s">
        <v>446</v>
      </c>
    </row>
    <row r="18624" spans="1:3">
      <c r="A18624" s="250">
        <v>44262</v>
      </c>
      <c r="B18624" s="74" t="s">
        <v>10344</v>
      </c>
      <c r="C18624" s="74" t="s">
        <v>446</v>
      </c>
    </row>
    <row r="18625" spans="1:3">
      <c r="A18625" s="250">
        <v>44264</v>
      </c>
      <c r="B18625" s="74" t="s">
        <v>10345</v>
      </c>
      <c r="C18625" s="74" t="s">
        <v>446</v>
      </c>
    </row>
    <row r="18626" spans="1:3">
      <c r="A18626" s="250">
        <v>44265</v>
      </c>
      <c r="B18626" s="74" t="s">
        <v>960</v>
      </c>
      <c r="C18626" s="74" t="s">
        <v>446</v>
      </c>
    </row>
    <row r="18627" spans="1:3">
      <c r="A18627" s="250">
        <v>44266</v>
      </c>
      <c r="B18627" s="74" t="s">
        <v>9652</v>
      </c>
      <c r="C18627" s="74" t="s">
        <v>446</v>
      </c>
    </row>
    <row r="18628" spans="1:3">
      <c r="A18628" s="250">
        <v>44270</v>
      </c>
      <c r="B18628" s="74" t="s">
        <v>10346</v>
      </c>
      <c r="C18628" s="74" t="s">
        <v>446</v>
      </c>
    </row>
    <row r="18629" spans="1:3">
      <c r="A18629" s="250">
        <v>44272</v>
      </c>
      <c r="B18629" s="74" t="s">
        <v>10347</v>
      </c>
      <c r="C18629" s="74" t="s">
        <v>446</v>
      </c>
    </row>
    <row r="18630" spans="1:3">
      <c r="A18630" s="250">
        <v>44273</v>
      </c>
      <c r="B18630" s="74" t="s">
        <v>8098</v>
      </c>
      <c r="C18630" s="74" t="s">
        <v>446</v>
      </c>
    </row>
    <row r="18631" spans="1:3">
      <c r="A18631" s="250">
        <v>44274</v>
      </c>
      <c r="B18631" s="74" t="s">
        <v>10348</v>
      </c>
      <c r="C18631" s="74" t="s">
        <v>446</v>
      </c>
    </row>
    <row r="18632" spans="1:3">
      <c r="A18632" s="250">
        <v>44275</v>
      </c>
      <c r="B18632" s="74" t="s">
        <v>762</v>
      </c>
      <c r="C18632" s="74" t="s">
        <v>446</v>
      </c>
    </row>
    <row r="18633" spans="1:3">
      <c r="A18633" s="250">
        <v>44276</v>
      </c>
      <c r="B18633" s="74" t="s">
        <v>763</v>
      </c>
      <c r="C18633" s="74" t="s">
        <v>446</v>
      </c>
    </row>
    <row r="18634" spans="1:3">
      <c r="A18634" s="250">
        <v>44278</v>
      </c>
      <c r="B18634" s="74" t="s">
        <v>10349</v>
      </c>
      <c r="C18634" s="74" t="s">
        <v>446</v>
      </c>
    </row>
    <row r="18635" spans="1:3">
      <c r="A18635" s="250">
        <v>44280</v>
      </c>
      <c r="B18635" s="74" t="s">
        <v>10350</v>
      </c>
      <c r="C18635" s="74" t="s">
        <v>446</v>
      </c>
    </row>
    <row r="18636" spans="1:3">
      <c r="A18636" s="250">
        <v>44281</v>
      </c>
      <c r="B18636" s="74" t="s">
        <v>10351</v>
      </c>
      <c r="C18636" s="74" t="s">
        <v>446</v>
      </c>
    </row>
    <row r="18637" spans="1:3">
      <c r="A18637" s="250">
        <v>44282</v>
      </c>
      <c r="B18637" s="74" t="s">
        <v>10351</v>
      </c>
      <c r="C18637" s="74" t="s">
        <v>446</v>
      </c>
    </row>
    <row r="18638" spans="1:3">
      <c r="A18638" s="250">
        <v>44285</v>
      </c>
      <c r="B18638" s="74" t="s">
        <v>803</v>
      </c>
      <c r="C18638" s="74" t="s">
        <v>446</v>
      </c>
    </row>
    <row r="18639" spans="1:3">
      <c r="A18639" s="250">
        <v>44286</v>
      </c>
      <c r="B18639" s="74" t="s">
        <v>4750</v>
      </c>
      <c r="C18639" s="74" t="s">
        <v>446</v>
      </c>
    </row>
    <row r="18640" spans="1:3">
      <c r="A18640" s="250">
        <v>44287</v>
      </c>
      <c r="B18640" s="74" t="s">
        <v>10352</v>
      </c>
      <c r="C18640" s="74" t="s">
        <v>446</v>
      </c>
    </row>
    <row r="18641" spans="1:3">
      <c r="A18641" s="250">
        <v>44288</v>
      </c>
      <c r="B18641" s="74" t="s">
        <v>1174</v>
      </c>
      <c r="C18641" s="74" t="s">
        <v>446</v>
      </c>
    </row>
    <row r="18642" spans="1:3">
      <c r="A18642" s="250">
        <v>44301</v>
      </c>
      <c r="B18642" s="74" t="s">
        <v>3667</v>
      </c>
      <c r="C18642" s="74" t="s">
        <v>446</v>
      </c>
    </row>
    <row r="18643" spans="1:3">
      <c r="A18643" s="250">
        <v>44302</v>
      </c>
      <c r="B18643" s="74" t="s">
        <v>3667</v>
      </c>
      <c r="C18643" s="74" t="s">
        <v>446</v>
      </c>
    </row>
    <row r="18644" spans="1:3">
      <c r="A18644" s="250">
        <v>44303</v>
      </c>
      <c r="B18644" s="74" t="s">
        <v>3667</v>
      </c>
      <c r="C18644" s="74" t="s">
        <v>446</v>
      </c>
    </row>
    <row r="18645" spans="1:3">
      <c r="A18645" s="250">
        <v>44304</v>
      </c>
      <c r="B18645" s="74" t="s">
        <v>3667</v>
      </c>
      <c r="C18645" s="74" t="s">
        <v>446</v>
      </c>
    </row>
    <row r="18646" spans="1:3">
      <c r="A18646" s="250">
        <v>44305</v>
      </c>
      <c r="B18646" s="74" t="s">
        <v>3667</v>
      </c>
      <c r="C18646" s="74" t="s">
        <v>446</v>
      </c>
    </row>
    <row r="18647" spans="1:3">
      <c r="A18647" s="250">
        <v>44306</v>
      </c>
      <c r="B18647" s="74" t="s">
        <v>3667</v>
      </c>
      <c r="C18647" s="74" t="s">
        <v>446</v>
      </c>
    </row>
    <row r="18648" spans="1:3">
      <c r="A18648" s="250">
        <v>44307</v>
      </c>
      <c r="B18648" s="74" t="s">
        <v>3667</v>
      </c>
      <c r="C18648" s="74" t="s">
        <v>446</v>
      </c>
    </row>
    <row r="18649" spans="1:3">
      <c r="A18649" s="250">
        <v>44308</v>
      </c>
      <c r="B18649" s="74" t="s">
        <v>3667</v>
      </c>
      <c r="C18649" s="74" t="s">
        <v>446</v>
      </c>
    </row>
    <row r="18650" spans="1:3">
      <c r="A18650" s="250">
        <v>44309</v>
      </c>
      <c r="B18650" s="74" t="s">
        <v>3667</v>
      </c>
      <c r="C18650" s="74" t="s">
        <v>446</v>
      </c>
    </row>
    <row r="18651" spans="1:3">
      <c r="A18651" s="250">
        <v>44310</v>
      </c>
      <c r="B18651" s="74" t="s">
        <v>3667</v>
      </c>
      <c r="C18651" s="74" t="s">
        <v>446</v>
      </c>
    </row>
    <row r="18652" spans="1:3">
      <c r="A18652" s="250">
        <v>44311</v>
      </c>
      <c r="B18652" s="74" t="s">
        <v>3667</v>
      </c>
      <c r="C18652" s="74" t="s">
        <v>446</v>
      </c>
    </row>
    <row r="18653" spans="1:3">
      <c r="A18653" s="250">
        <v>44312</v>
      </c>
      <c r="B18653" s="74" t="s">
        <v>3667</v>
      </c>
      <c r="C18653" s="74" t="s">
        <v>446</v>
      </c>
    </row>
    <row r="18654" spans="1:3">
      <c r="A18654" s="250">
        <v>44313</v>
      </c>
      <c r="B18654" s="74" t="s">
        <v>3667</v>
      </c>
      <c r="C18654" s="74" t="s">
        <v>446</v>
      </c>
    </row>
    <row r="18655" spans="1:3">
      <c r="A18655" s="250">
        <v>44314</v>
      </c>
      <c r="B18655" s="74" t="s">
        <v>3667</v>
      </c>
      <c r="C18655" s="74" t="s">
        <v>446</v>
      </c>
    </row>
    <row r="18656" spans="1:3">
      <c r="A18656" s="250">
        <v>44315</v>
      </c>
      <c r="B18656" s="74" t="s">
        <v>3667</v>
      </c>
      <c r="C18656" s="74" t="s">
        <v>446</v>
      </c>
    </row>
    <row r="18657" spans="1:3">
      <c r="A18657" s="250">
        <v>44316</v>
      </c>
      <c r="B18657" s="74" t="s">
        <v>3667</v>
      </c>
      <c r="C18657" s="74" t="s">
        <v>446</v>
      </c>
    </row>
    <row r="18658" spans="1:3">
      <c r="A18658" s="250">
        <v>44317</v>
      </c>
      <c r="B18658" s="74" t="s">
        <v>3667</v>
      </c>
      <c r="C18658" s="74" t="s">
        <v>446</v>
      </c>
    </row>
    <row r="18659" spans="1:3">
      <c r="A18659" s="250">
        <v>44319</v>
      </c>
      <c r="B18659" s="74" t="s">
        <v>3667</v>
      </c>
      <c r="C18659" s="74" t="s">
        <v>446</v>
      </c>
    </row>
    <row r="18660" spans="1:3">
      <c r="A18660" s="250">
        <v>44320</v>
      </c>
      <c r="B18660" s="74" t="s">
        <v>3667</v>
      </c>
      <c r="C18660" s="74" t="s">
        <v>446</v>
      </c>
    </row>
    <row r="18661" spans="1:3">
      <c r="A18661" s="250">
        <v>44321</v>
      </c>
      <c r="B18661" s="74" t="s">
        <v>3667</v>
      </c>
      <c r="C18661" s="74" t="s">
        <v>446</v>
      </c>
    </row>
    <row r="18662" spans="1:3">
      <c r="A18662" s="250">
        <v>44322</v>
      </c>
      <c r="B18662" s="74" t="s">
        <v>3667</v>
      </c>
      <c r="C18662" s="74" t="s">
        <v>446</v>
      </c>
    </row>
    <row r="18663" spans="1:3">
      <c r="A18663" s="250">
        <v>44325</v>
      </c>
      <c r="B18663" s="74" t="s">
        <v>3667</v>
      </c>
      <c r="C18663" s="74" t="s">
        <v>446</v>
      </c>
    </row>
    <row r="18664" spans="1:3">
      <c r="A18664" s="250">
        <v>44326</v>
      </c>
      <c r="B18664" s="74" t="s">
        <v>3667</v>
      </c>
      <c r="C18664" s="74" t="s">
        <v>446</v>
      </c>
    </row>
    <row r="18665" spans="1:3">
      <c r="A18665" s="250">
        <v>44328</v>
      </c>
      <c r="B18665" s="74" t="s">
        <v>3667</v>
      </c>
      <c r="C18665" s="74" t="s">
        <v>446</v>
      </c>
    </row>
    <row r="18666" spans="1:3">
      <c r="A18666" s="250">
        <v>44333</v>
      </c>
      <c r="B18666" s="74" t="s">
        <v>3667</v>
      </c>
      <c r="C18666" s="74" t="s">
        <v>446</v>
      </c>
    </row>
    <row r="18667" spans="1:3">
      <c r="A18667" s="250">
        <v>44334</v>
      </c>
      <c r="B18667" s="74" t="s">
        <v>10353</v>
      </c>
      <c r="C18667" s="74" t="s">
        <v>446</v>
      </c>
    </row>
    <row r="18668" spans="1:3">
      <c r="A18668" s="250">
        <v>44372</v>
      </c>
      <c r="B18668" s="74" t="s">
        <v>3667</v>
      </c>
      <c r="C18668" s="74" t="s">
        <v>446</v>
      </c>
    </row>
    <row r="18669" spans="1:3">
      <c r="A18669" s="250">
        <v>44393</v>
      </c>
      <c r="B18669" s="74" t="s">
        <v>3667</v>
      </c>
      <c r="C18669" s="74" t="s">
        <v>446</v>
      </c>
    </row>
    <row r="18670" spans="1:3">
      <c r="A18670" s="250">
        <v>44396</v>
      </c>
      <c r="B18670" s="74" t="s">
        <v>3667</v>
      </c>
      <c r="C18670" s="74" t="s">
        <v>446</v>
      </c>
    </row>
    <row r="18671" spans="1:3">
      <c r="A18671" s="250">
        <v>44398</v>
      </c>
      <c r="B18671" s="74" t="s">
        <v>3667</v>
      </c>
      <c r="C18671" s="74" t="s">
        <v>446</v>
      </c>
    </row>
    <row r="18672" spans="1:3">
      <c r="A18672" s="250">
        <v>44399</v>
      </c>
      <c r="B18672" s="74" t="s">
        <v>3667</v>
      </c>
      <c r="C18672" s="74" t="s">
        <v>446</v>
      </c>
    </row>
    <row r="18673" spans="1:3">
      <c r="A18673" s="250">
        <v>44401</v>
      </c>
      <c r="B18673" s="74" t="s">
        <v>10354</v>
      </c>
      <c r="C18673" s="74" t="s">
        <v>446</v>
      </c>
    </row>
    <row r="18674" spans="1:3">
      <c r="A18674" s="250">
        <v>44402</v>
      </c>
      <c r="B18674" s="74" t="s">
        <v>10355</v>
      </c>
      <c r="C18674" s="74" t="s">
        <v>446</v>
      </c>
    </row>
    <row r="18675" spans="1:3">
      <c r="A18675" s="250">
        <v>44403</v>
      </c>
      <c r="B18675" s="74" t="s">
        <v>728</v>
      </c>
      <c r="C18675" s="74" t="s">
        <v>446</v>
      </c>
    </row>
    <row r="18676" spans="1:3">
      <c r="A18676" s="250">
        <v>44404</v>
      </c>
      <c r="B18676" s="74" t="s">
        <v>10356</v>
      </c>
      <c r="C18676" s="74" t="s">
        <v>446</v>
      </c>
    </row>
    <row r="18677" spans="1:3">
      <c r="A18677" s="250">
        <v>44405</v>
      </c>
      <c r="B18677" s="74" t="s">
        <v>3904</v>
      </c>
      <c r="C18677" s="74" t="s">
        <v>446</v>
      </c>
    </row>
    <row r="18678" spans="1:3">
      <c r="A18678" s="250">
        <v>44406</v>
      </c>
      <c r="B18678" s="74" t="s">
        <v>10357</v>
      </c>
      <c r="C18678" s="74" t="s">
        <v>446</v>
      </c>
    </row>
    <row r="18679" spans="1:3">
      <c r="A18679" s="250">
        <v>44408</v>
      </c>
      <c r="B18679" s="74" t="s">
        <v>8631</v>
      </c>
      <c r="C18679" s="74" t="s">
        <v>446</v>
      </c>
    </row>
    <row r="18680" spans="1:3">
      <c r="A18680" s="250">
        <v>44410</v>
      </c>
      <c r="B18680" s="74" t="s">
        <v>3353</v>
      </c>
      <c r="C18680" s="74" t="s">
        <v>446</v>
      </c>
    </row>
    <row r="18681" spans="1:3">
      <c r="A18681" s="250">
        <v>44411</v>
      </c>
      <c r="B18681" s="74" t="s">
        <v>678</v>
      </c>
      <c r="C18681" s="74" t="s">
        <v>446</v>
      </c>
    </row>
    <row r="18682" spans="1:3">
      <c r="A18682" s="250">
        <v>44412</v>
      </c>
      <c r="B18682" s="74" t="s">
        <v>10358</v>
      </c>
      <c r="C18682" s="74" t="s">
        <v>446</v>
      </c>
    </row>
    <row r="18683" spans="1:3">
      <c r="A18683" s="250">
        <v>44413</v>
      </c>
      <c r="B18683" s="74" t="s">
        <v>10359</v>
      </c>
      <c r="C18683" s="74" t="s">
        <v>446</v>
      </c>
    </row>
    <row r="18684" spans="1:3">
      <c r="A18684" s="250">
        <v>44415</v>
      </c>
      <c r="B18684" s="74" t="s">
        <v>5864</v>
      </c>
      <c r="C18684" s="74" t="s">
        <v>446</v>
      </c>
    </row>
    <row r="18685" spans="1:3">
      <c r="A18685" s="250">
        <v>44416</v>
      </c>
      <c r="B18685" s="74" t="s">
        <v>1563</v>
      </c>
      <c r="C18685" s="74" t="s">
        <v>446</v>
      </c>
    </row>
    <row r="18686" spans="1:3">
      <c r="A18686" s="250">
        <v>44417</v>
      </c>
      <c r="B18686" s="74" t="s">
        <v>10360</v>
      </c>
      <c r="C18686" s="74" t="s">
        <v>446</v>
      </c>
    </row>
    <row r="18687" spans="1:3">
      <c r="A18687" s="250">
        <v>44418</v>
      </c>
      <c r="B18687" s="74" t="s">
        <v>10361</v>
      </c>
      <c r="C18687" s="74" t="s">
        <v>446</v>
      </c>
    </row>
    <row r="18688" spans="1:3">
      <c r="A18688" s="250">
        <v>44420</v>
      </c>
      <c r="B18688" s="74" t="s">
        <v>4512</v>
      </c>
      <c r="C18688" s="74" t="s">
        <v>446</v>
      </c>
    </row>
    <row r="18689" spans="1:3">
      <c r="A18689" s="250">
        <v>44422</v>
      </c>
      <c r="B18689" s="74" t="s">
        <v>10362</v>
      </c>
      <c r="C18689" s="74" t="s">
        <v>446</v>
      </c>
    </row>
    <row r="18690" spans="1:3">
      <c r="A18690" s="250">
        <v>44423</v>
      </c>
      <c r="B18690" s="74" t="s">
        <v>10363</v>
      </c>
      <c r="C18690" s="74" t="s">
        <v>446</v>
      </c>
    </row>
    <row r="18691" spans="1:3">
      <c r="A18691" s="250">
        <v>44424</v>
      </c>
      <c r="B18691" s="74" t="s">
        <v>1737</v>
      </c>
      <c r="C18691" s="74" t="s">
        <v>446</v>
      </c>
    </row>
    <row r="18692" spans="1:3">
      <c r="A18692" s="250">
        <v>44425</v>
      </c>
      <c r="B18692" s="74" t="s">
        <v>10364</v>
      </c>
      <c r="C18692" s="74" t="s">
        <v>446</v>
      </c>
    </row>
    <row r="18693" spans="1:3">
      <c r="A18693" s="250">
        <v>44427</v>
      </c>
      <c r="B18693" s="74" t="s">
        <v>5644</v>
      </c>
      <c r="C18693" s="74" t="s">
        <v>446</v>
      </c>
    </row>
    <row r="18694" spans="1:3">
      <c r="A18694" s="250">
        <v>44428</v>
      </c>
      <c r="B18694" s="74" t="s">
        <v>10365</v>
      </c>
      <c r="C18694" s="74" t="s">
        <v>446</v>
      </c>
    </row>
    <row r="18695" spans="1:3">
      <c r="A18695" s="250">
        <v>44429</v>
      </c>
      <c r="B18695" s="74" t="s">
        <v>10366</v>
      </c>
      <c r="C18695" s="74" t="s">
        <v>446</v>
      </c>
    </row>
    <row r="18696" spans="1:3">
      <c r="A18696" s="250">
        <v>44430</v>
      </c>
      <c r="B18696" s="74" t="s">
        <v>10367</v>
      </c>
      <c r="C18696" s="74" t="s">
        <v>446</v>
      </c>
    </row>
    <row r="18697" spans="1:3">
      <c r="A18697" s="250">
        <v>44431</v>
      </c>
      <c r="B18697" s="74" t="s">
        <v>10368</v>
      </c>
      <c r="C18697" s="74" t="s">
        <v>446</v>
      </c>
    </row>
    <row r="18698" spans="1:3">
      <c r="A18698" s="250">
        <v>44432</v>
      </c>
      <c r="B18698" s="74" t="s">
        <v>1254</v>
      </c>
      <c r="C18698" s="74" t="s">
        <v>446</v>
      </c>
    </row>
    <row r="18699" spans="1:3">
      <c r="A18699" s="250">
        <v>44436</v>
      </c>
      <c r="B18699" s="74" t="s">
        <v>10369</v>
      </c>
      <c r="C18699" s="74" t="s">
        <v>446</v>
      </c>
    </row>
    <row r="18700" spans="1:3">
      <c r="A18700" s="250">
        <v>44437</v>
      </c>
      <c r="B18700" s="74" t="s">
        <v>3993</v>
      </c>
      <c r="C18700" s="74" t="s">
        <v>446</v>
      </c>
    </row>
    <row r="18701" spans="1:3">
      <c r="A18701" s="250">
        <v>44438</v>
      </c>
      <c r="B18701" s="74" t="s">
        <v>10370</v>
      </c>
      <c r="C18701" s="74" t="s">
        <v>446</v>
      </c>
    </row>
    <row r="18702" spans="1:3">
      <c r="A18702" s="250">
        <v>44439</v>
      </c>
      <c r="B18702" s="74" t="s">
        <v>10371</v>
      </c>
      <c r="C18702" s="74" t="s">
        <v>446</v>
      </c>
    </row>
    <row r="18703" spans="1:3">
      <c r="A18703" s="250">
        <v>44440</v>
      </c>
      <c r="B18703" s="74" t="s">
        <v>10372</v>
      </c>
      <c r="C18703" s="74" t="s">
        <v>446</v>
      </c>
    </row>
    <row r="18704" spans="1:3">
      <c r="A18704" s="250">
        <v>44441</v>
      </c>
      <c r="B18704" s="74" t="s">
        <v>10373</v>
      </c>
      <c r="C18704" s="74" t="s">
        <v>446</v>
      </c>
    </row>
    <row r="18705" spans="1:3">
      <c r="A18705" s="250">
        <v>44442</v>
      </c>
      <c r="B18705" s="74" t="s">
        <v>10374</v>
      </c>
      <c r="C18705" s="74" t="s">
        <v>446</v>
      </c>
    </row>
    <row r="18706" spans="1:3">
      <c r="A18706" s="250">
        <v>44443</v>
      </c>
      <c r="B18706" s="74" t="s">
        <v>10375</v>
      </c>
      <c r="C18706" s="74" t="s">
        <v>446</v>
      </c>
    </row>
    <row r="18707" spans="1:3">
      <c r="A18707" s="250">
        <v>44444</v>
      </c>
      <c r="B18707" s="74" t="s">
        <v>3567</v>
      </c>
      <c r="C18707" s="74" t="s">
        <v>446</v>
      </c>
    </row>
    <row r="18708" spans="1:3">
      <c r="A18708" s="250">
        <v>44445</v>
      </c>
      <c r="B18708" s="74" t="s">
        <v>10376</v>
      </c>
      <c r="C18708" s="74" t="s">
        <v>446</v>
      </c>
    </row>
    <row r="18709" spans="1:3">
      <c r="A18709" s="250">
        <v>44446</v>
      </c>
      <c r="B18709" s="74" t="s">
        <v>10377</v>
      </c>
      <c r="C18709" s="74" t="s">
        <v>446</v>
      </c>
    </row>
    <row r="18710" spans="1:3">
      <c r="A18710" s="250">
        <v>44449</v>
      </c>
      <c r="B18710" s="74" t="s">
        <v>10378</v>
      </c>
      <c r="C18710" s="74" t="s">
        <v>446</v>
      </c>
    </row>
    <row r="18711" spans="1:3">
      <c r="A18711" s="250">
        <v>44450</v>
      </c>
      <c r="B18711" s="74" t="s">
        <v>10379</v>
      </c>
      <c r="C18711" s="74" t="s">
        <v>446</v>
      </c>
    </row>
    <row r="18712" spans="1:3">
      <c r="A18712" s="250">
        <v>44451</v>
      </c>
      <c r="B18712" s="74" t="s">
        <v>10380</v>
      </c>
      <c r="C18712" s="74" t="s">
        <v>446</v>
      </c>
    </row>
    <row r="18713" spans="1:3">
      <c r="A18713" s="250">
        <v>44452</v>
      </c>
      <c r="B18713" s="74" t="s">
        <v>10381</v>
      </c>
      <c r="C18713" s="74" t="s">
        <v>446</v>
      </c>
    </row>
    <row r="18714" spans="1:3">
      <c r="A18714" s="250">
        <v>44453</v>
      </c>
      <c r="B18714" s="74" t="s">
        <v>4965</v>
      </c>
      <c r="C18714" s="74" t="s">
        <v>446</v>
      </c>
    </row>
    <row r="18715" spans="1:3">
      <c r="A18715" s="250">
        <v>44454</v>
      </c>
      <c r="B18715" s="74" t="s">
        <v>2988</v>
      </c>
      <c r="C18715" s="74" t="s">
        <v>446</v>
      </c>
    </row>
    <row r="18716" spans="1:3">
      <c r="A18716" s="250">
        <v>44455</v>
      </c>
      <c r="B18716" s="74" t="s">
        <v>2002</v>
      </c>
      <c r="C18716" s="74" t="s">
        <v>446</v>
      </c>
    </row>
    <row r="18717" spans="1:3">
      <c r="A18717" s="250">
        <v>44460</v>
      </c>
      <c r="B18717" s="74" t="s">
        <v>858</v>
      </c>
      <c r="C18717" s="74" t="s">
        <v>446</v>
      </c>
    </row>
    <row r="18718" spans="1:3">
      <c r="A18718" s="250">
        <v>44470</v>
      </c>
      <c r="B18718" s="74" t="s">
        <v>2070</v>
      </c>
      <c r="C18718" s="74" t="s">
        <v>446</v>
      </c>
    </row>
    <row r="18719" spans="1:3">
      <c r="A18719" s="250">
        <v>44471</v>
      </c>
      <c r="B18719" s="74" t="s">
        <v>10382</v>
      </c>
      <c r="C18719" s="74" t="s">
        <v>446</v>
      </c>
    </row>
    <row r="18720" spans="1:3">
      <c r="A18720" s="250">
        <v>44473</v>
      </c>
      <c r="B18720" s="74" t="s">
        <v>1486</v>
      </c>
      <c r="C18720" s="74" t="s">
        <v>446</v>
      </c>
    </row>
    <row r="18721" spans="1:3">
      <c r="A18721" s="250">
        <v>44481</v>
      </c>
      <c r="B18721" s="74" t="s">
        <v>622</v>
      </c>
      <c r="C18721" s="74" t="s">
        <v>446</v>
      </c>
    </row>
    <row r="18722" spans="1:3">
      <c r="A18722" s="250">
        <v>44482</v>
      </c>
      <c r="B18722" s="74" t="s">
        <v>622</v>
      </c>
      <c r="C18722" s="74" t="s">
        <v>446</v>
      </c>
    </row>
    <row r="18723" spans="1:3">
      <c r="A18723" s="250">
        <v>44483</v>
      </c>
      <c r="B18723" s="74" t="s">
        <v>622</v>
      </c>
      <c r="C18723" s="74" t="s">
        <v>446</v>
      </c>
    </row>
    <row r="18724" spans="1:3">
      <c r="A18724" s="250">
        <v>44484</v>
      </c>
      <c r="B18724" s="74" t="s">
        <v>622</v>
      </c>
      <c r="C18724" s="74" t="s">
        <v>446</v>
      </c>
    </row>
    <row r="18725" spans="1:3">
      <c r="A18725" s="250">
        <v>44485</v>
      </c>
      <c r="B18725" s="74" t="s">
        <v>622</v>
      </c>
      <c r="C18725" s="74" t="s">
        <v>446</v>
      </c>
    </row>
    <row r="18726" spans="1:3">
      <c r="A18726" s="250">
        <v>44486</v>
      </c>
      <c r="B18726" s="74" t="s">
        <v>622</v>
      </c>
      <c r="C18726" s="74" t="s">
        <v>446</v>
      </c>
    </row>
    <row r="18727" spans="1:3">
      <c r="A18727" s="250">
        <v>44488</v>
      </c>
      <c r="B18727" s="74" t="s">
        <v>622</v>
      </c>
      <c r="C18727" s="74" t="s">
        <v>446</v>
      </c>
    </row>
    <row r="18728" spans="1:3">
      <c r="A18728" s="250">
        <v>44490</v>
      </c>
      <c r="B18728" s="74" t="s">
        <v>2717</v>
      </c>
      <c r="C18728" s="74" t="s">
        <v>446</v>
      </c>
    </row>
    <row r="18729" spans="1:3">
      <c r="A18729" s="250">
        <v>44491</v>
      </c>
      <c r="B18729" s="74" t="s">
        <v>1726</v>
      </c>
      <c r="C18729" s="74" t="s">
        <v>446</v>
      </c>
    </row>
    <row r="18730" spans="1:3">
      <c r="A18730" s="250">
        <v>44492</v>
      </c>
      <c r="B18730" s="74" t="s">
        <v>2720</v>
      </c>
      <c r="C18730" s="74" t="s">
        <v>446</v>
      </c>
    </row>
    <row r="18731" spans="1:3">
      <c r="A18731" s="250">
        <v>44493</v>
      </c>
      <c r="B18731" s="74" t="s">
        <v>6832</v>
      </c>
      <c r="C18731" s="74" t="s">
        <v>446</v>
      </c>
    </row>
    <row r="18732" spans="1:3">
      <c r="A18732" s="250">
        <v>44501</v>
      </c>
      <c r="B18732" s="74" t="s">
        <v>3750</v>
      </c>
      <c r="C18732" s="74" t="s">
        <v>446</v>
      </c>
    </row>
    <row r="18733" spans="1:3">
      <c r="A18733" s="250">
        <v>44502</v>
      </c>
      <c r="B18733" s="74" t="s">
        <v>3750</v>
      </c>
      <c r="C18733" s="74" t="s">
        <v>446</v>
      </c>
    </row>
    <row r="18734" spans="1:3">
      <c r="A18734" s="250">
        <v>44503</v>
      </c>
      <c r="B18734" s="74" t="s">
        <v>3750</v>
      </c>
      <c r="C18734" s="74" t="s">
        <v>446</v>
      </c>
    </row>
    <row r="18735" spans="1:3">
      <c r="A18735" s="250">
        <v>44504</v>
      </c>
      <c r="B18735" s="74" t="s">
        <v>3750</v>
      </c>
      <c r="C18735" s="74" t="s">
        <v>446</v>
      </c>
    </row>
    <row r="18736" spans="1:3">
      <c r="A18736" s="250">
        <v>44505</v>
      </c>
      <c r="B18736" s="74" t="s">
        <v>3750</v>
      </c>
      <c r="C18736" s="74" t="s">
        <v>446</v>
      </c>
    </row>
    <row r="18737" spans="1:3">
      <c r="A18737" s="250">
        <v>44506</v>
      </c>
      <c r="B18737" s="74" t="s">
        <v>3750</v>
      </c>
      <c r="C18737" s="74" t="s">
        <v>446</v>
      </c>
    </row>
    <row r="18738" spans="1:3">
      <c r="A18738" s="250">
        <v>44507</v>
      </c>
      <c r="B18738" s="74" t="s">
        <v>3750</v>
      </c>
      <c r="C18738" s="74" t="s">
        <v>446</v>
      </c>
    </row>
    <row r="18739" spans="1:3">
      <c r="A18739" s="250">
        <v>44509</v>
      </c>
      <c r="B18739" s="74" t="s">
        <v>3750</v>
      </c>
      <c r="C18739" s="74" t="s">
        <v>446</v>
      </c>
    </row>
    <row r="18740" spans="1:3">
      <c r="A18740" s="250">
        <v>44510</v>
      </c>
      <c r="B18740" s="74" t="s">
        <v>3750</v>
      </c>
      <c r="C18740" s="74" t="s">
        <v>446</v>
      </c>
    </row>
    <row r="18741" spans="1:3">
      <c r="A18741" s="250">
        <v>44511</v>
      </c>
      <c r="B18741" s="74" t="s">
        <v>3750</v>
      </c>
      <c r="C18741" s="74" t="s">
        <v>446</v>
      </c>
    </row>
    <row r="18742" spans="1:3">
      <c r="A18742" s="250">
        <v>44512</v>
      </c>
      <c r="B18742" s="74" t="s">
        <v>3750</v>
      </c>
      <c r="C18742" s="74" t="s">
        <v>446</v>
      </c>
    </row>
    <row r="18743" spans="1:3">
      <c r="A18743" s="250">
        <v>44513</v>
      </c>
      <c r="B18743" s="74" t="s">
        <v>3750</v>
      </c>
      <c r="C18743" s="74" t="s">
        <v>446</v>
      </c>
    </row>
    <row r="18744" spans="1:3">
      <c r="A18744" s="250">
        <v>44514</v>
      </c>
      <c r="B18744" s="74" t="s">
        <v>3750</v>
      </c>
      <c r="C18744" s="74" t="s">
        <v>446</v>
      </c>
    </row>
    <row r="18745" spans="1:3">
      <c r="A18745" s="250">
        <v>44515</v>
      </c>
      <c r="B18745" s="74" t="s">
        <v>3750</v>
      </c>
      <c r="C18745" s="74" t="s">
        <v>446</v>
      </c>
    </row>
    <row r="18746" spans="1:3">
      <c r="A18746" s="250">
        <v>44555</v>
      </c>
      <c r="B18746" s="74" t="s">
        <v>3750</v>
      </c>
      <c r="C18746" s="74" t="s">
        <v>446</v>
      </c>
    </row>
    <row r="18747" spans="1:3">
      <c r="A18747" s="250">
        <v>44601</v>
      </c>
      <c r="B18747" s="74" t="s">
        <v>7424</v>
      </c>
      <c r="C18747" s="74" t="s">
        <v>446</v>
      </c>
    </row>
    <row r="18748" spans="1:3">
      <c r="A18748" s="250">
        <v>44606</v>
      </c>
      <c r="B18748" s="74" t="s">
        <v>10383</v>
      </c>
      <c r="C18748" s="74" t="s">
        <v>446</v>
      </c>
    </row>
    <row r="18749" spans="1:3">
      <c r="A18749" s="250">
        <v>44607</v>
      </c>
      <c r="B18749" s="74" t="s">
        <v>1473</v>
      </c>
      <c r="C18749" s="74" t="s">
        <v>446</v>
      </c>
    </row>
    <row r="18750" spans="1:3">
      <c r="A18750" s="250">
        <v>44608</v>
      </c>
      <c r="B18750" s="74" t="s">
        <v>10384</v>
      </c>
      <c r="C18750" s="74" t="s">
        <v>446</v>
      </c>
    </row>
    <row r="18751" spans="1:3">
      <c r="A18751" s="250">
        <v>44609</v>
      </c>
      <c r="B18751" s="74" t="s">
        <v>10385</v>
      </c>
      <c r="C18751" s="74" t="s">
        <v>446</v>
      </c>
    </row>
    <row r="18752" spans="1:3">
      <c r="A18752" s="250">
        <v>44610</v>
      </c>
      <c r="B18752" s="74" t="s">
        <v>725</v>
      </c>
      <c r="C18752" s="74" t="s">
        <v>446</v>
      </c>
    </row>
    <row r="18753" spans="1:3">
      <c r="A18753" s="250">
        <v>44611</v>
      </c>
      <c r="B18753" s="74" t="s">
        <v>10386</v>
      </c>
      <c r="C18753" s="74" t="s">
        <v>446</v>
      </c>
    </row>
    <row r="18754" spans="1:3">
      <c r="A18754" s="250">
        <v>44612</v>
      </c>
      <c r="B18754" s="74" t="s">
        <v>3846</v>
      </c>
      <c r="C18754" s="74" t="s">
        <v>446</v>
      </c>
    </row>
    <row r="18755" spans="1:3">
      <c r="A18755" s="250">
        <v>44613</v>
      </c>
      <c r="B18755" s="74" t="s">
        <v>1023</v>
      </c>
      <c r="C18755" s="74" t="s">
        <v>446</v>
      </c>
    </row>
    <row r="18756" spans="1:3">
      <c r="A18756" s="250">
        <v>44614</v>
      </c>
      <c r="B18756" s="74" t="s">
        <v>10387</v>
      </c>
      <c r="C18756" s="74" t="s">
        <v>446</v>
      </c>
    </row>
    <row r="18757" spans="1:3">
      <c r="A18757" s="250">
        <v>44615</v>
      </c>
      <c r="B18757" s="74" t="s">
        <v>6129</v>
      </c>
      <c r="C18757" s="74" t="s">
        <v>446</v>
      </c>
    </row>
    <row r="18758" spans="1:3">
      <c r="A18758" s="250">
        <v>44617</v>
      </c>
      <c r="B18758" s="74" t="s">
        <v>10388</v>
      </c>
      <c r="C18758" s="74" t="s">
        <v>446</v>
      </c>
    </row>
    <row r="18759" spans="1:3">
      <c r="A18759" s="250">
        <v>44618</v>
      </c>
      <c r="B18759" s="74" t="s">
        <v>643</v>
      </c>
      <c r="C18759" s="74" t="s">
        <v>446</v>
      </c>
    </row>
    <row r="18760" spans="1:3">
      <c r="A18760" s="250">
        <v>44619</v>
      </c>
      <c r="B18760" s="74" t="s">
        <v>5154</v>
      </c>
      <c r="C18760" s="74" t="s">
        <v>446</v>
      </c>
    </row>
    <row r="18761" spans="1:3">
      <c r="A18761" s="250">
        <v>44620</v>
      </c>
      <c r="B18761" s="74" t="s">
        <v>10389</v>
      </c>
      <c r="C18761" s="74" t="s">
        <v>446</v>
      </c>
    </row>
    <row r="18762" spans="1:3">
      <c r="A18762" s="250">
        <v>44621</v>
      </c>
      <c r="B18762" s="74" t="s">
        <v>10390</v>
      </c>
      <c r="C18762" s="74" t="s">
        <v>446</v>
      </c>
    </row>
    <row r="18763" spans="1:3">
      <c r="A18763" s="250">
        <v>44622</v>
      </c>
      <c r="B18763" s="74" t="s">
        <v>869</v>
      </c>
      <c r="C18763" s="74" t="s">
        <v>446</v>
      </c>
    </row>
    <row r="18764" spans="1:3">
      <c r="A18764" s="250">
        <v>44624</v>
      </c>
      <c r="B18764" s="74" t="s">
        <v>3912</v>
      </c>
      <c r="C18764" s="74" t="s">
        <v>446</v>
      </c>
    </row>
    <row r="18765" spans="1:3">
      <c r="A18765" s="250">
        <v>44625</v>
      </c>
      <c r="B18765" s="74" t="s">
        <v>3770</v>
      </c>
      <c r="C18765" s="74" t="s">
        <v>446</v>
      </c>
    </row>
    <row r="18766" spans="1:3">
      <c r="A18766" s="250">
        <v>44626</v>
      </c>
      <c r="B18766" s="74" t="s">
        <v>10391</v>
      </c>
      <c r="C18766" s="74" t="s">
        <v>446</v>
      </c>
    </row>
    <row r="18767" spans="1:3">
      <c r="A18767" s="250">
        <v>44627</v>
      </c>
      <c r="B18767" s="74" t="s">
        <v>4704</v>
      </c>
      <c r="C18767" s="74" t="s">
        <v>446</v>
      </c>
    </row>
    <row r="18768" spans="1:3">
      <c r="A18768" s="250">
        <v>44628</v>
      </c>
      <c r="B18768" s="74" t="s">
        <v>2959</v>
      </c>
      <c r="C18768" s="74" t="s">
        <v>446</v>
      </c>
    </row>
    <row r="18769" spans="1:3">
      <c r="A18769" s="250">
        <v>44629</v>
      </c>
      <c r="B18769" s="74" t="s">
        <v>10392</v>
      </c>
      <c r="C18769" s="74" t="s">
        <v>446</v>
      </c>
    </row>
    <row r="18770" spans="1:3">
      <c r="A18770" s="250">
        <v>44630</v>
      </c>
      <c r="B18770" s="74" t="s">
        <v>5160</v>
      </c>
      <c r="C18770" s="74" t="s">
        <v>446</v>
      </c>
    </row>
    <row r="18771" spans="1:3">
      <c r="A18771" s="250">
        <v>44631</v>
      </c>
      <c r="B18771" s="74" t="s">
        <v>10393</v>
      </c>
      <c r="C18771" s="74" t="s">
        <v>446</v>
      </c>
    </row>
    <row r="18772" spans="1:3">
      <c r="A18772" s="250">
        <v>44632</v>
      </c>
      <c r="B18772" s="74" t="s">
        <v>10394</v>
      </c>
      <c r="C18772" s="74" t="s">
        <v>446</v>
      </c>
    </row>
    <row r="18773" spans="1:3">
      <c r="A18773" s="250">
        <v>44633</v>
      </c>
      <c r="B18773" s="74" t="s">
        <v>10395</v>
      </c>
      <c r="C18773" s="74" t="s">
        <v>446</v>
      </c>
    </row>
    <row r="18774" spans="1:3">
      <c r="A18774" s="250">
        <v>44634</v>
      </c>
      <c r="B18774" s="74" t="s">
        <v>10396</v>
      </c>
      <c r="C18774" s="74" t="s">
        <v>446</v>
      </c>
    </row>
    <row r="18775" spans="1:3">
      <c r="A18775" s="250">
        <v>44636</v>
      </c>
      <c r="B18775" s="74" t="s">
        <v>10397</v>
      </c>
      <c r="C18775" s="74" t="s">
        <v>446</v>
      </c>
    </row>
    <row r="18776" spans="1:3">
      <c r="A18776" s="250">
        <v>44637</v>
      </c>
      <c r="B18776" s="74" t="s">
        <v>10398</v>
      </c>
      <c r="C18776" s="74" t="s">
        <v>446</v>
      </c>
    </row>
    <row r="18777" spans="1:3">
      <c r="A18777" s="250">
        <v>44638</v>
      </c>
      <c r="B18777" s="74" t="s">
        <v>949</v>
      </c>
      <c r="C18777" s="74" t="s">
        <v>446</v>
      </c>
    </row>
    <row r="18778" spans="1:3">
      <c r="A18778" s="250">
        <v>44639</v>
      </c>
      <c r="B18778" s="74" t="s">
        <v>7622</v>
      </c>
      <c r="C18778" s="74" t="s">
        <v>446</v>
      </c>
    </row>
    <row r="18779" spans="1:3">
      <c r="A18779" s="250">
        <v>44640</v>
      </c>
      <c r="B18779" s="74" t="s">
        <v>10399</v>
      </c>
      <c r="C18779" s="74" t="s">
        <v>446</v>
      </c>
    </row>
    <row r="18780" spans="1:3">
      <c r="A18780" s="250">
        <v>44641</v>
      </c>
      <c r="B18780" s="74" t="s">
        <v>7943</v>
      </c>
      <c r="C18780" s="74" t="s">
        <v>446</v>
      </c>
    </row>
    <row r="18781" spans="1:3">
      <c r="A18781" s="250">
        <v>44643</v>
      </c>
      <c r="B18781" s="74" t="s">
        <v>2398</v>
      </c>
      <c r="C18781" s="74" t="s">
        <v>446</v>
      </c>
    </row>
    <row r="18782" spans="1:3">
      <c r="A18782" s="250">
        <v>44644</v>
      </c>
      <c r="B18782" s="74" t="s">
        <v>5391</v>
      </c>
      <c r="C18782" s="74" t="s">
        <v>446</v>
      </c>
    </row>
    <row r="18783" spans="1:3">
      <c r="A18783" s="250">
        <v>44645</v>
      </c>
      <c r="B18783" s="74" t="s">
        <v>8085</v>
      </c>
      <c r="C18783" s="74" t="s">
        <v>446</v>
      </c>
    </row>
    <row r="18784" spans="1:3">
      <c r="A18784" s="250">
        <v>44646</v>
      </c>
      <c r="B18784" s="74" t="s">
        <v>10400</v>
      </c>
      <c r="C18784" s="74" t="s">
        <v>446</v>
      </c>
    </row>
    <row r="18785" spans="1:3">
      <c r="A18785" s="250">
        <v>44647</v>
      </c>
      <c r="B18785" s="74" t="s">
        <v>10400</v>
      </c>
      <c r="C18785" s="74" t="s">
        <v>446</v>
      </c>
    </row>
    <row r="18786" spans="1:3">
      <c r="A18786" s="250">
        <v>44648</v>
      </c>
      <c r="B18786" s="74" t="s">
        <v>10400</v>
      </c>
      <c r="C18786" s="74" t="s">
        <v>446</v>
      </c>
    </row>
    <row r="18787" spans="1:3">
      <c r="A18787" s="250">
        <v>44650</v>
      </c>
      <c r="B18787" s="74" t="s">
        <v>10401</v>
      </c>
      <c r="C18787" s="74" t="s">
        <v>446</v>
      </c>
    </row>
    <row r="18788" spans="1:3">
      <c r="A18788" s="250">
        <v>44651</v>
      </c>
      <c r="B18788" s="74" t="s">
        <v>10402</v>
      </c>
      <c r="C18788" s="74" t="s">
        <v>446</v>
      </c>
    </row>
    <row r="18789" spans="1:3">
      <c r="A18789" s="250">
        <v>44652</v>
      </c>
      <c r="B18789" s="74" t="s">
        <v>10403</v>
      </c>
      <c r="C18789" s="74" t="s">
        <v>446</v>
      </c>
    </row>
    <row r="18790" spans="1:3">
      <c r="A18790" s="250">
        <v>44653</v>
      </c>
      <c r="B18790" s="74" t="s">
        <v>10404</v>
      </c>
      <c r="C18790" s="74" t="s">
        <v>446</v>
      </c>
    </row>
    <row r="18791" spans="1:3">
      <c r="A18791" s="250">
        <v>44654</v>
      </c>
      <c r="B18791" s="74" t="s">
        <v>4729</v>
      </c>
      <c r="C18791" s="74" t="s">
        <v>446</v>
      </c>
    </row>
    <row r="18792" spans="1:3">
      <c r="A18792" s="250">
        <v>44656</v>
      </c>
      <c r="B18792" s="74" t="s">
        <v>10405</v>
      </c>
      <c r="C18792" s="74" t="s">
        <v>446</v>
      </c>
    </row>
    <row r="18793" spans="1:3">
      <c r="A18793" s="250">
        <v>44657</v>
      </c>
      <c r="B18793" s="74" t="s">
        <v>3249</v>
      </c>
      <c r="C18793" s="74" t="s">
        <v>446</v>
      </c>
    </row>
    <row r="18794" spans="1:3">
      <c r="A18794" s="250">
        <v>44659</v>
      </c>
      <c r="B18794" s="74" t="s">
        <v>10406</v>
      </c>
      <c r="C18794" s="74" t="s">
        <v>446</v>
      </c>
    </row>
    <row r="18795" spans="1:3">
      <c r="A18795" s="250">
        <v>44660</v>
      </c>
      <c r="B18795" s="74" t="s">
        <v>6812</v>
      </c>
      <c r="C18795" s="74" t="s">
        <v>446</v>
      </c>
    </row>
    <row r="18796" spans="1:3">
      <c r="A18796" s="250">
        <v>44661</v>
      </c>
      <c r="B18796" s="74" t="s">
        <v>7206</v>
      </c>
      <c r="C18796" s="74" t="s">
        <v>446</v>
      </c>
    </row>
    <row r="18797" spans="1:3">
      <c r="A18797" s="250">
        <v>44662</v>
      </c>
      <c r="B18797" s="74" t="s">
        <v>8333</v>
      </c>
      <c r="C18797" s="74" t="s">
        <v>446</v>
      </c>
    </row>
    <row r="18798" spans="1:3">
      <c r="A18798" s="250">
        <v>44663</v>
      </c>
      <c r="B18798" s="74" t="s">
        <v>5009</v>
      </c>
      <c r="C18798" s="74" t="s">
        <v>446</v>
      </c>
    </row>
    <row r="18799" spans="1:3">
      <c r="A18799" s="250">
        <v>44665</v>
      </c>
      <c r="B18799" s="74" t="s">
        <v>10407</v>
      </c>
      <c r="C18799" s="74" t="s">
        <v>446</v>
      </c>
    </row>
    <row r="18800" spans="1:3">
      <c r="A18800" s="250">
        <v>44666</v>
      </c>
      <c r="B18800" s="74" t="s">
        <v>3316</v>
      </c>
      <c r="C18800" s="74" t="s">
        <v>446</v>
      </c>
    </row>
    <row r="18801" spans="1:3">
      <c r="A18801" s="250">
        <v>44667</v>
      </c>
      <c r="B18801" s="74" t="s">
        <v>8952</v>
      </c>
      <c r="C18801" s="74" t="s">
        <v>446</v>
      </c>
    </row>
    <row r="18802" spans="1:3">
      <c r="A18802" s="250">
        <v>44669</v>
      </c>
      <c r="B18802" s="74" t="s">
        <v>1459</v>
      </c>
      <c r="C18802" s="74" t="s">
        <v>446</v>
      </c>
    </row>
    <row r="18803" spans="1:3">
      <c r="A18803" s="250">
        <v>44670</v>
      </c>
      <c r="B18803" s="74" t="s">
        <v>10408</v>
      </c>
      <c r="C18803" s="74" t="s">
        <v>446</v>
      </c>
    </row>
    <row r="18804" spans="1:3">
      <c r="A18804" s="250">
        <v>44671</v>
      </c>
      <c r="B18804" s="74" t="s">
        <v>6679</v>
      </c>
      <c r="C18804" s="74" t="s">
        <v>446</v>
      </c>
    </row>
    <row r="18805" spans="1:3">
      <c r="A18805" s="250">
        <v>44672</v>
      </c>
      <c r="B18805" s="74" t="s">
        <v>8514</v>
      </c>
      <c r="C18805" s="74" t="s">
        <v>446</v>
      </c>
    </row>
    <row r="18806" spans="1:3">
      <c r="A18806" s="250">
        <v>44675</v>
      </c>
      <c r="B18806" s="74" t="s">
        <v>10409</v>
      </c>
      <c r="C18806" s="74" t="s">
        <v>446</v>
      </c>
    </row>
    <row r="18807" spans="1:3">
      <c r="A18807" s="250">
        <v>44676</v>
      </c>
      <c r="B18807" s="74" t="s">
        <v>10410</v>
      </c>
      <c r="C18807" s="74" t="s">
        <v>446</v>
      </c>
    </row>
    <row r="18808" spans="1:3">
      <c r="A18808" s="250">
        <v>44677</v>
      </c>
      <c r="B18808" s="74" t="s">
        <v>6884</v>
      </c>
      <c r="C18808" s="74" t="s">
        <v>446</v>
      </c>
    </row>
    <row r="18809" spans="1:3">
      <c r="A18809" s="250">
        <v>44678</v>
      </c>
      <c r="B18809" s="74" t="s">
        <v>2423</v>
      </c>
      <c r="C18809" s="74" t="s">
        <v>446</v>
      </c>
    </row>
    <row r="18810" spans="1:3">
      <c r="A18810" s="250">
        <v>44679</v>
      </c>
      <c r="B18810" s="74" t="s">
        <v>1530</v>
      </c>
      <c r="C18810" s="74" t="s">
        <v>446</v>
      </c>
    </row>
    <row r="18811" spans="1:3">
      <c r="A18811" s="250">
        <v>44680</v>
      </c>
      <c r="B18811" s="74" t="s">
        <v>4890</v>
      </c>
      <c r="C18811" s="74" t="s">
        <v>446</v>
      </c>
    </row>
    <row r="18812" spans="1:3">
      <c r="A18812" s="250">
        <v>44681</v>
      </c>
      <c r="B18812" s="74" t="s">
        <v>10411</v>
      </c>
      <c r="C18812" s="74" t="s">
        <v>446</v>
      </c>
    </row>
    <row r="18813" spans="1:3">
      <c r="A18813" s="250">
        <v>44682</v>
      </c>
      <c r="B18813" s="74" t="s">
        <v>10412</v>
      </c>
      <c r="C18813" s="74" t="s">
        <v>446</v>
      </c>
    </row>
    <row r="18814" spans="1:3">
      <c r="A18814" s="250">
        <v>44683</v>
      </c>
      <c r="B18814" s="74" t="s">
        <v>10413</v>
      </c>
      <c r="C18814" s="74" t="s">
        <v>446</v>
      </c>
    </row>
    <row r="18815" spans="1:3">
      <c r="A18815" s="250">
        <v>44685</v>
      </c>
      <c r="B18815" s="74" t="s">
        <v>4089</v>
      </c>
      <c r="C18815" s="74" t="s">
        <v>446</v>
      </c>
    </row>
    <row r="18816" spans="1:3">
      <c r="A18816" s="250">
        <v>44687</v>
      </c>
      <c r="B18816" s="74" t="s">
        <v>10414</v>
      </c>
      <c r="C18816" s="74" t="s">
        <v>446</v>
      </c>
    </row>
    <row r="18817" spans="1:3">
      <c r="A18817" s="250">
        <v>44688</v>
      </c>
      <c r="B18817" s="74" t="s">
        <v>4083</v>
      </c>
      <c r="C18817" s="74" t="s">
        <v>446</v>
      </c>
    </row>
    <row r="18818" spans="1:3">
      <c r="A18818" s="250">
        <v>44689</v>
      </c>
      <c r="B18818" s="74" t="s">
        <v>1219</v>
      </c>
      <c r="C18818" s="74" t="s">
        <v>446</v>
      </c>
    </row>
    <row r="18819" spans="1:3">
      <c r="A18819" s="250">
        <v>44690</v>
      </c>
      <c r="B18819" s="74" t="s">
        <v>10415</v>
      </c>
      <c r="C18819" s="74" t="s">
        <v>446</v>
      </c>
    </row>
    <row r="18820" spans="1:3">
      <c r="A18820" s="250">
        <v>44691</v>
      </c>
      <c r="B18820" s="74" t="s">
        <v>10416</v>
      </c>
      <c r="C18820" s="74" t="s">
        <v>446</v>
      </c>
    </row>
    <row r="18821" spans="1:3">
      <c r="A18821" s="250">
        <v>44693</v>
      </c>
      <c r="B18821" s="74" t="s">
        <v>10417</v>
      </c>
      <c r="C18821" s="74" t="s">
        <v>446</v>
      </c>
    </row>
    <row r="18822" spans="1:3">
      <c r="A18822" s="250">
        <v>44695</v>
      </c>
      <c r="B18822" s="74" t="s">
        <v>10418</v>
      </c>
      <c r="C18822" s="74" t="s">
        <v>446</v>
      </c>
    </row>
    <row r="18823" spans="1:3">
      <c r="A18823" s="250">
        <v>44697</v>
      </c>
      <c r="B18823" s="74" t="s">
        <v>10419</v>
      </c>
      <c r="C18823" s="74" t="s">
        <v>446</v>
      </c>
    </row>
    <row r="18824" spans="1:3">
      <c r="A18824" s="250">
        <v>44699</v>
      </c>
      <c r="B18824" s="74" t="s">
        <v>10420</v>
      </c>
      <c r="C18824" s="74" t="s">
        <v>446</v>
      </c>
    </row>
    <row r="18825" spans="1:3">
      <c r="A18825" s="250">
        <v>44701</v>
      </c>
      <c r="B18825" s="74" t="s">
        <v>866</v>
      </c>
      <c r="C18825" s="74" t="s">
        <v>446</v>
      </c>
    </row>
    <row r="18826" spans="1:3">
      <c r="A18826" s="250">
        <v>44702</v>
      </c>
      <c r="B18826" s="74" t="s">
        <v>866</v>
      </c>
      <c r="C18826" s="74" t="s">
        <v>446</v>
      </c>
    </row>
    <row r="18827" spans="1:3">
      <c r="A18827" s="250">
        <v>44703</v>
      </c>
      <c r="B18827" s="74" t="s">
        <v>866</v>
      </c>
      <c r="C18827" s="74" t="s">
        <v>446</v>
      </c>
    </row>
    <row r="18828" spans="1:3">
      <c r="A18828" s="250">
        <v>44704</v>
      </c>
      <c r="B18828" s="74" t="s">
        <v>866</v>
      </c>
      <c r="C18828" s="74" t="s">
        <v>446</v>
      </c>
    </row>
    <row r="18829" spans="1:3">
      <c r="A18829" s="250">
        <v>44705</v>
      </c>
      <c r="B18829" s="74" t="s">
        <v>866</v>
      </c>
      <c r="C18829" s="74" t="s">
        <v>446</v>
      </c>
    </row>
    <row r="18830" spans="1:3">
      <c r="A18830" s="250">
        <v>44706</v>
      </c>
      <c r="B18830" s="74" t="s">
        <v>866</v>
      </c>
      <c r="C18830" s="74" t="s">
        <v>446</v>
      </c>
    </row>
    <row r="18831" spans="1:3">
      <c r="A18831" s="250">
        <v>44707</v>
      </c>
      <c r="B18831" s="74" t="s">
        <v>866</v>
      </c>
      <c r="C18831" s="74" t="s">
        <v>446</v>
      </c>
    </row>
    <row r="18832" spans="1:3">
      <c r="A18832" s="250">
        <v>44708</v>
      </c>
      <c r="B18832" s="74" t="s">
        <v>866</v>
      </c>
      <c r="C18832" s="74" t="s">
        <v>446</v>
      </c>
    </row>
    <row r="18833" spans="1:3">
      <c r="A18833" s="250">
        <v>44709</v>
      </c>
      <c r="B18833" s="74" t="s">
        <v>866</v>
      </c>
      <c r="C18833" s="74" t="s">
        <v>446</v>
      </c>
    </row>
    <row r="18834" spans="1:3">
      <c r="A18834" s="250">
        <v>44710</v>
      </c>
      <c r="B18834" s="74" t="s">
        <v>866</v>
      </c>
      <c r="C18834" s="74" t="s">
        <v>446</v>
      </c>
    </row>
    <row r="18835" spans="1:3">
      <c r="A18835" s="250">
        <v>44711</v>
      </c>
      <c r="B18835" s="74" t="s">
        <v>866</v>
      </c>
      <c r="C18835" s="74" t="s">
        <v>446</v>
      </c>
    </row>
    <row r="18836" spans="1:3">
      <c r="A18836" s="250">
        <v>44714</v>
      </c>
      <c r="B18836" s="74" t="s">
        <v>866</v>
      </c>
      <c r="C18836" s="74" t="s">
        <v>446</v>
      </c>
    </row>
    <row r="18837" spans="1:3">
      <c r="A18837" s="250">
        <v>44718</v>
      </c>
      <c r="B18837" s="74" t="s">
        <v>866</v>
      </c>
      <c r="C18837" s="74" t="s">
        <v>446</v>
      </c>
    </row>
    <row r="18838" spans="1:3">
      <c r="A18838" s="250">
        <v>44720</v>
      </c>
      <c r="B18838" s="74" t="s">
        <v>1948</v>
      </c>
      <c r="C18838" s="74" t="s">
        <v>446</v>
      </c>
    </row>
    <row r="18839" spans="1:3">
      <c r="A18839" s="250">
        <v>44721</v>
      </c>
      <c r="B18839" s="74" t="s">
        <v>866</v>
      </c>
      <c r="C18839" s="74" t="s">
        <v>446</v>
      </c>
    </row>
    <row r="18840" spans="1:3">
      <c r="A18840" s="250">
        <v>44730</v>
      </c>
      <c r="B18840" s="74" t="s">
        <v>10421</v>
      </c>
      <c r="C18840" s="74" t="s">
        <v>446</v>
      </c>
    </row>
    <row r="18841" spans="1:3">
      <c r="A18841" s="250">
        <v>44735</v>
      </c>
      <c r="B18841" s="74" t="s">
        <v>866</v>
      </c>
      <c r="C18841" s="74" t="s">
        <v>446</v>
      </c>
    </row>
    <row r="18842" spans="1:3">
      <c r="A18842" s="250">
        <v>44750</v>
      </c>
      <c r="B18842" s="74" t="s">
        <v>866</v>
      </c>
      <c r="C18842" s="74" t="s">
        <v>446</v>
      </c>
    </row>
    <row r="18843" spans="1:3">
      <c r="A18843" s="250">
        <v>44767</v>
      </c>
      <c r="B18843" s="74" t="s">
        <v>866</v>
      </c>
      <c r="C18843" s="74" t="s">
        <v>446</v>
      </c>
    </row>
    <row r="18844" spans="1:3">
      <c r="A18844" s="250">
        <v>44799</v>
      </c>
      <c r="B18844" s="74" t="s">
        <v>866</v>
      </c>
      <c r="C18844" s="74" t="s">
        <v>446</v>
      </c>
    </row>
    <row r="18845" spans="1:3">
      <c r="A18845" s="250">
        <v>44802</v>
      </c>
      <c r="B18845" s="74" t="s">
        <v>10422</v>
      </c>
      <c r="C18845" s="74" t="s">
        <v>446</v>
      </c>
    </row>
    <row r="18846" spans="1:3">
      <c r="A18846" s="250">
        <v>44804</v>
      </c>
      <c r="B18846" s="74" t="s">
        <v>4258</v>
      </c>
      <c r="C18846" s="74" t="s">
        <v>446</v>
      </c>
    </row>
    <row r="18847" spans="1:3">
      <c r="A18847" s="250">
        <v>44805</v>
      </c>
      <c r="B18847" s="74" t="s">
        <v>782</v>
      </c>
      <c r="C18847" s="74" t="s">
        <v>446</v>
      </c>
    </row>
    <row r="18848" spans="1:3">
      <c r="A18848" s="250">
        <v>44807</v>
      </c>
      <c r="B18848" s="74" t="s">
        <v>3674</v>
      </c>
      <c r="C18848" s="74" t="s">
        <v>446</v>
      </c>
    </row>
    <row r="18849" spans="1:3">
      <c r="A18849" s="250">
        <v>44809</v>
      </c>
      <c r="B18849" s="74" t="s">
        <v>8296</v>
      </c>
      <c r="C18849" s="74" t="s">
        <v>446</v>
      </c>
    </row>
    <row r="18850" spans="1:3">
      <c r="A18850" s="250">
        <v>44811</v>
      </c>
      <c r="B18850" s="74" t="s">
        <v>9741</v>
      </c>
      <c r="C18850" s="74" t="s">
        <v>446</v>
      </c>
    </row>
    <row r="18851" spans="1:3">
      <c r="A18851" s="250">
        <v>44813</v>
      </c>
      <c r="B18851" s="74" t="s">
        <v>7936</v>
      </c>
      <c r="C18851" s="74" t="s">
        <v>446</v>
      </c>
    </row>
    <row r="18852" spans="1:3">
      <c r="A18852" s="250">
        <v>44814</v>
      </c>
      <c r="B18852" s="74" t="s">
        <v>10423</v>
      </c>
      <c r="C18852" s="74" t="s">
        <v>446</v>
      </c>
    </row>
    <row r="18853" spans="1:3">
      <c r="A18853" s="250">
        <v>44815</v>
      </c>
      <c r="B18853" s="74" t="s">
        <v>10424</v>
      </c>
      <c r="C18853" s="74" t="s">
        <v>446</v>
      </c>
    </row>
    <row r="18854" spans="1:3">
      <c r="A18854" s="250">
        <v>44816</v>
      </c>
      <c r="B18854" s="74" t="s">
        <v>2369</v>
      </c>
      <c r="C18854" s="74" t="s">
        <v>446</v>
      </c>
    </row>
    <row r="18855" spans="1:3">
      <c r="A18855" s="250">
        <v>44817</v>
      </c>
      <c r="B18855" s="74" t="s">
        <v>10425</v>
      </c>
      <c r="C18855" s="74" t="s">
        <v>446</v>
      </c>
    </row>
    <row r="18856" spans="1:3">
      <c r="A18856" s="250">
        <v>44818</v>
      </c>
      <c r="B18856" s="74" t="s">
        <v>3596</v>
      </c>
      <c r="C18856" s="74" t="s">
        <v>446</v>
      </c>
    </row>
    <row r="18857" spans="1:3">
      <c r="A18857" s="250">
        <v>44820</v>
      </c>
      <c r="B18857" s="74" t="s">
        <v>10426</v>
      </c>
      <c r="C18857" s="74" t="s">
        <v>446</v>
      </c>
    </row>
    <row r="18858" spans="1:3">
      <c r="A18858" s="250">
        <v>44822</v>
      </c>
      <c r="B18858" s="74" t="s">
        <v>2183</v>
      </c>
      <c r="C18858" s="74" t="s">
        <v>446</v>
      </c>
    </row>
    <row r="18859" spans="1:3">
      <c r="A18859" s="250">
        <v>44824</v>
      </c>
      <c r="B18859" s="74" t="s">
        <v>7183</v>
      </c>
      <c r="C18859" s="74" t="s">
        <v>446</v>
      </c>
    </row>
    <row r="18860" spans="1:3">
      <c r="A18860" s="250">
        <v>44825</v>
      </c>
      <c r="B18860" s="74" t="s">
        <v>10427</v>
      </c>
      <c r="C18860" s="74" t="s">
        <v>446</v>
      </c>
    </row>
    <row r="18861" spans="1:3">
      <c r="A18861" s="250">
        <v>44826</v>
      </c>
      <c r="B18861" s="74" t="s">
        <v>3686</v>
      </c>
      <c r="C18861" s="74" t="s">
        <v>446</v>
      </c>
    </row>
    <row r="18862" spans="1:3">
      <c r="A18862" s="250">
        <v>44827</v>
      </c>
      <c r="B18862" s="74" t="s">
        <v>10428</v>
      </c>
      <c r="C18862" s="74" t="s">
        <v>446</v>
      </c>
    </row>
    <row r="18863" spans="1:3">
      <c r="A18863" s="250">
        <v>44828</v>
      </c>
      <c r="B18863" s="74" t="s">
        <v>7549</v>
      </c>
      <c r="C18863" s="74" t="s">
        <v>446</v>
      </c>
    </row>
    <row r="18864" spans="1:3">
      <c r="A18864" s="250">
        <v>44830</v>
      </c>
      <c r="B18864" s="74" t="s">
        <v>10429</v>
      </c>
      <c r="C18864" s="74" t="s">
        <v>446</v>
      </c>
    </row>
    <row r="18865" spans="1:3">
      <c r="A18865" s="250">
        <v>44833</v>
      </c>
      <c r="B18865" s="74" t="s">
        <v>10430</v>
      </c>
      <c r="C18865" s="74" t="s">
        <v>446</v>
      </c>
    </row>
    <row r="18866" spans="1:3">
      <c r="A18866" s="250">
        <v>44836</v>
      </c>
      <c r="B18866" s="74" t="s">
        <v>10431</v>
      </c>
      <c r="C18866" s="74" t="s">
        <v>446</v>
      </c>
    </row>
    <row r="18867" spans="1:3">
      <c r="A18867" s="250">
        <v>44837</v>
      </c>
      <c r="B18867" s="74" t="s">
        <v>2101</v>
      </c>
      <c r="C18867" s="74" t="s">
        <v>446</v>
      </c>
    </row>
    <row r="18868" spans="1:3">
      <c r="A18868" s="250">
        <v>44838</v>
      </c>
      <c r="B18868" s="74" t="s">
        <v>7590</v>
      </c>
      <c r="C18868" s="74" t="s">
        <v>446</v>
      </c>
    </row>
    <row r="18869" spans="1:3">
      <c r="A18869" s="250">
        <v>44839</v>
      </c>
      <c r="B18869" s="74" t="s">
        <v>9222</v>
      </c>
      <c r="C18869" s="74" t="s">
        <v>446</v>
      </c>
    </row>
    <row r="18870" spans="1:3">
      <c r="A18870" s="250">
        <v>44840</v>
      </c>
      <c r="B18870" s="74" t="s">
        <v>10432</v>
      </c>
      <c r="C18870" s="74" t="s">
        <v>446</v>
      </c>
    </row>
    <row r="18871" spans="1:3">
      <c r="A18871" s="250">
        <v>44841</v>
      </c>
      <c r="B18871" s="74" t="s">
        <v>8718</v>
      </c>
      <c r="C18871" s="74" t="s">
        <v>446</v>
      </c>
    </row>
    <row r="18872" spans="1:3">
      <c r="A18872" s="250">
        <v>44842</v>
      </c>
      <c r="B18872" s="74" t="s">
        <v>10433</v>
      </c>
      <c r="C18872" s="74" t="s">
        <v>446</v>
      </c>
    </row>
    <row r="18873" spans="1:3">
      <c r="A18873" s="250">
        <v>44843</v>
      </c>
      <c r="B18873" s="74" t="s">
        <v>9968</v>
      </c>
      <c r="C18873" s="74" t="s">
        <v>446</v>
      </c>
    </row>
    <row r="18874" spans="1:3">
      <c r="A18874" s="250">
        <v>44844</v>
      </c>
      <c r="B18874" s="74" t="s">
        <v>10434</v>
      </c>
      <c r="C18874" s="74" t="s">
        <v>446</v>
      </c>
    </row>
    <row r="18875" spans="1:3">
      <c r="A18875" s="250">
        <v>44845</v>
      </c>
      <c r="B18875" s="74" t="s">
        <v>10435</v>
      </c>
      <c r="C18875" s="74" t="s">
        <v>446</v>
      </c>
    </row>
    <row r="18876" spans="1:3">
      <c r="A18876" s="250">
        <v>44846</v>
      </c>
      <c r="B18876" s="74" t="s">
        <v>1256</v>
      </c>
      <c r="C18876" s="74" t="s">
        <v>446</v>
      </c>
    </row>
    <row r="18877" spans="1:3">
      <c r="A18877" s="250">
        <v>44847</v>
      </c>
      <c r="B18877" s="74" t="s">
        <v>2495</v>
      </c>
      <c r="C18877" s="74" t="s">
        <v>446</v>
      </c>
    </row>
    <row r="18878" spans="1:3">
      <c r="A18878" s="250">
        <v>44848</v>
      </c>
      <c r="B18878" s="74" t="s">
        <v>10436</v>
      </c>
      <c r="C18878" s="74" t="s">
        <v>446</v>
      </c>
    </row>
    <row r="18879" spans="1:3">
      <c r="A18879" s="250">
        <v>44849</v>
      </c>
      <c r="B18879" s="74" t="s">
        <v>10437</v>
      </c>
      <c r="C18879" s="74" t="s">
        <v>446</v>
      </c>
    </row>
    <row r="18880" spans="1:3">
      <c r="A18880" s="250">
        <v>44850</v>
      </c>
      <c r="B18880" s="74" t="s">
        <v>1823</v>
      </c>
      <c r="C18880" s="74" t="s">
        <v>446</v>
      </c>
    </row>
    <row r="18881" spans="1:3">
      <c r="A18881" s="250">
        <v>44851</v>
      </c>
      <c r="B18881" s="74" t="s">
        <v>1201</v>
      </c>
      <c r="C18881" s="74" t="s">
        <v>446</v>
      </c>
    </row>
    <row r="18882" spans="1:3">
      <c r="A18882" s="250">
        <v>44853</v>
      </c>
      <c r="B18882" s="74" t="s">
        <v>10438</v>
      </c>
      <c r="C18882" s="74" t="s">
        <v>446</v>
      </c>
    </row>
    <row r="18883" spans="1:3">
      <c r="A18883" s="250">
        <v>44854</v>
      </c>
      <c r="B18883" s="74" t="s">
        <v>10439</v>
      </c>
      <c r="C18883" s="74" t="s">
        <v>446</v>
      </c>
    </row>
    <row r="18884" spans="1:3">
      <c r="A18884" s="250">
        <v>44855</v>
      </c>
      <c r="B18884" s="74" t="s">
        <v>10440</v>
      </c>
      <c r="C18884" s="74" t="s">
        <v>446</v>
      </c>
    </row>
    <row r="18885" spans="1:3">
      <c r="A18885" s="250">
        <v>44856</v>
      </c>
      <c r="B18885" s="74" t="s">
        <v>10441</v>
      </c>
      <c r="C18885" s="74" t="s">
        <v>446</v>
      </c>
    </row>
    <row r="18886" spans="1:3">
      <c r="A18886" s="250">
        <v>44857</v>
      </c>
      <c r="B18886" s="74" t="s">
        <v>2104</v>
      </c>
      <c r="C18886" s="74" t="s">
        <v>446</v>
      </c>
    </row>
    <row r="18887" spans="1:3">
      <c r="A18887" s="250">
        <v>44859</v>
      </c>
      <c r="B18887" s="74" t="s">
        <v>10442</v>
      </c>
      <c r="C18887" s="74" t="s">
        <v>446</v>
      </c>
    </row>
    <row r="18888" spans="1:3">
      <c r="A18888" s="250">
        <v>44860</v>
      </c>
      <c r="B18888" s="74" t="s">
        <v>10443</v>
      </c>
      <c r="C18888" s="74" t="s">
        <v>446</v>
      </c>
    </row>
    <row r="18889" spans="1:3">
      <c r="A18889" s="250">
        <v>44861</v>
      </c>
      <c r="B18889" s="74" t="s">
        <v>7566</v>
      </c>
      <c r="C18889" s="74" t="s">
        <v>446</v>
      </c>
    </row>
    <row r="18890" spans="1:3">
      <c r="A18890" s="250">
        <v>44862</v>
      </c>
      <c r="B18890" s="74" t="s">
        <v>3802</v>
      </c>
      <c r="C18890" s="74" t="s">
        <v>446</v>
      </c>
    </row>
    <row r="18891" spans="1:3">
      <c r="A18891" s="250">
        <v>44864</v>
      </c>
      <c r="B18891" s="74" t="s">
        <v>10444</v>
      </c>
      <c r="C18891" s="74" t="s">
        <v>446</v>
      </c>
    </row>
    <row r="18892" spans="1:3">
      <c r="A18892" s="250">
        <v>44865</v>
      </c>
      <c r="B18892" s="74" t="s">
        <v>956</v>
      </c>
      <c r="C18892" s="74" t="s">
        <v>446</v>
      </c>
    </row>
    <row r="18893" spans="1:3">
      <c r="A18893" s="250">
        <v>44866</v>
      </c>
      <c r="B18893" s="74" t="s">
        <v>4489</v>
      </c>
      <c r="C18893" s="74" t="s">
        <v>446</v>
      </c>
    </row>
    <row r="18894" spans="1:3">
      <c r="A18894" s="250">
        <v>44867</v>
      </c>
      <c r="B18894" s="74" t="s">
        <v>4141</v>
      </c>
      <c r="C18894" s="74" t="s">
        <v>446</v>
      </c>
    </row>
    <row r="18895" spans="1:3">
      <c r="A18895" s="250">
        <v>44870</v>
      </c>
      <c r="B18895" s="74" t="s">
        <v>3733</v>
      </c>
      <c r="C18895" s="74" t="s">
        <v>446</v>
      </c>
    </row>
    <row r="18896" spans="1:3">
      <c r="A18896" s="250">
        <v>44871</v>
      </c>
      <c r="B18896" s="74" t="s">
        <v>3733</v>
      </c>
      <c r="C18896" s="74" t="s">
        <v>446</v>
      </c>
    </row>
    <row r="18897" spans="1:3">
      <c r="A18897" s="250">
        <v>44874</v>
      </c>
      <c r="B18897" s="74" t="s">
        <v>3411</v>
      </c>
      <c r="C18897" s="74" t="s">
        <v>446</v>
      </c>
    </row>
    <row r="18898" spans="1:3">
      <c r="A18898" s="250">
        <v>44875</v>
      </c>
      <c r="B18898" s="74" t="s">
        <v>7335</v>
      </c>
      <c r="C18898" s="74" t="s">
        <v>446</v>
      </c>
    </row>
    <row r="18899" spans="1:3">
      <c r="A18899" s="250">
        <v>44878</v>
      </c>
      <c r="B18899" s="74" t="s">
        <v>2501</v>
      </c>
      <c r="C18899" s="74" t="s">
        <v>446</v>
      </c>
    </row>
    <row r="18900" spans="1:3">
      <c r="A18900" s="250">
        <v>44880</v>
      </c>
      <c r="B18900" s="74" t="s">
        <v>1231</v>
      </c>
      <c r="C18900" s="74" t="s">
        <v>446</v>
      </c>
    </row>
    <row r="18901" spans="1:3">
      <c r="A18901" s="250">
        <v>44881</v>
      </c>
      <c r="B18901" s="74" t="s">
        <v>10445</v>
      </c>
      <c r="C18901" s="74" t="s">
        <v>446</v>
      </c>
    </row>
    <row r="18902" spans="1:3">
      <c r="A18902" s="250">
        <v>44882</v>
      </c>
      <c r="B18902" s="74" t="s">
        <v>4078</v>
      </c>
      <c r="C18902" s="74" t="s">
        <v>446</v>
      </c>
    </row>
    <row r="18903" spans="1:3">
      <c r="A18903" s="250">
        <v>44883</v>
      </c>
      <c r="B18903" s="74" t="s">
        <v>10446</v>
      </c>
      <c r="C18903" s="74" t="s">
        <v>446</v>
      </c>
    </row>
    <row r="18904" spans="1:3">
      <c r="A18904" s="250">
        <v>44887</v>
      </c>
      <c r="B18904" s="74" t="s">
        <v>10447</v>
      </c>
      <c r="C18904" s="74" t="s">
        <v>446</v>
      </c>
    </row>
    <row r="18905" spans="1:3">
      <c r="A18905" s="250">
        <v>44888</v>
      </c>
      <c r="B18905" s="74" t="s">
        <v>3838</v>
      </c>
      <c r="C18905" s="74" t="s">
        <v>446</v>
      </c>
    </row>
    <row r="18906" spans="1:3">
      <c r="A18906" s="250">
        <v>44889</v>
      </c>
      <c r="B18906" s="74" t="s">
        <v>10448</v>
      </c>
      <c r="C18906" s="74" t="s">
        <v>446</v>
      </c>
    </row>
    <row r="18907" spans="1:3">
      <c r="A18907" s="250">
        <v>44890</v>
      </c>
      <c r="B18907" s="74" t="s">
        <v>3838</v>
      </c>
      <c r="C18907" s="74" t="s">
        <v>446</v>
      </c>
    </row>
    <row r="18908" spans="1:3">
      <c r="A18908" s="250">
        <v>44901</v>
      </c>
      <c r="B18908" s="74" t="s">
        <v>879</v>
      </c>
      <c r="C18908" s="74" t="s">
        <v>446</v>
      </c>
    </row>
    <row r="18909" spans="1:3">
      <c r="A18909" s="250">
        <v>44902</v>
      </c>
      <c r="B18909" s="74" t="s">
        <v>879</v>
      </c>
      <c r="C18909" s="74" t="s">
        <v>446</v>
      </c>
    </row>
    <row r="18910" spans="1:3">
      <c r="A18910" s="250">
        <v>44903</v>
      </c>
      <c r="B18910" s="74" t="s">
        <v>879</v>
      </c>
      <c r="C18910" s="74" t="s">
        <v>446</v>
      </c>
    </row>
    <row r="18911" spans="1:3">
      <c r="A18911" s="250">
        <v>44904</v>
      </c>
      <c r="B18911" s="74" t="s">
        <v>879</v>
      </c>
      <c r="C18911" s="74" t="s">
        <v>446</v>
      </c>
    </row>
    <row r="18912" spans="1:3">
      <c r="A18912" s="250">
        <v>44905</v>
      </c>
      <c r="B18912" s="74" t="s">
        <v>879</v>
      </c>
      <c r="C18912" s="74" t="s">
        <v>446</v>
      </c>
    </row>
    <row r="18913" spans="1:3">
      <c r="A18913" s="250">
        <v>44906</v>
      </c>
      <c r="B18913" s="74" t="s">
        <v>879</v>
      </c>
      <c r="C18913" s="74" t="s">
        <v>446</v>
      </c>
    </row>
    <row r="18914" spans="1:3">
      <c r="A18914" s="250">
        <v>44907</v>
      </c>
      <c r="B18914" s="74" t="s">
        <v>879</v>
      </c>
      <c r="C18914" s="74" t="s">
        <v>446</v>
      </c>
    </row>
    <row r="18915" spans="1:3">
      <c r="A18915" s="250">
        <v>44999</v>
      </c>
      <c r="B18915" s="74" t="s">
        <v>879</v>
      </c>
      <c r="C18915" s="74" t="s">
        <v>446</v>
      </c>
    </row>
    <row r="18916" spans="1:3">
      <c r="A18916" s="250">
        <v>45001</v>
      </c>
      <c r="B18916" s="74" t="s">
        <v>10449</v>
      </c>
      <c r="C18916" s="74" t="s">
        <v>446</v>
      </c>
    </row>
    <row r="18917" spans="1:3">
      <c r="A18917" s="250">
        <v>45002</v>
      </c>
      <c r="B18917" s="74" t="s">
        <v>10450</v>
      </c>
      <c r="C18917" s="74" t="s">
        <v>446</v>
      </c>
    </row>
    <row r="18918" spans="1:3">
      <c r="A18918" s="250">
        <v>45003</v>
      </c>
      <c r="B18918" s="74" t="s">
        <v>10451</v>
      </c>
      <c r="C18918" s="74" t="s">
        <v>446</v>
      </c>
    </row>
    <row r="18919" spans="1:3">
      <c r="A18919" s="250">
        <v>45004</v>
      </c>
      <c r="B18919" s="74" t="s">
        <v>1936</v>
      </c>
      <c r="C18919" s="74" t="s">
        <v>446</v>
      </c>
    </row>
    <row r="18920" spans="1:3">
      <c r="A18920" s="250">
        <v>45005</v>
      </c>
      <c r="B18920" s="74" t="s">
        <v>873</v>
      </c>
      <c r="C18920" s="74" t="s">
        <v>446</v>
      </c>
    </row>
    <row r="18921" spans="1:3">
      <c r="A18921" s="250">
        <v>45011</v>
      </c>
      <c r="B18921" s="74" t="s">
        <v>844</v>
      </c>
      <c r="C18921" s="74" t="s">
        <v>446</v>
      </c>
    </row>
    <row r="18922" spans="1:3">
      <c r="A18922" s="250">
        <v>45012</v>
      </c>
      <c r="B18922" s="74" t="s">
        <v>844</v>
      </c>
      <c r="C18922" s="74" t="s">
        <v>446</v>
      </c>
    </row>
    <row r="18923" spans="1:3">
      <c r="A18923" s="250">
        <v>45013</v>
      </c>
      <c r="B18923" s="74" t="s">
        <v>844</v>
      </c>
      <c r="C18923" s="74" t="s">
        <v>446</v>
      </c>
    </row>
    <row r="18924" spans="1:3">
      <c r="A18924" s="250">
        <v>45014</v>
      </c>
      <c r="B18924" s="74" t="s">
        <v>1694</v>
      </c>
      <c r="C18924" s="74" t="s">
        <v>446</v>
      </c>
    </row>
    <row r="18925" spans="1:3">
      <c r="A18925" s="250">
        <v>45015</v>
      </c>
      <c r="B18925" s="74" t="s">
        <v>844</v>
      </c>
      <c r="C18925" s="74" t="s">
        <v>446</v>
      </c>
    </row>
    <row r="18926" spans="1:3">
      <c r="A18926" s="250">
        <v>45018</v>
      </c>
      <c r="B18926" s="74" t="s">
        <v>1694</v>
      </c>
      <c r="C18926" s="74" t="s">
        <v>446</v>
      </c>
    </row>
    <row r="18927" spans="1:3">
      <c r="A18927" s="250">
        <v>45025</v>
      </c>
      <c r="B18927" s="74" t="s">
        <v>844</v>
      </c>
      <c r="C18927" s="74" t="s">
        <v>446</v>
      </c>
    </row>
    <row r="18928" spans="1:3">
      <c r="A18928" s="250">
        <v>45026</v>
      </c>
      <c r="B18928" s="74" t="s">
        <v>844</v>
      </c>
      <c r="C18928" s="74" t="s">
        <v>446</v>
      </c>
    </row>
    <row r="18929" spans="1:3">
      <c r="A18929" s="250">
        <v>45030</v>
      </c>
      <c r="B18929" s="74" t="s">
        <v>1386</v>
      </c>
      <c r="C18929" s="74" t="s">
        <v>446</v>
      </c>
    </row>
    <row r="18930" spans="1:3">
      <c r="A18930" s="250">
        <v>45032</v>
      </c>
      <c r="B18930" s="74" t="s">
        <v>10452</v>
      </c>
      <c r="C18930" s="74" t="s">
        <v>446</v>
      </c>
    </row>
    <row r="18931" spans="1:3">
      <c r="A18931" s="250">
        <v>45033</v>
      </c>
      <c r="B18931" s="74" t="s">
        <v>10453</v>
      </c>
      <c r="C18931" s="74" t="s">
        <v>446</v>
      </c>
    </row>
    <row r="18932" spans="1:3">
      <c r="A18932" s="250">
        <v>45034</v>
      </c>
      <c r="B18932" s="74" t="s">
        <v>10454</v>
      </c>
      <c r="C18932" s="74" t="s">
        <v>446</v>
      </c>
    </row>
    <row r="18933" spans="1:3">
      <c r="A18933" s="250">
        <v>45036</v>
      </c>
      <c r="B18933" s="74" t="s">
        <v>1280</v>
      </c>
      <c r="C18933" s="74" t="s">
        <v>446</v>
      </c>
    </row>
    <row r="18934" spans="1:3">
      <c r="A18934" s="250">
        <v>45039</v>
      </c>
      <c r="B18934" s="74" t="s">
        <v>10455</v>
      </c>
      <c r="C18934" s="74" t="s">
        <v>446</v>
      </c>
    </row>
    <row r="18935" spans="1:3">
      <c r="A18935" s="250">
        <v>45040</v>
      </c>
      <c r="B18935" s="74" t="s">
        <v>6673</v>
      </c>
      <c r="C18935" s="74" t="s">
        <v>446</v>
      </c>
    </row>
    <row r="18936" spans="1:3">
      <c r="A18936" s="250">
        <v>45041</v>
      </c>
      <c r="B18936" s="74" t="s">
        <v>10456</v>
      </c>
      <c r="C18936" s="74" t="s">
        <v>446</v>
      </c>
    </row>
    <row r="18937" spans="1:3">
      <c r="A18937" s="250">
        <v>45042</v>
      </c>
      <c r="B18937" s="74" t="s">
        <v>1119</v>
      </c>
      <c r="C18937" s="74" t="s">
        <v>446</v>
      </c>
    </row>
    <row r="18938" spans="1:3">
      <c r="A18938" s="250">
        <v>45043</v>
      </c>
      <c r="B18938" s="74" t="s">
        <v>1119</v>
      </c>
      <c r="C18938" s="74" t="s">
        <v>446</v>
      </c>
    </row>
    <row r="18939" spans="1:3">
      <c r="A18939" s="250">
        <v>45044</v>
      </c>
      <c r="B18939" s="74" t="s">
        <v>1119</v>
      </c>
      <c r="C18939" s="74" t="s">
        <v>446</v>
      </c>
    </row>
    <row r="18940" spans="1:3">
      <c r="A18940" s="250">
        <v>45050</v>
      </c>
      <c r="B18940" s="74" t="s">
        <v>1284</v>
      </c>
      <c r="C18940" s="74" t="s">
        <v>446</v>
      </c>
    </row>
    <row r="18941" spans="1:3">
      <c r="A18941" s="250">
        <v>45051</v>
      </c>
      <c r="B18941" s="74" t="s">
        <v>10457</v>
      </c>
      <c r="C18941" s="74" t="s">
        <v>446</v>
      </c>
    </row>
    <row r="18942" spans="1:3">
      <c r="A18942" s="250">
        <v>45052</v>
      </c>
      <c r="B18942" s="74" t="s">
        <v>4909</v>
      </c>
      <c r="C18942" s="74" t="s">
        <v>446</v>
      </c>
    </row>
    <row r="18943" spans="1:3">
      <c r="A18943" s="250">
        <v>45053</v>
      </c>
      <c r="B18943" s="74" t="s">
        <v>10458</v>
      </c>
      <c r="C18943" s="74" t="s">
        <v>446</v>
      </c>
    </row>
    <row r="18944" spans="1:3">
      <c r="A18944" s="250">
        <v>45054</v>
      </c>
      <c r="B18944" s="74" t="s">
        <v>10459</v>
      </c>
      <c r="C18944" s="74" t="s">
        <v>446</v>
      </c>
    </row>
    <row r="18945" spans="1:3">
      <c r="A18945" s="250">
        <v>45055</v>
      </c>
      <c r="B18945" s="74" t="s">
        <v>10460</v>
      </c>
      <c r="C18945" s="74" t="s">
        <v>446</v>
      </c>
    </row>
    <row r="18946" spans="1:3">
      <c r="A18946" s="250">
        <v>45056</v>
      </c>
      <c r="B18946" s="74" t="s">
        <v>754</v>
      </c>
      <c r="C18946" s="74" t="s">
        <v>446</v>
      </c>
    </row>
    <row r="18947" spans="1:3">
      <c r="A18947" s="250">
        <v>45061</v>
      </c>
      <c r="B18947" s="74" t="s">
        <v>10461</v>
      </c>
      <c r="C18947" s="74" t="s">
        <v>446</v>
      </c>
    </row>
    <row r="18948" spans="1:3">
      <c r="A18948" s="250">
        <v>45062</v>
      </c>
      <c r="B18948" s="74" t="s">
        <v>10462</v>
      </c>
      <c r="C18948" s="74" t="s">
        <v>446</v>
      </c>
    </row>
    <row r="18949" spans="1:3">
      <c r="A18949" s="250">
        <v>45063</v>
      </c>
      <c r="B18949" s="74" t="s">
        <v>10463</v>
      </c>
      <c r="C18949" s="74" t="s">
        <v>446</v>
      </c>
    </row>
    <row r="18950" spans="1:3">
      <c r="A18950" s="250">
        <v>45064</v>
      </c>
      <c r="B18950" s="74" t="s">
        <v>915</v>
      </c>
      <c r="C18950" s="74" t="s">
        <v>446</v>
      </c>
    </row>
    <row r="18951" spans="1:3">
      <c r="A18951" s="250">
        <v>45065</v>
      </c>
      <c r="B18951" s="74" t="s">
        <v>10464</v>
      </c>
      <c r="C18951" s="74" t="s">
        <v>446</v>
      </c>
    </row>
    <row r="18952" spans="1:3">
      <c r="A18952" s="250">
        <v>45066</v>
      </c>
      <c r="B18952" s="74" t="s">
        <v>4524</v>
      </c>
      <c r="C18952" s="74" t="s">
        <v>446</v>
      </c>
    </row>
    <row r="18953" spans="1:3">
      <c r="A18953" s="250">
        <v>45067</v>
      </c>
      <c r="B18953" s="74" t="s">
        <v>2532</v>
      </c>
      <c r="C18953" s="74" t="s">
        <v>446</v>
      </c>
    </row>
    <row r="18954" spans="1:3">
      <c r="A18954" s="250">
        <v>45068</v>
      </c>
      <c r="B18954" s="74" t="s">
        <v>7582</v>
      </c>
      <c r="C18954" s="74" t="s">
        <v>446</v>
      </c>
    </row>
    <row r="18955" spans="1:3">
      <c r="A18955" s="250">
        <v>45069</v>
      </c>
      <c r="B18955" s="74" t="s">
        <v>5401</v>
      </c>
      <c r="C18955" s="74" t="s">
        <v>446</v>
      </c>
    </row>
    <row r="18956" spans="1:3">
      <c r="A18956" s="250">
        <v>45070</v>
      </c>
      <c r="B18956" s="74" t="s">
        <v>10465</v>
      </c>
      <c r="C18956" s="74" t="s">
        <v>446</v>
      </c>
    </row>
    <row r="18957" spans="1:3">
      <c r="A18957" s="250">
        <v>45071</v>
      </c>
      <c r="B18957" s="74" t="s">
        <v>5401</v>
      </c>
      <c r="C18957" s="74" t="s">
        <v>446</v>
      </c>
    </row>
    <row r="18958" spans="1:3">
      <c r="A18958" s="250">
        <v>45101</v>
      </c>
      <c r="B18958" s="74" t="s">
        <v>5648</v>
      </c>
      <c r="C18958" s="74" t="s">
        <v>446</v>
      </c>
    </row>
    <row r="18959" spans="1:3">
      <c r="A18959" s="250">
        <v>45102</v>
      </c>
      <c r="B18959" s="74" t="s">
        <v>10466</v>
      </c>
      <c r="C18959" s="74" t="s">
        <v>446</v>
      </c>
    </row>
    <row r="18960" spans="1:3">
      <c r="A18960" s="250">
        <v>45103</v>
      </c>
      <c r="B18960" s="74" t="s">
        <v>3677</v>
      </c>
      <c r="C18960" s="74" t="s">
        <v>446</v>
      </c>
    </row>
    <row r="18961" spans="1:3">
      <c r="A18961" s="250">
        <v>45105</v>
      </c>
      <c r="B18961" s="74" t="s">
        <v>5932</v>
      </c>
      <c r="C18961" s="74" t="s">
        <v>446</v>
      </c>
    </row>
    <row r="18962" spans="1:3">
      <c r="A18962" s="250">
        <v>45106</v>
      </c>
      <c r="B18962" s="74" t="s">
        <v>1434</v>
      </c>
      <c r="C18962" s="74" t="s">
        <v>446</v>
      </c>
    </row>
    <row r="18963" spans="1:3">
      <c r="A18963" s="250">
        <v>45107</v>
      </c>
      <c r="B18963" s="74" t="s">
        <v>10467</v>
      </c>
      <c r="C18963" s="74" t="s">
        <v>446</v>
      </c>
    </row>
    <row r="18964" spans="1:3">
      <c r="A18964" s="250">
        <v>45110</v>
      </c>
      <c r="B18964" s="74" t="s">
        <v>7962</v>
      </c>
      <c r="C18964" s="74" t="s">
        <v>446</v>
      </c>
    </row>
    <row r="18965" spans="1:3">
      <c r="A18965" s="250">
        <v>45111</v>
      </c>
      <c r="B18965" s="74" t="s">
        <v>10468</v>
      </c>
      <c r="C18965" s="74" t="s">
        <v>446</v>
      </c>
    </row>
    <row r="18966" spans="1:3">
      <c r="A18966" s="250">
        <v>45112</v>
      </c>
      <c r="B18966" s="74" t="s">
        <v>10469</v>
      </c>
      <c r="C18966" s="74" t="s">
        <v>446</v>
      </c>
    </row>
    <row r="18967" spans="1:3">
      <c r="A18967" s="250">
        <v>45113</v>
      </c>
      <c r="B18967" s="74" t="s">
        <v>2926</v>
      </c>
      <c r="C18967" s="74" t="s">
        <v>446</v>
      </c>
    </row>
    <row r="18968" spans="1:3">
      <c r="A18968" s="250">
        <v>45114</v>
      </c>
      <c r="B18968" s="74" t="s">
        <v>3857</v>
      </c>
      <c r="C18968" s="74" t="s">
        <v>446</v>
      </c>
    </row>
    <row r="18969" spans="1:3">
      <c r="A18969" s="250">
        <v>45115</v>
      </c>
      <c r="B18969" s="74" t="s">
        <v>7862</v>
      </c>
      <c r="C18969" s="74" t="s">
        <v>446</v>
      </c>
    </row>
    <row r="18970" spans="1:3">
      <c r="A18970" s="250">
        <v>45118</v>
      </c>
      <c r="B18970" s="74" t="s">
        <v>3363</v>
      </c>
      <c r="C18970" s="74" t="s">
        <v>446</v>
      </c>
    </row>
    <row r="18971" spans="1:3">
      <c r="A18971" s="250">
        <v>45119</v>
      </c>
      <c r="B18971" s="74" t="s">
        <v>10470</v>
      </c>
      <c r="C18971" s="74" t="s">
        <v>446</v>
      </c>
    </row>
    <row r="18972" spans="1:3">
      <c r="A18972" s="250">
        <v>45120</v>
      </c>
      <c r="B18972" s="74" t="s">
        <v>10471</v>
      </c>
      <c r="C18972" s="74" t="s">
        <v>446</v>
      </c>
    </row>
    <row r="18973" spans="1:3">
      <c r="A18973" s="250">
        <v>45121</v>
      </c>
      <c r="B18973" s="74" t="s">
        <v>813</v>
      </c>
      <c r="C18973" s="74" t="s">
        <v>446</v>
      </c>
    </row>
    <row r="18974" spans="1:3">
      <c r="A18974" s="250">
        <v>45122</v>
      </c>
      <c r="B18974" s="74" t="s">
        <v>592</v>
      </c>
      <c r="C18974" s="74" t="s">
        <v>446</v>
      </c>
    </row>
    <row r="18975" spans="1:3">
      <c r="A18975" s="250">
        <v>45123</v>
      </c>
      <c r="B18975" s="74" t="s">
        <v>670</v>
      </c>
      <c r="C18975" s="74" t="s">
        <v>446</v>
      </c>
    </row>
    <row r="18976" spans="1:3">
      <c r="A18976" s="250">
        <v>45130</v>
      </c>
      <c r="B18976" s="74" t="s">
        <v>10472</v>
      </c>
      <c r="C18976" s="74" t="s">
        <v>446</v>
      </c>
    </row>
    <row r="18977" spans="1:3">
      <c r="A18977" s="250">
        <v>45131</v>
      </c>
      <c r="B18977" s="74" t="s">
        <v>10473</v>
      </c>
      <c r="C18977" s="74" t="s">
        <v>446</v>
      </c>
    </row>
    <row r="18978" spans="1:3">
      <c r="A18978" s="250">
        <v>45132</v>
      </c>
      <c r="B18978" s="74" t="s">
        <v>3120</v>
      </c>
      <c r="C18978" s="74" t="s">
        <v>446</v>
      </c>
    </row>
    <row r="18979" spans="1:3">
      <c r="A18979" s="250">
        <v>45133</v>
      </c>
      <c r="B18979" s="74" t="s">
        <v>5758</v>
      </c>
      <c r="C18979" s="74" t="s">
        <v>446</v>
      </c>
    </row>
    <row r="18980" spans="1:3">
      <c r="A18980" s="250">
        <v>45135</v>
      </c>
      <c r="B18980" s="74" t="s">
        <v>2488</v>
      </c>
      <c r="C18980" s="74" t="s">
        <v>446</v>
      </c>
    </row>
    <row r="18981" spans="1:3">
      <c r="A18981" s="250">
        <v>45138</v>
      </c>
      <c r="B18981" s="74" t="s">
        <v>10474</v>
      </c>
      <c r="C18981" s="74" t="s">
        <v>446</v>
      </c>
    </row>
    <row r="18982" spans="1:3">
      <c r="A18982" s="250">
        <v>45140</v>
      </c>
      <c r="B18982" s="74" t="s">
        <v>10475</v>
      </c>
      <c r="C18982" s="74" t="s">
        <v>446</v>
      </c>
    </row>
    <row r="18983" spans="1:3">
      <c r="A18983" s="250">
        <v>45142</v>
      </c>
      <c r="B18983" s="74" t="s">
        <v>6412</v>
      </c>
      <c r="C18983" s="74" t="s">
        <v>446</v>
      </c>
    </row>
    <row r="18984" spans="1:3">
      <c r="A18984" s="250">
        <v>45144</v>
      </c>
      <c r="B18984" s="74" t="s">
        <v>848</v>
      </c>
      <c r="C18984" s="74" t="s">
        <v>446</v>
      </c>
    </row>
    <row r="18985" spans="1:3">
      <c r="A18985" s="250">
        <v>45145</v>
      </c>
      <c r="B18985" s="74" t="s">
        <v>3630</v>
      </c>
      <c r="C18985" s="74" t="s">
        <v>446</v>
      </c>
    </row>
    <row r="18986" spans="1:3">
      <c r="A18986" s="250">
        <v>45146</v>
      </c>
      <c r="B18986" s="74" t="s">
        <v>2580</v>
      </c>
      <c r="C18986" s="74" t="s">
        <v>446</v>
      </c>
    </row>
    <row r="18987" spans="1:3">
      <c r="A18987" s="250">
        <v>45147</v>
      </c>
      <c r="B18987" s="74" t="s">
        <v>10476</v>
      </c>
      <c r="C18987" s="74" t="s">
        <v>446</v>
      </c>
    </row>
    <row r="18988" spans="1:3">
      <c r="A18988" s="250">
        <v>45148</v>
      </c>
      <c r="B18988" s="74" t="s">
        <v>3994</v>
      </c>
      <c r="C18988" s="74" t="s">
        <v>446</v>
      </c>
    </row>
    <row r="18989" spans="1:3">
      <c r="A18989" s="250">
        <v>45150</v>
      </c>
      <c r="B18989" s="74" t="s">
        <v>796</v>
      </c>
      <c r="C18989" s="74" t="s">
        <v>446</v>
      </c>
    </row>
    <row r="18990" spans="1:3">
      <c r="A18990" s="250">
        <v>45152</v>
      </c>
      <c r="B18990" s="74" t="s">
        <v>7920</v>
      </c>
      <c r="C18990" s="74" t="s">
        <v>446</v>
      </c>
    </row>
    <row r="18991" spans="1:3">
      <c r="A18991" s="250">
        <v>45153</v>
      </c>
      <c r="B18991" s="74" t="s">
        <v>1851</v>
      </c>
      <c r="C18991" s="74" t="s">
        <v>446</v>
      </c>
    </row>
    <row r="18992" spans="1:3">
      <c r="A18992" s="250">
        <v>45154</v>
      </c>
      <c r="B18992" s="74" t="s">
        <v>10477</v>
      </c>
      <c r="C18992" s="74" t="s">
        <v>446</v>
      </c>
    </row>
    <row r="18993" spans="1:3">
      <c r="A18993" s="250">
        <v>45155</v>
      </c>
      <c r="B18993" s="74" t="s">
        <v>10478</v>
      </c>
      <c r="C18993" s="74" t="s">
        <v>446</v>
      </c>
    </row>
    <row r="18994" spans="1:3">
      <c r="A18994" s="250">
        <v>45156</v>
      </c>
      <c r="B18994" s="74" t="s">
        <v>10479</v>
      </c>
      <c r="C18994" s="74" t="s">
        <v>446</v>
      </c>
    </row>
    <row r="18995" spans="1:3">
      <c r="A18995" s="250">
        <v>45157</v>
      </c>
      <c r="B18995" s="74" t="s">
        <v>6525</v>
      </c>
      <c r="C18995" s="74" t="s">
        <v>446</v>
      </c>
    </row>
    <row r="18996" spans="1:3">
      <c r="A18996" s="250">
        <v>45158</v>
      </c>
      <c r="B18996" s="74" t="s">
        <v>10480</v>
      </c>
      <c r="C18996" s="74" t="s">
        <v>446</v>
      </c>
    </row>
    <row r="18997" spans="1:3">
      <c r="A18997" s="250">
        <v>45159</v>
      </c>
      <c r="B18997" s="74" t="s">
        <v>10481</v>
      </c>
      <c r="C18997" s="74" t="s">
        <v>446</v>
      </c>
    </row>
    <row r="18998" spans="1:3">
      <c r="A18998" s="250">
        <v>45160</v>
      </c>
      <c r="B18998" s="74" t="s">
        <v>10482</v>
      </c>
      <c r="C18998" s="74" t="s">
        <v>446</v>
      </c>
    </row>
    <row r="18999" spans="1:3">
      <c r="A18999" s="250">
        <v>45162</v>
      </c>
      <c r="B18999" s="74" t="s">
        <v>10483</v>
      </c>
      <c r="C18999" s="74" t="s">
        <v>446</v>
      </c>
    </row>
    <row r="19000" spans="1:3">
      <c r="A19000" s="250">
        <v>45164</v>
      </c>
      <c r="B19000" s="74" t="s">
        <v>10484</v>
      </c>
      <c r="C19000" s="74" t="s">
        <v>446</v>
      </c>
    </row>
    <row r="19001" spans="1:3">
      <c r="A19001" s="250">
        <v>45166</v>
      </c>
      <c r="B19001" s="74" t="s">
        <v>10485</v>
      </c>
      <c r="C19001" s="74" t="s">
        <v>446</v>
      </c>
    </row>
    <row r="19002" spans="1:3">
      <c r="A19002" s="250">
        <v>45167</v>
      </c>
      <c r="B19002" s="74" t="s">
        <v>3884</v>
      </c>
      <c r="C19002" s="74" t="s">
        <v>446</v>
      </c>
    </row>
    <row r="19003" spans="1:3">
      <c r="A19003" s="250">
        <v>45168</v>
      </c>
      <c r="B19003" s="74" t="s">
        <v>7718</v>
      </c>
      <c r="C19003" s="74" t="s">
        <v>446</v>
      </c>
    </row>
    <row r="19004" spans="1:3">
      <c r="A19004" s="250">
        <v>45169</v>
      </c>
      <c r="B19004" s="74" t="s">
        <v>10486</v>
      </c>
      <c r="C19004" s="74" t="s">
        <v>446</v>
      </c>
    </row>
    <row r="19005" spans="1:3">
      <c r="A19005" s="250">
        <v>45171</v>
      </c>
      <c r="B19005" s="74" t="s">
        <v>3734</v>
      </c>
      <c r="C19005" s="74" t="s">
        <v>446</v>
      </c>
    </row>
    <row r="19006" spans="1:3">
      <c r="A19006" s="250">
        <v>45172</v>
      </c>
      <c r="B19006" s="74" t="s">
        <v>10487</v>
      </c>
      <c r="C19006" s="74" t="s">
        <v>446</v>
      </c>
    </row>
    <row r="19007" spans="1:3">
      <c r="A19007" s="250">
        <v>45174</v>
      </c>
      <c r="B19007" s="74" t="s">
        <v>10488</v>
      </c>
      <c r="C19007" s="74" t="s">
        <v>446</v>
      </c>
    </row>
    <row r="19008" spans="1:3">
      <c r="A19008" s="250">
        <v>45176</v>
      </c>
      <c r="B19008" s="74" t="s">
        <v>631</v>
      </c>
      <c r="C19008" s="74" t="s">
        <v>446</v>
      </c>
    </row>
    <row r="19009" spans="1:3">
      <c r="A19009" s="250">
        <v>45177</v>
      </c>
      <c r="B19009" s="74" t="s">
        <v>831</v>
      </c>
      <c r="C19009" s="74" t="s">
        <v>446</v>
      </c>
    </row>
    <row r="19010" spans="1:3">
      <c r="A19010" s="250">
        <v>45201</v>
      </c>
      <c r="B19010" s="74" t="s">
        <v>10489</v>
      </c>
      <c r="C19010" s="74" t="s">
        <v>446</v>
      </c>
    </row>
    <row r="19011" spans="1:3">
      <c r="A19011" s="250">
        <v>45202</v>
      </c>
      <c r="B19011" s="74" t="s">
        <v>10489</v>
      </c>
      <c r="C19011" s="74" t="s">
        <v>446</v>
      </c>
    </row>
    <row r="19012" spans="1:3">
      <c r="A19012" s="250">
        <v>45203</v>
      </c>
      <c r="B19012" s="74" t="s">
        <v>10489</v>
      </c>
      <c r="C19012" s="74" t="s">
        <v>446</v>
      </c>
    </row>
    <row r="19013" spans="1:3">
      <c r="A19013" s="250">
        <v>45204</v>
      </c>
      <c r="B19013" s="74" t="s">
        <v>10489</v>
      </c>
      <c r="C19013" s="74" t="s">
        <v>446</v>
      </c>
    </row>
    <row r="19014" spans="1:3">
      <c r="A19014" s="250">
        <v>45205</v>
      </c>
      <c r="B19014" s="74" t="s">
        <v>10489</v>
      </c>
      <c r="C19014" s="74" t="s">
        <v>446</v>
      </c>
    </row>
    <row r="19015" spans="1:3">
      <c r="A19015" s="250">
        <v>45206</v>
      </c>
      <c r="B19015" s="74" t="s">
        <v>10489</v>
      </c>
      <c r="C19015" s="74" t="s">
        <v>446</v>
      </c>
    </row>
    <row r="19016" spans="1:3">
      <c r="A19016" s="250">
        <v>45207</v>
      </c>
      <c r="B19016" s="74" t="s">
        <v>10489</v>
      </c>
      <c r="C19016" s="74" t="s">
        <v>446</v>
      </c>
    </row>
    <row r="19017" spans="1:3">
      <c r="A19017" s="250">
        <v>45208</v>
      </c>
      <c r="B19017" s="74" t="s">
        <v>10489</v>
      </c>
      <c r="C19017" s="74" t="s">
        <v>446</v>
      </c>
    </row>
    <row r="19018" spans="1:3">
      <c r="A19018" s="250">
        <v>45209</v>
      </c>
      <c r="B19018" s="74" t="s">
        <v>10489</v>
      </c>
      <c r="C19018" s="74" t="s">
        <v>446</v>
      </c>
    </row>
    <row r="19019" spans="1:3">
      <c r="A19019" s="250">
        <v>45211</v>
      </c>
      <c r="B19019" s="74" t="s">
        <v>10489</v>
      </c>
      <c r="C19019" s="74" t="s">
        <v>446</v>
      </c>
    </row>
    <row r="19020" spans="1:3">
      <c r="A19020" s="250">
        <v>45212</v>
      </c>
      <c r="B19020" s="74" t="s">
        <v>10489</v>
      </c>
      <c r="C19020" s="74" t="s">
        <v>446</v>
      </c>
    </row>
    <row r="19021" spans="1:3">
      <c r="A19021" s="250">
        <v>45213</v>
      </c>
      <c r="B19021" s="74" t="s">
        <v>10489</v>
      </c>
      <c r="C19021" s="74" t="s">
        <v>446</v>
      </c>
    </row>
    <row r="19022" spans="1:3">
      <c r="A19022" s="250">
        <v>45214</v>
      </c>
      <c r="B19022" s="74" t="s">
        <v>10489</v>
      </c>
      <c r="C19022" s="74" t="s">
        <v>446</v>
      </c>
    </row>
    <row r="19023" spans="1:3">
      <c r="A19023" s="250">
        <v>45215</v>
      </c>
      <c r="B19023" s="74" t="s">
        <v>10489</v>
      </c>
      <c r="C19023" s="74" t="s">
        <v>446</v>
      </c>
    </row>
    <row r="19024" spans="1:3">
      <c r="A19024" s="250">
        <v>45216</v>
      </c>
      <c r="B19024" s="74" t="s">
        <v>10489</v>
      </c>
      <c r="C19024" s="74" t="s">
        <v>446</v>
      </c>
    </row>
    <row r="19025" spans="1:3">
      <c r="A19025" s="250">
        <v>45217</v>
      </c>
      <c r="B19025" s="74" t="s">
        <v>10489</v>
      </c>
      <c r="C19025" s="74" t="s">
        <v>446</v>
      </c>
    </row>
    <row r="19026" spans="1:3">
      <c r="A19026" s="250">
        <v>45218</v>
      </c>
      <c r="B19026" s="74" t="s">
        <v>10489</v>
      </c>
      <c r="C19026" s="74" t="s">
        <v>446</v>
      </c>
    </row>
    <row r="19027" spans="1:3">
      <c r="A19027" s="250">
        <v>45219</v>
      </c>
      <c r="B19027" s="74" t="s">
        <v>10489</v>
      </c>
      <c r="C19027" s="74" t="s">
        <v>446</v>
      </c>
    </row>
    <row r="19028" spans="1:3">
      <c r="A19028" s="250">
        <v>45220</v>
      </c>
      <c r="B19028" s="74" t="s">
        <v>10489</v>
      </c>
      <c r="C19028" s="74" t="s">
        <v>446</v>
      </c>
    </row>
    <row r="19029" spans="1:3">
      <c r="A19029" s="250">
        <v>45221</v>
      </c>
      <c r="B19029" s="74" t="s">
        <v>10489</v>
      </c>
      <c r="C19029" s="74" t="s">
        <v>446</v>
      </c>
    </row>
    <row r="19030" spans="1:3">
      <c r="A19030" s="250">
        <v>45222</v>
      </c>
      <c r="B19030" s="74" t="s">
        <v>10489</v>
      </c>
      <c r="C19030" s="74" t="s">
        <v>446</v>
      </c>
    </row>
    <row r="19031" spans="1:3">
      <c r="A19031" s="250">
        <v>45223</v>
      </c>
      <c r="B19031" s="74" t="s">
        <v>10489</v>
      </c>
      <c r="C19031" s="74" t="s">
        <v>446</v>
      </c>
    </row>
    <row r="19032" spans="1:3">
      <c r="A19032" s="250">
        <v>45224</v>
      </c>
      <c r="B19032" s="74" t="s">
        <v>10489</v>
      </c>
      <c r="C19032" s="74" t="s">
        <v>446</v>
      </c>
    </row>
    <row r="19033" spans="1:3">
      <c r="A19033" s="250">
        <v>45225</v>
      </c>
      <c r="B19033" s="74" t="s">
        <v>10489</v>
      </c>
      <c r="C19033" s="74" t="s">
        <v>446</v>
      </c>
    </row>
    <row r="19034" spans="1:3">
      <c r="A19034" s="250">
        <v>45226</v>
      </c>
      <c r="B19034" s="74" t="s">
        <v>10489</v>
      </c>
      <c r="C19034" s="74" t="s">
        <v>446</v>
      </c>
    </row>
    <row r="19035" spans="1:3">
      <c r="A19035" s="250">
        <v>45227</v>
      </c>
      <c r="B19035" s="74" t="s">
        <v>10489</v>
      </c>
      <c r="C19035" s="74" t="s">
        <v>446</v>
      </c>
    </row>
    <row r="19036" spans="1:3">
      <c r="A19036" s="250">
        <v>45228</v>
      </c>
      <c r="B19036" s="74" t="s">
        <v>10489</v>
      </c>
      <c r="C19036" s="74" t="s">
        <v>446</v>
      </c>
    </row>
    <row r="19037" spans="1:3">
      <c r="A19037" s="250">
        <v>45229</v>
      </c>
      <c r="B19037" s="74" t="s">
        <v>10489</v>
      </c>
      <c r="C19037" s="74" t="s">
        <v>446</v>
      </c>
    </row>
    <row r="19038" spans="1:3">
      <c r="A19038" s="250">
        <v>45230</v>
      </c>
      <c r="B19038" s="74" t="s">
        <v>10489</v>
      </c>
      <c r="C19038" s="74" t="s">
        <v>446</v>
      </c>
    </row>
    <row r="19039" spans="1:3">
      <c r="A19039" s="250">
        <v>45231</v>
      </c>
      <c r="B19039" s="74" t="s">
        <v>10489</v>
      </c>
      <c r="C19039" s="74" t="s">
        <v>446</v>
      </c>
    </row>
    <row r="19040" spans="1:3">
      <c r="A19040" s="250">
        <v>45232</v>
      </c>
      <c r="B19040" s="74" t="s">
        <v>10489</v>
      </c>
      <c r="C19040" s="74" t="s">
        <v>446</v>
      </c>
    </row>
    <row r="19041" spans="1:3">
      <c r="A19041" s="250">
        <v>45233</v>
      </c>
      <c r="B19041" s="74" t="s">
        <v>10489</v>
      </c>
      <c r="C19041" s="74" t="s">
        <v>446</v>
      </c>
    </row>
    <row r="19042" spans="1:3">
      <c r="A19042" s="250">
        <v>45234</v>
      </c>
      <c r="B19042" s="74" t="s">
        <v>10489</v>
      </c>
      <c r="C19042" s="74" t="s">
        <v>446</v>
      </c>
    </row>
    <row r="19043" spans="1:3">
      <c r="A19043" s="250">
        <v>45235</v>
      </c>
      <c r="B19043" s="74" t="s">
        <v>10489</v>
      </c>
      <c r="C19043" s="74" t="s">
        <v>446</v>
      </c>
    </row>
    <row r="19044" spans="1:3">
      <c r="A19044" s="250">
        <v>45236</v>
      </c>
      <c r="B19044" s="74" t="s">
        <v>10489</v>
      </c>
      <c r="C19044" s="74" t="s">
        <v>446</v>
      </c>
    </row>
    <row r="19045" spans="1:3">
      <c r="A19045" s="250">
        <v>45237</v>
      </c>
      <c r="B19045" s="74" t="s">
        <v>10489</v>
      </c>
      <c r="C19045" s="74" t="s">
        <v>446</v>
      </c>
    </row>
    <row r="19046" spans="1:3">
      <c r="A19046" s="250">
        <v>45238</v>
      </c>
      <c r="B19046" s="74" t="s">
        <v>10489</v>
      </c>
      <c r="C19046" s="74" t="s">
        <v>446</v>
      </c>
    </row>
    <row r="19047" spans="1:3">
      <c r="A19047" s="250">
        <v>45239</v>
      </c>
      <c r="B19047" s="74" t="s">
        <v>10489</v>
      </c>
      <c r="C19047" s="74" t="s">
        <v>446</v>
      </c>
    </row>
    <row r="19048" spans="1:3">
      <c r="A19048" s="250">
        <v>45240</v>
      </c>
      <c r="B19048" s="74" t="s">
        <v>10489</v>
      </c>
      <c r="C19048" s="74" t="s">
        <v>446</v>
      </c>
    </row>
    <row r="19049" spans="1:3">
      <c r="A19049" s="250">
        <v>45241</v>
      </c>
      <c r="B19049" s="74" t="s">
        <v>10489</v>
      </c>
      <c r="C19049" s="74" t="s">
        <v>446</v>
      </c>
    </row>
    <row r="19050" spans="1:3">
      <c r="A19050" s="250">
        <v>45242</v>
      </c>
      <c r="B19050" s="74" t="s">
        <v>10489</v>
      </c>
      <c r="C19050" s="74" t="s">
        <v>446</v>
      </c>
    </row>
    <row r="19051" spans="1:3">
      <c r="A19051" s="250">
        <v>45243</v>
      </c>
      <c r="B19051" s="74" t="s">
        <v>10489</v>
      </c>
      <c r="C19051" s="74" t="s">
        <v>446</v>
      </c>
    </row>
    <row r="19052" spans="1:3">
      <c r="A19052" s="250">
        <v>45244</v>
      </c>
      <c r="B19052" s="74" t="s">
        <v>10489</v>
      </c>
      <c r="C19052" s="74" t="s">
        <v>446</v>
      </c>
    </row>
    <row r="19053" spans="1:3">
      <c r="A19053" s="250">
        <v>45245</v>
      </c>
      <c r="B19053" s="74" t="s">
        <v>10489</v>
      </c>
      <c r="C19053" s="74" t="s">
        <v>446</v>
      </c>
    </row>
    <row r="19054" spans="1:3">
      <c r="A19054" s="250">
        <v>45246</v>
      </c>
      <c r="B19054" s="74" t="s">
        <v>10489</v>
      </c>
      <c r="C19054" s="74" t="s">
        <v>446</v>
      </c>
    </row>
    <row r="19055" spans="1:3">
      <c r="A19055" s="250">
        <v>45247</v>
      </c>
      <c r="B19055" s="74" t="s">
        <v>10489</v>
      </c>
      <c r="C19055" s="74" t="s">
        <v>446</v>
      </c>
    </row>
    <row r="19056" spans="1:3">
      <c r="A19056" s="250">
        <v>45248</v>
      </c>
      <c r="B19056" s="74" t="s">
        <v>10489</v>
      </c>
      <c r="C19056" s="74" t="s">
        <v>446</v>
      </c>
    </row>
    <row r="19057" spans="1:3">
      <c r="A19057" s="250">
        <v>45249</v>
      </c>
      <c r="B19057" s="74" t="s">
        <v>10489</v>
      </c>
      <c r="C19057" s="74" t="s">
        <v>446</v>
      </c>
    </row>
    <row r="19058" spans="1:3">
      <c r="A19058" s="250">
        <v>45250</v>
      </c>
      <c r="B19058" s="74" t="s">
        <v>10489</v>
      </c>
      <c r="C19058" s="74" t="s">
        <v>446</v>
      </c>
    </row>
    <row r="19059" spans="1:3">
      <c r="A19059" s="250">
        <v>45251</v>
      </c>
      <c r="B19059" s="74" t="s">
        <v>10489</v>
      </c>
      <c r="C19059" s="74" t="s">
        <v>446</v>
      </c>
    </row>
    <row r="19060" spans="1:3">
      <c r="A19060" s="250">
        <v>45252</v>
      </c>
      <c r="B19060" s="74" t="s">
        <v>10489</v>
      </c>
      <c r="C19060" s="74" t="s">
        <v>446</v>
      </c>
    </row>
    <row r="19061" spans="1:3">
      <c r="A19061" s="250">
        <v>45253</v>
      </c>
      <c r="B19061" s="74" t="s">
        <v>10489</v>
      </c>
      <c r="C19061" s="74" t="s">
        <v>446</v>
      </c>
    </row>
    <row r="19062" spans="1:3">
      <c r="A19062" s="250">
        <v>45254</v>
      </c>
      <c r="B19062" s="74" t="s">
        <v>10489</v>
      </c>
      <c r="C19062" s="74" t="s">
        <v>446</v>
      </c>
    </row>
    <row r="19063" spans="1:3">
      <c r="A19063" s="250">
        <v>45255</v>
      </c>
      <c r="B19063" s="74" t="s">
        <v>10489</v>
      </c>
      <c r="C19063" s="74" t="s">
        <v>446</v>
      </c>
    </row>
    <row r="19064" spans="1:3">
      <c r="A19064" s="250">
        <v>45258</v>
      </c>
      <c r="B19064" s="74" t="s">
        <v>10489</v>
      </c>
      <c r="C19064" s="74" t="s">
        <v>446</v>
      </c>
    </row>
    <row r="19065" spans="1:3">
      <c r="A19065" s="250">
        <v>45262</v>
      </c>
      <c r="B19065" s="74" t="s">
        <v>10489</v>
      </c>
      <c r="C19065" s="74" t="s">
        <v>446</v>
      </c>
    </row>
    <row r="19066" spans="1:3">
      <c r="A19066" s="250">
        <v>45263</v>
      </c>
      <c r="B19066" s="74" t="s">
        <v>10489</v>
      </c>
      <c r="C19066" s="74" t="s">
        <v>446</v>
      </c>
    </row>
    <row r="19067" spans="1:3">
      <c r="A19067" s="250">
        <v>45264</v>
      </c>
      <c r="B19067" s="74" t="s">
        <v>10489</v>
      </c>
      <c r="C19067" s="74" t="s">
        <v>446</v>
      </c>
    </row>
    <row r="19068" spans="1:3">
      <c r="A19068" s="250">
        <v>45267</v>
      </c>
      <c r="B19068" s="74" t="s">
        <v>10489</v>
      </c>
      <c r="C19068" s="74" t="s">
        <v>446</v>
      </c>
    </row>
    <row r="19069" spans="1:3">
      <c r="A19069" s="250">
        <v>45268</v>
      </c>
      <c r="B19069" s="74" t="s">
        <v>10489</v>
      </c>
      <c r="C19069" s="74" t="s">
        <v>446</v>
      </c>
    </row>
    <row r="19070" spans="1:3">
      <c r="A19070" s="250">
        <v>45269</v>
      </c>
      <c r="B19070" s="74" t="s">
        <v>10489</v>
      </c>
      <c r="C19070" s="74" t="s">
        <v>446</v>
      </c>
    </row>
    <row r="19071" spans="1:3">
      <c r="A19071" s="250">
        <v>45270</v>
      </c>
      <c r="B19071" s="74" t="s">
        <v>10489</v>
      </c>
      <c r="C19071" s="74" t="s">
        <v>446</v>
      </c>
    </row>
    <row r="19072" spans="1:3">
      <c r="A19072" s="250">
        <v>45271</v>
      </c>
      <c r="B19072" s="74" t="s">
        <v>10489</v>
      </c>
      <c r="C19072" s="74" t="s">
        <v>446</v>
      </c>
    </row>
    <row r="19073" spans="1:3">
      <c r="A19073" s="250">
        <v>45273</v>
      </c>
      <c r="B19073" s="74" t="s">
        <v>10489</v>
      </c>
      <c r="C19073" s="74" t="s">
        <v>446</v>
      </c>
    </row>
    <row r="19074" spans="1:3">
      <c r="A19074" s="250">
        <v>45274</v>
      </c>
      <c r="B19074" s="74" t="s">
        <v>10489</v>
      </c>
      <c r="C19074" s="74" t="s">
        <v>446</v>
      </c>
    </row>
    <row r="19075" spans="1:3">
      <c r="A19075" s="250">
        <v>45275</v>
      </c>
      <c r="B19075" s="74" t="s">
        <v>10489</v>
      </c>
      <c r="C19075" s="74" t="s">
        <v>446</v>
      </c>
    </row>
    <row r="19076" spans="1:3">
      <c r="A19076" s="250">
        <v>45277</v>
      </c>
      <c r="B19076" s="74" t="s">
        <v>10489</v>
      </c>
      <c r="C19076" s="74" t="s">
        <v>446</v>
      </c>
    </row>
    <row r="19077" spans="1:3">
      <c r="A19077" s="250">
        <v>45280</v>
      </c>
      <c r="B19077" s="74" t="s">
        <v>10489</v>
      </c>
      <c r="C19077" s="74" t="s">
        <v>446</v>
      </c>
    </row>
    <row r="19078" spans="1:3">
      <c r="A19078" s="250">
        <v>45296</v>
      </c>
      <c r="B19078" s="74" t="s">
        <v>10489</v>
      </c>
      <c r="C19078" s="74" t="s">
        <v>446</v>
      </c>
    </row>
    <row r="19079" spans="1:3">
      <c r="A19079" s="250">
        <v>45298</v>
      </c>
      <c r="B19079" s="74" t="s">
        <v>10489</v>
      </c>
      <c r="C19079" s="74" t="s">
        <v>446</v>
      </c>
    </row>
    <row r="19080" spans="1:3">
      <c r="A19080" s="250">
        <v>45299</v>
      </c>
      <c r="B19080" s="74" t="s">
        <v>10489</v>
      </c>
      <c r="C19080" s="74" t="s">
        <v>446</v>
      </c>
    </row>
    <row r="19081" spans="1:3">
      <c r="A19081" s="250">
        <v>45301</v>
      </c>
      <c r="B19081" s="74" t="s">
        <v>10047</v>
      </c>
      <c r="C19081" s="74" t="s">
        <v>446</v>
      </c>
    </row>
    <row r="19082" spans="1:3">
      <c r="A19082" s="250">
        <v>45302</v>
      </c>
      <c r="B19082" s="74" t="s">
        <v>10490</v>
      </c>
      <c r="C19082" s="74" t="s">
        <v>446</v>
      </c>
    </row>
    <row r="19083" spans="1:3">
      <c r="A19083" s="250">
        <v>45303</v>
      </c>
      <c r="B19083" s="74" t="s">
        <v>2039</v>
      </c>
      <c r="C19083" s="74" t="s">
        <v>446</v>
      </c>
    </row>
    <row r="19084" spans="1:3">
      <c r="A19084" s="250">
        <v>45304</v>
      </c>
      <c r="B19084" s="74" t="s">
        <v>10491</v>
      </c>
      <c r="C19084" s="74" t="s">
        <v>446</v>
      </c>
    </row>
    <row r="19085" spans="1:3">
      <c r="A19085" s="250">
        <v>45305</v>
      </c>
      <c r="B19085" s="74" t="s">
        <v>10492</v>
      </c>
      <c r="C19085" s="74" t="s">
        <v>446</v>
      </c>
    </row>
    <row r="19086" spans="1:3">
      <c r="A19086" s="250">
        <v>45306</v>
      </c>
      <c r="B19086" s="74" t="s">
        <v>10493</v>
      </c>
      <c r="C19086" s="74" t="s">
        <v>446</v>
      </c>
    </row>
    <row r="19087" spans="1:3">
      <c r="A19087" s="250">
        <v>45307</v>
      </c>
      <c r="B19087" s="74" t="s">
        <v>7963</v>
      </c>
      <c r="C19087" s="74" t="s">
        <v>446</v>
      </c>
    </row>
    <row r="19088" spans="1:3">
      <c r="A19088" s="250">
        <v>45308</v>
      </c>
      <c r="B19088" s="74" t="s">
        <v>1097</v>
      </c>
      <c r="C19088" s="74" t="s">
        <v>446</v>
      </c>
    </row>
    <row r="19089" spans="1:3">
      <c r="A19089" s="250">
        <v>45309</v>
      </c>
      <c r="B19089" s="74" t="s">
        <v>4318</v>
      </c>
      <c r="C19089" s="74" t="s">
        <v>446</v>
      </c>
    </row>
    <row r="19090" spans="1:3">
      <c r="A19090" s="250">
        <v>45310</v>
      </c>
      <c r="B19090" s="74" t="s">
        <v>10494</v>
      </c>
      <c r="C19090" s="74" t="s">
        <v>446</v>
      </c>
    </row>
    <row r="19091" spans="1:3">
      <c r="A19091" s="250">
        <v>45311</v>
      </c>
      <c r="B19091" s="74" t="s">
        <v>1660</v>
      </c>
      <c r="C19091" s="74" t="s">
        <v>446</v>
      </c>
    </row>
    <row r="19092" spans="1:3">
      <c r="A19092" s="250">
        <v>45312</v>
      </c>
      <c r="B19092" s="74" t="s">
        <v>10495</v>
      </c>
      <c r="C19092" s="74" t="s">
        <v>446</v>
      </c>
    </row>
    <row r="19093" spans="1:3">
      <c r="A19093" s="250">
        <v>45314</v>
      </c>
      <c r="B19093" s="74" t="s">
        <v>2475</v>
      </c>
      <c r="C19093" s="74" t="s">
        <v>446</v>
      </c>
    </row>
    <row r="19094" spans="1:3">
      <c r="A19094" s="250">
        <v>45315</v>
      </c>
      <c r="B19094" s="74" t="s">
        <v>2476</v>
      </c>
      <c r="C19094" s="74" t="s">
        <v>446</v>
      </c>
    </row>
    <row r="19095" spans="1:3">
      <c r="A19095" s="250">
        <v>45316</v>
      </c>
      <c r="B19095" s="74" t="s">
        <v>2117</v>
      </c>
      <c r="C19095" s="74" t="s">
        <v>446</v>
      </c>
    </row>
    <row r="19096" spans="1:3">
      <c r="A19096" s="250">
        <v>45317</v>
      </c>
      <c r="B19096" s="74" t="s">
        <v>7472</v>
      </c>
      <c r="C19096" s="74" t="s">
        <v>446</v>
      </c>
    </row>
    <row r="19097" spans="1:3">
      <c r="A19097" s="250">
        <v>45318</v>
      </c>
      <c r="B19097" s="74" t="s">
        <v>4668</v>
      </c>
      <c r="C19097" s="74" t="s">
        <v>446</v>
      </c>
    </row>
    <row r="19098" spans="1:3">
      <c r="A19098" s="250">
        <v>45319</v>
      </c>
      <c r="B19098" s="74" t="s">
        <v>10496</v>
      </c>
      <c r="C19098" s="74" t="s">
        <v>446</v>
      </c>
    </row>
    <row r="19099" spans="1:3">
      <c r="A19099" s="250">
        <v>45320</v>
      </c>
      <c r="B19099" s="74" t="s">
        <v>3452</v>
      </c>
      <c r="C19099" s="74" t="s">
        <v>446</v>
      </c>
    </row>
    <row r="19100" spans="1:3">
      <c r="A19100" s="250">
        <v>45321</v>
      </c>
      <c r="B19100" s="74" t="s">
        <v>10497</v>
      </c>
      <c r="C19100" s="74" t="s">
        <v>446</v>
      </c>
    </row>
    <row r="19101" spans="1:3">
      <c r="A19101" s="250">
        <v>45322</v>
      </c>
      <c r="B19101" s="74" t="s">
        <v>2232</v>
      </c>
      <c r="C19101" s="74" t="s">
        <v>446</v>
      </c>
    </row>
    <row r="19102" spans="1:3">
      <c r="A19102" s="250">
        <v>45323</v>
      </c>
      <c r="B19102" s="74" t="s">
        <v>10498</v>
      </c>
      <c r="C19102" s="74" t="s">
        <v>446</v>
      </c>
    </row>
    <row r="19103" spans="1:3">
      <c r="A19103" s="250">
        <v>45324</v>
      </c>
      <c r="B19103" s="74" t="s">
        <v>10499</v>
      </c>
      <c r="C19103" s="74" t="s">
        <v>446</v>
      </c>
    </row>
    <row r="19104" spans="1:3">
      <c r="A19104" s="250">
        <v>45325</v>
      </c>
      <c r="B19104" s="74" t="s">
        <v>10500</v>
      </c>
      <c r="C19104" s="74" t="s">
        <v>446</v>
      </c>
    </row>
    <row r="19105" spans="1:3">
      <c r="A19105" s="250">
        <v>45326</v>
      </c>
      <c r="B19105" s="74" t="s">
        <v>7550</v>
      </c>
      <c r="C19105" s="74" t="s">
        <v>446</v>
      </c>
    </row>
    <row r="19106" spans="1:3">
      <c r="A19106" s="250">
        <v>45327</v>
      </c>
      <c r="B19106" s="74" t="s">
        <v>3118</v>
      </c>
      <c r="C19106" s="74" t="s">
        <v>446</v>
      </c>
    </row>
    <row r="19107" spans="1:3">
      <c r="A19107" s="250">
        <v>45328</v>
      </c>
      <c r="B19107" s="74" t="s">
        <v>4821</v>
      </c>
      <c r="C19107" s="74" t="s">
        <v>446</v>
      </c>
    </row>
    <row r="19108" spans="1:3">
      <c r="A19108" s="250">
        <v>45330</v>
      </c>
      <c r="B19108" s="74" t="s">
        <v>10501</v>
      </c>
      <c r="C19108" s="74" t="s">
        <v>446</v>
      </c>
    </row>
    <row r="19109" spans="1:3">
      <c r="A19109" s="250">
        <v>45331</v>
      </c>
      <c r="B19109" s="74" t="s">
        <v>1108</v>
      </c>
      <c r="C19109" s="74" t="s">
        <v>446</v>
      </c>
    </row>
    <row r="19110" spans="1:3">
      <c r="A19110" s="250">
        <v>45332</v>
      </c>
      <c r="B19110" s="74" t="s">
        <v>10502</v>
      </c>
      <c r="C19110" s="74" t="s">
        <v>446</v>
      </c>
    </row>
    <row r="19111" spans="1:3">
      <c r="A19111" s="250">
        <v>45333</v>
      </c>
      <c r="B19111" s="74" t="s">
        <v>4063</v>
      </c>
      <c r="C19111" s="74" t="s">
        <v>446</v>
      </c>
    </row>
    <row r="19112" spans="1:3">
      <c r="A19112" s="250">
        <v>45334</v>
      </c>
      <c r="B19112" s="74" t="s">
        <v>4421</v>
      </c>
      <c r="C19112" s="74" t="s">
        <v>446</v>
      </c>
    </row>
    <row r="19113" spans="1:3">
      <c r="A19113" s="250">
        <v>45335</v>
      </c>
      <c r="B19113" s="74" t="s">
        <v>1113</v>
      </c>
      <c r="C19113" s="74" t="s">
        <v>446</v>
      </c>
    </row>
    <row r="19114" spans="1:3">
      <c r="A19114" s="250">
        <v>45336</v>
      </c>
      <c r="B19114" s="74" t="s">
        <v>10503</v>
      </c>
      <c r="C19114" s="74" t="s">
        <v>446</v>
      </c>
    </row>
    <row r="19115" spans="1:3">
      <c r="A19115" s="250">
        <v>45337</v>
      </c>
      <c r="B19115" s="74" t="s">
        <v>10504</v>
      </c>
      <c r="C19115" s="74" t="s">
        <v>446</v>
      </c>
    </row>
    <row r="19116" spans="1:3">
      <c r="A19116" s="250">
        <v>45338</v>
      </c>
      <c r="B19116" s="74" t="s">
        <v>4952</v>
      </c>
      <c r="C19116" s="74" t="s">
        <v>446</v>
      </c>
    </row>
    <row r="19117" spans="1:3">
      <c r="A19117" s="250">
        <v>45339</v>
      </c>
      <c r="B19117" s="74" t="s">
        <v>10505</v>
      </c>
      <c r="C19117" s="74" t="s">
        <v>446</v>
      </c>
    </row>
    <row r="19118" spans="1:3">
      <c r="A19118" s="250">
        <v>45340</v>
      </c>
      <c r="B19118" s="74" t="s">
        <v>2136</v>
      </c>
      <c r="C19118" s="74" t="s">
        <v>446</v>
      </c>
    </row>
    <row r="19119" spans="1:3">
      <c r="A19119" s="250">
        <v>45341</v>
      </c>
      <c r="B19119" s="74" t="s">
        <v>883</v>
      </c>
      <c r="C19119" s="74" t="s">
        <v>446</v>
      </c>
    </row>
    <row r="19120" spans="1:3">
      <c r="A19120" s="250">
        <v>45342</v>
      </c>
      <c r="B19120" s="74" t="s">
        <v>10506</v>
      </c>
      <c r="C19120" s="74" t="s">
        <v>446</v>
      </c>
    </row>
    <row r="19121" spans="1:3">
      <c r="A19121" s="250">
        <v>45343</v>
      </c>
      <c r="B19121" s="74" t="s">
        <v>10506</v>
      </c>
      <c r="C19121" s="74" t="s">
        <v>446</v>
      </c>
    </row>
    <row r="19122" spans="1:3">
      <c r="A19122" s="250">
        <v>45344</v>
      </c>
      <c r="B19122" s="74" t="s">
        <v>10507</v>
      </c>
      <c r="C19122" s="74" t="s">
        <v>446</v>
      </c>
    </row>
    <row r="19123" spans="1:3">
      <c r="A19123" s="250">
        <v>45345</v>
      </c>
      <c r="B19123" s="74" t="s">
        <v>2981</v>
      </c>
      <c r="C19123" s="74" t="s">
        <v>446</v>
      </c>
    </row>
    <row r="19124" spans="1:3">
      <c r="A19124" s="250">
        <v>45346</v>
      </c>
      <c r="B19124" s="74" t="s">
        <v>10508</v>
      </c>
      <c r="C19124" s="74" t="s">
        <v>446</v>
      </c>
    </row>
    <row r="19125" spans="1:3">
      <c r="A19125" s="250">
        <v>45347</v>
      </c>
      <c r="B19125" s="74" t="s">
        <v>4176</v>
      </c>
      <c r="C19125" s="74" t="s">
        <v>446</v>
      </c>
    </row>
    <row r="19126" spans="1:3">
      <c r="A19126" s="250">
        <v>45348</v>
      </c>
      <c r="B19126" s="74" t="s">
        <v>10509</v>
      </c>
      <c r="C19126" s="74" t="s">
        <v>446</v>
      </c>
    </row>
    <row r="19127" spans="1:3">
      <c r="A19127" s="250">
        <v>45349</v>
      </c>
      <c r="B19127" s="74" t="s">
        <v>1330</v>
      </c>
      <c r="C19127" s="74" t="s">
        <v>446</v>
      </c>
    </row>
    <row r="19128" spans="1:3">
      <c r="A19128" s="250">
        <v>45350</v>
      </c>
      <c r="B19128" s="74" t="s">
        <v>10510</v>
      </c>
      <c r="C19128" s="74" t="s">
        <v>446</v>
      </c>
    </row>
    <row r="19129" spans="1:3">
      <c r="A19129" s="250">
        <v>45351</v>
      </c>
      <c r="B19129" s="74" t="s">
        <v>10511</v>
      </c>
      <c r="C19129" s="74" t="s">
        <v>446</v>
      </c>
    </row>
    <row r="19130" spans="1:3">
      <c r="A19130" s="250">
        <v>45352</v>
      </c>
      <c r="B19130" s="74" t="s">
        <v>6878</v>
      </c>
      <c r="C19130" s="74" t="s">
        <v>446</v>
      </c>
    </row>
    <row r="19131" spans="1:3">
      <c r="A19131" s="250">
        <v>45353</v>
      </c>
      <c r="B19131" s="74" t="s">
        <v>2413</v>
      </c>
      <c r="C19131" s="74" t="s">
        <v>446</v>
      </c>
    </row>
    <row r="19132" spans="1:3">
      <c r="A19132" s="250">
        <v>45354</v>
      </c>
      <c r="B19132" s="74" t="s">
        <v>2592</v>
      </c>
      <c r="C19132" s="74" t="s">
        <v>446</v>
      </c>
    </row>
    <row r="19133" spans="1:3">
      <c r="A19133" s="250">
        <v>45356</v>
      </c>
      <c r="B19133" s="74" t="s">
        <v>10512</v>
      </c>
      <c r="C19133" s="74" t="s">
        <v>446</v>
      </c>
    </row>
    <row r="19134" spans="1:3">
      <c r="A19134" s="250">
        <v>45358</v>
      </c>
      <c r="B19134" s="74" t="s">
        <v>10513</v>
      </c>
      <c r="C19134" s="74" t="s">
        <v>446</v>
      </c>
    </row>
    <row r="19135" spans="1:3">
      <c r="A19135" s="250">
        <v>45359</v>
      </c>
      <c r="B19135" s="74" t="s">
        <v>7214</v>
      </c>
      <c r="C19135" s="74" t="s">
        <v>446</v>
      </c>
    </row>
    <row r="19136" spans="1:3">
      <c r="A19136" s="250">
        <v>45360</v>
      </c>
      <c r="B19136" s="74" t="s">
        <v>2850</v>
      </c>
      <c r="C19136" s="74" t="s">
        <v>446</v>
      </c>
    </row>
    <row r="19137" spans="1:3">
      <c r="A19137" s="250">
        <v>45361</v>
      </c>
      <c r="B19137" s="74" t="s">
        <v>3573</v>
      </c>
      <c r="C19137" s="74" t="s">
        <v>446</v>
      </c>
    </row>
    <row r="19138" spans="1:3">
      <c r="A19138" s="250">
        <v>45362</v>
      </c>
      <c r="B19138" s="74" t="s">
        <v>10514</v>
      </c>
      <c r="C19138" s="74" t="s">
        <v>446</v>
      </c>
    </row>
    <row r="19139" spans="1:3">
      <c r="A19139" s="250">
        <v>45363</v>
      </c>
      <c r="B19139" s="74" t="s">
        <v>10515</v>
      </c>
      <c r="C19139" s="74" t="s">
        <v>446</v>
      </c>
    </row>
    <row r="19140" spans="1:3">
      <c r="A19140" s="250">
        <v>45365</v>
      </c>
      <c r="B19140" s="74" t="s">
        <v>3646</v>
      </c>
      <c r="C19140" s="74" t="s">
        <v>446</v>
      </c>
    </row>
    <row r="19141" spans="1:3">
      <c r="A19141" s="250">
        <v>45367</v>
      </c>
      <c r="B19141" s="74" t="s">
        <v>3646</v>
      </c>
      <c r="C19141" s="74" t="s">
        <v>446</v>
      </c>
    </row>
    <row r="19142" spans="1:3">
      <c r="A19142" s="250">
        <v>45368</v>
      </c>
      <c r="B19142" s="74" t="s">
        <v>10516</v>
      </c>
      <c r="C19142" s="74" t="s">
        <v>446</v>
      </c>
    </row>
    <row r="19143" spans="1:3">
      <c r="A19143" s="250">
        <v>45369</v>
      </c>
      <c r="B19143" s="74" t="s">
        <v>10517</v>
      </c>
      <c r="C19143" s="74" t="s">
        <v>446</v>
      </c>
    </row>
    <row r="19144" spans="1:3">
      <c r="A19144" s="250">
        <v>45370</v>
      </c>
      <c r="B19144" s="74" t="s">
        <v>2706</v>
      </c>
      <c r="C19144" s="74" t="s">
        <v>446</v>
      </c>
    </row>
    <row r="19145" spans="1:3">
      <c r="A19145" s="250">
        <v>45371</v>
      </c>
      <c r="B19145" s="74" t="s">
        <v>10518</v>
      </c>
      <c r="C19145" s="74" t="s">
        <v>446</v>
      </c>
    </row>
    <row r="19146" spans="1:3">
      <c r="A19146" s="250">
        <v>45372</v>
      </c>
      <c r="B19146" s="74" t="s">
        <v>10519</v>
      </c>
      <c r="C19146" s="74" t="s">
        <v>446</v>
      </c>
    </row>
    <row r="19147" spans="1:3">
      <c r="A19147" s="250">
        <v>45373</v>
      </c>
      <c r="B19147" s="74" t="s">
        <v>1243</v>
      </c>
      <c r="C19147" s="74" t="s">
        <v>446</v>
      </c>
    </row>
    <row r="19148" spans="1:3">
      <c r="A19148" s="250">
        <v>45374</v>
      </c>
      <c r="B19148" s="74" t="s">
        <v>1243</v>
      </c>
      <c r="C19148" s="74" t="s">
        <v>446</v>
      </c>
    </row>
    <row r="19149" spans="1:3">
      <c r="A19149" s="250">
        <v>45377</v>
      </c>
      <c r="B19149" s="74" t="s">
        <v>10520</v>
      </c>
      <c r="C19149" s="74" t="s">
        <v>446</v>
      </c>
    </row>
    <row r="19150" spans="1:3">
      <c r="A19150" s="250">
        <v>45378</v>
      </c>
      <c r="B19150" s="74" t="s">
        <v>2139</v>
      </c>
      <c r="C19150" s="74" t="s">
        <v>446</v>
      </c>
    </row>
    <row r="19151" spans="1:3">
      <c r="A19151" s="250">
        <v>45380</v>
      </c>
      <c r="B19151" s="74" t="s">
        <v>2033</v>
      </c>
      <c r="C19151" s="74" t="s">
        <v>446</v>
      </c>
    </row>
    <row r="19152" spans="1:3">
      <c r="A19152" s="250">
        <v>45381</v>
      </c>
      <c r="B19152" s="74" t="s">
        <v>10521</v>
      </c>
      <c r="C19152" s="74" t="s">
        <v>446</v>
      </c>
    </row>
    <row r="19153" spans="1:3">
      <c r="A19153" s="250">
        <v>45382</v>
      </c>
      <c r="B19153" s="74" t="s">
        <v>10522</v>
      </c>
      <c r="C19153" s="74" t="s">
        <v>446</v>
      </c>
    </row>
    <row r="19154" spans="1:3">
      <c r="A19154" s="250">
        <v>45383</v>
      </c>
      <c r="B19154" s="74" t="s">
        <v>4982</v>
      </c>
      <c r="C19154" s="74" t="s">
        <v>446</v>
      </c>
    </row>
    <row r="19155" spans="1:3">
      <c r="A19155" s="250">
        <v>45384</v>
      </c>
      <c r="B19155" s="74" t="s">
        <v>10523</v>
      </c>
      <c r="C19155" s="74" t="s">
        <v>446</v>
      </c>
    </row>
    <row r="19156" spans="1:3">
      <c r="A19156" s="250">
        <v>45385</v>
      </c>
      <c r="B19156" s="74" t="s">
        <v>10524</v>
      </c>
      <c r="C19156" s="74" t="s">
        <v>446</v>
      </c>
    </row>
    <row r="19157" spans="1:3">
      <c r="A19157" s="250">
        <v>45387</v>
      </c>
      <c r="B19157" s="74" t="s">
        <v>10525</v>
      </c>
      <c r="C19157" s="74" t="s">
        <v>446</v>
      </c>
    </row>
    <row r="19158" spans="1:3">
      <c r="A19158" s="250">
        <v>45388</v>
      </c>
      <c r="B19158" s="74" t="s">
        <v>3749</v>
      </c>
      <c r="C19158" s="74" t="s">
        <v>446</v>
      </c>
    </row>
    <row r="19159" spans="1:3">
      <c r="A19159" s="250">
        <v>45389</v>
      </c>
      <c r="B19159" s="74" t="s">
        <v>6261</v>
      </c>
      <c r="C19159" s="74" t="s">
        <v>446</v>
      </c>
    </row>
    <row r="19160" spans="1:3">
      <c r="A19160" s="250">
        <v>45390</v>
      </c>
      <c r="B19160" s="74" t="s">
        <v>2166</v>
      </c>
      <c r="C19160" s="74" t="s">
        <v>446</v>
      </c>
    </row>
    <row r="19161" spans="1:3">
      <c r="A19161" s="250">
        <v>45400</v>
      </c>
      <c r="B19161" s="74" t="s">
        <v>2564</v>
      </c>
      <c r="C19161" s="74" t="s">
        <v>446</v>
      </c>
    </row>
    <row r="19162" spans="1:3">
      <c r="A19162" s="250">
        <v>45401</v>
      </c>
      <c r="B19162" s="74" t="s">
        <v>2564</v>
      </c>
      <c r="C19162" s="74" t="s">
        <v>446</v>
      </c>
    </row>
    <row r="19163" spans="1:3">
      <c r="A19163" s="250">
        <v>45402</v>
      </c>
      <c r="B19163" s="74" t="s">
        <v>2564</v>
      </c>
      <c r="C19163" s="74" t="s">
        <v>446</v>
      </c>
    </row>
    <row r="19164" spans="1:3">
      <c r="A19164" s="250">
        <v>45403</v>
      </c>
      <c r="B19164" s="74" t="s">
        <v>2564</v>
      </c>
      <c r="C19164" s="74" t="s">
        <v>446</v>
      </c>
    </row>
    <row r="19165" spans="1:3">
      <c r="A19165" s="250">
        <v>45404</v>
      </c>
      <c r="B19165" s="74" t="s">
        <v>2564</v>
      </c>
      <c r="C19165" s="74" t="s">
        <v>446</v>
      </c>
    </row>
    <row r="19166" spans="1:3">
      <c r="A19166" s="250">
        <v>45405</v>
      </c>
      <c r="B19166" s="74" t="s">
        <v>2564</v>
      </c>
      <c r="C19166" s="74" t="s">
        <v>446</v>
      </c>
    </row>
    <row r="19167" spans="1:3">
      <c r="A19167" s="250">
        <v>45406</v>
      </c>
      <c r="B19167" s="74" t="s">
        <v>2564</v>
      </c>
      <c r="C19167" s="74" t="s">
        <v>446</v>
      </c>
    </row>
    <row r="19168" spans="1:3">
      <c r="A19168" s="250">
        <v>45408</v>
      </c>
      <c r="B19168" s="74" t="s">
        <v>2564</v>
      </c>
      <c r="C19168" s="74" t="s">
        <v>446</v>
      </c>
    </row>
    <row r="19169" spans="1:3">
      <c r="A19169" s="250">
        <v>45409</v>
      </c>
      <c r="B19169" s="74" t="s">
        <v>2564</v>
      </c>
      <c r="C19169" s="74" t="s">
        <v>446</v>
      </c>
    </row>
    <row r="19170" spans="1:3">
      <c r="A19170" s="250">
        <v>45410</v>
      </c>
      <c r="B19170" s="74" t="s">
        <v>2564</v>
      </c>
      <c r="C19170" s="74" t="s">
        <v>446</v>
      </c>
    </row>
    <row r="19171" spans="1:3">
      <c r="A19171" s="250">
        <v>45412</v>
      </c>
      <c r="B19171" s="74" t="s">
        <v>2564</v>
      </c>
      <c r="C19171" s="74" t="s">
        <v>446</v>
      </c>
    </row>
    <row r="19172" spans="1:3">
      <c r="A19172" s="250">
        <v>45413</v>
      </c>
      <c r="B19172" s="74" t="s">
        <v>2564</v>
      </c>
      <c r="C19172" s="74" t="s">
        <v>446</v>
      </c>
    </row>
    <row r="19173" spans="1:3">
      <c r="A19173" s="250">
        <v>45414</v>
      </c>
      <c r="B19173" s="74" t="s">
        <v>2564</v>
      </c>
      <c r="C19173" s="74" t="s">
        <v>446</v>
      </c>
    </row>
    <row r="19174" spans="1:3">
      <c r="A19174" s="250">
        <v>45415</v>
      </c>
      <c r="B19174" s="74" t="s">
        <v>2564</v>
      </c>
      <c r="C19174" s="74" t="s">
        <v>446</v>
      </c>
    </row>
    <row r="19175" spans="1:3">
      <c r="A19175" s="250">
        <v>45416</v>
      </c>
      <c r="B19175" s="74" t="s">
        <v>2564</v>
      </c>
      <c r="C19175" s="74" t="s">
        <v>446</v>
      </c>
    </row>
    <row r="19176" spans="1:3">
      <c r="A19176" s="250">
        <v>45417</v>
      </c>
      <c r="B19176" s="74" t="s">
        <v>2564</v>
      </c>
      <c r="C19176" s="74" t="s">
        <v>446</v>
      </c>
    </row>
    <row r="19177" spans="1:3">
      <c r="A19177" s="250">
        <v>45418</v>
      </c>
      <c r="B19177" s="74" t="s">
        <v>2564</v>
      </c>
      <c r="C19177" s="74" t="s">
        <v>446</v>
      </c>
    </row>
    <row r="19178" spans="1:3">
      <c r="A19178" s="250">
        <v>45419</v>
      </c>
      <c r="B19178" s="74" t="s">
        <v>2564</v>
      </c>
      <c r="C19178" s="74" t="s">
        <v>446</v>
      </c>
    </row>
    <row r="19179" spans="1:3">
      <c r="A19179" s="250">
        <v>45420</v>
      </c>
      <c r="B19179" s="74" t="s">
        <v>2564</v>
      </c>
      <c r="C19179" s="74" t="s">
        <v>446</v>
      </c>
    </row>
    <row r="19180" spans="1:3">
      <c r="A19180" s="250">
        <v>45422</v>
      </c>
      <c r="B19180" s="74" t="s">
        <v>2564</v>
      </c>
      <c r="C19180" s="74" t="s">
        <v>446</v>
      </c>
    </row>
    <row r="19181" spans="1:3">
      <c r="A19181" s="250">
        <v>45423</v>
      </c>
      <c r="B19181" s="74" t="s">
        <v>2564</v>
      </c>
      <c r="C19181" s="74" t="s">
        <v>446</v>
      </c>
    </row>
    <row r="19182" spans="1:3">
      <c r="A19182" s="250">
        <v>45424</v>
      </c>
      <c r="B19182" s="74" t="s">
        <v>2564</v>
      </c>
      <c r="C19182" s="74" t="s">
        <v>446</v>
      </c>
    </row>
    <row r="19183" spans="1:3">
      <c r="A19183" s="250">
        <v>45426</v>
      </c>
      <c r="B19183" s="74" t="s">
        <v>2564</v>
      </c>
      <c r="C19183" s="74" t="s">
        <v>446</v>
      </c>
    </row>
    <row r="19184" spans="1:3">
      <c r="A19184" s="250">
        <v>45427</v>
      </c>
      <c r="B19184" s="74" t="s">
        <v>2564</v>
      </c>
      <c r="C19184" s="74" t="s">
        <v>446</v>
      </c>
    </row>
    <row r="19185" spans="1:3">
      <c r="A19185" s="250">
        <v>45428</v>
      </c>
      <c r="B19185" s="74" t="s">
        <v>2564</v>
      </c>
      <c r="C19185" s="74" t="s">
        <v>446</v>
      </c>
    </row>
    <row r="19186" spans="1:3">
      <c r="A19186" s="250">
        <v>45429</v>
      </c>
      <c r="B19186" s="74" t="s">
        <v>2564</v>
      </c>
      <c r="C19186" s="74" t="s">
        <v>446</v>
      </c>
    </row>
    <row r="19187" spans="1:3">
      <c r="A19187" s="250">
        <v>45430</v>
      </c>
      <c r="B19187" s="74" t="s">
        <v>2564</v>
      </c>
      <c r="C19187" s="74" t="s">
        <v>446</v>
      </c>
    </row>
    <row r="19188" spans="1:3">
      <c r="A19188" s="250">
        <v>45431</v>
      </c>
      <c r="B19188" s="74" t="s">
        <v>2564</v>
      </c>
      <c r="C19188" s="74" t="s">
        <v>446</v>
      </c>
    </row>
    <row r="19189" spans="1:3">
      <c r="A19189" s="250">
        <v>45432</v>
      </c>
      <c r="B19189" s="74" t="s">
        <v>2564</v>
      </c>
      <c r="C19189" s="74" t="s">
        <v>446</v>
      </c>
    </row>
    <row r="19190" spans="1:3">
      <c r="A19190" s="250">
        <v>45433</v>
      </c>
      <c r="B19190" s="74" t="s">
        <v>2564</v>
      </c>
      <c r="C19190" s="74" t="s">
        <v>446</v>
      </c>
    </row>
    <row r="19191" spans="1:3">
      <c r="A19191" s="250">
        <v>45434</v>
      </c>
      <c r="B19191" s="74" t="s">
        <v>2564</v>
      </c>
      <c r="C19191" s="74" t="s">
        <v>446</v>
      </c>
    </row>
    <row r="19192" spans="1:3">
      <c r="A19192" s="250">
        <v>45435</v>
      </c>
      <c r="B19192" s="74" t="s">
        <v>2564</v>
      </c>
      <c r="C19192" s="74" t="s">
        <v>446</v>
      </c>
    </row>
    <row r="19193" spans="1:3">
      <c r="A19193" s="250">
        <v>45437</v>
      </c>
      <c r="B19193" s="74" t="s">
        <v>2564</v>
      </c>
      <c r="C19193" s="74" t="s">
        <v>446</v>
      </c>
    </row>
    <row r="19194" spans="1:3">
      <c r="A19194" s="250">
        <v>45439</v>
      </c>
      <c r="B19194" s="74" t="s">
        <v>2564</v>
      </c>
      <c r="C19194" s="74" t="s">
        <v>446</v>
      </c>
    </row>
    <row r="19195" spans="1:3">
      <c r="A19195" s="250">
        <v>45440</v>
      </c>
      <c r="B19195" s="74" t="s">
        <v>2564</v>
      </c>
      <c r="C19195" s="74" t="s">
        <v>446</v>
      </c>
    </row>
    <row r="19196" spans="1:3">
      <c r="A19196" s="250">
        <v>45441</v>
      </c>
      <c r="B19196" s="74" t="s">
        <v>2564</v>
      </c>
      <c r="C19196" s="74" t="s">
        <v>446</v>
      </c>
    </row>
    <row r="19197" spans="1:3">
      <c r="A19197" s="250">
        <v>45448</v>
      </c>
      <c r="B19197" s="74" t="s">
        <v>2564</v>
      </c>
      <c r="C19197" s="74" t="s">
        <v>446</v>
      </c>
    </row>
    <row r="19198" spans="1:3">
      <c r="A19198" s="250">
        <v>45449</v>
      </c>
      <c r="B19198" s="74" t="s">
        <v>2564</v>
      </c>
      <c r="C19198" s="74" t="s">
        <v>446</v>
      </c>
    </row>
    <row r="19199" spans="1:3">
      <c r="A19199" s="250">
        <v>45454</v>
      </c>
      <c r="B19199" s="74" t="s">
        <v>2564</v>
      </c>
      <c r="C19199" s="74" t="s">
        <v>446</v>
      </c>
    </row>
    <row r="19200" spans="1:3">
      <c r="A19200" s="250">
        <v>45458</v>
      </c>
      <c r="B19200" s="74" t="s">
        <v>2564</v>
      </c>
      <c r="C19200" s="74" t="s">
        <v>446</v>
      </c>
    </row>
    <row r="19201" spans="1:3">
      <c r="A19201" s="250">
        <v>45459</v>
      </c>
      <c r="B19201" s="74" t="s">
        <v>2564</v>
      </c>
      <c r="C19201" s="74" t="s">
        <v>446</v>
      </c>
    </row>
    <row r="19202" spans="1:3">
      <c r="A19202" s="250">
        <v>45463</v>
      </c>
      <c r="B19202" s="74" t="s">
        <v>2564</v>
      </c>
      <c r="C19202" s="74" t="s">
        <v>446</v>
      </c>
    </row>
    <row r="19203" spans="1:3">
      <c r="A19203" s="250">
        <v>45469</v>
      </c>
      <c r="B19203" s="74" t="s">
        <v>2564</v>
      </c>
      <c r="C19203" s="74" t="s">
        <v>446</v>
      </c>
    </row>
    <row r="19204" spans="1:3">
      <c r="A19204" s="250">
        <v>45470</v>
      </c>
      <c r="B19204" s="74" t="s">
        <v>2564</v>
      </c>
      <c r="C19204" s="74" t="s">
        <v>446</v>
      </c>
    </row>
    <row r="19205" spans="1:3">
      <c r="A19205" s="250">
        <v>45475</v>
      </c>
      <c r="B19205" s="74" t="s">
        <v>2564</v>
      </c>
      <c r="C19205" s="74" t="s">
        <v>446</v>
      </c>
    </row>
    <row r="19206" spans="1:3">
      <c r="A19206" s="250">
        <v>45479</v>
      </c>
      <c r="B19206" s="74" t="s">
        <v>2564</v>
      </c>
      <c r="C19206" s="74" t="s">
        <v>446</v>
      </c>
    </row>
    <row r="19207" spans="1:3">
      <c r="A19207" s="250">
        <v>45481</v>
      </c>
      <c r="B19207" s="74" t="s">
        <v>2564</v>
      </c>
      <c r="C19207" s="74" t="s">
        <v>446</v>
      </c>
    </row>
    <row r="19208" spans="1:3">
      <c r="A19208" s="250">
        <v>45482</v>
      </c>
      <c r="B19208" s="74" t="s">
        <v>2564</v>
      </c>
      <c r="C19208" s="74" t="s">
        <v>446</v>
      </c>
    </row>
    <row r="19209" spans="1:3">
      <c r="A19209" s="250">
        <v>45490</v>
      </c>
      <c r="B19209" s="74" t="s">
        <v>2564</v>
      </c>
      <c r="C19209" s="74" t="s">
        <v>446</v>
      </c>
    </row>
    <row r="19210" spans="1:3">
      <c r="A19210" s="250">
        <v>45501</v>
      </c>
      <c r="B19210" s="74" t="s">
        <v>634</v>
      </c>
      <c r="C19210" s="74" t="s">
        <v>446</v>
      </c>
    </row>
    <row r="19211" spans="1:3">
      <c r="A19211" s="250">
        <v>45502</v>
      </c>
      <c r="B19211" s="74" t="s">
        <v>634</v>
      </c>
      <c r="C19211" s="74" t="s">
        <v>446</v>
      </c>
    </row>
    <row r="19212" spans="1:3">
      <c r="A19212" s="250">
        <v>45503</v>
      </c>
      <c r="B19212" s="74" t="s">
        <v>634</v>
      </c>
      <c r="C19212" s="74" t="s">
        <v>446</v>
      </c>
    </row>
    <row r="19213" spans="1:3">
      <c r="A19213" s="250">
        <v>45504</v>
      </c>
      <c r="B19213" s="74" t="s">
        <v>634</v>
      </c>
      <c r="C19213" s="74" t="s">
        <v>446</v>
      </c>
    </row>
    <row r="19214" spans="1:3">
      <c r="A19214" s="250">
        <v>45505</v>
      </c>
      <c r="B19214" s="74" t="s">
        <v>634</v>
      </c>
      <c r="C19214" s="74" t="s">
        <v>446</v>
      </c>
    </row>
    <row r="19215" spans="1:3">
      <c r="A19215" s="250">
        <v>45506</v>
      </c>
      <c r="B19215" s="74" t="s">
        <v>634</v>
      </c>
      <c r="C19215" s="74" t="s">
        <v>446</v>
      </c>
    </row>
    <row r="19216" spans="1:3">
      <c r="A19216" s="250">
        <v>45601</v>
      </c>
      <c r="B19216" s="74" t="s">
        <v>10526</v>
      </c>
      <c r="C19216" s="74" t="s">
        <v>446</v>
      </c>
    </row>
    <row r="19217" spans="1:3">
      <c r="A19217" s="250">
        <v>45612</v>
      </c>
      <c r="B19217" s="74" t="s">
        <v>3593</v>
      </c>
      <c r="C19217" s="74" t="s">
        <v>446</v>
      </c>
    </row>
    <row r="19218" spans="1:3">
      <c r="A19218" s="250">
        <v>45613</v>
      </c>
      <c r="B19218" s="74" t="s">
        <v>3962</v>
      </c>
      <c r="C19218" s="74" t="s">
        <v>446</v>
      </c>
    </row>
    <row r="19219" spans="1:3">
      <c r="A19219" s="250">
        <v>45614</v>
      </c>
      <c r="B19219" s="74" t="s">
        <v>10527</v>
      </c>
      <c r="C19219" s="74" t="s">
        <v>446</v>
      </c>
    </row>
    <row r="19220" spans="1:3">
      <c r="A19220" s="250">
        <v>45616</v>
      </c>
      <c r="B19220" s="74" t="s">
        <v>6581</v>
      </c>
      <c r="C19220" s="74" t="s">
        <v>446</v>
      </c>
    </row>
    <row r="19221" spans="1:3">
      <c r="A19221" s="250">
        <v>45617</v>
      </c>
      <c r="B19221" s="74" t="s">
        <v>10528</v>
      </c>
      <c r="C19221" s="74" t="s">
        <v>446</v>
      </c>
    </row>
    <row r="19222" spans="1:3">
      <c r="A19222" s="250">
        <v>45618</v>
      </c>
      <c r="B19222" s="74" t="s">
        <v>10529</v>
      </c>
      <c r="C19222" s="74" t="s">
        <v>446</v>
      </c>
    </row>
    <row r="19223" spans="1:3">
      <c r="A19223" s="250">
        <v>45619</v>
      </c>
      <c r="B19223" s="74" t="s">
        <v>6132</v>
      </c>
      <c r="C19223" s="74" t="s">
        <v>446</v>
      </c>
    </row>
    <row r="19224" spans="1:3">
      <c r="A19224" s="250">
        <v>45620</v>
      </c>
      <c r="B19224" s="74" t="s">
        <v>642</v>
      </c>
      <c r="C19224" s="74" t="s">
        <v>446</v>
      </c>
    </row>
    <row r="19225" spans="1:3">
      <c r="A19225" s="250">
        <v>45621</v>
      </c>
      <c r="B19225" s="74" t="s">
        <v>6905</v>
      </c>
      <c r="C19225" s="74" t="s">
        <v>446</v>
      </c>
    </row>
    <row r="19226" spans="1:3">
      <c r="A19226" s="250">
        <v>45622</v>
      </c>
      <c r="B19226" s="74" t="s">
        <v>8899</v>
      </c>
      <c r="C19226" s="74" t="s">
        <v>446</v>
      </c>
    </row>
    <row r="19227" spans="1:3">
      <c r="A19227" s="250">
        <v>45623</v>
      </c>
      <c r="B19227" s="74" t="s">
        <v>10530</v>
      </c>
      <c r="C19227" s="74" t="s">
        <v>446</v>
      </c>
    </row>
    <row r="19228" spans="1:3">
      <c r="A19228" s="250">
        <v>45624</v>
      </c>
      <c r="B19228" s="74" t="s">
        <v>9732</v>
      </c>
      <c r="C19228" s="74" t="s">
        <v>446</v>
      </c>
    </row>
    <row r="19229" spans="1:3">
      <c r="A19229" s="250">
        <v>45628</v>
      </c>
      <c r="B19229" s="74" t="s">
        <v>1505</v>
      </c>
      <c r="C19229" s="74" t="s">
        <v>446</v>
      </c>
    </row>
    <row r="19230" spans="1:3">
      <c r="A19230" s="250">
        <v>45629</v>
      </c>
      <c r="B19230" s="74" t="s">
        <v>10531</v>
      </c>
      <c r="C19230" s="74" t="s">
        <v>446</v>
      </c>
    </row>
    <row r="19231" spans="1:3">
      <c r="A19231" s="250">
        <v>45630</v>
      </c>
      <c r="B19231" s="74" t="s">
        <v>1543</v>
      </c>
      <c r="C19231" s="74" t="s">
        <v>446</v>
      </c>
    </row>
    <row r="19232" spans="1:3">
      <c r="A19232" s="250">
        <v>45631</v>
      </c>
      <c r="B19232" s="74" t="s">
        <v>10532</v>
      </c>
      <c r="C19232" s="74" t="s">
        <v>446</v>
      </c>
    </row>
    <row r="19233" spans="1:3">
      <c r="A19233" s="250">
        <v>45633</v>
      </c>
      <c r="B19233" s="74" t="s">
        <v>10533</v>
      </c>
      <c r="C19233" s="74" t="s">
        <v>446</v>
      </c>
    </row>
    <row r="19234" spans="1:3">
      <c r="A19234" s="250">
        <v>45634</v>
      </c>
      <c r="B19234" s="74" t="s">
        <v>2073</v>
      </c>
      <c r="C19234" s="74" t="s">
        <v>446</v>
      </c>
    </row>
    <row r="19235" spans="1:3">
      <c r="A19235" s="250">
        <v>45636</v>
      </c>
      <c r="B19235" s="74" t="s">
        <v>812</v>
      </c>
      <c r="C19235" s="74" t="s">
        <v>446</v>
      </c>
    </row>
    <row r="19236" spans="1:3">
      <c r="A19236" s="250">
        <v>45638</v>
      </c>
      <c r="B19236" s="74" t="s">
        <v>10534</v>
      </c>
      <c r="C19236" s="74" t="s">
        <v>446</v>
      </c>
    </row>
    <row r="19237" spans="1:3">
      <c r="A19237" s="250">
        <v>45640</v>
      </c>
      <c r="B19237" s="74" t="s">
        <v>1318</v>
      </c>
      <c r="C19237" s="74" t="s">
        <v>446</v>
      </c>
    </row>
    <row r="19238" spans="1:3">
      <c r="A19238" s="250">
        <v>45642</v>
      </c>
      <c r="B19238" s="74" t="s">
        <v>3922</v>
      </c>
      <c r="C19238" s="74" t="s">
        <v>446</v>
      </c>
    </row>
    <row r="19239" spans="1:3">
      <c r="A19239" s="250">
        <v>45643</v>
      </c>
      <c r="B19239" s="74" t="s">
        <v>10535</v>
      </c>
      <c r="C19239" s="74" t="s">
        <v>446</v>
      </c>
    </row>
    <row r="19240" spans="1:3">
      <c r="A19240" s="250">
        <v>45644</v>
      </c>
      <c r="B19240" s="74" t="s">
        <v>957</v>
      </c>
      <c r="C19240" s="74" t="s">
        <v>446</v>
      </c>
    </row>
    <row r="19241" spans="1:3">
      <c r="A19241" s="250">
        <v>45645</v>
      </c>
      <c r="B19241" s="74" t="s">
        <v>10536</v>
      </c>
      <c r="C19241" s="74" t="s">
        <v>446</v>
      </c>
    </row>
    <row r="19242" spans="1:3">
      <c r="A19242" s="250">
        <v>45646</v>
      </c>
      <c r="B19242" s="74" t="s">
        <v>2972</v>
      </c>
      <c r="C19242" s="74" t="s">
        <v>446</v>
      </c>
    </row>
    <row r="19243" spans="1:3">
      <c r="A19243" s="250">
        <v>45647</v>
      </c>
      <c r="B19243" s="74" t="s">
        <v>1162</v>
      </c>
      <c r="C19243" s="74" t="s">
        <v>446</v>
      </c>
    </row>
    <row r="19244" spans="1:3">
      <c r="A19244" s="250">
        <v>45648</v>
      </c>
      <c r="B19244" s="74" t="s">
        <v>10537</v>
      </c>
      <c r="C19244" s="74" t="s">
        <v>446</v>
      </c>
    </row>
    <row r="19245" spans="1:3">
      <c r="A19245" s="250">
        <v>45650</v>
      </c>
      <c r="B19245" s="74" t="s">
        <v>10538</v>
      </c>
      <c r="C19245" s="74" t="s">
        <v>446</v>
      </c>
    </row>
    <row r="19246" spans="1:3">
      <c r="A19246" s="250">
        <v>45651</v>
      </c>
      <c r="B19246" s="74" t="s">
        <v>10539</v>
      </c>
      <c r="C19246" s="74" t="s">
        <v>446</v>
      </c>
    </row>
    <row r="19247" spans="1:3">
      <c r="A19247" s="250">
        <v>45652</v>
      </c>
      <c r="B19247" s="74" t="s">
        <v>10540</v>
      </c>
      <c r="C19247" s="74" t="s">
        <v>446</v>
      </c>
    </row>
    <row r="19248" spans="1:3">
      <c r="A19248" s="250">
        <v>45653</v>
      </c>
      <c r="B19248" s="74" t="s">
        <v>10541</v>
      </c>
      <c r="C19248" s="74" t="s">
        <v>446</v>
      </c>
    </row>
    <row r="19249" spans="1:3">
      <c r="A19249" s="250">
        <v>45654</v>
      </c>
      <c r="B19249" s="74" t="s">
        <v>10542</v>
      </c>
      <c r="C19249" s="74" t="s">
        <v>446</v>
      </c>
    </row>
    <row r="19250" spans="1:3">
      <c r="A19250" s="250">
        <v>45656</v>
      </c>
      <c r="B19250" s="74" t="s">
        <v>3070</v>
      </c>
      <c r="C19250" s="74" t="s">
        <v>446</v>
      </c>
    </row>
    <row r="19251" spans="1:3">
      <c r="A19251" s="250">
        <v>45657</v>
      </c>
      <c r="B19251" s="74" t="s">
        <v>10543</v>
      </c>
      <c r="C19251" s="74" t="s">
        <v>446</v>
      </c>
    </row>
    <row r="19252" spans="1:3">
      <c r="A19252" s="250">
        <v>45658</v>
      </c>
      <c r="B19252" s="74" t="s">
        <v>10544</v>
      </c>
      <c r="C19252" s="74" t="s">
        <v>446</v>
      </c>
    </row>
    <row r="19253" spans="1:3">
      <c r="A19253" s="250">
        <v>45659</v>
      </c>
      <c r="B19253" s="74" t="s">
        <v>10545</v>
      </c>
      <c r="C19253" s="74" t="s">
        <v>446</v>
      </c>
    </row>
    <row r="19254" spans="1:3">
      <c r="A19254" s="250">
        <v>45660</v>
      </c>
      <c r="B19254" s="74" t="s">
        <v>10546</v>
      </c>
      <c r="C19254" s="74" t="s">
        <v>446</v>
      </c>
    </row>
    <row r="19255" spans="1:3">
      <c r="A19255" s="250">
        <v>45661</v>
      </c>
      <c r="B19255" s="74" t="s">
        <v>10547</v>
      </c>
      <c r="C19255" s="74" t="s">
        <v>446</v>
      </c>
    </row>
    <row r="19256" spans="1:3">
      <c r="A19256" s="250">
        <v>45662</v>
      </c>
      <c r="B19256" s="74" t="s">
        <v>1126</v>
      </c>
      <c r="C19256" s="74" t="s">
        <v>446</v>
      </c>
    </row>
    <row r="19257" spans="1:3">
      <c r="A19257" s="250">
        <v>45663</v>
      </c>
      <c r="B19257" s="74" t="s">
        <v>10548</v>
      </c>
      <c r="C19257" s="74" t="s">
        <v>446</v>
      </c>
    </row>
    <row r="19258" spans="1:3">
      <c r="A19258" s="250">
        <v>45669</v>
      </c>
      <c r="B19258" s="74" t="s">
        <v>7372</v>
      </c>
      <c r="C19258" s="74" t="s">
        <v>446</v>
      </c>
    </row>
    <row r="19259" spans="1:3">
      <c r="A19259" s="250">
        <v>45671</v>
      </c>
      <c r="B19259" s="74" t="s">
        <v>10549</v>
      </c>
      <c r="C19259" s="74" t="s">
        <v>446</v>
      </c>
    </row>
    <row r="19260" spans="1:3">
      <c r="A19260" s="250">
        <v>45672</v>
      </c>
      <c r="B19260" s="74" t="s">
        <v>10550</v>
      </c>
      <c r="C19260" s="74" t="s">
        <v>446</v>
      </c>
    </row>
    <row r="19261" spans="1:3">
      <c r="A19261" s="250">
        <v>45673</v>
      </c>
      <c r="B19261" s="74" t="s">
        <v>10551</v>
      </c>
      <c r="C19261" s="74" t="s">
        <v>446</v>
      </c>
    </row>
    <row r="19262" spans="1:3">
      <c r="A19262" s="250">
        <v>45674</v>
      </c>
      <c r="B19262" s="74" t="s">
        <v>538</v>
      </c>
      <c r="C19262" s="74" t="s">
        <v>446</v>
      </c>
    </row>
    <row r="19263" spans="1:3">
      <c r="A19263" s="250">
        <v>45675</v>
      </c>
      <c r="B19263" s="74" t="s">
        <v>10552</v>
      </c>
      <c r="C19263" s="74" t="s">
        <v>446</v>
      </c>
    </row>
    <row r="19264" spans="1:3">
      <c r="A19264" s="250">
        <v>45677</v>
      </c>
      <c r="B19264" s="74" t="s">
        <v>10553</v>
      </c>
      <c r="C19264" s="74" t="s">
        <v>446</v>
      </c>
    </row>
    <row r="19265" spans="1:3">
      <c r="A19265" s="250">
        <v>45678</v>
      </c>
      <c r="B19265" s="74" t="s">
        <v>10554</v>
      </c>
      <c r="C19265" s="74" t="s">
        <v>446</v>
      </c>
    </row>
    <row r="19266" spans="1:3">
      <c r="A19266" s="250">
        <v>45679</v>
      </c>
      <c r="B19266" s="74" t="s">
        <v>10555</v>
      </c>
      <c r="C19266" s="74" t="s">
        <v>446</v>
      </c>
    </row>
    <row r="19267" spans="1:3">
      <c r="A19267" s="250">
        <v>45680</v>
      </c>
      <c r="B19267" s="74" t="s">
        <v>10556</v>
      </c>
      <c r="C19267" s="74" t="s">
        <v>446</v>
      </c>
    </row>
    <row r="19268" spans="1:3">
      <c r="A19268" s="250">
        <v>45681</v>
      </c>
      <c r="B19268" s="74" t="s">
        <v>2658</v>
      </c>
      <c r="C19268" s="74" t="s">
        <v>446</v>
      </c>
    </row>
    <row r="19269" spans="1:3">
      <c r="A19269" s="250">
        <v>45682</v>
      </c>
      <c r="B19269" s="74" t="s">
        <v>10557</v>
      </c>
      <c r="C19269" s="74" t="s">
        <v>446</v>
      </c>
    </row>
    <row r="19270" spans="1:3">
      <c r="A19270" s="250">
        <v>45683</v>
      </c>
      <c r="B19270" s="74" t="s">
        <v>4146</v>
      </c>
      <c r="C19270" s="74" t="s">
        <v>446</v>
      </c>
    </row>
    <row r="19271" spans="1:3">
      <c r="A19271" s="250">
        <v>45684</v>
      </c>
      <c r="B19271" s="74" t="s">
        <v>10558</v>
      </c>
      <c r="C19271" s="74" t="s">
        <v>446</v>
      </c>
    </row>
    <row r="19272" spans="1:3">
      <c r="A19272" s="250">
        <v>45685</v>
      </c>
      <c r="B19272" s="74" t="s">
        <v>10559</v>
      </c>
      <c r="C19272" s="74" t="s">
        <v>446</v>
      </c>
    </row>
    <row r="19273" spans="1:3">
      <c r="A19273" s="250">
        <v>45686</v>
      </c>
      <c r="B19273" s="74" t="s">
        <v>6310</v>
      </c>
      <c r="C19273" s="74" t="s">
        <v>446</v>
      </c>
    </row>
    <row r="19274" spans="1:3">
      <c r="A19274" s="250">
        <v>45687</v>
      </c>
      <c r="B19274" s="74" t="s">
        <v>828</v>
      </c>
      <c r="C19274" s="74" t="s">
        <v>446</v>
      </c>
    </row>
    <row r="19275" spans="1:3">
      <c r="A19275" s="250">
        <v>45688</v>
      </c>
      <c r="B19275" s="74" t="s">
        <v>3425</v>
      </c>
      <c r="C19275" s="74" t="s">
        <v>446</v>
      </c>
    </row>
    <row r="19276" spans="1:3">
      <c r="A19276" s="250">
        <v>45690</v>
      </c>
      <c r="B19276" s="74" t="s">
        <v>3950</v>
      </c>
      <c r="C19276" s="74" t="s">
        <v>446</v>
      </c>
    </row>
    <row r="19277" spans="1:3">
      <c r="A19277" s="250">
        <v>45692</v>
      </c>
      <c r="B19277" s="74" t="s">
        <v>10560</v>
      </c>
      <c r="C19277" s="74" t="s">
        <v>446</v>
      </c>
    </row>
    <row r="19278" spans="1:3">
      <c r="A19278" s="250">
        <v>45693</v>
      </c>
      <c r="B19278" s="74" t="s">
        <v>6962</v>
      </c>
      <c r="C19278" s="74" t="s">
        <v>446</v>
      </c>
    </row>
    <row r="19279" spans="1:3">
      <c r="A19279" s="250">
        <v>45694</v>
      </c>
      <c r="B19279" s="74" t="s">
        <v>10561</v>
      </c>
      <c r="C19279" s="74" t="s">
        <v>446</v>
      </c>
    </row>
    <row r="19280" spans="1:3">
      <c r="A19280" s="250">
        <v>45695</v>
      </c>
      <c r="B19280" s="74" t="s">
        <v>10562</v>
      </c>
      <c r="C19280" s="74" t="s">
        <v>446</v>
      </c>
    </row>
    <row r="19281" spans="1:3">
      <c r="A19281" s="250">
        <v>45696</v>
      </c>
      <c r="B19281" s="74" t="s">
        <v>10563</v>
      </c>
      <c r="C19281" s="74" t="s">
        <v>446</v>
      </c>
    </row>
    <row r="19282" spans="1:3">
      <c r="A19282" s="250">
        <v>45697</v>
      </c>
      <c r="B19282" s="74" t="s">
        <v>832</v>
      </c>
      <c r="C19282" s="74" t="s">
        <v>446</v>
      </c>
    </row>
    <row r="19283" spans="1:3">
      <c r="A19283" s="250">
        <v>45698</v>
      </c>
      <c r="B19283" s="74" t="s">
        <v>10564</v>
      </c>
      <c r="C19283" s="74" t="s">
        <v>446</v>
      </c>
    </row>
    <row r="19284" spans="1:3">
      <c r="A19284" s="250">
        <v>45699</v>
      </c>
      <c r="B19284" s="74" t="s">
        <v>10537</v>
      </c>
      <c r="C19284" s="74" t="s">
        <v>446</v>
      </c>
    </row>
    <row r="19285" spans="1:3">
      <c r="A19285" s="250">
        <v>45701</v>
      </c>
      <c r="B19285" s="74" t="s">
        <v>1678</v>
      </c>
      <c r="C19285" s="74" t="s">
        <v>446</v>
      </c>
    </row>
    <row r="19286" spans="1:3">
      <c r="A19286" s="250">
        <v>45710</v>
      </c>
      <c r="B19286" s="74" t="s">
        <v>1896</v>
      </c>
      <c r="C19286" s="74" t="s">
        <v>446</v>
      </c>
    </row>
    <row r="19287" spans="1:3">
      <c r="A19287" s="250">
        <v>45711</v>
      </c>
      <c r="B19287" s="74" t="s">
        <v>10565</v>
      </c>
      <c r="C19287" s="74" t="s">
        <v>446</v>
      </c>
    </row>
    <row r="19288" spans="1:3">
      <c r="A19288" s="250">
        <v>45712</v>
      </c>
      <c r="B19288" s="74" t="s">
        <v>9928</v>
      </c>
      <c r="C19288" s="74" t="s">
        <v>446</v>
      </c>
    </row>
    <row r="19289" spans="1:3">
      <c r="A19289" s="250">
        <v>45713</v>
      </c>
      <c r="B19289" s="74" t="s">
        <v>1296</v>
      </c>
      <c r="C19289" s="74" t="s">
        <v>446</v>
      </c>
    </row>
    <row r="19290" spans="1:3">
      <c r="A19290" s="250">
        <v>45714</v>
      </c>
      <c r="B19290" s="74" t="s">
        <v>10566</v>
      </c>
      <c r="C19290" s="74" t="s">
        <v>446</v>
      </c>
    </row>
    <row r="19291" spans="1:3">
      <c r="A19291" s="250">
        <v>45715</v>
      </c>
      <c r="B19291" s="74" t="s">
        <v>838</v>
      </c>
      <c r="C19291" s="74" t="s">
        <v>446</v>
      </c>
    </row>
    <row r="19292" spans="1:3">
      <c r="A19292" s="250">
        <v>45716</v>
      </c>
      <c r="B19292" s="74" t="s">
        <v>10567</v>
      </c>
      <c r="C19292" s="74" t="s">
        <v>446</v>
      </c>
    </row>
    <row r="19293" spans="1:3">
      <c r="A19293" s="250">
        <v>45717</v>
      </c>
      <c r="B19293" s="74" t="s">
        <v>5150</v>
      </c>
      <c r="C19293" s="74" t="s">
        <v>446</v>
      </c>
    </row>
    <row r="19294" spans="1:3">
      <c r="A19294" s="250">
        <v>45719</v>
      </c>
      <c r="B19294" s="74" t="s">
        <v>6741</v>
      </c>
      <c r="C19294" s="74" t="s">
        <v>446</v>
      </c>
    </row>
    <row r="19295" spans="1:3">
      <c r="A19295" s="250">
        <v>45720</v>
      </c>
      <c r="B19295" s="74" t="s">
        <v>583</v>
      </c>
      <c r="C19295" s="74" t="s">
        <v>446</v>
      </c>
    </row>
    <row r="19296" spans="1:3">
      <c r="A19296" s="250">
        <v>45721</v>
      </c>
      <c r="B19296" s="74" t="s">
        <v>10568</v>
      </c>
      <c r="C19296" s="74" t="s">
        <v>446</v>
      </c>
    </row>
    <row r="19297" spans="1:3">
      <c r="A19297" s="250">
        <v>45723</v>
      </c>
      <c r="B19297" s="74" t="s">
        <v>10569</v>
      </c>
      <c r="C19297" s="74" t="s">
        <v>446</v>
      </c>
    </row>
    <row r="19298" spans="1:3">
      <c r="A19298" s="250">
        <v>45724</v>
      </c>
      <c r="B19298" s="74" t="s">
        <v>1578</v>
      </c>
      <c r="C19298" s="74" t="s">
        <v>446</v>
      </c>
    </row>
    <row r="19299" spans="1:3">
      <c r="A19299" s="250">
        <v>45727</v>
      </c>
      <c r="B19299" s="74" t="s">
        <v>10570</v>
      </c>
      <c r="C19299" s="74" t="s">
        <v>446</v>
      </c>
    </row>
    <row r="19300" spans="1:3">
      <c r="A19300" s="250">
        <v>45729</v>
      </c>
      <c r="B19300" s="74" t="s">
        <v>4622</v>
      </c>
      <c r="C19300" s="74" t="s">
        <v>446</v>
      </c>
    </row>
    <row r="19301" spans="1:3">
      <c r="A19301" s="250">
        <v>45732</v>
      </c>
      <c r="B19301" s="74" t="s">
        <v>10571</v>
      </c>
      <c r="C19301" s="74" t="s">
        <v>446</v>
      </c>
    </row>
    <row r="19302" spans="1:3">
      <c r="A19302" s="250">
        <v>45734</v>
      </c>
      <c r="B19302" s="74" t="s">
        <v>4060</v>
      </c>
      <c r="C19302" s="74" t="s">
        <v>446</v>
      </c>
    </row>
    <row r="19303" spans="1:3">
      <c r="A19303" s="250">
        <v>45735</v>
      </c>
      <c r="B19303" s="74" t="s">
        <v>10572</v>
      </c>
      <c r="C19303" s="74" t="s">
        <v>446</v>
      </c>
    </row>
    <row r="19304" spans="1:3">
      <c r="A19304" s="250">
        <v>45739</v>
      </c>
      <c r="B19304" s="74" t="s">
        <v>10573</v>
      </c>
      <c r="C19304" s="74" t="s">
        <v>446</v>
      </c>
    </row>
    <row r="19305" spans="1:3">
      <c r="A19305" s="250">
        <v>45740</v>
      </c>
      <c r="B19305" s="74" t="s">
        <v>1782</v>
      </c>
      <c r="C19305" s="74" t="s">
        <v>446</v>
      </c>
    </row>
    <row r="19306" spans="1:3">
      <c r="A19306" s="250">
        <v>45741</v>
      </c>
      <c r="B19306" s="74" t="s">
        <v>10574</v>
      </c>
      <c r="C19306" s="74" t="s">
        <v>446</v>
      </c>
    </row>
    <row r="19307" spans="1:3">
      <c r="A19307" s="250">
        <v>45742</v>
      </c>
      <c r="B19307" s="74" t="s">
        <v>10575</v>
      </c>
      <c r="C19307" s="74" t="s">
        <v>446</v>
      </c>
    </row>
    <row r="19308" spans="1:3">
      <c r="A19308" s="250">
        <v>45743</v>
      </c>
      <c r="B19308" s="74" t="s">
        <v>10576</v>
      </c>
      <c r="C19308" s="74" t="s">
        <v>446</v>
      </c>
    </row>
    <row r="19309" spans="1:3">
      <c r="A19309" s="250">
        <v>45744</v>
      </c>
      <c r="B19309" s="74" t="s">
        <v>818</v>
      </c>
      <c r="C19309" s="74" t="s">
        <v>446</v>
      </c>
    </row>
    <row r="19310" spans="1:3">
      <c r="A19310" s="250">
        <v>45745</v>
      </c>
      <c r="B19310" s="74" t="s">
        <v>10577</v>
      </c>
      <c r="C19310" s="74" t="s">
        <v>446</v>
      </c>
    </row>
    <row r="19311" spans="1:3">
      <c r="A19311" s="250">
        <v>45746</v>
      </c>
      <c r="B19311" s="74" t="s">
        <v>10578</v>
      </c>
      <c r="C19311" s="74" t="s">
        <v>446</v>
      </c>
    </row>
    <row r="19312" spans="1:3">
      <c r="A19312" s="250">
        <v>45750</v>
      </c>
      <c r="B19312" s="74" t="s">
        <v>3385</v>
      </c>
      <c r="C19312" s="74" t="s">
        <v>446</v>
      </c>
    </row>
    <row r="19313" spans="1:3">
      <c r="A19313" s="250">
        <v>45760</v>
      </c>
      <c r="B19313" s="74" t="s">
        <v>3720</v>
      </c>
      <c r="C19313" s="74" t="s">
        <v>446</v>
      </c>
    </row>
    <row r="19314" spans="1:3">
      <c r="A19314" s="250">
        <v>45761</v>
      </c>
      <c r="B19314" s="74" t="s">
        <v>10579</v>
      </c>
      <c r="C19314" s="74" t="s">
        <v>446</v>
      </c>
    </row>
    <row r="19315" spans="1:3">
      <c r="A19315" s="250">
        <v>45764</v>
      </c>
      <c r="B19315" s="74" t="s">
        <v>10580</v>
      </c>
      <c r="C19315" s="74" t="s">
        <v>446</v>
      </c>
    </row>
    <row r="19316" spans="1:3">
      <c r="A19316" s="250">
        <v>45766</v>
      </c>
      <c r="B19316" s="74" t="s">
        <v>10581</v>
      </c>
      <c r="C19316" s="74" t="s">
        <v>446</v>
      </c>
    </row>
    <row r="19317" spans="1:3">
      <c r="A19317" s="250">
        <v>45767</v>
      </c>
      <c r="B19317" s="74" t="s">
        <v>10582</v>
      </c>
      <c r="C19317" s="74" t="s">
        <v>446</v>
      </c>
    </row>
    <row r="19318" spans="1:3">
      <c r="A19318" s="250">
        <v>45768</v>
      </c>
      <c r="B19318" s="74" t="s">
        <v>1118</v>
      </c>
      <c r="C19318" s="74" t="s">
        <v>446</v>
      </c>
    </row>
    <row r="19319" spans="1:3">
      <c r="A19319" s="250">
        <v>45769</v>
      </c>
      <c r="B19319" s="74" t="s">
        <v>5395</v>
      </c>
      <c r="C19319" s="74" t="s">
        <v>446</v>
      </c>
    </row>
    <row r="19320" spans="1:3">
      <c r="A19320" s="250">
        <v>45770</v>
      </c>
      <c r="B19320" s="74" t="s">
        <v>1429</v>
      </c>
      <c r="C19320" s="74" t="s">
        <v>446</v>
      </c>
    </row>
    <row r="19321" spans="1:3">
      <c r="A19321" s="250">
        <v>45771</v>
      </c>
      <c r="B19321" s="74" t="s">
        <v>6643</v>
      </c>
      <c r="C19321" s="74" t="s">
        <v>446</v>
      </c>
    </row>
    <row r="19322" spans="1:3">
      <c r="A19322" s="250">
        <v>45772</v>
      </c>
      <c r="B19322" s="74" t="s">
        <v>4748</v>
      </c>
      <c r="C19322" s="74" t="s">
        <v>446</v>
      </c>
    </row>
    <row r="19323" spans="1:3">
      <c r="A19323" s="250">
        <v>45773</v>
      </c>
      <c r="B19323" s="74" t="s">
        <v>4490</v>
      </c>
      <c r="C19323" s="74" t="s">
        <v>446</v>
      </c>
    </row>
    <row r="19324" spans="1:3">
      <c r="A19324" s="250">
        <v>45775</v>
      </c>
      <c r="B19324" s="74" t="s">
        <v>757</v>
      </c>
      <c r="C19324" s="74" t="s">
        <v>446</v>
      </c>
    </row>
    <row r="19325" spans="1:3">
      <c r="A19325" s="250">
        <v>45776</v>
      </c>
      <c r="B19325" s="74" t="s">
        <v>10583</v>
      </c>
      <c r="C19325" s="74" t="s">
        <v>446</v>
      </c>
    </row>
    <row r="19326" spans="1:3">
      <c r="A19326" s="250">
        <v>45777</v>
      </c>
      <c r="B19326" s="74" t="s">
        <v>5818</v>
      </c>
      <c r="C19326" s="74" t="s">
        <v>446</v>
      </c>
    </row>
    <row r="19327" spans="1:3">
      <c r="A19327" s="250">
        <v>45778</v>
      </c>
      <c r="B19327" s="74" t="s">
        <v>9039</v>
      </c>
      <c r="C19327" s="74" t="s">
        <v>446</v>
      </c>
    </row>
    <row r="19328" spans="1:3">
      <c r="A19328" s="250">
        <v>45779</v>
      </c>
      <c r="B19328" s="74" t="s">
        <v>3428</v>
      </c>
      <c r="C19328" s="74" t="s">
        <v>446</v>
      </c>
    </row>
    <row r="19329" spans="1:3">
      <c r="A19329" s="250">
        <v>45780</v>
      </c>
      <c r="B19329" s="74" t="s">
        <v>5539</v>
      </c>
      <c r="C19329" s="74" t="s">
        <v>446</v>
      </c>
    </row>
    <row r="19330" spans="1:3">
      <c r="A19330" s="250">
        <v>45782</v>
      </c>
      <c r="B19330" s="74" t="s">
        <v>9204</v>
      </c>
      <c r="C19330" s="74" t="s">
        <v>446</v>
      </c>
    </row>
    <row r="19331" spans="1:3">
      <c r="A19331" s="250">
        <v>45783</v>
      </c>
      <c r="B19331" s="74" t="s">
        <v>10584</v>
      </c>
      <c r="C19331" s="74" t="s">
        <v>446</v>
      </c>
    </row>
    <row r="19332" spans="1:3">
      <c r="A19332" s="250">
        <v>45784</v>
      </c>
      <c r="B19332" s="74" t="s">
        <v>8672</v>
      </c>
      <c r="C19332" s="74" t="s">
        <v>446</v>
      </c>
    </row>
    <row r="19333" spans="1:3">
      <c r="A19333" s="250">
        <v>45786</v>
      </c>
      <c r="B19333" s="74" t="s">
        <v>1420</v>
      </c>
      <c r="C19333" s="74" t="s">
        <v>446</v>
      </c>
    </row>
    <row r="19334" spans="1:3">
      <c r="A19334" s="250">
        <v>45787</v>
      </c>
      <c r="B19334" s="74" t="s">
        <v>983</v>
      </c>
      <c r="C19334" s="74" t="s">
        <v>446</v>
      </c>
    </row>
    <row r="19335" spans="1:3">
      <c r="A19335" s="250">
        <v>45788</v>
      </c>
      <c r="B19335" s="74" t="s">
        <v>10585</v>
      </c>
      <c r="C19335" s="74" t="s">
        <v>446</v>
      </c>
    </row>
    <row r="19336" spans="1:3">
      <c r="A19336" s="250">
        <v>45789</v>
      </c>
      <c r="B19336" s="74" t="s">
        <v>10586</v>
      </c>
      <c r="C19336" s="74" t="s">
        <v>446</v>
      </c>
    </row>
    <row r="19337" spans="1:3">
      <c r="A19337" s="250">
        <v>45801</v>
      </c>
      <c r="B19337" s="74" t="s">
        <v>3790</v>
      </c>
      <c r="C19337" s="74" t="s">
        <v>446</v>
      </c>
    </row>
    <row r="19338" spans="1:3">
      <c r="A19338" s="250">
        <v>45802</v>
      </c>
      <c r="B19338" s="74" t="s">
        <v>3790</v>
      </c>
      <c r="C19338" s="74" t="s">
        <v>446</v>
      </c>
    </row>
    <row r="19339" spans="1:3">
      <c r="A19339" s="250">
        <v>45804</v>
      </c>
      <c r="B19339" s="74" t="s">
        <v>3790</v>
      </c>
      <c r="C19339" s="74" t="s">
        <v>446</v>
      </c>
    </row>
    <row r="19340" spans="1:3">
      <c r="A19340" s="250">
        <v>45805</v>
      </c>
      <c r="B19340" s="74" t="s">
        <v>3790</v>
      </c>
      <c r="C19340" s="74" t="s">
        <v>446</v>
      </c>
    </row>
    <row r="19341" spans="1:3">
      <c r="A19341" s="250">
        <v>45806</v>
      </c>
      <c r="B19341" s="74" t="s">
        <v>3790</v>
      </c>
      <c r="C19341" s="74" t="s">
        <v>446</v>
      </c>
    </row>
    <row r="19342" spans="1:3">
      <c r="A19342" s="250">
        <v>45807</v>
      </c>
      <c r="B19342" s="74" t="s">
        <v>3790</v>
      </c>
      <c r="C19342" s="74" t="s">
        <v>446</v>
      </c>
    </row>
    <row r="19343" spans="1:3">
      <c r="A19343" s="250">
        <v>45808</v>
      </c>
      <c r="B19343" s="74" t="s">
        <v>6037</v>
      </c>
      <c r="C19343" s="74" t="s">
        <v>446</v>
      </c>
    </row>
    <row r="19344" spans="1:3">
      <c r="A19344" s="250">
        <v>45809</v>
      </c>
      <c r="B19344" s="74" t="s">
        <v>10587</v>
      </c>
      <c r="C19344" s="74" t="s">
        <v>446</v>
      </c>
    </row>
    <row r="19345" spans="1:3">
      <c r="A19345" s="250">
        <v>45810</v>
      </c>
      <c r="B19345" s="74" t="s">
        <v>10588</v>
      </c>
      <c r="C19345" s="74" t="s">
        <v>446</v>
      </c>
    </row>
    <row r="19346" spans="1:3">
      <c r="A19346" s="250">
        <v>45812</v>
      </c>
      <c r="B19346" s="74" t="s">
        <v>10589</v>
      </c>
      <c r="C19346" s="74" t="s">
        <v>446</v>
      </c>
    </row>
    <row r="19347" spans="1:3">
      <c r="A19347" s="250">
        <v>45813</v>
      </c>
      <c r="B19347" s="74" t="s">
        <v>3525</v>
      </c>
      <c r="C19347" s="74" t="s">
        <v>446</v>
      </c>
    </row>
    <row r="19348" spans="1:3">
      <c r="A19348" s="250">
        <v>45814</v>
      </c>
      <c r="B19348" s="74" t="s">
        <v>984</v>
      </c>
      <c r="C19348" s="74" t="s">
        <v>446</v>
      </c>
    </row>
    <row r="19349" spans="1:3">
      <c r="A19349" s="250">
        <v>45815</v>
      </c>
      <c r="B19349" s="74" t="s">
        <v>10590</v>
      </c>
      <c r="C19349" s="74" t="s">
        <v>446</v>
      </c>
    </row>
    <row r="19350" spans="1:3">
      <c r="A19350" s="250">
        <v>45816</v>
      </c>
      <c r="B19350" s="74" t="s">
        <v>10591</v>
      </c>
      <c r="C19350" s="74" t="s">
        <v>446</v>
      </c>
    </row>
    <row r="19351" spans="1:3">
      <c r="A19351" s="250">
        <v>45817</v>
      </c>
      <c r="B19351" s="74" t="s">
        <v>7830</v>
      </c>
      <c r="C19351" s="74" t="s">
        <v>446</v>
      </c>
    </row>
    <row r="19352" spans="1:3">
      <c r="A19352" s="250">
        <v>45819</v>
      </c>
      <c r="B19352" s="74" t="s">
        <v>674</v>
      </c>
      <c r="C19352" s="74" t="s">
        <v>446</v>
      </c>
    </row>
    <row r="19353" spans="1:3">
      <c r="A19353" s="250">
        <v>45820</v>
      </c>
      <c r="B19353" s="74" t="s">
        <v>3034</v>
      </c>
      <c r="C19353" s="74" t="s">
        <v>446</v>
      </c>
    </row>
    <row r="19354" spans="1:3">
      <c r="A19354" s="250">
        <v>45821</v>
      </c>
      <c r="B19354" s="74" t="s">
        <v>4049</v>
      </c>
      <c r="C19354" s="74" t="s">
        <v>446</v>
      </c>
    </row>
    <row r="19355" spans="1:3">
      <c r="A19355" s="250">
        <v>45822</v>
      </c>
      <c r="B19355" s="74" t="s">
        <v>9272</v>
      </c>
      <c r="C19355" s="74" t="s">
        <v>446</v>
      </c>
    </row>
    <row r="19356" spans="1:3">
      <c r="A19356" s="250">
        <v>45826</v>
      </c>
      <c r="B19356" s="74" t="s">
        <v>10592</v>
      </c>
      <c r="C19356" s="74" t="s">
        <v>446</v>
      </c>
    </row>
    <row r="19357" spans="1:3">
      <c r="A19357" s="250">
        <v>45827</v>
      </c>
      <c r="B19357" s="74" t="s">
        <v>6265</v>
      </c>
      <c r="C19357" s="74" t="s">
        <v>446</v>
      </c>
    </row>
    <row r="19358" spans="1:3">
      <c r="A19358" s="250">
        <v>45828</v>
      </c>
      <c r="B19358" s="74" t="s">
        <v>9294</v>
      </c>
      <c r="C19358" s="74" t="s">
        <v>446</v>
      </c>
    </row>
    <row r="19359" spans="1:3">
      <c r="A19359" s="250">
        <v>45830</v>
      </c>
      <c r="B19359" s="74" t="s">
        <v>10593</v>
      </c>
      <c r="C19359" s="74" t="s">
        <v>446</v>
      </c>
    </row>
    <row r="19360" spans="1:3">
      <c r="A19360" s="250">
        <v>45831</v>
      </c>
      <c r="B19360" s="74" t="s">
        <v>10594</v>
      </c>
      <c r="C19360" s="74" t="s">
        <v>446</v>
      </c>
    </row>
    <row r="19361" spans="1:3">
      <c r="A19361" s="250">
        <v>45832</v>
      </c>
      <c r="B19361" s="74" t="s">
        <v>10595</v>
      </c>
      <c r="C19361" s="74" t="s">
        <v>446</v>
      </c>
    </row>
    <row r="19362" spans="1:3">
      <c r="A19362" s="250">
        <v>45833</v>
      </c>
      <c r="B19362" s="74" t="s">
        <v>10596</v>
      </c>
      <c r="C19362" s="74" t="s">
        <v>446</v>
      </c>
    </row>
    <row r="19363" spans="1:3">
      <c r="A19363" s="250">
        <v>45835</v>
      </c>
      <c r="B19363" s="74" t="s">
        <v>10597</v>
      </c>
      <c r="C19363" s="74" t="s">
        <v>446</v>
      </c>
    </row>
    <row r="19364" spans="1:3">
      <c r="A19364" s="250">
        <v>45836</v>
      </c>
      <c r="B19364" s="74" t="s">
        <v>3695</v>
      </c>
      <c r="C19364" s="74" t="s">
        <v>446</v>
      </c>
    </row>
    <row r="19365" spans="1:3">
      <c r="A19365" s="250">
        <v>45837</v>
      </c>
      <c r="B19365" s="74" t="s">
        <v>10598</v>
      </c>
      <c r="C19365" s="74" t="s">
        <v>446</v>
      </c>
    </row>
    <row r="19366" spans="1:3">
      <c r="A19366" s="250">
        <v>45838</v>
      </c>
      <c r="B19366" s="74" t="s">
        <v>4511</v>
      </c>
      <c r="C19366" s="74" t="s">
        <v>446</v>
      </c>
    </row>
    <row r="19367" spans="1:3">
      <c r="A19367" s="250">
        <v>45839</v>
      </c>
      <c r="B19367" s="74" t="s">
        <v>10599</v>
      </c>
      <c r="C19367" s="74" t="s">
        <v>446</v>
      </c>
    </row>
    <row r="19368" spans="1:3">
      <c r="A19368" s="250">
        <v>45840</v>
      </c>
      <c r="B19368" s="74" t="s">
        <v>10599</v>
      </c>
      <c r="C19368" s="74" t="s">
        <v>446</v>
      </c>
    </row>
    <row r="19369" spans="1:3">
      <c r="A19369" s="250">
        <v>45841</v>
      </c>
      <c r="B19369" s="74" t="s">
        <v>10600</v>
      </c>
      <c r="C19369" s="74" t="s">
        <v>446</v>
      </c>
    </row>
    <row r="19370" spans="1:3">
      <c r="A19370" s="250">
        <v>45843</v>
      </c>
      <c r="B19370" s="74" t="s">
        <v>6426</v>
      </c>
      <c r="C19370" s="74" t="s">
        <v>446</v>
      </c>
    </row>
    <row r="19371" spans="1:3">
      <c r="A19371" s="250">
        <v>45844</v>
      </c>
      <c r="B19371" s="74" t="s">
        <v>10601</v>
      </c>
      <c r="C19371" s="74" t="s">
        <v>446</v>
      </c>
    </row>
    <row r="19372" spans="1:3">
      <c r="A19372" s="250">
        <v>45845</v>
      </c>
      <c r="B19372" s="74" t="s">
        <v>10602</v>
      </c>
      <c r="C19372" s="74" t="s">
        <v>446</v>
      </c>
    </row>
    <row r="19373" spans="1:3">
      <c r="A19373" s="250">
        <v>45846</v>
      </c>
      <c r="B19373" s="74" t="s">
        <v>10603</v>
      </c>
      <c r="C19373" s="74" t="s">
        <v>446</v>
      </c>
    </row>
    <row r="19374" spans="1:3">
      <c r="A19374" s="250">
        <v>45848</v>
      </c>
      <c r="B19374" s="74" t="s">
        <v>10604</v>
      </c>
      <c r="C19374" s="74" t="s">
        <v>446</v>
      </c>
    </row>
    <row r="19375" spans="1:3">
      <c r="A19375" s="250">
        <v>45849</v>
      </c>
      <c r="B19375" s="74" t="s">
        <v>10605</v>
      </c>
      <c r="C19375" s="74" t="s">
        <v>446</v>
      </c>
    </row>
    <row r="19376" spans="1:3">
      <c r="A19376" s="250">
        <v>45850</v>
      </c>
      <c r="B19376" s="74" t="s">
        <v>10606</v>
      </c>
      <c r="C19376" s="74" t="s">
        <v>446</v>
      </c>
    </row>
    <row r="19377" spans="1:3">
      <c r="A19377" s="250">
        <v>45851</v>
      </c>
      <c r="B19377" s="74" t="s">
        <v>10607</v>
      </c>
      <c r="C19377" s="74" t="s">
        <v>446</v>
      </c>
    </row>
    <row r="19378" spans="1:3">
      <c r="A19378" s="250">
        <v>45853</v>
      </c>
      <c r="B19378" s="74" t="s">
        <v>10608</v>
      </c>
      <c r="C19378" s="74" t="s">
        <v>446</v>
      </c>
    </row>
    <row r="19379" spans="1:3">
      <c r="A19379" s="250">
        <v>45854</v>
      </c>
      <c r="B19379" s="74" t="s">
        <v>2315</v>
      </c>
      <c r="C19379" s="74" t="s">
        <v>446</v>
      </c>
    </row>
    <row r="19380" spans="1:3">
      <c r="A19380" s="250">
        <v>45855</v>
      </c>
      <c r="B19380" s="74" t="s">
        <v>10609</v>
      </c>
      <c r="C19380" s="74" t="s">
        <v>446</v>
      </c>
    </row>
    <row r="19381" spans="1:3">
      <c r="A19381" s="250">
        <v>45856</v>
      </c>
      <c r="B19381" s="74" t="s">
        <v>10610</v>
      </c>
      <c r="C19381" s="74" t="s">
        <v>446</v>
      </c>
    </row>
    <row r="19382" spans="1:3">
      <c r="A19382" s="250">
        <v>45858</v>
      </c>
      <c r="B19382" s="74" t="s">
        <v>10611</v>
      </c>
      <c r="C19382" s="74" t="s">
        <v>446</v>
      </c>
    </row>
    <row r="19383" spans="1:3">
      <c r="A19383" s="250">
        <v>45859</v>
      </c>
      <c r="B19383" s="74" t="s">
        <v>10612</v>
      </c>
      <c r="C19383" s="74" t="s">
        <v>446</v>
      </c>
    </row>
    <row r="19384" spans="1:3">
      <c r="A19384" s="250">
        <v>45860</v>
      </c>
      <c r="B19384" s="74" t="s">
        <v>10613</v>
      </c>
      <c r="C19384" s="74" t="s">
        <v>446</v>
      </c>
    </row>
    <row r="19385" spans="1:3">
      <c r="A19385" s="250">
        <v>45861</v>
      </c>
      <c r="B19385" s="74" t="s">
        <v>924</v>
      </c>
      <c r="C19385" s="74" t="s">
        <v>446</v>
      </c>
    </row>
    <row r="19386" spans="1:3">
      <c r="A19386" s="250">
        <v>45862</v>
      </c>
      <c r="B19386" s="74" t="s">
        <v>795</v>
      </c>
      <c r="C19386" s="74" t="s">
        <v>446</v>
      </c>
    </row>
    <row r="19387" spans="1:3">
      <c r="A19387" s="250">
        <v>45863</v>
      </c>
      <c r="B19387" s="74" t="s">
        <v>10614</v>
      </c>
      <c r="C19387" s="74" t="s">
        <v>446</v>
      </c>
    </row>
    <row r="19388" spans="1:3">
      <c r="A19388" s="250">
        <v>45864</v>
      </c>
      <c r="B19388" s="74" t="s">
        <v>10615</v>
      </c>
      <c r="C19388" s="74" t="s">
        <v>446</v>
      </c>
    </row>
    <row r="19389" spans="1:3">
      <c r="A19389" s="250">
        <v>45865</v>
      </c>
      <c r="B19389" s="74" t="s">
        <v>10616</v>
      </c>
      <c r="C19389" s="74" t="s">
        <v>446</v>
      </c>
    </row>
    <row r="19390" spans="1:3">
      <c r="A19390" s="250">
        <v>45866</v>
      </c>
      <c r="B19390" s="74" t="s">
        <v>3391</v>
      </c>
      <c r="C19390" s="74" t="s">
        <v>446</v>
      </c>
    </row>
    <row r="19391" spans="1:3">
      <c r="A19391" s="250">
        <v>45867</v>
      </c>
      <c r="B19391" s="74" t="s">
        <v>10617</v>
      </c>
      <c r="C19391" s="74" t="s">
        <v>446</v>
      </c>
    </row>
    <row r="19392" spans="1:3">
      <c r="A19392" s="250">
        <v>45868</v>
      </c>
      <c r="B19392" s="74" t="s">
        <v>10618</v>
      </c>
      <c r="C19392" s="74" t="s">
        <v>446</v>
      </c>
    </row>
    <row r="19393" spans="1:3">
      <c r="A19393" s="250">
        <v>45869</v>
      </c>
      <c r="B19393" s="74" t="s">
        <v>10619</v>
      </c>
      <c r="C19393" s="74" t="s">
        <v>446</v>
      </c>
    </row>
    <row r="19394" spans="1:3">
      <c r="A19394" s="250">
        <v>45870</v>
      </c>
      <c r="B19394" s="74" t="s">
        <v>10620</v>
      </c>
      <c r="C19394" s="74" t="s">
        <v>446</v>
      </c>
    </row>
    <row r="19395" spans="1:3">
      <c r="A19395" s="250">
        <v>45871</v>
      </c>
      <c r="B19395" s="74" t="s">
        <v>10621</v>
      </c>
      <c r="C19395" s="74" t="s">
        <v>446</v>
      </c>
    </row>
    <row r="19396" spans="1:3">
      <c r="A19396" s="250">
        <v>45872</v>
      </c>
      <c r="B19396" s="74" t="s">
        <v>10622</v>
      </c>
      <c r="C19396" s="74" t="s">
        <v>446</v>
      </c>
    </row>
    <row r="19397" spans="1:3">
      <c r="A19397" s="250">
        <v>45873</v>
      </c>
      <c r="B19397" s="74" t="s">
        <v>6466</v>
      </c>
      <c r="C19397" s="74" t="s">
        <v>446</v>
      </c>
    </row>
    <row r="19398" spans="1:3">
      <c r="A19398" s="250">
        <v>45874</v>
      </c>
      <c r="B19398" s="74" t="s">
        <v>10623</v>
      </c>
      <c r="C19398" s="74" t="s">
        <v>446</v>
      </c>
    </row>
    <row r="19399" spans="1:3">
      <c r="A19399" s="250">
        <v>45875</v>
      </c>
      <c r="B19399" s="74" t="s">
        <v>6634</v>
      </c>
      <c r="C19399" s="74" t="s">
        <v>446</v>
      </c>
    </row>
    <row r="19400" spans="1:3">
      <c r="A19400" s="250">
        <v>45876</v>
      </c>
      <c r="B19400" s="74" t="s">
        <v>10624</v>
      </c>
      <c r="C19400" s="74" t="s">
        <v>446</v>
      </c>
    </row>
    <row r="19401" spans="1:3">
      <c r="A19401" s="250">
        <v>45877</v>
      </c>
      <c r="B19401" s="74" t="s">
        <v>10625</v>
      </c>
      <c r="C19401" s="74" t="s">
        <v>446</v>
      </c>
    </row>
    <row r="19402" spans="1:3">
      <c r="A19402" s="250">
        <v>45879</v>
      </c>
      <c r="B19402" s="74" t="s">
        <v>9467</v>
      </c>
      <c r="C19402" s="74" t="s">
        <v>446</v>
      </c>
    </row>
    <row r="19403" spans="1:3">
      <c r="A19403" s="250">
        <v>45880</v>
      </c>
      <c r="B19403" s="74" t="s">
        <v>10626</v>
      </c>
      <c r="C19403" s="74" t="s">
        <v>446</v>
      </c>
    </row>
    <row r="19404" spans="1:3">
      <c r="A19404" s="250">
        <v>45881</v>
      </c>
      <c r="B19404" s="74" t="s">
        <v>10627</v>
      </c>
      <c r="C19404" s="74" t="s">
        <v>446</v>
      </c>
    </row>
    <row r="19405" spans="1:3">
      <c r="A19405" s="250">
        <v>45882</v>
      </c>
      <c r="B19405" s="74" t="s">
        <v>8662</v>
      </c>
      <c r="C19405" s="74" t="s">
        <v>446</v>
      </c>
    </row>
    <row r="19406" spans="1:3">
      <c r="A19406" s="250">
        <v>45883</v>
      </c>
      <c r="B19406" s="74" t="s">
        <v>10628</v>
      </c>
      <c r="C19406" s="74" t="s">
        <v>446</v>
      </c>
    </row>
    <row r="19407" spans="1:3">
      <c r="A19407" s="250">
        <v>45884</v>
      </c>
      <c r="B19407" s="74" t="s">
        <v>5103</v>
      </c>
      <c r="C19407" s="74" t="s">
        <v>446</v>
      </c>
    </row>
    <row r="19408" spans="1:3">
      <c r="A19408" s="250">
        <v>45885</v>
      </c>
      <c r="B19408" s="74" t="s">
        <v>4333</v>
      </c>
      <c r="C19408" s="74" t="s">
        <v>446</v>
      </c>
    </row>
    <row r="19409" spans="1:3">
      <c r="A19409" s="250">
        <v>45886</v>
      </c>
      <c r="B19409" s="74" t="s">
        <v>9348</v>
      </c>
      <c r="C19409" s="74" t="s">
        <v>446</v>
      </c>
    </row>
    <row r="19410" spans="1:3">
      <c r="A19410" s="250">
        <v>45887</v>
      </c>
      <c r="B19410" s="74" t="s">
        <v>5640</v>
      </c>
      <c r="C19410" s="74" t="s">
        <v>446</v>
      </c>
    </row>
    <row r="19411" spans="1:3">
      <c r="A19411" s="250">
        <v>45888</v>
      </c>
      <c r="B19411" s="74" t="s">
        <v>10629</v>
      </c>
      <c r="C19411" s="74" t="s">
        <v>446</v>
      </c>
    </row>
    <row r="19412" spans="1:3">
      <c r="A19412" s="250">
        <v>45889</v>
      </c>
      <c r="B19412" s="74" t="s">
        <v>1658</v>
      </c>
      <c r="C19412" s="74" t="s">
        <v>446</v>
      </c>
    </row>
    <row r="19413" spans="1:3">
      <c r="A19413" s="250">
        <v>45890</v>
      </c>
      <c r="B19413" s="74" t="s">
        <v>10630</v>
      </c>
      <c r="C19413" s="74" t="s">
        <v>446</v>
      </c>
    </row>
    <row r="19414" spans="1:3">
      <c r="A19414" s="250">
        <v>45891</v>
      </c>
      <c r="B19414" s="74" t="s">
        <v>10631</v>
      </c>
      <c r="C19414" s="74" t="s">
        <v>446</v>
      </c>
    </row>
    <row r="19415" spans="1:3">
      <c r="A19415" s="250">
        <v>45893</v>
      </c>
      <c r="B19415" s="74" t="s">
        <v>10632</v>
      </c>
      <c r="C19415" s="74" t="s">
        <v>446</v>
      </c>
    </row>
    <row r="19416" spans="1:3">
      <c r="A19416" s="250">
        <v>45894</v>
      </c>
      <c r="B19416" s="74" t="s">
        <v>10633</v>
      </c>
      <c r="C19416" s="74" t="s">
        <v>446</v>
      </c>
    </row>
    <row r="19417" spans="1:3">
      <c r="A19417" s="250">
        <v>45895</v>
      </c>
      <c r="B19417" s="74" t="s">
        <v>10634</v>
      </c>
      <c r="C19417" s="74" t="s">
        <v>446</v>
      </c>
    </row>
    <row r="19418" spans="1:3">
      <c r="A19418" s="250">
        <v>45896</v>
      </c>
      <c r="B19418" s="74" t="s">
        <v>10635</v>
      </c>
      <c r="C19418" s="74" t="s">
        <v>446</v>
      </c>
    </row>
    <row r="19419" spans="1:3">
      <c r="A19419" s="250">
        <v>45897</v>
      </c>
      <c r="B19419" s="74" t="s">
        <v>668</v>
      </c>
      <c r="C19419" s="74" t="s">
        <v>446</v>
      </c>
    </row>
    <row r="19420" spans="1:3">
      <c r="A19420" s="250">
        <v>45898</v>
      </c>
      <c r="B19420" s="74" t="s">
        <v>10636</v>
      </c>
      <c r="C19420" s="74" t="s">
        <v>446</v>
      </c>
    </row>
    <row r="19421" spans="1:3">
      <c r="A19421" s="250">
        <v>45899</v>
      </c>
      <c r="B19421" s="74" t="s">
        <v>10637</v>
      </c>
      <c r="C19421" s="74" t="s">
        <v>446</v>
      </c>
    </row>
    <row r="19422" spans="1:3">
      <c r="A19422" s="250">
        <v>45999</v>
      </c>
      <c r="B19422" s="74" t="s">
        <v>10489</v>
      </c>
      <c r="C19422" s="74" t="s">
        <v>446</v>
      </c>
    </row>
    <row r="19423" spans="1:3">
      <c r="A19423" s="250">
        <v>46001</v>
      </c>
      <c r="B19423" s="74" t="s">
        <v>4530</v>
      </c>
      <c r="C19423" s="74" t="s">
        <v>425</v>
      </c>
    </row>
    <row r="19424" spans="1:3">
      <c r="A19424" s="250">
        <v>46011</v>
      </c>
      <c r="B19424" s="74" t="s">
        <v>7764</v>
      </c>
      <c r="C19424" s="74" t="s">
        <v>425</v>
      </c>
    </row>
    <row r="19425" spans="1:3">
      <c r="A19425" s="250">
        <v>46012</v>
      </c>
      <c r="B19425" s="74" t="s">
        <v>7764</v>
      </c>
      <c r="C19425" s="74" t="s">
        <v>425</v>
      </c>
    </row>
    <row r="19426" spans="1:3">
      <c r="A19426" s="250">
        <v>46013</v>
      </c>
      <c r="B19426" s="74" t="s">
        <v>7764</v>
      </c>
      <c r="C19426" s="74" t="s">
        <v>425</v>
      </c>
    </row>
    <row r="19427" spans="1:3">
      <c r="A19427" s="250">
        <v>46014</v>
      </c>
      <c r="B19427" s="74" t="s">
        <v>7764</v>
      </c>
      <c r="C19427" s="74" t="s">
        <v>425</v>
      </c>
    </row>
    <row r="19428" spans="1:3">
      <c r="A19428" s="250">
        <v>46015</v>
      </c>
      <c r="B19428" s="74" t="s">
        <v>7764</v>
      </c>
      <c r="C19428" s="74" t="s">
        <v>425</v>
      </c>
    </row>
    <row r="19429" spans="1:3">
      <c r="A19429" s="250">
        <v>46016</v>
      </c>
      <c r="B19429" s="74" t="s">
        <v>7764</v>
      </c>
      <c r="C19429" s="74" t="s">
        <v>425</v>
      </c>
    </row>
    <row r="19430" spans="1:3">
      <c r="A19430" s="250">
        <v>46017</v>
      </c>
      <c r="B19430" s="74" t="s">
        <v>7764</v>
      </c>
      <c r="C19430" s="74" t="s">
        <v>425</v>
      </c>
    </row>
    <row r="19431" spans="1:3">
      <c r="A19431" s="250">
        <v>46018</v>
      </c>
      <c r="B19431" s="74" t="s">
        <v>7764</v>
      </c>
      <c r="C19431" s="74" t="s">
        <v>425</v>
      </c>
    </row>
    <row r="19432" spans="1:3">
      <c r="A19432" s="250">
        <v>46030</v>
      </c>
      <c r="B19432" s="74" t="s">
        <v>4258</v>
      </c>
      <c r="C19432" s="74" t="s">
        <v>425</v>
      </c>
    </row>
    <row r="19433" spans="1:3">
      <c r="A19433" s="250">
        <v>46031</v>
      </c>
      <c r="B19433" s="74" t="s">
        <v>3895</v>
      </c>
      <c r="C19433" s="74" t="s">
        <v>425</v>
      </c>
    </row>
    <row r="19434" spans="1:3">
      <c r="A19434" s="250">
        <v>46032</v>
      </c>
      <c r="B19434" s="74" t="s">
        <v>1496</v>
      </c>
      <c r="C19434" s="74" t="s">
        <v>425</v>
      </c>
    </row>
    <row r="19435" spans="1:3">
      <c r="A19435" s="250">
        <v>46033</v>
      </c>
      <c r="B19435" s="74" t="s">
        <v>1496</v>
      </c>
      <c r="C19435" s="74" t="s">
        <v>425</v>
      </c>
    </row>
    <row r="19436" spans="1:3">
      <c r="A19436" s="250">
        <v>46034</v>
      </c>
      <c r="B19436" s="74" t="s">
        <v>3347</v>
      </c>
      <c r="C19436" s="74" t="s">
        <v>425</v>
      </c>
    </row>
    <row r="19437" spans="1:3">
      <c r="A19437" s="250">
        <v>46035</v>
      </c>
      <c r="B19437" s="74" t="s">
        <v>6980</v>
      </c>
      <c r="C19437" s="74" t="s">
        <v>425</v>
      </c>
    </row>
    <row r="19438" spans="1:3">
      <c r="A19438" s="250">
        <v>46036</v>
      </c>
      <c r="B19438" s="74" t="s">
        <v>2451</v>
      </c>
      <c r="C19438" s="74" t="s">
        <v>425</v>
      </c>
    </row>
    <row r="19439" spans="1:3">
      <c r="A19439" s="250">
        <v>46037</v>
      </c>
      <c r="B19439" s="74" t="s">
        <v>3774</v>
      </c>
      <c r="C19439" s="74" t="s">
        <v>425</v>
      </c>
    </row>
    <row r="19440" spans="1:3">
      <c r="A19440" s="250">
        <v>46038</v>
      </c>
      <c r="B19440" s="74" t="s">
        <v>3774</v>
      </c>
      <c r="C19440" s="74" t="s">
        <v>425</v>
      </c>
    </row>
    <row r="19441" spans="1:3">
      <c r="A19441" s="250">
        <v>46039</v>
      </c>
      <c r="B19441" s="74" t="s">
        <v>6426</v>
      </c>
      <c r="C19441" s="74" t="s">
        <v>425</v>
      </c>
    </row>
    <row r="19442" spans="1:3">
      <c r="A19442" s="250">
        <v>46040</v>
      </c>
      <c r="B19442" s="74" t="s">
        <v>10638</v>
      </c>
      <c r="C19442" s="74" t="s">
        <v>425</v>
      </c>
    </row>
    <row r="19443" spans="1:3">
      <c r="A19443" s="250">
        <v>46041</v>
      </c>
      <c r="B19443" s="74" t="s">
        <v>1505</v>
      </c>
      <c r="C19443" s="74" t="s">
        <v>425</v>
      </c>
    </row>
    <row r="19444" spans="1:3">
      <c r="A19444" s="250">
        <v>46044</v>
      </c>
      <c r="B19444" s="74" t="s">
        <v>10639</v>
      </c>
      <c r="C19444" s="74" t="s">
        <v>425</v>
      </c>
    </row>
    <row r="19445" spans="1:3">
      <c r="A19445" s="250">
        <v>46045</v>
      </c>
      <c r="B19445" s="74" t="s">
        <v>10640</v>
      </c>
      <c r="C19445" s="74" t="s">
        <v>425</v>
      </c>
    </row>
    <row r="19446" spans="1:3">
      <c r="A19446" s="250">
        <v>46047</v>
      </c>
      <c r="B19446" s="74" t="s">
        <v>10641</v>
      </c>
      <c r="C19446" s="74" t="s">
        <v>425</v>
      </c>
    </row>
    <row r="19447" spans="1:3">
      <c r="A19447" s="250">
        <v>46048</v>
      </c>
      <c r="B19447" s="74" t="s">
        <v>10642</v>
      </c>
      <c r="C19447" s="74" t="s">
        <v>425</v>
      </c>
    </row>
    <row r="19448" spans="1:3">
      <c r="A19448" s="250">
        <v>46049</v>
      </c>
      <c r="B19448" s="74" t="s">
        <v>5458</v>
      </c>
      <c r="C19448" s="74" t="s">
        <v>425</v>
      </c>
    </row>
    <row r="19449" spans="1:3">
      <c r="A19449" s="250">
        <v>46050</v>
      </c>
      <c r="B19449" s="74" t="s">
        <v>10643</v>
      </c>
      <c r="C19449" s="74" t="s">
        <v>425</v>
      </c>
    </row>
    <row r="19450" spans="1:3">
      <c r="A19450" s="250">
        <v>46051</v>
      </c>
      <c r="B19450" s="74" t="s">
        <v>10644</v>
      </c>
      <c r="C19450" s="74" t="s">
        <v>425</v>
      </c>
    </row>
    <row r="19451" spans="1:3">
      <c r="A19451" s="250">
        <v>46052</v>
      </c>
      <c r="B19451" s="74" t="s">
        <v>1280</v>
      </c>
      <c r="C19451" s="74" t="s">
        <v>425</v>
      </c>
    </row>
    <row r="19452" spans="1:3">
      <c r="A19452" s="250">
        <v>46055</v>
      </c>
      <c r="B19452" s="74" t="s">
        <v>10645</v>
      </c>
      <c r="C19452" s="74" t="s">
        <v>425</v>
      </c>
    </row>
    <row r="19453" spans="1:3">
      <c r="A19453" s="250">
        <v>46056</v>
      </c>
      <c r="B19453" s="74" t="s">
        <v>10646</v>
      </c>
      <c r="C19453" s="74" t="s">
        <v>425</v>
      </c>
    </row>
    <row r="19454" spans="1:3">
      <c r="A19454" s="250">
        <v>46057</v>
      </c>
      <c r="B19454" s="74" t="s">
        <v>10647</v>
      </c>
      <c r="C19454" s="74" t="s">
        <v>425</v>
      </c>
    </row>
    <row r="19455" spans="1:3">
      <c r="A19455" s="250">
        <v>46058</v>
      </c>
      <c r="B19455" s="74" t="s">
        <v>8511</v>
      </c>
      <c r="C19455" s="74" t="s">
        <v>425</v>
      </c>
    </row>
    <row r="19456" spans="1:3">
      <c r="A19456" s="250">
        <v>46060</v>
      </c>
      <c r="B19456" s="74" t="s">
        <v>10648</v>
      </c>
      <c r="C19456" s="74" t="s">
        <v>425</v>
      </c>
    </row>
    <row r="19457" spans="1:3">
      <c r="A19457" s="250">
        <v>46061</v>
      </c>
      <c r="B19457" s="74" t="s">
        <v>10648</v>
      </c>
      <c r="C19457" s="74" t="s">
        <v>425</v>
      </c>
    </row>
    <row r="19458" spans="1:3">
      <c r="A19458" s="250">
        <v>46062</v>
      </c>
      <c r="B19458" s="74" t="s">
        <v>10648</v>
      </c>
      <c r="C19458" s="74" t="s">
        <v>425</v>
      </c>
    </row>
    <row r="19459" spans="1:3">
      <c r="A19459" s="250">
        <v>46063</v>
      </c>
      <c r="B19459" s="74" t="s">
        <v>10649</v>
      </c>
      <c r="C19459" s="74" t="s">
        <v>425</v>
      </c>
    </row>
    <row r="19460" spans="1:3">
      <c r="A19460" s="250">
        <v>46064</v>
      </c>
      <c r="B19460" s="74" t="s">
        <v>7210</v>
      </c>
      <c r="C19460" s="74" t="s">
        <v>425</v>
      </c>
    </row>
    <row r="19461" spans="1:3">
      <c r="A19461" s="250">
        <v>46065</v>
      </c>
      <c r="B19461" s="74" t="s">
        <v>4837</v>
      </c>
      <c r="C19461" s="74" t="s">
        <v>425</v>
      </c>
    </row>
    <row r="19462" spans="1:3">
      <c r="A19462" s="250">
        <v>46067</v>
      </c>
      <c r="B19462" s="74" t="s">
        <v>7119</v>
      </c>
      <c r="C19462" s="74" t="s">
        <v>425</v>
      </c>
    </row>
    <row r="19463" spans="1:3">
      <c r="A19463" s="250">
        <v>46068</v>
      </c>
      <c r="B19463" s="74" t="s">
        <v>4428</v>
      </c>
      <c r="C19463" s="74" t="s">
        <v>425</v>
      </c>
    </row>
    <row r="19464" spans="1:3">
      <c r="A19464" s="250">
        <v>46069</v>
      </c>
      <c r="B19464" s="74" t="s">
        <v>1651</v>
      </c>
      <c r="C19464" s="74" t="s">
        <v>425</v>
      </c>
    </row>
    <row r="19465" spans="1:3">
      <c r="A19465" s="250">
        <v>46070</v>
      </c>
      <c r="B19465" s="74" t="s">
        <v>3207</v>
      </c>
      <c r="C19465" s="74" t="s">
        <v>425</v>
      </c>
    </row>
    <row r="19466" spans="1:3">
      <c r="A19466" s="250">
        <v>46071</v>
      </c>
      <c r="B19466" s="74" t="s">
        <v>10650</v>
      </c>
      <c r="C19466" s="74" t="s">
        <v>425</v>
      </c>
    </row>
    <row r="19467" spans="1:3">
      <c r="A19467" s="250">
        <v>46072</v>
      </c>
      <c r="B19467" s="74" t="s">
        <v>4581</v>
      </c>
      <c r="C19467" s="74" t="s">
        <v>425</v>
      </c>
    </row>
    <row r="19468" spans="1:3">
      <c r="A19468" s="250">
        <v>46074</v>
      </c>
      <c r="B19468" s="74" t="s">
        <v>624</v>
      </c>
      <c r="C19468" s="74" t="s">
        <v>425</v>
      </c>
    </row>
    <row r="19469" spans="1:3">
      <c r="A19469" s="250">
        <v>46075</v>
      </c>
      <c r="B19469" s="74" t="s">
        <v>10651</v>
      </c>
      <c r="C19469" s="74" t="s">
        <v>425</v>
      </c>
    </row>
    <row r="19470" spans="1:3">
      <c r="A19470" s="250">
        <v>46076</v>
      </c>
      <c r="B19470" s="74" t="s">
        <v>10652</v>
      </c>
      <c r="C19470" s="74" t="s">
        <v>425</v>
      </c>
    </row>
    <row r="19471" spans="1:3">
      <c r="A19471" s="250">
        <v>46077</v>
      </c>
      <c r="B19471" s="74" t="s">
        <v>5076</v>
      </c>
      <c r="C19471" s="74" t="s">
        <v>425</v>
      </c>
    </row>
    <row r="19472" spans="1:3">
      <c r="A19472" s="250">
        <v>46082</v>
      </c>
      <c r="B19472" s="74" t="s">
        <v>1496</v>
      </c>
      <c r="C19472" s="74" t="s">
        <v>425</v>
      </c>
    </row>
    <row r="19473" spans="1:3">
      <c r="A19473" s="250">
        <v>46085</v>
      </c>
      <c r="B19473" s="74" t="s">
        <v>3774</v>
      </c>
      <c r="C19473" s="74" t="s">
        <v>425</v>
      </c>
    </row>
    <row r="19474" spans="1:3">
      <c r="A19474" s="250">
        <v>46102</v>
      </c>
      <c r="B19474" s="74" t="s">
        <v>7052</v>
      </c>
      <c r="C19474" s="74" t="s">
        <v>425</v>
      </c>
    </row>
    <row r="19475" spans="1:3">
      <c r="A19475" s="250">
        <v>46103</v>
      </c>
      <c r="B19475" s="74" t="s">
        <v>10653</v>
      </c>
      <c r="C19475" s="74" t="s">
        <v>425</v>
      </c>
    </row>
    <row r="19476" spans="1:3">
      <c r="A19476" s="250">
        <v>46104</v>
      </c>
      <c r="B19476" s="74" t="s">
        <v>984</v>
      </c>
      <c r="C19476" s="74" t="s">
        <v>425</v>
      </c>
    </row>
    <row r="19477" spans="1:3">
      <c r="A19477" s="250">
        <v>46105</v>
      </c>
      <c r="B19477" s="74" t="s">
        <v>3593</v>
      </c>
      <c r="C19477" s="74" t="s">
        <v>425</v>
      </c>
    </row>
    <row r="19478" spans="1:3">
      <c r="A19478" s="250">
        <v>46106</v>
      </c>
      <c r="B19478" s="74" t="s">
        <v>10654</v>
      </c>
      <c r="C19478" s="74" t="s">
        <v>425</v>
      </c>
    </row>
    <row r="19479" spans="1:3">
      <c r="A19479" s="250">
        <v>46107</v>
      </c>
      <c r="B19479" s="74" t="s">
        <v>9997</v>
      </c>
      <c r="C19479" s="74" t="s">
        <v>425</v>
      </c>
    </row>
    <row r="19480" spans="1:3">
      <c r="A19480" s="250">
        <v>46110</v>
      </c>
      <c r="B19480" s="74" t="s">
        <v>10655</v>
      </c>
      <c r="C19480" s="74" t="s">
        <v>425</v>
      </c>
    </row>
    <row r="19481" spans="1:3">
      <c r="A19481" s="250">
        <v>46111</v>
      </c>
      <c r="B19481" s="74" t="s">
        <v>1983</v>
      </c>
      <c r="C19481" s="74" t="s">
        <v>425</v>
      </c>
    </row>
    <row r="19482" spans="1:3">
      <c r="A19482" s="250">
        <v>46112</v>
      </c>
      <c r="B19482" s="74" t="s">
        <v>6383</v>
      </c>
      <c r="C19482" s="74" t="s">
        <v>425</v>
      </c>
    </row>
    <row r="19483" spans="1:3">
      <c r="A19483" s="250">
        <v>46113</v>
      </c>
      <c r="B19483" s="74" t="s">
        <v>10656</v>
      </c>
      <c r="C19483" s="74" t="s">
        <v>425</v>
      </c>
    </row>
    <row r="19484" spans="1:3">
      <c r="A19484" s="250">
        <v>46115</v>
      </c>
      <c r="B19484" s="74" t="s">
        <v>3531</v>
      </c>
      <c r="C19484" s="74" t="s">
        <v>425</v>
      </c>
    </row>
    <row r="19485" spans="1:3">
      <c r="A19485" s="250">
        <v>46117</v>
      </c>
      <c r="B19485" s="74" t="s">
        <v>6002</v>
      </c>
      <c r="C19485" s="74" t="s">
        <v>425</v>
      </c>
    </row>
    <row r="19486" spans="1:3">
      <c r="A19486" s="250">
        <v>46118</v>
      </c>
      <c r="B19486" s="74" t="s">
        <v>2476</v>
      </c>
      <c r="C19486" s="74" t="s">
        <v>425</v>
      </c>
    </row>
    <row r="19487" spans="1:3">
      <c r="A19487" s="250">
        <v>46120</v>
      </c>
      <c r="B19487" s="74" t="s">
        <v>6265</v>
      </c>
      <c r="C19487" s="74" t="s">
        <v>425</v>
      </c>
    </row>
    <row r="19488" spans="1:3">
      <c r="A19488" s="250">
        <v>46121</v>
      </c>
      <c r="B19488" s="74" t="s">
        <v>5373</v>
      </c>
      <c r="C19488" s="74" t="s">
        <v>425</v>
      </c>
    </row>
    <row r="19489" spans="1:3">
      <c r="A19489" s="250">
        <v>46122</v>
      </c>
      <c r="B19489" s="74" t="s">
        <v>1302</v>
      </c>
      <c r="C19489" s="74" t="s">
        <v>425</v>
      </c>
    </row>
    <row r="19490" spans="1:3">
      <c r="A19490" s="250">
        <v>46123</v>
      </c>
      <c r="B19490" s="74" t="s">
        <v>935</v>
      </c>
      <c r="C19490" s="74" t="s">
        <v>425</v>
      </c>
    </row>
    <row r="19491" spans="1:3">
      <c r="A19491" s="250">
        <v>46124</v>
      </c>
      <c r="B19491" s="74" t="s">
        <v>10657</v>
      </c>
      <c r="C19491" s="74" t="s">
        <v>425</v>
      </c>
    </row>
    <row r="19492" spans="1:3">
      <c r="A19492" s="250">
        <v>46125</v>
      </c>
      <c r="B19492" s="74" t="s">
        <v>9578</v>
      </c>
      <c r="C19492" s="74" t="s">
        <v>425</v>
      </c>
    </row>
    <row r="19493" spans="1:3">
      <c r="A19493" s="250">
        <v>46126</v>
      </c>
      <c r="B19493" s="74" t="s">
        <v>10658</v>
      </c>
      <c r="C19493" s="74" t="s">
        <v>425</v>
      </c>
    </row>
    <row r="19494" spans="1:3">
      <c r="A19494" s="250">
        <v>46127</v>
      </c>
      <c r="B19494" s="74" t="s">
        <v>1001</v>
      </c>
      <c r="C19494" s="74" t="s">
        <v>425</v>
      </c>
    </row>
    <row r="19495" spans="1:3">
      <c r="A19495" s="250">
        <v>46128</v>
      </c>
      <c r="B19495" s="74" t="s">
        <v>3862</v>
      </c>
      <c r="C19495" s="74" t="s">
        <v>425</v>
      </c>
    </row>
    <row r="19496" spans="1:3">
      <c r="A19496" s="250">
        <v>46129</v>
      </c>
      <c r="B19496" s="74" t="s">
        <v>10659</v>
      </c>
      <c r="C19496" s="74" t="s">
        <v>425</v>
      </c>
    </row>
    <row r="19497" spans="1:3">
      <c r="A19497" s="250">
        <v>46130</v>
      </c>
      <c r="B19497" s="74" t="s">
        <v>10660</v>
      </c>
      <c r="C19497" s="74" t="s">
        <v>425</v>
      </c>
    </row>
    <row r="19498" spans="1:3">
      <c r="A19498" s="250">
        <v>46131</v>
      </c>
      <c r="B19498" s="74" t="s">
        <v>873</v>
      </c>
      <c r="C19498" s="74" t="s">
        <v>425</v>
      </c>
    </row>
    <row r="19499" spans="1:3">
      <c r="A19499" s="250">
        <v>46133</v>
      </c>
      <c r="B19499" s="74" t="s">
        <v>2187</v>
      </c>
      <c r="C19499" s="74" t="s">
        <v>425</v>
      </c>
    </row>
    <row r="19500" spans="1:3">
      <c r="A19500" s="250">
        <v>46135</v>
      </c>
      <c r="B19500" s="74" t="s">
        <v>4770</v>
      </c>
      <c r="C19500" s="74" t="s">
        <v>425</v>
      </c>
    </row>
    <row r="19501" spans="1:3">
      <c r="A19501" s="250">
        <v>46140</v>
      </c>
      <c r="B19501" s="74" t="s">
        <v>670</v>
      </c>
      <c r="C19501" s="74" t="s">
        <v>425</v>
      </c>
    </row>
    <row r="19502" spans="1:3">
      <c r="A19502" s="250">
        <v>46142</v>
      </c>
      <c r="B19502" s="74" t="s">
        <v>1448</v>
      </c>
      <c r="C19502" s="74" t="s">
        <v>425</v>
      </c>
    </row>
    <row r="19503" spans="1:3">
      <c r="A19503" s="250">
        <v>46143</v>
      </c>
      <c r="B19503" s="74" t="s">
        <v>1448</v>
      </c>
      <c r="C19503" s="74" t="s">
        <v>425</v>
      </c>
    </row>
    <row r="19504" spans="1:3">
      <c r="A19504" s="250">
        <v>46144</v>
      </c>
      <c r="B19504" s="74" t="s">
        <v>10661</v>
      </c>
      <c r="C19504" s="74" t="s">
        <v>425</v>
      </c>
    </row>
    <row r="19505" spans="1:3">
      <c r="A19505" s="250">
        <v>46146</v>
      </c>
      <c r="B19505" s="74" t="s">
        <v>3369</v>
      </c>
      <c r="C19505" s="74" t="s">
        <v>425</v>
      </c>
    </row>
    <row r="19506" spans="1:3">
      <c r="A19506" s="250">
        <v>46147</v>
      </c>
      <c r="B19506" s="74" t="s">
        <v>1113</v>
      </c>
      <c r="C19506" s="74" t="s">
        <v>425</v>
      </c>
    </row>
    <row r="19507" spans="1:3">
      <c r="A19507" s="250">
        <v>46148</v>
      </c>
      <c r="B19507" s="74" t="s">
        <v>10662</v>
      </c>
      <c r="C19507" s="74" t="s">
        <v>425</v>
      </c>
    </row>
    <row r="19508" spans="1:3">
      <c r="A19508" s="250">
        <v>46149</v>
      </c>
      <c r="B19508" s="74" t="s">
        <v>10663</v>
      </c>
      <c r="C19508" s="74" t="s">
        <v>425</v>
      </c>
    </row>
    <row r="19509" spans="1:3">
      <c r="A19509" s="250">
        <v>46150</v>
      </c>
      <c r="B19509" s="74" t="s">
        <v>10664</v>
      </c>
      <c r="C19509" s="74" t="s">
        <v>425</v>
      </c>
    </row>
    <row r="19510" spans="1:3">
      <c r="A19510" s="250">
        <v>46151</v>
      </c>
      <c r="B19510" s="74" t="s">
        <v>2580</v>
      </c>
      <c r="C19510" s="74" t="s">
        <v>425</v>
      </c>
    </row>
    <row r="19511" spans="1:3">
      <c r="A19511" s="250">
        <v>46154</v>
      </c>
      <c r="B19511" s="74" t="s">
        <v>10665</v>
      </c>
      <c r="C19511" s="74" t="s">
        <v>425</v>
      </c>
    </row>
    <row r="19512" spans="1:3">
      <c r="A19512" s="250">
        <v>46155</v>
      </c>
      <c r="B19512" s="74" t="s">
        <v>10666</v>
      </c>
      <c r="C19512" s="74" t="s">
        <v>425</v>
      </c>
    </row>
    <row r="19513" spans="1:3">
      <c r="A19513" s="250">
        <v>46156</v>
      </c>
      <c r="B19513" s="74" t="s">
        <v>4731</v>
      </c>
      <c r="C19513" s="74" t="s">
        <v>425</v>
      </c>
    </row>
    <row r="19514" spans="1:3">
      <c r="A19514" s="250">
        <v>46157</v>
      </c>
      <c r="B19514" s="74" t="s">
        <v>5809</v>
      </c>
      <c r="C19514" s="74" t="s">
        <v>425</v>
      </c>
    </row>
    <row r="19515" spans="1:3">
      <c r="A19515" s="250">
        <v>46158</v>
      </c>
      <c r="B19515" s="74" t="s">
        <v>7324</v>
      </c>
      <c r="C19515" s="74" t="s">
        <v>425</v>
      </c>
    </row>
    <row r="19516" spans="1:3">
      <c r="A19516" s="250">
        <v>46160</v>
      </c>
      <c r="B19516" s="74" t="s">
        <v>5469</v>
      </c>
      <c r="C19516" s="74" t="s">
        <v>425</v>
      </c>
    </row>
    <row r="19517" spans="1:3">
      <c r="A19517" s="250">
        <v>46161</v>
      </c>
      <c r="B19517" s="74" t="s">
        <v>2353</v>
      </c>
      <c r="C19517" s="74" t="s">
        <v>425</v>
      </c>
    </row>
    <row r="19518" spans="1:3">
      <c r="A19518" s="250">
        <v>46162</v>
      </c>
      <c r="B19518" s="74" t="s">
        <v>990</v>
      </c>
      <c r="C19518" s="74" t="s">
        <v>425</v>
      </c>
    </row>
    <row r="19519" spans="1:3">
      <c r="A19519" s="250">
        <v>46163</v>
      </c>
      <c r="B19519" s="74" t="s">
        <v>10667</v>
      </c>
      <c r="C19519" s="74" t="s">
        <v>425</v>
      </c>
    </row>
    <row r="19520" spans="1:3">
      <c r="A19520" s="250">
        <v>46164</v>
      </c>
      <c r="B19520" s="74" t="s">
        <v>3637</v>
      </c>
      <c r="C19520" s="74" t="s">
        <v>425</v>
      </c>
    </row>
    <row r="19521" spans="1:3">
      <c r="A19521" s="250">
        <v>46165</v>
      </c>
      <c r="B19521" s="74" t="s">
        <v>1168</v>
      </c>
      <c r="C19521" s="74" t="s">
        <v>425</v>
      </c>
    </row>
    <row r="19522" spans="1:3">
      <c r="A19522" s="250">
        <v>46166</v>
      </c>
      <c r="B19522" s="74" t="s">
        <v>10668</v>
      </c>
      <c r="C19522" s="74" t="s">
        <v>425</v>
      </c>
    </row>
    <row r="19523" spans="1:3">
      <c r="A19523" s="250">
        <v>46167</v>
      </c>
      <c r="B19523" s="74" t="s">
        <v>7109</v>
      </c>
      <c r="C19523" s="74" t="s">
        <v>425</v>
      </c>
    </row>
    <row r="19524" spans="1:3">
      <c r="A19524" s="250">
        <v>46168</v>
      </c>
      <c r="B19524" s="74" t="s">
        <v>611</v>
      </c>
      <c r="C19524" s="74" t="s">
        <v>425</v>
      </c>
    </row>
    <row r="19525" spans="1:3">
      <c r="A19525" s="250">
        <v>46170</v>
      </c>
      <c r="B19525" s="74" t="s">
        <v>10669</v>
      </c>
      <c r="C19525" s="74" t="s">
        <v>425</v>
      </c>
    </row>
    <row r="19526" spans="1:3">
      <c r="A19526" s="250">
        <v>46171</v>
      </c>
      <c r="B19526" s="74" t="s">
        <v>10670</v>
      </c>
      <c r="C19526" s="74" t="s">
        <v>425</v>
      </c>
    </row>
    <row r="19527" spans="1:3">
      <c r="A19527" s="250">
        <v>46172</v>
      </c>
      <c r="B19527" s="74" t="s">
        <v>10671</v>
      </c>
      <c r="C19527" s="74" t="s">
        <v>425</v>
      </c>
    </row>
    <row r="19528" spans="1:3">
      <c r="A19528" s="250">
        <v>46173</v>
      </c>
      <c r="B19528" s="74" t="s">
        <v>3817</v>
      </c>
      <c r="C19528" s="74" t="s">
        <v>425</v>
      </c>
    </row>
    <row r="19529" spans="1:3">
      <c r="A19529" s="250">
        <v>46175</v>
      </c>
      <c r="B19529" s="74" t="s">
        <v>7718</v>
      </c>
      <c r="C19529" s="74" t="s">
        <v>425</v>
      </c>
    </row>
    <row r="19530" spans="1:3">
      <c r="A19530" s="250">
        <v>46176</v>
      </c>
      <c r="B19530" s="74" t="s">
        <v>9037</v>
      </c>
      <c r="C19530" s="74" t="s">
        <v>425</v>
      </c>
    </row>
    <row r="19531" spans="1:3">
      <c r="A19531" s="250">
        <v>46180</v>
      </c>
      <c r="B19531" s="74" t="s">
        <v>10672</v>
      </c>
      <c r="C19531" s="74" t="s">
        <v>425</v>
      </c>
    </row>
    <row r="19532" spans="1:3">
      <c r="A19532" s="250">
        <v>46181</v>
      </c>
      <c r="B19532" s="74" t="s">
        <v>10673</v>
      </c>
      <c r="C19532" s="74" t="s">
        <v>425</v>
      </c>
    </row>
    <row r="19533" spans="1:3">
      <c r="A19533" s="250">
        <v>46182</v>
      </c>
      <c r="B19533" s="74" t="s">
        <v>10674</v>
      </c>
      <c r="C19533" s="74" t="s">
        <v>425</v>
      </c>
    </row>
    <row r="19534" spans="1:3">
      <c r="A19534" s="250">
        <v>46183</v>
      </c>
      <c r="B19534" s="74" t="s">
        <v>979</v>
      </c>
      <c r="C19534" s="74" t="s">
        <v>425</v>
      </c>
    </row>
    <row r="19535" spans="1:3">
      <c r="A19535" s="250">
        <v>46184</v>
      </c>
      <c r="B19535" s="74" t="s">
        <v>10675</v>
      </c>
      <c r="C19535" s="74" t="s">
        <v>425</v>
      </c>
    </row>
    <row r="19536" spans="1:3">
      <c r="A19536" s="250">
        <v>46186</v>
      </c>
      <c r="B19536" s="74" t="s">
        <v>6758</v>
      </c>
      <c r="C19536" s="74" t="s">
        <v>425</v>
      </c>
    </row>
    <row r="19537" spans="1:3">
      <c r="A19537" s="250">
        <v>46201</v>
      </c>
      <c r="B19537" s="74" t="s">
        <v>10676</v>
      </c>
      <c r="C19537" s="74" t="s">
        <v>425</v>
      </c>
    </row>
    <row r="19538" spans="1:3">
      <c r="A19538" s="250">
        <v>46202</v>
      </c>
      <c r="B19538" s="74" t="s">
        <v>10676</v>
      </c>
      <c r="C19538" s="74" t="s">
        <v>425</v>
      </c>
    </row>
    <row r="19539" spans="1:3">
      <c r="A19539" s="250">
        <v>46203</v>
      </c>
      <c r="B19539" s="74" t="s">
        <v>10676</v>
      </c>
      <c r="C19539" s="74" t="s">
        <v>425</v>
      </c>
    </row>
    <row r="19540" spans="1:3">
      <c r="A19540" s="250">
        <v>46204</v>
      </c>
      <c r="B19540" s="74" t="s">
        <v>10676</v>
      </c>
      <c r="C19540" s="74" t="s">
        <v>425</v>
      </c>
    </row>
    <row r="19541" spans="1:3">
      <c r="A19541" s="250">
        <v>46205</v>
      </c>
      <c r="B19541" s="74" t="s">
        <v>10676</v>
      </c>
      <c r="C19541" s="74" t="s">
        <v>425</v>
      </c>
    </row>
    <row r="19542" spans="1:3">
      <c r="A19542" s="250">
        <v>46206</v>
      </c>
      <c r="B19542" s="74" t="s">
        <v>10676</v>
      </c>
      <c r="C19542" s="74" t="s">
        <v>425</v>
      </c>
    </row>
    <row r="19543" spans="1:3">
      <c r="A19543" s="250">
        <v>46207</v>
      </c>
      <c r="B19543" s="74" t="s">
        <v>10676</v>
      </c>
      <c r="C19543" s="74" t="s">
        <v>425</v>
      </c>
    </row>
    <row r="19544" spans="1:3">
      <c r="A19544" s="250">
        <v>46208</v>
      </c>
      <c r="B19544" s="74" t="s">
        <v>10676</v>
      </c>
      <c r="C19544" s="74" t="s">
        <v>425</v>
      </c>
    </row>
    <row r="19545" spans="1:3">
      <c r="A19545" s="250">
        <v>46209</v>
      </c>
      <c r="B19545" s="74" t="s">
        <v>10676</v>
      </c>
      <c r="C19545" s="74" t="s">
        <v>425</v>
      </c>
    </row>
    <row r="19546" spans="1:3">
      <c r="A19546" s="250">
        <v>46211</v>
      </c>
      <c r="B19546" s="74" t="s">
        <v>10676</v>
      </c>
      <c r="C19546" s="74" t="s">
        <v>425</v>
      </c>
    </row>
    <row r="19547" spans="1:3">
      <c r="A19547" s="250">
        <v>46214</v>
      </c>
      <c r="B19547" s="74" t="s">
        <v>10676</v>
      </c>
      <c r="C19547" s="74" t="s">
        <v>425</v>
      </c>
    </row>
    <row r="19548" spans="1:3">
      <c r="A19548" s="250">
        <v>46216</v>
      </c>
      <c r="B19548" s="74" t="s">
        <v>10676</v>
      </c>
      <c r="C19548" s="74" t="s">
        <v>425</v>
      </c>
    </row>
    <row r="19549" spans="1:3">
      <c r="A19549" s="250">
        <v>46217</v>
      </c>
      <c r="B19549" s="74" t="s">
        <v>10676</v>
      </c>
      <c r="C19549" s="74" t="s">
        <v>425</v>
      </c>
    </row>
    <row r="19550" spans="1:3">
      <c r="A19550" s="250">
        <v>46218</v>
      </c>
      <c r="B19550" s="74" t="s">
        <v>10676</v>
      </c>
      <c r="C19550" s="74" t="s">
        <v>425</v>
      </c>
    </row>
    <row r="19551" spans="1:3">
      <c r="A19551" s="250">
        <v>46219</v>
      </c>
      <c r="B19551" s="74" t="s">
        <v>10676</v>
      </c>
      <c r="C19551" s="74" t="s">
        <v>425</v>
      </c>
    </row>
    <row r="19552" spans="1:3">
      <c r="A19552" s="250">
        <v>46220</v>
      </c>
      <c r="B19552" s="74" t="s">
        <v>10676</v>
      </c>
      <c r="C19552" s="74" t="s">
        <v>425</v>
      </c>
    </row>
    <row r="19553" spans="1:3">
      <c r="A19553" s="250">
        <v>46221</v>
      </c>
      <c r="B19553" s="74" t="s">
        <v>10676</v>
      </c>
      <c r="C19553" s="74" t="s">
        <v>425</v>
      </c>
    </row>
    <row r="19554" spans="1:3">
      <c r="A19554" s="250">
        <v>46222</v>
      </c>
      <c r="B19554" s="74" t="s">
        <v>10676</v>
      </c>
      <c r="C19554" s="74" t="s">
        <v>425</v>
      </c>
    </row>
    <row r="19555" spans="1:3">
      <c r="A19555" s="250">
        <v>46223</v>
      </c>
      <c r="B19555" s="74" t="s">
        <v>10676</v>
      </c>
      <c r="C19555" s="74" t="s">
        <v>425</v>
      </c>
    </row>
    <row r="19556" spans="1:3">
      <c r="A19556" s="250">
        <v>46224</v>
      </c>
      <c r="B19556" s="74" t="s">
        <v>10676</v>
      </c>
      <c r="C19556" s="74" t="s">
        <v>425</v>
      </c>
    </row>
    <row r="19557" spans="1:3">
      <c r="A19557" s="250">
        <v>46225</v>
      </c>
      <c r="B19557" s="74" t="s">
        <v>10676</v>
      </c>
      <c r="C19557" s="74" t="s">
        <v>425</v>
      </c>
    </row>
    <row r="19558" spans="1:3">
      <c r="A19558" s="250">
        <v>46226</v>
      </c>
      <c r="B19558" s="74" t="s">
        <v>10676</v>
      </c>
      <c r="C19558" s="74" t="s">
        <v>425</v>
      </c>
    </row>
    <row r="19559" spans="1:3">
      <c r="A19559" s="250">
        <v>46227</v>
      </c>
      <c r="B19559" s="74" t="s">
        <v>10676</v>
      </c>
      <c r="C19559" s="74" t="s">
        <v>425</v>
      </c>
    </row>
    <row r="19560" spans="1:3">
      <c r="A19560" s="250">
        <v>46228</v>
      </c>
      <c r="B19560" s="74" t="s">
        <v>10676</v>
      </c>
      <c r="C19560" s="74" t="s">
        <v>425</v>
      </c>
    </row>
    <row r="19561" spans="1:3">
      <c r="A19561" s="250">
        <v>46229</v>
      </c>
      <c r="B19561" s="74" t="s">
        <v>10676</v>
      </c>
      <c r="C19561" s="74" t="s">
        <v>425</v>
      </c>
    </row>
    <row r="19562" spans="1:3">
      <c r="A19562" s="250">
        <v>46230</v>
      </c>
      <c r="B19562" s="74" t="s">
        <v>10676</v>
      </c>
      <c r="C19562" s="74" t="s">
        <v>425</v>
      </c>
    </row>
    <row r="19563" spans="1:3">
      <c r="A19563" s="250">
        <v>46231</v>
      </c>
      <c r="B19563" s="74" t="s">
        <v>10676</v>
      </c>
      <c r="C19563" s="74" t="s">
        <v>425</v>
      </c>
    </row>
    <row r="19564" spans="1:3">
      <c r="A19564" s="250">
        <v>46234</v>
      </c>
      <c r="B19564" s="74" t="s">
        <v>10676</v>
      </c>
      <c r="C19564" s="74" t="s">
        <v>425</v>
      </c>
    </row>
    <row r="19565" spans="1:3">
      <c r="A19565" s="250">
        <v>46235</v>
      </c>
      <c r="B19565" s="74" t="s">
        <v>10676</v>
      </c>
      <c r="C19565" s="74" t="s">
        <v>425</v>
      </c>
    </row>
    <row r="19566" spans="1:3">
      <c r="A19566" s="250">
        <v>46236</v>
      </c>
      <c r="B19566" s="74" t="s">
        <v>10676</v>
      </c>
      <c r="C19566" s="74" t="s">
        <v>425</v>
      </c>
    </row>
    <row r="19567" spans="1:3">
      <c r="A19567" s="250">
        <v>46237</v>
      </c>
      <c r="B19567" s="74" t="s">
        <v>10676</v>
      </c>
      <c r="C19567" s="74" t="s">
        <v>425</v>
      </c>
    </row>
    <row r="19568" spans="1:3">
      <c r="A19568" s="250">
        <v>46239</v>
      </c>
      <c r="B19568" s="74" t="s">
        <v>10676</v>
      </c>
      <c r="C19568" s="74" t="s">
        <v>425</v>
      </c>
    </row>
    <row r="19569" spans="1:3">
      <c r="A19569" s="250">
        <v>46240</v>
      </c>
      <c r="B19569" s="74" t="s">
        <v>10676</v>
      </c>
      <c r="C19569" s="74" t="s">
        <v>425</v>
      </c>
    </row>
    <row r="19570" spans="1:3">
      <c r="A19570" s="250">
        <v>46241</v>
      </c>
      <c r="B19570" s="74" t="s">
        <v>10676</v>
      </c>
      <c r="C19570" s="74" t="s">
        <v>425</v>
      </c>
    </row>
    <row r="19571" spans="1:3">
      <c r="A19571" s="250">
        <v>46242</v>
      </c>
      <c r="B19571" s="74" t="s">
        <v>10676</v>
      </c>
      <c r="C19571" s="74" t="s">
        <v>425</v>
      </c>
    </row>
    <row r="19572" spans="1:3">
      <c r="A19572" s="250">
        <v>46244</v>
      </c>
      <c r="B19572" s="74" t="s">
        <v>10676</v>
      </c>
      <c r="C19572" s="74" t="s">
        <v>425</v>
      </c>
    </row>
    <row r="19573" spans="1:3">
      <c r="A19573" s="250">
        <v>46247</v>
      </c>
      <c r="B19573" s="74" t="s">
        <v>10676</v>
      </c>
      <c r="C19573" s="74" t="s">
        <v>425</v>
      </c>
    </row>
    <row r="19574" spans="1:3">
      <c r="A19574" s="250">
        <v>46249</v>
      </c>
      <c r="B19574" s="74" t="s">
        <v>10676</v>
      </c>
      <c r="C19574" s="74" t="s">
        <v>425</v>
      </c>
    </row>
    <row r="19575" spans="1:3">
      <c r="A19575" s="250">
        <v>46250</v>
      </c>
      <c r="B19575" s="74" t="s">
        <v>10676</v>
      </c>
      <c r="C19575" s="74" t="s">
        <v>425</v>
      </c>
    </row>
    <row r="19576" spans="1:3">
      <c r="A19576" s="250">
        <v>46251</v>
      </c>
      <c r="B19576" s="74" t="s">
        <v>10676</v>
      </c>
      <c r="C19576" s="74" t="s">
        <v>425</v>
      </c>
    </row>
    <row r="19577" spans="1:3">
      <c r="A19577" s="250">
        <v>46253</v>
      </c>
      <c r="B19577" s="74" t="s">
        <v>10676</v>
      </c>
      <c r="C19577" s="74" t="s">
        <v>425</v>
      </c>
    </row>
    <row r="19578" spans="1:3">
      <c r="A19578" s="250">
        <v>46254</v>
      </c>
      <c r="B19578" s="74" t="s">
        <v>10676</v>
      </c>
      <c r="C19578" s="74" t="s">
        <v>425</v>
      </c>
    </row>
    <row r="19579" spans="1:3">
      <c r="A19579" s="250">
        <v>46255</v>
      </c>
      <c r="B19579" s="74" t="s">
        <v>10676</v>
      </c>
      <c r="C19579" s="74" t="s">
        <v>425</v>
      </c>
    </row>
    <row r="19580" spans="1:3">
      <c r="A19580" s="250">
        <v>46256</v>
      </c>
      <c r="B19580" s="74" t="s">
        <v>10676</v>
      </c>
      <c r="C19580" s="74" t="s">
        <v>425</v>
      </c>
    </row>
    <row r="19581" spans="1:3">
      <c r="A19581" s="250">
        <v>46259</v>
      </c>
      <c r="B19581" s="74" t="s">
        <v>10676</v>
      </c>
      <c r="C19581" s="74" t="s">
        <v>425</v>
      </c>
    </row>
    <row r="19582" spans="1:3">
      <c r="A19582" s="250">
        <v>46260</v>
      </c>
      <c r="B19582" s="74" t="s">
        <v>10676</v>
      </c>
      <c r="C19582" s="74" t="s">
        <v>425</v>
      </c>
    </row>
    <row r="19583" spans="1:3">
      <c r="A19583" s="250">
        <v>46262</v>
      </c>
      <c r="B19583" s="74" t="s">
        <v>10676</v>
      </c>
      <c r="C19583" s="74" t="s">
        <v>425</v>
      </c>
    </row>
    <row r="19584" spans="1:3">
      <c r="A19584" s="250">
        <v>46266</v>
      </c>
      <c r="B19584" s="74" t="s">
        <v>10676</v>
      </c>
      <c r="C19584" s="74" t="s">
        <v>425</v>
      </c>
    </row>
    <row r="19585" spans="1:3">
      <c r="A19585" s="250">
        <v>46268</v>
      </c>
      <c r="B19585" s="74" t="s">
        <v>10676</v>
      </c>
      <c r="C19585" s="74" t="s">
        <v>425</v>
      </c>
    </row>
    <row r="19586" spans="1:3">
      <c r="A19586" s="250">
        <v>46274</v>
      </c>
      <c r="B19586" s="74" t="s">
        <v>10676</v>
      </c>
      <c r="C19586" s="74" t="s">
        <v>425</v>
      </c>
    </row>
    <row r="19587" spans="1:3">
      <c r="A19587" s="250">
        <v>46275</v>
      </c>
      <c r="B19587" s="74" t="s">
        <v>10676</v>
      </c>
      <c r="C19587" s="74" t="s">
        <v>425</v>
      </c>
    </row>
    <row r="19588" spans="1:3">
      <c r="A19588" s="250">
        <v>46277</v>
      </c>
      <c r="B19588" s="74" t="s">
        <v>10676</v>
      </c>
      <c r="C19588" s="74" t="s">
        <v>425</v>
      </c>
    </row>
    <row r="19589" spans="1:3">
      <c r="A19589" s="250">
        <v>46278</v>
      </c>
      <c r="B19589" s="74" t="s">
        <v>10676</v>
      </c>
      <c r="C19589" s="74" t="s">
        <v>425</v>
      </c>
    </row>
    <row r="19590" spans="1:3">
      <c r="A19590" s="250">
        <v>46280</v>
      </c>
      <c r="B19590" s="74" t="s">
        <v>10676</v>
      </c>
      <c r="C19590" s="74" t="s">
        <v>425</v>
      </c>
    </row>
    <row r="19591" spans="1:3">
      <c r="A19591" s="250">
        <v>46282</v>
      </c>
      <c r="B19591" s="74" t="s">
        <v>10676</v>
      </c>
      <c r="C19591" s="74" t="s">
        <v>425</v>
      </c>
    </row>
    <row r="19592" spans="1:3">
      <c r="A19592" s="250">
        <v>46283</v>
      </c>
      <c r="B19592" s="74" t="s">
        <v>10676</v>
      </c>
      <c r="C19592" s="74" t="s">
        <v>425</v>
      </c>
    </row>
    <row r="19593" spans="1:3">
      <c r="A19593" s="250">
        <v>46285</v>
      </c>
      <c r="B19593" s="74" t="s">
        <v>10676</v>
      </c>
      <c r="C19593" s="74" t="s">
        <v>425</v>
      </c>
    </row>
    <row r="19594" spans="1:3">
      <c r="A19594" s="250">
        <v>46290</v>
      </c>
      <c r="B19594" s="74" t="s">
        <v>10676</v>
      </c>
      <c r="C19594" s="74" t="s">
        <v>425</v>
      </c>
    </row>
    <row r="19595" spans="1:3">
      <c r="A19595" s="250">
        <v>46291</v>
      </c>
      <c r="B19595" s="74" t="s">
        <v>10676</v>
      </c>
      <c r="C19595" s="74" t="s">
        <v>425</v>
      </c>
    </row>
    <row r="19596" spans="1:3">
      <c r="A19596" s="250">
        <v>46295</v>
      </c>
      <c r="B19596" s="74" t="s">
        <v>10676</v>
      </c>
      <c r="C19596" s="74" t="s">
        <v>425</v>
      </c>
    </row>
    <row r="19597" spans="1:3">
      <c r="A19597" s="250">
        <v>46296</v>
      </c>
      <c r="B19597" s="74" t="s">
        <v>10676</v>
      </c>
      <c r="C19597" s="74" t="s">
        <v>425</v>
      </c>
    </row>
    <row r="19598" spans="1:3">
      <c r="A19598" s="250">
        <v>46298</v>
      </c>
      <c r="B19598" s="74" t="s">
        <v>10676</v>
      </c>
      <c r="C19598" s="74" t="s">
        <v>425</v>
      </c>
    </row>
    <row r="19599" spans="1:3">
      <c r="A19599" s="250">
        <v>46301</v>
      </c>
      <c r="B19599" s="74" t="s">
        <v>10677</v>
      </c>
      <c r="C19599" s="74" t="s">
        <v>425</v>
      </c>
    </row>
    <row r="19600" spans="1:3">
      <c r="A19600" s="250">
        <v>46302</v>
      </c>
      <c r="B19600" s="74" t="s">
        <v>10678</v>
      </c>
      <c r="C19600" s="74" t="s">
        <v>425</v>
      </c>
    </row>
    <row r="19601" spans="1:3">
      <c r="A19601" s="250">
        <v>46303</v>
      </c>
      <c r="B19601" s="74" t="s">
        <v>10679</v>
      </c>
      <c r="C19601" s="74" t="s">
        <v>425</v>
      </c>
    </row>
    <row r="19602" spans="1:3">
      <c r="A19602" s="250">
        <v>46304</v>
      </c>
      <c r="B19602" s="74" t="s">
        <v>10680</v>
      </c>
      <c r="C19602" s="74" t="s">
        <v>425</v>
      </c>
    </row>
    <row r="19603" spans="1:3">
      <c r="A19603" s="250">
        <v>46307</v>
      </c>
      <c r="B19603" s="74" t="s">
        <v>3290</v>
      </c>
      <c r="C19603" s="74" t="s">
        <v>425</v>
      </c>
    </row>
    <row r="19604" spans="1:3">
      <c r="A19604" s="250">
        <v>46308</v>
      </c>
      <c r="B19604" s="74" t="s">
        <v>3290</v>
      </c>
      <c r="C19604" s="74" t="s">
        <v>425</v>
      </c>
    </row>
    <row r="19605" spans="1:3">
      <c r="A19605" s="250">
        <v>46310</v>
      </c>
      <c r="B19605" s="74" t="s">
        <v>10681</v>
      </c>
      <c r="C19605" s="74" t="s">
        <v>425</v>
      </c>
    </row>
    <row r="19606" spans="1:3">
      <c r="A19606" s="250">
        <v>46311</v>
      </c>
      <c r="B19606" s="74" t="s">
        <v>9214</v>
      </c>
      <c r="C19606" s="74" t="s">
        <v>425</v>
      </c>
    </row>
    <row r="19607" spans="1:3">
      <c r="A19607" s="250">
        <v>46312</v>
      </c>
      <c r="B19607" s="74" t="s">
        <v>10682</v>
      </c>
      <c r="C19607" s="74" t="s">
        <v>425</v>
      </c>
    </row>
    <row r="19608" spans="1:3">
      <c r="A19608" s="250">
        <v>46319</v>
      </c>
      <c r="B19608" s="74" t="s">
        <v>10683</v>
      </c>
      <c r="C19608" s="74" t="s">
        <v>425</v>
      </c>
    </row>
    <row r="19609" spans="1:3">
      <c r="A19609" s="250">
        <v>46320</v>
      </c>
      <c r="B19609" s="74" t="s">
        <v>3553</v>
      </c>
      <c r="C19609" s="74" t="s">
        <v>425</v>
      </c>
    </row>
    <row r="19610" spans="1:3">
      <c r="A19610" s="250">
        <v>46321</v>
      </c>
      <c r="B19610" s="74" t="s">
        <v>10684</v>
      </c>
      <c r="C19610" s="74" t="s">
        <v>425</v>
      </c>
    </row>
    <row r="19611" spans="1:3">
      <c r="A19611" s="250">
        <v>46322</v>
      </c>
      <c r="B19611" s="74" t="s">
        <v>3120</v>
      </c>
      <c r="C19611" s="74" t="s">
        <v>425</v>
      </c>
    </row>
    <row r="19612" spans="1:3">
      <c r="A19612" s="250">
        <v>46323</v>
      </c>
      <c r="B19612" s="74" t="s">
        <v>3553</v>
      </c>
      <c r="C19612" s="74" t="s">
        <v>425</v>
      </c>
    </row>
    <row r="19613" spans="1:3">
      <c r="A19613" s="250">
        <v>46324</v>
      </c>
      <c r="B19613" s="74" t="s">
        <v>3553</v>
      </c>
      <c r="C19613" s="74" t="s">
        <v>425</v>
      </c>
    </row>
    <row r="19614" spans="1:3">
      <c r="A19614" s="250">
        <v>46325</v>
      </c>
      <c r="B19614" s="74" t="s">
        <v>3553</v>
      </c>
      <c r="C19614" s="74" t="s">
        <v>425</v>
      </c>
    </row>
    <row r="19615" spans="1:3">
      <c r="A19615" s="250">
        <v>46327</v>
      </c>
      <c r="B19615" s="74" t="s">
        <v>3553</v>
      </c>
      <c r="C19615" s="74" t="s">
        <v>425</v>
      </c>
    </row>
    <row r="19616" spans="1:3">
      <c r="A19616" s="250">
        <v>46340</v>
      </c>
      <c r="B19616" s="74" t="s">
        <v>10685</v>
      </c>
      <c r="C19616" s="74" t="s">
        <v>425</v>
      </c>
    </row>
    <row r="19617" spans="1:3">
      <c r="A19617" s="250">
        <v>46341</v>
      </c>
      <c r="B19617" s="74" t="s">
        <v>1190</v>
      </c>
      <c r="C19617" s="74" t="s">
        <v>425</v>
      </c>
    </row>
    <row r="19618" spans="1:3">
      <c r="A19618" s="250">
        <v>46342</v>
      </c>
      <c r="B19618" s="74" t="s">
        <v>3622</v>
      </c>
      <c r="C19618" s="74" t="s">
        <v>425</v>
      </c>
    </row>
    <row r="19619" spans="1:3">
      <c r="A19619" s="250">
        <v>46345</v>
      </c>
      <c r="B19619" s="74" t="s">
        <v>10686</v>
      </c>
      <c r="C19619" s="74" t="s">
        <v>425</v>
      </c>
    </row>
    <row r="19620" spans="1:3">
      <c r="A19620" s="250">
        <v>46346</v>
      </c>
      <c r="B19620" s="74" t="s">
        <v>10687</v>
      </c>
      <c r="C19620" s="74" t="s">
        <v>425</v>
      </c>
    </row>
    <row r="19621" spans="1:3">
      <c r="A19621" s="250">
        <v>46347</v>
      </c>
      <c r="B19621" s="74" t="s">
        <v>10688</v>
      </c>
      <c r="C19621" s="74" t="s">
        <v>425</v>
      </c>
    </row>
    <row r="19622" spans="1:3">
      <c r="A19622" s="250">
        <v>46348</v>
      </c>
      <c r="B19622" s="74" t="s">
        <v>6239</v>
      </c>
      <c r="C19622" s="74" t="s">
        <v>425</v>
      </c>
    </row>
    <row r="19623" spans="1:3">
      <c r="A19623" s="250">
        <v>46349</v>
      </c>
      <c r="B19623" s="74" t="s">
        <v>10689</v>
      </c>
      <c r="C19623" s="74" t="s">
        <v>425</v>
      </c>
    </row>
    <row r="19624" spans="1:3">
      <c r="A19624" s="250">
        <v>46350</v>
      </c>
      <c r="B19624" s="74" t="s">
        <v>10690</v>
      </c>
      <c r="C19624" s="74" t="s">
        <v>425</v>
      </c>
    </row>
    <row r="19625" spans="1:3">
      <c r="A19625" s="250">
        <v>46352</v>
      </c>
      <c r="B19625" s="74" t="s">
        <v>10690</v>
      </c>
      <c r="C19625" s="74" t="s">
        <v>425</v>
      </c>
    </row>
    <row r="19626" spans="1:3">
      <c r="A19626" s="250">
        <v>46355</v>
      </c>
      <c r="B19626" s="74" t="s">
        <v>8911</v>
      </c>
      <c r="C19626" s="74" t="s">
        <v>425</v>
      </c>
    </row>
    <row r="19627" spans="1:3">
      <c r="A19627" s="250">
        <v>46356</v>
      </c>
      <c r="B19627" s="74" t="s">
        <v>818</v>
      </c>
      <c r="C19627" s="74" t="s">
        <v>425</v>
      </c>
    </row>
    <row r="19628" spans="1:3">
      <c r="A19628" s="250">
        <v>46360</v>
      </c>
      <c r="B19628" s="74" t="s">
        <v>9308</v>
      </c>
      <c r="C19628" s="74" t="s">
        <v>425</v>
      </c>
    </row>
    <row r="19629" spans="1:3">
      <c r="A19629" s="250">
        <v>46361</v>
      </c>
      <c r="B19629" s="74" t="s">
        <v>9308</v>
      </c>
      <c r="C19629" s="74" t="s">
        <v>425</v>
      </c>
    </row>
    <row r="19630" spans="1:3">
      <c r="A19630" s="250">
        <v>46365</v>
      </c>
      <c r="B19630" s="74" t="s">
        <v>4728</v>
      </c>
      <c r="C19630" s="74" t="s">
        <v>425</v>
      </c>
    </row>
    <row r="19631" spans="1:3">
      <c r="A19631" s="250">
        <v>46366</v>
      </c>
      <c r="B19631" s="74" t="s">
        <v>10691</v>
      </c>
      <c r="C19631" s="74" t="s">
        <v>425</v>
      </c>
    </row>
    <row r="19632" spans="1:3">
      <c r="A19632" s="250">
        <v>46368</v>
      </c>
      <c r="B19632" s="74" t="s">
        <v>1646</v>
      </c>
      <c r="C19632" s="74" t="s">
        <v>425</v>
      </c>
    </row>
    <row r="19633" spans="1:3">
      <c r="A19633" s="250">
        <v>46371</v>
      </c>
      <c r="B19633" s="74" t="s">
        <v>10692</v>
      </c>
      <c r="C19633" s="74" t="s">
        <v>425</v>
      </c>
    </row>
    <row r="19634" spans="1:3">
      <c r="A19634" s="250">
        <v>46372</v>
      </c>
      <c r="B19634" s="74" t="s">
        <v>10693</v>
      </c>
      <c r="C19634" s="74" t="s">
        <v>425</v>
      </c>
    </row>
    <row r="19635" spans="1:3">
      <c r="A19635" s="250">
        <v>46373</v>
      </c>
      <c r="B19635" s="74" t="s">
        <v>10694</v>
      </c>
      <c r="C19635" s="74" t="s">
        <v>425</v>
      </c>
    </row>
    <row r="19636" spans="1:3">
      <c r="A19636" s="250">
        <v>46374</v>
      </c>
      <c r="B19636" s="74" t="s">
        <v>10695</v>
      </c>
      <c r="C19636" s="74" t="s">
        <v>425</v>
      </c>
    </row>
    <row r="19637" spans="1:3">
      <c r="A19637" s="250">
        <v>46375</v>
      </c>
      <c r="B19637" s="74" t="s">
        <v>10696</v>
      </c>
      <c r="C19637" s="74" t="s">
        <v>425</v>
      </c>
    </row>
    <row r="19638" spans="1:3">
      <c r="A19638" s="250">
        <v>46376</v>
      </c>
      <c r="B19638" s="74" t="s">
        <v>10697</v>
      </c>
      <c r="C19638" s="74" t="s">
        <v>425</v>
      </c>
    </row>
    <row r="19639" spans="1:3">
      <c r="A19639" s="250">
        <v>46377</v>
      </c>
      <c r="B19639" s="74" t="s">
        <v>7335</v>
      </c>
      <c r="C19639" s="74" t="s">
        <v>425</v>
      </c>
    </row>
    <row r="19640" spans="1:3">
      <c r="A19640" s="250">
        <v>46379</v>
      </c>
      <c r="B19640" s="74" t="s">
        <v>10698</v>
      </c>
      <c r="C19640" s="74" t="s">
        <v>425</v>
      </c>
    </row>
    <row r="19641" spans="1:3">
      <c r="A19641" s="250">
        <v>46380</v>
      </c>
      <c r="B19641" s="74" t="s">
        <v>10699</v>
      </c>
      <c r="C19641" s="74" t="s">
        <v>425</v>
      </c>
    </row>
    <row r="19642" spans="1:3">
      <c r="A19642" s="250">
        <v>46381</v>
      </c>
      <c r="B19642" s="74" t="s">
        <v>10700</v>
      </c>
      <c r="C19642" s="74" t="s">
        <v>425</v>
      </c>
    </row>
    <row r="19643" spans="1:3">
      <c r="A19643" s="250">
        <v>46382</v>
      </c>
      <c r="B19643" s="74" t="s">
        <v>7339</v>
      </c>
      <c r="C19643" s="74" t="s">
        <v>425</v>
      </c>
    </row>
    <row r="19644" spans="1:3">
      <c r="A19644" s="250">
        <v>46383</v>
      </c>
      <c r="B19644" s="74" t="s">
        <v>8339</v>
      </c>
      <c r="C19644" s="74" t="s">
        <v>425</v>
      </c>
    </row>
    <row r="19645" spans="1:3">
      <c r="A19645" s="250">
        <v>46384</v>
      </c>
      <c r="B19645" s="74" t="s">
        <v>8339</v>
      </c>
      <c r="C19645" s="74" t="s">
        <v>425</v>
      </c>
    </row>
    <row r="19646" spans="1:3">
      <c r="A19646" s="250">
        <v>46385</v>
      </c>
      <c r="B19646" s="74" t="s">
        <v>8339</v>
      </c>
      <c r="C19646" s="74" t="s">
        <v>425</v>
      </c>
    </row>
    <row r="19647" spans="1:3">
      <c r="A19647" s="250">
        <v>46390</v>
      </c>
      <c r="B19647" s="74" t="s">
        <v>10701</v>
      </c>
      <c r="C19647" s="74" t="s">
        <v>425</v>
      </c>
    </row>
    <row r="19648" spans="1:3">
      <c r="A19648" s="250">
        <v>46391</v>
      </c>
      <c r="B19648" s="74" t="s">
        <v>2432</v>
      </c>
      <c r="C19648" s="74" t="s">
        <v>425</v>
      </c>
    </row>
    <row r="19649" spans="1:3">
      <c r="A19649" s="250">
        <v>46392</v>
      </c>
      <c r="B19649" s="74" t="s">
        <v>10702</v>
      </c>
      <c r="C19649" s="74" t="s">
        <v>425</v>
      </c>
    </row>
    <row r="19650" spans="1:3">
      <c r="A19650" s="250">
        <v>46393</v>
      </c>
      <c r="B19650" s="74" t="s">
        <v>9379</v>
      </c>
      <c r="C19650" s="74" t="s">
        <v>425</v>
      </c>
    </row>
    <row r="19651" spans="1:3">
      <c r="A19651" s="250">
        <v>46394</v>
      </c>
      <c r="B19651" s="74" t="s">
        <v>1618</v>
      </c>
      <c r="C19651" s="74" t="s">
        <v>425</v>
      </c>
    </row>
    <row r="19652" spans="1:3">
      <c r="A19652" s="250">
        <v>46401</v>
      </c>
      <c r="B19652" s="74" t="s">
        <v>6507</v>
      </c>
      <c r="C19652" s="74" t="s">
        <v>425</v>
      </c>
    </row>
    <row r="19653" spans="1:3">
      <c r="A19653" s="250">
        <v>46402</v>
      </c>
      <c r="B19653" s="74" t="s">
        <v>6507</v>
      </c>
      <c r="C19653" s="74" t="s">
        <v>425</v>
      </c>
    </row>
    <row r="19654" spans="1:3">
      <c r="A19654" s="250">
        <v>46403</v>
      </c>
      <c r="B19654" s="74" t="s">
        <v>6507</v>
      </c>
      <c r="C19654" s="74" t="s">
        <v>425</v>
      </c>
    </row>
    <row r="19655" spans="1:3">
      <c r="A19655" s="250">
        <v>46404</v>
      </c>
      <c r="B19655" s="74" t="s">
        <v>6507</v>
      </c>
      <c r="C19655" s="74" t="s">
        <v>425</v>
      </c>
    </row>
    <row r="19656" spans="1:3">
      <c r="A19656" s="250">
        <v>46405</v>
      </c>
      <c r="B19656" s="74" t="s">
        <v>10703</v>
      </c>
      <c r="C19656" s="74" t="s">
        <v>425</v>
      </c>
    </row>
    <row r="19657" spans="1:3">
      <c r="A19657" s="250">
        <v>46406</v>
      </c>
      <c r="B19657" s="74" t="s">
        <v>6507</v>
      </c>
      <c r="C19657" s="74" t="s">
        <v>425</v>
      </c>
    </row>
    <row r="19658" spans="1:3">
      <c r="A19658" s="250">
        <v>46407</v>
      </c>
      <c r="B19658" s="74" t="s">
        <v>6507</v>
      </c>
      <c r="C19658" s="74" t="s">
        <v>425</v>
      </c>
    </row>
    <row r="19659" spans="1:3">
      <c r="A19659" s="250">
        <v>46408</v>
      </c>
      <c r="B19659" s="74" t="s">
        <v>6507</v>
      </c>
      <c r="C19659" s="74" t="s">
        <v>425</v>
      </c>
    </row>
    <row r="19660" spans="1:3">
      <c r="A19660" s="250">
        <v>46409</v>
      </c>
      <c r="B19660" s="74" t="s">
        <v>6507</v>
      </c>
      <c r="C19660" s="74" t="s">
        <v>425</v>
      </c>
    </row>
    <row r="19661" spans="1:3">
      <c r="A19661" s="250">
        <v>46410</v>
      </c>
      <c r="B19661" s="74" t="s">
        <v>10704</v>
      </c>
      <c r="C19661" s="74" t="s">
        <v>425</v>
      </c>
    </row>
    <row r="19662" spans="1:3">
      <c r="A19662" s="250">
        <v>46411</v>
      </c>
      <c r="B19662" s="74" t="s">
        <v>10704</v>
      </c>
      <c r="C19662" s="74" t="s">
        <v>425</v>
      </c>
    </row>
    <row r="19663" spans="1:3">
      <c r="A19663" s="250">
        <v>46501</v>
      </c>
      <c r="B19663" s="74" t="s">
        <v>10705</v>
      </c>
      <c r="C19663" s="74" t="s">
        <v>425</v>
      </c>
    </row>
    <row r="19664" spans="1:3">
      <c r="A19664" s="250">
        <v>46502</v>
      </c>
      <c r="B19664" s="74" t="s">
        <v>9191</v>
      </c>
      <c r="C19664" s="74" t="s">
        <v>425</v>
      </c>
    </row>
    <row r="19665" spans="1:3">
      <c r="A19665" s="250">
        <v>46504</v>
      </c>
      <c r="B19665" s="74" t="s">
        <v>10706</v>
      </c>
      <c r="C19665" s="74" t="s">
        <v>425</v>
      </c>
    </row>
    <row r="19666" spans="1:3">
      <c r="A19666" s="250">
        <v>46506</v>
      </c>
      <c r="B19666" s="74" t="s">
        <v>1545</v>
      </c>
      <c r="C19666" s="74" t="s">
        <v>425</v>
      </c>
    </row>
    <row r="19667" spans="1:3">
      <c r="A19667" s="250">
        <v>46507</v>
      </c>
      <c r="B19667" s="74" t="s">
        <v>1098</v>
      </c>
      <c r="C19667" s="74" t="s">
        <v>425</v>
      </c>
    </row>
    <row r="19668" spans="1:3">
      <c r="A19668" s="250">
        <v>46508</v>
      </c>
      <c r="B19668" s="74" t="s">
        <v>10707</v>
      </c>
      <c r="C19668" s="74" t="s">
        <v>425</v>
      </c>
    </row>
    <row r="19669" spans="1:3">
      <c r="A19669" s="250">
        <v>46510</v>
      </c>
      <c r="B19669" s="74" t="s">
        <v>10708</v>
      </c>
      <c r="C19669" s="74" t="s">
        <v>425</v>
      </c>
    </row>
    <row r="19670" spans="1:3">
      <c r="A19670" s="250">
        <v>46511</v>
      </c>
      <c r="B19670" s="74" t="s">
        <v>10709</v>
      </c>
      <c r="C19670" s="74" t="s">
        <v>425</v>
      </c>
    </row>
    <row r="19671" spans="1:3">
      <c r="A19671" s="250">
        <v>46513</v>
      </c>
      <c r="B19671" s="74" t="s">
        <v>10710</v>
      </c>
      <c r="C19671" s="74" t="s">
        <v>425</v>
      </c>
    </row>
    <row r="19672" spans="1:3">
      <c r="A19672" s="250">
        <v>46514</v>
      </c>
      <c r="B19672" s="74" t="s">
        <v>10711</v>
      </c>
      <c r="C19672" s="74" t="s">
        <v>425</v>
      </c>
    </row>
    <row r="19673" spans="1:3">
      <c r="A19673" s="250">
        <v>46515</v>
      </c>
      <c r="B19673" s="74" t="s">
        <v>10711</v>
      </c>
      <c r="C19673" s="74" t="s">
        <v>425</v>
      </c>
    </row>
    <row r="19674" spans="1:3">
      <c r="A19674" s="250">
        <v>46516</v>
      </c>
      <c r="B19674" s="74" t="s">
        <v>10711</v>
      </c>
      <c r="C19674" s="74" t="s">
        <v>425</v>
      </c>
    </row>
    <row r="19675" spans="1:3">
      <c r="A19675" s="250">
        <v>46517</v>
      </c>
      <c r="B19675" s="74" t="s">
        <v>10711</v>
      </c>
      <c r="C19675" s="74" t="s">
        <v>425</v>
      </c>
    </row>
    <row r="19676" spans="1:3">
      <c r="A19676" s="250">
        <v>46524</v>
      </c>
      <c r="B19676" s="74" t="s">
        <v>10712</v>
      </c>
      <c r="C19676" s="74" t="s">
        <v>425</v>
      </c>
    </row>
    <row r="19677" spans="1:3">
      <c r="A19677" s="250">
        <v>46526</v>
      </c>
      <c r="B19677" s="74" t="s">
        <v>592</v>
      </c>
      <c r="C19677" s="74" t="s">
        <v>425</v>
      </c>
    </row>
    <row r="19678" spans="1:3">
      <c r="A19678" s="250">
        <v>46527</v>
      </c>
      <c r="B19678" s="74" t="s">
        <v>592</v>
      </c>
      <c r="C19678" s="74" t="s">
        <v>425</v>
      </c>
    </row>
    <row r="19679" spans="1:3">
      <c r="A19679" s="250">
        <v>46528</v>
      </c>
      <c r="B19679" s="74" t="s">
        <v>592</v>
      </c>
      <c r="C19679" s="74" t="s">
        <v>425</v>
      </c>
    </row>
    <row r="19680" spans="1:3">
      <c r="A19680" s="250">
        <v>46530</v>
      </c>
      <c r="B19680" s="74" t="s">
        <v>10713</v>
      </c>
      <c r="C19680" s="74" t="s">
        <v>425</v>
      </c>
    </row>
    <row r="19681" spans="1:3">
      <c r="A19681" s="250">
        <v>46531</v>
      </c>
      <c r="B19681" s="74" t="s">
        <v>10714</v>
      </c>
      <c r="C19681" s="74" t="s">
        <v>425</v>
      </c>
    </row>
    <row r="19682" spans="1:3">
      <c r="A19682" s="250">
        <v>46532</v>
      </c>
      <c r="B19682" s="74" t="s">
        <v>7356</v>
      </c>
      <c r="C19682" s="74" t="s">
        <v>425</v>
      </c>
    </row>
    <row r="19683" spans="1:3">
      <c r="A19683" s="250">
        <v>46534</v>
      </c>
      <c r="B19683" s="74" t="s">
        <v>2971</v>
      </c>
      <c r="C19683" s="74" t="s">
        <v>425</v>
      </c>
    </row>
    <row r="19684" spans="1:3">
      <c r="A19684" s="250">
        <v>46536</v>
      </c>
      <c r="B19684" s="74" t="s">
        <v>949</v>
      </c>
      <c r="C19684" s="74" t="s">
        <v>425</v>
      </c>
    </row>
    <row r="19685" spans="1:3">
      <c r="A19685" s="250">
        <v>46537</v>
      </c>
      <c r="B19685" s="74" t="s">
        <v>10715</v>
      </c>
      <c r="C19685" s="74" t="s">
        <v>425</v>
      </c>
    </row>
    <row r="19686" spans="1:3">
      <c r="A19686" s="250">
        <v>46538</v>
      </c>
      <c r="B19686" s="74" t="s">
        <v>2488</v>
      </c>
      <c r="C19686" s="74" t="s">
        <v>425</v>
      </c>
    </row>
    <row r="19687" spans="1:3">
      <c r="A19687" s="250">
        <v>46539</v>
      </c>
      <c r="B19687" s="74" t="s">
        <v>8777</v>
      </c>
      <c r="C19687" s="74" t="s">
        <v>425</v>
      </c>
    </row>
    <row r="19688" spans="1:3">
      <c r="A19688" s="250">
        <v>46540</v>
      </c>
      <c r="B19688" s="74" t="s">
        <v>1879</v>
      </c>
      <c r="C19688" s="74" t="s">
        <v>425</v>
      </c>
    </row>
    <row r="19689" spans="1:3">
      <c r="A19689" s="250">
        <v>46542</v>
      </c>
      <c r="B19689" s="74" t="s">
        <v>796</v>
      </c>
      <c r="C19689" s="74" t="s">
        <v>425</v>
      </c>
    </row>
    <row r="19690" spans="1:3">
      <c r="A19690" s="250">
        <v>46543</v>
      </c>
      <c r="B19690" s="74" t="s">
        <v>4729</v>
      </c>
      <c r="C19690" s="74" t="s">
        <v>425</v>
      </c>
    </row>
    <row r="19691" spans="1:3">
      <c r="A19691" s="250">
        <v>46544</v>
      </c>
      <c r="B19691" s="74" t="s">
        <v>10716</v>
      </c>
      <c r="C19691" s="74" t="s">
        <v>425</v>
      </c>
    </row>
    <row r="19692" spans="1:3">
      <c r="A19692" s="250">
        <v>46545</v>
      </c>
      <c r="B19692" s="74" t="s">
        <v>10716</v>
      </c>
      <c r="C19692" s="74" t="s">
        <v>425</v>
      </c>
    </row>
    <row r="19693" spans="1:3">
      <c r="A19693" s="250">
        <v>46546</v>
      </c>
      <c r="B19693" s="74" t="s">
        <v>10716</v>
      </c>
      <c r="C19693" s="74" t="s">
        <v>425</v>
      </c>
    </row>
    <row r="19694" spans="1:3">
      <c r="A19694" s="250">
        <v>46550</v>
      </c>
      <c r="B19694" s="74" t="s">
        <v>10717</v>
      </c>
      <c r="C19694" s="74" t="s">
        <v>425</v>
      </c>
    </row>
    <row r="19695" spans="1:3">
      <c r="A19695" s="250">
        <v>46552</v>
      </c>
      <c r="B19695" s="74" t="s">
        <v>10507</v>
      </c>
      <c r="C19695" s="74" t="s">
        <v>425</v>
      </c>
    </row>
    <row r="19696" spans="1:3">
      <c r="A19696" s="250">
        <v>46553</v>
      </c>
      <c r="B19696" s="74" t="s">
        <v>4176</v>
      </c>
      <c r="C19696" s="74" t="s">
        <v>425</v>
      </c>
    </row>
    <row r="19697" spans="1:3">
      <c r="A19697" s="250">
        <v>46554</v>
      </c>
      <c r="B19697" s="74" t="s">
        <v>10718</v>
      </c>
      <c r="C19697" s="74" t="s">
        <v>425</v>
      </c>
    </row>
    <row r="19698" spans="1:3">
      <c r="A19698" s="250">
        <v>46555</v>
      </c>
      <c r="B19698" s="74" t="s">
        <v>10719</v>
      </c>
      <c r="C19698" s="74" t="s">
        <v>425</v>
      </c>
    </row>
    <row r="19699" spans="1:3">
      <c r="A19699" s="250">
        <v>46556</v>
      </c>
      <c r="B19699" s="74" t="s">
        <v>10720</v>
      </c>
      <c r="C19699" s="74" t="s">
        <v>425</v>
      </c>
    </row>
    <row r="19700" spans="1:3">
      <c r="A19700" s="250">
        <v>46561</v>
      </c>
      <c r="B19700" s="74" t="s">
        <v>4682</v>
      </c>
      <c r="C19700" s="74" t="s">
        <v>425</v>
      </c>
    </row>
    <row r="19701" spans="1:3">
      <c r="A19701" s="250">
        <v>46562</v>
      </c>
      <c r="B19701" s="74" t="s">
        <v>10721</v>
      </c>
      <c r="C19701" s="74" t="s">
        <v>425</v>
      </c>
    </row>
    <row r="19702" spans="1:3">
      <c r="A19702" s="250">
        <v>46563</v>
      </c>
      <c r="B19702" s="74" t="s">
        <v>956</v>
      </c>
      <c r="C19702" s="74" t="s">
        <v>425</v>
      </c>
    </row>
    <row r="19703" spans="1:3">
      <c r="A19703" s="250">
        <v>46565</v>
      </c>
      <c r="B19703" s="74" t="s">
        <v>10722</v>
      </c>
      <c r="C19703" s="74" t="s">
        <v>425</v>
      </c>
    </row>
    <row r="19704" spans="1:3">
      <c r="A19704" s="250">
        <v>46567</v>
      </c>
      <c r="B19704" s="74" t="s">
        <v>3428</v>
      </c>
      <c r="C19704" s="74" t="s">
        <v>425</v>
      </c>
    </row>
    <row r="19705" spans="1:3">
      <c r="A19705" s="250">
        <v>46570</v>
      </c>
      <c r="B19705" s="74" t="s">
        <v>10420</v>
      </c>
      <c r="C19705" s="74" t="s">
        <v>425</v>
      </c>
    </row>
    <row r="19706" spans="1:3">
      <c r="A19706" s="250">
        <v>46571</v>
      </c>
      <c r="B19706" s="74" t="s">
        <v>10723</v>
      </c>
      <c r="C19706" s="74" t="s">
        <v>425</v>
      </c>
    </row>
    <row r="19707" spans="1:3">
      <c r="A19707" s="250">
        <v>46572</v>
      </c>
      <c r="B19707" s="74" t="s">
        <v>7280</v>
      </c>
      <c r="C19707" s="74" t="s">
        <v>425</v>
      </c>
    </row>
    <row r="19708" spans="1:3">
      <c r="A19708" s="250">
        <v>46573</v>
      </c>
      <c r="B19708" s="74" t="s">
        <v>10724</v>
      </c>
      <c r="C19708" s="74" t="s">
        <v>425</v>
      </c>
    </row>
    <row r="19709" spans="1:3">
      <c r="A19709" s="250">
        <v>46574</v>
      </c>
      <c r="B19709" s="74" t="s">
        <v>6116</v>
      </c>
      <c r="C19709" s="74" t="s">
        <v>425</v>
      </c>
    </row>
    <row r="19710" spans="1:3">
      <c r="A19710" s="250">
        <v>46580</v>
      </c>
      <c r="B19710" s="74" t="s">
        <v>3834</v>
      </c>
      <c r="C19710" s="74" t="s">
        <v>425</v>
      </c>
    </row>
    <row r="19711" spans="1:3">
      <c r="A19711" s="250">
        <v>46581</v>
      </c>
      <c r="B19711" s="74" t="s">
        <v>3834</v>
      </c>
      <c r="C19711" s="74" t="s">
        <v>425</v>
      </c>
    </row>
    <row r="19712" spans="1:3">
      <c r="A19712" s="250">
        <v>46582</v>
      </c>
      <c r="B19712" s="74" t="s">
        <v>3834</v>
      </c>
      <c r="C19712" s="74" t="s">
        <v>425</v>
      </c>
    </row>
    <row r="19713" spans="1:3">
      <c r="A19713" s="250">
        <v>46590</v>
      </c>
      <c r="B19713" s="74" t="s">
        <v>10725</v>
      </c>
      <c r="C19713" s="74" t="s">
        <v>425</v>
      </c>
    </row>
    <row r="19714" spans="1:3">
      <c r="A19714" s="250">
        <v>46595</v>
      </c>
      <c r="B19714" s="74" t="s">
        <v>6964</v>
      </c>
      <c r="C19714" s="74" t="s">
        <v>425</v>
      </c>
    </row>
    <row r="19715" spans="1:3">
      <c r="A19715" s="250">
        <v>46601</v>
      </c>
      <c r="B19715" s="74" t="s">
        <v>10726</v>
      </c>
      <c r="C19715" s="74" t="s">
        <v>425</v>
      </c>
    </row>
    <row r="19716" spans="1:3">
      <c r="A19716" s="250">
        <v>46604</v>
      </c>
      <c r="B19716" s="74" t="s">
        <v>10726</v>
      </c>
      <c r="C19716" s="74" t="s">
        <v>425</v>
      </c>
    </row>
    <row r="19717" spans="1:3">
      <c r="A19717" s="250">
        <v>46613</v>
      </c>
      <c r="B19717" s="74" t="s">
        <v>10726</v>
      </c>
      <c r="C19717" s="74" t="s">
        <v>425</v>
      </c>
    </row>
    <row r="19718" spans="1:3">
      <c r="A19718" s="250">
        <v>46614</v>
      </c>
      <c r="B19718" s="74" t="s">
        <v>10726</v>
      </c>
      <c r="C19718" s="74" t="s">
        <v>425</v>
      </c>
    </row>
    <row r="19719" spans="1:3">
      <c r="A19719" s="250">
        <v>46615</v>
      </c>
      <c r="B19719" s="74" t="s">
        <v>10726</v>
      </c>
      <c r="C19719" s="74" t="s">
        <v>425</v>
      </c>
    </row>
    <row r="19720" spans="1:3">
      <c r="A19720" s="250">
        <v>46616</v>
      </c>
      <c r="B19720" s="74" t="s">
        <v>10726</v>
      </c>
      <c r="C19720" s="74" t="s">
        <v>425</v>
      </c>
    </row>
    <row r="19721" spans="1:3">
      <c r="A19721" s="250">
        <v>46617</v>
      </c>
      <c r="B19721" s="74" t="s">
        <v>10726</v>
      </c>
      <c r="C19721" s="74" t="s">
        <v>425</v>
      </c>
    </row>
    <row r="19722" spans="1:3">
      <c r="A19722" s="250">
        <v>46619</v>
      </c>
      <c r="B19722" s="74" t="s">
        <v>10726</v>
      </c>
      <c r="C19722" s="74" t="s">
        <v>425</v>
      </c>
    </row>
    <row r="19723" spans="1:3">
      <c r="A19723" s="250">
        <v>46620</v>
      </c>
      <c r="B19723" s="74" t="s">
        <v>10726</v>
      </c>
      <c r="C19723" s="74" t="s">
        <v>425</v>
      </c>
    </row>
    <row r="19724" spans="1:3">
      <c r="A19724" s="250">
        <v>46624</v>
      </c>
      <c r="B19724" s="74" t="s">
        <v>10726</v>
      </c>
      <c r="C19724" s="74" t="s">
        <v>425</v>
      </c>
    </row>
    <row r="19725" spans="1:3">
      <c r="A19725" s="250">
        <v>46626</v>
      </c>
      <c r="B19725" s="74" t="s">
        <v>10726</v>
      </c>
      <c r="C19725" s="74" t="s">
        <v>425</v>
      </c>
    </row>
    <row r="19726" spans="1:3">
      <c r="A19726" s="250">
        <v>46628</v>
      </c>
      <c r="B19726" s="74" t="s">
        <v>10726</v>
      </c>
      <c r="C19726" s="74" t="s">
        <v>425</v>
      </c>
    </row>
    <row r="19727" spans="1:3">
      <c r="A19727" s="250">
        <v>46634</v>
      </c>
      <c r="B19727" s="74" t="s">
        <v>10726</v>
      </c>
      <c r="C19727" s="74" t="s">
        <v>425</v>
      </c>
    </row>
    <row r="19728" spans="1:3">
      <c r="A19728" s="250">
        <v>46635</v>
      </c>
      <c r="B19728" s="74" t="s">
        <v>10726</v>
      </c>
      <c r="C19728" s="74" t="s">
        <v>425</v>
      </c>
    </row>
    <row r="19729" spans="1:3">
      <c r="A19729" s="250">
        <v>46637</v>
      </c>
      <c r="B19729" s="74" t="s">
        <v>10726</v>
      </c>
      <c r="C19729" s="74" t="s">
        <v>425</v>
      </c>
    </row>
    <row r="19730" spans="1:3">
      <c r="A19730" s="250">
        <v>46660</v>
      </c>
      <c r="B19730" s="74" t="s">
        <v>10726</v>
      </c>
      <c r="C19730" s="74" t="s">
        <v>425</v>
      </c>
    </row>
    <row r="19731" spans="1:3">
      <c r="A19731" s="250">
        <v>46680</v>
      </c>
      <c r="B19731" s="74" t="s">
        <v>10726</v>
      </c>
      <c r="C19731" s="74" t="s">
        <v>425</v>
      </c>
    </row>
    <row r="19732" spans="1:3">
      <c r="A19732" s="250">
        <v>46699</v>
      </c>
      <c r="B19732" s="74" t="s">
        <v>10726</v>
      </c>
      <c r="C19732" s="74" t="s">
        <v>425</v>
      </c>
    </row>
    <row r="19733" spans="1:3">
      <c r="A19733" s="250">
        <v>46701</v>
      </c>
      <c r="B19733" s="74" t="s">
        <v>1093</v>
      </c>
      <c r="C19733" s="74" t="s">
        <v>425</v>
      </c>
    </row>
    <row r="19734" spans="1:3">
      <c r="A19734" s="250">
        <v>46702</v>
      </c>
      <c r="B19734" s="74" t="s">
        <v>7587</v>
      </c>
      <c r="C19734" s="74" t="s">
        <v>425</v>
      </c>
    </row>
    <row r="19735" spans="1:3">
      <c r="A19735" s="250">
        <v>46703</v>
      </c>
      <c r="B19735" s="74" t="s">
        <v>3670</v>
      </c>
      <c r="C19735" s="74" t="s">
        <v>425</v>
      </c>
    </row>
    <row r="19736" spans="1:3">
      <c r="A19736" s="250">
        <v>46704</v>
      </c>
      <c r="B19736" s="74" t="s">
        <v>5408</v>
      </c>
      <c r="C19736" s="74" t="s">
        <v>425</v>
      </c>
    </row>
    <row r="19737" spans="1:3">
      <c r="A19737" s="250">
        <v>46705</v>
      </c>
      <c r="B19737" s="74" t="s">
        <v>10079</v>
      </c>
      <c r="C19737" s="74" t="s">
        <v>425</v>
      </c>
    </row>
    <row r="19738" spans="1:3">
      <c r="A19738" s="250">
        <v>46706</v>
      </c>
      <c r="B19738" s="74" t="s">
        <v>724</v>
      </c>
      <c r="C19738" s="74" t="s">
        <v>425</v>
      </c>
    </row>
    <row r="19739" spans="1:3">
      <c r="A19739" s="250">
        <v>46710</v>
      </c>
      <c r="B19739" s="74" t="s">
        <v>10727</v>
      </c>
      <c r="C19739" s="74" t="s">
        <v>425</v>
      </c>
    </row>
    <row r="19740" spans="1:3">
      <c r="A19740" s="250">
        <v>46711</v>
      </c>
      <c r="B19740" s="74" t="s">
        <v>2916</v>
      </c>
      <c r="C19740" s="74" t="s">
        <v>425</v>
      </c>
    </row>
    <row r="19741" spans="1:3">
      <c r="A19741" s="250">
        <v>46713</v>
      </c>
      <c r="B19741" s="74" t="s">
        <v>10728</v>
      </c>
      <c r="C19741" s="74" t="s">
        <v>425</v>
      </c>
    </row>
    <row r="19742" spans="1:3">
      <c r="A19742" s="250">
        <v>46714</v>
      </c>
      <c r="B19742" s="74" t="s">
        <v>7830</v>
      </c>
      <c r="C19742" s="74" t="s">
        <v>425</v>
      </c>
    </row>
    <row r="19743" spans="1:3">
      <c r="A19743" s="250">
        <v>46721</v>
      </c>
      <c r="B19743" s="74" t="s">
        <v>2183</v>
      </c>
      <c r="C19743" s="74" t="s">
        <v>425</v>
      </c>
    </row>
    <row r="19744" spans="1:3">
      <c r="A19744" s="250">
        <v>46723</v>
      </c>
      <c r="B19744" s="74" t="s">
        <v>3287</v>
      </c>
      <c r="C19744" s="74" t="s">
        <v>425</v>
      </c>
    </row>
    <row r="19745" spans="1:3">
      <c r="A19745" s="250">
        <v>46725</v>
      </c>
      <c r="B19745" s="74" t="s">
        <v>10729</v>
      </c>
      <c r="C19745" s="74" t="s">
        <v>425</v>
      </c>
    </row>
    <row r="19746" spans="1:3">
      <c r="A19746" s="250">
        <v>46730</v>
      </c>
      <c r="B19746" s="74" t="s">
        <v>10730</v>
      </c>
      <c r="C19746" s="74" t="s">
        <v>425</v>
      </c>
    </row>
    <row r="19747" spans="1:3">
      <c r="A19747" s="250">
        <v>46731</v>
      </c>
      <c r="B19747" s="74" t="s">
        <v>10731</v>
      </c>
      <c r="C19747" s="74" t="s">
        <v>425</v>
      </c>
    </row>
    <row r="19748" spans="1:3">
      <c r="A19748" s="250">
        <v>46732</v>
      </c>
      <c r="B19748" s="74" t="s">
        <v>2045</v>
      </c>
      <c r="C19748" s="74" t="s">
        <v>425</v>
      </c>
    </row>
    <row r="19749" spans="1:3">
      <c r="A19749" s="250">
        <v>46733</v>
      </c>
      <c r="B19749" s="74" t="s">
        <v>7862</v>
      </c>
      <c r="C19749" s="74" t="s">
        <v>425</v>
      </c>
    </row>
    <row r="19750" spans="1:3">
      <c r="A19750" s="250">
        <v>46737</v>
      </c>
      <c r="B19750" s="74" t="s">
        <v>1157</v>
      </c>
      <c r="C19750" s="74" t="s">
        <v>425</v>
      </c>
    </row>
    <row r="19751" spans="1:3">
      <c r="A19751" s="250">
        <v>46738</v>
      </c>
      <c r="B19751" s="74" t="s">
        <v>4167</v>
      </c>
      <c r="C19751" s="74" t="s">
        <v>425</v>
      </c>
    </row>
    <row r="19752" spans="1:3">
      <c r="A19752" s="250">
        <v>46740</v>
      </c>
      <c r="B19752" s="74" t="s">
        <v>3776</v>
      </c>
      <c r="C19752" s="74" t="s">
        <v>425</v>
      </c>
    </row>
    <row r="19753" spans="1:3">
      <c r="A19753" s="250">
        <v>46741</v>
      </c>
      <c r="B19753" s="74" t="s">
        <v>10732</v>
      </c>
      <c r="C19753" s="74" t="s">
        <v>425</v>
      </c>
    </row>
    <row r="19754" spans="1:3">
      <c r="A19754" s="250">
        <v>46742</v>
      </c>
      <c r="B19754" s="74" t="s">
        <v>844</v>
      </c>
      <c r="C19754" s="74" t="s">
        <v>425</v>
      </c>
    </row>
    <row r="19755" spans="1:3">
      <c r="A19755" s="250">
        <v>46743</v>
      </c>
      <c r="B19755" s="74" t="s">
        <v>9682</v>
      </c>
      <c r="C19755" s="74" t="s">
        <v>425</v>
      </c>
    </row>
    <row r="19756" spans="1:3">
      <c r="A19756" s="250">
        <v>46745</v>
      </c>
      <c r="B19756" s="74" t="s">
        <v>10733</v>
      </c>
      <c r="C19756" s="74" t="s">
        <v>425</v>
      </c>
    </row>
    <row r="19757" spans="1:3">
      <c r="A19757" s="250">
        <v>46746</v>
      </c>
      <c r="B19757" s="74" t="s">
        <v>10734</v>
      </c>
      <c r="C19757" s="74" t="s">
        <v>425</v>
      </c>
    </row>
    <row r="19758" spans="1:3">
      <c r="A19758" s="250">
        <v>46747</v>
      </c>
      <c r="B19758" s="74" t="s">
        <v>792</v>
      </c>
      <c r="C19758" s="74" t="s">
        <v>425</v>
      </c>
    </row>
    <row r="19759" spans="1:3">
      <c r="A19759" s="250">
        <v>46748</v>
      </c>
      <c r="B19759" s="74" t="s">
        <v>10735</v>
      </c>
      <c r="C19759" s="74" t="s">
        <v>425</v>
      </c>
    </row>
    <row r="19760" spans="1:3">
      <c r="A19760" s="250">
        <v>46750</v>
      </c>
      <c r="B19760" s="74" t="s">
        <v>601</v>
      </c>
      <c r="C19760" s="74" t="s">
        <v>425</v>
      </c>
    </row>
    <row r="19761" spans="1:3">
      <c r="A19761" s="250">
        <v>46755</v>
      </c>
      <c r="B19761" s="74" t="s">
        <v>10736</v>
      </c>
      <c r="C19761" s="74" t="s">
        <v>425</v>
      </c>
    </row>
    <row r="19762" spans="1:3">
      <c r="A19762" s="250">
        <v>46759</v>
      </c>
      <c r="B19762" s="74" t="s">
        <v>10737</v>
      </c>
      <c r="C19762" s="74" t="s">
        <v>425</v>
      </c>
    </row>
    <row r="19763" spans="1:3">
      <c r="A19763" s="250">
        <v>46760</v>
      </c>
      <c r="B19763" s="74" t="s">
        <v>10738</v>
      </c>
      <c r="C19763" s="74" t="s">
        <v>425</v>
      </c>
    </row>
    <row r="19764" spans="1:3">
      <c r="A19764" s="250">
        <v>46761</v>
      </c>
      <c r="B19764" s="74" t="s">
        <v>1511</v>
      </c>
      <c r="C19764" s="74" t="s">
        <v>425</v>
      </c>
    </row>
    <row r="19765" spans="1:3">
      <c r="A19765" s="250">
        <v>46763</v>
      </c>
      <c r="B19765" s="74" t="s">
        <v>10739</v>
      </c>
      <c r="C19765" s="74" t="s">
        <v>425</v>
      </c>
    </row>
    <row r="19766" spans="1:3">
      <c r="A19766" s="250">
        <v>46764</v>
      </c>
      <c r="B19766" s="74" t="s">
        <v>10740</v>
      </c>
      <c r="C19766" s="74" t="s">
        <v>425</v>
      </c>
    </row>
    <row r="19767" spans="1:3">
      <c r="A19767" s="250">
        <v>46765</v>
      </c>
      <c r="B19767" s="74" t="s">
        <v>10741</v>
      </c>
      <c r="C19767" s="74" t="s">
        <v>425</v>
      </c>
    </row>
    <row r="19768" spans="1:3">
      <c r="A19768" s="250">
        <v>46766</v>
      </c>
      <c r="B19768" s="74" t="s">
        <v>10198</v>
      </c>
      <c r="C19768" s="74" t="s">
        <v>425</v>
      </c>
    </row>
    <row r="19769" spans="1:3">
      <c r="A19769" s="250">
        <v>46767</v>
      </c>
      <c r="B19769" s="74" t="s">
        <v>4220</v>
      </c>
      <c r="C19769" s="74" t="s">
        <v>425</v>
      </c>
    </row>
    <row r="19770" spans="1:3">
      <c r="A19770" s="250">
        <v>46769</v>
      </c>
      <c r="B19770" s="74" t="s">
        <v>10742</v>
      </c>
      <c r="C19770" s="74" t="s">
        <v>425</v>
      </c>
    </row>
    <row r="19771" spans="1:3">
      <c r="A19771" s="250">
        <v>46770</v>
      </c>
      <c r="B19771" s="74" t="s">
        <v>10743</v>
      </c>
      <c r="C19771" s="74" t="s">
        <v>425</v>
      </c>
    </row>
    <row r="19772" spans="1:3">
      <c r="A19772" s="250">
        <v>46771</v>
      </c>
      <c r="B19772" s="74" t="s">
        <v>10744</v>
      </c>
      <c r="C19772" s="74" t="s">
        <v>425</v>
      </c>
    </row>
    <row r="19773" spans="1:3">
      <c r="A19773" s="250">
        <v>46772</v>
      </c>
      <c r="B19773" s="74" t="s">
        <v>1284</v>
      </c>
      <c r="C19773" s="74" t="s">
        <v>425</v>
      </c>
    </row>
    <row r="19774" spans="1:3">
      <c r="A19774" s="250">
        <v>46773</v>
      </c>
      <c r="B19774" s="74" t="s">
        <v>2495</v>
      </c>
      <c r="C19774" s="74" t="s">
        <v>425</v>
      </c>
    </row>
    <row r="19775" spans="1:3">
      <c r="A19775" s="250">
        <v>46774</v>
      </c>
      <c r="B19775" s="74" t="s">
        <v>1823</v>
      </c>
      <c r="C19775" s="74" t="s">
        <v>425</v>
      </c>
    </row>
    <row r="19776" spans="1:3">
      <c r="A19776" s="250">
        <v>46776</v>
      </c>
      <c r="B19776" s="74" t="s">
        <v>1521</v>
      </c>
      <c r="C19776" s="74" t="s">
        <v>425</v>
      </c>
    </row>
    <row r="19777" spans="1:3">
      <c r="A19777" s="250">
        <v>46777</v>
      </c>
      <c r="B19777" s="74" t="s">
        <v>10745</v>
      </c>
      <c r="C19777" s="74" t="s">
        <v>425</v>
      </c>
    </row>
    <row r="19778" spans="1:3">
      <c r="A19778" s="250">
        <v>46778</v>
      </c>
      <c r="B19778" s="74" t="s">
        <v>6879</v>
      </c>
      <c r="C19778" s="74" t="s">
        <v>425</v>
      </c>
    </row>
    <row r="19779" spans="1:3">
      <c r="A19779" s="250">
        <v>46779</v>
      </c>
      <c r="B19779" s="74" t="s">
        <v>10746</v>
      </c>
      <c r="C19779" s="74" t="s">
        <v>425</v>
      </c>
    </row>
    <row r="19780" spans="1:3">
      <c r="A19780" s="250">
        <v>46780</v>
      </c>
      <c r="B19780" s="74" t="s">
        <v>10747</v>
      </c>
      <c r="C19780" s="74" t="s">
        <v>425</v>
      </c>
    </row>
    <row r="19781" spans="1:3">
      <c r="A19781" s="250">
        <v>46781</v>
      </c>
      <c r="B19781" s="74" t="s">
        <v>10748</v>
      </c>
      <c r="C19781" s="74" t="s">
        <v>425</v>
      </c>
    </row>
    <row r="19782" spans="1:3">
      <c r="A19782" s="250">
        <v>46782</v>
      </c>
      <c r="B19782" s="74" t="s">
        <v>3407</v>
      </c>
      <c r="C19782" s="74" t="s">
        <v>425</v>
      </c>
    </row>
    <row r="19783" spans="1:3">
      <c r="A19783" s="250">
        <v>46783</v>
      </c>
      <c r="B19783" s="74" t="s">
        <v>6252</v>
      </c>
      <c r="C19783" s="74" t="s">
        <v>425</v>
      </c>
    </row>
    <row r="19784" spans="1:3">
      <c r="A19784" s="250">
        <v>46784</v>
      </c>
      <c r="B19784" s="74" t="s">
        <v>10749</v>
      </c>
      <c r="C19784" s="74" t="s">
        <v>425</v>
      </c>
    </row>
    <row r="19785" spans="1:3">
      <c r="A19785" s="250">
        <v>46785</v>
      </c>
      <c r="B19785" s="74" t="s">
        <v>10750</v>
      </c>
      <c r="C19785" s="74" t="s">
        <v>425</v>
      </c>
    </row>
    <row r="19786" spans="1:3">
      <c r="A19786" s="250">
        <v>46786</v>
      </c>
      <c r="B19786" s="74" t="s">
        <v>10751</v>
      </c>
      <c r="C19786" s="74" t="s">
        <v>425</v>
      </c>
    </row>
    <row r="19787" spans="1:3">
      <c r="A19787" s="250">
        <v>46787</v>
      </c>
      <c r="B19787" s="74" t="s">
        <v>10752</v>
      </c>
      <c r="C19787" s="74" t="s">
        <v>425</v>
      </c>
    </row>
    <row r="19788" spans="1:3">
      <c r="A19788" s="250">
        <v>46788</v>
      </c>
      <c r="B19788" s="74" t="s">
        <v>5640</v>
      </c>
      <c r="C19788" s="74" t="s">
        <v>425</v>
      </c>
    </row>
    <row r="19789" spans="1:3">
      <c r="A19789" s="250">
        <v>46789</v>
      </c>
      <c r="B19789" s="74" t="s">
        <v>10753</v>
      </c>
      <c r="C19789" s="74" t="s">
        <v>425</v>
      </c>
    </row>
    <row r="19790" spans="1:3">
      <c r="A19790" s="250">
        <v>46791</v>
      </c>
      <c r="B19790" s="74" t="s">
        <v>2775</v>
      </c>
      <c r="C19790" s="74" t="s">
        <v>425</v>
      </c>
    </row>
    <row r="19791" spans="1:3">
      <c r="A19791" s="250">
        <v>46792</v>
      </c>
      <c r="B19791" s="74" t="s">
        <v>622</v>
      </c>
      <c r="C19791" s="74" t="s">
        <v>425</v>
      </c>
    </row>
    <row r="19792" spans="1:3">
      <c r="A19792" s="250">
        <v>46793</v>
      </c>
      <c r="B19792" s="74" t="s">
        <v>3425</v>
      </c>
      <c r="C19792" s="74" t="s">
        <v>425</v>
      </c>
    </row>
    <row r="19793" spans="1:3">
      <c r="A19793" s="250">
        <v>46794</v>
      </c>
      <c r="B19793" s="74" t="s">
        <v>10754</v>
      </c>
      <c r="C19793" s="74" t="s">
        <v>425</v>
      </c>
    </row>
    <row r="19794" spans="1:3">
      <c r="A19794" s="250">
        <v>46795</v>
      </c>
      <c r="B19794" s="74" t="s">
        <v>10755</v>
      </c>
      <c r="C19794" s="74" t="s">
        <v>425</v>
      </c>
    </row>
    <row r="19795" spans="1:3">
      <c r="A19795" s="250">
        <v>46796</v>
      </c>
      <c r="B19795" s="74" t="s">
        <v>10756</v>
      </c>
      <c r="C19795" s="74" t="s">
        <v>425</v>
      </c>
    </row>
    <row r="19796" spans="1:3">
      <c r="A19796" s="250">
        <v>46797</v>
      </c>
      <c r="B19796" s="74" t="s">
        <v>9973</v>
      </c>
      <c r="C19796" s="74" t="s">
        <v>425</v>
      </c>
    </row>
    <row r="19797" spans="1:3">
      <c r="A19797" s="250">
        <v>46798</v>
      </c>
      <c r="B19797" s="74" t="s">
        <v>10757</v>
      </c>
      <c r="C19797" s="74" t="s">
        <v>425</v>
      </c>
    </row>
    <row r="19798" spans="1:3">
      <c r="A19798" s="250">
        <v>46799</v>
      </c>
      <c r="B19798" s="74" t="s">
        <v>10217</v>
      </c>
      <c r="C19798" s="74" t="s">
        <v>425</v>
      </c>
    </row>
    <row r="19799" spans="1:3">
      <c r="A19799" s="250">
        <v>46801</v>
      </c>
      <c r="B19799" s="74" t="s">
        <v>10758</v>
      </c>
      <c r="C19799" s="74" t="s">
        <v>425</v>
      </c>
    </row>
    <row r="19800" spans="1:3">
      <c r="A19800" s="250">
        <v>46802</v>
      </c>
      <c r="B19800" s="74" t="s">
        <v>10758</v>
      </c>
      <c r="C19800" s="74" t="s">
        <v>425</v>
      </c>
    </row>
    <row r="19801" spans="1:3">
      <c r="A19801" s="250">
        <v>46803</v>
      </c>
      <c r="B19801" s="74" t="s">
        <v>10758</v>
      </c>
      <c r="C19801" s="74" t="s">
        <v>425</v>
      </c>
    </row>
    <row r="19802" spans="1:3">
      <c r="A19802" s="250">
        <v>46804</v>
      </c>
      <c r="B19802" s="74" t="s">
        <v>10758</v>
      </c>
      <c r="C19802" s="74" t="s">
        <v>425</v>
      </c>
    </row>
    <row r="19803" spans="1:3">
      <c r="A19803" s="250">
        <v>46805</v>
      </c>
      <c r="B19803" s="74" t="s">
        <v>10758</v>
      </c>
      <c r="C19803" s="74" t="s">
        <v>425</v>
      </c>
    </row>
    <row r="19804" spans="1:3">
      <c r="A19804" s="250">
        <v>46806</v>
      </c>
      <c r="B19804" s="74" t="s">
        <v>10758</v>
      </c>
      <c r="C19804" s="74" t="s">
        <v>425</v>
      </c>
    </row>
    <row r="19805" spans="1:3">
      <c r="A19805" s="250">
        <v>46807</v>
      </c>
      <c r="B19805" s="74" t="s">
        <v>10758</v>
      </c>
      <c r="C19805" s="74" t="s">
        <v>425</v>
      </c>
    </row>
    <row r="19806" spans="1:3">
      <c r="A19806" s="250">
        <v>46808</v>
      </c>
      <c r="B19806" s="74" t="s">
        <v>10758</v>
      </c>
      <c r="C19806" s="74" t="s">
        <v>425</v>
      </c>
    </row>
    <row r="19807" spans="1:3">
      <c r="A19807" s="250">
        <v>46809</v>
      </c>
      <c r="B19807" s="74" t="s">
        <v>10758</v>
      </c>
      <c r="C19807" s="74" t="s">
        <v>425</v>
      </c>
    </row>
    <row r="19808" spans="1:3">
      <c r="A19808" s="250">
        <v>46814</v>
      </c>
      <c r="B19808" s="74" t="s">
        <v>10758</v>
      </c>
      <c r="C19808" s="74" t="s">
        <v>425</v>
      </c>
    </row>
    <row r="19809" spans="1:3">
      <c r="A19809" s="250">
        <v>46815</v>
      </c>
      <c r="B19809" s="74" t="s">
        <v>10758</v>
      </c>
      <c r="C19809" s="74" t="s">
        <v>425</v>
      </c>
    </row>
    <row r="19810" spans="1:3">
      <c r="A19810" s="250">
        <v>46816</v>
      </c>
      <c r="B19810" s="74" t="s">
        <v>10758</v>
      </c>
      <c r="C19810" s="74" t="s">
        <v>425</v>
      </c>
    </row>
    <row r="19811" spans="1:3">
      <c r="A19811" s="250">
        <v>46818</v>
      </c>
      <c r="B19811" s="74" t="s">
        <v>10758</v>
      </c>
      <c r="C19811" s="74" t="s">
        <v>425</v>
      </c>
    </row>
    <row r="19812" spans="1:3">
      <c r="A19812" s="250">
        <v>46819</v>
      </c>
      <c r="B19812" s="74" t="s">
        <v>10758</v>
      </c>
      <c r="C19812" s="74" t="s">
        <v>425</v>
      </c>
    </row>
    <row r="19813" spans="1:3">
      <c r="A19813" s="250">
        <v>46825</v>
      </c>
      <c r="B19813" s="74" t="s">
        <v>10758</v>
      </c>
      <c r="C19813" s="74" t="s">
        <v>425</v>
      </c>
    </row>
    <row r="19814" spans="1:3">
      <c r="A19814" s="250">
        <v>46835</v>
      </c>
      <c r="B19814" s="74" t="s">
        <v>10758</v>
      </c>
      <c r="C19814" s="74" t="s">
        <v>425</v>
      </c>
    </row>
    <row r="19815" spans="1:3">
      <c r="A19815" s="250">
        <v>46845</v>
      </c>
      <c r="B19815" s="74" t="s">
        <v>10758</v>
      </c>
      <c r="C19815" s="74" t="s">
        <v>425</v>
      </c>
    </row>
    <row r="19816" spans="1:3">
      <c r="A19816" s="250">
        <v>46850</v>
      </c>
      <c r="B19816" s="74" t="s">
        <v>10758</v>
      </c>
      <c r="C19816" s="74" t="s">
        <v>425</v>
      </c>
    </row>
    <row r="19817" spans="1:3">
      <c r="A19817" s="250">
        <v>46851</v>
      </c>
      <c r="B19817" s="74" t="s">
        <v>10758</v>
      </c>
      <c r="C19817" s="74" t="s">
        <v>425</v>
      </c>
    </row>
    <row r="19818" spans="1:3">
      <c r="A19818" s="250">
        <v>46852</v>
      </c>
      <c r="B19818" s="74" t="s">
        <v>10758</v>
      </c>
      <c r="C19818" s="74" t="s">
        <v>425</v>
      </c>
    </row>
    <row r="19819" spans="1:3">
      <c r="A19819" s="250">
        <v>46853</v>
      </c>
      <c r="B19819" s="74" t="s">
        <v>10758</v>
      </c>
      <c r="C19819" s="74" t="s">
        <v>425</v>
      </c>
    </row>
    <row r="19820" spans="1:3">
      <c r="A19820" s="250">
        <v>46854</v>
      </c>
      <c r="B19820" s="74" t="s">
        <v>10758</v>
      </c>
      <c r="C19820" s="74" t="s">
        <v>425</v>
      </c>
    </row>
    <row r="19821" spans="1:3">
      <c r="A19821" s="250">
        <v>46855</v>
      </c>
      <c r="B19821" s="74" t="s">
        <v>10758</v>
      </c>
      <c r="C19821" s="74" t="s">
        <v>425</v>
      </c>
    </row>
    <row r="19822" spans="1:3">
      <c r="A19822" s="250">
        <v>46856</v>
      </c>
      <c r="B19822" s="74" t="s">
        <v>10758</v>
      </c>
      <c r="C19822" s="74" t="s">
        <v>425</v>
      </c>
    </row>
    <row r="19823" spans="1:3">
      <c r="A19823" s="250">
        <v>46857</v>
      </c>
      <c r="B19823" s="74" t="s">
        <v>10758</v>
      </c>
      <c r="C19823" s="74" t="s">
        <v>425</v>
      </c>
    </row>
    <row r="19824" spans="1:3">
      <c r="A19824" s="250">
        <v>46858</v>
      </c>
      <c r="B19824" s="74" t="s">
        <v>10758</v>
      </c>
      <c r="C19824" s="74" t="s">
        <v>425</v>
      </c>
    </row>
    <row r="19825" spans="1:3">
      <c r="A19825" s="250">
        <v>46859</v>
      </c>
      <c r="B19825" s="74" t="s">
        <v>10758</v>
      </c>
      <c r="C19825" s="74" t="s">
        <v>425</v>
      </c>
    </row>
    <row r="19826" spans="1:3">
      <c r="A19826" s="250">
        <v>46860</v>
      </c>
      <c r="B19826" s="74" t="s">
        <v>10758</v>
      </c>
      <c r="C19826" s="74" t="s">
        <v>425</v>
      </c>
    </row>
    <row r="19827" spans="1:3">
      <c r="A19827" s="250">
        <v>46861</v>
      </c>
      <c r="B19827" s="74" t="s">
        <v>10758</v>
      </c>
      <c r="C19827" s="74" t="s">
        <v>425</v>
      </c>
    </row>
    <row r="19828" spans="1:3">
      <c r="A19828" s="250">
        <v>46862</v>
      </c>
      <c r="B19828" s="74" t="s">
        <v>10758</v>
      </c>
      <c r="C19828" s="74" t="s">
        <v>425</v>
      </c>
    </row>
    <row r="19829" spans="1:3">
      <c r="A19829" s="250">
        <v>46863</v>
      </c>
      <c r="B19829" s="74" t="s">
        <v>10758</v>
      </c>
      <c r="C19829" s="74" t="s">
        <v>425</v>
      </c>
    </row>
    <row r="19830" spans="1:3">
      <c r="A19830" s="250">
        <v>46864</v>
      </c>
      <c r="B19830" s="74" t="s">
        <v>10758</v>
      </c>
      <c r="C19830" s="74" t="s">
        <v>425</v>
      </c>
    </row>
    <row r="19831" spans="1:3">
      <c r="A19831" s="250">
        <v>46865</v>
      </c>
      <c r="B19831" s="74" t="s">
        <v>10758</v>
      </c>
      <c r="C19831" s="74" t="s">
        <v>425</v>
      </c>
    </row>
    <row r="19832" spans="1:3">
      <c r="A19832" s="250">
        <v>46866</v>
      </c>
      <c r="B19832" s="74" t="s">
        <v>10758</v>
      </c>
      <c r="C19832" s="74" t="s">
        <v>425</v>
      </c>
    </row>
    <row r="19833" spans="1:3">
      <c r="A19833" s="250">
        <v>46867</v>
      </c>
      <c r="B19833" s="74" t="s">
        <v>10758</v>
      </c>
      <c r="C19833" s="74" t="s">
        <v>425</v>
      </c>
    </row>
    <row r="19834" spans="1:3">
      <c r="A19834" s="250">
        <v>46868</v>
      </c>
      <c r="B19834" s="74" t="s">
        <v>10758</v>
      </c>
      <c r="C19834" s="74" t="s">
        <v>425</v>
      </c>
    </row>
    <row r="19835" spans="1:3">
      <c r="A19835" s="250">
        <v>46869</v>
      </c>
      <c r="B19835" s="74" t="s">
        <v>10758</v>
      </c>
      <c r="C19835" s="74" t="s">
        <v>425</v>
      </c>
    </row>
    <row r="19836" spans="1:3">
      <c r="A19836" s="250">
        <v>46885</v>
      </c>
      <c r="B19836" s="74" t="s">
        <v>10758</v>
      </c>
      <c r="C19836" s="74" t="s">
        <v>425</v>
      </c>
    </row>
    <row r="19837" spans="1:3">
      <c r="A19837" s="250">
        <v>46895</v>
      </c>
      <c r="B19837" s="74" t="s">
        <v>10758</v>
      </c>
      <c r="C19837" s="74" t="s">
        <v>425</v>
      </c>
    </row>
    <row r="19838" spans="1:3">
      <c r="A19838" s="250">
        <v>46896</v>
      </c>
      <c r="B19838" s="74" t="s">
        <v>10758</v>
      </c>
      <c r="C19838" s="74" t="s">
        <v>425</v>
      </c>
    </row>
    <row r="19839" spans="1:3">
      <c r="A19839" s="250">
        <v>46897</v>
      </c>
      <c r="B19839" s="74" t="s">
        <v>10758</v>
      </c>
      <c r="C19839" s="74" t="s">
        <v>425</v>
      </c>
    </row>
    <row r="19840" spans="1:3">
      <c r="A19840" s="250">
        <v>46898</v>
      </c>
      <c r="B19840" s="74" t="s">
        <v>10758</v>
      </c>
      <c r="C19840" s="74" t="s">
        <v>425</v>
      </c>
    </row>
    <row r="19841" spans="1:3">
      <c r="A19841" s="250">
        <v>46899</v>
      </c>
      <c r="B19841" s="74" t="s">
        <v>10758</v>
      </c>
      <c r="C19841" s="74" t="s">
        <v>425</v>
      </c>
    </row>
    <row r="19842" spans="1:3">
      <c r="A19842" s="250">
        <v>46901</v>
      </c>
      <c r="B19842" s="74" t="s">
        <v>9526</v>
      </c>
      <c r="C19842" s="74" t="s">
        <v>425</v>
      </c>
    </row>
    <row r="19843" spans="1:3">
      <c r="A19843" s="250">
        <v>46902</v>
      </c>
      <c r="B19843" s="74" t="s">
        <v>9526</v>
      </c>
      <c r="C19843" s="74" t="s">
        <v>425</v>
      </c>
    </row>
    <row r="19844" spans="1:3">
      <c r="A19844" s="250">
        <v>46903</v>
      </c>
      <c r="B19844" s="74" t="s">
        <v>9526</v>
      </c>
      <c r="C19844" s="74" t="s">
        <v>425</v>
      </c>
    </row>
    <row r="19845" spans="1:3">
      <c r="A19845" s="250">
        <v>46904</v>
      </c>
      <c r="B19845" s="74" t="s">
        <v>9526</v>
      </c>
      <c r="C19845" s="74" t="s">
        <v>425</v>
      </c>
    </row>
    <row r="19846" spans="1:3">
      <c r="A19846" s="250">
        <v>46910</v>
      </c>
      <c r="B19846" s="74" t="s">
        <v>3667</v>
      </c>
      <c r="C19846" s="74" t="s">
        <v>425</v>
      </c>
    </row>
    <row r="19847" spans="1:3">
      <c r="A19847" s="250">
        <v>46911</v>
      </c>
      <c r="B19847" s="74" t="s">
        <v>10759</v>
      </c>
      <c r="C19847" s="74" t="s">
        <v>425</v>
      </c>
    </row>
    <row r="19848" spans="1:3">
      <c r="A19848" s="250">
        <v>46912</v>
      </c>
      <c r="B19848" s="74" t="s">
        <v>1678</v>
      </c>
      <c r="C19848" s="74" t="s">
        <v>425</v>
      </c>
    </row>
    <row r="19849" spans="1:3">
      <c r="A19849" s="250">
        <v>46913</v>
      </c>
      <c r="B19849" s="74" t="s">
        <v>10760</v>
      </c>
      <c r="C19849" s="74" t="s">
        <v>425</v>
      </c>
    </row>
    <row r="19850" spans="1:3">
      <c r="A19850" s="250">
        <v>46914</v>
      </c>
      <c r="B19850" s="74" t="s">
        <v>6684</v>
      </c>
      <c r="C19850" s="74" t="s">
        <v>425</v>
      </c>
    </row>
    <row r="19851" spans="1:3">
      <c r="A19851" s="250">
        <v>46915</v>
      </c>
      <c r="B19851" s="74" t="s">
        <v>806</v>
      </c>
      <c r="C19851" s="74" t="s">
        <v>425</v>
      </c>
    </row>
    <row r="19852" spans="1:3">
      <c r="A19852" s="250">
        <v>46916</v>
      </c>
      <c r="B19852" s="74" t="s">
        <v>10761</v>
      </c>
      <c r="C19852" s="74" t="s">
        <v>425</v>
      </c>
    </row>
    <row r="19853" spans="1:3">
      <c r="A19853" s="250">
        <v>46917</v>
      </c>
      <c r="B19853" s="74" t="s">
        <v>1660</v>
      </c>
      <c r="C19853" s="74" t="s">
        <v>425</v>
      </c>
    </row>
    <row r="19854" spans="1:3">
      <c r="A19854" s="250">
        <v>46919</v>
      </c>
      <c r="B19854" s="74" t="s">
        <v>7664</v>
      </c>
      <c r="C19854" s="74" t="s">
        <v>425</v>
      </c>
    </row>
    <row r="19855" spans="1:3">
      <c r="A19855" s="250">
        <v>46920</v>
      </c>
      <c r="B19855" s="74" t="s">
        <v>1578</v>
      </c>
      <c r="C19855" s="74" t="s">
        <v>425</v>
      </c>
    </row>
    <row r="19856" spans="1:3">
      <c r="A19856" s="250">
        <v>46921</v>
      </c>
      <c r="B19856" s="74" t="s">
        <v>10762</v>
      </c>
      <c r="C19856" s="74" t="s">
        <v>425</v>
      </c>
    </row>
    <row r="19857" spans="1:3">
      <c r="A19857" s="250">
        <v>46922</v>
      </c>
      <c r="B19857" s="74" t="s">
        <v>10763</v>
      </c>
      <c r="C19857" s="74" t="s">
        <v>425</v>
      </c>
    </row>
    <row r="19858" spans="1:3">
      <c r="A19858" s="250">
        <v>46923</v>
      </c>
      <c r="B19858" s="74" t="s">
        <v>10764</v>
      </c>
      <c r="C19858" s="74" t="s">
        <v>425</v>
      </c>
    </row>
    <row r="19859" spans="1:3">
      <c r="A19859" s="250">
        <v>46926</v>
      </c>
      <c r="B19859" s="74" t="s">
        <v>3040</v>
      </c>
      <c r="C19859" s="74" t="s">
        <v>425</v>
      </c>
    </row>
    <row r="19860" spans="1:3">
      <c r="A19860" s="250">
        <v>46928</v>
      </c>
      <c r="B19860" s="74" t="s">
        <v>7890</v>
      </c>
      <c r="C19860" s="74" t="s">
        <v>425</v>
      </c>
    </row>
    <row r="19861" spans="1:3">
      <c r="A19861" s="250">
        <v>46929</v>
      </c>
      <c r="B19861" s="74" t="s">
        <v>9414</v>
      </c>
      <c r="C19861" s="74" t="s">
        <v>425</v>
      </c>
    </row>
    <row r="19862" spans="1:3">
      <c r="A19862" s="250">
        <v>46930</v>
      </c>
      <c r="B19862" s="74" t="s">
        <v>10765</v>
      </c>
      <c r="C19862" s="74" t="s">
        <v>425</v>
      </c>
    </row>
    <row r="19863" spans="1:3">
      <c r="A19863" s="250">
        <v>46931</v>
      </c>
      <c r="B19863" s="74" t="s">
        <v>3365</v>
      </c>
      <c r="C19863" s="74" t="s">
        <v>425</v>
      </c>
    </row>
    <row r="19864" spans="1:3">
      <c r="A19864" s="250">
        <v>46932</v>
      </c>
      <c r="B19864" s="74" t="s">
        <v>10766</v>
      </c>
      <c r="C19864" s="74" t="s">
        <v>425</v>
      </c>
    </row>
    <row r="19865" spans="1:3">
      <c r="A19865" s="250">
        <v>46933</v>
      </c>
      <c r="B19865" s="74" t="s">
        <v>10767</v>
      </c>
      <c r="C19865" s="74" t="s">
        <v>425</v>
      </c>
    </row>
    <row r="19866" spans="1:3">
      <c r="A19866" s="250">
        <v>46935</v>
      </c>
      <c r="B19866" s="74" t="s">
        <v>10768</v>
      </c>
      <c r="C19866" s="74" t="s">
        <v>425</v>
      </c>
    </row>
    <row r="19867" spans="1:3">
      <c r="A19867" s="250">
        <v>46936</v>
      </c>
      <c r="B19867" s="74" t="s">
        <v>5160</v>
      </c>
      <c r="C19867" s="74" t="s">
        <v>425</v>
      </c>
    </row>
    <row r="19868" spans="1:3">
      <c r="A19868" s="250">
        <v>46937</v>
      </c>
      <c r="B19868" s="74" t="s">
        <v>3779</v>
      </c>
      <c r="C19868" s="74" t="s">
        <v>425</v>
      </c>
    </row>
    <row r="19869" spans="1:3">
      <c r="A19869" s="250">
        <v>46938</v>
      </c>
      <c r="B19869" s="74" t="s">
        <v>1591</v>
      </c>
      <c r="C19869" s="74" t="s">
        <v>425</v>
      </c>
    </row>
    <row r="19870" spans="1:3">
      <c r="A19870" s="250">
        <v>46939</v>
      </c>
      <c r="B19870" s="74" t="s">
        <v>10769</v>
      </c>
      <c r="C19870" s="74" t="s">
        <v>425</v>
      </c>
    </row>
    <row r="19871" spans="1:3">
      <c r="A19871" s="250">
        <v>46940</v>
      </c>
      <c r="B19871" s="74" t="s">
        <v>10770</v>
      </c>
      <c r="C19871" s="74" t="s">
        <v>425</v>
      </c>
    </row>
    <row r="19872" spans="1:3">
      <c r="A19872" s="250">
        <v>46941</v>
      </c>
      <c r="B19872" s="74" t="s">
        <v>10771</v>
      </c>
      <c r="C19872" s="74" t="s">
        <v>425</v>
      </c>
    </row>
    <row r="19873" spans="1:3">
      <c r="A19873" s="250">
        <v>46942</v>
      </c>
      <c r="B19873" s="74" t="s">
        <v>10772</v>
      </c>
      <c r="C19873" s="74" t="s">
        <v>425</v>
      </c>
    </row>
    <row r="19874" spans="1:3">
      <c r="A19874" s="250">
        <v>46943</v>
      </c>
      <c r="B19874" s="74" t="s">
        <v>10773</v>
      </c>
      <c r="C19874" s="74" t="s">
        <v>425</v>
      </c>
    </row>
    <row r="19875" spans="1:3">
      <c r="A19875" s="250">
        <v>46945</v>
      </c>
      <c r="B19875" s="74" t="s">
        <v>10774</v>
      </c>
      <c r="C19875" s="74" t="s">
        <v>425</v>
      </c>
    </row>
    <row r="19876" spans="1:3">
      <c r="A19876" s="250">
        <v>46946</v>
      </c>
      <c r="B19876" s="74" t="s">
        <v>10775</v>
      </c>
      <c r="C19876" s="74" t="s">
        <v>425</v>
      </c>
    </row>
    <row r="19877" spans="1:3">
      <c r="A19877" s="250">
        <v>46947</v>
      </c>
      <c r="B19877" s="74" t="s">
        <v>10776</v>
      </c>
      <c r="C19877" s="74" t="s">
        <v>425</v>
      </c>
    </row>
    <row r="19878" spans="1:3">
      <c r="A19878" s="250">
        <v>46950</v>
      </c>
      <c r="B19878" s="74" t="s">
        <v>10777</v>
      </c>
      <c r="C19878" s="74" t="s">
        <v>425</v>
      </c>
    </row>
    <row r="19879" spans="1:3">
      <c r="A19879" s="250">
        <v>46951</v>
      </c>
      <c r="B19879" s="74" t="s">
        <v>10778</v>
      </c>
      <c r="C19879" s="74" t="s">
        <v>425</v>
      </c>
    </row>
    <row r="19880" spans="1:3">
      <c r="A19880" s="250">
        <v>46952</v>
      </c>
      <c r="B19880" s="74" t="s">
        <v>1071</v>
      </c>
      <c r="C19880" s="74" t="s">
        <v>425</v>
      </c>
    </row>
    <row r="19881" spans="1:3">
      <c r="A19881" s="250">
        <v>46953</v>
      </c>
      <c r="B19881" s="74" t="s">
        <v>1071</v>
      </c>
      <c r="C19881" s="74" t="s">
        <v>425</v>
      </c>
    </row>
    <row r="19882" spans="1:3">
      <c r="A19882" s="250">
        <v>46957</v>
      </c>
      <c r="B19882" s="74" t="s">
        <v>7321</v>
      </c>
      <c r="C19882" s="74" t="s">
        <v>425</v>
      </c>
    </row>
    <row r="19883" spans="1:3">
      <c r="A19883" s="250">
        <v>46958</v>
      </c>
      <c r="B19883" s="74" t="s">
        <v>1450</v>
      </c>
      <c r="C19883" s="74" t="s">
        <v>425</v>
      </c>
    </row>
    <row r="19884" spans="1:3">
      <c r="A19884" s="250">
        <v>46959</v>
      </c>
      <c r="B19884" s="74" t="s">
        <v>6627</v>
      </c>
      <c r="C19884" s="74" t="s">
        <v>425</v>
      </c>
    </row>
    <row r="19885" spans="1:3">
      <c r="A19885" s="250">
        <v>46960</v>
      </c>
      <c r="B19885" s="74" t="s">
        <v>654</v>
      </c>
      <c r="C19885" s="74" t="s">
        <v>425</v>
      </c>
    </row>
    <row r="19886" spans="1:3">
      <c r="A19886" s="250">
        <v>46961</v>
      </c>
      <c r="B19886" s="74" t="s">
        <v>10779</v>
      </c>
      <c r="C19886" s="74" t="s">
        <v>425</v>
      </c>
    </row>
    <row r="19887" spans="1:3">
      <c r="A19887" s="250">
        <v>46962</v>
      </c>
      <c r="B19887" s="74" t="s">
        <v>10780</v>
      </c>
      <c r="C19887" s="74" t="s">
        <v>425</v>
      </c>
    </row>
    <row r="19888" spans="1:3">
      <c r="A19888" s="250">
        <v>46965</v>
      </c>
      <c r="B19888" s="74" t="s">
        <v>10781</v>
      </c>
      <c r="C19888" s="74" t="s">
        <v>425</v>
      </c>
    </row>
    <row r="19889" spans="1:3">
      <c r="A19889" s="250">
        <v>46967</v>
      </c>
      <c r="B19889" s="74" t="s">
        <v>10782</v>
      </c>
      <c r="C19889" s="74" t="s">
        <v>425</v>
      </c>
    </row>
    <row r="19890" spans="1:3">
      <c r="A19890" s="250">
        <v>46968</v>
      </c>
      <c r="B19890" s="74" t="s">
        <v>10783</v>
      </c>
      <c r="C19890" s="74" t="s">
        <v>425</v>
      </c>
    </row>
    <row r="19891" spans="1:3">
      <c r="A19891" s="250">
        <v>46970</v>
      </c>
      <c r="B19891" s="74" t="s">
        <v>1470</v>
      </c>
      <c r="C19891" s="74" t="s">
        <v>425</v>
      </c>
    </row>
    <row r="19892" spans="1:3">
      <c r="A19892" s="250">
        <v>46971</v>
      </c>
      <c r="B19892" s="74" t="s">
        <v>10784</v>
      </c>
      <c r="C19892" s="74" t="s">
        <v>425</v>
      </c>
    </row>
    <row r="19893" spans="1:3">
      <c r="A19893" s="250">
        <v>46974</v>
      </c>
      <c r="B19893" s="74" t="s">
        <v>10785</v>
      </c>
      <c r="C19893" s="74" t="s">
        <v>425</v>
      </c>
    </row>
    <row r="19894" spans="1:3">
      <c r="A19894" s="250">
        <v>46975</v>
      </c>
      <c r="B19894" s="74" t="s">
        <v>1085</v>
      </c>
      <c r="C19894" s="74" t="s">
        <v>425</v>
      </c>
    </row>
    <row r="19895" spans="1:3">
      <c r="A19895" s="250">
        <v>46977</v>
      </c>
      <c r="B19895" s="74" t="s">
        <v>9989</v>
      </c>
      <c r="C19895" s="74" t="s">
        <v>425</v>
      </c>
    </row>
    <row r="19896" spans="1:3">
      <c r="A19896" s="250">
        <v>46978</v>
      </c>
      <c r="B19896" s="74" t="s">
        <v>10786</v>
      </c>
      <c r="C19896" s="74" t="s">
        <v>425</v>
      </c>
    </row>
    <row r="19897" spans="1:3">
      <c r="A19897" s="250">
        <v>46979</v>
      </c>
      <c r="B19897" s="74" t="s">
        <v>10787</v>
      </c>
      <c r="C19897" s="74" t="s">
        <v>425</v>
      </c>
    </row>
    <row r="19898" spans="1:3">
      <c r="A19898" s="250">
        <v>46980</v>
      </c>
      <c r="B19898" s="74" t="s">
        <v>10788</v>
      </c>
      <c r="C19898" s="74" t="s">
        <v>425</v>
      </c>
    </row>
    <row r="19899" spans="1:3">
      <c r="A19899" s="250">
        <v>46982</v>
      </c>
      <c r="B19899" s="74" t="s">
        <v>1339</v>
      </c>
      <c r="C19899" s="74" t="s">
        <v>425</v>
      </c>
    </row>
    <row r="19900" spans="1:3">
      <c r="A19900" s="250">
        <v>46984</v>
      </c>
      <c r="B19900" s="74" t="s">
        <v>1070</v>
      </c>
      <c r="C19900" s="74" t="s">
        <v>425</v>
      </c>
    </row>
    <row r="19901" spans="1:3">
      <c r="A19901" s="250">
        <v>46985</v>
      </c>
      <c r="B19901" s="74" t="s">
        <v>10789</v>
      </c>
      <c r="C19901" s="74" t="s">
        <v>425</v>
      </c>
    </row>
    <row r="19902" spans="1:3">
      <c r="A19902" s="250">
        <v>46986</v>
      </c>
      <c r="B19902" s="74" t="s">
        <v>10790</v>
      </c>
      <c r="C19902" s="74" t="s">
        <v>425</v>
      </c>
    </row>
    <row r="19903" spans="1:3">
      <c r="A19903" s="250">
        <v>46987</v>
      </c>
      <c r="B19903" s="74" t="s">
        <v>10791</v>
      </c>
      <c r="C19903" s="74" t="s">
        <v>425</v>
      </c>
    </row>
    <row r="19904" spans="1:3">
      <c r="A19904" s="250">
        <v>46988</v>
      </c>
      <c r="B19904" s="74" t="s">
        <v>10792</v>
      </c>
      <c r="C19904" s="74" t="s">
        <v>425</v>
      </c>
    </row>
    <row r="19905" spans="1:3">
      <c r="A19905" s="250">
        <v>46989</v>
      </c>
      <c r="B19905" s="74" t="s">
        <v>10793</v>
      </c>
      <c r="C19905" s="74" t="s">
        <v>425</v>
      </c>
    </row>
    <row r="19906" spans="1:3">
      <c r="A19906" s="250">
        <v>46990</v>
      </c>
      <c r="B19906" s="74" t="s">
        <v>10107</v>
      </c>
      <c r="C19906" s="74" t="s">
        <v>425</v>
      </c>
    </row>
    <row r="19907" spans="1:3">
      <c r="A19907" s="250">
        <v>46991</v>
      </c>
      <c r="B19907" s="74" t="s">
        <v>1658</v>
      </c>
      <c r="C19907" s="74" t="s">
        <v>425</v>
      </c>
    </row>
    <row r="19908" spans="1:3">
      <c r="A19908" s="250">
        <v>46992</v>
      </c>
      <c r="B19908" s="74" t="s">
        <v>10794</v>
      </c>
      <c r="C19908" s="74" t="s">
        <v>425</v>
      </c>
    </row>
    <row r="19909" spans="1:3">
      <c r="A19909" s="250">
        <v>46994</v>
      </c>
      <c r="B19909" s="74" t="s">
        <v>3659</v>
      </c>
      <c r="C19909" s="74" t="s">
        <v>425</v>
      </c>
    </row>
    <row r="19910" spans="1:3">
      <c r="A19910" s="250">
        <v>46995</v>
      </c>
      <c r="B19910" s="74" t="s">
        <v>10795</v>
      </c>
      <c r="C19910" s="74" t="s">
        <v>425</v>
      </c>
    </row>
    <row r="19911" spans="1:3">
      <c r="A19911" s="250">
        <v>46996</v>
      </c>
      <c r="B19911" s="74" t="s">
        <v>10796</v>
      </c>
      <c r="C19911" s="74" t="s">
        <v>425</v>
      </c>
    </row>
    <row r="19912" spans="1:3">
      <c r="A19912" s="250">
        <v>46998</v>
      </c>
      <c r="B19912" s="74" t="s">
        <v>10797</v>
      </c>
      <c r="C19912" s="74" t="s">
        <v>425</v>
      </c>
    </row>
    <row r="19913" spans="1:3">
      <c r="A19913" s="250">
        <v>47001</v>
      </c>
      <c r="B19913" s="74" t="s">
        <v>1489</v>
      </c>
      <c r="C19913" s="74" t="s">
        <v>425</v>
      </c>
    </row>
    <row r="19914" spans="1:3">
      <c r="A19914" s="250">
        <v>47003</v>
      </c>
      <c r="B19914" s="74" t="s">
        <v>10798</v>
      </c>
      <c r="C19914" s="74" t="s">
        <v>425</v>
      </c>
    </row>
    <row r="19915" spans="1:3">
      <c r="A19915" s="250">
        <v>47006</v>
      </c>
      <c r="B19915" s="74" t="s">
        <v>6005</v>
      </c>
      <c r="C19915" s="74" t="s">
        <v>425</v>
      </c>
    </row>
    <row r="19916" spans="1:3">
      <c r="A19916" s="250">
        <v>47010</v>
      </c>
      <c r="B19916" s="74" t="s">
        <v>1269</v>
      </c>
      <c r="C19916" s="74" t="s">
        <v>425</v>
      </c>
    </row>
    <row r="19917" spans="1:3">
      <c r="A19917" s="250">
        <v>47011</v>
      </c>
      <c r="B19917" s="74" t="s">
        <v>1229</v>
      </c>
      <c r="C19917" s="74" t="s">
        <v>425</v>
      </c>
    </row>
    <row r="19918" spans="1:3">
      <c r="A19918" s="250">
        <v>47012</v>
      </c>
      <c r="B19918" s="74" t="s">
        <v>4318</v>
      </c>
      <c r="C19918" s="74" t="s">
        <v>425</v>
      </c>
    </row>
    <row r="19919" spans="1:3">
      <c r="A19919" s="250">
        <v>47016</v>
      </c>
      <c r="B19919" s="74" t="s">
        <v>2115</v>
      </c>
      <c r="C19919" s="74" t="s">
        <v>425</v>
      </c>
    </row>
    <row r="19920" spans="1:3">
      <c r="A19920" s="250">
        <v>47017</v>
      </c>
      <c r="B19920" s="74" t="s">
        <v>8998</v>
      </c>
      <c r="C19920" s="74" t="s">
        <v>425</v>
      </c>
    </row>
    <row r="19921" spans="1:3">
      <c r="A19921" s="250">
        <v>47018</v>
      </c>
      <c r="B19921" s="74" t="s">
        <v>7544</v>
      </c>
      <c r="C19921" s="74" t="s">
        <v>425</v>
      </c>
    </row>
    <row r="19922" spans="1:3">
      <c r="A19922" s="250">
        <v>47019</v>
      </c>
      <c r="B19922" s="74" t="s">
        <v>10799</v>
      </c>
      <c r="C19922" s="74" t="s">
        <v>425</v>
      </c>
    </row>
    <row r="19923" spans="1:3">
      <c r="A19923" s="250">
        <v>47020</v>
      </c>
      <c r="B19923" s="74" t="s">
        <v>608</v>
      </c>
      <c r="C19923" s="74" t="s">
        <v>425</v>
      </c>
    </row>
    <row r="19924" spans="1:3">
      <c r="A19924" s="250">
        <v>47021</v>
      </c>
      <c r="B19924" s="74" t="s">
        <v>1543</v>
      </c>
      <c r="C19924" s="74" t="s">
        <v>425</v>
      </c>
    </row>
    <row r="19925" spans="1:3">
      <c r="A19925" s="250">
        <v>47022</v>
      </c>
      <c r="B19925" s="74" t="s">
        <v>1507</v>
      </c>
      <c r="C19925" s="74" t="s">
        <v>425</v>
      </c>
    </row>
    <row r="19926" spans="1:3">
      <c r="A19926" s="250">
        <v>47023</v>
      </c>
      <c r="B19926" s="74" t="s">
        <v>10800</v>
      </c>
      <c r="C19926" s="74" t="s">
        <v>425</v>
      </c>
    </row>
    <row r="19927" spans="1:3">
      <c r="A19927" s="250">
        <v>47024</v>
      </c>
      <c r="B19927" s="74" t="s">
        <v>2882</v>
      </c>
      <c r="C19927" s="74" t="s">
        <v>425</v>
      </c>
    </row>
    <row r="19928" spans="1:3">
      <c r="A19928" s="250">
        <v>47025</v>
      </c>
      <c r="B19928" s="74" t="s">
        <v>9251</v>
      </c>
      <c r="C19928" s="74" t="s">
        <v>425</v>
      </c>
    </row>
    <row r="19929" spans="1:3">
      <c r="A19929" s="250">
        <v>47030</v>
      </c>
      <c r="B19929" s="74" t="s">
        <v>10202</v>
      </c>
      <c r="C19929" s="74" t="s">
        <v>425</v>
      </c>
    </row>
    <row r="19930" spans="1:3">
      <c r="A19930" s="250">
        <v>47031</v>
      </c>
      <c r="B19930" s="74" t="s">
        <v>1256</v>
      </c>
      <c r="C19930" s="74" t="s">
        <v>425</v>
      </c>
    </row>
    <row r="19931" spans="1:3">
      <c r="A19931" s="250">
        <v>47032</v>
      </c>
      <c r="B19931" s="74" t="s">
        <v>10801</v>
      </c>
      <c r="C19931" s="74" t="s">
        <v>425</v>
      </c>
    </row>
    <row r="19932" spans="1:3">
      <c r="A19932" s="250">
        <v>47033</v>
      </c>
      <c r="B19932" s="74" t="s">
        <v>2086</v>
      </c>
      <c r="C19932" s="74" t="s">
        <v>425</v>
      </c>
    </row>
    <row r="19933" spans="1:3">
      <c r="A19933" s="250">
        <v>47034</v>
      </c>
      <c r="B19933" s="74" t="s">
        <v>10205</v>
      </c>
      <c r="C19933" s="74" t="s">
        <v>425</v>
      </c>
    </row>
    <row r="19934" spans="1:3">
      <c r="A19934" s="250">
        <v>47035</v>
      </c>
      <c r="B19934" s="74" t="s">
        <v>10802</v>
      </c>
      <c r="C19934" s="74" t="s">
        <v>425</v>
      </c>
    </row>
    <row r="19935" spans="1:3">
      <c r="A19935" s="250">
        <v>47036</v>
      </c>
      <c r="B19935" s="74" t="s">
        <v>10803</v>
      </c>
      <c r="C19935" s="74" t="s">
        <v>425</v>
      </c>
    </row>
    <row r="19936" spans="1:3">
      <c r="A19936" s="250">
        <v>47037</v>
      </c>
      <c r="B19936" s="74" t="s">
        <v>10511</v>
      </c>
      <c r="C19936" s="74" t="s">
        <v>425</v>
      </c>
    </row>
    <row r="19937" spans="1:3">
      <c r="A19937" s="250">
        <v>47038</v>
      </c>
      <c r="B19937" s="74" t="s">
        <v>10544</v>
      </c>
      <c r="C19937" s="74" t="s">
        <v>425</v>
      </c>
    </row>
    <row r="19938" spans="1:3">
      <c r="A19938" s="250">
        <v>47039</v>
      </c>
      <c r="B19938" s="74" t="s">
        <v>10804</v>
      </c>
      <c r="C19938" s="74" t="s">
        <v>425</v>
      </c>
    </row>
    <row r="19939" spans="1:3">
      <c r="A19939" s="250">
        <v>47040</v>
      </c>
      <c r="B19939" s="74" t="s">
        <v>5856</v>
      </c>
      <c r="C19939" s="74" t="s">
        <v>425</v>
      </c>
    </row>
    <row r="19940" spans="1:3">
      <c r="A19940" s="250">
        <v>47041</v>
      </c>
      <c r="B19940" s="74" t="s">
        <v>10805</v>
      </c>
      <c r="C19940" s="74" t="s">
        <v>425</v>
      </c>
    </row>
    <row r="19941" spans="1:3">
      <c r="A19941" s="250">
        <v>47042</v>
      </c>
      <c r="B19941" s="74" t="s">
        <v>2033</v>
      </c>
      <c r="C19941" s="74" t="s">
        <v>425</v>
      </c>
    </row>
    <row r="19942" spans="1:3">
      <c r="A19942" s="250">
        <v>47043</v>
      </c>
      <c r="B19942" s="74" t="s">
        <v>10806</v>
      </c>
      <c r="C19942" s="74" t="s">
        <v>425</v>
      </c>
    </row>
    <row r="19943" spans="1:3">
      <c r="A19943" s="250">
        <v>47060</v>
      </c>
      <c r="B19943" s="74" t="s">
        <v>2666</v>
      </c>
      <c r="C19943" s="74" t="s">
        <v>425</v>
      </c>
    </row>
    <row r="19944" spans="1:3">
      <c r="A19944" s="250">
        <v>47102</v>
      </c>
      <c r="B19944" s="74" t="s">
        <v>4587</v>
      </c>
      <c r="C19944" s="74" t="s">
        <v>425</v>
      </c>
    </row>
    <row r="19945" spans="1:3">
      <c r="A19945" s="250">
        <v>47104</v>
      </c>
      <c r="B19945" s="74" t="s">
        <v>1247</v>
      </c>
      <c r="C19945" s="74" t="s">
        <v>425</v>
      </c>
    </row>
    <row r="19946" spans="1:3">
      <c r="A19946" s="250">
        <v>47106</v>
      </c>
      <c r="B19946" s="74" t="s">
        <v>10807</v>
      </c>
      <c r="C19946" s="74" t="s">
        <v>425</v>
      </c>
    </row>
    <row r="19947" spans="1:3">
      <c r="A19947" s="250">
        <v>47107</v>
      </c>
      <c r="B19947" s="74" t="s">
        <v>1097</v>
      </c>
      <c r="C19947" s="74" t="s">
        <v>425</v>
      </c>
    </row>
    <row r="19948" spans="1:3">
      <c r="A19948" s="250">
        <v>47108</v>
      </c>
      <c r="B19948" s="74" t="s">
        <v>9574</v>
      </c>
      <c r="C19948" s="74" t="s">
        <v>425</v>
      </c>
    </row>
    <row r="19949" spans="1:3">
      <c r="A19949" s="250">
        <v>47110</v>
      </c>
      <c r="B19949" s="74" t="s">
        <v>7767</v>
      </c>
      <c r="C19949" s="74" t="s">
        <v>425</v>
      </c>
    </row>
    <row r="19950" spans="1:3">
      <c r="A19950" s="250">
        <v>47111</v>
      </c>
      <c r="B19950" s="74" t="s">
        <v>906</v>
      </c>
      <c r="C19950" s="74" t="s">
        <v>425</v>
      </c>
    </row>
    <row r="19951" spans="1:3">
      <c r="A19951" s="250">
        <v>47112</v>
      </c>
      <c r="B19951" s="74" t="s">
        <v>10023</v>
      </c>
      <c r="C19951" s="74" t="s">
        <v>425</v>
      </c>
    </row>
    <row r="19952" spans="1:3">
      <c r="A19952" s="250">
        <v>47114</v>
      </c>
      <c r="B19952" s="74" t="s">
        <v>8029</v>
      </c>
      <c r="C19952" s="74" t="s">
        <v>425</v>
      </c>
    </row>
    <row r="19953" spans="1:3">
      <c r="A19953" s="250">
        <v>47115</v>
      </c>
      <c r="B19953" s="74" t="s">
        <v>10808</v>
      </c>
      <c r="C19953" s="74" t="s">
        <v>425</v>
      </c>
    </row>
    <row r="19954" spans="1:3">
      <c r="A19954" s="250">
        <v>47116</v>
      </c>
      <c r="B19954" s="74" t="s">
        <v>10809</v>
      </c>
      <c r="C19954" s="74" t="s">
        <v>425</v>
      </c>
    </row>
    <row r="19955" spans="1:3">
      <c r="A19955" s="250">
        <v>47117</v>
      </c>
      <c r="B19955" s="74" t="s">
        <v>2176</v>
      </c>
      <c r="C19955" s="74" t="s">
        <v>425</v>
      </c>
    </row>
    <row r="19956" spans="1:3">
      <c r="A19956" s="250">
        <v>47118</v>
      </c>
      <c r="B19956" s="74" t="s">
        <v>10810</v>
      </c>
      <c r="C19956" s="74" t="s">
        <v>425</v>
      </c>
    </row>
    <row r="19957" spans="1:3">
      <c r="A19957" s="250">
        <v>47119</v>
      </c>
      <c r="B19957" s="74" t="s">
        <v>10811</v>
      </c>
      <c r="C19957" s="74" t="s">
        <v>425</v>
      </c>
    </row>
    <row r="19958" spans="1:3">
      <c r="A19958" s="250">
        <v>47120</v>
      </c>
      <c r="B19958" s="74" t="s">
        <v>4704</v>
      </c>
      <c r="C19958" s="74" t="s">
        <v>425</v>
      </c>
    </row>
    <row r="19959" spans="1:3">
      <c r="A19959" s="250">
        <v>47122</v>
      </c>
      <c r="B19959" s="74" t="s">
        <v>813</v>
      </c>
      <c r="C19959" s="74" t="s">
        <v>425</v>
      </c>
    </row>
    <row r="19960" spans="1:3">
      <c r="A19960" s="250">
        <v>47123</v>
      </c>
      <c r="B19960" s="74" t="s">
        <v>10812</v>
      </c>
      <c r="C19960" s="74" t="s">
        <v>425</v>
      </c>
    </row>
    <row r="19961" spans="1:3">
      <c r="A19961" s="250">
        <v>47124</v>
      </c>
      <c r="B19961" s="74" t="s">
        <v>1108</v>
      </c>
      <c r="C19961" s="74" t="s">
        <v>425</v>
      </c>
    </row>
    <row r="19962" spans="1:3">
      <c r="A19962" s="250">
        <v>47125</v>
      </c>
      <c r="B19962" s="74" t="s">
        <v>9605</v>
      </c>
      <c r="C19962" s="74" t="s">
        <v>425</v>
      </c>
    </row>
    <row r="19963" spans="1:3">
      <c r="A19963" s="250">
        <v>47126</v>
      </c>
      <c r="B19963" s="74" t="s">
        <v>5123</v>
      </c>
      <c r="C19963" s="74" t="s">
        <v>425</v>
      </c>
    </row>
    <row r="19964" spans="1:3">
      <c r="A19964" s="250">
        <v>47129</v>
      </c>
      <c r="B19964" s="74" t="s">
        <v>2926</v>
      </c>
      <c r="C19964" s="74" t="s">
        <v>425</v>
      </c>
    </row>
    <row r="19965" spans="1:3">
      <c r="A19965" s="250">
        <v>47130</v>
      </c>
      <c r="B19965" s="74" t="s">
        <v>1817</v>
      </c>
      <c r="C19965" s="74" t="s">
        <v>425</v>
      </c>
    </row>
    <row r="19966" spans="1:3">
      <c r="A19966" s="250">
        <v>47131</v>
      </c>
      <c r="B19966" s="74" t="s">
        <v>1817</v>
      </c>
      <c r="C19966" s="74" t="s">
        <v>425</v>
      </c>
    </row>
    <row r="19967" spans="1:3">
      <c r="A19967" s="250">
        <v>47132</v>
      </c>
      <c r="B19967" s="74" t="s">
        <v>1817</v>
      </c>
      <c r="C19967" s="74" t="s">
        <v>425</v>
      </c>
    </row>
    <row r="19968" spans="1:3">
      <c r="A19968" s="250">
        <v>47133</v>
      </c>
      <c r="B19968" s="74" t="s">
        <v>1817</v>
      </c>
      <c r="C19968" s="74" t="s">
        <v>425</v>
      </c>
    </row>
    <row r="19969" spans="1:3">
      <c r="A19969" s="250">
        <v>47134</v>
      </c>
      <c r="B19969" s="74" t="s">
        <v>1817</v>
      </c>
      <c r="C19969" s="74" t="s">
        <v>425</v>
      </c>
    </row>
    <row r="19970" spans="1:3">
      <c r="A19970" s="250">
        <v>47135</v>
      </c>
      <c r="B19970" s="74" t="s">
        <v>1195</v>
      </c>
      <c r="C19970" s="74" t="s">
        <v>425</v>
      </c>
    </row>
    <row r="19971" spans="1:3">
      <c r="A19971" s="250">
        <v>47136</v>
      </c>
      <c r="B19971" s="74" t="s">
        <v>3062</v>
      </c>
      <c r="C19971" s="74" t="s">
        <v>425</v>
      </c>
    </row>
    <row r="19972" spans="1:3">
      <c r="A19972" s="250">
        <v>47137</v>
      </c>
      <c r="B19972" s="74" t="s">
        <v>10813</v>
      </c>
      <c r="C19972" s="74" t="s">
        <v>425</v>
      </c>
    </row>
    <row r="19973" spans="1:3">
      <c r="A19973" s="250">
        <v>47138</v>
      </c>
      <c r="B19973" s="74" t="s">
        <v>966</v>
      </c>
      <c r="C19973" s="74" t="s">
        <v>425</v>
      </c>
    </row>
    <row r="19974" spans="1:3">
      <c r="A19974" s="250">
        <v>47139</v>
      </c>
      <c r="B19974" s="74" t="s">
        <v>2579</v>
      </c>
      <c r="C19974" s="74" t="s">
        <v>425</v>
      </c>
    </row>
    <row r="19975" spans="1:3">
      <c r="A19975" s="250">
        <v>47140</v>
      </c>
      <c r="B19975" s="74" t="s">
        <v>10141</v>
      </c>
      <c r="C19975" s="74" t="s">
        <v>425</v>
      </c>
    </row>
    <row r="19976" spans="1:3">
      <c r="A19976" s="250">
        <v>47141</v>
      </c>
      <c r="B19976" s="74" t="s">
        <v>4724</v>
      </c>
      <c r="C19976" s="74" t="s">
        <v>425</v>
      </c>
    </row>
    <row r="19977" spans="1:3">
      <c r="A19977" s="250">
        <v>47142</v>
      </c>
      <c r="B19977" s="74" t="s">
        <v>10814</v>
      </c>
      <c r="C19977" s="74" t="s">
        <v>425</v>
      </c>
    </row>
    <row r="19978" spans="1:3">
      <c r="A19978" s="250">
        <v>47143</v>
      </c>
      <c r="B19978" s="74" t="s">
        <v>3387</v>
      </c>
      <c r="C19978" s="74" t="s">
        <v>425</v>
      </c>
    </row>
    <row r="19979" spans="1:3">
      <c r="A19979" s="250">
        <v>47144</v>
      </c>
      <c r="B19979" s="74" t="s">
        <v>1817</v>
      </c>
      <c r="C19979" s="74" t="s">
        <v>425</v>
      </c>
    </row>
    <row r="19980" spans="1:3">
      <c r="A19980" s="250">
        <v>47145</v>
      </c>
      <c r="B19980" s="74" t="s">
        <v>2583</v>
      </c>
      <c r="C19980" s="74" t="s">
        <v>425</v>
      </c>
    </row>
    <row r="19981" spans="1:3">
      <c r="A19981" s="250">
        <v>47146</v>
      </c>
      <c r="B19981" s="74" t="s">
        <v>10815</v>
      </c>
      <c r="C19981" s="74" t="s">
        <v>425</v>
      </c>
    </row>
    <row r="19982" spans="1:3">
      <c r="A19982" s="250">
        <v>47147</v>
      </c>
      <c r="B19982" s="74" t="s">
        <v>10816</v>
      </c>
      <c r="C19982" s="74" t="s">
        <v>425</v>
      </c>
    </row>
    <row r="19983" spans="1:3">
      <c r="A19983" s="250">
        <v>47150</v>
      </c>
      <c r="B19983" s="74" t="s">
        <v>5247</v>
      </c>
      <c r="C19983" s="74" t="s">
        <v>425</v>
      </c>
    </row>
    <row r="19984" spans="1:3">
      <c r="A19984" s="250">
        <v>47151</v>
      </c>
      <c r="B19984" s="74" t="s">
        <v>5247</v>
      </c>
      <c r="C19984" s="74" t="s">
        <v>425</v>
      </c>
    </row>
    <row r="19985" spans="1:3">
      <c r="A19985" s="250">
        <v>47160</v>
      </c>
      <c r="B19985" s="74" t="s">
        <v>10374</v>
      </c>
      <c r="C19985" s="74" t="s">
        <v>425</v>
      </c>
    </row>
    <row r="19986" spans="1:3">
      <c r="A19986" s="250">
        <v>47161</v>
      </c>
      <c r="B19986" s="74" t="s">
        <v>10817</v>
      </c>
      <c r="C19986" s="74" t="s">
        <v>425</v>
      </c>
    </row>
    <row r="19987" spans="1:3">
      <c r="A19987" s="250">
        <v>47162</v>
      </c>
      <c r="B19987" s="74" t="s">
        <v>10439</v>
      </c>
      <c r="C19987" s="74" t="s">
        <v>425</v>
      </c>
    </row>
    <row r="19988" spans="1:3">
      <c r="A19988" s="250">
        <v>47163</v>
      </c>
      <c r="B19988" s="74" t="s">
        <v>10818</v>
      </c>
      <c r="C19988" s="74" t="s">
        <v>425</v>
      </c>
    </row>
    <row r="19989" spans="1:3">
      <c r="A19989" s="250">
        <v>47164</v>
      </c>
      <c r="B19989" s="74" t="s">
        <v>1710</v>
      </c>
      <c r="C19989" s="74" t="s">
        <v>425</v>
      </c>
    </row>
    <row r="19990" spans="1:3">
      <c r="A19990" s="250">
        <v>47165</v>
      </c>
      <c r="B19990" s="74" t="s">
        <v>10819</v>
      </c>
      <c r="C19990" s="74" t="s">
        <v>425</v>
      </c>
    </row>
    <row r="19991" spans="1:3">
      <c r="A19991" s="250">
        <v>47166</v>
      </c>
      <c r="B19991" s="74" t="s">
        <v>2203</v>
      </c>
      <c r="C19991" s="74" t="s">
        <v>425</v>
      </c>
    </row>
    <row r="19992" spans="1:3">
      <c r="A19992" s="250">
        <v>47167</v>
      </c>
      <c r="B19992" s="74" t="s">
        <v>858</v>
      </c>
      <c r="C19992" s="74" t="s">
        <v>425</v>
      </c>
    </row>
    <row r="19993" spans="1:3">
      <c r="A19993" s="250">
        <v>47170</v>
      </c>
      <c r="B19993" s="74" t="s">
        <v>3818</v>
      </c>
      <c r="C19993" s="74" t="s">
        <v>425</v>
      </c>
    </row>
    <row r="19994" spans="1:3">
      <c r="A19994" s="250">
        <v>47172</v>
      </c>
      <c r="B19994" s="74" t="s">
        <v>10820</v>
      </c>
      <c r="C19994" s="74" t="s">
        <v>425</v>
      </c>
    </row>
    <row r="19995" spans="1:3">
      <c r="A19995" s="250">
        <v>47174</v>
      </c>
      <c r="B19995" s="74" t="s">
        <v>9592</v>
      </c>
      <c r="C19995" s="74" t="s">
        <v>425</v>
      </c>
    </row>
    <row r="19996" spans="1:3">
      <c r="A19996" s="250">
        <v>47175</v>
      </c>
      <c r="B19996" s="74" t="s">
        <v>10821</v>
      </c>
      <c r="C19996" s="74" t="s">
        <v>425</v>
      </c>
    </row>
    <row r="19997" spans="1:3">
      <c r="A19997" s="250">
        <v>47177</v>
      </c>
      <c r="B19997" s="74" t="s">
        <v>10822</v>
      </c>
      <c r="C19997" s="74" t="s">
        <v>425</v>
      </c>
    </row>
    <row r="19998" spans="1:3">
      <c r="A19998" s="250">
        <v>47190</v>
      </c>
      <c r="B19998" s="74" t="s">
        <v>1817</v>
      </c>
      <c r="C19998" s="74" t="s">
        <v>425</v>
      </c>
    </row>
    <row r="19999" spans="1:3">
      <c r="A19999" s="250">
        <v>47199</v>
      </c>
      <c r="B19999" s="74" t="s">
        <v>1817</v>
      </c>
      <c r="C19999" s="74" t="s">
        <v>425</v>
      </c>
    </row>
    <row r="20000" spans="1:3">
      <c r="A20000" s="250">
        <v>47201</v>
      </c>
      <c r="B20000" s="74" t="s">
        <v>2376</v>
      </c>
      <c r="C20000" s="74" t="s">
        <v>425</v>
      </c>
    </row>
    <row r="20001" spans="1:3">
      <c r="A20001" s="250">
        <v>47202</v>
      </c>
      <c r="B20001" s="74" t="s">
        <v>2376</v>
      </c>
      <c r="C20001" s="74" t="s">
        <v>425</v>
      </c>
    </row>
    <row r="20002" spans="1:3">
      <c r="A20002" s="250">
        <v>47203</v>
      </c>
      <c r="B20002" s="74" t="s">
        <v>2376</v>
      </c>
      <c r="C20002" s="74" t="s">
        <v>425</v>
      </c>
    </row>
    <row r="20003" spans="1:3">
      <c r="A20003" s="250">
        <v>47220</v>
      </c>
      <c r="B20003" s="74" t="s">
        <v>4851</v>
      </c>
      <c r="C20003" s="74" t="s">
        <v>425</v>
      </c>
    </row>
    <row r="20004" spans="1:3">
      <c r="A20004" s="250">
        <v>47223</v>
      </c>
      <c r="B20004" s="74" t="s">
        <v>10823</v>
      </c>
      <c r="C20004" s="74" t="s">
        <v>425</v>
      </c>
    </row>
    <row r="20005" spans="1:3">
      <c r="A20005" s="250">
        <v>47224</v>
      </c>
      <c r="B20005" s="74" t="s">
        <v>1270</v>
      </c>
      <c r="C20005" s="74" t="s">
        <v>425</v>
      </c>
    </row>
    <row r="20006" spans="1:3">
      <c r="A20006" s="250">
        <v>47225</v>
      </c>
      <c r="B20006" s="74" t="s">
        <v>4269</v>
      </c>
      <c r="C20006" s="74" t="s">
        <v>425</v>
      </c>
    </row>
    <row r="20007" spans="1:3">
      <c r="A20007" s="250">
        <v>47226</v>
      </c>
      <c r="B20007" s="74" t="s">
        <v>5153</v>
      </c>
      <c r="C20007" s="74" t="s">
        <v>425</v>
      </c>
    </row>
    <row r="20008" spans="1:3">
      <c r="A20008" s="250">
        <v>47227</v>
      </c>
      <c r="B20008" s="74" t="s">
        <v>10824</v>
      </c>
      <c r="C20008" s="74" t="s">
        <v>425</v>
      </c>
    </row>
    <row r="20009" spans="1:3">
      <c r="A20009" s="250">
        <v>47228</v>
      </c>
      <c r="B20009" s="74" t="s">
        <v>3353</v>
      </c>
      <c r="C20009" s="74" t="s">
        <v>425</v>
      </c>
    </row>
    <row r="20010" spans="1:3">
      <c r="A20010" s="250">
        <v>47229</v>
      </c>
      <c r="B20010" s="74" t="s">
        <v>10825</v>
      </c>
      <c r="C20010" s="74" t="s">
        <v>425</v>
      </c>
    </row>
    <row r="20011" spans="1:3">
      <c r="A20011" s="250">
        <v>47230</v>
      </c>
      <c r="B20011" s="74" t="s">
        <v>10826</v>
      </c>
      <c r="C20011" s="74" t="s">
        <v>425</v>
      </c>
    </row>
    <row r="20012" spans="1:3">
      <c r="A20012" s="250">
        <v>47231</v>
      </c>
      <c r="B20012" s="74" t="s">
        <v>10598</v>
      </c>
      <c r="C20012" s="74" t="s">
        <v>425</v>
      </c>
    </row>
    <row r="20013" spans="1:3">
      <c r="A20013" s="250">
        <v>47232</v>
      </c>
      <c r="B20013" s="74" t="s">
        <v>3293</v>
      </c>
      <c r="C20013" s="74" t="s">
        <v>425</v>
      </c>
    </row>
    <row r="20014" spans="1:3">
      <c r="A20014" s="250">
        <v>47234</v>
      </c>
      <c r="B20014" s="74" t="s">
        <v>7549</v>
      </c>
      <c r="C20014" s="74" t="s">
        <v>425</v>
      </c>
    </row>
    <row r="20015" spans="1:3">
      <c r="A20015" s="250">
        <v>47235</v>
      </c>
      <c r="B20015" s="74" t="s">
        <v>10827</v>
      </c>
      <c r="C20015" s="74" t="s">
        <v>425</v>
      </c>
    </row>
    <row r="20016" spans="1:3">
      <c r="A20016" s="250">
        <v>47236</v>
      </c>
      <c r="B20016" s="74" t="s">
        <v>10828</v>
      </c>
      <c r="C20016" s="74" t="s">
        <v>425</v>
      </c>
    </row>
    <row r="20017" spans="1:3">
      <c r="A20017" s="250">
        <v>47240</v>
      </c>
      <c r="B20017" s="74" t="s">
        <v>4185</v>
      </c>
      <c r="C20017" s="74" t="s">
        <v>425</v>
      </c>
    </row>
    <row r="20018" spans="1:3">
      <c r="A20018" s="250">
        <v>47243</v>
      </c>
      <c r="B20018" s="74" t="s">
        <v>944</v>
      </c>
      <c r="C20018" s="74" t="s">
        <v>425</v>
      </c>
    </row>
    <row r="20019" spans="1:3">
      <c r="A20019" s="250">
        <v>47244</v>
      </c>
      <c r="B20019" s="74" t="s">
        <v>7739</v>
      </c>
      <c r="C20019" s="74" t="s">
        <v>425</v>
      </c>
    </row>
    <row r="20020" spans="1:3">
      <c r="A20020" s="250">
        <v>47245</v>
      </c>
      <c r="B20020" s="74" t="s">
        <v>8645</v>
      </c>
      <c r="C20020" s="74" t="s">
        <v>425</v>
      </c>
    </row>
    <row r="20021" spans="1:3">
      <c r="A20021" s="250">
        <v>47246</v>
      </c>
      <c r="B20021" s="74" t="s">
        <v>1111</v>
      </c>
      <c r="C20021" s="74" t="s">
        <v>425</v>
      </c>
    </row>
    <row r="20022" spans="1:3">
      <c r="A20022" s="250">
        <v>47247</v>
      </c>
      <c r="B20022" s="74" t="s">
        <v>1819</v>
      </c>
      <c r="C20022" s="74" t="s">
        <v>425</v>
      </c>
    </row>
    <row r="20023" spans="1:3">
      <c r="A20023" s="250">
        <v>47249</v>
      </c>
      <c r="B20023" s="74" t="s">
        <v>10829</v>
      </c>
      <c r="C20023" s="74" t="s">
        <v>425</v>
      </c>
    </row>
    <row r="20024" spans="1:3">
      <c r="A20024" s="250">
        <v>47250</v>
      </c>
      <c r="B20024" s="74" t="s">
        <v>1320</v>
      </c>
      <c r="C20024" s="74" t="s">
        <v>425</v>
      </c>
    </row>
    <row r="20025" spans="1:3">
      <c r="A20025" s="250">
        <v>47260</v>
      </c>
      <c r="B20025" s="74" t="s">
        <v>10830</v>
      </c>
      <c r="C20025" s="74" t="s">
        <v>425</v>
      </c>
    </row>
    <row r="20026" spans="1:3">
      <c r="A20026" s="250">
        <v>47261</v>
      </c>
      <c r="B20026" s="74" t="s">
        <v>10831</v>
      </c>
      <c r="C20026" s="74" t="s">
        <v>425</v>
      </c>
    </row>
    <row r="20027" spans="1:3">
      <c r="A20027" s="250">
        <v>47263</v>
      </c>
      <c r="B20027" s="74" t="s">
        <v>6092</v>
      </c>
      <c r="C20027" s="74" t="s">
        <v>425</v>
      </c>
    </row>
    <row r="20028" spans="1:3">
      <c r="A20028" s="250">
        <v>47264</v>
      </c>
      <c r="B20028" s="74" t="s">
        <v>7368</v>
      </c>
      <c r="C20028" s="74" t="s">
        <v>425</v>
      </c>
    </row>
    <row r="20029" spans="1:3">
      <c r="A20029" s="250">
        <v>47265</v>
      </c>
      <c r="B20029" s="74" t="s">
        <v>10832</v>
      </c>
      <c r="C20029" s="74" t="s">
        <v>425</v>
      </c>
    </row>
    <row r="20030" spans="1:3">
      <c r="A20030" s="250">
        <v>47270</v>
      </c>
      <c r="B20030" s="74" t="s">
        <v>10833</v>
      </c>
      <c r="C20030" s="74" t="s">
        <v>425</v>
      </c>
    </row>
    <row r="20031" spans="1:3">
      <c r="A20031" s="250">
        <v>47272</v>
      </c>
      <c r="B20031" s="74" t="s">
        <v>6341</v>
      </c>
      <c r="C20031" s="74" t="s">
        <v>425</v>
      </c>
    </row>
    <row r="20032" spans="1:3">
      <c r="A20032" s="250">
        <v>47273</v>
      </c>
      <c r="B20032" s="74" t="s">
        <v>10834</v>
      </c>
      <c r="C20032" s="74" t="s">
        <v>425</v>
      </c>
    </row>
    <row r="20033" spans="1:3">
      <c r="A20033" s="250">
        <v>47274</v>
      </c>
      <c r="B20033" s="74" t="s">
        <v>2066</v>
      </c>
      <c r="C20033" s="74" t="s">
        <v>425</v>
      </c>
    </row>
    <row r="20034" spans="1:3">
      <c r="A20034" s="250">
        <v>47280</v>
      </c>
      <c r="B20034" s="74" t="s">
        <v>7516</v>
      </c>
      <c r="C20034" s="74" t="s">
        <v>425</v>
      </c>
    </row>
    <row r="20035" spans="1:3">
      <c r="A20035" s="250">
        <v>47281</v>
      </c>
      <c r="B20035" s="74" t="s">
        <v>10835</v>
      </c>
      <c r="C20035" s="74" t="s">
        <v>425</v>
      </c>
    </row>
    <row r="20036" spans="1:3">
      <c r="A20036" s="250">
        <v>47282</v>
      </c>
      <c r="B20036" s="74" t="s">
        <v>1791</v>
      </c>
      <c r="C20036" s="74" t="s">
        <v>425</v>
      </c>
    </row>
    <row r="20037" spans="1:3">
      <c r="A20037" s="250">
        <v>47283</v>
      </c>
      <c r="B20037" s="74" t="s">
        <v>1090</v>
      </c>
      <c r="C20037" s="74" t="s">
        <v>425</v>
      </c>
    </row>
    <row r="20038" spans="1:3">
      <c r="A20038" s="250">
        <v>47302</v>
      </c>
      <c r="B20038" s="74" t="s">
        <v>10836</v>
      </c>
      <c r="C20038" s="74" t="s">
        <v>425</v>
      </c>
    </row>
    <row r="20039" spans="1:3">
      <c r="A20039" s="250">
        <v>47303</v>
      </c>
      <c r="B20039" s="74" t="s">
        <v>10836</v>
      </c>
      <c r="C20039" s="74" t="s">
        <v>425</v>
      </c>
    </row>
    <row r="20040" spans="1:3">
      <c r="A20040" s="250">
        <v>47304</v>
      </c>
      <c r="B20040" s="74" t="s">
        <v>10836</v>
      </c>
      <c r="C20040" s="74" t="s">
        <v>425</v>
      </c>
    </row>
    <row r="20041" spans="1:3">
      <c r="A20041" s="250">
        <v>47305</v>
      </c>
      <c r="B20041" s="74" t="s">
        <v>10836</v>
      </c>
      <c r="C20041" s="74" t="s">
        <v>425</v>
      </c>
    </row>
    <row r="20042" spans="1:3">
      <c r="A20042" s="250">
        <v>47306</v>
      </c>
      <c r="B20042" s="74" t="s">
        <v>10836</v>
      </c>
      <c r="C20042" s="74" t="s">
        <v>425</v>
      </c>
    </row>
    <row r="20043" spans="1:3">
      <c r="A20043" s="250">
        <v>47307</v>
      </c>
      <c r="B20043" s="74" t="s">
        <v>10836</v>
      </c>
      <c r="C20043" s="74" t="s">
        <v>425</v>
      </c>
    </row>
    <row r="20044" spans="1:3">
      <c r="A20044" s="250">
        <v>47308</v>
      </c>
      <c r="B20044" s="74" t="s">
        <v>10836</v>
      </c>
      <c r="C20044" s="74" t="s">
        <v>425</v>
      </c>
    </row>
    <row r="20045" spans="1:3">
      <c r="A20045" s="250">
        <v>47320</v>
      </c>
      <c r="B20045" s="74" t="s">
        <v>1896</v>
      </c>
      <c r="C20045" s="74" t="s">
        <v>425</v>
      </c>
    </row>
    <row r="20046" spans="1:3">
      <c r="A20046" s="250">
        <v>47322</v>
      </c>
      <c r="B20046" s="74" t="s">
        <v>5932</v>
      </c>
      <c r="C20046" s="74" t="s">
        <v>425</v>
      </c>
    </row>
    <row r="20047" spans="1:3">
      <c r="A20047" s="250">
        <v>47324</v>
      </c>
      <c r="B20047" s="74" t="s">
        <v>900</v>
      </c>
      <c r="C20047" s="74" t="s">
        <v>425</v>
      </c>
    </row>
    <row r="20048" spans="1:3">
      <c r="A20048" s="250">
        <v>47325</v>
      </c>
      <c r="B20048" s="74" t="s">
        <v>1731</v>
      </c>
      <c r="C20048" s="74" t="s">
        <v>425</v>
      </c>
    </row>
    <row r="20049" spans="1:3">
      <c r="A20049" s="250">
        <v>47326</v>
      </c>
      <c r="B20049" s="74" t="s">
        <v>8763</v>
      </c>
      <c r="C20049" s="74" t="s">
        <v>425</v>
      </c>
    </row>
    <row r="20050" spans="1:3">
      <c r="A20050" s="250">
        <v>47327</v>
      </c>
      <c r="B20050" s="74" t="s">
        <v>10837</v>
      </c>
      <c r="C20050" s="74" t="s">
        <v>425</v>
      </c>
    </row>
    <row r="20051" spans="1:3">
      <c r="A20051" s="250">
        <v>47330</v>
      </c>
      <c r="B20051" s="74" t="s">
        <v>1024</v>
      </c>
      <c r="C20051" s="74" t="s">
        <v>425</v>
      </c>
    </row>
    <row r="20052" spans="1:3">
      <c r="A20052" s="250">
        <v>47331</v>
      </c>
      <c r="B20052" s="74" t="s">
        <v>10838</v>
      </c>
      <c r="C20052" s="74" t="s">
        <v>425</v>
      </c>
    </row>
    <row r="20053" spans="1:3">
      <c r="A20053" s="250">
        <v>47334</v>
      </c>
      <c r="B20053" s="74" t="s">
        <v>6268</v>
      </c>
      <c r="C20053" s="74" t="s">
        <v>425</v>
      </c>
    </row>
    <row r="20054" spans="1:3">
      <c r="A20054" s="250">
        <v>47335</v>
      </c>
      <c r="B20054" s="74" t="s">
        <v>1230</v>
      </c>
      <c r="C20054" s="74" t="s">
        <v>425</v>
      </c>
    </row>
    <row r="20055" spans="1:3">
      <c r="A20055" s="250">
        <v>47336</v>
      </c>
      <c r="B20055" s="74" t="s">
        <v>3695</v>
      </c>
      <c r="C20055" s="74" t="s">
        <v>425</v>
      </c>
    </row>
    <row r="20056" spans="1:3">
      <c r="A20056" s="250">
        <v>47337</v>
      </c>
      <c r="B20056" s="74" t="s">
        <v>10839</v>
      </c>
      <c r="C20056" s="74" t="s">
        <v>425</v>
      </c>
    </row>
    <row r="20057" spans="1:3">
      <c r="A20057" s="250">
        <v>47338</v>
      </c>
      <c r="B20057" s="74" t="s">
        <v>3452</v>
      </c>
      <c r="C20057" s="74" t="s">
        <v>425</v>
      </c>
    </row>
    <row r="20058" spans="1:3">
      <c r="A20058" s="250">
        <v>47339</v>
      </c>
      <c r="B20058" s="74" t="s">
        <v>10840</v>
      </c>
      <c r="C20058" s="74" t="s">
        <v>425</v>
      </c>
    </row>
    <row r="20059" spans="1:3">
      <c r="A20059" s="250">
        <v>47340</v>
      </c>
      <c r="B20059" s="74" t="s">
        <v>10841</v>
      </c>
      <c r="C20059" s="74" t="s">
        <v>425</v>
      </c>
    </row>
    <row r="20060" spans="1:3">
      <c r="A20060" s="250">
        <v>47341</v>
      </c>
      <c r="B20060" s="74" t="s">
        <v>10842</v>
      </c>
      <c r="C20060" s="74" t="s">
        <v>425</v>
      </c>
    </row>
    <row r="20061" spans="1:3">
      <c r="A20061" s="250">
        <v>47342</v>
      </c>
      <c r="B20061" s="74" t="s">
        <v>7194</v>
      </c>
      <c r="C20061" s="74" t="s">
        <v>425</v>
      </c>
    </row>
    <row r="20062" spans="1:3">
      <c r="A20062" s="250">
        <v>47344</v>
      </c>
      <c r="B20062" s="74" t="s">
        <v>1910</v>
      </c>
      <c r="C20062" s="74" t="s">
        <v>425</v>
      </c>
    </row>
    <row r="20063" spans="1:3">
      <c r="A20063" s="250">
        <v>47345</v>
      </c>
      <c r="B20063" s="74" t="s">
        <v>10843</v>
      </c>
      <c r="C20063" s="74" t="s">
        <v>425</v>
      </c>
    </row>
    <row r="20064" spans="1:3">
      <c r="A20064" s="250">
        <v>47346</v>
      </c>
      <c r="B20064" s="74" t="s">
        <v>5801</v>
      </c>
      <c r="C20064" s="74" t="s">
        <v>425</v>
      </c>
    </row>
    <row r="20065" spans="1:3">
      <c r="A20065" s="250">
        <v>47348</v>
      </c>
      <c r="B20065" s="74" t="s">
        <v>10844</v>
      </c>
      <c r="C20065" s="74" t="s">
        <v>425</v>
      </c>
    </row>
    <row r="20066" spans="1:3">
      <c r="A20066" s="250">
        <v>47351</v>
      </c>
      <c r="B20066" s="74" t="s">
        <v>10845</v>
      </c>
      <c r="C20066" s="74" t="s">
        <v>425</v>
      </c>
    </row>
    <row r="20067" spans="1:3">
      <c r="A20067" s="250">
        <v>47352</v>
      </c>
      <c r="B20067" s="74" t="s">
        <v>5387</v>
      </c>
      <c r="C20067" s="74" t="s">
        <v>425</v>
      </c>
    </row>
    <row r="20068" spans="1:3">
      <c r="A20068" s="250">
        <v>47353</v>
      </c>
      <c r="B20068" s="74" t="s">
        <v>1701</v>
      </c>
      <c r="C20068" s="74" t="s">
        <v>425</v>
      </c>
    </row>
    <row r="20069" spans="1:3">
      <c r="A20069" s="250">
        <v>47354</v>
      </c>
      <c r="B20069" s="74" t="s">
        <v>10846</v>
      </c>
      <c r="C20069" s="74" t="s">
        <v>425</v>
      </c>
    </row>
    <row r="20070" spans="1:3">
      <c r="A20070" s="250">
        <v>47355</v>
      </c>
      <c r="B20070" s="74" t="s">
        <v>833</v>
      </c>
      <c r="C20070" s="74" t="s">
        <v>425</v>
      </c>
    </row>
    <row r="20071" spans="1:3">
      <c r="A20071" s="250">
        <v>47356</v>
      </c>
      <c r="B20071" s="74" t="s">
        <v>1119</v>
      </c>
      <c r="C20071" s="74" t="s">
        <v>425</v>
      </c>
    </row>
    <row r="20072" spans="1:3">
      <c r="A20072" s="250">
        <v>47357</v>
      </c>
      <c r="B20072" s="74" t="s">
        <v>927</v>
      </c>
      <c r="C20072" s="74" t="s">
        <v>425</v>
      </c>
    </row>
    <row r="20073" spans="1:3">
      <c r="A20073" s="250">
        <v>47358</v>
      </c>
      <c r="B20073" s="74" t="s">
        <v>7819</v>
      </c>
      <c r="C20073" s="74" t="s">
        <v>425</v>
      </c>
    </row>
    <row r="20074" spans="1:3">
      <c r="A20074" s="250">
        <v>47359</v>
      </c>
      <c r="B20074" s="74" t="s">
        <v>1838</v>
      </c>
      <c r="C20074" s="74" t="s">
        <v>425</v>
      </c>
    </row>
    <row r="20075" spans="1:3">
      <c r="A20075" s="250">
        <v>47360</v>
      </c>
      <c r="B20075" s="74" t="s">
        <v>10847</v>
      </c>
      <c r="C20075" s="74" t="s">
        <v>425</v>
      </c>
    </row>
    <row r="20076" spans="1:3">
      <c r="A20076" s="250">
        <v>47361</v>
      </c>
      <c r="B20076" s="74" t="s">
        <v>10848</v>
      </c>
      <c r="C20076" s="74" t="s">
        <v>425</v>
      </c>
    </row>
    <row r="20077" spans="1:3">
      <c r="A20077" s="250">
        <v>47362</v>
      </c>
      <c r="B20077" s="74" t="s">
        <v>1324</v>
      </c>
      <c r="C20077" s="74" t="s">
        <v>425</v>
      </c>
    </row>
    <row r="20078" spans="1:3">
      <c r="A20078" s="250">
        <v>47366</v>
      </c>
      <c r="B20078" s="74" t="s">
        <v>2410</v>
      </c>
      <c r="C20078" s="74" t="s">
        <v>425</v>
      </c>
    </row>
    <row r="20079" spans="1:3">
      <c r="A20079" s="250">
        <v>47367</v>
      </c>
      <c r="B20079" s="74" t="s">
        <v>2090</v>
      </c>
      <c r="C20079" s="74" t="s">
        <v>425</v>
      </c>
    </row>
    <row r="20080" spans="1:3">
      <c r="A20080" s="250">
        <v>47368</v>
      </c>
      <c r="B20080" s="74" t="s">
        <v>10849</v>
      </c>
      <c r="C20080" s="74" t="s">
        <v>425</v>
      </c>
    </row>
    <row r="20081" spans="1:3">
      <c r="A20081" s="250">
        <v>47369</v>
      </c>
      <c r="B20081" s="74" t="s">
        <v>10850</v>
      </c>
      <c r="C20081" s="74" t="s">
        <v>425</v>
      </c>
    </row>
    <row r="20082" spans="1:3">
      <c r="A20082" s="250">
        <v>47370</v>
      </c>
      <c r="B20082" s="74" t="s">
        <v>10851</v>
      </c>
      <c r="C20082" s="74" t="s">
        <v>425</v>
      </c>
    </row>
    <row r="20083" spans="1:3">
      <c r="A20083" s="250">
        <v>47371</v>
      </c>
      <c r="B20083" s="74" t="s">
        <v>1429</v>
      </c>
      <c r="C20083" s="74" t="s">
        <v>425</v>
      </c>
    </row>
    <row r="20084" spans="1:3">
      <c r="A20084" s="250">
        <v>47373</v>
      </c>
      <c r="B20084" s="74" t="s">
        <v>10852</v>
      </c>
      <c r="C20084" s="74" t="s">
        <v>425</v>
      </c>
    </row>
    <row r="20085" spans="1:3">
      <c r="A20085" s="250">
        <v>47374</v>
      </c>
      <c r="B20085" s="74" t="s">
        <v>658</v>
      </c>
      <c r="C20085" s="74" t="s">
        <v>425</v>
      </c>
    </row>
    <row r="20086" spans="1:3">
      <c r="A20086" s="250">
        <v>47375</v>
      </c>
      <c r="B20086" s="74" t="s">
        <v>658</v>
      </c>
      <c r="C20086" s="74" t="s">
        <v>425</v>
      </c>
    </row>
    <row r="20087" spans="1:3">
      <c r="A20087" s="250">
        <v>47380</v>
      </c>
      <c r="B20087" s="74" t="s">
        <v>7716</v>
      </c>
      <c r="C20087" s="74" t="s">
        <v>425</v>
      </c>
    </row>
    <row r="20088" spans="1:3">
      <c r="A20088" s="250">
        <v>47381</v>
      </c>
      <c r="B20088" s="74" t="s">
        <v>10853</v>
      </c>
      <c r="C20088" s="74" t="s">
        <v>425</v>
      </c>
    </row>
    <row r="20089" spans="1:3">
      <c r="A20089" s="250">
        <v>47382</v>
      </c>
      <c r="B20089" s="74" t="s">
        <v>7220</v>
      </c>
      <c r="C20089" s="74" t="s">
        <v>425</v>
      </c>
    </row>
    <row r="20090" spans="1:3">
      <c r="A20090" s="250">
        <v>47383</v>
      </c>
      <c r="B20090" s="74" t="s">
        <v>6404</v>
      </c>
      <c r="C20090" s="74" t="s">
        <v>425</v>
      </c>
    </row>
    <row r="20091" spans="1:3">
      <c r="A20091" s="250">
        <v>47384</v>
      </c>
      <c r="B20091" s="74" t="s">
        <v>716</v>
      </c>
      <c r="C20091" s="74" t="s">
        <v>425</v>
      </c>
    </row>
    <row r="20092" spans="1:3">
      <c r="A20092" s="250">
        <v>47385</v>
      </c>
      <c r="B20092" s="74" t="s">
        <v>10854</v>
      </c>
      <c r="C20092" s="74" t="s">
        <v>425</v>
      </c>
    </row>
    <row r="20093" spans="1:3">
      <c r="A20093" s="250">
        <v>47386</v>
      </c>
      <c r="B20093" s="74" t="s">
        <v>10855</v>
      </c>
      <c r="C20093" s="74" t="s">
        <v>425</v>
      </c>
    </row>
    <row r="20094" spans="1:3">
      <c r="A20094" s="250">
        <v>47387</v>
      </c>
      <c r="B20094" s="74" t="s">
        <v>10856</v>
      </c>
      <c r="C20094" s="74" t="s">
        <v>425</v>
      </c>
    </row>
    <row r="20095" spans="1:3">
      <c r="A20095" s="250">
        <v>47388</v>
      </c>
      <c r="B20095" s="74" t="s">
        <v>10445</v>
      </c>
      <c r="C20095" s="74" t="s">
        <v>425</v>
      </c>
    </row>
    <row r="20096" spans="1:3">
      <c r="A20096" s="250">
        <v>47390</v>
      </c>
      <c r="B20096" s="74" t="s">
        <v>2166</v>
      </c>
      <c r="C20096" s="74" t="s">
        <v>425</v>
      </c>
    </row>
    <row r="20097" spans="1:3">
      <c r="A20097" s="250">
        <v>47392</v>
      </c>
      <c r="B20097" s="74" t="s">
        <v>767</v>
      </c>
      <c r="C20097" s="74" t="s">
        <v>425</v>
      </c>
    </row>
    <row r="20098" spans="1:3">
      <c r="A20098" s="250">
        <v>47393</v>
      </c>
      <c r="B20098" s="74" t="s">
        <v>631</v>
      </c>
      <c r="C20098" s="74" t="s">
        <v>425</v>
      </c>
    </row>
    <row r="20099" spans="1:3">
      <c r="A20099" s="250">
        <v>47394</v>
      </c>
      <c r="B20099" s="74" t="s">
        <v>832</v>
      </c>
      <c r="C20099" s="74" t="s">
        <v>425</v>
      </c>
    </row>
    <row r="20100" spans="1:3">
      <c r="A20100" s="250">
        <v>47396</v>
      </c>
      <c r="B20100" s="74" t="s">
        <v>6183</v>
      </c>
      <c r="C20100" s="74" t="s">
        <v>425</v>
      </c>
    </row>
    <row r="20101" spans="1:3">
      <c r="A20101" s="250">
        <v>47401</v>
      </c>
      <c r="B20101" s="74" t="s">
        <v>3032</v>
      </c>
      <c r="C20101" s="74" t="s">
        <v>425</v>
      </c>
    </row>
    <row r="20102" spans="1:3">
      <c r="A20102" s="250">
        <v>47402</v>
      </c>
      <c r="B20102" s="74" t="s">
        <v>3032</v>
      </c>
      <c r="C20102" s="74" t="s">
        <v>425</v>
      </c>
    </row>
    <row r="20103" spans="1:3">
      <c r="A20103" s="250">
        <v>47403</v>
      </c>
      <c r="B20103" s="74" t="s">
        <v>3032</v>
      </c>
      <c r="C20103" s="74" t="s">
        <v>425</v>
      </c>
    </row>
    <row r="20104" spans="1:3">
      <c r="A20104" s="250">
        <v>47404</v>
      </c>
      <c r="B20104" s="74" t="s">
        <v>3032</v>
      </c>
      <c r="C20104" s="74" t="s">
        <v>425</v>
      </c>
    </row>
    <row r="20105" spans="1:3">
      <c r="A20105" s="250">
        <v>47405</v>
      </c>
      <c r="B20105" s="74" t="s">
        <v>3032</v>
      </c>
      <c r="C20105" s="74" t="s">
        <v>425</v>
      </c>
    </row>
    <row r="20106" spans="1:3">
      <c r="A20106" s="250">
        <v>47406</v>
      </c>
      <c r="B20106" s="74" t="s">
        <v>3032</v>
      </c>
      <c r="C20106" s="74" t="s">
        <v>425</v>
      </c>
    </row>
    <row r="20107" spans="1:3">
      <c r="A20107" s="250">
        <v>47407</v>
      </c>
      <c r="B20107" s="74" t="s">
        <v>3032</v>
      </c>
      <c r="C20107" s="74" t="s">
        <v>425</v>
      </c>
    </row>
    <row r="20108" spans="1:3">
      <c r="A20108" s="250">
        <v>47408</v>
      </c>
      <c r="B20108" s="74" t="s">
        <v>3032</v>
      </c>
      <c r="C20108" s="74" t="s">
        <v>425</v>
      </c>
    </row>
    <row r="20109" spans="1:3">
      <c r="A20109" s="250">
        <v>47420</v>
      </c>
      <c r="B20109" s="74" t="s">
        <v>3896</v>
      </c>
      <c r="C20109" s="74" t="s">
        <v>425</v>
      </c>
    </row>
    <row r="20110" spans="1:3">
      <c r="A20110" s="250">
        <v>47421</v>
      </c>
      <c r="B20110" s="74" t="s">
        <v>783</v>
      </c>
      <c r="C20110" s="74" t="s">
        <v>425</v>
      </c>
    </row>
    <row r="20111" spans="1:3">
      <c r="A20111" s="250">
        <v>47424</v>
      </c>
      <c r="B20111" s="74" t="s">
        <v>1933</v>
      </c>
      <c r="C20111" s="74" t="s">
        <v>425</v>
      </c>
    </row>
    <row r="20112" spans="1:3">
      <c r="A20112" s="250">
        <v>47426</v>
      </c>
      <c r="B20112" s="74" t="s">
        <v>6588</v>
      </c>
      <c r="C20112" s="74" t="s">
        <v>425</v>
      </c>
    </row>
    <row r="20113" spans="1:3">
      <c r="A20113" s="250">
        <v>47427</v>
      </c>
      <c r="B20113" s="74" t="s">
        <v>6782</v>
      </c>
      <c r="C20113" s="74" t="s">
        <v>425</v>
      </c>
    </row>
    <row r="20114" spans="1:3">
      <c r="A20114" s="250">
        <v>47429</v>
      </c>
      <c r="B20114" s="74" t="s">
        <v>10857</v>
      </c>
      <c r="C20114" s="74" t="s">
        <v>425</v>
      </c>
    </row>
    <row r="20115" spans="1:3">
      <c r="A20115" s="250">
        <v>47430</v>
      </c>
      <c r="B20115" s="74" t="s">
        <v>10858</v>
      </c>
      <c r="C20115" s="74" t="s">
        <v>425</v>
      </c>
    </row>
    <row r="20116" spans="1:3">
      <c r="A20116" s="250">
        <v>47431</v>
      </c>
      <c r="B20116" s="74" t="s">
        <v>1310</v>
      </c>
      <c r="C20116" s="74" t="s">
        <v>425</v>
      </c>
    </row>
    <row r="20117" spans="1:3">
      <c r="A20117" s="250">
        <v>47432</v>
      </c>
      <c r="B20117" s="74" t="s">
        <v>10859</v>
      </c>
      <c r="C20117" s="74" t="s">
        <v>425</v>
      </c>
    </row>
    <row r="20118" spans="1:3">
      <c r="A20118" s="250">
        <v>47433</v>
      </c>
      <c r="B20118" s="74" t="s">
        <v>10860</v>
      </c>
      <c r="C20118" s="74" t="s">
        <v>425</v>
      </c>
    </row>
    <row r="20119" spans="1:3">
      <c r="A20119" s="250">
        <v>47434</v>
      </c>
      <c r="B20119" s="74" t="s">
        <v>9627</v>
      </c>
      <c r="C20119" s="74" t="s">
        <v>425</v>
      </c>
    </row>
    <row r="20120" spans="1:3">
      <c r="A20120" s="250">
        <v>47435</v>
      </c>
      <c r="B20120" s="74" t="s">
        <v>10861</v>
      </c>
      <c r="C20120" s="74" t="s">
        <v>425</v>
      </c>
    </row>
    <row r="20121" spans="1:3">
      <c r="A20121" s="250">
        <v>47436</v>
      </c>
      <c r="B20121" s="74" t="s">
        <v>10862</v>
      </c>
      <c r="C20121" s="74" t="s">
        <v>425</v>
      </c>
    </row>
    <row r="20122" spans="1:3">
      <c r="A20122" s="250">
        <v>47437</v>
      </c>
      <c r="B20122" s="74" t="s">
        <v>9222</v>
      </c>
      <c r="C20122" s="74" t="s">
        <v>425</v>
      </c>
    </row>
    <row r="20123" spans="1:3">
      <c r="A20123" s="250">
        <v>47438</v>
      </c>
      <c r="B20123" s="74" t="s">
        <v>10863</v>
      </c>
      <c r="C20123" s="74" t="s">
        <v>425</v>
      </c>
    </row>
    <row r="20124" spans="1:3">
      <c r="A20124" s="250">
        <v>47439</v>
      </c>
      <c r="B20124" s="74" t="s">
        <v>10864</v>
      </c>
      <c r="C20124" s="74" t="s">
        <v>425</v>
      </c>
    </row>
    <row r="20125" spans="1:3">
      <c r="A20125" s="250">
        <v>47441</v>
      </c>
      <c r="B20125" s="74" t="s">
        <v>10865</v>
      </c>
      <c r="C20125" s="74" t="s">
        <v>425</v>
      </c>
    </row>
    <row r="20126" spans="1:3">
      <c r="A20126" s="250">
        <v>47443</v>
      </c>
      <c r="B20126" s="74" t="s">
        <v>2349</v>
      </c>
      <c r="C20126" s="74" t="s">
        <v>425</v>
      </c>
    </row>
    <row r="20127" spans="1:3">
      <c r="A20127" s="250">
        <v>47445</v>
      </c>
      <c r="B20127" s="74" t="s">
        <v>3994</v>
      </c>
      <c r="C20127" s="74" t="s">
        <v>425</v>
      </c>
    </row>
    <row r="20128" spans="1:3">
      <c r="A20128" s="250">
        <v>47446</v>
      </c>
      <c r="B20128" s="74" t="s">
        <v>8057</v>
      </c>
      <c r="C20128" s="74" t="s">
        <v>425</v>
      </c>
    </row>
    <row r="20129" spans="1:3">
      <c r="A20129" s="250">
        <v>47448</v>
      </c>
      <c r="B20129" s="74" t="s">
        <v>7206</v>
      </c>
      <c r="C20129" s="74" t="s">
        <v>425</v>
      </c>
    </row>
    <row r="20130" spans="1:3">
      <c r="A20130" s="250">
        <v>47449</v>
      </c>
      <c r="B20130" s="74" t="s">
        <v>7634</v>
      </c>
      <c r="C20130" s="74" t="s">
        <v>425</v>
      </c>
    </row>
    <row r="20131" spans="1:3">
      <c r="A20131" s="250">
        <v>47451</v>
      </c>
      <c r="B20131" s="74" t="s">
        <v>10866</v>
      </c>
      <c r="C20131" s="74" t="s">
        <v>425</v>
      </c>
    </row>
    <row r="20132" spans="1:3">
      <c r="A20132" s="250">
        <v>47452</v>
      </c>
      <c r="B20132" s="74" t="s">
        <v>1042</v>
      </c>
      <c r="C20132" s="74" t="s">
        <v>425</v>
      </c>
    </row>
    <row r="20133" spans="1:3">
      <c r="A20133" s="250">
        <v>47453</v>
      </c>
      <c r="B20133" s="74" t="s">
        <v>10867</v>
      </c>
      <c r="C20133" s="74" t="s">
        <v>425</v>
      </c>
    </row>
    <row r="20134" spans="1:3">
      <c r="A20134" s="250">
        <v>47454</v>
      </c>
      <c r="B20134" s="74" t="s">
        <v>5366</v>
      </c>
      <c r="C20134" s="74" t="s">
        <v>425</v>
      </c>
    </row>
    <row r="20135" spans="1:3">
      <c r="A20135" s="250">
        <v>47455</v>
      </c>
      <c r="B20135" s="74" t="s">
        <v>10868</v>
      </c>
      <c r="C20135" s="74" t="s">
        <v>425</v>
      </c>
    </row>
    <row r="20136" spans="1:3">
      <c r="A20136" s="250">
        <v>47456</v>
      </c>
      <c r="B20136" s="74" t="s">
        <v>923</v>
      </c>
      <c r="C20136" s="74" t="s">
        <v>425</v>
      </c>
    </row>
    <row r="20137" spans="1:3">
      <c r="A20137" s="250">
        <v>47457</v>
      </c>
      <c r="B20137" s="74" t="s">
        <v>2003</v>
      </c>
      <c r="C20137" s="74" t="s">
        <v>425</v>
      </c>
    </row>
    <row r="20138" spans="1:3">
      <c r="A20138" s="250">
        <v>47458</v>
      </c>
      <c r="B20138" s="74" t="s">
        <v>6884</v>
      </c>
      <c r="C20138" s="74" t="s">
        <v>425</v>
      </c>
    </row>
    <row r="20139" spans="1:3">
      <c r="A20139" s="250">
        <v>47459</v>
      </c>
      <c r="B20139" s="74" t="s">
        <v>10869</v>
      </c>
      <c r="C20139" s="74" t="s">
        <v>425</v>
      </c>
    </row>
    <row r="20140" spans="1:3">
      <c r="A20140" s="250">
        <v>47460</v>
      </c>
      <c r="B20140" s="74" t="s">
        <v>762</v>
      </c>
      <c r="C20140" s="74" t="s">
        <v>425</v>
      </c>
    </row>
    <row r="20141" spans="1:3">
      <c r="A20141" s="250">
        <v>47462</v>
      </c>
      <c r="B20141" s="74" t="s">
        <v>3739</v>
      </c>
      <c r="C20141" s="74" t="s">
        <v>425</v>
      </c>
    </row>
    <row r="20142" spans="1:3">
      <c r="A20142" s="250">
        <v>47463</v>
      </c>
      <c r="B20142" s="74" t="s">
        <v>9655</v>
      </c>
      <c r="C20142" s="74" t="s">
        <v>425</v>
      </c>
    </row>
    <row r="20143" spans="1:3">
      <c r="A20143" s="250">
        <v>47464</v>
      </c>
      <c r="B20143" s="74" t="s">
        <v>10870</v>
      </c>
      <c r="C20143" s="74" t="s">
        <v>425</v>
      </c>
    </row>
    <row r="20144" spans="1:3">
      <c r="A20144" s="250">
        <v>47465</v>
      </c>
      <c r="B20144" s="74" t="s">
        <v>10871</v>
      </c>
      <c r="C20144" s="74" t="s">
        <v>425</v>
      </c>
    </row>
    <row r="20145" spans="1:3">
      <c r="A20145" s="250">
        <v>47467</v>
      </c>
      <c r="B20145" s="74" t="s">
        <v>6960</v>
      </c>
      <c r="C20145" s="74" t="s">
        <v>425</v>
      </c>
    </row>
    <row r="20146" spans="1:3">
      <c r="A20146" s="250">
        <v>47468</v>
      </c>
      <c r="B20146" s="74" t="s">
        <v>1968</v>
      </c>
      <c r="C20146" s="74" t="s">
        <v>425</v>
      </c>
    </row>
    <row r="20147" spans="1:3">
      <c r="A20147" s="250">
        <v>47469</v>
      </c>
      <c r="B20147" s="74" t="s">
        <v>10872</v>
      </c>
      <c r="C20147" s="74" t="s">
        <v>425</v>
      </c>
    </row>
    <row r="20148" spans="1:3">
      <c r="A20148" s="250">
        <v>47470</v>
      </c>
      <c r="B20148" s="74" t="s">
        <v>7725</v>
      </c>
      <c r="C20148" s="74" t="s">
        <v>425</v>
      </c>
    </row>
    <row r="20149" spans="1:3">
      <c r="A20149" s="250">
        <v>47471</v>
      </c>
      <c r="B20149" s="74" t="s">
        <v>633</v>
      </c>
      <c r="C20149" s="74" t="s">
        <v>425</v>
      </c>
    </row>
    <row r="20150" spans="1:3">
      <c r="A20150" s="250">
        <v>47490</v>
      </c>
      <c r="B20150" s="74" t="s">
        <v>3032</v>
      </c>
      <c r="C20150" s="74" t="s">
        <v>425</v>
      </c>
    </row>
    <row r="20151" spans="1:3">
      <c r="A20151" s="250">
        <v>47501</v>
      </c>
      <c r="B20151" s="74" t="s">
        <v>1215</v>
      </c>
      <c r="C20151" s="74" t="s">
        <v>425</v>
      </c>
    </row>
    <row r="20152" spans="1:3">
      <c r="A20152" s="250">
        <v>47512</v>
      </c>
      <c r="B20152" s="74" t="s">
        <v>10873</v>
      </c>
      <c r="C20152" s="74" t="s">
        <v>425</v>
      </c>
    </row>
    <row r="20153" spans="1:3">
      <c r="A20153" s="250">
        <v>47513</v>
      </c>
      <c r="B20153" s="74" t="s">
        <v>10874</v>
      </c>
      <c r="C20153" s="74" t="s">
        <v>425</v>
      </c>
    </row>
    <row r="20154" spans="1:3">
      <c r="A20154" s="250">
        <v>47514</v>
      </c>
      <c r="B20154" s="74" t="s">
        <v>2298</v>
      </c>
      <c r="C20154" s="74" t="s">
        <v>425</v>
      </c>
    </row>
    <row r="20155" spans="1:3">
      <c r="A20155" s="250">
        <v>47515</v>
      </c>
      <c r="B20155" s="74" t="s">
        <v>5524</v>
      </c>
      <c r="C20155" s="74" t="s">
        <v>425</v>
      </c>
    </row>
    <row r="20156" spans="1:3">
      <c r="A20156" s="250">
        <v>47516</v>
      </c>
      <c r="B20156" s="74" t="s">
        <v>10875</v>
      </c>
      <c r="C20156" s="74" t="s">
        <v>425</v>
      </c>
    </row>
    <row r="20157" spans="1:3">
      <c r="A20157" s="250">
        <v>47519</v>
      </c>
      <c r="B20157" s="74" t="s">
        <v>10876</v>
      </c>
      <c r="C20157" s="74" t="s">
        <v>425</v>
      </c>
    </row>
    <row r="20158" spans="1:3">
      <c r="A20158" s="250">
        <v>47520</v>
      </c>
      <c r="B20158" s="74" t="s">
        <v>6586</v>
      </c>
      <c r="C20158" s="74" t="s">
        <v>425</v>
      </c>
    </row>
    <row r="20159" spans="1:3">
      <c r="A20159" s="250">
        <v>47521</v>
      </c>
      <c r="B20159" s="74" t="s">
        <v>10877</v>
      </c>
      <c r="C20159" s="74" t="s">
        <v>425</v>
      </c>
    </row>
    <row r="20160" spans="1:3">
      <c r="A20160" s="250">
        <v>47522</v>
      </c>
      <c r="B20160" s="74" t="s">
        <v>10878</v>
      </c>
      <c r="C20160" s="74" t="s">
        <v>425</v>
      </c>
    </row>
    <row r="20161" spans="1:3">
      <c r="A20161" s="250">
        <v>47523</v>
      </c>
      <c r="B20161" s="74" t="s">
        <v>3691</v>
      </c>
      <c r="C20161" s="74" t="s">
        <v>425</v>
      </c>
    </row>
    <row r="20162" spans="1:3">
      <c r="A20162" s="250">
        <v>47524</v>
      </c>
      <c r="B20162" s="74" t="s">
        <v>10879</v>
      </c>
      <c r="C20162" s="74" t="s">
        <v>425</v>
      </c>
    </row>
    <row r="20163" spans="1:3">
      <c r="A20163" s="250">
        <v>47525</v>
      </c>
      <c r="B20163" s="74" t="s">
        <v>1902</v>
      </c>
      <c r="C20163" s="74" t="s">
        <v>425</v>
      </c>
    </row>
    <row r="20164" spans="1:3">
      <c r="A20164" s="250">
        <v>47527</v>
      </c>
      <c r="B20164" s="74" t="s">
        <v>10880</v>
      </c>
      <c r="C20164" s="74" t="s">
        <v>425</v>
      </c>
    </row>
    <row r="20165" spans="1:3">
      <c r="A20165" s="250">
        <v>47528</v>
      </c>
      <c r="B20165" s="74" t="s">
        <v>10881</v>
      </c>
      <c r="C20165" s="74" t="s">
        <v>425</v>
      </c>
    </row>
    <row r="20166" spans="1:3">
      <c r="A20166" s="250">
        <v>47529</v>
      </c>
      <c r="B20166" s="74" t="s">
        <v>10882</v>
      </c>
      <c r="C20166" s="74" t="s">
        <v>425</v>
      </c>
    </row>
    <row r="20167" spans="1:3">
      <c r="A20167" s="250">
        <v>47531</v>
      </c>
      <c r="B20167" s="74" t="s">
        <v>10883</v>
      </c>
      <c r="C20167" s="74" t="s">
        <v>425</v>
      </c>
    </row>
    <row r="20168" spans="1:3">
      <c r="A20168" s="250">
        <v>47532</v>
      </c>
      <c r="B20168" s="74" t="s">
        <v>10884</v>
      </c>
      <c r="C20168" s="74" t="s">
        <v>425</v>
      </c>
    </row>
    <row r="20169" spans="1:3">
      <c r="A20169" s="250">
        <v>47535</v>
      </c>
      <c r="B20169" s="74" t="s">
        <v>10885</v>
      </c>
      <c r="C20169" s="74" t="s">
        <v>425</v>
      </c>
    </row>
    <row r="20170" spans="1:3">
      <c r="A20170" s="250">
        <v>47536</v>
      </c>
      <c r="B20170" s="74" t="s">
        <v>10886</v>
      </c>
      <c r="C20170" s="74" t="s">
        <v>425</v>
      </c>
    </row>
    <row r="20171" spans="1:3">
      <c r="A20171" s="250">
        <v>47537</v>
      </c>
      <c r="B20171" s="74" t="s">
        <v>10887</v>
      </c>
      <c r="C20171" s="74" t="s">
        <v>425</v>
      </c>
    </row>
    <row r="20172" spans="1:3">
      <c r="A20172" s="250">
        <v>47541</v>
      </c>
      <c r="B20172" s="74" t="s">
        <v>739</v>
      </c>
      <c r="C20172" s="74" t="s">
        <v>425</v>
      </c>
    </row>
    <row r="20173" spans="1:3">
      <c r="A20173" s="250">
        <v>47542</v>
      </c>
      <c r="B20173" s="74" t="s">
        <v>10888</v>
      </c>
      <c r="C20173" s="74" t="s">
        <v>425</v>
      </c>
    </row>
    <row r="20174" spans="1:3">
      <c r="A20174" s="250">
        <v>47545</v>
      </c>
      <c r="B20174" s="74" t="s">
        <v>6941</v>
      </c>
      <c r="C20174" s="74" t="s">
        <v>425</v>
      </c>
    </row>
    <row r="20175" spans="1:3">
      <c r="A20175" s="250">
        <v>47546</v>
      </c>
      <c r="B20175" s="74" t="s">
        <v>3922</v>
      </c>
      <c r="C20175" s="74" t="s">
        <v>425</v>
      </c>
    </row>
    <row r="20176" spans="1:3">
      <c r="A20176" s="250">
        <v>47547</v>
      </c>
      <c r="B20176" s="74" t="s">
        <v>3922</v>
      </c>
      <c r="C20176" s="74" t="s">
        <v>425</v>
      </c>
    </row>
    <row r="20177" spans="1:3">
      <c r="A20177" s="250">
        <v>47549</v>
      </c>
      <c r="B20177" s="74" t="s">
        <v>3922</v>
      </c>
      <c r="C20177" s="74" t="s">
        <v>425</v>
      </c>
    </row>
    <row r="20178" spans="1:3">
      <c r="A20178" s="250">
        <v>47550</v>
      </c>
      <c r="B20178" s="74" t="s">
        <v>4632</v>
      </c>
      <c r="C20178" s="74" t="s">
        <v>425</v>
      </c>
    </row>
    <row r="20179" spans="1:3">
      <c r="A20179" s="250">
        <v>47551</v>
      </c>
      <c r="B20179" s="74" t="s">
        <v>10889</v>
      </c>
      <c r="C20179" s="74" t="s">
        <v>425</v>
      </c>
    </row>
    <row r="20180" spans="1:3">
      <c r="A20180" s="250">
        <v>47552</v>
      </c>
      <c r="B20180" s="74" t="s">
        <v>10890</v>
      </c>
      <c r="C20180" s="74" t="s">
        <v>425</v>
      </c>
    </row>
    <row r="20181" spans="1:3">
      <c r="A20181" s="250">
        <v>47553</v>
      </c>
      <c r="B20181" s="74" t="s">
        <v>10891</v>
      </c>
      <c r="C20181" s="74" t="s">
        <v>425</v>
      </c>
    </row>
    <row r="20182" spans="1:3">
      <c r="A20182" s="250">
        <v>47556</v>
      </c>
      <c r="B20182" s="74" t="s">
        <v>10892</v>
      </c>
      <c r="C20182" s="74" t="s">
        <v>425</v>
      </c>
    </row>
    <row r="20183" spans="1:3">
      <c r="A20183" s="250">
        <v>47557</v>
      </c>
      <c r="B20183" s="74" t="s">
        <v>10893</v>
      </c>
      <c r="C20183" s="74" t="s">
        <v>425</v>
      </c>
    </row>
    <row r="20184" spans="1:3">
      <c r="A20184" s="250">
        <v>47558</v>
      </c>
      <c r="B20184" s="74" t="s">
        <v>1821</v>
      </c>
      <c r="C20184" s="74" t="s">
        <v>425</v>
      </c>
    </row>
    <row r="20185" spans="1:3">
      <c r="A20185" s="250">
        <v>47561</v>
      </c>
      <c r="B20185" s="74" t="s">
        <v>10894</v>
      </c>
      <c r="C20185" s="74" t="s">
        <v>425</v>
      </c>
    </row>
    <row r="20186" spans="1:3">
      <c r="A20186" s="250">
        <v>47562</v>
      </c>
      <c r="B20186" s="74" t="s">
        <v>10895</v>
      </c>
      <c r="C20186" s="74" t="s">
        <v>425</v>
      </c>
    </row>
    <row r="20187" spans="1:3">
      <c r="A20187" s="250">
        <v>47564</v>
      </c>
      <c r="B20187" s="74" t="s">
        <v>10896</v>
      </c>
      <c r="C20187" s="74" t="s">
        <v>425</v>
      </c>
    </row>
    <row r="20188" spans="1:3">
      <c r="A20188" s="250">
        <v>47567</v>
      </c>
      <c r="B20188" s="74" t="s">
        <v>2988</v>
      </c>
      <c r="C20188" s="74" t="s">
        <v>425</v>
      </c>
    </row>
    <row r="20189" spans="1:3">
      <c r="A20189" s="250">
        <v>47568</v>
      </c>
      <c r="B20189" s="74" t="s">
        <v>1078</v>
      </c>
      <c r="C20189" s="74" t="s">
        <v>425</v>
      </c>
    </row>
    <row r="20190" spans="1:3">
      <c r="A20190" s="250">
        <v>47573</v>
      </c>
      <c r="B20190" s="74" t="s">
        <v>10897</v>
      </c>
      <c r="C20190" s="74" t="s">
        <v>425</v>
      </c>
    </row>
    <row r="20191" spans="1:3">
      <c r="A20191" s="250">
        <v>47574</v>
      </c>
      <c r="B20191" s="74" t="s">
        <v>3492</v>
      </c>
      <c r="C20191" s="74" t="s">
        <v>425</v>
      </c>
    </row>
    <row r="20192" spans="1:3">
      <c r="A20192" s="250">
        <v>47575</v>
      </c>
      <c r="B20192" s="74" t="s">
        <v>10898</v>
      </c>
      <c r="C20192" s="74" t="s">
        <v>425</v>
      </c>
    </row>
    <row r="20193" spans="1:3">
      <c r="A20193" s="250">
        <v>47576</v>
      </c>
      <c r="B20193" s="74" t="s">
        <v>10899</v>
      </c>
      <c r="C20193" s="74" t="s">
        <v>425</v>
      </c>
    </row>
    <row r="20194" spans="1:3">
      <c r="A20194" s="250">
        <v>47577</v>
      </c>
      <c r="B20194" s="74" t="s">
        <v>10900</v>
      </c>
      <c r="C20194" s="74" t="s">
        <v>425</v>
      </c>
    </row>
    <row r="20195" spans="1:3">
      <c r="A20195" s="250">
        <v>47578</v>
      </c>
      <c r="B20195" s="74" t="s">
        <v>10901</v>
      </c>
      <c r="C20195" s="74" t="s">
        <v>425</v>
      </c>
    </row>
    <row r="20196" spans="1:3">
      <c r="A20196" s="250">
        <v>47579</v>
      </c>
      <c r="B20196" s="74" t="s">
        <v>10902</v>
      </c>
      <c r="C20196" s="74" t="s">
        <v>425</v>
      </c>
    </row>
    <row r="20197" spans="1:3">
      <c r="A20197" s="250">
        <v>47580</v>
      </c>
      <c r="B20197" s="74" t="s">
        <v>10903</v>
      </c>
      <c r="C20197" s="74" t="s">
        <v>425</v>
      </c>
    </row>
    <row r="20198" spans="1:3">
      <c r="A20198" s="250">
        <v>47581</v>
      </c>
      <c r="B20198" s="74" t="s">
        <v>6729</v>
      </c>
      <c r="C20198" s="74" t="s">
        <v>425</v>
      </c>
    </row>
    <row r="20199" spans="1:3">
      <c r="A20199" s="250">
        <v>47584</v>
      </c>
      <c r="B20199" s="74" t="s">
        <v>10904</v>
      </c>
      <c r="C20199" s="74" t="s">
        <v>425</v>
      </c>
    </row>
    <row r="20200" spans="1:3">
      <c r="A20200" s="250">
        <v>47585</v>
      </c>
      <c r="B20200" s="74" t="s">
        <v>10905</v>
      </c>
      <c r="C20200" s="74" t="s">
        <v>425</v>
      </c>
    </row>
    <row r="20201" spans="1:3">
      <c r="A20201" s="250">
        <v>47586</v>
      </c>
      <c r="B20201" s="74" t="s">
        <v>10906</v>
      </c>
      <c r="C20201" s="74" t="s">
        <v>425</v>
      </c>
    </row>
    <row r="20202" spans="1:3">
      <c r="A20202" s="250">
        <v>47588</v>
      </c>
      <c r="B20202" s="74" t="s">
        <v>1243</v>
      </c>
      <c r="C20202" s="74" t="s">
        <v>425</v>
      </c>
    </row>
    <row r="20203" spans="1:3">
      <c r="A20203" s="250">
        <v>47590</v>
      </c>
      <c r="B20203" s="74" t="s">
        <v>10907</v>
      </c>
      <c r="C20203" s="74" t="s">
        <v>425</v>
      </c>
    </row>
    <row r="20204" spans="1:3">
      <c r="A20204" s="250">
        <v>47591</v>
      </c>
      <c r="B20204" s="74" t="s">
        <v>10908</v>
      </c>
      <c r="C20204" s="74" t="s">
        <v>425</v>
      </c>
    </row>
    <row r="20205" spans="1:3">
      <c r="A20205" s="250">
        <v>47596</v>
      </c>
      <c r="B20205" s="74" t="s">
        <v>10909</v>
      </c>
      <c r="C20205" s="74" t="s">
        <v>425</v>
      </c>
    </row>
    <row r="20206" spans="1:3">
      <c r="A20206" s="250">
        <v>47597</v>
      </c>
      <c r="B20206" s="74" t="s">
        <v>4437</v>
      </c>
      <c r="C20206" s="74" t="s">
        <v>425</v>
      </c>
    </row>
    <row r="20207" spans="1:3">
      <c r="A20207" s="250">
        <v>47598</v>
      </c>
      <c r="B20207" s="74" t="s">
        <v>2433</v>
      </c>
      <c r="C20207" s="74" t="s">
        <v>425</v>
      </c>
    </row>
    <row r="20208" spans="1:3">
      <c r="A20208" s="250">
        <v>47601</v>
      </c>
      <c r="B20208" s="74" t="s">
        <v>3435</v>
      </c>
      <c r="C20208" s="74" t="s">
        <v>425</v>
      </c>
    </row>
    <row r="20209" spans="1:3">
      <c r="A20209" s="250">
        <v>47610</v>
      </c>
      <c r="B20209" s="74" t="s">
        <v>10910</v>
      </c>
      <c r="C20209" s="74" t="s">
        <v>425</v>
      </c>
    </row>
    <row r="20210" spans="1:3">
      <c r="A20210" s="250">
        <v>47611</v>
      </c>
      <c r="B20210" s="74" t="s">
        <v>10911</v>
      </c>
      <c r="C20210" s="74" t="s">
        <v>425</v>
      </c>
    </row>
    <row r="20211" spans="1:3">
      <c r="A20211" s="250">
        <v>47612</v>
      </c>
      <c r="B20211" s="74" t="s">
        <v>9732</v>
      </c>
      <c r="C20211" s="74" t="s">
        <v>425</v>
      </c>
    </row>
    <row r="20212" spans="1:3">
      <c r="A20212" s="250">
        <v>47613</v>
      </c>
      <c r="B20212" s="74" t="s">
        <v>10912</v>
      </c>
      <c r="C20212" s="74" t="s">
        <v>425</v>
      </c>
    </row>
    <row r="20213" spans="1:3">
      <c r="A20213" s="250">
        <v>47614</v>
      </c>
      <c r="B20213" s="74" t="s">
        <v>10913</v>
      </c>
      <c r="C20213" s="74" t="s">
        <v>425</v>
      </c>
    </row>
    <row r="20214" spans="1:3">
      <c r="A20214" s="250">
        <v>47615</v>
      </c>
      <c r="B20214" s="74" t="s">
        <v>9065</v>
      </c>
      <c r="C20214" s="74" t="s">
        <v>425</v>
      </c>
    </row>
    <row r="20215" spans="1:3">
      <c r="A20215" s="250">
        <v>47616</v>
      </c>
      <c r="B20215" s="74" t="s">
        <v>7909</v>
      </c>
      <c r="C20215" s="74" t="s">
        <v>425</v>
      </c>
    </row>
    <row r="20216" spans="1:3">
      <c r="A20216" s="250">
        <v>47617</v>
      </c>
      <c r="B20216" s="74" t="s">
        <v>598</v>
      </c>
      <c r="C20216" s="74" t="s">
        <v>425</v>
      </c>
    </row>
    <row r="20217" spans="1:3">
      <c r="A20217" s="250">
        <v>47618</v>
      </c>
      <c r="B20217" s="74" t="s">
        <v>10914</v>
      </c>
      <c r="C20217" s="74" t="s">
        <v>425</v>
      </c>
    </row>
    <row r="20218" spans="1:3">
      <c r="A20218" s="250">
        <v>47619</v>
      </c>
      <c r="B20218" s="74" t="s">
        <v>9254</v>
      </c>
      <c r="C20218" s="74" t="s">
        <v>425</v>
      </c>
    </row>
    <row r="20219" spans="1:3">
      <c r="A20219" s="250">
        <v>47620</v>
      </c>
      <c r="B20219" s="74" t="s">
        <v>1481</v>
      </c>
      <c r="C20219" s="74" t="s">
        <v>425</v>
      </c>
    </row>
    <row r="20220" spans="1:3">
      <c r="A20220" s="250">
        <v>47629</v>
      </c>
      <c r="B20220" s="74" t="s">
        <v>3131</v>
      </c>
      <c r="C20220" s="74" t="s">
        <v>425</v>
      </c>
    </row>
    <row r="20221" spans="1:3">
      <c r="A20221" s="250">
        <v>47630</v>
      </c>
      <c r="B20221" s="74" t="s">
        <v>3131</v>
      </c>
      <c r="C20221" s="74" t="s">
        <v>425</v>
      </c>
    </row>
    <row r="20222" spans="1:3">
      <c r="A20222" s="250">
        <v>47631</v>
      </c>
      <c r="B20222" s="74" t="s">
        <v>10915</v>
      </c>
      <c r="C20222" s="74" t="s">
        <v>425</v>
      </c>
    </row>
    <row r="20223" spans="1:3">
      <c r="A20223" s="250">
        <v>47633</v>
      </c>
      <c r="B20223" s="74" t="s">
        <v>10916</v>
      </c>
      <c r="C20223" s="74" t="s">
        <v>425</v>
      </c>
    </row>
    <row r="20224" spans="1:3">
      <c r="A20224" s="250">
        <v>47634</v>
      </c>
      <c r="B20224" s="74" t="s">
        <v>2499</v>
      </c>
      <c r="C20224" s="74" t="s">
        <v>425</v>
      </c>
    </row>
    <row r="20225" spans="1:3">
      <c r="A20225" s="250">
        <v>47635</v>
      </c>
      <c r="B20225" s="74" t="s">
        <v>856</v>
      </c>
      <c r="C20225" s="74" t="s">
        <v>425</v>
      </c>
    </row>
    <row r="20226" spans="1:3">
      <c r="A20226" s="250">
        <v>47637</v>
      </c>
      <c r="B20226" s="74" t="s">
        <v>10917</v>
      </c>
      <c r="C20226" s="74" t="s">
        <v>425</v>
      </c>
    </row>
    <row r="20227" spans="1:3">
      <c r="A20227" s="250">
        <v>47638</v>
      </c>
      <c r="B20227" s="74" t="s">
        <v>10918</v>
      </c>
      <c r="C20227" s="74" t="s">
        <v>425</v>
      </c>
    </row>
    <row r="20228" spans="1:3">
      <c r="A20228" s="250">
        <v>47639</v>
      </c>
      <c r="B20228" s="74" t="s">
        <v>10919</v>
      </c>
      <c r="C20228" s="74" t="s">
        <v>425</v>
      </c>
    </row>
    <row r="20229" spans="1:3">
      <c r="A20229" s="250">
        <v>47640</v>
      </c>
      <c r="B20229" s="74" t="s">
        <v>5077</v>
      </c>
      <c r="C20229" s="74" t="s">
        <v>425</v>
      </c>
    </row>
    <row r="20230" spans="1:3">
      <c r="A20230" s="250">
        <v>47647</v>
      </c>
      <c r="B20230" s="74" t="s">
        <v>10920</v>
      </c>
      <c r="C20230" s="74" t="s">
        <v>425</v>
      </c>
    </row>
    <row r="20231" spans="1:3">
      <c r="A20231" s="250">
        <v>47648</v>
      </c>
      <c r="B20231" s="74" t="s">
        <v>10921</v>
      </c>
      <c r="C20231" s="74" t="s">
        <v>425</v>
      </c>
    </row>
    <row r="20232" spans="1:3">
      <c r="A20232" s="250">
        <v>47649</v>
      </c>
      <c r="B20232" s="74" t="s">
        <v>10922</v>
      </c>
      <c r="C20232" s="74" t="s">
        <v>425</v>
      </c>
    </row>
    <row r="20233" spans="1:3">
      <c r="A20233" s="250">
        <v>47654</v>
      </c>
      <c r="B20233" s="74" t="s">
        <v>10923</v>
      </c>
      <c r="C20233" s="74" t="s">
        <v>425</v>
      </c>
    </row>
    <row r="20234" spans="1:3">
      <c r="A20234" s="250">
        <v>47660</v>
      </c>
      <c r="B20234" s="74" t="s">
        <v>10924</v>
      </c>
      <c r="C20234" s="74" t="s">
        <v>425</v>
      </c>
    </row>
    <row r="20235" spans="1:3">
      <c r="A20235" s="250">
        <v>47665</v>
      </c>
      <c r="B20235" s="74" t="s">
        <v>10482</v>
      </c>
      <c r="C20235" s="74" t="s">
        <v>425</v>
      </c>
    </row>
    <row r="20236" spans="1:3">
      <c r="A20236" s="250">
        <v>47666</v>
      </c>
      <c r="B20236" s="74" t="s">
        <v>10925</v>
      </c>
      <c r="C20236" s="74" t="s">
        <v>425</v>
      </c>
    </row>
    <row r="20237" spans="1:3">
      <c r="A20237" s="250">
        <v>47670</v>
      </c>
      <c r="B20237" s="74" t="s">
        <v>755</v>
      </c>
      <c r="C20237" s="74" t="s">
        <v>425</v>
      </c>
    </row>
    <row r="20238" spans="1:3">
      <c r="A20238" s="250">
        <v>47683</v>
      </c>
      <c r="B20238" s="74" t="s">
        <v>915</v>
      </c>
      <c r="C20238" s="74" t="s">
        <v>425</v>
      </c>
    </row>
    <row r="20239" spans="1:3">
      <c r="A20239" s="250">
        <v>47701</v>
      </c>
      <c r="B20239" s="74" t="s">
        <v>10926</v>
      </c>
      <c r="C20239" s="74" t="s">
        <v>425</v>
      </c>
    </row>
    <row r="20240" spans="1:3">
      <c r="A20240" s="250">
        <v>47702</v>
      </c>
      <c r="B20240" s="74" t="s">
        <v>10926</v>
      </c>
      <c r="C20240" s="74" t="s">
        <v>425</v>
      </c>
    </row>
    <row r="20241" spans="1:3">
      <c r="A20241" s="250">
        <v>47703</v>
      </c>
      <c r="B20241" s="74" t="s">
        <v>10926</v>
      </c>
      <c r="C20241" s="74" t="s">
        <v>425</v>
      </c>
    </row>
    <row r="20242" spans="1:3">
      <c r="A20242" s="250">
        <v>47704</v>
      </c>
      <c r="B20242" s="74" t="s">
        <v>10926</v>
      </c>
      <c r="C20242" s="74" t="s">
        <v>425</v>
      </c>
    </row>
    <row r="20243" spans="1:3">
      <c r="A20243" s="250">
        <v>47705</v>
      </c>
      <c r="B20243" s="74" t="s">
        <v>10926</v>
      </c>
      <c r="C20243" s="74" t="s">
        <v>425</v>
      </c>
    </row>
    <row r="20244" spans="1:3">
      <c r="A20244" s="250">
        <v>47706</v>
      </c>
      <c r="B20244" s="74" t="s">
        <v>10926</v>
      </c>
      <c r="C20244" s="74" t="s">
        <v>425</v>
      </c>
    </row>
    <row r="20245" spans="1:3">
      <c r="A20245" s="250">
        <v>47708</v>
      </c>
      <c r="B20245" s="74" t="s">
        <v>10926</v>
      </c>
      <c r="C20245" s="74" t="s">
        <v>425</v>
      </c>
    </row>
    <row r="20246" spans="1:3">
      <c r="A20246" s="250">
        <v>47710</v>
      </c>
      <c r="B20246" s="74" t="s">
        <v>10926</v>
      </c>
      <c r="C20246" s="74" t="s">
        <v>425</v>
      </c>
    </row>
    <row r="20247" spans="1:3">
      <c r="A20247" s="250">
        <v>47711</v>
      </c>
      <c r="B20247" s="74" t="s">
        <v>10926</v>
      </c>
      <c r="C20247" s="74" t="s">
        <v>425</v>
      </c>
    </row>
    <row r="20248" spans="1:3">
      <c r="A20248" s="250">
        <v>47712</v>
      </c>
      <c r="B20248" s="74" t="s">
        <v>10926</v>
      </c>
      <c r="C20248" s="74" t="s">
        <v>425</v>
      </c>
    </row>
    <row r="20249" spans="1:3">
      <c r="A20249" s="250">
        <v>47713</v>
      </c>
      <c r="B20249" s="74" t="s">
        <v>10926</v>
      </c>
      <c r="C20249" s="74" t="s">
        <v>425</v>
      </c>
    </row>
    <row r="20250" spans="1:3">
      <c r="A20250" s="250">
        <v>47714</v>
      </c>
      <c r="B20250" s="74" t="s">
        <v>10926</v>
      </c>
      <c r="C20250" s="74" t="s">
        <v>425</v>
      </c>
    </row>
    <row r="20251" spans="1:3">
      <c r="A20251" s="250">
        <v>47715</v>
      </c>
      <c r="B20251" s="74" t="s">
        <v>10926</v>
      </c>
      <c r="C20251" s="74" t="s">
        <v>425</v>
      </c>
    </row>
    <row r="20252" spans="1:3">
      <c r="A20252" s="250">
        <v>47716</v>
      </c>
      <c r="B20252" s="74" t="s">
        <v>10926</v>
      </c>
      <c r="C20252" s="74" t="s">
        <v>425</v>
      </c>
    </row>
    <row r="20253" spans="1:3">
      <c r="A20253" s="250">
        <v>47719</v>
      </c>
      <c r="B20253" s="74" t="s">
        <v>10926</v>
      </c>
      <c r="C20253" s="74" t="s">
        <v>425</v>
      </c>
    </row>
    <row r="20254" spans="1:3">
      <c r="A20254" s="250">
        <v>47720</v>
      </c>
      <c r="B20254" s="74" t="s">
        <v>10926</v>
      </c>
      <c r="C20254" s="74" t="s">
        <v>425</v>
      </c>
    </row>
    <row r="20255" spans="1:3">
      <c r="A20255" s="250">
        <v>47721</v>
      </c>
      <c r="B20255" s="74" t="s">
        <v>10926</v>
      </c>
      <c r="C20255" s="74" t="s">
        <v>425</v>
      </c>
    </row>
    <row r="20256" spans="1:3">
      <c r="A20256" s="250">
        <v>47722</v>
      </c>
      <c r="B20256" s="74" t="s">
        <v>10926</v>
      </c>
      <c r="C20256" s="74" t="s">
        <v>425</v>
      </c>
    </row>
    <row r="20257" spans="1:3">
      <c r="A20257" s="250">
        <v>47724</v>
      </c>
      <c r="B20257" s="74" t="s">
        <v>10926</v>
      </c>
      <c r="C20257" s="74" t="s">
        <v>425</v>
      </c>
    </row>
    <row r="20258" spans="1:3">
      <c r="A20258" s="250">
        <v>47725</v>
      </c>
      <c r="B20258" s="74" t="s">
        <v>10926</v>
      </c>
      <c r="C20258" s="74" t="s">
        <v>425</v>
      </c>
    </row>
    <row r="20259" spans="1:3">
      <c r="A20259" s="250">
        <v>47727</v>
      </c>
      <c r="B20259" s="74" t="s">
        <v>10926</v>
      </c>
      <c r="C20259" s="74" t="s">
        <v>425</v>
      </c>
    </row>
    <row r="20260" spans="1:3">
      <c r="A20260" s="250">
        <v>47728</v>
      </c>
      <c r="B20260" s="74" t="s">
        <v>10926</v>
      </c>
      <c r="C20260" s="74" t="s">
        <v>425</v>
      </c>
    </row>
    <row r="20261" spans="1:3">
      <c r="A20261" s="250">
        <v>47730</v>
      </c>
      <c r="B20261" s="74" t="s">
        <v>10926</v>
      </c>
      <c r="C20261" s="74" t="s">
        <v>425</v>
      </c>
    </row>
    <row r="20262" spans="1:3">
      <c r="A20262" s="250">
        <v>47731</v>
      </c>
      <c r="B20262" s="74" t="s">
        <v>10926</v>
      </c>
      <c r="C20262" s="74" t="s">
        <v>425</v>
      </c>
    </row>
    <row r="20263" spans="1:3">
      <c r="A20263" s="250">
        <v>47732</v>
      </c>
      <c r="B20263" s="74" t="s">
        <v>10926</v>
      </c>
      <c r="C20263" s="74" t="s">
        <v>425</v>
      </c>
    </row>
    <row r="20264" spans="1:3">
      <c r="A20264" s="250">
        <v>47733</v>
      </c>
      <c r="B20264" s="74" t="s">
        <v>10926</v>
      </c>
      <c r="C20264" s="74" t="s">
        <v>425</v>
      </c>
    </row>
    <row r="20265" spans="1:3">
      <c r="A20265" s="250">
        <v>47734</v>
      </c>
      <c r="B20265" s="74" t="s">
        <v>10926</v>
      </c>
      <c r="C20265" s="74" t="s">
        <v>425</v>
      </c>
    </row>
    <row r="20266" spans="1:3">
      <c r="A20266" s="250">
        <v>47735</v>
      </c>
      <c r="B20266" s="74" t="s">
        <v>10926</v>
      </c>
      <c r="C20266" s="74" t="s">
        <v>425</v>
      </c>
    </row>
    <row r="20267" spans="1:3">
      <c r="A20267" s="250">
        <v>47736</v>
      </c>
      <c r="B20267" s="74" t="s">
        <v>10926</v>
      </c>
      <c r="C20267" s="74" t="s">
        <v>425</v>
      </c>
    </row>
    <row r="20268" spans="1:3">
      <c r="A20268" s="250">
        <v>47737</v>
      </c>
      <c r="B20268" s="74" t="s">
        <v>10926</v>
      </c>
      <c r="C20268" s="74" t="s">
        <v>425</v>
      </c>
    </row>
    <row r="20269" spans="1:3">
      <c r="A20269" s="250">
        <v>47739</v>
      </c>
      <c r="B20269" s="74" t="s">
        <v>10926</v>
      </c>
      <c r="C20269" s="74" t="s">
        <v>425</v>
      </c>
    </row>
    <row r="20270" spans="1:3">
      <c r="A20270" s="250">
        <v>47740</v>
      </c>
      <c r="B20270" s="74" t="s">
        <v>10926</v>
      </c>
      <c r="C20270" s="74" t="s">
        <v>425</v>
      </c>
    </row>
    <row r="20271" spans="1:3">
      <c r="A20271" s="250">
        <v>47741</v>
      </c>
      <c r="B20271" s="74" t="s">
        <v>10926</v>
      </c>
      <c r="C20271" s="74" t="s">
        <v>425</v>
      </c>
    </row>
    <row r="20272" spans="1:3">
      <c r="A20272" s="250">
        <v>47744</v>
      </c>
      <c r="B20272" s="74" t="s">
        <v>10926</v>
      </c>
      <c r="C20272" s="74" t="s">
        <v>425</v>
      </c>
    </row>
    <row r="20273" spans="1:3">
      <c r="A20273" s="250">
        <v>47747</v>
      </c>
      <c r="B20273" s="74" t="s">
        <v>10926</v>
      </c>
      <c r="C20273" s="74" t="s">
        <v>425</v>
      </c>
    </row>
    <row r="20274" spans="1:3">
      <c r="A20274" s="250">
        <v>47750</v>
      </c>
      <c r="B20274" s="74" t="s">
        <v>10926</v>
      </c>
      <c r="C20274" s="74" t="s">
        <v>425</v>
      </c>
    </row>
    <row r="20275" spans="1:3">
      <c r="A20275" s="250">
        <v>47801</v>
      </c>
      <c r="B20275" s="74" t="s">
        <v>10927</v>
      </c>
      <c r="C20275" s="74" t="s">
        <v>425</v>
      </c>
    </row>
    <row r="20276" spans="1:3">
      <c r="A20276" s="250">
        <v>47802</v>
      </c>
      <c r="B20276" s="74" t="s">
        <v>10927</v>
      </c>
      <c r="C20276" s="74" t="s">
        <v>425</v>
      </c>
    </row>
    <row r="20277" spans="1:3">
      <c r="A20277" s="250">
        <v>47803</v>
      </c>
      <c r="B20277" s="74" t="s">
        <v>10927</v>
      </c>
      <c r="C20277" s="74" t="s">
        <v>425</v>
      </c>
    </row>
    <row r="20278" spans="1:3">
      <c r="A20278" s="250">
        <v>47804</v>
      </c>
      <c r="B20278" s="74" t="s">
        <v>10927</v>
      </c>
      <c r="C20278" s="74" t="s">
        <v>425</v>
      </c>
    </row>
    <row r="20279" spans="1:3">
      <c r="A20279" s="250">
        <v>47805</v>
      </c>
      <c r="B20279" s="74" t="s">
        <v>10927</v>
      </c>
      <c r="C20279" s="74" t="s">
        <v>425</v>
      </c>
    </row>
    <row r="20280" spans="1:3">
      <c r="A20280" s="250">
        <v>47807</v>
      </c>
      <c r="B20280" s="74" t="s">
        <v>10927</v>
      </c>
      <c r="C20280" s="74" t="s">
        <v>425</v>
      </c>
    </row>
    <row r="20281" spans="1:3">
      <c r="A20281" s="250">
        <v>47808</v>
      </c>
      <c r="B20281" s="74" t="s">
        <v>10927</v>
      </c>
      <c r="C20281" s="74" t="s">
        <v>425</v>
      </c>
    </row>
    <row r="20282" spans="1:3">
      <c r="A20282" s="250">
        <v>47809</v>
      </c>
      <c r="B20282" s="74" t="s">
        <v>10927</v>
      </c>
      <c r="C20282" s="74" t="s">
        <v>425</v>
      </c>
    </row>
    <row r="20283" spans="1:3">
      <c r="A20283" s="250">
        <v>47811</v>
      </c>
      <c r="B20283" s="74" t="s">
        <v>10927</v>
      </c>
      <c r="C20283" s="74" t="s">
        <v>425</v>
      </c>
    </row>
    <row r="20284" spans="1:3">
      <c r="A20284" s="250">
        <v>47812</v>
      </c>
      <c r="B20284" s="74" t="s">
        <v>10927</v>
      </c>
      <c r="C20284" s="74" t="s">
        <v>425</v>
      </c>
    </row>
    <row r="20285" spans="1:3">
      <c r="A20285" s="250">
        <v>47830</v>
      </c>
      <c r="B20285" s="74" t="s">
        <v>2806</v>
      </c>
      <c r="C20285" s="74" t="s">
        <v>425</v>
      </c>
    </row>
    <row r="20286" spans="1:3">
      <c r="A20286" s="250">
        <v>47831</v>
      </c>
      <c r="B20286" s="74" t="s">
        <v>10928</v>
      </c>
      <c r="C20286" s="74" t="s">
        <v>425</v>
      </c>
    </row>
    <row r="20287" spans="1:3">
      <c r="A20287" s="250">
        <v>47832</v>
      </c>
      <c r="B20287" s="74" t="s">
        <v>2182</v>
      </c>
      <c r="C20287" s="74" t="s">
        <v>425</v>
      </c>
    </row>
    <row r="20288" spans="1:3">
      <c r="A20288" s="250">
        <v>47833</v>
      </c>
      <c r="B20288" s="74" t="s">
        <v>5879</v>
      </c>
      <c r="C20288" s="74" t="s">
        <v>425</v>
      </c>
    </row>
    <row r="20289" spans="1:3">
      <c r="A20289" s="250">
        <v>47834</v>
      </c>
      <c r="B20289" s="74" t="s">
        <v>10929</v>
      </c>
      <c r="C20289" s="74" t="s">
        <v>425</v>
      </c>
    </row>
    <row r="20290" spans="1:3">
      <c r="A20290" s="250">
        <v>47836</v>
      </c>
      <c r="B20290" s="74" t="s">
        <v>2473</v>
      </c>
      <c r="C20290" s="74" t="s">
        <v>425</v>
      </c>
    </row>
    <row r="20291" spans="1:3">
      <c r="A20291" s="250">
        <v>47837</v>
      </c>
      <c r="B20291" s="74" t="s">
        <v>10930</v>
      </c>
      <c r="C20291" s="74" t="s">
        <v>425</v>
      </c>
    </row>
    <row r="20292" spans="1:3">
      <c r="A20292" s="250">
        <v>47838</v>
      </c>
      <c r="B20292" s="74" t="s">
        <v>786</v>
      </c>
      <c r="C20292" s="74" t="s">
        <v>425</v>
      </c>
    </row>
    <row r="20293" spans="1:3">
      <c r="A20293" s="250">
        <v>47840</v>
      </c>
      <c r="B20293" s="74" t="s">
        <v>10931</v>
      </c>
      <c r="C20293" s="74" t="s">
        <v>425</v>
      </c>
    </row>
    <row r="20294" spans="1:3">
      <c r="A20294" s="250">
        <v>47841</v>
      </c>
      <c r="B20294" s="74" t="s">
        <v>9621</v>
      </c>
      <c r="C20294" s="74" t="s">
        <v>425</v>
      </c>
    </row>
    <row r="20295" spans="1:3">
      <c r="A20295" s="250">
        <v>47842</v>
      </c>
      <c r="B20295" s="74" t="s">
        <v>732</v>
      </c>
      <c r="C20295" s="74" t="s">
        <v>425</v>
      </c>
    </row>
    <row r="20296" spans="1:3">
      <c r="A20296" s="250">
        <v>47845</v>
      </c>
      <c r="B20296" s="74" t="s">
        <v>9051</v>
      </c>
      <c r="C20296" s="74" t="s">
        <v>425</v>
      </c>
    </row>
    <row r="20297" spans="1:3">
      <c r="A20297" s="250">
        <v>47846</v>
      </c>
      <c r="B20297" s="74" t="s">
        <v>10932</v>
      </c>
      <c r="C20297" s="74" t="s">
        <v>425</v>
      </c>
    </row>
    <row r="20298" spans="1:3">
      <c r="A20298" s="250">
        <v>47847</v>
      </c>
      <c r="B20298" s="74" t="s">
        <v>7543</v>
      </c>
      <c r="C20298" s="74" t="s">
        <v>425</v>
      </c>
    </row>
    <row r="20299" spans="1:3">
      <c r="A20299" s="250">
        <v>47848</v>
      </c>
      <c r="B20299" s="74" t="s">
        <v>10933</v>
      </c>
      <c r="C20299" s="74" t="s">
        <v>425</v>
      </c>
    </row>
    <row r="20300" spans="1:3">
      <c r="A20300" s="250">
        <v>47849</v>
      </c>
      <c r="B20300" s="74" t="s">
        <v>10934</v>
      </c>
      <c r="C20300" s="74" t="s">
        <v>425</v>
      </c>
    </row>
    <row r="20301" spans="1:3">
      <c r="A20301" s="250">
        <v>47850</v>
      </c>
      <c r="B20301" s="74" t="s">
        <v>10935</v>
      </c>
      <c r="C20301" s="74" t="s">
        <v>425</v>
      </c>
    </row>
    <row r="20302" spans="1:3">
      <c r="A20302" s="250">
        <v>47851</v>
      </c>
      <c r="B20302" s="74" t="s">
        <v>10936</v>
      </c>
      <c r="C20302" s="74" t="s">
        <v>425</v>
      </c>
    </row>
    <row r="20303" spans="1:3">
      <c r="A20303" s="250">
        <v>47852</v>
      </c>
      <c r="B20303" s="74" t="s">
        <v>4060</v>
      </c>
      <c r="C20303" s="74" t="s">
        <v>425</v>
      </c>
    </row>
    <row r="20304" spans="1:3">
      <c r="A20304" s="250">
        <v>47853</v>
      </c>
      <c r="B20304" s="74" t="s">
        <v>1109</v>
      </c>
      <c r="C20304" s="74" t="s">
        <v>425</v>
      </c>
    </row>
    <row r="20305" spans="1:3">
      <c r="A20305" s="250">
        <v>47854</v>
      </c>
      <c r="B20305" s="74" t="s">
        <v>2236</v>
      </c>
      <c r="C20305" s="74" t="s">
        <v>425</v>
      </c>
    </row>
    <row r="20306" spans="1:3">
      <c r="A20306" s="250">
        <v>47855</v>
      </c>
      <c r="B20306" s="74" t="s">
        <v>10937</v>
      </c>
      <c r="C20306" s="74" t="s">
        <v>425</v>
      </c>
    </row>
    <row r="20307" spans="1:3">
      <c r="A20307" s="250">
        <v>47856</v>
      </c>
      <c r="B20307" s="74" t="s">
        <v>10938</v>
      </c>
      <c r="C20307" s="74" t="s">
        <v>425</v>
      </c>
    </row>
    <row r="20308" spans="1:3">
      <c r="A20308" s="250">
        <v>47857</v>
      </c>
      <c r="B20308" s="74" t="s">
        <v>10939</v>
      </c>
      <c r="C20308" s="74" t="s">
        <v>425</v>
      </c>
    </row>
    <row r="20309" spans="1:3">
      <c r="A20309" s="250">
        <v>47858</v>
      </c>
      <c r="B20309" s="74" t="s">
        <v>3303</v>
      </c>
      <c r="C20309" s="74" t="s">
        <v>425</v>
      </c>
    </row>
    <row r="20310" spans="1:3">
      <c r="A20310" s="250">
        <v>47859</v>
      </c>
      <c r="B20310" s="74" t="s">
        <v>5516</v>
      </c>
      <c r="C20310" s="74" t="s">
        <v>425</v>
      </c>
    </row>
    <row r="20311" spans="1:3">
      <c r="A20311" s="250">
        <v>47860</v>
      </c>
      <c r="B20311" s="74" t="s">
        <v>10940</v>
      </c>
      <c r="C20311" s="74" t="s">
        <v>425</v>
      </c>
    </row>
    <row r="20312" spans="1:3">
      <c r="A20312" s="250">
        <v>47861</v>
      </c>
      <c r="B20312" s="74" t="s">
        <v>10941</v>
      </c>
      <c r="C20312" s="74" t="s">
        <v>425</v>
      </c>
    </row>
    <row r="20313" spans="1:3">
      <c r="A20313" s="250">
        <v>47862</v>
      </c>
      <c r="B20313" s="74" t="s">
        <v>3391</v>
      </c>
      <c r="C20313" s="74" t="s">
        <v>425</v>
      </c>
    </row>
    <row r="20314" spans="1:3">
      <c r="A20314" s="250">
        <v>47863</v>
      </c>
      <c r="B20314" s="74" t="s">
        <v>10942</v>
      </c>
      <c r="C20314" s="74" t="s">
        <v>425</v>
      </c>
    </row>
    <row r="20315" spans="1:3">
      <c r="A20315" s="250">
        <v>47864</v>
      </c>
      <c r="B20315" s="74" t="s">
        <v>1231</v>
      </c>
      <c r="C20315" s="74" t="s">
        <v>425</v>
      </c>
    </row>
    <row r="20316" spans="1:3">
      <c r="A20316" s="250">
        <v>47865</v>
      </c>
      <c r="B20316" s="74" t="s">
        <v>777</v>
      </c>
      <c r="C20316" s="74" t="s">
        <v>425</v>
      </c>
    </row>
    <row r="20317" spans="1:3">
      <c r="A20317" s="250">
        <v>47866</v>
      </c>
      <c r="B20317" s="74" t="s">
        <v>10943</v>
      </c>
      <c r="C20317" s="74" t="s">
        <v>425</v>
      </c>
    </row>
    <row r="20318" spans="1:3">
      <c r="A20318" s="250">
        <v>47868</v>
      </c>
      <c r="B20318" s="74" t="s">
        <v>1460</v>
      </c>
      <c r="C20318" s="74" t="s">
        <v>425</v>
      </c>
    </row>
    <row r="20319" spans="1:3">
      <c r="A20319" s="250">
        <v>47869</v>
      </c>
      <c r="B20319" s="74" t="s">
        <v>10944</v>
      </c>
      <c r="C20319" s="74" t="s">
        <v>425</v>
      </c>
    </row>
    <row r="20320" spans="1:3">
      <c r="A20320" s="250">
        <v>47870</v>
      </c>
      <c r="B20320" s="74" t="s">
        <v>10945</v>
      </c>
      <c r="C20320" s="74" t="s">
        <v>425</v>
      </c>
    </row>
    <row r="20321" spans="1:3">
      <c r="A20321" s="250">
        <v>47871</v>
      </c>
      <c r="B20321" s="74" t="s">
        <v>10946</v>
      </c>
      <c r="C20321" s="74" t="s">
        <v>425</v>
      </c>
    </row>
    <row r="20322" spans="1:3">
      <c r="A20322" s="250">
        <v>47872</v>
      </c>
      <c r="B20322" s="74" t="s">
        <v>1128</v>
      </c>
      <c r="C20322" s="74" t="s">
        <v>425</v>
      </c>
    </row>
    <row r="20323" spans="1:3">
      <c r="A20323" s="250">
        <v>47874</v>
      </c>
      <c r="B20323" s="74" t="s">
        <v>2759</v>
      </c>
      <c r="C20323" s="74" t="s">
        <v>425</v>
      </c>
    </row>
    <row r="20324" spans="1:3">
      <c r="A20324" s="250">
        <v>47875</v>
      </c>
      <c r="B20324" s="74" t="s">
        <v>10947</v>
      </c>
      <c r="C20324" s="74" t="s">
        <v>425</v>
      </c>
    </row>
    <row r="20325" spans="1:3">
      <c r="A20325" s="250">
        <v>47876</v>
      </c>
      <c r="B20325" s="74" t="s">
        <v>10948</v>
      </c>
      <c r="C20325" s="74" t="s">
        <v>425</v>
      </c>
    </row>
    <row r="20326" spans="1:3">
      <c r="A20326" s="250">
        <v>47878</v>
      </c>
      <c r="B20326" s="74" t="s">
        <v>10949</v>
      </c>
      <c r="C20326" s="74" t="s">
        <v>425</v>
      </c>
    </row>
    <row r="20327" spans="1:3">
      <c r="A20327" s="250">
        <v>47879</v>
      </c>
      <c r="B20327" s="74" t="s">
        <v>10950</v>
      </c>
      <c r="C20327" s="74" t="s">
        <v>425</v>
      </c>
    </row>
    <row r="20328" spans="1:3">
      <c r="A20328" s="250">
        <v>47880</v>
      </c>
      <c r="B20328" s="74" t="s">
        <v>10951</v>
      </c>
      <c r="C20328" s="74" t="s">
        <v>425</v>
      </c>
    </row>
    <row r="20329" spans="1:3">
      <c r="A20329" s="250">
        <v>47881</v>
      </c>
      <c r="B20329" s="74" t="s">
        <v>6379</v>
      </c>
      <c r="C20329" s="74" t="s">
        <v>425</v>
      </c>
    </row>
    <row r="20330" spans="1:3">
      <c r="A20330" s="250">
        <v>47882</v>
      </c>
      <c r="B20330" s="74" t="s">
        <v>1231</v>
      </c>
      <c r="C20330" s="74" t="s">
        <v>425</v>
      </c>
    </row>
    <row r="20331" spans="1:3">
      <c r="A20331" s="250">
        <v>47884</v>
      </c>
      <c r="B20331" s="74" t="s">
        <v>10952</v>
      </c>
      <c r="C20331" s="74" t="s">
        <v>425</v>
      </c>
    </row>
    <row r="20332" spans="1:3">
      <c r="A20332" s="250">
        <v>47885</v>
      </c>
      <c r="B20332" s="74" t="s">
        <v>10953</v>
      </c>
      <c r="C20332" s="74" t="s">
        <v>425</v>
      </c>
    </row>
    <row r="20333" spans="1:3">
      <c r="A20333" s="250">
        <v>47901</v>
      </c>
      <c r="B20333" s="74" t="s">
        <v>2315</v>
      </c>
      <c r="C20333" s="74" t="s">
        <v>425</v>
      </c>
    </row>
    <row r="20334" spans="1:3">
      <c r="A20334" s="250">
        <v>47902</v>
      </c>
      <c r="B20334" s="74" t="s">
        <v>2315</v>
      </c>
      <c r="C20334" s="74" t="s">
        <v>425</v>
      </c>
    </row>
    <row r="20335" spans="1:3">
      <c r="A20335" s="250">
        <v>47903</v>
      </c>
      <c r="B20335" s="74" t="s">
        <v>2315</v>
      </c>
      <c r="C20335" s="74" t="s">
        <v>425</v>
      </c>
    </row>
    <row r="20336" spans="1:3">
      <c r="A20336" s="250">
        <v>47904</v>
      </c>
      <c r="B20336" s="74" t="s">
        <v>2315</v>
      </c>
      <c r="C20336" s="74" t="s">
        <v>425</v>
      </c>
    </row>
    <row r="20337" spans="1:3">
      <c r="A20337" s="250">
        <v>47905</v>
      </c>
      <c r="B20337" s="74" t="s">
        <v>2315</v>
      </c>
      <c r="C20337" s="74" t="s">
        <v>425</v>
      </c>
    </row>
    <row r="20338" spans="1:3">
      <c r="A20338" s="250">
        <v>47906</v>
      </c>
      <c r="B20338" s="74" t="s">
        <v>10261</v>
      </c>
      <c r="C20338" s="74" t="s">
        <v>425</v>
      </c>
    </row>
    <row r="20339" spans="1:3">
      <c r="A20339" s="250">
        <v>47907</v>
      </c>
      <c r="B20339" s="74" t="s">
        <v>10261</v>
      </c>
      <c r="C20339" s="74" t="s">
        <v>425</v>
      </c>
    </row>
    <row r="20340" spans="1:3">
      <c r="A20340" s="250">
        <v>47909</v>
      </c>
      <c r="B20340" s="74" t="s">
        <v>2315</v>
      </c>
      <c r="C20340" s="74" t="s">
        <v>425</v>
      </c>
    </row>
    <row r="20341" spans="1:3">
      <c r="A20341" s="250">
        <v>47916</v>
      </c>
      <c r="B20341" s="74" t="s">
        <v>7934</v>
      </c>
      <c r="C20341" s="74" t="s">
        <v>425</v>
      </c>
    </row>
    <row r="20342" spans="1:3">
      <c r="A20342" s="250">
        <v>47917</v>
      </c>
      <c r="B20342" s="74" t="s">
        <v>10954</v>
      </c>
      <c r="C20342" s="74" t="s">
        <v>425</v>
      </c>
    </row>
    <row r="20343" spans="1:3">
      <c r="A20343" s="250">
        <v>47918</v>
      </c>
      <c r="B20343" s="74" t="s">
        <v>3674</v>
      </c>
      <c r="C20343" s="74" t="s">
        <v>425</v>
      </c>
    </row>
    <row r="20344" spans="1:3">
      <c r="A20344" s="250">
        <v>47920</v>
      </c>
      <c r="B20344" s="74" t="s">
        <v>10955</v>
      </c>
      <c r="C20344" s="74" t="s">
        <v>425</v>
      </c>
    </row>
    <row r="20345" spans="1:3">
      <c r="A20345" s="250">
        <v>47921</v>
      </c>
      <c r="B20345" s="74" t="s">
        <v>4157</v>
      </c>
      <c r="C20345" s="74" t="s">
        <v>425</v>
      </c>
    </row>
    <row r="20346" spans="1:3">
      <c r="A20346" s="250">
        <v>47922</v>
      </c>
      <c r="B20346" s="74" t="s">
        <v>10956</v>
      </c>
      <c r="C20346" s="74" t="s">
        <v>425</v>
      </c>
    </row>
    <row r="20347" spans="1:3">
      <c r="A20347" s="250">
        <v>47923</v>
      </c>
      <c r="B20347" s="74" t="s">
        <v>10957</v>
      </c>
      <c r="C20347" s="74" t="s">
        <v>425</v>
      </c>
    </row>
    <row r="20348" spans="1:3">
      <c r="A20348" s="250">
        <v>47924</v>
      </c>
      <c r="B20348" s="74" t="s">
        <v>10958</v>
      </c>
      <c r="C20348" s="74" t="s">
        <v>425</v>
      </c>
    </row>
    <row r="20349" spans="1:3">
      <c r="A20349" s="250">
        <v>47925</v>
      </c>
      <c r="B20349" s="74" t="s">
        <v>3751</v>
      </c>
      <c r="C20349" s="74" t="s">
        <v>425</v>
      </c>
    </row>
    <row r="20350" spans="1:3">
      <c r="A20350" s="250">
        <v>47926</v>
      </c>
      <c r="B20350" s="74" t="s">
        <v>10959</v>
      </c>
      <c r="C20350" s="74" t="s">
        <v>425</v>
      </c>
    </row>
    <row r="20351" spans="1:3">
      <c r="A20351" s="250">
        <v>47928</v>
      </c>
      <c r="B20351" s="74" t="s">
        <v>3343</v>
      </c>
      <c r="C20351" s="74" t="s">
        <v>425</v>
      </c>
    </row>
    <row r="20352" spans="1:3">
      <c r="A20352" s="250">
        <v>47929</v>
      </c>
      <c r="B20352" s="74" t="s">
        <v>10960</v>
      </c>
      <c r="C20352" s="74" t="s">
        <v>425</v>
      </c>
    </row>
    <row r="20353" spans="1:3">
      <c r="A20353" s="250">
        <v>47930</v>
      </c>
      <c r="B20353" s="74" t="s">
        <v>7812</v>
      </c>
      <c r="C20353" s="74" t="s">
        <v>425</v>
      </c>
    </row>
    <row r="20354" spans="1:3">
      <c r="A20354" s="250">
        <v>47932</v>
      </c>
      <c r="B20354" s="74" t="s">
        <v>4668</v>
      </c>
      <c r="C20354" s="74" t="s">
        <v>425</v>
      </c>
    </row>
    <row r="20355" spans="1:3">
      <c r="A20355" s="250">
        <v>47933</v>
      </c>
      <c r="B20355" s="74" t="s">
        <v>10961</v>
      </c>
      <c r="C20355" s="74" t="s">
        <v>425</v>
      </c>
    </row>
    <row r="20356" spans="1:3">
      <c r="A20356" s="250">
        <v>47934</v>
      </c>
      <c r="B20356" s="74" t="s">
        <v>10961</v>
      </c>
      <c r="C20356" s="74" t="s">
        <v>425</v>
      </c>
    </row>
    <row r="20357" spans="1:3">
      <c r="A20357" s="250">
        <v>47935</v>
      </c>
      <c r="B20357" s="74" t="s">
        <v>10961</v>
      </c>
      <c r="C20357" s="74" t="s">
        <v>425</v>
      </c>
    </row>
    <row r="20358" spans="1:3">
      <c r="A20358" s="250">
        <v>47936</v>
      </c>
      <c r="B20358" s="74" t="s">
        <v>10961</v>
      </c>
      <c r="C20358" s="74" t="s">
        <v>425</v>
      </c>
    </row>
    <row r="20359" spans="1:3">
      <c r="A20359" s="250">
        <v>47937</v>
      </c>
      <c r="B20359" s="74" t="s">
        <v>10961</v>
      </c>
      <c r="C20359" s="74" t="s">
        <v>425</v>
      </c>
    </row>
    <row r="20360" spans="1:3">
      <c r="A20360" s="250">
        <v>47938</v>
      </c>
      <c r="B20360" s="74" t="s">
        <v>10961</v>
      </c>
      <c r="C20360" s="74" t="s">
        <v>425</v>
      </c>
    </row>
    <row r="20361" spans="1:3">
      <c r="A20361" s="250">
        <v>47939</v>
      </c>
      <c r="B20361" s="74" t="s">
        <v>10961</v>
      </c>
      <c r="C20361" s="74" t="s">
        <v>425</v>
      </c>
    </row>
    <row r="20362" spans="1:3">
      <c r="A20362" s="250">
        <v>47940</v>
      </c>
      <c r="B20362" s="74" t="s">
        <v>4412</v>
      </c>
      <c r="C20362" s="74" t="s">
        <v>425</v>
      </c>
    </row>
    <row r="20363" spans="1:3">
      <c r="A20363" s="250">
        <v>47941</v>
      </c>
      <c r="B20363" s="74" t="s">
        <v>2564</v>
      </c>
      <c r="C20363" s="74" t="s">
        <v>425</v>
      </c>
    </row>
    <row r="20364" spans="1:3">
      <c r="A20364" s="250">
        <v>47942</v>
      </c>
      <c r="B20364" s="74" t="s">
        <v>10962</v>
      </c>
      <c r="C20364" s="74" t="s">
        <v>425</v>
      </c>
    </row>
    <row r="20365" spans="1:3">
      <c r="A20365" s="250">
        <v>47943</v>
      </c>
      <c r="B20365" s="74" t="s">
        <v>10963</v>
      </c>
      <c r="C20365" s="74" t="s">
        <v>425</v>
      </c>
    </row>
    <row r="20366" spans="1:3">
      <c r="A20366" s="250">
        <v>47944</v>
      </c>
      <c r="B20366" s="74" t="s">
        <v>10361</v>
      </c>
      <c r="C20366" s="74" t="s">
        <v>425</v>
      </c>
    </row>
    <row r="20367" spans="1:3">
      <c r="A20367" s="250">
        <v>47946</v>
      </c>
      <c r="B20367" s="74" t="s">
        <v>10964</v>
      </c>
      <c r="C20367" s="74" t="s">
        <v>425</v>
      </c>
    </row>
    <row r="20368" spans="1:3">
      <c r="A20368" s="250">
        <v>47948</v>
      </c>
      <c r="B20368" s="74" t="s">
        <v>8543</v>
      </c>
      <c r="C20368" s="74" t="s">
        <v>425</v>
      </c>
    </row>
    <row r="20369" spans="1:3">
      <c r="A20369" s="250">
        <v>47949</v>
      </c>
      <c r="B20369" s="74" t="s">
        <v>5758</v>
      </c>
      <c r="C20369" s="74" t="s">
        <v>425</v>
      </c>
    </row>
    <row r="20370" spans="1:3">
      <c r="A20370" s="250">
        <v>47950</v>
      </c>
      <c r="B20370" s="74" t="s">
        <v>4823</v>
      </c>
      <c r="C20370" s="74" t="s">
        <v>425</v>
      </c>
    </row>
    <row r="20371" spans="1:3">
      <c r="A20371" s="250">
        <v>47951</v>
      </c>
      <c r="B20371" s="74" t="s">
        <v>10965</v>
      </c>
      <c r="C20371" s="74" t="s">
        <v>425</v>
      </c>
    </row>
    <row r="20372" spans="1:3">
      <c r="A20372" s="250">
        <v>47952</v>
      </c>
      <c r="B20372" s="74" t="s">
        <v>1510</v>
      </c>
      <c r="C20372" s="74" t="s">
        <v>425</v>
      </c>
    </row>
    <row r="20373" spans="1:3">
      <c r="A20373" s="250">
        <v>47954</v>
      </c>
      <c r="B20373" s="74" t="s">
        <v>10966</v>
      </c>
      <c r="C20373" s="74" t="s">
        <v>425</v>
      </c>
    </row>
    <row r="20374" spans="1:3">
      <c r="A20374" s="250">
        <v>47955</v>
      </c>
      <c r="B20374" s="74" t="s">
        <v>2134</v>
      </c>
      <c r="C20374" s="74" t="s">
        <v>425</v>
      </c>
    </row>
    <row r="20375" spans="1:3">
      <c r="A20375" s="250">
        <v>47957</v>
      </c>
      <c r="B20375" s="74" t="s">
        <v>10967</v>
      </c>
      <c r="C20375" s="74" t="s">
        <v>425</v>
      </c>
    </row>
    <row r="20376" spans="1:3">
      <c r="A20376" s="250">
        <v>47958</v>
      </c>
      <c r="B20376" s="74" t="s">
        <v>10968</v>
      </c>
      <c r="C20376" s="74" t="s">
        <v>425</v>
      </c>
    </row>
    <row r="20377" spans="1:3">
      <c r="A20377" s="250">
        <v>47959</v>
      </c>
      <c r="B20377" s="74" t="s">
        <v>10969</v>
      </c>
      <c r="C20377" s="74" t="s">
        <v>425</v>
      </c>
    </row>
    <row r="20378" spans="1:3">
      <c r="A20378" s="250">
        <v>47960</v>
      </c>
      <c r="B20378" s="74" t="s">
        <v>1639</v>
      </c>
      <c r="C20378" s="74" t="s">
        <v>425</v>
      </c>
    </row>
    <row r="20379" spans="1:3">
      <c r="A20379" s="250">
        <v>47962</v>
      </c>
      <c r="B20379" s="74" t="s">
        <v>7820</v>
      </c>
      <c r="C20379" s="74" t="s">
        <v>425</v>
      </c>
    </row>
    <row r="20380" spans="1:3">
      <c r="A20380" s="250">
        <v>47963</v>
      </c>
      <c r="B20380" s="74" t="s">
        <v>10970</v>
      </c>
      <c r="C20380" s="74" t="s">
        <v>425</v>
      </c>
    </row>
    <row r="20381" spans="1:3">
      <c r="A20381" s="250">
        <v>47964</v>
      </c>
      <c r="B20381" s="74" t="s">
        <v>10971</v>
      </c>
      <c r="C20381" s="74" t="s">
        <v>425</v>
      </c>
    </row>
    <row r="20382" spans="1:3">
      <c r="A20382" s="250">
        <v>47965</v>
      </c>
      <c r="B20382" s="74" t="s">
        <v>5812</v>
      </c>
      <c r="C20382" s="74" t="s">
        <v>425</v>
      </c>
    </row>
    <row r="20383" spans="1:3">
      <c r="A20383" s="250">
        <v>47966</v>
      </c>
      <c r="B20383" s="74" t="s">
        <v>1118</v>
      </c>
      <c r="C20383" s="74" t="s">
        <v>425</v>
      </c>
    </row>
    <row r="20384" spans="1:3">
      <c r="A20384" s="250">
        <v>47967</v>
      </c>
      <c r="B20384" s="74" t="s">
        <v>6525</v>
      </c>
      <c r="C20384" s="74" t="s">
        <v>425</v>
      </c>
    </row>
    <row r="20385" spans="1:3">
      <c r="A20385" s="250">
        <v>47968</v>
      </c>
      <c r="B20385" s="74" t="s">
        <v>10972</v>
      </c>
      <c r="C20385" s="74" t="s">
        <v>425</v>
      </c>
    </row>
    <row r="20386" spans="1:3">
      <c r="A20386" s="250">
        <v>47969</v>
      </c>
      <c r="B20386" s="74" t="s">
        <v>2058</v>
      </c>
      <c r="C20386" s="74" t="s">
        <v>425</v>
      </c>
    </row>
    <row r="20387" spans="1:3">
      <c r="A20387" s="250">
        <v>47970</v>
      </c>
      <c r="B20387" s="74" t="s">
        <v>10973</v>
      </c>
      <c r="C20387" s="74" t="s">
        <v>425</v>
      </c>
    </row>
    <row r="20388" spans="1:3">
      <c r="A20388" s="250">
        <v>47971</v>
      </c>
      <c r="B20388" s="74" t="s">
        <v>754</v>
      </c>
      <c r="C20388" s="74" t="s">
        <v>425</v>
      </c>
    </row>
    <row r="20389" spans="1:3">
      <c r="A20389" s="250">
        <v>47974</v>
      </c>
      <c r="B20389" s="74" t="s">
        <v>10444</v>
      </c>
      <c r="C20389" s="74" t="s">
        <v>425</v>
      </c>
    </row>
    <row r="20390" spans="1:3">
      <c r="A20390" s="250">
        <v>47975</v>
      </c>
      <c r="B20390" s="74" t="s">
        <v>10974</v>
      </c>
      <c r="C20390" s="74" t="s">
        <v>425</v>
      </c>
    </row>
    <row r="20391" spans="1:3">
      <c r="A20391" s="250">
        <v>47977</v>
      </c>
      <c r="B20391" s="74" t="s">
        <v>5972</v>
      </c>
      <c r="C20391" s="74" t="s">
        <v>425</v>
      </c>
    </row>
    <row r="20392" spans="1:3">
      <c r="A20392" s="250">
        <v>47978</v>
      </c>
      <c r="B20392" s="74" t="s">
        <v>2993</v>
      </c>
      <c r="C20392" s="74" t="s">
        <v>425</v>
      </c>
    </row>
    <row r="20393" spans="1:3">
      <c r="A20393" s="250">
        <v>47980</v>
      </c>
      <c r="B20393" s="74" t="s">
        <v>8094</v>
      </c>
      <c r="C20393" s="74" t="s">
        <v>425</v>
      </c>
    </row>
    <row r="20394" spans="1:3">
      <c r="A20394" s="250">
        <v>47981</v>
      </c>
      <c r="B20394" s="74" t="s">
        <v>7031</v>
      </c>
      <c r="C20394" s="74" t="s">
        <v>425</v>
      </c>
    </row>
    <row r="20395" spans="1:3">
      <c r="A20395" s="250">
        <v>47982</v>
      </c>
      <c r="B20395" s="74" t="s">
        <v>4794</v>
      </c>
      <c r="C20395" s="74" t="s">
        <v>425</v>
      </c>
    </row>
    <row r="20396" spans="1:3">
      <c r="A20396" s="250">
        <v>47983</v>
      </c>
      <c r="B20396" s="74" t="s">
        <v>10975</v>
      </c>
      <c r="C20396" s="74" t="s">
        <v>425</v>
      </c>
    </row>
    <row r="20397" spans="1:3">
      <c r="A20397" s="250">
        <v>47984</v>
      </c>
      <c r="B20397" s="74" t="s">
        <v>10976</v>
      </c>
      <c r="C20397" s="74" t="s">
        <v>425</v>
      </c>
    </row>
    <row r="20398" spans="1:3">
      <c r="A20398" s="250">
        <v>47986</v>
      </c>
      <c r="B20398" s="74" t="s">
        <v>718</v>
      </c>
      <c r="C20398" s="74" t="s">
        <v>425</v>
      </c>
    </row>
    <row r="20399" spans="1:3">
      <c r="A20399" s="250">
        <v>47987</v>
      </c>
      <c r="B20399" s="74" t="s">
        <v>10977</v>
      </c>
      <c r="C20399" s="74" t="s">
        <v>425</v>
      </c>
    </row>
    <row r="20400" spans="1:3">
      <c r="A20400" s="250">
        <v>47988</v>
      </c>
      <c r="B20400" s="74" t="s">
        <v>6961</v>
      </c>
      <c r="C20400" s="74" t="s">
        <v>425</v>
      </c>
    </row>
    <row r="20401" spans="1:3">
      <c r="A20401" s="250">
        <v>47989</v>
      </c>
      <c r="B20401" s="74" t="s">
        <v>9518</v>
      </c>
      <c r="C20401" s="74" t="s">
        <v>425</v>
      </c>
    </row>
    <row r="20402" spans="1:3">
      <c r="A20402" s="250">
        <v>47990</v>
      </c>
      <c r="B20402" s="74" t="s">
        <v>10978</v>
      </c>
      <c r="C20402" s="74" t="s">
        <v>425</v>
      </c>
    </row>
    <row r="20403" spans="1:3">
      <c r="A20403" s="250">
        <v>47991</v>
      </c>
      <c r="B20403" s="74" t="s">
        <v>1290</v>
      </c>
      <c r="C20403" s="74" t="s">
        <v>425</v>
      </c>
    </row>
    <row r="20404" spans="1:3">
      <c r="A20404" s="250">
        <v>47992</v>
      </c>
      <c r="B20404" s="74" t="s">
        <v>9261</v>
      </c>
      <c r="C20404" s="74" t="s">
        <v>425</v>
      </c>
    </row>
    <row r="20405" spans="1:3">
      <c r="A20405" s="250">
        <v>47993</v>
      </c>
      <c r="B20405" s="74" t="s">
        <v>4897</v>
      </c>
      <c r="C20405" s="74" t="s">
        <v>425</v>
      </c>
    </row>
    <row r="20406" spans="1:3">
      <c r="A20406" s="250">
        <v>47994</v>
      </c>
      <c r="B20406" s="74" t="s">
        <v>5782</v>
      </c>
      <c r="C20406" s="74" t="s">
        <v>425</v>
      </c>
    </row>
    <row r="20407" spans="1:3">
      <c r="A20407" s="250">
        <v>47995</v>
      </c>
      <c r="B20407" s="74" t="s">
        <v>1860</v>
      </c>
      <c r="C20407" s="74" t="s">
        <v>425</v>
      </c>
    </row>
    <row r="20408" spans="1:3">
      <c r="A20408" s="250">
        <v>47996</v>
      </c>
      <c r="B20408" s="74" t="s">
        <v>10261</v>
      </c>
      <c r="C20408" s="74" t="s">
        <v>425</v>
      </c>
    </row>
    <row r="20409" spans="1:3">
      <c r="A20409" s="250">
        <v>47997</v>
      </c>
      <c r="B20409" s="74" t="s">
        <v>10979</v>
      </c>
      <c r="C20409" s="74" t="s">
        <v>425</v>
      </c>
    </row>
    <row r="20410" spans="1:3">
      <c r="A20410" s="250">
        <v>48001</v>
      </c>
      <c r="B20410" s="74" t="s">
        <v>10980</v>
      </c>
      <c r="C20410" s="74" t="s">
        <v>433</v>
      </c>
    </row>
    <row r="20411" spans="1:3">
      <c r="A20411" s="250">
        <v>48002</v>
      </c>
      <c r="B20411" s="74" t="s">
        <v>10981</v>
      </c>
      <c r="C20411" s="74" t="s">
        <v>433</v>
      </c>
    </row>
    <row r="20412" spans="1:3">
      <c r="A20412" s="250">
        <v>48003</v>
      </c>
      <c r="B20412" s="74" t="s">
        <v>10982</v>
      </c>
      <c r="C20412" s="74" t="s">
        <v>433</v>
      </c>
    </row>
    <row r="20413" spans="1:3">
      <c r="A20413" s="250">
        <v>48004</v>
      </c>
      <c r="B20413" s="74" t="s">
        <v>10983</v>
      </c>
      <c r="C20413" s="74" t="s">
        <v>433</v>
      </c>
    </row>
    <row r="20414" spans="1:3">
      <c r="A20414" s="250">
        <v>48005</v>
      </c>
      <c r="B20414" s="74" t="s">
        <v>10984</v>
      </c>
      <c r="C20414" s="74" t="s">
        <v>433</v>
      </c>
    </row>
    <row r="20415" spans="1:3">
      <c r="A20415" s="250">
        <v>48006</v>
      </c>
      <c r="B20415" s="74" t="s">
        <v>3896</v>
      </c>
      <c r="C20415" s="74" t="s">
        <v>433</v>
      </c>
    </row>
    <row r="20416" spans="1:3">
      <c r="A20416" s="250">
        <v>48007</v>
      </c>
      <c r="B20416" s="74" t="s">
        <v>1243</v>
      </c>
      <c r="C20416" s="74" t="s">
        <v>433</v>
      </c>
    </row>
    <row r="20417" spans="1:3">
      <c r="A20417" s="250">
        <v>48009</v>
      </c>
      <c r="B20417" s="74" t="s">
        <v>2369</v>
      </c>
      <c r="C20417" s="74" t="s">
        <v>433</v>
      </c>
    </row>
    <row r="20418" spans="1:3">
      <c r="A20418" s="250">
        <v>48012</v>
      </c>
      <c r="B20418" s="74" t="s">
        <v>2369</v>
      </c>
      <c r="C20418" s="74" t="s">
        <v>433</v>
      </c>
    </row>
    <row r="20419" spans="1:3">
      <c r="A20419" s="250">
        <v>48014</v>
      </c>
      <c r="B20419" s="74" t="s">
        <v>10985</v>
      </c>
      <c r="C20419" s="74" t="s">
        <v>433</v>
      </c>
    </row>
    <row r="20420" spans="1:3">
      <c r="A20420" s="250">
        <v>48015</v>
      </c>
      <c r="B20420" s="74" t="s">
        <v>10986</v>
      </c>
      <c r="C20420" s="74" t="s">
        <v>433</v>
      </c>
    </row>
    <row r="20421" spans="1:3">
      <c r="A20421" s="250">
        <v>48017</v>
      </c>
      <c r="B20421" s="74" t="s">
        <v>10987</v>
      </c>
      <c r="C20421" s="74" t="s">
        <v>433</v>
      </c>
    </row>
    <row r="20422" spans="1:3">
      <c r="A20422" s="250">
        <v>48021</v>
      </c>
      <c r="B20422" s="74" t="s">
        <v>10988</v>
      </c>
      <c r="C20422" s="74" t="s">
        <v>433</v>
      </c>
    </row>
    <row r="20423" spans="1:3">
      <c r="A20423" s="250">
        <v>48022</v>
      </c>
      <c r="B20423" s="74" t="s">
        <v>10989</v>
      </c>
      <c r="C20423" s="74" t="s">
        <v>433</v>
      </c>
    </row>
    <row r="20424" spans="1:3">
      <c r="A20424" s="250">
        <v>48023</v>
      </c>
      <c r="B20424" s="74" t="s">
        <v>1874</v>
      </c>
      <c r="C20424" s="74" t="s">
        <v>433</v>
      </c>
    </row>
    <row r="20425" spans="1:3">
      <c r="A20425" s="250">
        <v>48025</v>
      </c>
      <c r="B20425" s="74" t="s">
        <v>873</v>
      </c>
      <c r="C20425" s="74" t="s">
        <v>433</v>
      </c>
    </row>
    <row r="20426" spans="1:3">
      <c r="A20426" s="250">
        <v>48026</v>
      </c>
      <c r="B20426" s="74" t="s">
        <v>10990</v>
      </c>
      <c r="C20426" s="74" t="s">
        <v>433</v>
      </c>
    </row>
    <row r="20427" spans="1:3">
      <c r="A20427" s="250">
        <v>48027</v>
      </c>
      <c r="B20427" s="74" t="s">
        <v>10991</v>
      </c>
      <c r="C20427" s="74" t="s">
        <v>433</v>
      </c>
    </row>
    <row r="20428" spans="1:3">
      <c r="A20428" s="250">
        <v>48028</v>
      </c>
      <c r="B20428" s="74" t="s">
        <v>10992</v>
      </c>
      <c r="C20428" s="74" t="s">
        <v>433</v>
      </c>
    </row>
    <row r="20429" spans="1:3">
      <c r="A20429" s="250">
        <v>48030</v>
      </c>
      <c r="B20429" s="74" t="s">
        <v>10993</v>
      </c>
      <c r="C20429" s="74" t="s">
        <v>433</v>
      </c>
    </row>
    <row r="20430" spans="1:3">
      <c r="A20430" s="250">
        <v>48032</v>
      </c>
      <c r="B20430" s="74" t="s">
        <v>10994</v>
      </c>
      <c r="C20430" s="74" t="s">
        <v>433</v>
      </c>
    </row>
    <row r="20431" spans="1:3">
      <c r="A20431" s="250">
        <v>48033</v>
      </c>
      <c r="B20431" s="74" t="s">
        <v>663</v>
      </c>
      <c r="C20431" s="74" t="s">
        <v>433</v>
      </c>
    </row>
    <row r="20432" spans="1:3">
      <c r="A20432" s="250">
        <v>48034</v>
      </c>
      <c r="B20432" s="74" t="s">
        <v>663</v>
      </c>
      <c r="C20432" s="74" t="s">
        <v>433</v>
      </c>
    </row>
    <row r="20433" spans="1:3">
      <c r="A20433" s="250">
        <v>48035</v>
      </c>
      <c r="B20433" s="74" t="s">
        <v>10995</v>
      </c>
      <c r="C20433" s="74" t="s">
        <v>433</v>
      </c>
    </row>
    <row r="20434" spans="1:3">
      <c r="A20434" s="250">
        <v>48036</v>
      </c>
      <c r="B20434" s="74" t="s">
        <v>10995</v>
      </c>
      <c r="C20434" s="74" t="s">
        <v>433</v>
      </c>
    </row>
    <row r="20435" spans="1:3">
      <c r="A20435" s="250">
        <v>48037</v>
      </c>
      <c r="B20435" s="74" t="s">
        <v>663</v>
      </c>
      <c r="C20435" s="74" t="s">
        <v>433</v>
      </c>
    </row>
    <row r="20436" spans="1:3">
      <c r="A20436" s="250">
        <v>48038</v>
      </c>
      <c r="B20436" s="74" t="s">
        <v>10995</v>
      </c>
      <c r="C20436" s="74" t="s">
        <v>433</v>
      </c>
    </row>
    <row r="20437" spans="1:3">
      <c r="A20437" s="250">
        <v>48039</v>
      </c>
      <c r="B20437" s="74" t="s">
        <v>10996</v>
      </c>
      <c r="C20437" s="74" t="s">
        <v>433</v>
      </c>
    </row>
    <row r="20438" spans="1:3">
      <c r="A20438" s="250">
        <v>48040</v>
      </c>
      <c r="B20438" s="74" t="s">
        <v>4724</v>
      </c>
      <c r="C20438" s="74" t="s">
        <v>433</v>
      </c>
    </row>
    <row r="20439" spans="1:3">
      <c r="A20439" s="250">
        <v>48041</v>
      </c>
      <c r="B20439" s="74" t="s">
        <v>3387</v>
      </c>
      <c r="C20439" s="74" t="s">
        <v>433</v>
      </c>
    </row>
    <row r="20440" spans="1:3">
      <c r="A20440" s="250">
        <v>48042</v>
      </c>
      <c r="B20440" s="74" t="s">
        <v>10997</v>
      </c>
      <c r="C20440" s="74" t="s">
        <v>433</v>
      </c>
    </row>
    <row r="20441" spans="1:3">
      <c r="A20441" s="250">
        <v>48043</v>
      </c>
      <c r="B20441" s="74" t="s">
        <v>10998</v>
      </c>
      <c r="C20441" s="74" t="s">
        <v>433</v>
      </c>
    </row>
    <row r="20442" spans="1:3">
      <c r="A20442" s="250">
        <v>48044</v>
      </c>
      <c r="B20442" s="74" t="s">
        <v>10997</v>
      </c>
      <c r="C20442" s="74" t="s">
        <v>433</v>
      </c>
    </row>
    <row r="20443" spans="1:3">
      <c r="A20443" s="250">
        <v>48045</v>
      </c>
      <c r="B20443" s="74" t="s">
        <v>10999</v>
      </c>
      <c r="C20443" s="74" t="s">
        <v>433</v>
      </c>
    </row>
    <row r="20444" spans="1:3">
      <c r="A20444" s="250">
        <v>48046</v>
      </c>
      <c r="B20444" s="74" t="s">
        <v>10998</v>
      </c>
      <c r="C20444" s="74" t="s">
        <v>433</v>
      </c>
    </row>
    <row r="20445" spans="1:3">
      <c r="A20445" s="250">
        <v>48047</v>
      </c>
      <c r="B20445" s="74" t="s">
        <v>2980</v>
      </c>
      <c r="C20445" s="74" t="s">
        <v>433</v>
      </c>
    </row>
    <row r="20446" spans="1:3">
      <c r="A20446" s="250">
        <v>48048</v>
      </c>
      <c r="B20446" s="74" t="s">
        <v>1823</v>
      </c>
      <c r="C20446" s="74" t="s">
        <v>433</v>
      </c>
    </row>
    <row r="20447" spans="1:3">
      <c r="A20447" s="250">
        <v>48049</v>
      </c>
      <c r="B20447" s="74" t="s">
        <v>11000</v>
      </c>
      <c r="C20447" s="74" t="s">
        <v>433</v>
      </c>
    </row>
    <row r="20448" spans="1:3">
      <c r="A20448" s="250">
        <v>48050</v>
      </c>
      <c r="B20448" s="74" t="s">
        <v>1823</v>
      </c>
      <c r="C20448" s="74" t="s">
        <v>433</v>
      </c>
    </row>
    <row r="20449" spans="1:3">
      <c r="A20449" s="250">
        <v>48051</v>
      </c>
      <c r="B20449" s="74" t="s">
        <v>2980</v>
      </c>
      <c r="C20449" s="74" t="s">
        <v>433</v>
      </c>
    </row>
    <row r="20450" spans="1:3">
      <c r="A20450" s="250">
        <v>48054</v>
      </c>
      <c r="B20450" s="74" t="s">
        <v>11001</v>
      </c>
      <c r="C20450" s="74" t="s">
        <v>433</v>
      </c>
    </row>
    <row r="20451" spans="1:3">
      <c r="A20451" s="250">
        <v>48059</v>
      </c>
      <c r="B20451" s="74" t="s">
        <v>11002</v>
      </c>
      <c r="C20451" s="74" t="s">
        <v>433</v>
      </c>
    </row>
    <row r="20452" spans="1:3">
      <c r="A20452" s="250">
        <v>48060</v>
      </c>
      <c r="B20452" s="74" t="s">
        <v>11003</v>
      </c>
      <c r="C20452" s="74" t="s">
        <v>433</v>
      </c>
    </row>
    <row r="20453" spans="1:3">
      <c r="A20453" s="250">
        <v>48061</v>
      </c>
      <c r="B20453" s="74" t="s">
        <v>11003</v>
      </c>
      <c r="C20453" s="74" t="s">
        <v>433</v>
      </c>
    </row>
    <row r="20454" spans="1:3">
      <c r="A20454" s="250">
        <v>48062</v>
      </c>
      <c r="B20454" s="74" t="s">
        <v>658</v>
      </c>
      <c r="C20454" s="74" t="s">
        <v>433</v>
      </c>
    </row>
    <row r="20455" spans="1:3">
      <c r="A20455" s="250">
        <v>48063</v>
      </c>
      <c r="B20455" s="74" t="s">
        <v>2376</v>
      </c>
      <c r="C20455" s="74" t="s">
        <v>433</v>
      </c>
    </row>
    <row r="20456" spans="1:3">
      <c r="A20456" s="250">
        <v>48064</v>
      </c>
      <c r="B20456" s="74" t="s">
        <v>1373</v>
      </c>
      <c r="C20456" s="74" t="s">
        <v>433</v>
      </c>
    </row>
    <row r="20457" spans="1:3">
      <c r="A20457" s="250">
        <v>48065</v>
      </c>
      <c r="B20457" s="74" t="s">
        <v>11004</v>
      </c>
      <c r="C20457" s="74" t="s">
        <v>433</v>
      </c>
    </row>
    <row r="20458" spans="1:3">
      <c r="A20458" s="250">
        <v>48066</v>
      </c>
      <c r="B20458" s="74" t="s">
        <v>10242</v>
      </c>
      <c r="C20458" s="74" t="s">
        <v>433</v>
      </c>
    </row>
    <row r="20459" spans="1:3">
      <c r="A20459" s="250">
        <v>48067</v>
      </c>
      <c r="B20459" s="74" t="s">
        <v>5771</v>
      </c>
      <c r="C20459" s="74" t="s">
        <v>433</v>
      </c>
    </row>
    <row r="20460" spans="1:3">
      <c r="A20460" s="250">
        <v>48068</v>
      </c>
      <c r="B20460" s="74" t="s">
        <v>5771</v>
      </c>
      <c r="C20460" s="74" t="s">
        <v>433</v>
      </c>
    </row>
    <row r="20461" spans="1:3">
      <c r="A20461" s="250">
        <v>48069</v>
      </c>
      <c r="B20461" s="74" t="s">
        <v>11005</v>
      </c>
      <c r="C20461" s="74" t="s">
        <v>433</v>
      </c>
    </row>
    <row r="20462" spans="1:3">
      <c r="A20462" s="250">
        <v>48070</v>
      </c>
      <c r="B20462" s="74" t="s">
        <v>11006</v>
      </c>
      <c r="C20462" s="74" t="s">
        <v>433</v>
      </c>
    </row>
    <row r="20463" spans="1:3">
      <c r="A20463" s="250">
        <v>48071</v>
      </c>
      <c r="B20463" s="74" t="s">
        <v>6436</v>
      </c>
      <c r="C20463" s="74" t="s">
        <v>433</v>
      </c>
    </row>
    <row r="20464" spans="1:3">
      <c r="A20464" s="250">
        <v>48072</v>
      </c>
      <c r="B20464" s="74" t="s">
        <v>1088</v>
      </c>
      <c r="C20464" s="74" t="s">
        <v>433</v>
      </c>
    </row>
    <row r="20465" spans="1:3">
      <c r="A20465" s="250">
        <v>48073</v>
      </c>
      <c r="B20465" s="74" t="s">
        <v>5771</v>
      </c>
      <c r="C20465" s="74" t="s">
        <v>433</v>
      </c>
    </row>
    <row r="20466" spans="1:3">
      <c r="A20466" s="250">
        <v>48074</v>
      </c>
      <c r="B20466" s="74" t="s">
        <v>11007</v>
      </c>
      <c r="C20466" s="74" t="s">
        <v>433</v>
      </c>
    </row>
    <row r="20467" spans="1:3">
      <c r="A20467" s="250">
        <v>48075</v>
      </c>
      <c r="B20467" s="74" t="s">
        <v>663</v>
      </c>
      <c r="C20467" s="74" t="s">
        <v>433</v>
      </c>
    </row>
    <row r="20468" spans="1:3">
      <c r="A20468" s="250">
        <v>48076</v>
      </c>
      <c r="B20468" s="74" t="s">
        <v>663</v>
      </c>
      <c r="C20468" s="74" t="s">
        <v>433</v>
      </c>
    </row>
    <row r="20469" spans="1:3">
      <c r="A20469" s="250">
        <v>48079</v>
      </c>
      <c r="B20469" s="74" t="s">
        <v>5017</v>
      </c>
      <c r="C20469" s="74" t="s">
        <v>433</v>
      </c>
    </row>
    <row r="20470" spans="1:3">
      <c r="A20470" s="250">
        <v>48080</v>
      </c>
      <c r="B20470" s="74" t="s">
        <v>11008</v>
      </c>
      <c r="C20470" s="74" t="s">
        <v>433</v>
      </c>
    </row>
    <row r="20471" spans="1:3">
      <c r="A20471" s="250">
        <v>48081</v>
      </c>
      <c r="B20471" s="74" t="s">
        <v>11008</v>
      </c>
      <c r="C20471" s="74" t="s">
        <v>433</v>
      </c>
    </row>
    <row r="20472" spans="1:3">
      <c r="A20472" s="250">
        <v>48082</v>
      </c>
      <c r="B20472" s="74" t="s">
        <v>11008</v>
      </c>
      <c r="C20472" s="74" t="s">
        <v>433</v>
      </c>
    </row>
    <row r="20473" spans="1:3">
      <c r="A20473" s="250">
        <v>48083</v>
      </c>
      <c r="B20473" s="74" t="s">
        <v>1243</v>
      </c>
      <c r="C20473" s="74" t="s">
        <v>433</v>
      </c>
    </row>
    <row r="20474" spans="1:3">
      <c r="A20474" s="250">
        <v>48084</v>
      </c>
      <c r="B20474" s="74" t="s">
        <v>1243</v>
      </c>
      <c r="C20474" s="74" t="s">
        <v>433</v>
      </c>
    </row>
    <row r="20475" spans="1:3">
      <c r="A20475" s="250">
        <v>48085</v>
      </c>
      <c r="B20475" s="74" t="s">
        <v>1243</v>
      </c>
      <c r="C20475" s="74" t="s">
        <v>433</v>
      </c>
    </row>
    <row r="20476" spans="1:3">
      <c r="A20476" s="250">
        <v>48086</v>
      </c>
      <c r="B20476" s="74" t="s">
        <v>663</v>
      </c>
      <c r="C20476" s="74" t="s">
        <v>433</v>
      </c>
    </row>
    <row r="20477" spans="1:3">
      <c r="A20477" s="250">
        <v>48088</v>
      </c>
      <c r="B20477" s="74" t="s">
        <v>622</v>
      </c>
      <c r="C20477" s="74" t="s">
        <v>433</v>
      </c>
    </row>
    <row r="20478" spans="1:3">
      <c r="A20478" s="250">
        <v>48089</v>
      </c>
      <c r="B20478" s="74" t="s">
        <v>622</v>
      </c>
      <c r="C20478" s="74" t="s">
        <v>433</v>
      </c>
    </row>
    <row r="20479" spans="1:3">
      <c r="A20479" s="250">
        <v>48090</v>
      </c>
      <c r="B20479" s="74" t="s">
        <v>622</v>
      </c>
      <c r="C20479" s="74" t="s">
        <v>433</v>
      </c>
    </row>
    <row r="20480" spans="1:3">
      <c r="A20480" s="250">
        <v>48091</v>
      </c>
      <c r="B20480" s="74" t="s">
        <v>622</v>
      </c>
      <c r="C20480" s="74" t="s">
        <v>433</v>
      </c>
    </row>
    <row r="20481" spans="1:3">
      <c r="A20481" s="250">
        <v>48092</v>
      </c>
      <c r="B20481" s="74" t="s">
        <v>622</v>
      </c>
      <c r="C20481" s="74" t="s">
        <v>433</v>
      </c>
    </row>
    <row r="20482" spans="1:3">
      <c r="A20482" s="250">
        <v>48093</v>
      </c>
      <c r="B20482" s="74" t="s">
        <v>622</v>
      </c>
      <c r="C20482" s="74" t="s">
        <v>433</v>
      </c>
    </row>
    <row r="20483" spans="1:3">
      <c r="A20483" s="250">
        <v>48094</v>
      </c>
      <c r="B20483" s="74" t="s">
        <v>1215</v>
      </c>
      <c r="C20483" s="74" t="s">
        <v>433</v>
      </c>
    </row>
    <row r="20484" spans="1:3">
      <c r="A20484" s="250">
        <v>48095</v>
      </c>
      <c r="B20484" s="74" t="s">
        <v>1215</v>
      </c>
      <c r="C20484" s="74" t="s">
        <v>433</v>
      </c>
    </row>
    <row r="20485" spans="1:3">
      <c r="A20485" s="250">
        <v>48096</v>
      </c>
      <c r="B20485" s="74" t="s">
        <v>10550</v>
      </c>
      <c r="C20485" s="74" t="s">
        <v>433</v>
      </c>
    </row>
    <row r="20486" spans="1:3">
      <c r="A20486" s="250">
        <v>48097</v>
      </c>
      <c r="B20486" s="74" t="s">
        <v>6218</v>
      </c>
      <c r="C20486" s="74" t="s">
        <v>433</v>
      </c>
    </row>
    <row r="20487" spans="1:3">
      <c r="A20487" s="250">
        <v>48098</v>
      </c>
      <c r="B20487" s="74" t="s">
        <v>1243</v>
      </c>
      <c r="C20487" s="74" t="s">
        <v>433</v>
      </c>
    </row>
    <row r="20488" spans="1:3">
      <c r="A20488" s="250">
        <v>48099</v>
      </c>
      <c r="B20488" s="74" t="s">
        <v>1243</v>
      </c>
      <c r="C20488" s="74" t="s">
        <v>433</v>
      </c>
    </row>
    <row r="20489" spans="1:3">
      <c r="A20489" s="250">
        <v>48101</v>
      </c>
      <c r="B20489" s="74" t="s">
        <v>11009</v>
      </c>
      <c r="C20489" s="74" t="s">
        <v>433</v>
      </c>
    </row>
    <row r="20490" spans="1:3">
      <c r="A20490" s="250">
        <v>48103</v>
      </c>
      <c r="B20490" s="74" t="s">
        <v>11010</v>
      </c>
      <c r="C20490" s="74" t="s">
        <v>433</v>
      </c>
    </row>
    <row r="20491" spans="1:3">
      <c r="A20491" s="250">
        <v>48104</v>
      </c>
      <c r="B20491" s="74" t="s">
        <v>11010</v>
      </c>
      <c r="C20491" s="74" t="s">
        <v>433</v>
      </c>
    </row>
    <row r="20492" spans="1:3">
      <c r="A20492" s="250">
        <v>48105</v>
      </c>
      <c r="B20492" s="74" t="s">
        <v>11010</v>
      </c>
      <c r="C20492" s="74" t="s">
        <v>433</v>
      </c>
    </row>
    <row r="20493" spans="1:3">
      <c r="A20493" s="250">
        <v>48106</v>
      </c>
      <c r="B20493" s="74" t="s">
        <v>11010</v>
      </c>
      <c r="C20493" s="74" t="s">
        <v>433</v>
      </c>
    </row>
    <row r="20494" spans="1:3">
      <c r="A20494" s="250">
        <v>48107</v>
      </c>
      <c r="B20494" s="74" t="s">
        <v>11010</v>
      </c>
      <c r="C20494" s="74" t="s">
        <v>433</v>
      </c>
    </row>
    <row r="20495" spans="1:3">
      <c r="A20495" s="250">
        <v>48108</v>
      </c>
      <c r="B20495" s="74" t="s">
        <v>11010</v>
      </c>
      <c r="C20495" s="74" t="s">
        <v>433</v>
      </c>
    </row>
    <row r="20496" spans="1:3">
      <c r="A20496" s="250">
        <v>48109</v>
      </c>
      <c r="B20496" s="74" t="s">
        <v>11010</v>
      </c>
      <c r="C20496" s="74" t="s">
        <v>433</v>
      </c>
    </row>
    <row r="20497" spans="1:3">
      <c r="A20497" s="250">
        <v>48110</v>
      </c>
      <c r="B20497" s="74" t="s">
        <v>11011</v>
      </c>
      <c r="C20497" s="74" t="s">
        <v>433</v>
      </c>
    </row>
    <row r="20498" spans="1:3">
      <c r="A20498" s="250">
        <v>48111</v>
      </c>
      <c r="B20498" s="74" t="s">
        <v>2173</v>
      </c>
      <c r="C20498" s="74" t="s">
        <v>433</v>
      </c>
    </row>
    <row r="20499" spans="1:3">
      <c r="A20499" s="250">
        <v>48112</v>
      </c>
      <c r="B20499" s="74" t="s">
        <v>2173</v>
      </c>
      <c r="C20499" s="74" t="s">
        <v>433</v>
      </c>
    </row>
    <row r="20500" spans="1:3">
      <c r="A20500" s="250">
        <v>48113</v>
      </c>
      <c r="B20500" s="74" t="s">
        <v>11010</v>
      </c>
      <c r="C20500" s="74" t="s">
        <v>433</v>
      </c>
    </row>
    <row r="20501" spans="1:3">
      <c r="A20501" s="250">
        <v>48114</v>
      </c>
      <c r="B20501" s="74" t="s">
        <v>911</v>
      </c>
      <c r="C20501" s="74" t="s">
        <v>433</v>
      </c>
    </row>
    <row r="20502" spans="1:3">
      <c r="A20502" s="250">
        <v>48115</v>
      </c>
      <c r="B20502" s="74" t="s">
        <v>936</v>
      </c>
      <c r="C20502" s="74" t="s">
        <v>433</v>
      </c>
    </row>
    <row r="20503" spans="1:3">
      <c r="A20503" s="250">
        <v>48116</v>
      </c>
      <c r="B20503" s="74" t="s">
        <v>911</v>
      </c>
      <c r="C20503" s="74" t="s">
        <v>433</v>
      </c>
    </row>
    <row r="20504" spans="1:3">
      <c r="A20504" s="250">
        <v>48117</v>
      </c>
      <c r="B20504" s="74" t="s">
        <v>11012</v>
      </c>
      <c r="C20504" s="74" t="s">
        <v>433</v>
      </c>
    </row>
    <row r="20505" spans="1:3">
      <c r="A20505" s="250">
        <v>48118</v>
      </c>
      <c r="B20505" s="74" t="s">
        <v>918</v>
      </c>
      <c r="C20505" s="74" t="s">
        <v>433</v>
      </c>
    </row>
    <row r="20506" spans="1:3">
      <c r="A20506" s="250">
        <v>48120</v>
      </c>
      <c r="B20506" s="74" t="s">
        <v>11013</v>
      </c>
      <c r="C20506" s="74" t="s">
        <v>433</v>
      </c>
    </row>
    <row r="20507" spans="1:3">
      <c r="A20507" s="250">
        <v>48121</v>
      </c>
      <c r="B20507" s="74" t="s">
        <v>11013</v>
      </c>
      <c r="C20507" s="74" t="s">
        <v>433</v>
      </c>
    </row>
    <row r="20508" spans="1:3">
      <c r="A20508" s="250">
        <v>48122</v>
      </c>
      <c r="B20508" s="74" t="s">
        <v>11014</v>
      </c>
      <c r="C20508" s="74" t="s">
        <v>433</v>
      </c>
    </row>
    <row r="20509" spans="1:3">
      <c r="A20509" s="250">
        <v>48123</v>
      </c>
      <c r="B20509" s="74" t="s">
        <v>11013</v>
      </c>
      <c r="C20509" s="74" t="s">
        <v>433</v>
      </c>
    </row>
    <row r="20510" spans="1:3">
      <c r="A20510" s="250">
        <v>48124</v>
      </c>
      <c r="B20510" s="74" t="s">
        <v>11013</v>
      </c>
      <c r="C20510" s="74" t="s">
        <v>433</v>
      </c>
    </row>
    <row r="20511" spans="1:3">
      <c r="A20511" s="250">
        <v>48125</v>
      </c>
      <c r="B20511" s="74" t="s">
        <v>11015</v>
      </c>
      <c r="C20511" s="74" t="s">
        <v>433</v>
      </c>
    </row>
    <row r="20512" spans="1:3">
      <c r="A20512" s="250">
        <v>48126</v>
      </c>
      <c r="B20512" s="74" t="s">
        <v>11013</v>
      </c>
      <c r="C20512" s="74" t="s">
        <v>433</v>
      </c>
    </row>
    <row r="20513" spans="1:3">
      <c r="A20513" s="250">
        <v>48127</v>
      </c>
      <c r="B20513" s="74" t="s">
        <v>11015</v>
      </c>
      <c r="C20513" s="74" t="s">
        <v>433</v>
      </c>
    </row>
    <row r="20514" spans="1:3">
      <c r="A20514" s="250">
        <v>48128</v>
      </c>
      <c r="B20514" s="74" t="s">
        <v>11013</v>
      </c>
      <c r="C20514" s="74" t="s">
        <v>433</v>
      </c>
    </row>
    <row r="20515" spans="1:3">
      <c r="A20515" s="250">
        <v>48130</v>
      </c>
      <c r="B20515" s="74" t="s">
        <v>1689</v>
      </c>
      <c r="C20515" s="74" t="s">
        <v>433</v>
      </c>
    </row>
    <row r="20516" spans="1:3">
      <c r="A20516" s="250">
        <v>48131</v>
      </c>
      <c r="B20516" s="74" t="s">
        <v>3912</v>
      </c>
      <c r="C20516" s="74" t="s">
        <v>433</v>
      </c>
    </row>
    <row r="20517" spans="1:3">
      <c r="A20517" s="250">
        <v>48133</v>
      </c>
      <c r="B20517" s="74" t="s">
        <v>4528</v>
      </c>
      <c r="C20517" s="74" t="s">
        <v>433</v>
      </c>
    </row>
    <row r="20518" spans="1:3">
      <c r="A20518" s="250">
        <v>48134</v>
      </c>
      <c r="B20518" s="74" t="s">
        <v>7549</v>
      </c>
      <c r="C20518" s="74" t="s">
        <v>433</v>
      </c>
    </row>
    <row r="20519" spans="1:3">
      <c r="A20519" s="250">
        <v>48135</v>
      </c>
      <c r="B20519" s="74" t="s">
        <v>2769</v>
      </c>
      <c r="C20519" s="74" t="s">
        <v>433</v>
      </c>
    </row>
    <row r="20520" spans="1:3">
      <c r="A20520" s="250">
        <v>48136</v>
      </c>
      <c r="B20520" s="74" t="s">
        <v>2769</v>
      </c>
      <c r="C20520" s="74" t="s">
        <v>433</v>
      </c>
    </row>
    <row r="20521" spans="1:3">
      <c r="A20521" s="250">
        <v>48137</v>
      </c>
      <c r="B20521" s="74" t="s">
        <v>11016</v>
      </c>
      <c r="C20521" s="74" t="s">
        <v>433</v>
      </c>
    </row>
    <row r="20522" spans="1:3">
      <c r="A20522" s="250">
        <v>48138</v>
      </c>
      <c r="B20522" s="74" t="s">
        <v>11017</v>
      </c>
      <c r="C20522" s="74" t="s">
        <v>433</v>
      </c>
    </row>
    <row r="20523" spans="1:3">
      <c r="A20523" s="250">
        <v>48139</v>
      </c>
      <c r="B20523" s="74" t="s">
        <v>2188</v>
      </c>
      <c r="C20523" s="74" t="s">
        <v>433</v>
      </c>
    </row>
    <row r="20524" spans="1:3">
      <c r="A20524" s="250">
        <v>48140</v>
      </c>
      <c r="B20524" s="74" t="s">
        <v>11018</v>
      </c>
      <c r="C20524" s="74" t="s">
        <v>433</v>
      </c>
    </row>
    <row r="20525" spans="1:3">
      <c r="A20525" s="250">
        <v>48141</v>
      </c>
      <c r="B20525" s="74" t="s">
        <v>11019</v>
      </c>
      <c r="C20525" s="74" t="s">
        <v>433</v>
      </c>
    </row>
    <row r="20526" spans="1:3">
      <c r="A20526" s="250">
        <v>48143</v>
      </c>
      <c r="B20526" s="74" t="s">
        <v>8151</v>
      </c>
      <c r="C20526" s="74" t="s">
        <v>433</v>
      </c>
    </row>
    <row r="20527" spans="1:3">
      <c r="A20527" s="250">
        <v>48144</v>
      </c>
      <c r="B20527" s="74" t="s">
        <v>2518</v>
      </c>
      <c r="C20527" s="74" t="s">
        <v>433</v>
      </c>
    </row>
    <row r="20528" spans="1:3">
      <c r="A20528" s="250">
        <v>48145</v>
      </c>
      <c r="B20528" s="74" t="s">
        <v>11020</v>
      </c>
      <c r="C20528" s="74" t="s">
        <v>433</v>
      </c>
    </row>
    <row r="20529" spans="1:3">
      <c r="A20529" s="250">
        <v>48146</v>
      </c>
      <c r="B20529" s="74" t="s">
        <v>2133</v>
      </c>
      <c r="C20529" s="74" t="s">
        <v>433</v>
      </c>
    </row>
    <row r="20530" spans="1:3">
      <c r="A20530" s="250">
        <v>48150</v>
      </c>
      <c r="B20530" s="74" t="s">
        <v>3791</v>
      </c>
      <c r="C20530" s="74" t="s">
        <v>433</v>
      </c>
    </row>
    <row r="20531" spans="1:3">
      <c r="A20531" s="250">
        <v>48151</v>
      </c>
      <c r="B20531" s="74" t="s">
        <v>3791</v>
      </c>
      <c r="C20531" s="74" t="s">
        <v>433</v>
      </c>
    </row>
    <row r="20532" spans="1:3">
      <c r="A20532" s="250">
        <v>48152</v>
      </c>
      <c r="B20532" s="74" t="s">
        <v>3791</v>
      </c>
      <c r="C20532" s="74" t="s">
        <v>433</v>
      </c>
    </row>
    <row r="20533" spans="1:3">
      <c r="A20533" s="250">
        <v>48153</v>
      </c>
      <c r="B20533" s="74" t="s">
        <v>3791</v>
      </c>
      <c r="C20533" s="74" t="s">
        <v>433</v>
      </c>
    </row>
    <row r="20534" spans="1:3">
      <c r="A20534" s="250">
        <v>48154</v>
      </c>
      <c r="B20534" s="74" t="s">
        <v>3791</v>
      </c>
      <c r="C20534" s="74" t="s">
        <v>433</v>
      </c>
    </row>
    <row r="20535" spans="1:3">
      <c r="A20535" s="250">
        <v>48157</v>
      </c>
      <c r="B20535" s="74" t="s">
        <v>11021</v>
      </c>
      <c r="C20535" s="74" t="s">
        <v>433</v>
      </c>
    </row>
    <row r="20536" spans="1:3">
      <c r="A20536" s="250">
        <v>48158</v>
      </c>
      <c r="B20536" s="74" t="s">
        <v>848</v>
      </c>
      <c r="C20536" s="74" t="s">
        <v>433</v>
      </c>
    </row>
    <row r="20537" spans="1:3">
      <c r="A20537" s="250">
        <v>48159</v>
      </c>
      <c r="B20537" s="74" t="s">
        <v>11022</v>
      </c>
      <c r="C20537" s="74" t="s">
        <v>433</v>
      </c>
    </row>
    <row r="20538" spans="1:3">
      <c r="A20538" s="250">
        <v>48160</v>
      </c>
      <c r="B20538" s="74" t="s">
        <v>1256</v>
      </c>
      <c r="C20538" s="74" t="s">
        <v>433</v>
      </c>
    </row>
    <row r="20539" spans="1:3">
      <c r="A20539" s="250">
        <v>48161</v>
      </c>
      <c r="B20539" s="74" t="s">
        <v>1284</v>
      </c>
      <c r="C20539" s="74" t="s">
        <v>433</v>
      </c>
    </row>
    <row r="20540" spans="1:3">
      <c r="A20540" s="250">
        <v>48162</v>
      </c>
      <c r="B20540" s="74" t="s">
        <v>1284</v>
      </c>
      <c r="C20540" s="74" t="s">
        <v>433</v>
      </c>
    </row>
    <row r="20541" spans="1:3">
      <c r="A20541" s="250">
        <v>48164</v>
      </c>
      <c r="B20541" s="74" t="s">
        <v>1166</v>
      </c>
      <c r="C20541" s="74" t="s">
        <v>433</v>
      </c>
    </row>
    <row r="20542" spans="1:3">
      <c r="A20542" s="250">
        <v>48165</v>
      </c>
      <c r="B20542" s="74" t="s">
        <v>11023</v>
      </c>
      <c r="C20542" s="74" t="s">
        <v>433</v>
      </c>
    </row>
    <row r="20543" spans="1:3">
      <c r="A20543" s="250">
        <v>48166</v>
      </c>
      <c r="B20543" s="74" t="s">
        <v>1118</v>
      </c>
      <c r="C20543" s="74" t="s">
        <v>433</v>
      </c>
    </row>
    <row r="20544" spans="1:3">
      <c r="A20544" s="250">
        <v>48167</v>
      </c>
      <c r="B20544" s="74" t="s">
        <v>2985</v>
      </c>
      <c r="C20544" s="74" t="s">
        <v>433</v>
      </c>
    </row>
    <row r="20545" spans="1:3">
      <c r="A20545" s="250">
        <v>48168</v>
      </c>
      <c r="B20545" s="74" t="s">
        <v>2985</v>
      </c>
      <c r="C20545" s="74" t="s">
        <v>433</v>
      </c>
    </row>
    <row r="20546" spans="1:3">
      <c r="A20546" s="250">
        <v>48169</v>
      </c>
      <c r="B20546" s="74" t="s">
        <v>11024</v>
      </c>
      <c r="C20546" s="74" t="s">
        <v>433</v>
      </c>
    </row>
    <row r="20547" spans="1:3">
      <c r="A20547" s="250">
        <v>48170</v>
      </c>
      <c r="B20547" s="74" t="s">
        <v>956</v>
      </c>
      <c r="C20547" s="74" t="s">
        <v>433</v>
      </c>
    </row>
    <row r="20548" spans="1:3">
      <c r="A20548" s="250">
        <v>48173</v>
      </c>
      <c r="B20548" s="74" t="s">
        <v>1525</v>
      </c>
      <c r="C20548" s="74" t="s">
        <v>433</v>
      </c>
    </row>
    <row r="20549" spans="1:3">
      <c r="A20549" s="250">
        <v>48174</v>
      </c>
      <c r="B20549" s="74" t="s">
        <v>3814</v>
      </c>
      <c r="C20549" s="74" t="s">
        <v>433</v>
      </c>
    </row>
    <row r="20550" spans="1:3">
      <c r="A20550" s="250">
        <v>48175</v>
      </c>
      <c r="B20550" s="74" t="s">
        <v>858</v>
      </c>
      <c r="C20550" s="74" t="s">
        <v>433</v>
      </c>
    </row>
    <row r="20551" spans="1:3">
      <c r="A20551" s="250">
        <v>48176</v>
      </c>
      <c r="B20551" s="74" t="s">
        <v>11025</v>
      </c>
      <c r="C20551" s="74" t="s">
        <v>433</v>
      </c>
    </row>
    <row r="20552" spans="1:3">
      <c r="A20552" s="250">
        <v>48177</v>
      </c>
      <c r="B20552" s="74" t="s">
        <v>11026</v>
      </c>
      <c r="C20552" s="74" t="s">
        <v>433</v>
      </c>
    </row>
    <row r="20553" spans="1:3">
      <c r="A20553" s="250">
        <v>48178</v>
      </c>
      <c r="B20553" s="74" t="s">
        <v>11027</v>
      </c>
      <c r="C20553" s="74" t="s">
        <v>433</v>
      </c>
    </row>
    <row r="20554" spans="1:3">
      <c r="A20554" s="250">
        <v>48179</v>
      </c>
      <c r="B20554" s="74" t="s">
        <v>11028</v>
      </c>
      <c r="C20554" s="74" t="s">
        <v>433</v>
      </c>
    </row>
    <row r="20555" spans="1:3">
      <c r="A20555" s="250">
        <v>48180</v>
      </c>
      <c r="B20555" s="74" t="s">
        <v>5195</v>
      </c>
      <c r="C20555" s="74" t="s">
        <v>433</v>
      </c>
    </row>
    <row r="20556" spans="1:3">
      <c r="A20556" s="250">
        <v>48182</v>
      </c>
      <c r="B20556" s="74" t="s">
        <v>11029</v>
      </c>
      <c r="C20556" s="74" t="s">
        <v>433</v>
      </c>
    </row>
    <row r="20557" spans="1:3">
      <c r="A20557" s="250">
        <v>48183</v>
      </c>
      <c r="B20557" s="74" t="s">
        <v>2532</v>
      </c>
      <c r="C20557" s="74" t="s">
        <v>433</v>
      </c>
    </row>
    <row r="20558" spans="1:3">
      <c r="A20558" s="250">
        <v>48184</v>
      </c>
      <c r="B20558" s="74" t="s">
        <v>1464</v>
      </c>
      <c r="C20558" s="74" t="s">
        <v>433</v>
      </c>
    </row>
    <row r="20559" spans="1:3">
      <c r="A20559" s="250">
        <v>48185</v>
      </c>
      <c r="B20559" s="74" t="s">
        <v>4086</v>
      </c>
      <c r="C20559" s="74" t="s">
        <v>433</v>
      </c>
    </row>
    <row r="20560" spans="1:3">
      <c r="A20560" s="250">
        <v>48186</v>
      </c>
      <c r="B20560" s="74" t="s">
        <v>4086</v>
      </c>
      <c r="C20560" s="74" t="s">
        <v>433</v>
      </c>
    </row>
    <row r="20561" spans="1:3">
      <c r="A20561" s="250">
        <v>48187</v>
      </c>
      <c r="B20561" s="74" t="s">
        <v>866</v>
      </c>
      <c r="C20561" s="74" t="s">
        <v>433</v>
      </c>
    </row>
    <row r="20562" spans="1:3">
      <c r="A20562" s="250">
        <v>48188</v>
      </c>
      <c r="B20562" s="74" t="s">
        <v>866</v>
      </c>
      <c r="C20562" s="74" t="s">
        <v>433</v>
      </c>
    </row>
    <row r="20563" spans="1:3">
      <c r="A20563" s="250">
        <v>48189</v>
      </c>
      <c r="B20563" s="74" t="s">
        <v>11030</v>
      </c>
      <c r="C20563" s="74" t="s">
        <v>433</v>
      </c>
    </row>
    <row r="20564" spans="1:3">
      <c r="A20564" s="250">
        <v>48190</v>
      </c>
      <c r="B20564" s="74" t="s">
        <v>11031</v>
      </c>
      <c r="C20564" s="74" t="s">
        <v>433</v>
      </c>
    </row>
    <row r="20565" spans="1:3">
      <c r="A20565" s="250">
        <v>48191</v>
      </c>
      <c r="B20565" s="74" t="s">
        <v>6376</v>
      </c>
      <c r="C20565" s="74" t="s">
        <v>433</v>
      </c>
    </row>
    <row r="20566" spans="1:3">
      <c r="A20566" s="250">
        <v>48192</v>
      </c>
      <c r="B20566" s="74" t="s">
        <v>11032</v>
      </c>
      <c r="C20566" s="74" t="s">
        <v>433</v>
      </c>
    </row>
    <row r="20567" spans="1:3">
      <c r="A20567" s="250">
        <v>48193</v>
      </c>
      <c r="B20567" s="74" t="s">
        <v>8474</v>
      </c>
      <c r="C20567" s="74" t="s">
        <v>433</v>
      </c>
    </row>
    <row r="20568" spans="1:3">
      <c r="A20568" s="250">
        <v>48195</v>
      </c>
      <c r="B20568" s="74" t="s">
        <v>11033</v>
      </c>
      <c r="C20568" s="74" t="s">
        <v>433</v>
      </c>
    </row>
    <row r="20569" spans="1:3">
      <c r="A20569" s="250">
        <v>48197</v>
      </c>
      <c r="B20569" s="74" t="s">
        <v>11034</v>
      </c>
      <c r="C20569" s="74" t="s">
        <v>433</v>
      </c>
    </row>
    <row r="20570" spans="1:3">
      <c r="A20570" s="250">
        <v>48198</v>
      </c>
      <c r="B20570" s="74" t="s">
        <v>11034</v>
      </c>
      <c r="C20570" s="74" t="s">
        <v>433</v>
      </c>
    </row>
    <row r="20571" spans="1:3">
      <c r="A20571" s="250">
        <v>48201</v>
      </c>
      <c r="B20571" s="74" t="s">
        <v>1688</v>
      </c>
      <c r="C20571" s="74" t="s">
        <v>433</v>
      </c>
    </row>
    <row r="20572" spans="1:3">
      <c r="A20572" s="250">
        <v>48202</v>
      </c>
      <c r="B20572" s="74" t="s">
        <v>1688</v>
      </c>
      <c r="C20572" s="74" t="s">
        <v>433</v>
      </c>
    </row>
    <row r="20573" spans="1:3">
      <c r="A20573" s="250">
        <v>48203</v>
      </c>
      <c r="B20573" s="74" t="s">
        <v>2610</v>
      </c>
      <c r="C20573" s="74" t="s">
        <v>433</v>
      </c>
    </row>
    <row r="20574" spans="1:3">
      <c r="A20574" s="250">
        <v>48204</v>
      </c>
      <c r="B20574" s="74" t="s">
        <v>1688</v>
      </c>
      <c r="C20574" s="74" t="s">
        <v>433</v>
      </c>
    </row>
    <row r="20575" spans="1:3">
      <c r="A20575" s="250">
        <v>48205</v>
      </c>
      <c r="B20575" s="74" t="s">
        <v>1688</v>
      </c>
      <c r="C20575" s="74" t="s">
        <v>433</v>
      </c>
    </row>
    <row r="20576" spans="1:3">
      <c r="A20576" s="250">
        <v>48206</v>
      </c>
      <c r="B20576" s="74" t="s">
        <v>1688</v>
      </c>
      <c r="C20576" s="74" t="s">
        <v>433</v>
      </c>
    </row>
    <row r="20577" spans="1:3">
      <c r="A20577" s="250">
        <v>48207</v>
      </c>
      <c r="B20577" s="74" t="s">
        <v>1688</v>
      </c>
      <c r="C20577" s="74" t="s">
        <v>433</v>
      </c>
    </row>
    <row r="20578" spans="1:3">
      <c r="A20578" s="250">
        <v>48208</v>
      </c>
      <c r="B20578" s="74" t="s">
        <v>1688</v>
      </c>
      <c r="C20578" s="74" t="s">
        <v>433</v>
      </c>
    </row>
    <row r="20579" spans="1:3">
      <c r="A20579" s="250">
        <v>48209</v>
      </c>
      <c r="B20579" s="74" t="s">
        <v>1688</v>
      </c>
      <c r="C20579" s="74" t="s">
        <v>433</v>
      </c>
    </row>
    <row r="20580" spans="1:3">
      <c r="A20580" s="250">
        <v>48210</v>
      </c>
      <c r="B20580" s="74" t="s">
        <v>1688</v>
      </c>
      <c r="C20580" s="74" t="s">
        <v>433</v>
      </c>
    </row>
    <row r="20581" spans="1:3">
      <c r="A20581" s="250">
        <v>48211</v>
      </c>
      <c r="B20581" s="74" t="s">
        <v>1688</v>
      </c>
      <c r="C20581" s="74" t="s">
        <v>433</v>
      </c>
    </row>
    <row r="20582" spans="1:3">
      <c r="A20582" s="250">
        <v>48212</v>
      </c>
      <c r="B20582" s="74" t="s">
        <v>11035</v>
      </c>
      <c r="C20582" s="74" t="s">
        <v>433</v>
      </c>
    </row>
    <row r="20583" spans="1:3">
      <c r="A20583" s="250">
        <v>48213</v>
      </c>
      <c r="B20583" s="74" t="s">
        <v>1688</v>
      </c>
      <c r="C20583" s="74" t="s">
        <v>433</v>
      </c>
    </row>
    <row r="20584" spans="1:3">
      <c r="A20584" s="250">
        <v>48214</v>
      </c>
      <c r="B20584" s="74" t="s">
        <v>1688</v>
      </c>
      <c r="C20584" s="74" t="s">
        <v>433</v>
      </c>
    </row>
    <row r="20585" spans="1:3">
      <c r="A20585" s="250">
        <v>48215</v>
      </c>
      <c r="B20585" s="74" t="s">
        <v>1688</v>
      </c>
      <c r="C20585" s="74" t="s">
        <v>433</v>
      </c>
    </row>
    <row r="20586" spans="1:3">
      <c r="A20586" s="250">
        <v>48216</v>
      </c>
      <c r="B20586" s="74" t="s">
        <v>1688</v>
      </c>
      <c r="C20586" s="74" t="s">
        <v>433</v>
      </c>
    </row>
    <row r="20587" spans="1:3">
      <c r="A20587" s="250">
        <v>48217</v>
      </c>
      <c r="B20587" s="74" t="s">
        <v>1688</v>
      </c>
      <c r="C20587" s="74" t="s">
        <v>433</v>
      </c>
    </row>
    <row r="20588" spans="1:3">
      <c r="A20588" s="250">
        <v>48218</v>
      </c>
      <c r="B20588" s="74" t="s">
        <v>11036</v>
      </c>
      <c r="C20588" s="74" t="s">
        <v>433</v>
      </c>
    </row>
    <row r="20589" spans="1:3">
      <c r="A20589" s="250">
        <v>48219</v>
      </c>
      <c r="B20589" s="74" t="s">
        <v>1688</v>
      </c>
      <c r="C20589" s="74" t="s">
        <v>433</v>
      </c>
    </row>
    <row r="20590" spans="1:3">
      <c r="A20590" s="250">
        <v>48220</v>
      </c>
      <c r="B20590" s="74" t="s">
        <v>3173</v>
      </c>
      <c r="C20590" s="74" t="s">
        <v>433</v>
      </c>
    </row>
    <row r="20591" spans="1:3">
      <c r="A20591" s="250">
        <v>48221</v>
      </c>
      <c r="B20591" s="74" t="s">
        <v>1688</v>
      </c>
      <c r="C20591" s="74" t="s">
        <v>433</v>
      </c>
    </row>
    <row r="20592" spans="1:3">
      <c r="A20592" s="250">
        <v>48222</v>
      </c>
      <c r="B20592" s="74" t="s">
        <v>1688</v>
      </c>
      <c r="C20592" s="74" t="s">
        <v>433</v>
      </c>
    </row>
    <row r="20593" spans="1:3">
      <c r="A20593" s="250">
        <v>48223</v>
      </c>
      <c r="B20593" s="74" t="s">
        <v>1688</v>
      </c>
      <c r="C20593" s="74" t="s">
        <v>433</v>
      </c>
    </row>
    <row r="20594" spans="1:3">
      <c r="A20594" s="250">
        <v>48224</v>
      </c>
      <c r="B20594" s="74" t="s">
        <v>1688</v>
      </c>
      <c r="C20594" s="74" t="s">
        <v>433</v>
      </c>
    </row>
    <row r="20595" spans="1:3">
      <c r="A20595" s="250">
        <v>48225</v>
      </c>
      <c r="B20595" s="74" t="s">
        <v>11037</v>
      </c>
      <c r="C20595" s="74" t="s">
        <v>433</v>
      </c>
    </row>
    <row r="20596" spans="1:3">
      <c r="A20596" s="250">
        <v>48226</v>
      </c>
      <c r="B20596" s="74" t="s">
        <v>1688</v>
      </c>
      <c r="C20596" s="74" t="s">
        <v>433</v>
      </c>
    </row>
    <row r="20597" spans="1:3">
      <c r="A20597" s="250">
        <v>48227</v>
      </c>
      <c r="B20597" s="74" t="s">
        <v>1688</v>
      </c>
      <c r="C20597" s="74" t="s">
        <v>433</v>
      </c>
    </row>
    <row r="20598" spans="1:3">
      <c r="A20598" s="250">
        <v>48228</v>
      </c>
      <c r="B20598" s="74" t="s">
        <v>1688</v>
      </c>
      <c r="C20598" s="74" t="s">
        <v>433</v>
      </c>
    </row>
    <row r="20599" spans="1:3">
      <c r="A20599" s="250">
        <v>48229</v>
      </c>
      <c r="B20599" s="74" t="s">
        <v>11038</v>
      </c>
      <c r="C20599" s="74" t="s">
        <v>433</v>
      </c>
    </row>
    <row r="20600" spans="1:3">
      <c r="A20600" s="250">
        <v>48230</v>
      </c>
      <c r="B20600" s="74" t="s">
        <v>11039</v>
      </c>
      <c r="C20600" s="74" t="s">
        <v>433</v>
      </c>
    </row>
    <row r="20601" spans="1:3">
      <c r="A20601" s="250">
        <v>48231</v>
      </c>
      <c r="B20601" s="74" t="s">
        <v>1688</v>
      </c>
      <c r="C20601" s="74" t="s">
        <v>433</v>
      </c>
    </row>
    <row r="20602" spans="1:3">
      <c r="A20602" s="250">
        <v>48232</v>
      </c>
      <c r="B20602" s="74" t="s">
        <v>1688</v>
      </c>
      <c r="C20602" s="74" t="s">
        <v>433</v>
      </c>
    </row>
    <row r="20603" spans="1:3">
      <c r="A20603" s="250">
        <v>48233</v>
      </c>
      <c r="B20603" s="74" t="s">
        <v>1688</v>
      </c>
      <c r="C20603" s="74" t="s">
        <v>433</v>
      </c>
    </row>
    <row r="20604" spans="1:3">
      <c r="A20604" s="250">
        <v>48234</v>
      </c>
      <c r="B20604" s="74" t="s">
        <v>1688</v>
      </c>
      <c r="C20604" s="74" t="s">
        <v>433</v>
      </c>
    </row>
    <row r="20605" spans="1:3">
      <c r="A20605" s="250">
        <v>48235</v>
      </c>
      <c r="B20605" s="74" t="s">
        <v>1688</v>
      </c>
      <c r="C20605" s="74" t="s">
        <v>433</v>
      </c>
    </row>
    <row r="20606" spans="1:3">
      <c r="A20606" s="250">
        <v>48236</v>
      </c>
      <c r="B20606" s="74" t="s">
        <v>11039</v>
      </c>
      <c r="C20606" s="74" t="s">
        <v>433</v>
      </c>
    </row>
    <row r="20607" spans="1:3">
      <c r="A20607" s="250">
        <v>48237</v>
      </c>
      <c r="B20607" s="74" t="s">
        <v>11040</v>
      </c>
      <c r="C20607" s="74" t="s">
        <v>433</v>
      </c>
    </row>
    <row r="20608" spans="1:3">
      <c r="A20608" s="250">
        <v>48238</v>
      </c>
      <c r="B20608" s="74" t="s">
        <v>1688</v>
      </c>
      <c r="C20608" s="74" t="s">
        <v>433</v>
      </c>
    </row>
    <row r="20609" spans="1:3">
      <c r="A20609" s="250">
        <v>48239</v>
      </c>
      <c r="B20609" s="74" t="s">
        <v>3323</v>
      </c>
      <c r="C20609" s="74" t="s">
        <v>433</v>
      </c>
    </row>
    <row r="20610" spans="1:3">
      <c r="A20610" s="250">
        <v>48240</v>
      </c>
      <c r="B20610" s="74" t="s">
        <v>3323</v>
      </c>
      <c r="C20610" s="74" t="s">
        <v>433</v>
      </c>
    </row>
    <row r="20611" spans="1:3">
      <c r="A20611" s="250">
        <v>48242</v>
      </c>
      <c r="B20611" s="74" t="s">
        <v>1688</v>
      </c>
      <c r="C20611" s="74" t="s">
        <v>433</v>
      </c>
    </row>
    <row r="20612" spans="1:3">
      <c r="A20612" s="250">
        <v>48243</v>
      </c>
      <c r="B20612" s="74" t="s">
        <v>1688</v>
      </c>
      <c r="C20612" s="74" t="s">
        <v>433</v>
      </c>
    </row>
    <row r="20613" spans="1:3">
      <c r="A20613" s="250">
        <v>48244</v>
      </c>
      <c r="B20613" s="74" t="s">
        <v>1688</v>
      </c>
      <c r="C20613" s="74" t="s">
        <v>433</v>
      </c>
    </row>
    <row r="20614" spans="1:3">
      <c r="A20614" s="250">
        <v>48255</v>
      </c>
      <c r="B20614" s="74" t="s">
        <v>1688</v>
      </c>
      <c r="C20614" s="74" t="s">
        <v>433</v>
      </c>
    </row>
    <row r="20615" spans="1:3">
      <c r="A20615" s="250">
        <v>48260</v>
      </c>
      <c r="B20615" s="74" t="s">
        <v>1688</v>
      </c>
      <c r="C20615" s="74" t="s">
        <v>433</v>
      </c>
    </row>
    <row r="20616" spans="1:3">
      <c r="A20616" s="250">
        <v>48264</v>
      </c>
      <c r="B20616" s="74" t="s">
        <v>1688</v>
      </c>
      <c r="C20616" s="74" t="s">
        <v>433</v>
      </c>
    </row>
    <row r="20617" spans="1:3">
      <c r="A20617" s="250">
        <v>48265</v>
      </c>
      <c r="B20617" s="74" t="s">
        <v>1688</v>
      </c>
      <c r="C20617" s="74" t="s">
        <v>433</v>
      </c>
    </row>
    <row r="20618" spans="1:3">
      <c r="A20618" s="250">
        <v>48266</v>
      </c>
      <c r="B20618" s="74" t="s">
        <v>1688</v>
      </c>
      <c r="C20618" s="74" t="s">
        <v>433</v>
      </c>
    </row>
    <row r="20619" spans="1:3">
      <c r="A20619" s="250">
        <v>48267</v>
      </c>
      <c r="B20619" s="74" t="s">
        <v>1688</v>
      </c>
      <c r="C20619" s="74" t="s">
        <v>433</v>
      </c>
    </row>
    <row r="20620" spans="1:3">
      <c r="A20620" s="250">
        <v>48268</v>
      </c>
      <c r="B20620" s="74" t="s">
        <v>1688</v>
      </c>
      <c r="C20620" s="74" t="s">
        <v>433</v>
      </c>
    </row>
    <row r="20621" spans="1:3">
      <c r="A20621" s="250">
        <v>48269</v>
      </c>
      <c r="B20621" s="74" t="s">
        <v>1688</v>
      </c>
      <c r="C20621" s="74" t="s">
        <v>433</v>
      </c>
    </row>
    <row r="20622" spans="1:3">
      <c r="A20622" s="250">
        <v>48272</v>
      </c>
      <c r="B20622" s="74" t="s">
        <v>1688</v>
      </c>
      <c r="C20622" s="74" t="s">
        <v>433</v>
      </c>
    </row>
    <row r="20623" spans="1:3">
      <c r="A20623" s="250">
        <v>48275</v>
      </c>
      <c r="B20623" s="74" t="s">
        <v>1688</v>
      </c>
      <c r="C20623" s="74" t="s">
        <v>433</v>
      </c>
    </row>
    <row r="20624" spans="1:3">
      <c r="A20624" s="250">
        <v>48277</v>
      </c>
      <c r="B20624" s="74" t="s">
        <v>1688</v>
      </c>
      <c r="C20624" s="74" t="s">
        <v>433</v>
      </c>
    </row>
    <row r="20625" spans="1:3">
      <c r="A20625" s="250">
        <v>48278</v>
      </c>
      <c r="B20625" s="74" t="s">
        <v>1688</v>
      </c>
      <c r="C20625" s="74" t="s">
        <v>433</v>
      </c>
    </row>
    <row r="20626" spans="1:3">
      <c r="A20626" s="250">
        <v>48279</v>
      </c>
      <c r="B20626" s="74" t="s">
        <v>1688</v>
      </c>
      <c r="C20626" s="74" t="s">
        <v>433</v>
      </c>
    </row>
    <row r="20627" spans="1:3">
      <c r="A20627" s="250">
        <v>48288</v>
      </c>
      <c r="B20627" s="74" t="s">
        <v>1688</v>
      </c>
      <c r="C20627" s="74" t="s">
        <v>433</v>
      </c>
    </row>
    <row r="20628" spans="1:3">
      <c r="A20628" s="250">
        <v>48301</v>
      </c>
      <c r="B20628" s="74" t="s">
        <v>11041</v>
      </c>
      <c r="C20628" s="74" t="s">
        <v>433</v>
      </c>
    </row>
    <row r="20629" spans="1:3">
      <c r="A20629" s="250">
        <v>48302</v>
      </c>
      <c r="B20629" s="74" t="s">
        <v>11041</v>
      </c>
      <c r="C20629" s="74" t="s">
        <v>433</v>
      </c>
    </row>
    <row r="20630" spans="1:3">
      <c r="A20630" s="250">
        <v>48303</v>
      </c>
      <c r="B20630" s="74" t="s">
        <v>11041</v>
      </c>
      <c r="C20630" s="74" t="s">
        <v>433</v>
      </c>
    </row>
    <row r="20631" spans="1:3">
      <c r="A20631" s="250">
        <v>48304</v>
      </c>
      <c r="B20631" s="74" t="s">
        <v>11041</v>
      </c>
      <c r="C20631" s="74" t="s">
        <v>433</v>
      </c>
    </row>
    <row r="20632" spans="1:3">
      <c r="A20632" s="250">
        <v>48306</v>
      </c>
      <c r="B20632" s="74" t="s">
        <v>1085</v>
      </c>
      <c r="C20632" s="74" t="s">
        <v>433</v>
      </c>
    </row>
    <row r="20633" spans="1:3">
      <c r="A20633" s="250">
        <v>48307</v>
      </c>
      <c r="B20633" s="74" t="s">
        <v>1085</v>
      </c>
      <c r="C20633" s="74" t="s">
        <v>433</v>
      </c>
    </row>
    <row r="20634" spans="1:3">
      <c r="A20634" s="250">
        <v>48308</v>
      </c>
      <c r="B20634" s="74" t="s">
        <v>1085</v>
      </c>
      <c r="C20634" s="74" t="s">
        <v>433</v>
      </c>
    </row>
    <row r="20635" spans="1:3">
      <c r="A20635" s="250">
        <v>48309</v>
      </c>
      <c r="B20635" s="74" t="s">
        <v>1085</v>
      </c>
      <c r="C20635" s="74" t="s">
        <v>433</v>
      </c>
    </row>
    <row r="20636" spans="1:3">
      <c r="A20636" s="250">
        <v>48310</v>
      </c>
      <c r="B20636" s="74" t="s">
        <v>11042</v>
      </c>
      <c r="C20636" s="74" t="s">
        <v>433</v>
      </c>
    </row>
    <row r="20637" spans="1:3">
      <c r="A20637" s="250">
        <v>48311</v>
      </c>
      <c r="B20637" s="74" t="s">
        <v>11042</v>
      </c>
      <c r="C20637" s="74" t="s">
        <v>433</v>
      </c>
    </row>
    <row r="20638" spans="1:3">
      <c r="A20638" s="250">
        <v>48312</v>
      </c>
      <c r="B20638" s="74" t="s">
        <v>11042</v>
      </c>
      <c r="C20638" s="74" t="s">
        <v>433</v>
      </c>
    </row>
    <row r="20639" spans="1:3">
      <c r="A20639" s="250">
        <v>48313</v>
      </c>
      <c r="B20639" s="74" t="s">
        <v>11042</v>
      </c>
      <c r="C20639" s="74" t="s">
        <v>433</v>
      </c>
    </row>
    <row r="20640" spans="1:3">
      <c r="A20640" s="250">
        <v>48314</v>
      </c>
      <c r="B20640" s="74" t="s">
        <v>11042</v>
      </c>
      <c r="C20640" s="74" t="s">
        <v>433</v>
      </c>
    </row>
    <row r="20641" spans="1:3">
      <c r="A20641" s="250">
        <v>48315</v>
      </c>
      <c r="B20641" s="74" t="s">
        <v>3521</v>
      </c>
      <c r="C20641" s="74" t="s">
        <v>433</v>
      </c>
    </row>
    <row r="20642" spans="1:3">
      <c r="A20642" s="250">
        <v>48316</v>
      </c>
      <c r="B20642" s="74" t="s">
        <v>3521</v>
      </c>
      <c r="C20642" s="74" t="s">
        <v>433</v>
      </c>
    </row>
    <row r="20643" spans="1:3">
      <c r="A20643" s="250">
        <v>48317</v>
      </c>
      <c r="B20643" s="74" t="s">
        <v>3521</v>
      </c>
      <c r="C20643" s="74" t="s">
        <v>433</v>
      </c>
    </row>
    <row r="20644" spans="1:3">
      <c r="A20644" s="250">
        <v>48318</v>
      </c>
      <c r="B20644" s="74" t="s">
        <v>3521</v>
      </c>
      <c r="C20644" s="74" t="s">
        <v>433</v>
      </c>
    </row>
    <row r="20645" spans="1:3">
      <c r="A20645" s="250">
        <v>48320</v>
      </c>
      <c r="B20645" s="74" t="s">
        <v>11043</v>
      </c>
      <c r="C20645" s="74" t="s">
        <v>433</v>
      </c>
    </row>
    <row r="20646" spans="1:3">
      <c r="A20646" s="250">
        <v>48321</v>
      </c>
      <c r="B20646" s="74" t="s">
        <v>11044</v>
      </c>
      <c r="C20646" s="74" t="s">
        <v>433</v>
      </c>
    </row>
    <row r="20647" spans="1:3">
      <c r="A20647" s="250">
        <v>48322</v>
      </c>
      <c r="B20647" s="74" t="s">
        <v>3836</v>
      </c>
      <c r="C20647" s="74" t="s">
        <v>433</v>
      </c>
    </row>
    <row r="20648" spans="1:3">
      <c r="A20648" s="250">
        <v>48323</v>
      </c>
      <c r="B20648" s="74" t="s">
        <v>3836</v>
      </c>
      <c r="C20648" s="74" t="s">
        <v>433</v>
      </c>
    </row>
    <row r="20649" spans="1:3">
      <c r="A20649" s="250">
        <v>48324</v>
      </c>
      <c r="B20649" s="74" t="s">
        <v>3836</v>
      </c>
      <c r="C20649" s="74" t="s">
        <v>433</v>
      </c>
    </row>
    <row r="20650" spans="1:3">
      <c r="A20650" s="250">
        <v>48325</v>
      </c>
      <c r="B20650" s="74" t="s">
        <v>3836</v>
      </c>
      <c r="C20650" s="74" t="s">
        <v>433</v>
      </c>
    </row>
    <row r="20651" spans="1:3">
      <c r="A20651" s="250">
        <v>48326</v>
      </c>
      <c r="B20651" s="74" t="s">
        <v>11044</v>
      </c>
      <c r="C20651" s="74" t="s">
        <v>433</v>
      </c>
    </row>
    <row r="20652" spans="1:3">
      <c r="A20652" s="250">
        <v>48327</v>
      </c>
      <c r="B20652" s="74" t="s">
        <v>1420</v>
      </c>
      <c r="C20652" s="74" t="s">
        <v>433</v>
      </c>
    </row>
    <row r="20653" spans="1:3">
      <c r="A20653" s="250">
        <v>48328</v>
      </c>
      <c r="B20653" s="74" t="s">
        <v>1420</v>
      </c>
      <c r="C20653" s="74" t="s">
        <v>433</v>
      </c>
    </row>
    <row r="20654" spans="1:3">
      <c r="A20654" s="250">
        <v>48329</v>
      </c>
      <c r="B20654" s="74" t="s">
        <v>1420</v>
      </c>
      <c r="C20654" s="74" t="s">
        <v>433</v>
      </c>
    </row>
    <row r="20655" spans="1:3">
      <c r="A20655" s="250">
        <v>48330</v>
      </c>
      <c r="B20655" s="74" t="s">
        <v>11045</v>
      </c>
      <c r="C20655" s="74" t="s">
        <v>433</v>
      </c>
    </row>
    <row r="20656" spans="1:3">
      <c r="A20656" s="250">
        <v>48331</v>
      </c>
      <c r="B20656" s="74" t="s">
        <v>1309</v>
      </c>
      <c r="C20656" s="74" t="s">
        <v>433</v>
      </c>
    </row>
    <row r="20657" spans="1:3">
      <c r="A20657" s="250">
        <v>48332</v>
      </c>
      <c r="B20657" s="74" t="s">
        <v>1309</v>
      </c>
      <c r="C20657" s="74" t="s">
        <v>433</v>
      </c>
    </row>
    <row r="20658" spans="1:3">
      <c r="A20658" s="250">
        <v>48333</v>
      </c>
      <c r="B20658" s="74" t="s">
        <v>1309</v>
      </c>
      <c r="C20658" s="74" t="s">
        <v>433</v>
      </c>
    </row>
    <row r="20659" spans="1:3">
      <c r="A20659" s="250">
        <v>48334</v>
      </c>
      <c r="B20659" s="74" t="s">
        <v>1309</v>
      </c>
      <c r="C20659" s="74" t="s">
        <v>433</v>
      </c>
    </row>
    <row r="20660" spans="1:3">
      <c r="A20660" s="250">
        <v>48335</v>
      </c>
      <c r="B20660" s="74" t="s">
        <v>1309</v>
      </c>
      <c r="C20660" s="74" t="s">
        <v>433</v>
      </c>
    </row>
    <row r="20661" spans="1:3">
      <c r="A20661" s="250">
        <v>48336</v>
      </c>
      <c r="B20661" s="74" t="s">
        <v>1309</v>
      </c>
      <c r="C20661" s="74" t="s">
        <v>433</v>
      </c>
    </row>
    <row r="20662" spans="1:3">
      <c r="A20662" s="250">
        <v>48340</v>
      </c>
      <c r="B20662" s="74" t="s">
        <v>11046</v>
      </c>
      <c r="C20662" s="74" t="s">
        <v>433</v>
      </c>
    </row>
    <row r="20663" spans="1:3">
      <c r="A20663" s="250">
        <v>48341</v>
      </c>
      <c r="B20663" s="74" t="s">
        <v>11046</v>
      </c>
      <c r="C20663" s="74" t="s">
        <v>433</v>
      </c>
    </row>
    <row r="20664" spans="1:3">
      <c r="A20664" s="250">
        <v>48342</v>
      </c>
      <c r="B20664" s="74" t="s">
        <v>11046</v>
      </c>
      <c r="C20664" s="74" t="s">
        <v>433</v>
      </c>
    </row>
    <row r="20665" spans="1:3">
      <c r="A20665" s="250">
        <v>48343</v>
      </c>
      <c r="B20665" s="74" t="s">
        <v>11046</v>
      </c>
      <c r="C20665" s="74" t="s">
        <v>433</v>
      </c>
    </row>
    <row r="20666" spans="1:3">
      <c r="A20666" s="250">
        <v>48346</v>
      </c>
      <c r="B20666" s="74" t="s">
        <v>7857</v>
      </c>
      <c r="C20666" s="74" t="s">
        <v>433</v>
      </c>
    </row>
    <row r="20667" spans="1:3">
      <c r="A20667" s="250">
        <v>48347</v>
      </c>
      <c r="B20667" s="74" t="s">
        <v>7857</v>
      </c>
      <c r="C20667" s="74" t="s">
        <v>433</v>
      </c>
    </row>
    <row r="20668" spans="1:3">
      <c r="A20668" s="250">
        <v>48348</v>
      </c>
      <c r="B20668" s="74" t="s">
        <v>7857</v>
      </c>
      <c r="C20668" s="74" t="s">
        <v>433</v>
      </c>
    </row>
    <row r="20669" spans="1:3">
      <c r="A20669" s="250">
        <v>48350</v>
      </c>
      <c r="B20669" s="74" t="s">
        <v>11047</v>
      </c>
      <c r="C20669" s="74" t="s">
        <v>433</v>
      </c>
    </row>
    <row r="20670" spans="1:3">
      <c r="A20670" s="250">
        <v>48353</v>
      </c>
      <c r="B20670" s="74" t="s">
        <v>1697</v>
      </c>
      <c r="C20670" s="74" t="s">
        <v>433</v>
      </c>
    </row>
    <row r="20671" spans="1:3">
      <c r="A20671" s="250">
        <v>48356</v>
      </c>
      <c r="B20671" s="74" t="s">
        <v>3120</v>
      </c>
      <c r="C20671" s="74" t="s">
        <v>433</v>
      </c>
    </row>
    <row r="20672" spans="1:3">
      <c r="A20672" s="250">
        <v>48357</v>
      </c>
      <c r="B20672" s="74" t="s">
        <v>3120</v>
      </c>
      <c r="C20672" s="74" t="s">
        <v>433</v>
      </c>
    </row>
    <row r="20673" spans="1:3">
      <c r="A20673" s="250">
        <v>48359</v>
      </c>
      <c r="B20673" s="74" t="s">
        <v>11048</v>
      </c>
      <c r="C20673" s="74" t="s">
        <v>433</v>
      </c>
    </row>
    <row r="20674" spans="1:3">
      <c r="A20674" s="250">
        <v>48360</v>
      </c>
      <c r="B20674" s="74" t="s">
        <v>11048</v>
      </c>
      <c r="C20674" s="74" t="s">
        <v>433</v>
      </c>
    </row>
    <row r="20675" spans="1:3">
      <c r="A20675" s="250">
        <v>48361</v>
      </c>
      <c r="B20675" s="74" t="s">
        <v>11048</v>
      </c>
      <c r="C20675" s="74" t="s">
        <v>433</v>
      </c>
    </row>
    <row r="20676" spans="1:3">
      <c r="A20676" s="250">
        <v>48362</v>
      </c>
      <c r="B20676" s="74" t="s">
        <v>11048</v>
      </c>
      <c r="C20676" s="74" t="s">
        <v>433</v>
      </c>
    </row>
    <row r="20677" spans="1:3">
      <c r="A20677" s="250">
        <v>48363</v>
      </c>
      <c r="B20677" s="74" t="s">
        <v>1121</v>
      </c>
      <c r="C20677" s="74" t="s">
        <v>433</v>
      </c>
    </row>
    <row r="20678" spans="1:3">
      <c r="A20678" s="250">
        <v>48366</v>
      </c>
      <c r="B20678" s="74" t="s">
        <v>949</v>
      </c>
      <c r="C20678" s="74" t="s">
        <v>433</v>
      </c>
    </row>
    <row r="20679" spans="1:3">
      <c r="A20679" s="250">
        <v>48367</v>
      </c>
      <c r="B20679" s="74" t="s">
        <v>11049</v>
      </c>
      <c r="C20679" s="74" t="s">
        <v>433</v>
      </c>
    </row>
    <row r="20680" spans="1:3">
      <c r="A20680" s="250">
        <v>48370</v>
      </c>
      <c r="B20680" s="74" t="s">
        <v>754</v>
      </c>
      <c r="C20680" s="74" t="s">
        <v>433</v>
      </c>
    </row>
    <row r="20681" spans="1:3">
      <c r="A20681" s="250">
        <v>48371</v>
      </c>
      <c r="B20681" s="74" t="s">
        <v>754</v>
      </c>
      <c r="C20681" s="74" t="s">
        <v>433</v>
      </c>
    </row>
    <row r="20682" spans="1:3">
      <c r="A20682" s="250">
        <v>48374</v>
      </c>
      <c r="B20682" s="74" t="s">
        <v>11050</v>
      </c>
      <c r="C20682" s="74" t="s">
        <v>433</v>
      </c>
    </row>
    <row r="20683" spans="1:3">
      <c r="A20683" s="250">
        <v>48375</v>
      </c>
      <c r="B20683" s="74" t="s">
        <v>11050</v>
      </c>
      <c r="C20683" s="74" t="s">
        <v>433</v>
      </c>
    </row>
    <row r="20684" spans="1:3">
      <c r="A20684" s="250">
        <v>48376</v>
      </c>
      <c r="B20684" s="74" t="s">
        <v>11050</v>
      </c>
      <c r="C20684" s="74" t="s">
        <v>433</v>
      </c>
    </row>
    <row r="20685" spans="1:3">
      <c r="A20685" s="250">
        <v>48377</v>
      </c>
      <c r="B20685" s="74" t="s">
        <v>11050</v>
      </c>
      <c r="C20685" s="74" t="s">
        <v>433</v>
      </c>
    </row>
    <row r="20686" spans="1:3">
      <c r="A20686" s="250">
        <v>48380</v>
      </c>
      <c r="B20686" s="74" t="s">
        <v>796</v>
      </c>
      <c r="C20686" s="74" t="s">
        <v>433</v>
      </c>
    </row>
    <row r="20687" spans="1:3">
      <c r="A20687" s="250">
        <v>48381</v>
      </c>
      <c r="B20687" s="74" t="s">
        <v>796</v>
      </c>
      <c r="C20687" s="74" t="s">
        <v>433</v>
      </c>
    </row>
    <row r="20688" spans="1:3">
      <c r="A20688" s="250">
        <v>48382</v>
      </c>
      <c r="B20688" s="74" t="s">
        <v>11051</v>
      </c>
      <c r="C20688" s="74" t="s">
        <v>433</v>
      </c>
    </row>
    <row r="20689" spans="1:3">
      <c r="A20689" s="250">
        <v>48383</v>
      </c>
      <c r="B20689" s="74" t="s">
        <v>3211</v>
      </c>
      <c r="C20689" s="74" t="s">
        <v>433</v>
      </c>
    </row>
    <row r="20690" spans="1:3">
      <c r="A20690" s="250">
        <v>48386</v>
      </c>
      <c r="B20690" s="74" t="s">
        <v>3211</v>
      </c>
      <c r="C20690" s="74" t="s">
        <v>433</v>
      </c>
    </row>
    <row r="20691" spans="1:3">
      <c r="A20691" s="250">
        <v>48387</v>
      </c>
      <c r="B20691" s="74" t="s">
        <v>11052</v>
      </c>
      <c r="C20691" s="74" t="s">
        <v>433</v>
      </c>
    </row>
    <row r="20692" spans="1:3">
      <c r="A20692" s="250">
        <v>48390</v>
      </c>
      <c r="B20692" s="74" t="s">
        <v>11053</v>
      </c>
      <c r="C20692" s="74" t="s">
        <v>433</v>
      </c>
    </row>
    <row r="20693" spans="1:3">
      <c r="A20693" s="250">
        <v>48391</v>
      </c>
      <c r="B20693" s="74" t="s">
        <v>11053</v>
      </c>
      <c r="C20693" s="74" t="s">
        <v>433</v>
      </c>
    </row>
    <row r="20694" spans="1:3">
      <c r="A20694" s="250">
        <v>48393</v>
      </c>
      <c r="B20694" s="74" t="s">
        <v>11054</v>
      </c>
      <c r="C20694" s="74" t="s">
        <v>433</v>
      </c>
    </row>
    <row r="20695" spans="1:3">
      <c r="A20695" s="250">
        <v>48397</v>
      </c>
      <c r="B20695" s="74" t="s">
        <v>622</v>
      </c>
      <c r="C20695" s="74" t="s">
        <v>433</v>
      </c>
    </row>
    <row r="20696" spans="1:3">
      <c r="A20696" s="250">
        <v>48401</v>
      </c>
      <c r="B20696" s="74" t="s">
        <v>11055</v>
      </c>
      <c r="C20696" s="74" t="s">
        <v>433</v>
      </c>
    </row>
    <row r="20697" spans="1:3">
      <c r="A20697" s="250">
        <v>48410</v>
      </c>
      <c r="B20697" s="74" t="s">
        <v>3222</v>
      </c>
      <c r="C20697" s="74" t="s">
        <v>433</v>
      </c>
    </row>
    <row r="20698" spans="1:3">
      <c r="A20698" s="250">
        <v>48411</v>
      </c>
      <c r="B20698" s="74" t="s">
        <v>11056</v>
      </c>
      <c r="C20698" s="74" t="s">
        <v>433</v>
      </c>
    </row>
    <row r="20699" spans="1:3">
      <c r="A20699" s="250">
        <v>48412</v>
      </c>
      <c r="B20699" s="74" t="s">
        <v>3674</v>
      </c>
      <c r="C20699" s="74" t="s">
        <v>433</v>
      </c>
    </row>
    <row r="20700" spans="1:3">
      <c r="A20700" s="250">
        <v>48413</v>
      </c>
      <c r="B20700" s="74" t="s">
        <v>11057</v>
      </c>
      <c r="C20700" s="74" t="s">
        <v>433</v>
      </c>
    </row>
    <row r="20701" spans="1:3">
      <c r="A20701" s="250">
        <v>48414</v>
      </c>
      <c r="B20701" s="74" t="s">
        <v>6574</v>
      </c>
      <c r="C20701" s="74" t="s">
        <v>433</v>
      </c>
    </row>
    <row r="20702" spans="1:3">
      <c r="A20702" s="250">
        <v>48415</v>
      </c>
      <c r="B20702" s="74" t="s">
        <v>11058</v>
      </c>
      <c r="C20702" s="74" t="s">
        <v>433</v>
      </c>
    </row>
    <row r="20703" spans="1:3">
      <c r="A20703" s="250">
        <v>48416</v>
      </c>
      <c r="B20703" s="74" t="s">
        <v>11059</v>
      </c>
      <c r="C20703" s="74" t="s">
        <v>433</v>
      </c>
    </row>
    <row r="20704" spans="1:3">
      <c r="A20704" s="250">
        <v>48417</v>
      </c>
      <c r="B20704" s="74" t="s">
        <v>3681</v>
      </c>
      <c r="C20704" s="74" t="s">
        <v>433</v>
      </c>
    </row>
    <row r="20705" spans="1:3">
      <c r="A20705" s="250">
        <v>48418</v>
      </c>
      <c r="B20705" s="74" t="s">
        <v>3758</v>
      </c>
      <c r="C20705" s="74" t="s">
        <v>433</v>
      </c>
    </row>
    <row r="20706" spans="1:3">
      <c r="A20706" s="250">
        <v>48419</v>
      </c>
      <c r="B20706" s="74" t="s">
        <v>11060</v>
      </c>
      <c r="C20706" s="74" t="s">
        <v>433</v>
      </c>
    </row>
    <row r="20707" spans="1:3">
      <c r="A20707" s="250">
        <v>48420</v>
      </c>
      <c r="B20707" s="74" t="s">
        <v>7732</v>
      </c>
      <c r="C20707" s="74" t="s">
        <v>433</v>
      </c>
    </row>
    <row r="20708" spans="1:3">
      <c r="A20708" s="250">
        <v>48421</v>
      </c>
      <c r="B20708" s="74" t="s">
        <v>2932</v>
      </c>
      <c r="C20708" s="74" t="s">
        <v>433</v>
      </c>
    </row>
    <row r="20709" spans="1:3">
      <c r="A20709" s="250">
        <v>48422</v>
      </c>
      <c r="B20709" s="74" t="s">
        <v>11061</v>
      </c>
      <c r="C20709" s="74" t="s">
        <v>433</v>
      </c>
    </row>
    <row r="20710" spans="1:3">
      <c r="A20710" s="250">
        <v>48423</v>
      </c>
      <c r="B20710" s="74" t="s">
        <v>11062</v>
      </c>
      <c r="C20710" s="74" t="s">
        <v>433</v>
      </c>
    </row>
    <row r="20711" spans="1:3">
      <c r="A20711" s="250">
        <v>48426</v>
      </c>
      <c r="B20711" s="74" t="s">
        <v>10879</v>
      </c>
      <c r="C20711" s="74" t="s">
        <v>433</v>
      </c>
    </row>
    <row r="20712" spans="1:3">
      <c r="A20712" s="250">
        <v>48427</v>
      </c>
      <c r="B20712" s="74" t="s">
        <v>11063</v>
      </c>
      <c r="C20712" s="74" t="s">
        <v>433</v>
      </c>
    </row>
    <row r="20713" spans="1:3">
      <c r="A20713" s="250">
        <v>48428</v>
      </c>
      <c r="B20713" s="74" t="s">
        <v>1438</v>
      </c>
      <c r="C20713" s="74" t="s">
        <v>433</v>
      </c>
    </row>
    <row r="20714" spans="1:3">
      <c r="A20714" s="250">
        <v>48429</v>
      </c>
      <c r="B20714" s="74" t="s">
        <v>11064</v>
      </c>
      <c r="C20714" s="74" t="s">
        <v>433</v>
      </c>
    </row>
    <row r="20715" spans="1:3">
      <c r="A20715" s="250">
        <v>48430</v>
      </c>
      <c r="B20715" s="74" t="s">
        <v>11065</v>
      </c>
      <c r="C20715" s="74" t="s">
        <v>433</v>
      </c>
    </row>
    <row r="20716" spans="1:3">
      <c r="A20716" s="250">
        <v>48432</v>
      </c>
      <c r="B20716" s="74" t="s">
        <v>11066</v>
      </c>
      <c r="C20716" s="74" t="s">
        <v>433</v>
      </c>
    </row>
    <row r="20717" spans="1:3">
      <c r="A20717" s="250">
        <v>48433</v>
      </c>
      <c r="B20717" s="74" t="s">
        <v>2734</v>
      </c>
      <c r="C20717" s="74" t="s">
        <v>433</v>
      </c>
    </row>
    <row r="20718" spans="1:3">
      <c r="A20718" s="250">
        <v>48434</v>
      </c>
      <c r="B20718" s="74" t="s">
        <v>3705</v>
      </c>
      <c r="C20718" s="74" t="s">
        <v>433</v>
      </c>
    </row>
    <row r="20719" spans="1:3">
      <c r="A20719" s="250">
        <v>48435</v>
      </c>
      <c r="B20719" s="74" t="s">
        <v>10429</v>
      </c>
      <c r="C20719" s="74" t="s">
        <v>433</v>
      </c>
    </row>
    <row r="20720" spans="1:3">
      <c r="A20720" s="250">
        <v>48436</v>
      </c>
      <c r="B20720" s="74" t="s">
        <v>4671</v>
      </c>
      <c r="C20720" s="74" t="s">
        <v>433</v>
      </c>
    </row>
    <row r="20721" spans="1:3">
      <c r="A20721" s="250">
        <v>48437</v>
      </c>
      <c r="B20721" s="74" t="s">
        <v>4673</v>
      </c>
      <c r="C20721" s="74" t="s">
        <v>433</v>
      </c>
    </row>
    <row r="20722" spans="1:3">
      <c r="A20722" s="250">
        <v>48438</v>
      </c>
      <c r="B20722" s="74" t="s">
        <v>11067</v>
      </c>
      <c r="C20722" s="74" t="s">
        <v>433</v>
      </c>
    </row>
    <row r="20723" spans="1:3">
      <c r="A20723" s="250">
        <v>48439</v>
      </c>
      <c r="B20723" s="74" t="s">
        <v>11068</v>
      </c>
      <c r="C20723" s="74" t="s">
        <v>433</v>
      </c>
    </row>
    <row r="20724" spans="1:3">
      <c r="A20724" s="250">
        <v>48440</v>
      </c>
      <c r="B20724" s="74" t="s">
        <v>595</v>
      </c>
      <c r="C20724" s="74" t="s">
        <v>433</v>
      </c>
    </row>
    <row r="20725" spans="1:3">
      <c r="A20725" s="250">
        <v>48441</v>
      </c>
      <c r="B20725" s="74" t="s">
        <v>11069</v>
      </c>
      <c r="C20725" s="74" t="s">
        <v>433</v>
      </c>
    </row>
    <row r="20726" spans="1:3">
      <c r="A20726" s="250">
        <v>48442</v>
      </c>
      <c r="B20726" s="74" t="s">
        <v>11070</v>
      </c>
      <c r="C20726" s="74" t="s">
        <v>433</v>
      </c>
    </row>
    <row r="20727" spans="1:3">
      <c r="A20727" s="250">
        <v>48444</v>
      </c>
      <c r="B20727" s="74" t="s">
        <v>11071</v>
      </c>
      <c r="C20727" s="74" t="s">
        <v>433</v>
      </c>
    </row>
    <row r="20728" spans="1:3">
      <c r="A20728" s="250">
        <v>48445</v>
      </c>
      <c r="B20728" s="74" t="s">
        <v>11072</v>
      </c>
      <c r="C20728" s="74" t="s">
        <v>433</v>
      </c>
    </row>
    <row r="20729" spans="1:3">
      <c r="A20729" s="250">
        <v>48446</v>
      </c>
      <c r="B20729" s="74" t="s">
        <v>11073</v>
      </c>
      <c r="C20729" s="74" t="s">
        <v>433</v>
      </c>
    </row>
    <row r="20730" spans="1:3">
      <c r="A20730" s="250">
        <v>48449</v>
      </c>
      <c r="B20730" s="74" t="s">
        <v>11074</v>
      </c>
      <c r="C20730" s="74" t="s">
        <v>433</v>
      </c>
    </row>
    <row r="20731" spans="1:3">
      <c r="A20731" s="250">
        <v>48450</v>
      </c>
      <c r="B20731" s="74" t="s">
        <v>966</v>
      </c>
      <c r="C20731" s="74" t="s">
        <v>433</v>
      </c>
    </row>
    <row r="20732" spans="1:3">
      <c r="A20732" s="250">
        <v>48451</v>
      </c>
      <c r="B20732" s="74" t="s">
        <v>2134</v>
      </c>
      <c r="C20732" s="74" t="s">
        <v>433</v>
      </c>
    </row>
    <row r="20733" spans="1:3">
      <c r="A20733" s="250">
        <v>48453</v>
      </c>
      <c r="B20733" s="74" t="s">
        <v>11075</v>
      </c>
      <c r="C20733" s="74" t="s">
        <v>433</v>
      </c>
    </row>
    <row r="20734" spans="1:3">
      <c r="A20734" s="250">
        <v>48454</v>
      </c>
      <c r="B20734" s="74" t="s">
        <v>8980</v>
      </c>
      <c r="C20734" s="74" t="s">
        <v>433</v>
      </c>
    </row>
    <row r="20735" spans="1:3">
      <c r="A20735" s="250">
        <v>48455</v>
      </c>
      <c r="B20735" s="74" t="s">
        <v>10202</v>
      </c>
      <c r="C20735" s="74" t="s">
        <v>433</v>
      </c>
    </row>
    <row r="20736" spans="1:3">
      <c r="A20736" s="250">
        <v>48456</v>
      </c>
      <c r="B20736" s="74" t="s">
        <v>11076</v>
      </c>
      <c r="C20736" s="74" t="s">
        <v>433</v>
      </c>
    </row>
    <row r="20737" spans="1:3">
      <c r="A20737" s="250">
        <v>48457</v>
      </c>
      <c r="B20737" s="74" t="s">
        <v>2645</v>
      </c>
      <c r="C20737" s="74" t="s">
        <v>433</v>
      </c>
    </row>
    <row r="20738" spans="1:3">
      <c r="A20738" s="250">
        <v>48458</v>
      </c>
      <c r="B20738" s="74" t="s">
        <v>3795</v>
      </c>
      <c r="C20738" s="74" t="s">
        <v>433</v>
      </c>
    </row>
    <row r="20739" spans="1:3">
      <c r="A20739" s="250">
        <v>48460</v>
      </c>
      <c r="B20739" s="74" t="s">
        <v>11077</v>
      </c>
      <c r="C20739" s="74" t="s">
        <v>433</v>
      </c>
    </row>
    <row r="20740" spans="1:3">
      <c r="A20740" s="250">
        <v>48461</v>
      </c>
      <c r="B20740" s="74" t="s">
        <v>3195</v>
      </c>
      <c r="C20740" s="74" t="s">
        <v>433</v>
      </c>
    </row>
    <row r="20741" spans="1:3">
      <c r="A20741" s="250">
        <v>48462</v>
      </c>
      <c r="B20741" s="74" t="s">
        <v>11078</v>
      </c>
      <c r="C20741" s="74" t="s">
        <v>433</v>
      </c>
    </row>
    <row r="20742" spans="1:3">
      <c r="A20742" s="250">
        <v>48463</v>
      </c>
      <c r="B20742" s="74" t="s">
        <v>2698</v>
      </c>
      <c r="C20742" s="74" t="s">
        <v>433</v>
      </c>
    </row>
    <row r="20743" spans="1:3">
      <c r="A20743" s="250">
        <v>48464</v>
      </c>
      <c r="B20743" s="74" t="s">
        <v>11079</v>
      </c>
      <c r="C20743" s="74" t="s">
        <v>433</v>
      </c>
    </row>
    <row r="20744" spans="1:3">
      <c r="A20744" s="250">
        <v>48465</v>
      </c>
      <c r="B20744" s="74" t="s">
        <v>11080</v>
      </c>
      <c r="C20744" s="74" t="s">
        <v>433</v>
      </c>
    </row>
    <row r="20745" spans="1:3">
      <c r="A20745" s="250">
        <v>48466</v>
      </c>
      <c r="B20745" s="74" t="s">
        <v>11081</v>
      </c>
      <c r="C20745" s="74" t="s">
        <v>433</v>
      </c>
    </row>
    <row r="20746" spans="1:3">
      <c r="A20746" s="250">
        <v>48467</v>
      </c>
      <c r="B20746" s="74" t="s">
        <v>11082</v>
      </c>
      <c r="C20746" s="74" t="s">
        <v>433</v>
      </c>
    </row>
    <row r="20747" spans="1:3">
      <c r="A20747" s="250">
        <v>48468</v>
      </c>
      <c r="B20747" s="74" t="s">
        <v>11083</v>
      </c>
      <c r="C20747" s="74" t="s">
        <v>433</v>
      </c>
    </row>
    <row r="20748" spans="1:3">
      <c r="A20748" s="250">
        <v>48469</v>
      </c>
      <c r="B20748" s="74" t="s">
        <v>11084</v>
      </c>
      <c r="C20748" s="74" t="s">
        <v>433</v>
      </c>
    </row>
    <row r="20749" spans="1:3">
      <c r="A20749" s="250">
        <v>48470</v>
      </c>
      <c r="B20749" s="74" t="s">
        <v>9532</v>
      </c>
      <c r="C20749" s="74" t="s">
        <v>433</v>
      </c>
    </row>
    <row r="20750" spans="1:3">
      <c r="A20750" s="250">
        <v>48471</v>
      </c>
      <c r="B20750" s="74" t="s">
        <v>3733</v>
      </c>
      <c r="C20750" s="74" t="s">
        <v>433</v>
      </c>
    </row>
    <row r="20751" spans="1:3">
      <c r="A20751" s="250">
        <v>48472</v>
      </c>
      <c r="B20751" s="74" t="s">
        <v>11085</v>
      </c>
      <c r="C20751" s="74" t="s">
        <v>433</v>
      </c>
    </row>
    <row r="20752" spans="1:3">
      <c r="A20752" s="250">
        <v>48473</v>
      </c>
      <c r="B20752" s="74" t="s">
        <v>11086</v>
      </c>
      <c r="C20752" s="74" t="s">
        <v>433</v>
      </c>
    </row>
    <row r="20753" spans="1:3">
      <c r="A20753" s="250">
        <v>48475</v>
      </c>
      <c r="B20753" s="74" t="s">
        <v>11087</v>
      </c>
      <c r="C20753" s="74" t="s">
        <v>433</v>
      </c>
    </row>
    <row r="20754" spans="1:3">
      <c r="A20754" s="250">
        <v>48476</v>
      </c>
      <c r="B20754" s="74" t="s">
        <v>1791</v>
      </c>
      <c r="C20754" s="74" t="s">
        <v>433</v>
      </c>
    </row>
    <row r="20755" spans="1:3">
      <c r="A20755" s="250">
        <v>48480</v>
      </c>
      <c r="B20755" s="74" t="s">
        <v>11068</v>
      </c>
      <c r="C20755" s="74" t="s">
        <v>433</v>
      </c>
    </row>
    <row r="20756" spans="1:3">
      <c r="A20756" s="250">
        <v>48501</v>
      </c>
      <c r="B20756" s="74" t="s">
        <v>11088</v>
      </c>
      <c r="C20756" s="74" t="s">
        <v>433</v>
      </c>
    </row>
    <row r="20757" spans="1:3">
      <c r="A20757" s="250">
        <v>48502</v>
      </c>
      <c r="B20757" s="74" t="s">
        <v>11088</v>
      </c>
      <c r="C20757" s="74" t="s">
        <v>433</v>
      </c>
    </row>
    <row r="20758" spans="1:3">
      <c r="A20758" s="250">
        <v>48503</v>
      </c>
      <c r="B20758" s="74" t="s">
        <v>11088</v>
      </c>
      <c r="C20758" s="74" t="s">
        <v>433</v>
      </c>
    </row>
    <row r="20759" spans="1:3">
      <c r="A20759" s="250">
        <v>48504</v>
      </c>
      <c r="B20759" s="74" t="s">
        <v>11088</v>
      </c>
      <c r="C20759" s="74" t="s">
        <v>433</v>
      </c>
    </row>
    <row r="20760" spans="1:3">
      <c r="A20760" s="250">
        <v>48505</v>
      </c>
      <c r="B20760" s="74" t="s">
        <v>11088</v>
      </c>
      <c r="C20760" s="74" t="s">
        <v>433</v>
      </c>
    </row>
    <row r="20761" spans="1:3">
      <c r="A20761" s="250">
        <v>48506</v>
      </c>
      <c r="B20761" s="74" t="s">
        <v>11088</v>
      </c>
      <c r="C20761" s="74" t="s">
        <v>433</v>
      </c>
    </row>
    <row r="20762" spans="1:3">
      <c r="A20762" s="250">
        <v>48507</v>
      </c>
      <c r="B20762" s="74" t="s">
        <v>11088</v>
      </c>
      <c r="C20762" s="74" t="s">
        <v>433</v>
      </c>
    </row>
    <row r="20763" spans="1:3">
      <c r="A20763" s="250">
        <v>48509</v>
      </c>
      <c r="B20763" s="74" t="s">
        <v>6979</v>
      </c>
      <c r="C20763" s="74" t="s">
        <v>433</v>
      </c>
    </row>
    <row r="20764" spans="1:3">
      <c r="A20764" s="250">
        <v>48519</v>
      </c>
      <c r="B20764" s="74" t="s">
        <v>6979</v>
      </c>
      <c r="C20764" s="74" t="s">
        <v>433</v>
      </c>
    </row>
    <row r="20765" spans="1:3">
      <c r="A20765" s="250">
        <v>48529</v>
      </c>
      <c r="B20765" s="74" t="s">
        <v>6979</v>
      </c>
      <c r="C20765" s="74" t="s">
        <v>433</v>
      </c>
    </row>
    <row r="20766" spans="1:3">
      <c r="A20766" s="250">
        <v>48531</v>
      </c>
      <c r="B20766" s="74" t="s">
        <v>11088</v>
      </c>
      <c r="C20766" s="74" t="s">
        <v>433</v>
      </c>
    </row>
    <row r="20767" spans="1:3">
      <c r="A20767" s="250">
        <v>48532</v>
      </c>
      <c r="B20767" s="74" t="s">
        <v>11088</v>
      </c>
      <c r="C20767" s="74" t="s">
        <v>433</v>
      </c>
    </row>
    <row r="20768" spans="1:3">
      <c r="A20768" s="250">
        <v>48550</v>
      </c>
      <c r="B20768" s="74" t="s">
        <v>11088</v>
      </c>
      <c r="C20768" s="74" t="s">
        <v>433</v>
      </c>
    </row>
    <row r="20769" spans="1:3">
      <c r="A20769" s="250">
        <v>48551</v>
      </c>
      <c r="B20769" s="74" t="s">
        <v>11088</v>
      </c>
      <c r="C20769" s="74" t="s">
        <v>433</v>
      </c>
    </row>
    <row r="20770" spans="1:3">
      <c r="A20770" s="250">
        <v>48552</v>
      </c>
      <c r="B20770" s="74" t="s">
        <v>11088</v>
      </c>
      <c r="C20770" s="74" t="s">
        <v>433</v>
      </c>
    </row>
    <row r="20771" spans="1:3">
      <c r="A20771" s="250">
        <v>48553</v>
      </c>
      <c r="B20771" s="74" t="s">
        <v>11088</v>
      </c>
      <c r="C20771" s="74" t="s">
        <v>433</v>
      </c>
    </row>
    <row r="20772" spans="1:3">
      <c r="A20772" s="250">
        <v>48554</v>
      </c>
      <c r="B20772" s="74" t="s">
        <v>11088</v>
      </c>
      <c r="C20772" s="74" t="s">
        <v>433</v>
      </c>
    </row>
    <row r="20773" spans="1:3">
      <c r="A20773" s="250">
        <v>48555</v>
      </c>
      <c r="B20773" s="74" t="s">
        <v>11088</v>
      </c>
      <c r="C20773" s="74" t="s">
        <v>433</v>
      </c>
    </row>
    <row r="20774" spans="1:3">
      <c r="A20774" s="250">
        <v>48556</v>
      </c>
      <c r="B20774" s="74" t="s">
        <v>11088</v>
      </c>
      <c r="C20774" s="74" t="s">
        <v>433</v>
      </c>
    </row>
    <row r="20775" spans="1:3">
      <c r="A20775" s="250">
        <v>48557</v>
      </c>
      <c r="B20775" s="74" t="s">
        <v>11088</v>
      </c>
      <c r="C20775" s="74" t="s">
        <v>433</v>
      </c>
    </row>
    <row r="20776" spans="1:3">
      <c r="A20776" s="250">
        <v>48559</v>
      </c>
      <c r="B20776" s="74" t="s">
        <v>11088</v>
      </c>
      <c r="C20776" s="74" t="s">
        <v>433</v>
      </c>
    </row>
    <row r="20777" spans="1:3">
      <c r="A20777" s="250">
        <v>48601</v>
      </c>
      <c r="B20777" s="74" t="s">
        <v>8663</v>
      </c>
      <c r="C20777" s="74" t="s">
        <v>433</v>
      </c>
    </row>
    <row r="20778" spans="1:3">
      <c r="A20778" s="250">
        <v>48602</v>
      </c>
      <c r="B20778" s="74" t="s">
        <v>8663</v>
      </c>
      <c r="C20778" s="74" t="s">
        <v>433</v>
      </c>
    </row>
    <row r="20779" spans="1:3">
      <c r="A20779" s="250">
        <v>48603</v>
      </c>
      <c r="B20779" s="74" t="s">
        <v>8663</v>
      </c>
      <c r="C20779" s="74" t="s">
        <v>433</v>
      </c>
    </row>
    <row r="20780" spans="1:3">
      <c r="A20780" s="250">
        <v>48604</v>
      </c>
      <c r="B20780" s="74" t="s">
        <v>8663</v>
      </c>
      <c r="C20780" s="74" t="s">
        <v>433</v>
      </c>
    </row>
    <row r="20781" spans="1:3">
      <c r="A20781" s="250">
        <v>48605</v>
      </c>
      <c r="B20781" s="74" t="s">
        <v>8663</v>
      </c>
      <c r="C20781" s="74" t="s">
        <v>433</v>
      </c>
    </row>
    <row r="20782" spans="1:3">
      <c r="A20782" s="250">
        <v>48606</v>
      </c>
      <c r="B20782" s="74" t="s">
        <v>8663</v>
      </c>
      <c r="C20782" s="74" t="s">
        <v>433</v>
      </c>
    </row>
    <row r="20783" spans="1:3">
      <c r="A20783" s="250">
        <v>48607</v>
      </c>
      <c r="B20783" s="74" t="s">
        <v>8663</v>
      </c>
      <c r="C20783" s="74" t="s">
        <v>433</v>
      </c>
    </row>
    <row r="20784" spans="1:3">
      <c r="A20784" s="250">
        <v>48608</v>
      </c>
      <c r="B20784" s="74" t="s">
        <v>8663</v>
      </c>
      <c r="C20784" s="74" t="s">
        <v>433</v>
      </c>
    </row>
    <row r="20785" spans="1:3">
      <c r="A20785" s="250">
        <v>48609</v>
      </c>
      <c r="B20785" s="74" t="s">
        <v>8663</v>
      </c>
      <c r="C20785" s="74" t="s">
        <v>433</v>
      </c>
    </row>
    <row r="20786" spans="1:3">
      <c r="A20786" s="250">
        <v>48610</v>
      </c>
      <c r="B20786" s="74" t="s">
        <v>10589</v>
      </c>
      <c r="C20786" s="74" t="s">
        <v>433</v>
      </c>
    </row>
    <row r="20787" spans="1:3">
      <c r="A20787" s="250">
        <v>48611</v>
      </c>
      <c r="B20787" s="74" t="s">
        <v>724</v>
      </c>
      <c r="C20787" s="74" t="s">
        <v>433</v>
      </c>
    </row>
    <row r="20788" spans="1:3">
      <c r="A20788" s="250">
        <v>48612</v>
      </c>
      <c r="B20788" s="74" t="s">
        <v>8707</v>
      </c>
      <c r="C20788" s="74" t="s">
        <v>433</v>
      </c>
    </row>
    <row r="20789" spans="1:3">
      <c r="A20789" s="250">
        <v>48613</v>
      </c>
      <c r="B20789" s="74" t="s">
        <v>11089</v>
      </c>
      <c r="C20789" s="74" t="s">
        <v>433</v>
      </c>
    </row>
    <row r="20790" spans="1:3">
      <c r="A20790" s="250">
        <v>48614</v>
      </c>
      <c r="B20790" s="74" t="s">
        <v>3680</v>
      </c>
      <c r="C20790" s="74" t="s">
        <v>433</v>
      </c>
    </row>
    <row r="20791" spans="1:3">
      <c r="A20791" s="250">
        <v>48615</v>
      </c>
      <c r="B20791" s="74" t="s">
        <v>11090</v>
      </c>
      <c r="C20791" s="74" t="s">
        <v>433</v>
      </c>
    </row>
    <row r="20792" spans="1:3">
      <c r="A20792" s="250">
        <v>48616</v>
      </c>
      <c r="B20792" s="74" t="s">
        <v>11091</v>
      </c>
      <c r="C20792" s="74" t="s">
        <v>433</v>
      </c>
    </row>
    <row r="20793" spans="1:3">
      <c r="A20793" s="250">
        <v>48617</v>
      </c>
      <c r="B20793" s="74" t="s">
        <v>11092</v>
      </c>
      <c r="C20793" s="74" t="s">
        <v>433</v>
      </c>
    </row>
    <row r="20794" spans="1:3">
      <c r="A20794" s="250">
        <v>48618</v>
      </c>
      <c r="B20794" s="74" t="s">
        <v>8461</v>
      </c>
      <c r="C20794" s="74" t="s">
        <v>433</v>
      </c>
    </row>
    <row r="20795" spans="1:3">
      <c r="A20795" s="250">
        <v>48619</v>
      </c>
      <c r="B20795" s="74" t="s">
        <v>11093</v>
      </c>
      <c r="C20795" s="74" t="s">
        <v>433</v>
      </c>
    </row>
    <row r="20796" spans="1:3">
      <c r="A20796" s="250">
        <v>48620</v>
      </c>
      <c r="B20796" s="74" t="s">
        <v>11094</v>
      </c>
      <c r="C20796" s="74" t="s">
        <v>433</v>
      </c>
    </row>
    <row r="20797" spans="1:3">
      <c r="A20797" s="250">
        <v>48621</v>
      </c>
      <c r="B20797" s="74" t="s">
        <v>2122</v>
      </c>
      <c r="C20797" s="74" t="s">
        <v>433</v>
      </c>
    </row>
    <row r="20798" spans="1:3">
      <c r="A20798" s="250">
        <v>48622</v>
      </c>
      <c r="B20798" s="74" t="s">
        <v>11095</v>
      </c>
      <c r="C20798" s="74" t="s">
        <v>433</v>
      </c>
    </row>
    <row r="20799" spans="1:3">
      <c r="A20799" s="250">
        <v>48623</v>
      </c>
      <c r="B20799" s="74" t="s">
        <v>5088</v>
      </c>
      <c r="C20799" s="74" t="s">
        <v>433</v>
      </c>
    </row>
    <row r="20800" spans="1:3">
      <c r="A20800" s="250">
        <v>48624</v>
      </c>
      <c r="B20800" s="74" t="s">
        <v>11096</v>
      </c>
      <c r="C20800" s="74" t="s">
        <v>433</v>
      </c>
    </row>
    <row r="20801" spans="1:3">
      <c r="A20801" s="250">
        <v>48625</v>
      </c>
      <c r="B20801" s="74" t="s">
        <v>1386</v>
      </c>
      <c r="C20801" s="74" t="s">
        <v>433</v>
      </c>
    </row>
    <row r="20802" spans="1:3">
      <c r="A20802" s="250">
        <v>48626</v>
      </c>
      <c r="B20802" s="74" t="s">
        <v>3779</v>
      </c>
      <c r="C20802" s="74" t="s">
        <v>433</v>
      </c>
    </row>
    <row r="20803" spans="1:3">
      <c r="A20803" s="250">
        <v>48627</v>
      </c>
      <c r="B20803" s="74" t="s">
        <v>11097</v>
      </c>
      <c r="C20803" s="74" t="s">
        <v>433</v>
      </c>
    </row>
    <row r="20804" spans="1:3">
      <c r="A20804" s="250">
        <v>48628</v>
      </c>
      <c r="B20804" s="74" t="s">
        <v>1111</v>
      </c>
      <c r="C20804" s="74" t="s">
        <v>433</v>
      </c>
    </row>
    <row r="20805" spans="1:3">
      <c r="A20805" s="250">
        <v>48629</v>
      </c>
      <c r="B20805" s="74" t="s">
        <v>11098</v>
      </c>
      <c r="C20805" s="74" t="s">
        <v>433</v>
      </c>
    </row>
    <row r="20806" spans="1:3">
      <c r="A20806" s="250">
        <v>48630</v>
      </c>
      <c r="B20806" s="74" t="s">
        <v>11099</v>
      </c>
      <c r="C20806" s="74" t="s">
        <v>433</v>
      </c>
    </row>
    <row r="20807" spans="1:3">
      <c r="A20807" s="250">
        <v>48631</v>
      </c>
      <c r="B20807" s="74" t="s">
        <v>11100</v>
      </c>
      <c r="C20807" s="74" t="s">
        <v>433</v>
      </c>
    </row>
    <row r="20808" spans="1:3">
      <c r="A20808" s="250">
        <v>48632</v>
      </c>
      <c r="B20808" s="74" t="s">
        <v>6623</v>
      </c>
      <c r="C20808" s="74" t="s">
        <v>433</v>
      </c>
    </row>
    <row r="20809" spans="1:3">
      <c r="A20809" s="250">
        <v>48633</v>
      </c>
      <c r="B20809" s="74" t="s">
        <v>3243</v>
      </c>
      <c r="C20809" s="74" t="s">
        <v>433</v>
      </c>
    </row>
    <row r="20810" spans="1:3">
      <c r="A20810" s="250">
        <v>48634</v>
      </c>
      <c r="B20810" s="74" t="s">
        <v>743</v>
      </c>
      <c r="C20810" s="74" t="s">
        <v>433</v>
      </c>
    </row>
    <row r="20811" spans="1:3">
      <c r="A20811" s="250">
        <v>48635</v>
      </c>
      <c r="B20811" s="74" t="s">
        <v>11101</v>
      </c>
      <c r="C20811" s="74" t="s">
        <v>433</v>
      </c>
    </row>
    <row r="20812" spans="1:3">
      <c r="A20812" s="250">
        <v>48636</v>
      </c>
      <c r="B20812" s="74" t="s">
        <v>5233</v>
      </c>
      <c r="C20812" s="74" t="s">
        <v>433</v>
      </c>
    </row>
    <row r="20813" spans="1:3">
      <c r="A20813" s="250">
        <v>48637</v>
      </c>
      <c r="B20813" s="74" t="s">
        <v>11102</v>
      </c>
      <c r="C20813" s="74" t="s">
        <v>433</v>
      </c>
    </row>
    <row r="20814" spans="1:3">
      <c r="A20814" s="250">
        <v>48638</v>
      </c>
      <c r="B20814" s="74" t="s">
        <v>8663</v>
      </c>
      <c r="C20814" s="74" t="s">
        <v>433</v>
      </c>
    </row>
    <row r="20815" spans="1:3">
      <c r="A20815" s="250">
        <v>48640</v>
      </c>
      <c r="B20815" s="74" t="s">
        <v>3994</v>
      </c>
      <c r="C20815" s="74" t="s">
        <v>433</v>
      </c>
    </row>
    <row r="20816" spans="1:3">
      <c r="A20816" s="250">
        <v>48641</v>
      </c>
      <c r="B20816" s="74" t="s">
        <v>3994</v>
      </c>
      <c r="C20816" s="74" t="s">
        <v>433</v>
      </c>
    </row>
    <row r="20817" spans="1:3">
      <c r="A20817" s="250">
        <v>48642</v>
      </c>
      <c r="B20817" s="74" t="s">
        <v>3994</v>
      </c>
      <c r="C20817" s="74" t="s">
        <v>433</v>
      </c>
    </row>
    <row r="20818" spans="1:3">
      <c r="A20818" s="250">
        <v>48647</v>
      </c>
      <c r="B20818" s="74" t="s">
        <v>11103</v>
      </c>
      <c r="C20818" s="74" t="s">
        <v>433</v>
      </c>
    </row>
    <row r="20819" spans="1:3">
      <c r="A20819" s="250">
        <v>48649</v>
      </c>
      <c r="B20819" s="74" t="s">
        <v>11104</v>
      </c>
      <c r="C20819" s="74" t="s">
        <v>433</v>
      </c>
    </row>
    <row r="20820" spans="1:3">
      <c r="A20820" s="250">
        <v>48650</v>
      </c>
      <c r="B20820" s="74" t="s">
        <v>11105</v>
      </c>
      <c r="C20820" s="74" t="s">
        <v>433</v>
      </c>
    </row>
    <row r="20821" spans="1:3">
      <c r="A20821" s="250">
        <v>48651</v>
      </c>
      <c r="B20821" s="74" t="s">
        <v>11106</v>
      </c>
      <c r="C20821" s="74" t="s">
        <v>433</v>
      </c>
    </row>
    <row r="20822" spans="1:3">
      <c r="A20822" s="250">
        <v>48652</v>
      </c>
      <c r="B20822" s="74" t="s">
        <v>11107</v>
      </c>
      <c r="C20822" s="74" t="s">
        <v>433</v>
      </c>
    </row>
    <row r="20823" spans="1:3">
      <c r="A20823" s="250">
        <v>48653</v>
      </c>
      <c r="B20823" s="74" t="s">
        <v>11108</v>
      </c>
      <c r="C20823" s="74" t="s">
        <v>433</v>
      </c>
    </row>
    <row r="20824" spans="1:3">
      <c r="A20824" s="250">
        <v>48654</v>
      </c>
      <c r="B20824" s="74" t="s">
        <v>11109</v>
      </c>
      <c r="C20824" s="74" t="s">
        <v>433</v>
      </c>
    </row>
    <row r="20825" spans="1:3">
      <c r="A20825" s="250">
        <v>48655</v>
      </c>
      <c r="B20825" s="74" t="s">
        <v>6340</v>
      </c>
      <c r="C20825" s="74" t="s">
        <v>433</v>
      </c>
    </row>
    <row r="20826" spans="1:3">
      <c r="A20826" s="250">
        <v>48656</v>
      </c>
      <c r="B20826" s="74" t="s">
        <v>11110</v>
      </c>
      <c r="C20826" s="74" t="s">
        <v>433</v>
      </c>
    </row>
    <row r="20827" spans="1:3">
      <c r="A20827" s="250">
        <v>48657</v>
      </c>
      <c r="B20827" s="74" t="s">
        <v>1408</v>
      </c>
      <c r="C20827" s="74" t="s">
        <v>433</v>
      </c>
    </row>
    <row r="20828" spans="1:3">
      <c r="A20828" s="250">
        <v>48658</v>
      </c>
      <c r="B20828" s="74" t="s">
        <v>1416</v>
      </c>
      <c r="C20828" s="74" t="s">
        <v>433</v>
      </c>
    </row>
    <row r="20829" spans="1:3">
      <c r="A20829" s="250">
        <v>48659</v>
      </c>
      <c r="B20829" s="74" t="s">
        <v>763</v>
      </c>
      <c r="C20829" s="74" t="s">
        <v>433</v>
      </c>
    </row>
    <row r="20830" spans="1:3">
      <c r="A20830" s="250">
        <v>48661</v>
      </c>
      <c r="B20830" s="74" t="s">
        <v>11111</v>
      </c>
      <c r="C20830" s="74" t="s">
        <v>433</v>
      </c>
    </row>
    <row r="20831" spans="1:3">
      <c r="A20831" s="250">
        <v>48662</v>
      </c>
      <c r="B20831" s="74" t="s">
        <v>9379</v>
      </c>
      <c r="C20831" s="74" t="s">
        <v>433</v>
      </c>
    </row>
    <row r="20832" spans="1:3">
      <c r="A20832" s="250">
        <v>48663</v>
      </c>
      <c r="B20832" s="74" t="s">
        <v>8663</v>
      </c>
      <c r="C20832" s="74" t="s">
        <v>433</v>
      </c>
    </row>
    <row r="20833" spans="1:3">
      <c r="A20833" s="250">
        <v>48667</v>
      </c>
      <c r="B20833" s="74" t="s">
        <v>3994</v>
      </c>
      <c r="C20833" s="74" t="s">
        <v>433</v>
      </c>
    </row>
    <row r="20834" spans="1:3">
      <c r="A20834" s="250">
        <v>48670</v>
      </c>
      <c r="B20834" s="74" t="s">
        <v>3994</v>
      </c>
      <c r="C20834" s="74" t="s">
        <v>433</v>
      </c>
    </row>
    <row r="20835" spans="1:3">
      <c r="A20835" s="250">
        <v>48674</v>
      </c>
      <c r="B20835" s="74" t="s">
        <v>3994</v>
      </c>
      <c r="C20835" s="74" t="s">
        <v>433</v>
      </c>
    </row>
    <row r="20836" spans="1:3">
      <c r="A20836" s="250">
        <v>48686</v>
      </c>
      <c r="B20836" s="74" t="s">
        <v>3994</v>
      </c>
      <c r="C20836" s="74" t="s">
        <v>433</v>
      </c>
    </row>
    <row r="20837" spans="1:3">
      <c r="A20837" s="250">
        <v>48701</v>
      </c>
      <c r="B20837" s="74" t="s">
        <v>3667</v>
      </c>
      <c r="C20837" s="74" t="s">
        <v>433</v>
      </c>
    </row>
    <row r="20838" spans="1:3">
      <c r="A20838" s="250">
        <v>48703</v>
      </c>
      <c r="B20838" s="74" t="s">
        <v>11112</v>
      </c>
      <c r="C20838" s="74" t="s">
        <v>433</v>
      </c>
    </row>
    <row r="20839" spans="1:3">
      <c r="A20839" s="250">
        <v>48705</v>
      </c>
      <c r="B20839" s="74" t="s">
        <v>11113</v>
      </c>
      <c r="C20839" s="74" t="s">
        <v>433</v>
      </c>
    </row>
    <row r="20840" spans="1:3">
      <c r="A20840" s="250">
        <v>48706</v>
      </c>
      <c r="B20840" s="74" t="s">
        <v>11114</v>
      </c>
      <c r="C20840" s="74" t="s">
        <v>433</v>
      </c>
    </row>
    <row r="20841" spans="1:3">
      <c r="A20841" s="250">
        <v>48707</v>
      </c>
      <c r="B20841" s="74" t="s">
        <v>11114</v>
      </c>
      <c r="C20841" s="74" t="s">
        <v>433</v>
      </c>
    </row>
    <row r="20842" spans="1:3">
      <c r="A20842" s="250">
        <v>48708</v>
      </c>
      <c r="B20842" s="74" t="s">
        <v>11114</v>
      </c>
      <c r="C20842" s="74" t="s">
        <v>433</v>
      </c>
    </row>
    <row r="20843" spans="1:3">
      <c r="A20843" s="250">
        <v>48710</v>
      </c>
      <c r="B20843" s="74" t="s">
        <v>11115</v>
      </c>
      <c r="C20843" s="74" t="s">
        <v>433</v>
      </c>
    </row>
    <row r="20844" spans="1:3">
      <c r="A20844" s="250">
        <v>48720</v>
      </c>
      <c r="B20844" s="74" t="s">
        <v>11116</v>
      </c>
      <c r="C20844" s="74" t="s">
        <v>433</v>
      </c>
    </row>
    <row r="20845" spans="1:3">
      <c r="A20845" s="250">
        <v>48721</v>
      </c>
      <c r="B20845" s="74" t="s">
        <v>3526</v>
      </c>
      <c r="C20845" s="74" t="s">
        <v>433</v>
      </c>
    </row>
    <row r="20846" spans="1:3">
      <c r="A20846" s="250">
        <v>48722</v>
      </c>
      <c r="B20846" s="74" t="s">
        <v>2077</v>
      </c>
      <c r="C20846" s="74" t="s">
        <v>433</v>
      </c>
    </row>
    <row r="20847" spans="1:3">
      <c r="A20847" s="250">
        <v>48723</v>
      </c>
      <c r="B20847" s="74" t="s">
        <v>11117</v>
      </c>
      <c r="C20847" s="74" t="s">
        <v>433</v>
      </c>
    </row>
    <row r="20848" spans="1:3">
      <c r="A20848" s="250">
        <v>48724</v>
      </c>
      <c r="B20848" s="74" t="s">
        <v>6129</v>
      </c>
      <c r="C20848" s="74" t="s">
        <v>433</v>
      </c>
    </row>
    <row r="20849" spans="1:3">
      <c r="A20849" s="250">
        <v>48725</v>
      </c>
      <c r="B20849" s="74" t="s">
        <v>11118</v>
      </c>
      <c r="C20849" s="74" t="s">
        <v>433</v>
      </c>
    </row>
    <row r="20850" spans="1:3">
      <c r="A20850" s="250">
        <v>48726</v>
      </c>
      <c r="B20850" s="74" t="s">
        <v>11119</v>
      </c>
      <c r="C20850" s="74" t="s">
        <v>433</v>
      </c>
    </row>
    <row r="20851" spans="1:3">
      <c r="A20851" s="250">
        <v>48727</v>
      </c>
      <c r="B20851" s="74" t="s">
        <v>5153</v>
      </c>
      <c r="C20851" s="74" t="s">
        <v>433</v>
      </c>
    </row>
    <row r="20852" spans="1:3">
      <c r="A20852" s="250">
        <v>48728</v>
      </c>
      <c r="B20852" s="74" t="s">
        <v>11120</v>
      </c>
      <c r="C20852" s="74" t="s">
        <v>433</v>
      </c>
    </row>
    <row r="20853" spans="1:3">
      <c r="A20853" s="250">
        <v>48729</v>
      </c>
      <c r="B20853" s="74" t="s">
        <v>11121</v>
      </c>
      <c r="C20853" s="74" t="s">
        <v>433</v>
      </c>
    </row>
    <row r="20854" spans="1:3">
      <c r="A20854" s="250">
        <v>48730</v>
      </c>
      <c r="B20854" s="74" t="s">
        <v>11122</v>
      </c>
      <c r="C20854" s="74" t="s">
        <v>433</v>
      </c>
    </row>
    <row r="20855" spans="1:3">
      <c r="A20855" s="250">
        <v>48731</v>
      </c>
      <c r="B20855" s="74" t="s">
        <v>5864</v>
      </c>
      <c r="C20855" s="74" t="s">
        <v>433</v>
      </c>
    </row>
    <row r="20856" spans="1:3">
      <c r="A20856" s="250">
        <v>48732</v>
      </c>
      <c r="B20856" s="74" t="s">
        <v>11123</v>
      </c>
      <c r="C20856" s="74" t="s">
        <v>433</v>
      </c>
    </row>
    <row r="20857" spans="1:3">
      <c r="A20857" s="250">
        <v>48733</v>
      </c>
      <c r="B20857" s="74" t="s">
        <v>11124</v>
      </c>
      <c r="C20857" s="74" t="s">
        <v>433</v>
      </c>
    </row>
    <row r="20858" spans="1:3">
      <c r="A20858" s="250">
        <v>48734</v>
      </c>
      <c r="B20858" s="74" t="s">
        <v>11125</v>
      </c>
      <c r="C20858" s="74" t="s">
        <v>433</v>
      </c>
    </row>
    <row r="20859" spans="1:3">
      <c r="A20859" s="250">
        <v>48735</v>
      </c>
      <c r="B20859" s="74" t="s">
        <v>11126</v>
      </c>
      <c r="C20859" s="74" t="s">
        <v>433</v>
      </c>
    </row>
    <row r="20860" spans="1:3">
      <c r="A20860" s="250">
        <v>48736</v>
      </c>
      <c r="B20860" s="74" t="s">
        <v>1196</v>
      </c>
      <c r="C20860" s="74" t="s">
        <v>433</v>
      </c>
    </row>
    <row r="20861" spans="1:3">
      <c r="A20861" s="250">
        <v>48737</v>
      </c>
      <c r="B20861" s="74" t="s">
        <v>11127</v>
      </c>
      <c r="C20861" s="74" t="s">
        <v>433</v>
      </c>
    </row>
    <row r="20862" spans="1:3">
      <c r="A20862" s="250">
        <v>48738</v>
      </c>
      <c r="B20862" s="74" t="s">
        <v>874</v>
      </c>
      <c r="C20862" s="74" t="s">
        <v>433</v>
      </c>
    </row>
    <row r="20863" spans="1:3">
      <c r="A20863" s="250">
        <v>48739</v>
      </c>
      <c r="B20863" s="74" t="s">
        <v>11128</v>
      </c>
      <c r="C20863" s="74" t="s">
        <v>433</v>
      </c>
    </row>
    <row r="20864" spans="1:3">
      <c r="A20864" s="250">
        <v>48740</v>
      </c>
      <c r="B20864" s="74" t="s">
        <v>1110</v>
      </c>
      <c r="C20864" s="74" t="s">
        <v>433</v>
      </c>
    </row>
    <row r="20865" spans="1:3">
      <c r="A20865" s="250">
        <v>48741</v>
      </c>
      <c r="B20865" s="74" t="s">
        <v>957</v>
      </c>
      <c r="C20865" s="74" t="s">
        <v>433</v>
      </c>
    </row>
    <row r="20866" spans="1:3">
      <c r="A20866" s="250">
        <v>48742</v>
      </c>
      <c r="B20866" s="74" t="s">
        <v>800</v>
      </c>
      <c r="C20866" s="74" t="s">
        <v>433</v>
      </c>
    </row>
    <row r="20867" spans="1:3">
      <c r="A20867" s="250">
        <v>48743</v>
      </c>
      <c r="B20867" s="74" t="s">
        <v>3245</v>
      </c>
      <c r="C20867" s="74" t="s">
        <v>433</v>
      </c>
    </row>
    <row r="20868" spans="1:3">
      <c r="A20868" s="250">
        <v>48744</v>
      </c>
      <c r="B20868" s="74" t="s">
        <v>3877</v>
      </c>
      <c r="C20868" s="74" t="s">
        <v>433</v>
      </c>
    </row>
    <row r="20869" spans="1:3">
      <c r="A20869" s="250">
        <v>48745</v>
      </c>
      <c r="B20869" s="74" t="s">
        <v>11129</v>
      </c>
      <c r="C20869" s="74" t="s">
        <v>433</v>
      </c>
    </row>
    <row r="20870" spans="1:3">
      <c r="A20870" s="250">
        <v>48746</v>
      </c>
      <c r="B20870" s="74" t="s">
        <v>2351</v>
      </c>
      <c r="C20870" s="74" t="s">
        <v>433</v>
      </c>
    </row>
    <row r="20871" spans="1:3">
      <c r="A20871" s="250">
        <v>48747</v>
      </c>
      <c r="B20871" s="74" t="s">
        <v>11130</v>
      </c>
      <c r="C20871" s="74" t="s">
        <v>433</v>
      </c>
    </row>
    <row r="20872" spans="1:3">
      <c r="A20872" s="250">
        <v>48748</v>
      </c>
      <c r="B20872" s="74" t="s">
        <v>11131</v>
      </c>
      <c r="C20872" s="74" t="s">
        <v>433</v>
      </c>
    </row>
    <row r="20873" spans="1:3">
      <c r="A20873" s="250">
        <v>48749</v>
      </c>
      <c r="B20873" s="74" t="s">
        <v>11132</v>
      </c>
      <c r="C20873" s="74" t="s">
        <v>433</v>
      </c>
    </row>
    <row r="20874" spans="1:3">
      <c r="A20874" s="250">
        <v>48750</v>
      </c>
      <c r="B20874" s="74" t="s">
        <v>11133</v>
      </c>
      <c r="C20874" s="74" t="s">
        <v>433</v>
      </c>
    </row>
    <row r="20875" spans="1:3">
      <c r="A20875" s="250">
        <v>48754</v>
      </c>
      <c r="B20875" s="74" t="s">
        <v>11134</v>
      </c>
      <c r="C20875" s="74" t="s">
        <v>433</v>
      </c>
    </row>
    <row r="20876" spans="1:3">
      <c r="A20876" s="250">
        <v>48755</v>
      </c>
      <c r="B20876" s="74" t="s">
        <v>11135</v>
      </c>
      <c r="C20876" s="74" t="s">
        <v>433</v>
      </c>
    </row>
    <row r="20877" spans="1:3">
      <c r="A20877" s="250">
        <v>48756</v>
      </c>
      <c r="B20877" s="74" t="s">
        <v>11136</v>
      </c>
      <c r="C20877" s="74" t="s">
        <v>433</v>
      </c>
    </row>
    <row r="20878" spans="1:3">
      <c r="A20878" s="250">
        <v>48757</v>
      </c>
      <c r="B20878" s="74" t="s">
        <v>11137</v>
      </c>
      <c r="C20878" s="74" t="s">
        <v>433</v>
      </c>
    </row>
    <row r="20879" spans="1:3">
      <c r="A20879" s="250">
        <v>48758</v>
      </c>
      <c r="B20879" s="74" t="s">
        <v>3578</v>
      </c>
      <c r="C20879" s="74" t="s">
        <v>433</v>
      </c>
    </row>
    <row r="20880" spans="1:3">
      <c r="A20880" s="250">
        <v>48759</v>
      </c>
      <c r="B20880" s="74" t="s">
        <v>11138</v>
      </c>
      <c r="C20880" s="74" t="s">
        <v>433</v>
      </c>
    </row>
    <row r="20881" spans="1:3">
      <c r="A20881" s="250">
        <v>48760</v>
      </c>
      <c r="B20881" s="74" t="s">
        <v>11139</v>
      </c>
      <c r="C20881" s="74" t="s">
        <v>433</v>
      </c>
    </row>
    <row r="20882" spans="1:3">
      <c r="A20882" s="250">
        <v>48761</v>
      </c>
      <c r="B20882" s="74" t="s">
        <v>11140</v>
      </c>
      <c r="C20882" s="74" t="s">
        <v>433</v>
      </c>
    </row>
    <row r="20883" spans="1:3">
      <c r="A20883" s="250">
        <v>48762</v>
      </c>
      <c r="B20883" s="74" t="s">
        <v>11141</v>
      </c>
      <c r="C20883" s="74" t="s">
        <v>433</v>
      </c>
    </row>
    <row r="20884" spans="1:3">
      <c r="A20884" s="250">
        <v>48763</v>
      </c>
      <c r="B20884" s="74" t="s">
        <v>11142</v>
      </c>
      <c r="C20884" s="74" t="s">
        <v>433</v>
      </c>
    </row>
    <row r="20885" spans="1:3">
      <c r="A20885" s="250">
        <v>48764</v>
      </c>
      <c r="B20885" s="74" t="s">
        <v>11142</v>
      </c>
      <c r="C20885" s="74" t="s">
        <v>433</v>
      </c>
    </row>
    <row r="20886" spans="1:3">
      <c r="A20886" s="250">
        <v>48765</v>
      </c>
      <c r="B20886" s="74" t="s">
        <v>1463</v>
      </c>
      <c r="C20886" s="74" t="s">
        <v>433</v>
      </c>
    </row>
    <row r="20887" spans="1:3">
      <c r="A20887" s="250">
        <v>48766</v>
      </c>
      <c r="B20887" s="74" t="s">
        <v>11143</v>
      </c>
      <c r="C20887" s="74" t="s">
        <v>433</v>
      </c>
    </row>
    <row r="20888" spans="1:3">
      <c r="A20888" s="250">
        <v>48767</v>
      </c>
      <c r="B20888" s="74" t="s">
        <v>1968</v>
      </c>
      <c r="C20888" s="74" t="s">
        <v>433</v>
      </c>
    </row>
    <row r="20889" spans="1:3">
      <c r="A20889" s="250">
        <v>48768</v>
      </c>
      <c r="B20889" s="74" t="s">
        <v>11144</v>
      </c>
      <c r="C20889" s="74" t="s">
        <v>433</v>
      </c>
    </row>
    <row r="20890" spans="1:3">
      <c r="A20890" s="250">
        <v>48769</v>
      </c>
      <c r="B20890" s="74" t="s">
        <v>11144</v>
      </c>
      <c r="C20890" s="74" t="s">
        <v>433</v>
      </c>
    </row>
    <row r="20891" spans="1:3">
      <c r="A20891" s="250">
        <v>48770</v>
      </c>
      <c r="B20891" s="74" t="s">
        <v>11145</v>
      </c>
      <c r="C20891" s="74" t="s">
        <v>433</v>
      </c>
    </row>
    <row r="20892" spans="1:3">
      <c r="A20892" s="250">
        <v>48787</v>
      </c>
      <c r="B20892" s="74" t="s">
        <v>11125</v>
      </c>
      <c r="C20892" s="74" t="s">
        <v>433</v>
      </c>
    </row>
    <row r="20893" spans="1:3">
      <c r="A20893" s="250">
        <v>48801</v>
      </c>
      <c r="B20893" s="74" t="s">
        <v>3841</v>
      </c>
      <c r="C20893" s="74" t="s">
        <v>433</v>
      </c>
    </row>
    <row r="20894" spans="1:3">
      <c r="A20894" s="250">
        <v>48802</v>
      </c>
      <c r="B20894" s="74" t="s">
        <v>3841</v>
      </c>
      <c r="C20894" s="74" t="s">
        <v>433</v>
      </c>
    </row>
    <row r="20895" spans="1:3">
      <c r="A20895" s="250">
        <v>48804</v>
      </c>
      <c r="B20895" s="74" t="s">
        <v>4226</v>
      </c>
      <c r="C20895" s="74" t="s">
        <v>433</v>
      </c>
    </row>
    <row r="20896" spans="1:3">
      <c r="A20896" s="250">
        <v>48805</v>
      </c>
      <c r="B20896" s="74" t="s">
        <v>11146</v>
      </c>
      <c r="C20896" s="74" t="s">
        <v>433</v>
      </c>
    </row>
    <row r="20897" spans="1:3">
      <c r="A20897" s="250">
        <v>48806</v>
      </c>
      <c r="B20897" s="74" t="s">
        <v>10079</v>
      </c>
      <c r="C20897" s="74" t="s">
        <v>433</v>
      </c>
    </row>
    <row r="20898" spans="1:3">
      <c r="A20898" s="250">
        <v>48807</v>
      </c>
      <c r="B20898" s="74" t="s">
        <v>11147</v>
      </c>
      <c r="C20898" s="74" t="s">
        <v>433</v>
      </c>
    </row>
    <row r="20899" spans="1:3">
      <c r="A20899" s="250">
        <v>48808</v>
      </c>
      <c r="B20899" s="74" t="s">
        <v>1269</v>
      </c>
      <c r="C20899" s="74" t="s">
        <v>433</v>
      </c>
    </row>
    <row r="20900" spans="1:3">
      <c r="A20900" s="250">
        <v>48809</v>
      </c>
      <c r="B20900" s="74" t="s">
        <v>11148</v>
      </c>
      <c r="C20900" s="74" t="s">
        <v>433</v>
      </c>
    </row>
    <row r="20901" spans="1:3">
      <c r="A20901" s="250">
        <v>48811</v>
      </c>
      <c r="B20901" s="74" t="s">
        <v>11149</v>
      </c>
      <c r="C20901" s="74" t="s">
        <v>433</v>
      </c>
    </row>
    <row r="20902" spans="1:3">
      <c r="A20902" s="250">
        <v>48812</v>
      </c>
      <c r="B20902" s="74" t="s">
        <v>10679</v>
      </c>
      <c r="C20902" s="74" t="s">
        <v>433</v>
      </c>
    </row>
    <row r="20903" spans="1:3">
      <c r="A20903" s="250">
        <v>48813</v>
      </c>
      <c r="B20903" s="74" t="s">
        <v>1806</v>
      </c>
      <c r="C20903" s="74" t="s">
        <v>433</v>
      </c>
    </row>
    <row r="20904" spans="1:3">
      <c r="A20904" s="250">
        <v>48815</v>
      </c>
      <c r="B20904" s="74" t="s">
        <v>2926</v>
      </c>
      <c r="C20904" s="74" t="s">
        <v>433</v>
      </c>
    </row>
    <row r="20905" spans="1:3">
      <c r="A20905" s="250">
        <v>48816</v>
      </c>
      <c r="B20905" s="74" t="s">
        <v>11150</v>
      </c>
      <c r="C20905" s="74" t="s">
        <v>433</v>
      </c>
    </row>
    <row r="20906" spans="1:3">
      <c r="A20906" s="250">
        <v>48817</v>
      </c>
      <c r="B20906" s="74" t="s">
        <v>10730</v>
      </c>
      <c r="C20906" s="74" t="s">
        <v>433</v>
      </c>
    </row>
    <row r="20907" spans="1:3">
      <c r="A20907" s="250">
        <v>48818</v>
      </c>
      <c r="B20907" s="74" t="s">
        <v>11151</v>
      </c>
      <c r="C20907" s="74" t="s">
        <v>433</v>
      </c>
    </row>
    <row r="20908" spans="1:3">
      <c r="A20908" s="250">
        <v>48819</v>
      </c>
      <c r="B20908" s="74" t="s">
        <v>3768</v>
      </c>
      <c r="C20908" s="74" t="s">
        <v>433</v>
      </c>
    </row>
    <row r="20909" spans="1:3">
      <c r="A20909" s="250">
        <v>48820</v>
      </c>
      <c r="B20909" s="74" t="s">
        <v>6195</v>
      </c>
      <c r="C20909" s="74" t="s">
        <v>433</v>
      </c>
    </row>
    <row r="20910" spans="1:3">
      <c r="A20910" s="250">
        <v>48821</v>
      </c>
      <c r="B20910" s="74" t="s">
        <v>11152</v>
      </c>
      <c r="C20910" s="74" t="s">
        <v>433</v>
      </c>
    </row>
    <row r="20911" spans="1:3">
      <c r="A20911" s="250">
        <v>48822</v>
      </c>
      <c r="B20911" s="74" t="s">
        <v>11153</v>
      </c>
      <c r="C20911" s="74" t="s">
        <v>433</v>
      </c>
    </row>
    <row r="20912" spans="1:3">
      <c r="A20912" s="250">
        <v>48823</v>
      </c>
      <c r="B20912" s="74" t="s">
        <v>11154</v>
      </c>
      <c r="C20912" s="74" t="s">
        <v>433</v>
      </c>
    </row>
    <row r="20913" spans="1:3">
      <c r="A20913" s="250">
        <v>48824</v>
      </c>
      <c r="B20913" s="74" t="s">
        <v>11154</v>
      </c>
      <c r="C20913" s="74" t="s">
        <v>433</v>
      </c>
    </row>
    <row r="20914" spans="1:3">
      <c r="A20914" s="250">
        <v>48825</v>
      </c>
      <c r="B20914" s="74" t="s">
        <v>11154</v>
      </c>
      <c r="C20914" s="74" t="s">
        <v>433</v>
      </c>
    </row>
    <row r="20915" spans="1:3">
      <c r="A20915" s="250">
        <v>48826</v>
      </c>
      <c r="B20915" s="74" t="s">
        <v>11154</v>
      </c>
      <c r="C20915" s="74" t="s">
        <v>433</v>
      </c>
    </row>
    <row r="20916" spans="1:3">
      <c r="A20916" s="250">
        <v>48827</v>
      </c>
      <c r="B20916" s="74" t="s">
        <v>11155</v>
      </c>
      <c r="C20916" s="74" t="s">
        <v>433</v>
      </c>
    </row>
    <row r="20917" spans="1:3">
      <c r="A20917" s="250">
        <v>48829</v>
      </c>
      <c r="B20917" s="74" t="s">
        <v>11156</v>
      </c>
      <c r="C20917" s="74" t="s">
        <v>433</v>
      </c>
    </row>
    <row r="20918" spans="1:3">
      <c r="A20918" s="250">
        <v>48830</v>
      </c>
      <c r="B20918" s="74" t="s">
        <v>11157</v>
      </c>
      <c r="C20918" s="74" t="s">
        <v>433</v>
      </c>
    </row>
    <row r="20919" spans="1:3">
      <c r="A20919" s="250">
        <v>48831</v>
      </c>
      <c r="B20919" s="74" t="s">
        <v>11158</v>
      </c>
      <c r="C20919" s="74" t="s">
        <v>433</v>
      </c>
    </row>
    <row r="20920" spans="1:3">
      <c r="A20920" s="250">
        <v>48832</v>
      </c>
      <c r="B20920" s="74" t="s">
        <v>11159</v>
      </c>
      <c r="C20920" s="74" t="s">
        <v>433</v>
      </c>
    </row>
    <row r="20921" spans="1:3">
      <c r="A20921" s="250">
        <v>48833</v>
      </c>
      <c r="B20921" s="74" t="s">
        <v>11160</v>
      </c>
      <c r="C20921" s="74" t="s">
        <v>433</v>
      </c>
    </row>
    <row r="20922" spans="1:3">
      <c r="A20922" s="250">
        <v>48834</v>
      </c>
      <c r="B20922" s="74" t="s">
        <v>6887</v>
      </c>
      <c r="C20922" s="74" t="s">
        <v>433</v>
      </c>
    </row>
    <row r="20923" spans="1:3">
      <c r="A20923" s="250">
        <v>48835</v>
      </c>
      <c r="B20923" s="74" t="s">
        <v>10361</v>
      </c>
      <c r="C20923" s="74" t="s">
        <v>433</v>
      </c>
    </row>
    <row r="20924" spans="1:3">
      <c r="A20924" s="250">
        <v>48836</v>
      </c>
      <c r="B20924" s="74" t="s">
        <v>11161</v>
      </c>
      <c r="C20924" s="74" t="s">
        <v>433</v>
      </c>
    </row>
    <row r="20925" spans="1:3">
      <c r="A20925" s="250">
        <v>48837</v>
      </c>
      <c r="B20925" s="74" t="s">
        <v>11162</v>
      </c>
      <c r="C20925" s="74" t="s">
        <v>433</v>
      </c>
    </row>
    <row r="20926" spans="1:3">
      <c r="A20926" s="250">
        <v>48838</v>
      </c>
      <c r="B20926" s="74" t="s">
        <v>1108</v>
      </c>
      <c r="C20926" s="74" t="s">
        <v>433</v>
      </c>
    </row>
    <row r="20927" spans="1:3">
      <c r="A20927" s="250">
        <v>48840</v>
      </c>
      <c r="B20927" s="74" t="s">
        <v>11163</v>
      </c>
      <c r="C20927" s="74" t="s">
        <v>433</v>
      </c>
    </row>
    <row r="20928" spans="1:3">
      <c r="A20928" s="250">
        <v>48841</v>
      </c>
      <c r="B20928" s="74" t="s">
        <v>3556</v>
      </c>
      <c r="C20928" s="74" t="s">
        <v>433</v>
      </c>
    </row>
    <row r="20929" spans="1:3">
      <c r="A20929" s="250">
        <v>48842</v>
      </c>
      <c r="B20929" s="74" t="s">
        <v>8332</v>
      </c>
      <c r="C20929" s="74" t="s">
        <v>433</v>
      </c>
    </row>
    <row r="20930" spans="1:3">
      <c r="A20930" s="250">
        <v>48843</v>
      </c>
      <c r="B20930" s="74" t="s">
        <v>2270</v>
      </c>
      <c r="C20930" s="74" t="s">
        <v>433</v>
      </c>
    </row>
    <row r="20931" spans="1:3">
      <c r="A20931" s="250">
        <v>48844</v>
      </c>
      <c r="B20931" s="74" t="s">
        <v>2270</v>
      </c>
      <c r="C20931" s="74" t="s">
        <v>433</v>
      </c>
    </row>
    <row r="20932" spans="1:3">
      <c r="A20932" s="250">
        <v>48845</v>
      </c>
      <c r="B20932" s="74" t="s">
        <v>711</v>
      </c>
      <c r="C20932" s="74" t="s">
        <v>433</v>
      </c>
    </row>
    <row r="20933" spans="1:3">
      <c r="A20933" s="250">
        <v>48846</v>
      </c>
      <c r="B20933" s="74" t="s">
        <v>3785</v>
      </c>
      <c r="C20933" s="74" t="s">
        <v>433</v>
      </c>
    </row>
    <row r="20934" spans="1:3">
      <c r="A20934" s="250">
        <v>48847</v>
      </c>
      <c r="B20934" s="74" t="s">
        <v>3921</v>
      </c>
      <c r="C20934" s="74" t="s">
        <v>433</v>
      </c>
    </row>
    <row r="20935" spans="1:3">
      <c r="A20935" s="250">
        <v>48848</v>
      </c>
      <c r="B20935" s="74" t="s">
        <v>11164</v>
      </c>
      <c r="C20935" s="74" t="s">
        <v>433</v>
      </c>
    </row>
    <row r="20936" spans="1:3">
      <c r="A20936" s="250">
        <v>48849</v>
      </c>
      <c r="B20936" s="74" t="s">
        <v>11165</v>
      </c>
      <c r="C20936" s="74" t="s">
        <v>433</v>
      </c>
    </row>
    <row r="20937" spans="1:3">
      <c r="A20937" s="250">
        <v>48850</v>
      </c>
      <c r="B20937" s="74" t="s">
        <v>7360</v>
      </c>
      <c r="C20937" s="74" t="s">
        <v>433</v>
      </c>
    </row>
    <row r="20938" spans="1:3">
      <c r="A20938" s="250">
        <v>48851</v>
      </c>
      <c r="B20938" s="74" t="s">
        <v>2349</v>
      </c>
      <c r="C20938" s="74" t="s">
        <v>433</v>
      </c>
    </row>
    <row r="20939" spans="1:3">
      <c r="A20939" s="250">
        <v>48852</v>
      </c>
      <c r="B20939" s="74" t="s">
        <v>11166</v>
      </c>
      <c r="C20939" s="74" t="s">
        <v>433</v>
      </c>
    </row>
    <row r="20940" spans="1:3">
      <c r="A20940" s="250">
        <v>48853</v>
      </c>
      <c r="B20940" s="74" t="s">
        <v>11167</v>
      </c>
      <c r="C20940" s="74" t="s">
        <v>433</v>
      </c>
    </row>
    <row r="20941" spans="1:3">
      <c r="A20941" s="250">
        <v>48854</v>
      </c>
      <c r="B20941" s="74" t="s">
        <v>6673</v>
      </c>
      <c r="C20941" s="74" t="s">
        <v>433</v>
      </c>
    </row>
    <row r="20942" spans="1:3">
      <c r="A20942" s="250">
        <v>48855</v>
      </c>
      <c r="B20942" s="74" t="s">
        <v>2270</v>
      </c>
      <c r="C20942" s="74" t="s">
        <v>433</v>
      </c>
    </row>
    <row r="20943" spans="1:3">
      <c r="A20943" s="250">
        <v>48856</v>
      </c>
      <c r="B20943" s="74" t="s">
        <v>850</v>
      </c>
      <c r="C20943" s="74" t="s">
        <v>433</v>
      </c>
    </row>
    <row r="20944" spans="1:3">
      <c r="A20944" s="250">
        <v>48857</v>
      </c>
      <c r="B20944" s="74" t="s">
        <v>11168</v>
      </c>
      <c r="C20944" s="74" t="s">
        <v>433</v>
      </c>
    </row>
    <row r="20945" spans="1:3">
      <c r="A20945" s="250">
        <v>48858</v>
      </c>
      <c r="B20945" s="74" t="s">
        <v>4226</v>
      </c>
      <c r="C20945" s="74" t="s">
        <v>433</v>
      </c>
    </row>
    <row r="20946" spans="1:3">
      <c r="A20946" s="250">
        <v>48859</v>
      </c>
      <c r="B20946" s="74" t="s">
        <v>4226</v>
      </c>
      <c r="C20946" s="74" t="s">
        <v>433</v>
      </c>
    </row>
    <row r="20947" spans="1:3">
      <c r="A20947" s="250">
        <v>48860</v>
      </c>
      <c r="B20947" s="74" t="s">
        <v>5008</v>
      </c>
      <c r="C20947" s="74" t="s">
        <v>433</v>
      </c>
    </row>
    <row r="20948" spans="1:3">
      <c r="A20948" s="250">
        <v>48861</v>
      </c>
      <c r="B20948" s="74" t="s">
        <v>11169</v>
      </c>
      <c r="C20948" s="74" t="s">
        <v>433</v>
      </c>
    </row>
    <row r="20949" spans="1:3">
      <c r="A20949" s="250">
        <v>48862</v>
      </c>
      <c r="B20949" s="74" t="s">
        <v>10510</v>
      </c>
      <c r="C20949" s="74" t="s">
        <v>433</v>
      </c>
    </row>
    <row r="20950" spans="1:3">
      <c r="A20950" s="250">
        <v>48863</v>
      </c>
      <c r="B20950" s="74" t="s">
        <v>2270</v>
      </c>
      <c r="C20950" s="74" t="s">
        <v>433</v>
      </c>
    </row>
    <row r="20951" spans="1:3">
      <c r="A20951" s="250">
        <v>48864</v>
      </c>
      <c r="B20951" s="74" t="s">
        <v>11146</v>
      </c>
      <c r="C20951" s="74" t="s">
        <v>433</v>
      </c>
    </row>
    <row r="20952" spans="1:3">
      <c r="A20952" s="250">
        <v>48865</v>
      </c>
      <c r="B20952" s="74" t="s">
        <v>1042</v>
      </c>
      <c r="C20952" s="74" t="s">
        <v>433</v>
      </c>
    </row>
    <row r="20953" spans="1:3">
      <c r="A20953" s="250">
        <v>48866</v>
      </c>
      <c r="B20953" s="74" t="s">
        <v>3804</v>
      </c>
      <c r="C20953" s="74" t="s">
        <v>433</v>
      </c>
    </row>
    <row r="20954" spans="1:3">
      <c r="A20954" s="250">
        <v>48867</v>
      </c>
      <c r="B20954" s="74" t="s">
        <v>11170</v>
      </c>
      <c r="C20954" s="74" t="s">
        <v>433</v>
      </c>
    </row>
    <row r="20955" spans="1:3">
      <c r="A20955" s="250">
        <v>48870</v>
      </c>
      <c r="B20955" s="74" t="s">
        <v>11171</v>
      </c>
      <c r="C20955" s="74" t="s">
        <v>433</v>
      </c>
    </row>
    <row r="20956" spans="1:3">
      <c r="A20956" s="250">
        <v>48871</v>
      </c>
      <c r="B20956" s="74" t="s">
        <v>11172</v>
      </c>
      <c r="C20956" s="74" t="s">
        <v>433</v>
      </c>
    </row>
    <row r="20957" spans="1:3">
      <c r="A20957" s="250">
        <v>48872</v>
      </c>
      <c r="B20957" s="74" t="s">
        <v>1602</v>
      </c>
      <c r="C20957" s="74" t="s">
        <v>433</v>
      </c>
    </row>
    <row r="20958" spans="1:3">
      <c r="A20958" s="250">
        <v>48873</v>
      </c>
      <c r="B20958" s="74" t="s">
        <v>11173</v>
      </c>
      <c r="C20958" s="74" t="s">
        <v>433</v>
      </c>
    </row>
    <row r="20959" spans="1:3">
      <c r="A20959" s="250">
        <v>48874</v>
      </c>
      <c r="B20959" s="74" t="s">
        <v>11174</v>
      </c>
      <c r="C20959" s="74" t="s">
        <v>433</v>
      </c>
    </row>
    <row r="20960" spans="1:3">
      <c r="A20960" s="250">
        <v>48875</v>
      </c>
      <c r="B20960" s="74" t="s">
        <v>1429</v>
      </c>
      <c r="C20960" s="74" t="s">
        <v>433</v>
      </c>
    </row>
    <row r="20961" spans="1:3">
      <c r="A20961" s="250">
        <v>48876</v>
      </c>
      <c r="B20961" s="74" t="s">
        <v>11175</v>
      </c>
      <c r="C20961" s="74" t="s">
        <v>433</v>
      </c>
    </row>
    <row r="20962" spans="1:3">
      <c r="A20962" s="250">
        <v>48877</v>
      </c>
      <c r="B20962" s="74" t="s">
        <v>2207</v>
      </c>
      <c r="C20962" s="74" t="s">
        <v>433</v>
      </c>
    </row>
    <row r="20963" spans="1:3">
      <c r="A20963" s="250">
        <v>48878</v>
      </c>
      <c r="B20963" s="74" t="s">
        <v>11176</v>
      </c>
      <c r="C20963" s="74" t="s">
        <v>433</v>
      </c>
    </row>
    <row r="20964" spans="1:3">
      <c r="A20964" s="250">
        <v>48879</v>
      </c>
      <c r="B20964" s="74" t="s">
        <v>5103</v>
      </c>
      <c r="C20964" s="74" t="s">
        <v>433</v>
      </c>
    </row>
    <row r="20965" spans="1:3">
      <c r="A20965" s="250">
        <v>48880</v>
      </c>
      <c r="B20965" s="74" t="s">
        <v>11177</v>
      </c>
      <c r="C20965" s="74" t="s">
        <v>433</v>
      </c>
    </row>
    <row r="20966" spans="1:3">
      <c r="A20966" s="250">
        <v>48881</v>
      </c>
      <c r="B20966" s="74" t="s">
        <v>3326</v>
      </c>
      <c r="C20966" s="74" t="s">
        <v>433</v>
      </c>
    </row>
    <row r="20967" spans="1:3">
      <c r="A20967" s="250">
        <v>48882</v>
      </c>
      <c r="B20967" s="74" t="s">
        <v>11178</v>
      </c>
      <c r="C20967" s="74" t="s">
        <v>433</v>
      </c>
    </row>
    <row r="20968" spans="1:3">
      <c r="A20968" s="250">
        <v>48883</v>
      </c>
      <c r="B20968" s="74" t="s">
        <v>11179</v>
      </c>
      <c r="C20968" s="74" t="s">
        <v>433</v>
      </c>
    </row>
    <row r="20969" spans="1:3">
      <c r="A20969" s="250">
        <v>48884</v>
      </c>
      <c r="B20969" s="74" t="s">
        <v>1651</v>
      </c>
      <c r="C20969" s="74" t="s">
        <v>433</v>
      </c>
    </row>
    <row r="20970" spans="1:3">
      <c r="A20970" s="250">
        <v>48885</v>
      </c>
      <c r="B20970" s="74" t="s">
        <v>3646</v>
      </c>
      <c r="C20970" s="74" t="s">
        <v>433</v>
      </c>
    </row>
    <row r="20971" spans="1:3">
      <c r="A20971" s="250">
        <v>48886</v>
      </c>
      <c r="B20971" s="74" t="s">
        <v>11180</v>
      </c>
      <c r="C20971" s="74" t="s">
        <v>433</v>
      </c>
    </row>
    <row r="20972" spans="1:3">
      <c r="A20972" s="250">
        <v>48887</v>
      </c>
      <c r="B20972" s="74" t="s">
        <v>3502</v>
      </c>
      <c r="C20972" s="74" t="s">
        <v>433</v>
      </c>
    </row>
    <row r="20973" spans="1:3">
      <c r="A20973" s="250">
        <v>48888</v>
      </c>
      <c r="B20973" s="74" t="s">
        <v>2602</v>
      </c>
      <c r="C20973" s="74" t="s">
        <v>433</v>
      </c>
    </row>
    <row r="20974" spans="1:3">
      <c r="A20974" s="250">
        <v>48889</v>
      </c>
      <c r="B20974" s="74" t="s">
        <v>1472</v>
      </c>
      <c r="C20974" s="74" t="s">
        <v>433</v>
      </c>
    </row>
    <row r="20975" spans="1:3">
      <c r="A20975" s="250">
        <v>48890</v>
      </c>
      <c r="B20975" s="74" t="s">
        <v>11181</v>
      </c>
      <c r="C20975" s="74" t="s">
        <v>433</v>
      </c>
    </row>
    <row r="20976" spans="1:3">
      <c r="A20976" s="250">
        <v>48891</v>
      </c>
      <c r="B20976" s="74" t="s">
        <v>4082</v>
      </c>
      <c r="C20976" s="74" t="s">
        <v>433</v>
      </c>
    </row>
    <row r="20977" spans="1:3">
      <c r="A20977" s="250">
        <v>48892</v>
      </c>
      <c r="B20977" s="74" t="s">
        <v>11182</v>
      </c>
      <c r="C20977" s="74" t="s">
        <v>433</v>
      </c>
    </row>
    <row r="20978" spans="1:3">
      <c r="A20978" s="250">
        <v>48893</v>
      </c>
      <c r="B20978" s="74" t="s">
        <v>11183</v>
      </c>
      <c r="C20978" s="74" t="s">
        <v>433</v>
      </c>
    </row>
    <row r="20979" spans="1:3">
      <c r="A20979" s="250">
        <v>48894</v>
      </c>
      <c r="B20979" s="74" t="s">
        <v>10909</v>
      </c>
      <c r="C20979" s="74" t="s">
        <v>433</v>
      </c>
    </row>
    <row r="20980" spans="1:3">
      <c r="A20980" s="250">
        <v>48895</v>
      </c>
      <c r="B20980" s="74" t="s">
        <v>7234</v>
      </c>
      <c r="C20980" s="74" t="s">
        <v>433</v>
      </c>
    </row>
    <row r="20981" spans="1:3">
      <c r="A20981" s="250">
        <v>48896</v>
      </c>
      <c r="B20981" s="74" t="s">
        <v>1534</v>
      </c>
      <c r="C20981" s="74" t="s">
        <v>433</v>
      </c>
    </row>
    <row r="20982" spans="1:3">
      <c r="A20982" s="250">
        <v>48897</v>
      </c>
      <c r="B20982" s="74" t="s">
        <v>4660</v>
      </c>
      <c r="C20982" s="74" t="s">
        <v>433</v>
      </c>
    </row>
    <row r="20983" spans="1:3">
      <c r="A20983" s="250">
        <v>48901</v>
      </c>
      <c r="B20983" s="74" t="s">
        <v>3943</v>
      </c>
      <c r="C20983" s="74" t="s">
        <v>433</v>
      </c>
    </row>
    <row r="20984" spans="1:3">
      <c r="A20984" s="250">
        <v>48906</v>
      </c>
      <c r="B20984" s="74" t="s">
        <v>3943</v>
      </c>
      <c r="C20984" s="74" t="s">
        <v>433</v>
      </c>
    </row>
    <row r="20985" spans="1:3">
      <c r="A20985" s="250">
        <v>48908</v>
      </c>
      <c r="B20985" s="74" t="s">
        <v>3943</v>
      </c>
      <c r="C20985" s="74" t="s">
        <v>433</v>
      </c>
    </row>
    <row r="20986" spans="1:3">
      <c r="A20986" s="250">
        <v>48909</v>
      </c>
      <c r="B20986" s="74" t="s">
        <v>3943</v>
      </c>
      <c r="C20986" s="74" t="s">
        <v>433</v>
      </c>
    </row>
    <row r="20987" spans="1:3">
      <c r="A20987" s="250">
        <v>48910</v>
      </c>
      <c r="B20987" s="74" t="s">
        <v>3943</v>
      </c>
      <c r="C20987" s="74" t="s">
        <v>433</v>
      </c>
    </row>
    <row r="20988" spans="1:3">
      <c r="A20988" s="250">
        <v>48911</v>
      </c>
      <c r="B20988" s="74" t="s">
        <v>3943</v>
      </c>
      <c r="C20988" s="74" t="s">
        <v>433</v>
      </c>
    </row>
    <row r="20989" spans="1:3">
      <c r="A20989" s="250">
        <v>48912</v>
      </c>
      <c r="B20989" s="74" t="s">
        <v>3943</v>
      </c>
      <c r="C20989" s="74" t="s">
        <v>433</v>
      </c>
    </row>
    <row r="20990" spans="1:3">
      <c r="A20990" s="250">
        <v>48913</v>
      </c>
      <c r="B20990" s="74" t="s">
        <v>3943</v>
      </c>
      <c r="C20990" s="74" t="s">
        <v>433</v>
      </c>
    </row>
    <row r="20991" spans="1:3">
      <c r="A20991" s="250">
        <v>48915</v>
      </c>
      <c r="B20991" s="74" t="s">
        <v>3943</v>
      </c>
      <c r="C20991" s="74" t="s">
        <v>433</v>
      </c>
    </row>
    <row r="20992" spans="1:3">
      <c r="A20992" s="250">
        <v>48916</v>
      </c>
      <c r="B20992" s="74" t="s">
        <v>3943</v>
      </c>
      <c r="C20992" s="74" t="s">
        <v>433</v>
      </c>
    </row>
    <row r="20993" spans="1:3">
      <c r="A20993" s="250">
        <v>48917</v>
      </c>
      <c r="B20993" s="74" t="s">
        <v>3943</v>
      </c>
      <c r="C20993" s="74" t="s">
        <v>433</v>
      </c>
    </row>
    <row r="20994" spans="1:3">
      <c r="A20994" s="250">
        <v>48918</v>
      </c>
      <c r="B20994" s="74" t="s">
        <v>3943</v>
      </c>
      <c r="C20994" s="74" t="s">
        <v>433</v>
      </c>
    </row>
    <row r="20995" spans="1:3">
      <c r="A20995" s="250">
        <v>48919</v>
      </c>
      <c r="B20995" s="74" t="s">
        <v>3943</v>
      </c>
      <c r="C20995" s="74" t="s">
        <v>433</v>
      </c>
    </row>
    <row r="20996" spans="1:3">
      <c r="A20996" s="250">
        <v>48921</v>
      </c>
      <c r="B20996" s="74" t="s">
        <v>3943</v>
      </c>
      <c r="C20996" s="74" t="s">
        <v>433</v>
      </c>
    </row>
    <row r="20997" spans="1:3">
      <c r="A20997" s="250">
        <v>48922</v>
      </c>
      <c r="B20997" s="74" t="s">
        <v>3943</v>
      </c>
      <c r="C20997" s="74" t="s">
        <v>433</v>
      </c>
    </row>
    <row r="20998" spans="1:3">
      <c r="A20998" s="250">
        <v>48924</v>
      </c>
      <c r="B20998" s="74" t="s">
        <v>3943</v>
      </c>
      <c r="C20998" s="74" t="s">
        <v>433</v>
      </c>
    </row>
    <row r="20999" spans="1:3">
      <c r="A20999" s="250">
        <v>48929</v>
      </c>
      <c r="B20999" s="74" t="s">
        <v>3943</v>
      </c>
      <c r="C20999" s="74" t="s">
        <v>433</v>
      </c>
    </row>
    <row r="21000" spans="1:3">
      <c r="A21000" s="250">
        <v>48930</v>
      </c>
      <c r="B21000" s="74" t="s">
        <v>3943</v>
      </c>
      <c r="C21000" s="74" t="s">
        <v>433</v>
      </c>
    </row>
    <row r="21001" spans="1:3">
      <c r="A21001" s="250">
        <v>48933</v>
      </c>
      <c r="B21001" s="74" t="s">
        <v>3943</v>
      </c>
      <c r="C21001" s="74" t="s">
        <v>433</v>
      </c>
    </row>
    <row r="21002" spans="1:3">
      <c r="A21002" s="250">
        <v>48937</v>
      </c>
      <c r="B21002" s="74" t="s">
        <v>3943</v>
      </c>
      <c r="C21002" s="74" t="s">
        <v>433</v>
      </c>
    </row>
    <row r="21003" spans="1:3">
      <c r="A21003" s="250">
        <v>48950</v>
      </c>
      <c r="B21003" s="74" t="s">
        <v>3943</v>
      </c>
      <c r="C21003" s="74" t="s">
        <v>433</v>
      </c>
    </row>
    <row r="21004" spans="1:3">
      <c r="A21004" s="250">
        <v>48951</v>
      </c>
      <c r="B21004" s="74" t="s">
        <v>3943</v>
      </c>
      <c r="C21004" s="74" t="s">
        <v>433</v>
      </c>
    </row>
    <row r="21005" spans="1:3">
      <c r="A21005" s="250">
        <v>48956</v>
      </c>
      <c r="B21005" s="74" t="s">
        <v>3943</v>
      </c>
      <c r="C21005" s="74" t="s">
        <v>433</v>
      </c>
    </row>
    <row r="21006" spans="1:3">
      <c r="A21006" s="250">
        <v>48980</v>
      </c>
      <c r="B21006" s="74" t="s">
        <v>3943</v>
      </c>
      <c r="C21006" s="74" t="s">
        <v>433</v>
      </c>
    </row>
    <row r="21007" spans="1:3">
      <c r="A21007" s="250">
        <v>49001</v>
      </c>
      <c r="B21007" s="74" t="s">
        <v>11184</v>
      </c>
      <c r="C21007" s="74" t="s">
        <v>433</v>
      </c>
    </row>
    <row r="21008" spans="1:3">
      <c r="A21008" s="250">
        <v>49002</v>
      </c>
      <c r="B21008" s="74" t="s">
        <v>1646</v>
      </c>
      <c r="C21008" s="74" t="s">
        <v>433</v>
      </c>
    </row>
    <row r="21009" spans="1:3">
      <c r="A21009" s="250">
        <v>49003</v>
      </c>
      <c r="B21009" s="74" t="s">
        <v>11184</v>
      </c>
      <c r="C21009" s="74" t="s">
        <v>433</v>
      </c>
    </row>
    <row r="21010" spans="1:3">
      <c r="A21010" s="250">
        <v>49004</v>
      </c>
      <c r="B21010" s="74" t="s">
        <v>11184</v>
      </c>
      <c r="C21010" s="74" t="s">
        <v>433</v>
      </c>
    </row>
    <row r="21011" spans="1:3">
      <c r="A21011" s="250">
        <v>49005</v>
      </c>
      <c r="B21011" s="74" t="s">
        <v>11184</v>
      </c>
      <c r="C21011" s="74" t="s">
        <v>433</v>
      </c>
    </row>
    <row r="21012" spans="1:3">
      <c r="A21012" s="250">
        <v>49006</v>
      </c>
      <c r="B21012" s="74" t="s">
        <v>11184</v>
      </c>
      <c r="C21012" s="74" t="s">
        <v>433</v>
      </c>
    </row>
    <row r="21013" spans="1:3">
      <c r="A21013" s="250">
        <v>49007</v>
      </c>
      <c r="B21013" s="74" t="s">
        <v>11184</v>
      </c>
      <c r="C21013" s="74" t="s">
        <v>433</v>
      </c>
    </row>
    <row r="21014" spans="1:3">
      <c r="A21014" s="250">
        <v>49008</v>
      </c>
      <c r="B21014" s="74" t="s">
        <v>11184</v>
      </c>
      <c r="C21014" s="74" t="s">
        <v>433</v>
      </c>
    </row>
    <row r="21015" spans="1:3">
      <c r="A21015" s="250">
        <v>49009</v>
      </c>
      <c r="B21015" s="74" t="s">
        <v>11184</v>
      </c>
      <c r="C21015" s="74" t="s">
        <v>433</v>
      </c>
    </row>
    <row r="21016" spans="1:3">
      <c r="A21016" s="250">
        <v>49010</v>
      </c>
      <c r="B21016" s="74" t="s">
        <v>11185</v>
      </c>
      <c r="C21016" s="74" t="s">
        <v>433</v>
      </c>
    </row>
    <row r="21017" spans="1:3">
      <c r="A21017" s="250">
        <v>49011</v>
      </c>
      <c r="B21017" s="74" t="s">
        <v>1678</v>
      </c>
      <c r="C21017" s="74" t="s">
        <v>433</v>
      </c>
    </row>
    <row r="21018" spans="1:3">
      <c r="A21018" s="250">
        <v>49012</v>
      </c>
      <c r="B21018" s="74" t="s">
        <v>1473</v>
      </c>
      <c r="C21018" s="74" t="s">
        <v>433</v>
      </c>
    </row>
    <row r="21019" spans="1:3">
      <c r="A21019" s="250">
        <v>49013</v>
      </c>
      <c r="B21019" s="74" t="s">
        <v>1487</v>
      </c>
      <c r="C21019" s="74" t="s">
        <v>433</v>
      </c>
    </row>
    <row r="21020" spans="1:3">
      <c r="A21020" s="250">
        <v>49014</v>
      </c>
      <c r="B21020" s="74" t="s">
        <v>11186</v>
      </c>
      <c r="C21020" s="74" t="s">
        <v>433</v>
      </c>
    </row>
    <row r="21021" spans="1:3">
      <c r="A21021" s="250">
        <v>49015</v>
      </c>
      <c r="B21021" s="74" t="s">
        <v>11186</v>
      </c>
      <c r="C21021" s="74" t="s">
        <v>433</v>
      </c>
    </row>
    <row r="21022" spans="1:3">
      <c r="A21022" s="250">
        <v>49016</v>
      </c>
      <c r="B21022" s="74" t="s">
        <v>11186</v>
      </c>
      <c r="C21022" s="74" t="s">
        <v>433</v>
      </c>
    </row>
    <row r="21023" spans="1:3">
      <c r="A21023" s="250">
        <v>49017</v>
      </c>
      <c r="B21023" s="74" t="s">
        <v>11186</v>
      </c>
      <c r="C21023" s="74" t="s">
        <v>433</v>
      </c>
    </row>
    <row r="21024" spans="1:3">
      <c r="A21024" s="250">
        <v>49018</v>
      </c>
      <c r="B21024" s="74" t="s">
        <v>11186</v>
      </c>
      <c r="C21024" s="74" t="s">
        <v>433</v>
      </c>
    </row>
    <row r="21025" spans="1:3">
      <c r="A21025" s="250">
        <v>49019</v>
      </c>
      <c r="B21025" s="74" t="s">
        <v>11184</v>
      </c>
      <c r="C21025" s="74" t="s">
        <v>433</v>
      </c>
    </row>
    <row r="21026" spans="1:3">
      <c r="A21026" s="250">
        <v>49020</v>
      </c>
      <c r="B21026" s="74" t="s">
        <v>783</v>
      </c>
      <c r="C21026" s="74" t="s">
        <v>433</v>
      </c>
    </row>
    <row r="21027" spans="1:3">
      <c r="A21027" s="250">
        <v>49021</v>
      </c>
      <c r="B21027" s="74" t="s">
        <v>9741</v>
      </c>
      <c r="C21027" s="74" t="s">
        <v>433</v>
      </c>
    </row>
    <row r="21028" spans="1:3">
      <c r="A21028" s="250">
        <v>49022</v>
      </c>
      <c r="B21028" s="74" t="s">
        <v>11187</v>
      </c>
      <c r="C21028" s="74" t="s">
        <v>433</v>
      </c>
    </row>
    <row r="21029" spans="1:3">
      <c r="A21029" s="250">
        <v>49023</v>
      </c>
      <c r="B21029" s="74" t="s">
        <v>11187</v>
      </c>
      <c r="C21029" s="74" t="s">
        <v>433</v>
      </c>
    </row>
    <row r="21030" spans="1:3">
      <c r="A21030" s="250">
        <v>49024</v>
      </c>
      <c r="B21030" s="74" t="s">
        <v>1646</v>
      </c>
      <c r="C21030" s="74" t="s">
        <v>433</v>
      </c>
    </row>
    <row r="21031" spans="1:3">
      <c r="A21031" s="250">
        <v>49026</v>
      </c>
      <c r="B21031" s="74" t="s">
        <v>2182</v>
      </c>
      <c r="C21031" s="74" t="s">
        <v>433</v>
      </c>
    </row>
    <row r="21032" spans="1:3">
      <c r="A21032" s="250">
        <v>49027</v>
      </c>
      <c r="B21032" s="74" t="s">
        <v>11188</v>
      </c>
      <c r="C21032" s="74" t="s">
        <v>433</v>
      </c>
    </row>
    <row r="21033" spans="1:3">
      <c r="A21033" s="250">
        <v>49028</v>
      </c>
      <c r="B21033" s="74" t="s">
        <v>8344</v>
      </c>
      <c r="C21033" s="74" t="s">
        <v>433</v>
      </c>
    </row>
    <row r="21034" spans="1:3">
      <c r="A21034" s="250">
        <v>49029</v>
      </c>
      <c r="B21034" s="74" t="s">
        <v>806</v>
      </c>
      <c r="C21034" s="74" t="s">
        <v>433</v>
      </c>
    </row>
    <row r="21035" spans="1:3">
      <c r="A21035" s="250">
        <v>49030</v>
      </c>
      <c r="B21035" s="74" t="s">
        <v>11189</v>
      </c>
      <c r="C21035" s="74" t="s">
        <v>433</v>
      </c>
    </row>
    <row r="21036" spans="1:3">
      <c r="A21036" s="250">
        <v>49031</v>
      </c>
      <c r="B21036" s="74" t="s">
        <v>11190</v>
      </c>
      <c r="C21036" s="74" t="s">
        <v>433</v>
      </c>
    </row>
    <row r="21037" spans="1:3">
      <c r="A21037" s="250">
        <v>49032</v>
      </c>
      <c r="B21037" s="74" t="s">
        <v>5518</v>
      </c>
      <c r="C21037" s="74" t="s">
        <v>433</v>
      </c>
    </row>
    <row r="21038" spans="1:3">
      <c r="A21038" s="250">
        <v>49033</v>
      </c>
      <c r="B21038" s="74" t="s">
        <v>11191</v>
      </c>
      <c r="C21038" s="74" t="s">
        <v>433</v>
      </c>
    </row>
    <row r="21039" spans="1:3">
      <c r="A21039" s="250">
        <v>49034</v>
      </c>
      <c r="B21039" s="74" t="s">
        <v>2927</v>
      </c>
      <c r="C21039" s="74" t="s">
        <v>433</v>
      </c>
    </row>
    <row r="21040" spans="1:3">
      <c r="A21040" s="250">
        <v>49035</v>
      </c>
      <c r="B21040" s="74" t="s">
        <v>6265</v>
      </c>
      <c r="C21040" s="74" t="s">
        <v>433</v>
      </c>
    </row>
    <row r="21041" spans="1:3">
      <c r="A21041" s="250">
        <v>49036</v>
      </c>
      <c r="B21041" s="74" t="s">
        <v>9294</v>
      </c>
      <c r="C21041" s="74" t="s">
        <v>433</v>
      </c>
    </row>
    <row r="21042" spans="1:3">
      <c r="A21042" s="250">
        <v>49037</v>
      </c>
      <c r="B21042" s="74" t="s">
        <v>11186</v>
      </c>
      <c r="C21042" s="74" t="s">
        <v>433</v>
      </c>
    </row>
    <row r="21043" spans="1:3">
      <c r="A21043" s="250">
        <v>49038</v>
      </c>
      <c r="B21043" s="74" t="s">
        <v>11192</v>
      </c>
      <c r="C21043" s="74" t="s">
        <v>433</v>
      </c>
    </row>
    <row r="21044" spans="1:3">
      <c r="A21044" s="250">
        <v>49039</v>
      </c>
      <c r="B21044" s="74" t="s">
        <v>11193</v>
      </c>
      <c r="C21044" s="74" t="s">
        <v>433</v>
      </c>
    </row>
    <row r="21045" spans="1:3">
      <c r="A21045" s="250">
        <v>49040</v>
      </c>
      <c r="B21045" s="74" t="s">
        <v>11194</v>
      </c>
      <c r="C21045" s="74" t="s">
        <v>433</v>
      </c>
    </row>
    <row r="21046" spans="1:3">
      <c r="A21046" s="250">
        <v>49041</v>
      </c>
      <c r="B21046" s="74" t="s">
        <v>3230</v>
      </c>
      <c r="C21046" s="74" t="s">
        <v>433</v>
      </c>
    </row>
    <row r="21047" spans="1:3">
      <c r="A21047" s="250">
        <v>49042</v>
      </c>
      <c r="B21047" s="74" t="s">
        <v>11195</v>
      </c>
      <c r="C21047" s="74" t="s">
        <v>433</v>
      </c>
    </row>
    <row r="21048" spans="1:3">
      <c r="A21048" s="250">
        <v>49043</v>
      </c>
      <c r="B21048" s="74" t="s">
        <v>11196</v>
      </c>
      <c r="C21048" s="74" t="s">
        <v>433</v>
      </c>
    </row>
    <row r="21049" spans="1:3">
      <c r="A21049" s="250">
        <v>49045</v>
      </c>
      <c r="B21049" s="74" t="s">
        <v>7862</v>
      </c>
      <c r="C21049" s="74" t="s">
        <v>433</v>
      </c>
    </row>
    <row r="21050" spans="1:3">
      <c r="A21050" s="250">
        <v>49046</v>
      </c>
      <c r="B21050" s="74" t="s">
        <v>11197</v>
      </c>
      <c r="C21050" s="74" t="s">
        <v>433</v>
      </c>
    </row>
    <row r="21051" spans="1:3">
      <c r="A21051" s="250">
        <v>49047</v>
      </c>
      <c r="B21051" s="74" t="s">
        <v>11198</v>
      </c>
      <c r="C21051" s="74" t="s">
        <v>433</v>
      </c>
    </row>
    <row r="21052" spans="1:3">
      <c r="A21052" s="250">
        <v>49048</v>
      </c>
      <c r="B21052" s="74" t="s">
        <v>11184</v>
      </c>
      <c r="C21052" s="74" t="s">
        <v>433</v>
      </c>
    </row>
    <row r="21053" spans="1:3">
      <c r="A21053" s="250">
        <v>49050</v>
      </c>
      <c r="B21053" s="74" t="s">
        <v>11199</v>
      </c>
      <c r="C21053" s="74" t="s">
        <v>433</v>
      </c>
    </row>
    <row r="21054" spans="1:3">
      <c r="A21054" s="250">
        <v>49051</v>
      </c>
      <c r="B21054" s="74" t="s">
        <v>11200</v>
      </c>
      <c r="C21054" s="74" t="s">
        <v>433</v>
      </c>
    </row>
    <row r="21055" spans="1:3">
      <c r="A21055" s="250">
        <v>49052</v>
      </c>
      <c r="B21055" s="74" t="s">
        <v>3365</v>
      </c>
      <c r="C21055" s="74" t="s">
        <v>433</v>
      </c>
    </row>
    <row r="21056" spans="1:3">
      <c r="A21056" s="250">
        <v>49053</v>
      </c>
      <c r="B21056" s="74" t="s">
        <v>11201</v>
      </c>
      <c r="C21056" s="74" t="s">
        <v>433</v>
      </c>
    </row>
    <row r="21057" spans="1:3">
      <c r="A21057" s="250">
        <v>49055</v>
      </c>
      <c r="B21057" s="74" t="s">
        <v>11202</v>
      </c>
      <c r="C21057" s="74" t="s">
        <v>433</v>
      </c>
    </row>
    <row r="21058" spans="1:3">
      <c r="A21058" s="250">
        <v>49056</v>
      </c>
      <c r="B21058" s="74" t="s">
        <v>9181</v>
      </c>
      <c r="C21058" s="74" t="s">
        <v>433</v>
      </c>
    </row>
    <row r="21059" spans="1:3">
      <c r="A21059" s="250">
        <v>49057</v>
      </c>
      <c r="B21059" s="74" t="s">
        <v>1737</v>
      </c>
      <c r="C21059" s="74" t="s">
        <v>433</v>
      </c>
    </row>
    <row r="21060" spans="1:3">
      <c r="A21060" s="250">
        <v>49058</v>
      </c>
      <c r="B21060" s="74" t="s">
        <v>3368</v>
      </c>
      <c r="C21060" s="74" t="s">
        <v>433</v>
      </c>
    </row>
    <row r="21061" spans="1:3">
      <c r="A21061" s="250">
        <v>49060</v>
      </c>
      <c r="B21061" s="74" t="s">
        <v>11203</v>
      </c>
      <c r="C21061" s="74" t="s">
        <v>433</v>
      </c>
    </row>
    <row r="21062" spans="1:3">
      <c r="A21062" s="250">
        <v>49061</v>
      </c>
      <c r="B21062" s="74" t="s">
        <v>8941</v>
      </c>
      <c r="C21062" s="74" t="s">
        <v>433</v>
      </c>
    </row>
    <row r="21063" spans="1:3">
      <c r="A21063" s="250">
        <v>49062</v>
      </c>
      <c r="B21063" s="74" t="s">
        <v>3786</v>
      </c>
      <c r="C21063" s="74" t="s">
        <v>433</v>
      </c>
    </row>
    <row r="21064" spans="1:3">
      <c r="A21064" s="250">
        <v>49063</v>
      </c>
      <c r="B21064" s="74" t="s">
        <v>11204</v>
      </c>
      <c r="C21064" s="74" t="s">
        <v>433</v>
      </c>
    </row>
    <row r="21065" spans="1:3">
      <c r="A21065" s="250">
        <v>49064</v>
      </c>
      <c r="B21065" s="74" t="s">
        <v>815</v>
      </c>
      <c r="C21065" s="74" t="s">
        <v>433</v>
      </c>
    </row>
    <row r="21066" spans="1:3">
      <c r="A21066" s="250">
        <v>49065</v>
      </c>
      <c r="B21066" s="74" t="s">
        <v>5243</v>
      </c>
      <c r="C21066" s="74" t="s">
        <v>433</v>
      </c>
    </row>
    <row r="21067" spans="1:3">
      <c r="A21067" s="250">
        <v>49066</v>
      </c>
      <c r="B21067" s="74" t="s">
        <v>11205</v>
      </c>
      <c r="C21067" s="74" t="s">
        <v>433</v>
      </c>
    </row>
    <row r="21068" spans="1:3">
      <c r="A21068" s="250">
        <v>49067</v>
      </c>
      <c r="B21068" s="74" t="s">
        <v>3384</v>
      </c>
      <c r="C21068" s="74" t="s">
        <v>433</v>
      </c>
    </row>
    <row r="21069" spans="1:3">
      <c r="A21069" s="250">
        <v>49068</v>
      </c>
      <c r="B21069" s="74" t="s">
        <v>5516</v>
      </c>
      <c r="C21069" s="74" t="s">
        <v>433</v>
      </c>
    </row>
    <row r="21070" spans="1:3">
      <c r="A21070" s="250">
        <v>49069</v>
      </c>
      <c r="B21070" s="74" t="s">
        <v>5516</v>
      </c>
      <c r="C21070" s="74" t="s">
        <v>433</v>
      </c>
    </row>
    <row r="21071" spans="1:3">
      <c r="A21071" s="250">
        <v>49070</v>
      </c>
      <c r="B21071" s="74" t="s">
        <v>4128</v>
      </c>
      <c r="C21071" s="74" t="s">
        <v>433</v>
      </c>
    </row>
    <row r="21072" spans="1:3">
      <c r="A21072" s="250">
        <v>49071</v>
      </c>
      <c r="B21072" s="74" t="s">
        <v>11206</v>
      </c>
      <c r="C21072" s="74" t="s">
        <v>433</v>
      </c>
    </row>
    <row r="21073" spans="1:3">
      <c r="A21073" s="250">
        <v>49072</v>
      </c>
      <c r="B21073" s="74" t="s">
        <v>795</v>
      </c>
      <c r="C21073" s="74" t="s">
        <v>433</v>
      </c>
    </row>
    <row r="21074" spans="1:3">
      <c r="A21074" s="250">
        <v>49073</v>
      </c>
      <c r="B21074" s="74" t="s">
        <v>7206</v>
      </c>
      <c r="C21074" s="74" t="s">
        <v>433</v>
      </c>
    </row>
    <row r="21075" spans="1:3">
      <c r="A21075" s="250">
        <v>49074</v>
      </c>
      <c r="B21075" s="74" t="s">
        <v>5053</v>
      </c>
      <c r="C21075" s="74" t="s">
        <v>433</v>
      </c>
    </row>
    <row r="21076" spans="1:3">
      <c r="A21076" s="250">
        <v>49075</v>
      </c>
      <c r="B21076" s="74" t="s">
        <v>11207</v>
      </c>
      <c r="C21076" s="74" t="s">
        <v>433</v>
      </c>
    </row>
    <row r="21077" spans="1:3">
      <c r="A21077" s="250">
        <v>49076</v>
      </c>
      <c r="B21077" s="74" t="s">
        <v>11208</v>
      </c>
      <c r="C21077" s="74" t="s">
        <v>433</v>
      </c>
    </row>
    <row r="21078" spans="1:3">
      <c r="A21078" s="250">
        <v>49077</v>
      </c>
      <c r="B21078" s="74" t="s">
        <v>11209</v>
      </c>
      <c r="C21078" s="74" t="s">
        <v>433</v>
      </c>
    </row>
    <row r="21079" spans="1:3">
      <c r="A21079" s="250">
        <v>49078</v>
      </c>
      <c r="B21079" s="74" t="s">
        <v>11210</v>
      </c>
      <c r="C21079" s="74" t="s">
        <v>433</v>
      </c>
    </row>
    <row r="21080" spans="1:3">
      <c r="A21080" s="250">
        <v>49079</v>
      </c>
      <c r="B21080" s="74" t="s">
        <v>6695</v>
      </c>
      <c r="C21080" s="74" t="s">
        <v>433</v>
      </c>
    </row>
    <row r="21081" spans="1:3">
      <c r="A21081" s="250">
        <v>49080</v>
      </c>
      <c r="B21081" s="74" t="s">
        <v>11211</v>
      </c>
      <c r="C21081" s="74" t="s">
        <v>433</v>
      </c>
    </row>
    <row r="21082" spans="1:3">
      <c r="A21082" s="250">
        <v>49081</v>
      </c>
      <c r="B21082" s="74" t="s">
        <v>1646</v>
      </c>
      <c r="C21082" s="74" t="s">
        <v>433</v>
      </c>
    </row>
    <row r="21083" spans="1:3">
      <c r="A21083" s="250">
        <v>49082</v>
      </c>
      <c r="B21083" s="74" t="s">
        <v>923</v>
      </c>
      <c r="C21083" s="74" t="s">
        <v>433</v>
      </c>
    </row>
    <row r="21084" spans="1:3">
      <c r="A21084" s="250">
        <v>49083</v>
      </c>
      <c r="B21084" s="74" t="s">
        <v>2499</v>
      </c>
      <c r="C21084" s="74" t="s">
        <v>433</v>
      </c>
    </row>
    <row r="21085" spans="1:3">
      <c r="A21085" s="250">
        <v>49084</v>
      </c>
      <c r="B21085" s="74" t="s">
        <v>1147</v>
      </c>
      <c r="C21085" s="74" t="s">
        <v>433</v>
      </c>
    </row>
    <row r="21086" spans="1:3">
      <c r="A21086" s="250">
        <v>49085</v>
      </c>
      <c r="B21086" s="74" t="s">
        <v>9258</v>
      </c>
      <c r="C21086" s="74" t="s">
        <v>433</v>
      </c>
    </row>
    <row r="21087" spans="1:3">
      <c r="A21087" s="250">
        <v>49087</v>
      </c>
      <c r="B21087" s="74" t="s">
        <v>11212</v>
      </c>
      <c r="C21087" s="74" t="s">
        <v>433</v>
      </c>
    </row>
    <row r="21088" spans="1:3">
      <c r="A21088" s="250">
        <v>49088</v>
      </c>
      <c r="B21088" s="74" t="s">
        <v>7528</v>
      </c>
      <c r="C21088" s="74" t="s">
        <v>433</v>
      </c>
    </row>
    <row r="21089" spans="1:3">
      <c r="A21089" s="250">
        <v>49089</v>
      </c>
      <c r="B21089" s="74" t="s">
        <v>5774</v>
      </c>
      <c r="C21089" s="74" t="s">
        <v>433</v>
      </c>
    </row>
    <row r="21090" spans="1:3">
      <c r="A21090" s="250">
        <v>49090</v>
      </c>
      <c r="B21090" s="74" t="s">
        <v>11213</v>
      </c>
      <c r="C21090" s="74" t="s">
        <v>433</v>
      </c>
    </row>
    <row r="21091" spans="1:3">
      <c r="A21091" s="250">
        <v>49091</v>
      </c>
      <c r="B21091" s="74" t="s">
        <v>9552</v>
      </c>
      <c r="C21091" s="74" t="s">
        <v>433</v>
      </c>
    </row>
    <row r="21092" spans="1:3">
      <c r="A21092" s="250">
        <v>49092</v>
      </c>
      <c r="B21092" s="74" t="s">
        <v>11214</v>
      </c>
      <c r="C21092" s="74" t="s">
        <v>433</v>
      </c>
    </row>
    <row r="21093" spans="1:3">
      <c r="A21093" s="250">
        <v>49093</v>
      </c>
      <c r="B21093" s="74" t="s">
        <v>619</v>
      </c>
      <c r="C21093" s="74" t="s">
        <v>433</v>
      </c>
    </row>
    <row r="21094" spans="1:3">
      <c r="A21094" s="250">
        <v>49094</v>
      </c>
      <c r="B21094" s="74" t="s">
        <v>2166</v>
      </c>
      <c r="C21094" s="74" t="s">
        <v>433</v>
      </c>
    </row>
    <row r="21095" spans="1:3">
      <c r="A21095" s="250">
        <v>49095</v>
      </c>
      <c r="B21095" s="74" t="s">
        <v>10520</v>
      </c>
      <c r="C21095" s="74" t="s">
        <v>433</v>
      </c>
    </row>
    <row r="21096" spans="1:3">
      <c r="A21096" s="250">
        <v>49096</v>
      </c>
      <c r="B21096" s="74" t="s">
        <v>3331</v>
      </c>
      <c r="C21096" s="74" t="s">
        <v>433</v>
      </c>
    </row>
    <row r="21097" spans="1:3">
      <c r="A21097" s="250">
        <v>49097</v>
      </c>
      <c r="B21097" s="74" t="s">
        <v>4980</v>
      </c>
      <c r="C21097" s="74" t="s">
        <v>433</v>
      </c>
    </row>
    <row r="21098" spans="1:3">
      <c r="A21098" s="250">
        <v>49098</v>
      </c>
      <c r="B21098" s="74" t="s">
        <v>3021</v>
      </c>
      <c r="C21098" s="74" t="s">
        <v>433</v>
      </c>
    </row>
    <row r="21099" spans="1:3">
      <c r="A21099" s="250">
        <v>49099</v>
      </c>
      <c r="B21099" s="74" t="s">
        <v>11215</v>
      </c>
      <c r="C21099" s="74" t="s">
        <v>433</v>
      </c>
    </row>
    <row r="21100" spans="1:3">
      <c r="A21100" s="250">
        <v>49101</v>
      </c>
      <c r="B21100" s="74" t="s">
        <v>11216</v>
      </c>
      <c r="C21100" s="74" t="s">
        <v>433</v>
      </c>
    </row>
    <row r="21101" spans="1:3">
      <c r="A21101" s="250">
        <v>49102</v>
      </c>
      <c r="B21101" s="74" t="s">
        <v>11217</v>
      </c>
      <c r="C21101" s="74" t="s">
        <v>433</v>
      </c>
    </row>
    <row r="21102" spans="1:3">
      <c r="A21102" s="250">
        <v>49103</v>
      </c>
      <c r="B21102" s="74" t="s">
        <v>11218</v>
      </c>
      <c r="C21102" s="74" t="s">
        <v>433</v>
      </c>
    </row>
    <row r="21103" spans="1:3">
      <c r="A21103" s="250">
        <v>49104</v>
      </c>
      <c r="B21103" s="74" t="s">
        <v>11218</v>
      </c>
      <c r="C21103" s="74" t="s">
        <v>433</v>
      </c>
    </row>
    <row r="21104" spans="1:3">
      <c r="A21104" s="250">
        <v>49106</v>
      </c>
      <c r="B21104" s="74" t="s">
        <v>11219</v>
      </c>
      <c r="C21104" s="74" t="s">
        <v>433</v>
      </c>
    </row>
    <row r="21105" spans="1:3">
      <c r="A21105" s="250">
        <v>49107</v>
      </c>
      <c r="B21105" s="74" t="s">
        <v>2621</v>
      </c>
      <c r="C21105" s="74" t="s">
        <v>433</v>
      </c>
    </row>
    <row r="21106" spans="1:3">
      <c r="A21106" s="250">
        <v>49111</v>
      </c>
      <c r="B21106" s="74" t="s">
        <v>4386</v>
      </c>
      <c r="C21106" s="74" t="s">
        <v>433</v>
      </c>
    </row>
    <row r="21107" spans="1:3">
      <c r="A21107" s="250">
        <v>49112</v>
      </c>
      <c r="B21107" s="74" t="s">
        <v>11220</v>
      </c>
      <c r="C21107" s="74" t="s">
        <v>433</v>
      </c>
    </row>
    <row r="21108" spans="1:3">
      <c r="A21108" s="250">
        <v>49113</v>
      </c>
      <c r="B21108" s="74" t="s">
        <v>11221</v>
      </c>
      <c r="C21108" s="74" t="s">
        <v>433</v>
      </c>
    </row>
    <row r="21109" spans="1:3">
      <c r="A21109" s="250">
        <v>49115</v>
      </c>
      <c r="B21109" s="74" t="s">
        <v>11222</v>
      </c>
      <c r="C21109" s="74" t="s">
        <v>433</v>
      </c>
    </row>
    <row r="21110" spans="1:3">
      <c r="A21110" s="250">
        <v>49116</v>
      </c>
      <c r="B21110" s="74" t="s">
        <v>2085</v>
      </c>
      <c r="C21110" s="74" t="s">
        <v>433</v>
      </c>
    </row>
    <row r="21111" spans="1:3">
      <c r="A21111" s="250">
        <v>49117</v>
      </c>
      <c r="B21111" s="74" t="s">
        <v>4737</v>
      </c>
      <c r="C21111" s="74" t="s">
        <v>433</v>
      </c>
    </row>
    <row r="21112" spans="1:3">
      <c r="A21112" s="250">
        <v>49119</v>
      </c>
      <c r="B21112" s="74" t="s">
        <v>11223</v>
      </c>
      <c r="C21112" s="74" t="s">
        <v>433</v>
      </c>
    </row>
    <row r="21113" spans="1:3">
      <c r="A21113" s="250">
        <v>49120</v>
      </c>
      <c r="B21113" s="74" t="s">
        <v>10377</v>
      </c>
      <c r="C21113" s="74" t="s">
        <v>433</v>
      </c>
    </row>
    <row r="21114" spans="1:3">
      <c r="A21114" s="250">
        <v>49121</v>
      </c>
      <c r="B21114" s="74" t="s">
        <v>10377</v>
      </c>
      <c r="C21114" s="74" t="s">
        <v>433</v>
      </c>
    </row>
    <row r="21115" spans="1:3">
      <c r="A21115" s="250">
        <v>49125</v>
      </c>
      <c r="B21115" s="74" t="s">
        <v>11224</v>
      </c>
      <c r="C21115" s="74" t="s">
        <v>433</v>
      </c>
    </row>
    <row r="21116" spans="1:3">
      <c r="A21116" s="250">
        <v>49126</v>
      </c>
      <c r="B21116" s="74" t="s">
        <v>3823</v>
      </c>
      <c r="C21116" s="74" t="s">
        <v>433</v>
      </c>
    </row>
    <row r="21117" spans="1:3">
      <c r="A21117" s="250">
        <v>49127</v>
      </c>
      <c r="B21117" s="74" t="s">
        <v>5251</v>
      </c>
      <c r="C21117" s="74" t="s">
        <v>433</v>
      </c>
    </row>
    <row r="21118" spans="1:3">
      <c r="A21118" s="250">
        <v>49128</v>
      </c>
      <c r="B21118" s="74" t="s">
        <v>11225</v>
      </c>
      <c r="C21118" s="74" t="s">
        <v>433</v>
      </c>
    </row>
    <row r="21119" spans="1:3">
      <c r="A21119" s="250">
        <v>49129</v>
      </c>
      <c r="B21119" s="74" t="s">
        <v>11226</v>
      </c>
      <c r="C21119" s="74" t="s">
        <v>433</v>
      </c>
    </row>
    <row r="21120" spans="1:3">
      <c r="A21120" s="250">
        <v>49130</v>
      </c>
      <c r="B21120" s="74" t="s">
        <v>1346</v>
      </c>
      <c r="C21120" s="74" t="s">
        <v>433</v>
      </c>
    </row>
    <row r="21121" spans="1:3">
      <c r="A21121" s="250">
        <v>49201</v>
      </c>
      <c r="B21121" s="74" t="s">
        <v>1318</v>
      </c>
      <c r="C21121" s="74" t="s">
        <v>433</v>
      </c>
    </row>
    <row r="21122" spans="1:3">
      <c r="A21122" s="250">
        <v>49202</v>
      </c>
      <c r="B21122" s="74" t="s">
        <v>1318</v>
      </c>
      <c r="C21122" s="74" t="s">
        <v>433</v>
      </c>
    </row>
    <row r="21123" spans="1:3">
      <c r="A21123" s="250">
        <v>49203</v>
      </c>
      <c r="B21123" s="74" t="s">
        <v>1318</v>
      </c>
      <c r="C21123" s="74" t="s">
        <v>433</v>
      </c>
    </row>
    <row r="21124" spans="1:3">
      <c r="A21124" s="250">
        <v>49204</v>
      </c>
      <c r="B21124" s="74" t="s">
        <v>1318</v>
      </c>
      <c r="C21124" s="74" t="s">
        <v>433</v>
      </c>
    </row>
    <row r="21125" spans="1:3">
      <c r="A21125" s="250">
        <v>49220</v>
      </c>
      <c r="B21125" s="74" t="s">
        <v>1564</v>
      </c>
      <c r="C21125" s="74" t="s">
        <v>433</v>
      </c>
    </row>
    <row r="21126" spans="1:3">
      <c r="A21126" s="250">
        <v>49221</v>
      </c>
      <c r="B21126" s="74" t="s">
        <v>4439</v>
      </c>
      <c r="C21126" s="74" t="s">
        <v>433</v>
      </c>
    </row>
    <row r="21127" spans="1:3">
      <c r="A21127" s="250">
        <v>49224</v>
      </c>
      <c r="B21127" s="74" t="s">
        <v>1093</v>
      </c>
      <c r="C21127" s="74" t="s">
        <v>433</v>
      </c>
    </row>
    <row r="21128" spans="1:3">
      <c r="A21128" s="250">
        <v>49227</v>
      </c>
      <c r="B21128" s="74" t="s">
        <v>5826</v>
      </c>
      <c r="C21128" s="74" t="s">
        <v>433</v>
      </c>
    </row>
    <row r="21129" spans="1:3">
      <c r="A21129" s="250">
        <v>49228</v>
      </c>
      <c r="B21129" s="74" t="s">
        <v>10251</v>
      </c>
      <c r="C21129" s="74" t="s">
        <v>433</v>
      </c>
    </row>
    <row r="21130" spans="1:3">
      <c r="A21130" s="250">
        <v>49229</v>
      </c>
      <c r="B21130" s="74" t="s">
        <v>11227</v>
      </c>
      <c r="C21130" s="74" t="s">
        <v>433</v>
      </c>
    </row>
    <row r="21131" spans="1:3">
      <c r="A21131" s="250">
        <v>49230</v>
      </c>
      <c r="B21131" s="74" t="s">
        <v>1983</v>
      </c>
      <c r="C21131" s="74" t="s">
        <v>433</v>
      </c>
    </row>
    <row r="21132" spans="1:3">
      <c r="A21132" s="250">
        <v>49232</v>
      </c>
      <c r="B21132" s="74" t="s">
        <v>1660</v>
      </c>
      <c r="C21132" s="74" t="s">
        <v>433</v>
      </c>
    </row>
    <row r="21133" spans="1:3">
      <c r="A21133" s="250">
        <v>49233</v>
      </c>
      <c r="B21133" s="74" t="s">
        <v>11228</v>
      </c>
      <c r="C21133" s="74" t="s">
        <v>433</v>
      </c>
    </row>
    <row r="21134" spans="1:3">
      <c r="A21134" s="250">
        <v>49234</v>
      </c>
      <c r="B21134" s="74" t="s">
        <v>11229</v>
      </c>
      <c r="C21134" s="74" t="s">
        <v>433</v>
      </c>
    </row>
    <row r="21135" spans="1:3">
      <c r="A21135" s="250">
        <v>49235</v>
      </c>
      <c r="B21135" s="74" t="s">
        <v>2476</v>
      </c>
      <c r="C21135" s="74" t="s">
        <v>433</v>
      </c>
    </row>
    <row r="21136" spans="1:3">
      <c r="A21136" s="250">
        <v>49236</v>
      </c>
      <c r="B21136" s="74" t="s">
        <v>732</v>
      </c>
      <c r="C21136" s="74" t="s">
        <v>433</v>
      </c>
    </row>
    <row r="21137" spans="1:3">
      <c r="A21137" s="250">
        <v>49237</v>
      </c>
      <c r="B21137" s="74" t="s">
        <v>787</v>
      </c>
      <c r="C21137" s="74" t="s">
        <v>433</v>
      </c>
    </row>
    <row r="21138" spans="1:3">
      <c r="A21138" s="250">
        <v>49238</v>
      </c>
      <c r="B21138" s="74" t="s">
        <v>678</v>
      </c>
      <c r="C21138" s="74" t="s">
        <v>433</v>
      </c>
    </row>
    <row r="21139" spans="1:3">
      <c r="A21139" s="250">
        <v>49239</v>
      </c>
      <c r="B21139" s="74" t="s">
        <v>11230</v>
      </c>
      <c r="C21139" s="74" t="s">
        <v>433</v>
      </c>
    </row>
    <row r="21140" spans="1:3">
      <c r="A21140" s="250">
        <v>49240</v>
      </c>
      <c r="B21140" s="74" t="s">
        <v>11231</v>
      </c>
      <c r="C21140" s="74" t="s">
        <v>433</v>
      </c>
    </row>
    <row r="21141" spans="1:3">
      <c r="A21141" s="250">
        <v>49241</v>
      </c>
      <c r="B21141" s="74" t="s">
        <v>944</v>
      </c>
      <c r="C21141" s="74" t="s">
        <v>433</v>
      </c>
    </row>
    <row r="21142" spans="1:3">
      <c r="A21142" s="250">
        <v>49242</v>
      </c>
      <c r="B21142" s="74" t="s">
        <v>2236</v>
      </c>
      <c r="C21142" s="74" t="s">
        <v>433</v>
      </c>
    </row>
    <row r="21143" spans="1:3">
      <c r="A21143" s="250">
        <v>49245</v>
      </c>
      <c r="B21143" s="74" t="s">
        <v>3369</v>
      </c>
      <c r="C21143" s="74" t="s">
        <v>433</v>
      </c>
    </row>
    <row r="21144" spans="1:3">
      <c r="A21144" s="250">
        <v>49246</v>
      </c>
      <c r="B21144" s="74" t="s">
        <v>8775</v>
      </c>
      <c r="C21144" s="74" t="s">
        <v>433</v>
      </c>
    </row>
    <row r="21145" spans="1:3">
      <c r="A21145" s="250">
        <v>49247</v>
      </c>
      <c r="B21145" s="74" t="s">
        <v>792</v>
      </c>
      <c r="C21145" s="74" t="s">
        <v>433</v>
      </c>
    </row>
    <row r="21146" spans="1:3">
      <c r="A21146" s="250">
        <v>49248</v>
      </c>
      <c r="B21146" s="74" t="s">
        <v>3922</v>
      </c>
      <c r="C21146" s="74" t="s">
        <v>433</v>
      </c>
    </row>
    <row r="21147" spans="1:3">
      <c r="A21147" s="250">
        <v>49249</v>
      </c>
      <c r="B21147" s="74" t="s">
        <v>4356</v>
      </c>
      <c r="C21147" s="74" t="s">
        <v>433</v>
      </c>
    </row>
    <row r="21148" spans="1:3">
      <c r="A21148" s="250">
        <v>49250</v>
      </c>
      <c r="B21148" s="74" t="s">
        <v>1819</v>
      </c>
      <c r="C21148" s="74" t="s">
        <v>433</v>
      </c>
    </row>
    <row r="21149" spans="1:3">
      <c r="A21149" s="250">
        <v>49251</v>
      </c>
      <c r="B21149" s="74" t="s">
        <v>6839</v>
      </c>
      <c r="C21149" s="74" t="s">
        <v>433</v>
      </c>
    </row>
    <row r="21150" spans="1:3">
      <c r="A21150" s="250">
        <v>49252</v>
      </c>
      <c r="B21150" s="74" t="s">
        <v>1161</v>
      </c>
      <c r="C21150" s="74" t="s">
        <v>433</v>
      </c>
    </row>
    <row r="21151" spans="1:3">
      <c r="A21151" s="250">
        <v>49253</v>
      </c>
      <c r="B21151" s="74" t="s">
        <v>11232</v>
      </c>
      <c r="C21151" s="74" t="s">
        <v>433</v>
      </c>
    </row>
    <row r="21152" spans="1:3">
      <c r="A21152" s="250">
        <v>49254</v>
      </c>
      <c r="B21152" s="74" t="s">
        <v>11233</v>
      </c>
      <c r="C21152" s="74" t="s">
        <v>433</v>
      </c>
    </row>
    <row r="21153" spans="1:3">
      <c r="A21153" s="250">
        <v>49255</v>
      </c>
      <c r="B21153" s="74" t="s">
        <v>1821</v>
      </c>
      <c r="C21153" s="74" t="s">
        <v>433</v>
      </c>
    </row>
    <row r="21154" spans="1:3">
      <c r="A21154" s="250">
        <v>49256</v>
      </c>
      <c r="B21154" s="74" t="s">
        <v>11234</v>
      </c>
      <c r="C21154" s="74" t="s">
        <v>433</v>
      </c>
    </row>
    <row r="21155" spans="1:3">
      <c r="A21155" s="250">
        <v>49257</v>
      </c>
      <c r="B21155" s="74" t="s">
        <v>1851</v>
      </c>
      <c r="C21155" s="74" t="s">
        <v>433</v>
      </c>
    </row>
    <row r="21156" spans="1:3">
      <c r="A21156" s="250">
        <v>49258</v>
      </c>
      <c r="B21156" s="74" t="s">
        <v>11235</v>
      </c>
      <c r="C21156" s="74" t="s">
        <v>433</v>
      </c>
    </row>
    <row r="21157" spans="1:3">
      <c r="A21157" s="250">
        <v>49259</v>
      </c>
      <c r="B21157" s="74" t="s">
        <v>11236</v>
      </c>
      <c r="C21157" s="74" t="s">
        <v>433</v>
      </c>
    </row>
    <row r="21158" spans="1:3">
      <c r="A21158" s="250">
        <v>49261</v>
      </c>
      <c r="B21158" s="74" t="s">
        <v>10205</v>
      </c>
      <c r="C21158" s="74" t="s">
        <v>433</v>
      </c>
    </row>
    <row r="21159" spans="1:3">
      <c r="A21159" s="250">
        <v>49262</v>
      </c>
      <c r="B21159" s="74" t="s">
        <v>655</v>
      </c>
      <c r="C21159" s="74" t="s">
        <v>433</v>
      </c>
    </row>
    <row r="21160" spans="1:3">
      <c r="A21160" s="250">
        <v>49263</v>
      </c>
      <c r="B21160" s="74" t="s">
        <v>11237</v>
      </c>
      <c r="C21160" s="74" t="s">
        <v>433</v>
      </c>
    </row>
    <row r="21161" spans="1:3">
      <c r="A21161" s="250">
        <v>49264</v>
      </c>
      <c r="B21161" s="74" t="s">
        <v>11238</v>
      </c>
      <c r="C21161" s="74" t="s">
        <v>433</v>
      </c>
    </row>
    <row r="21162" spans="1:3">
      <c r="A21162" s="250">
        <v>49265</v>
      </c>
      <c r="B21162" s="74" t="s">
        <v>11239</v>
      </c>
      <c r="C21162" s="74" t="s">
        <v>433</v>
      </c>
    </row>
    <row r="21163" spans="1:3">
      <c r="A21163" s="250">
        <v>49266</v>
      </c>
      <c r="B21163" s="74" t="s">
        <v>11240</v>
      </c>
      <c r="C21163" s="74" t="s">
        <v>433</v>
      </c>
    </row>
    <row r="21164" spans="1:3">
      <c r="A21164" s="250">
        <v>49267</v>
      </c>
      <c r="B21164" s="74" t="s">
        <v>11241</v>
      </c>
      <c r="C21164" s="74" t="s">
        <v>433</v>
      </c>
    </row>
    <row r="21165" spans="1:3">
      <c r="A21165" s="250">
        <v>49268</v>
      </c>
      <c r="B21165" s="74" t="s">
        <v>1710</v>
      </c>
      <c r="C21165" s="74" t="s">
        <v>433</v>
      </c>
    </row>
    <row r="21166" spans="1:3">
      <c r="A21166" s="250">
        <v>49269</v>
      </c>
      <c r="B21166" s="74" t="s">
        <v>11242</v>
      </c>
      <c r="C21166" s="74" t="s">
        <v>433</v>
      </c>
    </row>
    <row r="21167" spans="1:3">
      <c r="A21167" s="250">
        <v>49270</v>
      </c>
      <c r="B21167" s="74" t="s">
        <v>2988</v>
      </c>
      <c r="C21167" s="74" t="s">
        <v>433</v>
      </c>
    </row>
    <row r="21168" spans="1:3">
      <c r="A21168" s="250">
        <v>49271</v>
      </c>
      <c r="B21168" s="74" t="s">
        <v>1885</v>
      </c>
      <c r="C21168" s="74" t="s">
        <v>433</v>
      </c>
    </row>
    <row r="21169" spans="1:3">
      <c r="A21169" s="250">
        <v>49272</v>
      </c>
      <c r="B21169" s="74" t="s">
        <v>10746</v>
      </c>
      <c r="C21169" s="74" t="s">
        <v>433</v>
      </c>
    </row>
    <row r="21170" spans="1:3">
      <c r="A21170" s="250">
        <v>49274</v>
      </c>
      <c r="B21170" s="74" t="s">
        <v>825</v>
      </c>
      <c r="C21170" s="74" t="s">
        <v>433</v>
      </c>
    </row>
    <row r="21171" spans="1:3">
      <c r="A21171" s="250">
        <v>49276</v>
      </c>
      <c r="B21171" s="74" t="s">
        <v>11243</v>
      </c>
      <c r="C21171" s="74" t="s">
        <v>433</v>
      </c>
    </row>
    <row r="21172" spans="1:3">
      <c r="A21172" s="250">
        <v>49277</v>
      </c>
      <c r="B21172" s="74" t="s">
        <v>11244</v>
      </c>
      <c r="C21172" s="74" t="s">
        <v>433</v>
      </c>
    </row>
    <row r="21173" spans="1:3">
      <c r="A21173" s="250">
        <v>49279</v>
      </c>
      <c r="B21173" s="74" t="s">
        <v>11245</v>
      </c>
      <c r="C21173" s="74" t="s">
        <v>433</v>
      </c>
    </row>
    <row r="21174" spans="1:3">
      <c r="A21174" s="250">
        <v>49281</v>
      </c>
      <c r="B21174" s="74" t="s">
        <v>1070</v>
      </c>
      <c r="C21174" s="74" t="s">
        <v>433</v>
      </c>
    </row>
    <row r="21175" spans="1:3">
      <c r="A21175" s="250">
        <v>49282</v>
      </c>
      <c r="B21175" s="74" t="s">
        <v>11246</v>
      </c>
      <c r="C21175" s="74" t="s">
        <v>433</v>
      </c>
    </row>
    <row r="21176" spans="1:3">
      <c r="A21176" s="250">
        <v>49283</v>
      </c>
      <c r="B21176" s="74" t="s">
        <v>11247</v>
      </c>
      <c r="C21176" s="74" t="s">
        <v>433</v>
      </c>
    </row>
    <row r="21177" spans="1:3">
      <c r="A21177" s="250">
        <v>49284</v>
      </c>
      <c r="B21177" s="74" t="s">
        <v>10855</v>
      </c>
      <c r="C21177" s="74" t="s">
        <v>433</v>
      </c>
    </row>
    <row r="21178" spans="1:3">
      <c r="A21178" s="250">
        <v>49285</v>
      </c>
      <c r="B21178" s="74" t="s">
        <v>665</v>
      </c>
      <c r="C21178" s="74" t="s">
        <v>433</v>
      </c>
    </row>
    <row r="21179" spans="1:3">
      <c r="A21179" s="250">
        <v>49286</v>
      </c>
      <c r="B21179" s="74" t="s">
        <v>11248</v>
      </c>
      <c r="C21179" s="74" t="s">
        <v>433</v>
      </c>
    </row>
    <row r="21180" spans="1:3">
      <c r="A21180" s="250">
        <v>49287</v>
      </c>
      <c r="B21180" s="74" t="s">
        <v>4581</v>
      </c>
      <c r="C21180" s="74" t="s">
        <v>433</v>
      </c>
    </row>
    <row r="21181" spans="1:3">
      <c r="A21181" s="250">
        <v>49288</v>
      </c>
      <c r="B21181" s="74" t="s">
        <v>10674</v>
      </c>
      <c r="C21181" s="74" t="s">
        <v>433</v>
      </c>
    </row>
    <row r="21182" spans="1:3">
      <c r="A21182" s="250">
        <v>49289</v>
      </c>
      <c r="B21182" s="74" t="s">
        <v>991</v>
      </c>
      <c r="C21182" s="74" t="s">
        <v>433</v>
      </c>
    </row>
    <row r="21183" spans="1:3">
      <c r="A21183" s="250">
        <v>49301</v>
      </c>
      <c r="B21183" s="74" t="s">
        <v>10588</v>
      </c>
      <c r="C21183" s="74" t="s">
        <v>433</v>
      </c>
    </row>
    <row r="21184" spans="1:3">
      <c r="A21184" s="250">
        <v>49302</v>
      </c>
      <c r="B21184" s="74" t="s">
        <v>7961</v>
      </c>
      <c r="C21184" s="74" t="s">
        <v>433</v>
      </c>
    </row>
    <row r="21185" spans="1:3">
      <c r="A21185" s="250">
        <v>49303</v>
      </c>
      <c r="B21185" s="74" t="s">
        <v>7178</v>
      </c>
      <c r="C21185" s="74" t="s">
        <v>433</v>
      </c>
    </row>
    <row r="21186" spans="1:3">
      <c r="A21186" s="250">
        <v>49304</v>
      </c>
      <c r="B21186" s="74" t="s">
        <v>2765</v>
      </c>
      <c r="C21186" s="74" t="s">
        <v>433</v>
      </c>
    </row>
    <row r="21187" spans="1:3">
      <c r="A21187" s="250">
        <v>49305</v>
      </c>
      <c r="B21187" s="74" t="s">
        <v>11249</v>
      </c>
      <c r="C21187" s="74" t="s">
        <v>433</v>
      </c>
    </row>
    <row r="21188" spans="1:3">
      <c r="A21188" s="250">
        <v>49306</v>
      </c>
      <c r="B21188" s="74" t="s">
        <v>986</v>
      </c>
      <c r="C21188" s="74" t="s">
        <v>433</v>
      </c>
    </row>
    <row r="21189" spans="1:3">
      <c r="A21189" s="250">
        <v>49307</v>
      </c>
      <c r="B21189" s="74" t="s">
        <v>11250</v>
      </c>
      <c r="C21189" s="74" t="s">
        <v>433</v>
      </c>
    </row>
    <row r="21190" spans="1:3">
      <c r="A21190" s="250">
        <v>49309</v>
      </c>
      <c r="B21190" s="74" t="s">
        <v>11251</v>
      </c>
      <c r="C21190" s="74" t="s">
        <v>433</v>
      </c>
    </row>
    <row r="21191" spans="1:3">
      <c r="A21191" s="250">
        <v>49310</v>
      </c>
      <c r="B21191" s="74" t="s">
        <v>4615</v>
      </c>
      <c r="C21191" s="74" t="s">
        <v>433</v>
      </c>
    </row>
    <row r="21192" spans="1:3">
      <c r="A21192" s="250">
        <v>49311</v>
      </c>
      <c r="B21192" s="74" t="s">
        <v>1490</v>
      </c>
      <c r="C21192" s="74" t="s">
        <v>433</v>
      </c>
    </row>
    <row r="21193" spans="1:3">
      <c r="A21193" s="250">
        <v>49312</v>
      </c>
      <c r="B21193" s="74" t="s">
        <v>11252</v>
      </c>
      <c r="C21193" s="74" t="s">
        <v>433</v>
      </c>
    </row>
    <row r="21194" spans="1:3">
      <c r="A21194" s="250">
        <v>49314</v>
      </c>
      <c r="B21194" s="74" t="s">
        <v>11253</v>
      </c>
      <c r="C21194" s="74" t="s">
        <v>433</v>
      </c>
    </row>
    <row r="21195" spans="1:3">
      <c r="A21195" s="250">
        <v>49315</v>
      </c>
      <c r="B21195" s="74" t="s">
        <v>11254</v>
      </c>
      <c r="C21195" s="74" t="s">
        <v>433</v>
      </c>
    </row>
    <row r="21196" spans="1:3">
      <c r="A21196" s="250">
        <v>49316</v>
      </c>
      <c r="B21196" s="74" t="s">
        <v>3759</v>
      </c>
      <c r="C21196" s="74" t="s">
        <v>433</v>
      </c>
    </row>
    <row r="21197" spans="1:3">
      <c r="A21197" s="250">
        <v>49317</v>
      </c>
      <c r="B21197" s="74" t="s">
        <v>11255</v>
      </c>
      <c r="C21197" s="74" t="s">
        <v>433</v>
      </c>
    </row>
    <row r="21198" spans="1:3">
      <c r="A21198" s="250">
        <v>49318</v>
      </c>
      <c r="B21198" s="74" t="s">
        <v>11256</v>
      </c>
      <c r="C21198" s="74" t="s">
        <v>433</v>
      </c>
    </row>
    <row r="21199" spans="1:3">
      <c r="A21199" s="250">
        <v>49319</v>
      </c>
      <c r="B21199" s="74" t="s">
        <v>9560</v>
      </c>
      <c r="C21199" s="74" t="s">
        <v>433</v>
      </c>
    </row>
    <row r="21200" spans="1:3">
      <c r="A21200" s="250">
        <v>49320</v>
      </c>
      <c r="B21200" s="74" t="s">
        <v>10336</v>
      </c>
      <c r="C21200" s="74" t="s">
        <v>433</v>
      </c>
    </row>
    <row r="21201" spans="1:3">
      <c r="A21201" s="250">
        <v>49321</v>
      </c>
      <c r="B21201" s="74" t="s">
        <v>11257</v>
      </c>
      <c r="C21201" s="74" t="s">
        <v>433</v>
      </c>
    </row>
    <row r="21202" spans="1:3">
      <c r="A21202" s="250">
        <v>49322</v>
      </c>
      <c r="B21202" s="74" t="s">
        <v>4273</v>
      </c>
      <c r="C21202" s="74" t="s">
        <v>433</v>
      </c>
    </row>
    <row r="21203" spans="1:3">
      <c r="A21203" s="250">
        <v>49323</v>
      </c>
      <c r="B21203" s="74" t="s">
        <v>11258</v>
      </c>
      <c r="C21203" s="74" t="s">
        <v>433</v>
      </c>
    </row>
    <row r="21204" spans="1:3">
      <c r="A21204" s="250">
        <v>49325</v>
      </c>
      <c r="B21204" s="74" t="s">
        <v>1383</v>
      </c>
      <c r="C21204" s="74" t="s">
        <v>433</v>
      </c>
    </row>
    <row r="21205" spans="1:3">
      <c r="A21205" s="250">
        <v>49326</v>
      </c>
      <c r="B21205" s="74" t="s">
        <v>11259</v>
      </c>
      <c r="C21205" s="74" t="s">
        <v>433</v>
      </c>
    </row>
    <row r="21206" spans="1:3">
      <c r="A21206" s="250">
        <v>49327</v>
      </c>
      <c r="B21206" s="74" t="s">
        <v>8402</v>
      </c>
      <c r="C21206" s="74" t="s">
        <v>433</v>
      </c>
    </row>
    <row r="21207" spans="1:3">
      <c r="A21207" s="250">
        <v>49328</v>
      </c>
      <c r="B21207" s="74" t="s">
        <v>7617</v>
      </c>
      <c r="C21207" s="74" t="s">
        <v>433</v>
      </c>
    </row>
    <row r="21208" spans="1:3">
      <c r="A21208" s="250">
        <v>49329</v>
      </c>
      <c r="B21208" s="74" t="s">
        <v>11260</v>
      </c>
      <c r="C21208" s="74" t="s">
        <v>433</v>
      </c>
    </row>
    <row r="21209" spans="1:3">
      <c r="A21209" s="250">
        <v>49330</v>
      </c>
      <c r="B21209" s="74" t="s">
        <v>11261</v>
      </c>
      <c r="C21209" s="74" t="s">
        <v>433</v>
      </c>
    </row>
    <row r="21210" spans="1:3">
      <c r="A21210" s="250">
        <v>49331</v>
      </c>
      <c r="B21210" s="74" t="s">
        <v>818</v>
      </c>
      <c r="C21210" s="74" t="s">
        <v>433</v>
      </c>
    </row>
    <row r="21211" spans="1:3">
      <c r="A21211" s="250">
        <v>49332</v>
      </c>
      <c r="B21211" s="74" t="s">
        <v>11262</v>
      </c>
      <c r="C21211" s="74" t="s">
        <v>433</v>
      </c>
    </row>
    <row r="21212" spans="1:3">
      <c r="A21212" s="250">
        <v>49333</v>
      </c>
      <c r="B21212" s="74" t="s">
        <v>2321</v>
      </c>
      <c r="C21212" s="74" t="s">
        <v>433</v>
      </c>
    </row>
    <row r="21213" spans="1:3">
      <c r="A21213" s="250">
        <v>49335</v>
      </c>
      <c r="B21213" s="74" t="s">
        <v>11263</v>
      </c>
      <c r="C21213" s="74" t="s">
        <v>433</v>
      </c>
    </row>
    <row r="21214" spans="1:3">
      <c r="A21214" s="250">
        <v>49336</v>
      </c>
      <c r="B21214" s="74" t="s">
        <v>11264</v>
      </c>
      <c r="C21214" s="74" t="s">
        <v>433</v>
      </c>
    </row>
    <row r="21215" spans="1:3">
      <c r="A21215" s="250">
        <v>49337</v>
      </c>
      <c r="B21215" s="74" t="s">
        <v>11265</v>
      </c>
      <c r="C21215" s="74" t="s">
        <v>433</v>
      </c>
    </row>
    <row r="21216" spans="1:3">
      <c r="A21216" s="250">
        <v>49338</v>
      </c>
      <c r="B21216" s="74" t="s">
        <v>1459</v>
      </c>
      <c r="C21216" s="74" t="s">
        <v>433</v>
      </c>
    </row>
    <row r="21217" spans="1:3">
      <c r="A21217" s="250">
        <v>49339</v>
      </c>
      <c r="B21217" s="74" t="s">
        <v>8262</v>
      </c>
      <c r="C21217" s="74" t="s">
        <v>433</v>
      </c>
    </row>
    <row r="21218" spans="1:3">
      <c r="A21218" s="250">
        <v>49340</v>
      </c>
      <c r="B21218" s="74" t="s">
        <v>11266</v>
      </c>
      <c r="C21218" s="74" t="s">
        <v>433</v>
      </c>
    </row>
    <row r="21219" spans="1:3">
      <c r="A21219" s="250">
        <v>49341</v>
      </c>
      <c r="B21219" s="74" t="s">
        <v>8662</v>
      </c>
      <c r="C21219" s="74" t="s">
        <v>433</v>
      </c>
    </row>
    <row r="21220" spans="1:3">
      <c r="A21220" s="250">
        <v>49342</v>
      </c>
      <c r="B21220" s="74" t="s">
        <v>11267</v>
      </c>
      <c r="C21220" s="74" t="s">
        <v>433</v>
      </c>
    </row>
    <row r="21221" spans="1:3">
      <c r="A21221" s="250">
        <v>49343</v>
      </c>
      <c r="B21221" s="74" t="s">
        <v>2999</v>
      </c>
      <c r="C21221" s="74" t="s">
        <v>433</v>
      </c>
    </row>
    <row r="21222" spans="1:3">
      <c r="A21222" s="250">
        <v>49344</v>
      </c>
      <c r="B21222" s="74" t="s">
        <v>9037</v>
      </c>
      <c r="C21222" s="74" t="s">
        <v>433</v>
      </c>
    </row>
    <row r="21223" spans="1:3">
      <c r="A21223" s="250">
        <v>49345</v>
      </c>
      <c r="B21223" s="74" t="s">
        <v>2327</v>
      </c>
      <c r="C21223" s="74" t="s">
        <v>433</v>
      </c>
    </row>
    <row r="21224" spans="1:3">
      <c r="A21224" s="250">
        <v>49346</v>
      </c>
      <c r="B21224" s="74" t="s">
        <v>11268</v>
      </c>
      <c r="C21224" s="74" t="s">
        <v>433</v>
      </c>
    </row>
    <row r="21225" spans="1:3">
      <c r="A21225" s="250">
        <v>49347</v>
      </c>
      <c r="B21225" s="74" t="s">
        <v>11269</v>
      </c>
      <c r="C21225" s="74" t="s">
        <v>433</v>
      </c>
    </row>
    <row r="21226" spans="1:3">
      <c r="A21226" s="250">
        <v>49348</v>
      </c>
      <c r="B21226" s="74" t="s">
        <v>803</v>
      </c>
      <c r="C21226" s="74" t="s">
        <v>433</v>
      </c>
    </row>
    <row r="21227" spans="1:3">
      <c r="A21227" s="250">
        <v>49349</v>
      </c>
      <c r="B21227" s="74" t="s">
        <v>11270</v>
      </c>
      <c r="C21227" s="74" t="s">
        <v>433</v>
      </c>
    </row>
    <row r="21228" spans="1:3">
      <c r="A21228" s="250">
        <v>49351</v>
      </c>
      <c r="B21228" s="74" t="s">
        <v>8662</v>
      </c>
      <c r="C21228" s="74" t="s">
        <v>433</v>
      </c>
    </row>
    <row r="21229" spans="1:3">
      <c r="A21229" s="250">
        <v>49355</v>
      </c>
      <c r="B21229" s="74" t="s">
        <v>10588</v>
      </c>
      <c r="C21229" s="74" t="s">
        <v>433</v>
      </c>
    </row>
    <row r="21230" spans="1:3">
      <c r="A21230" s="250">
        <v>49356</v>
      </c>
      <c r="B21230" s="74" t="s">
        <v>10588</v>
      </c>
      <c r="C21230" s="74" t="s">
        <v>433</v>
      </c>
    </row>
    <row r="21231" spans="1:3">
      <c r="A21231" s="250">
        <v>49357</v>
      </c>
      <c r="B21231" s="74" t="s">
        <v>10588</v>
      </c>
      <c r="C21231" s="74" t="s">
        <v>433</v>
      </c>
    </row>
    <row r="21232" spans="1:3">
      <c r="A21232" s="250">
        <v>49401</v>
      </c>
      <c r="B21232" s="74" t="s">
        <v>2181</v>
      </c>
      <c r="C21232" s="74" t="s">
        <v>433</v>
      </c>
    </row>
    <row r="21233" spans="1:3">
      <c r="A21233" s="250">
        <v>49402</v>
      </c>
      <c r="B21233" s="74" t="s">
        <v>11271</v>
      </c>
      <c r="C21233" s="74" t="s">
        <v>433</v>
      </c>
    </row>
    <row r="21234" spans="1:3">
      <c r="A21234" s="250">
        <v>49403</v>
      </c>
      <c r="B21234" s="74" t="s">
        <v>3603</v>
      </c>
      <c r="C21234" s="74" t="s">
        <v>433</v>
      </c>
    </row>
    <row r="21235" spans="1:3">
      <c r="A21235" s="250">
        <v>49404</v>
      </c>
      <c r="B21235" s="74" t="s">
        <v>11272</v>
      </c>
      <c r="C21235" s="74" t="s">
        <v>433</v>
      </c>
    </row>
    <row r="21236" spans="1:3">
      <c r="A21236" s="250">
        <v>49405</v>
      </c>
      <c r="B21236" s="74" t="s">
        <v>9599</v>
      </c>
      <c r="C21236" s="74" t="s">
        <v>433</v>
      </c>
    </row>
    <row r="21237" spans="1:3">
      <c r="A21237" s="250">
        <v>49406</v>
      </c>
      <c r="B21237" s="74" t="s">
        <v>734</v>
      </c>
      <c r="C21237" s="74" t="s">
        <v>433</v>
      </c>
    </row>
    <row r="21238" spans="1:3">
      <c r="A21238" s="250">
        <v>49408</v>
      </c>
      <c r="B21238" s="74" t="s">
        <v>11273</v>
      </c>
      <c r="C21238" s="74" t="s">
        <v>433</v>
      </c>
    </row>
    <row r="21239" spans="1:3">
      <c r="A21239" s="250">
        <v>49409</v>
      </c>
      <c r="B21239" s="74" t="s">
        <v>11274</v>
      </c>
      <c r="C21239" s="74" t="s">
        <v>433</v>
      </c>
    </row>
    <row r="21240" spans="1:3">
      <c r="A21240" s="250">
        <v>49410</v>
      </c>
      <c r="B21240" s="74" t="s">
        <v>7192</v>
      </c>
      <c r="C21240" s="74" t="s">
        <v>433</v>
      </c>
    </row>
    <row r="21241" spans="1:3">
      <c r="A21241" s="250">
        <v>49411</v>
      </c>
      <c r="B21241" s="74" t="s">
        <v>11275</v>
      </c>
      <c r="C21241" s="74" t="s">
        <v>433</v>
      </c>
    </row>
    <row r="21242" spans="1:3">
      <c r="A21242" s="250">
        <v>49412</v>
      </c>
      <c r="B21242" s="74" t="s">
        <v>1157</v>
      </c>
      <c r="C21242" s="74" t="s">
        <v>433</v>
      </c>
    </row>
    <row r="21243" spans="1:3">
      <c r="A21243" s="250">
        <v>49413</v>
      </c>
      <c r="B21243" s="74" t="s">
        <v>1157</v>
      </c>
      <c r="C21243" s="74" t="s">
        <v>433</v>
      </c>
    </row>
    <row r="21244" spans="1:3">
      <c r="A21244" s="250">
        <v>49415</v>
      </c>
      <c r="B21244" s="74" t="s">
        <v>11276</v>
      </c>
      <c r="C21244" s="74" t="s">
        <v>433</v>
      </c>
    </row>
    <row r="21245" spans="1:3">
      <c r="A21245" s="250">
        <v>49416</v>
      </c>
      <c r="B21245" s="74" t="s">
        <v>7908</v>
      </c>
      <c r="C21245" s="74" t="s">
        <v>433</v>
      </c>
    </row>
    <row r="21246" spans="1:3">
      <c r="A21246" s="250">
        <v>49417</v>
      </c>
      <c r="B21246" s="74" t="s">
        <v>11277</v>
      </c>
      <c r="C21246" s="74" t="s">
        <v>433</v>
      </c>
    </row>
    <row r="21247" spans="1:3">
      <c r="A21247" s="250">
        <v>49418</v>
      </c>
      <c r="B21247" s="74" t="s">
        <v>11278</v>
      </c>
      <c r="C21247" s="74" t="s">
        <v>433</v>
      </c>
    </row>
    <row r="21248" spans="1:3">
      <c r="A21248" s="250">
        <v>49419</v>
      </c>
      <c r="B21248" s="74" t="s">
        <v>844</v>
      </c>
      <c r="C21248" s="74" t="s">
        <v>433</v>
      </c>
    </row>
    <row r="21249" spans="1:3">
      <c r="A21249" s="250">
        <v>49420</v>
      </c>
      <c r="B21249" s="74" t="s">
        <v>11279</v>
      </c>
      <c r="C21249" s="74" t="s">
        <v>433</v>
      </c>
    </row>
    <row r="21250" spans="1:3">
      <c r="A21250" s="250">
        <v>49421</v>
      </c>
      <c r="B21250" s="74" t="s">
        <v>11280</v>
      </c>
      <c r="C21250" s="74" t="s">
        <v>433</v>
      </c>
    </row>
    <row r="21251" spans="1:3">
      <c r="A21251" s="250">
        <v>49422</v>
      </c>
      <c r="B21251" s="74" t="s">
        <v>739</v>
      </c>
      <c r="C21251" s="74" t="s">
        <v>433</v>
      </c>
    </row>
    <row r="21252" spans="1:3">
      <c r="A21252" s="250">
        <v>49423</v>
      </c>
      <c r="B21252" s="74" t="s">
        <v>739</v>
      </c>
      <c r="C21252" s="74" t="s">
        <v>433</v>
      </c>
    </row>
    <row r="21253" spans="1:3">
      <c r="A21253" s="250">
        <v>49424</v>
      </c>
      <c r="B21253" s="74" t="s">
        <v>739</v>
      </c>
      <c r="C21253" s="74" t="s">
        <v>433</v>
      </c>
    </row>
    <row r="21254" spans="1:3">
      <c r="A21254" s="250">
        <v>49425</v>
      </c>
      <c r="B21254" s="74" t="s">
        <v>10800</v>
      </c>
      <c r="C21254" s="74" t="s">
        <v>433</v>
      </c>
    </row>
    <row r="21255" spans="1:3">
      <c r="A21255" s="250">
        <v>49426</v>
      </c>
      <c r="B21255" s="74" t="s">
        <v>11281</v>
      </c>
      <c r="C21255" s="74" t="s">
        <v>433</v>
      </c>
    </row>
    <row r="21256" spans="1:3">
      <c r="A21256" s="250">
        <v>49427</v>
      </c>
      <c r="B21256" s="74" t="s">
        <v>1113</v>
      </c>
      <c r="C21256" s="74" t="s">
        <v>433</v>
      </c>
    </row>
    <row r="21257" spans="1:3">
      <c r="A21257" s="250">
        <v>49428</v>
      </c>
      <c r="B21257" s="74" t="s">
        <v>11282</v>
      </c>
      <c r="C21257" s="74" t="s">
        <v>433</v>
      </c>
    </row>
    <row r="21258" spans="1:3">
      <c r="A21258" s="250">
        <v>49429</v>
      </c>
      <c r="B21258" s="74" t="s">
        <v>11282</v>
      </c>
      <c r="C21258" s="74" t="s">
        <v>433</v>
      </c>
    </row>
    <row r="21259" spans="1:3">
      <c r="A21259" s="250">
        <v>49430</v>
      </c>
      <c r="B21259" s="74" t="s">
        <v>8282</v>
      </c>
      <c r="C21259" s="74" t="s">
        <v>433</v>
      </c>
    </row>
    <row r="21260" spans="1:3">
      <c r="A21260" s="250">
        <v>49431</v>
      </c>
      <c r="B21260" s="74" t="s">
        <v>11283</v>
      </c>
      <c r="C21260" s="74" t="s">
        <v>433</v>
      </c>
    </row>
    <row r="21261" spans="1:3">
      <c r="A21261" s="250">
        <v>49434</v>
      </c>
      <c r="B21261" s="74" t="s">
        <v>11284</v>
      </c>
      <c r="C21261" s="74" t="s">
        <v>433</v>
      </c>
    </row>
    <row r="21262" spans="1:3">
      <c r="A21262" s="250">
        <v>49435</v>
      </c>
      <c r="B21262" s="74" t="s">
        <v>11285</v>
      </c>
      <c r="C21262" s="74" t="s">
        <v>433</v>
      </c>
    </row>
    <row r="21263" spans="1:3">
      <c r="A21263" s="250">
        <v>49436</v>
      </c>
      <c r="B21263" s="74" t="s">
        <v>6153</v>
      </c>
      <c r="C21263" s="74" t="s">
        <v>433</v>
      </c>
    </row>
    <row r="21264" spans="1:3">
      <c r="A21264" s="250">
        <v>49437</v>
      </c>
      <c r="B21264" s="74" t="s">
        <v>685</v>
      </c>
      <c r="C21264" s="74" t="s">
        <v>433</v>
      </c>
    </row>
    <row r="21265" spans="1:3">
      <c r="A21265" s="250">
        <v>49440</v>
      </c>
      <c r="B21265" s="74" t="s">
        <v>11286</v>
      </c>
      <c r="C21265" s="74" t="s">
        <v>433</v>
      </c>
    </row>
    <row r="21266" spans="1:3">
      <c r="A21266" s="250">
        <v>49441</v>
      </c>
      <c r="B21266" s="74" t="s">
        <v>11286</v>
      </c>
      <c r="C21266" s="74" t="s">
        <v>433</v>
      </c>
    </row>
    <row r="21267" spans="1:3">
      <c r="A21267" s="250">
        <v>49442</v>
      </c>
      <c r="B21267" s="74" t="s">
        <v>11286</v>
      </c>
      <c r="C21267" s="74" t="s">
        <v>433</v>
      </c>
    </row>
    <row r="21268" spans="1:3">
      <c r="A21268" s="250">
        <v>49443</v>
      </c>
      <c r="B21268" s="74" t="s">
        <v>11286</v>
      </c>
      <c r="C21268" s="74" t="s">
        <v>433</v>
      </c>
    </row>
    <row r="21269" spans="1:3">
      <c r="A21269" s="250">
        <v>49444</v>
      </c>
      <c r="B21269" s="74" t="s">
        <v>11286</v>
      </c>
      <c r="C21269" s="74" t="s">
        <v>433</v>
      </c>
    </row>
    <row r="21270" spans="1:3">
      <c r="A21270" s="250">
        <v>49445</v>
      </c>
      <c r="B21270" s="74" t="s">
        <v>11286</v>
      </c>
      <c r="C21270" s="74" t="s">
        <v>433</v>
      </c>
    </row>
    <row r="21271" spans="1:3">
      <c r="A21271" s="250">
        <v>49446</v>
      </c>
      <c r="B21271" s="74" t="s">
        <v>11287</v>
      </c>
      <c r="C21271" s="74" t="s">
        <v>433</v>
      </c>
    </row>
    <row r="21272" spans="1:3">
      <c r="A21272" s="250">
        <v>49448</v>
      </c>
      <c r="B21272" s="74" t="s">
        <v>11288</v>
      </c>
      <c r="C21272" s="74" t="s">
        <v>433</v>
      </c>
    </row>
    <row r="21273" spans="1:3">
      <c r="A21273" s="250">
        <v>49449</v>
      </c>
      <c r="B21273" s="74" t="s">
        <v>11289</v>
      </c>
      <c r="C21273" s="74" t="s">
        <v>433</v>
      </c>
    </row>
    <row r="21274" spans="1:3">
      <c r="A21274" s="250">
        <v>49450</v>
      </c>
      <c r="B21274" s="74" t="s">
        <v>6953</v>
      </c>
      <c r="C21274" s="74" t="s">
        <v>433</v>
      </c>
    </row>
    <row r="21275" spans="1:3">
      <c r="A21275" s="250">
        <v>49451</v>
      </c>
      <c r="B21275" s="74" t="s">
        <v>9652</v>
      </c>
      <c r="C21275" s="74" t="s">
        <v>433</v>
      </c>
    </row>
    <row r="21276" spans="1:3">
      <c r="A21276" s="250">
        <v>49452</v>
      </c>
      <c r="B21276" s="74" t="s">
        <v>11290</v>
      </c>
      <c r="C21276" s="74" t="s">
        <v>433</v>
      </c>
    </row>
    <row r="21277" spans="1:3">
      <c r="A21277" s="250">
        <v>49453</v>
      </c>
      <c r="B21277" s="74" t="s">
        <v>11291</v>
      </c>
      <c r="C21277" s="74" t="s">
        <v>433</v>
      </c>
    </row>
    <row r="21278" spans="1:3">
      <c r="A21278" s="250">
        <v>49454</v>
      </c>
      <c r="B21278" s="74" t="s">
        <v>7513</v>
      </c>
      <c r="C21278" s="74" t="s">
        <v>433</v>
      </c>
    </row>
    <row r="21279" spans="1:3">
      <c r="A21279" s="250">
        <v>49455</v>
      </c>
      <c r="B21279" s="74" t="s">
        <v>7335</v>
      </c>
      <c r="C21279" s="74" t="s">
        <v>433</v>
      </c>
    </row>
    <row r="21280" spans="1:3">
      <c r="A21280" s="250">
        <v>49456</v>
      </c>
      <c r="B21280" s="74" t="s">
        <v>2289</v>
      </c>
      <c r="C21280" s="74" t="s">
        <v>433</v>
      </c>
    </row>
    <row r="21281" spans="1:3">
      <c r="A21281" s="250">
        <v>49457</v>
      </c>
      <c r="B21281" s="74" t="s">
        <v>11292</v>
      </c>
      <c r="C21281" s="74" t="s">
        <v>433</v>
      </c>
    </row>
    <row r="21282" spans="1:3">
      <c r="A21282" s="250">
        <v>49458</v>
      </c>
      <c r="B21282" s="74" t="s">
        <v>7796</v>
      </c>
      <c r="C21282" s="74" t="s">
        <v>433</v>
      </c>
    </row>
    <row r="21283" spans="1:3">
      <c r="A21283" s="250">
        <v>49459</v>
      </c>
      <c r="B21283" s="74" t="s">
        <v>11293</v>
      </c>
      <c r="C21283" s="74" t="s">
        <v>433</v>
      </c>
    </row>
    <row r="21284" spans="1:3">
      <c r="A21284" s="250">
        <v>49460</v>
      </c>
      <c r="B21284" s="74" t="s">
        <v>11294</v>
      </c>
      <c r="C21284" s="74" t="s">
        <v>433</v>
      </c>
    </row>
    <row r="21285" spans="1:3">
      <c r="A21285" s="250">
        <v>49461</v>
      </c>
      <c r="B21285" s="74" t="s">
        <v>3273</v>
      </c>
      <c r="C21285" s="74" t="s">
        <v>433</v>
      </c>
    </row>
    <row r="21286" spans="1:3">
      <c r="A21286" s="250">
        <v>49463</v>
      </c>
      <c r="B21286" s="74" t="s">
        <v>3418</v>
      </c>
      <c r="C21286" s="74" t="s">
        <v>433</v>
      </c>
    </row>
    <row r="21287" spans="1:3">
      <c r="A21287" s="250">
        <v>49464</v>
      </c>
      <c r="B21287" s="74" t="s">
        <v>11295</v>
      </c>
      <c r="C21287" s="74" t="s">
        <v>433</v>
      </c>
    </row>
    <row r="21288" spans="1:3">
      <c r="A21288" s="250">
        <v>49468</v>
      </c>
      <c r="B21288" s="74" t="s">
        <v>11278</v>
      </c>
      <c r="C21288" s="74" t="s">
        <v>433</v>
      </c>
    </row>
    <row r="21289" spans="1:3">
      <c r="A21289" s="250">
        <v>49501</v>
      </c>
      <c r="B21289" s="74" t="s">
        <v>10191</v>
      </c>
      <c r="C21289" s="74" t="s">
        <v>433</v>
      </c>
    </row>
    <row r="21290" spans="1:3">
      <c r="A21290" s="250">
        <v>49502</v>
      </c>
      <c r="B21290" s="74" t="s">
        <v>10191</v>
      </c>
      <c r="C21290" s="74" t="s">
        <v>433</v>
      </c>
    </row>
    <row r="21291" spans="1:3">
      <c r="A21291" s="250">
        <v>49503</v>
      </c>
      <c r="B21291" s="74" t="s">
        <v>10191</v>
      </c>
      <c r="C21291" s="74" t="s">
        <v>433</v>
      </c>
    </row>
    <row r="21292" spans="1:3">
      <c r="A21292" s="250">
        <v>49504</v>
      </c>
      <c r="B21292" s="74" t="s">
        <v>10191</v>
      </c>
      <c r="C21292" s="74" t="s">
        <v>433</v>
      </c>
    </row>
    <row r="21293" spans="1:3">
      <c r="A21293" s="250">
        <v>49505</v>
      </c>
      <c r="B21293" s="74" t="s">
        <v>10191</v>
      </c>
      <c r="C21293" s="74" t="s">
        <v>433</v>
      </c>
    </row>
    <row r="21294" spans="1:3">
      <c r="A21294" s="250">
        <v>49506</v>
      </c>
      <c r="B21294" s="74" t="s">
        <v>10191</v>
      </c>
      <c r="C21294" s="74" t="s">
        <v>433</v>
      </c>
    </row>
    <row r="21295" spans="1:3">
      <c r="A21295" s="250">
        <v>49507</v>
      </c>
      <c r="B21295" s="74" t="s">
        <v>10191</v>
      </c>
      <c r="C21295" s="74" t="s">
        <v>433</v>
      </c>
    </row>
    <row r="21296" spans="1:3">
      <c r="A21296" s="250">
        <v>49508</v>
      </c>
      <c r="B21296" s="74" t="s">
        <v>10191</v>
      </c>
      <c r="C21296" s="74" t="s">
        <v>433</v>
      </c>
    </row>
    <row r="21297" spans="1:3">
      <c r="A21297" s="250">
        <v>49509</v>
      </c>
      <c r="B21297" s="74" t="s">
        <v>1142</v>
      </c>
      <c r="C21297" s="74" t="s">
        <v>433</v>
      </c>
    </row>
    <row r="21298" spans="1:3">
      <c r="A21298" s="250">
        <v>49510</v>
      </c>
      <c r="B21298" s="74" t="s">
        <v>10191</v>
      </c>
      <c r="C21298" s="74" t="s">
        <v>433</v>
      </c>
    </row>
    <row r="21299" spans="1:3">
      <c r="A21299" s="250">
        <v>49512</v>
      </c>
      <c r="B21299" s="74" t="s">
        <v>10191</v>
      </c>
      <c r="C21299" s="74" t="s">
        <v>433</v>
      </c>
    </row>
    <row r="21300" spans="1:3">
      <c r="A21300" s="250">
        <v>49514</v>
      </c>
      <c r="B21300" s="74" t="s">
        <v>10191</v>
      </c>
      <c r="C21300" s="74" t="s">
        <v>433</v>
      </c>
    </row>
    <row r="21301" spans="1:3">
      <c r="A21301" s="250">
        <v>49515</v>
      </c>
      <c r="B21301" s="74" t="s">
        <v>10191</v>
      </c>
      <c r="C21301" s="74" t="s">
        <v>433</v>
      </c>
    </row>
    <row r="21302" spans="1:3">
      <c r="A21302" s="250">
        <v>49516</v>
      </c>
      <c r="B21302" s="74" t="s">
        <v>10191</v>
      </c>
      <c r="C21302" s="74" t="s">
        <v>433</v>
      </c>
    </row>
    <row r="21303" spans="1:3">
      <c r="A21303" s="250">
        <v>49518</v>
      </c>
      <c r="B21303" s="74" t="s">
        <v>10191</v>
      </c>
      <c r="C21303" s="74" t="s">
        <v>433</v>
      </c>
    </row>
    <row r="21304" spans="1:3">
      <c r="A21304" s="250">
        <v>49519</v>
      </c>
      <c r="B21304" s="74" t="s">
        <v>1142</v>
      </c>
      <c r="C21304" s="74" t="s">
        <v>433</v>
      </c>
    </row>
    <row r="21305" spans="1:3">
      <c r="A21305" s="250">
        <v>49523</v>
      </c>
      <c r="B21305" s="74" t="s">
        <v>10191</v>
      </c>
      <c r="C21305" s="74" t="s">
        <v>433</v>
      </c>
    </row>
    <row r="21306" spans="1:3">
      <c r="A21306" s="250">
        <v>49525</v>
      </c>
      <c r="B21306" s="74" t="s">
        <v>10191</v>
      </c>
      <c r="C21306" s="74" t="s">
        <v>433</v>
      </c>
    </row>
    <row r="21307" spans="1:3">
      <c r="A21307" s="250">
        <v>49528</v>
      </c>
      <c r="B21307" s="74" t="s">
        <v>10191</v>
      </c>
      <c r="C21307" s="74" t="s">
        <v>433</v>
      </c>
    </row>
    <row r="21308" spans="1:3">
      <c r="A21308" s="250">
        <v>49530</v>
      </c>
      <c r="B21308" s="74" t="s">
        <v>10191</v>
      </c>
      <c r="C21308" s="74" t="s">
        <v>433</v>
      </c>
    </row>
    <row r="21309" spans="1:3">
      <c r="A21309" s="250">
        <v>49534</v>
      </c>
      <c r="B21309" s="74" t="s">
        <v>10191</v>
      </c>
      <c r="C21309" s="74" t="s">
        <v>433</v>
      </c>
    </row>
    <row r="21310" spans="1:3">
      <c r="A21310" s="250">
        <v>49544</v>
      </c>
      <c r="B21310" s="74" t="s">
        <v>10191</v>
      </c>
      <c r="C21310" s="74" t="s">
        <v>433</v>
      </c>
    </row>
    <row r="21311" spans="1:3">
      <c r="A21311" s="250">
        <v>49546</v>
      </c>
      <c r="B21311" s="74" t="s">
        <v>10191</v>
      </c>
      <c r="C21311" s="74" t="s">
        <v>433</v>
      </c>
    </row>
    <row r="21312" spans="1:3">
      <c r="A21312" s="250">
        <v>49548</v>
      </c>
      <c r="B21312" s="74" t="s">
        <v>10191</v>
      </c>
      <c r="C21312" s="74" t="s">
        <v>433</v>
      </c>
    </row>
    <row r="21313" spans="1:3">
      <c r="A21313" s="250">
        <v>49550</v>
      </c>
      <c r="B21313" s="74" t="s">
        <v>10191</v>
      </c>
      <c r="C21313" s="74" t="s">
        <v>433</v>
      </c>
    </row>
    <row r="21314" spans="1:3">
      <c r="A21314" s="250">
        <v>49555</v>
      </c>
      <c r="B21314" s="74" t="s">
        <v>10191</v>
      </c>
      <c r="C21314" s="74" t="s">
        <v>433</v>
      </c>
    </row>
    <row r="21315" spans="1:3">
      <c r="A21315" s="250">
        <v>49560</v>
      </c>
      <c r="B21315" s="74" t="s">
        <v>10191</v>
      </c>
      <c r="C21315" s="74" t="s">
        <v>433</v>
      </c>
    </row>
    <row r="21316" spans="1:3">
      <c r="A21316" s="250">
        <v>49588</v>
      </c>
      <c r="B21316" s="74" t="s">
        <v>10191</v>
      </c>
      <c r="C21316" s="74" t="s">
        <v>433</v>
      </c>
    </row>
    <row r="21317" spans="1:3">
      <c r="A21317" s="250">
        <v>49599</v>
      </c>
      <c r="B21317" s="74" t="s">
        <v>10191</v>
      </c>
      <c r="C21317" s="74" t="s">
        <v>433</v>
      </c>
    </row>
    <row r="21318" spans="1:3">
      <c r="A21318" s="250">
        <v>49601</v>
      </c>
      <c r="B21318" s="74" t="s">
        <v>11296</v>
      </c>
      <c r="C21318" s="74" t="s">
        <v>433</v>
      </c>
    </row>
    <row r="21319" spans="1:3">
      <c r="A21319" s="250">
        <v>49610</v>
      </c>
      <c r="B21319" s="74" t="s">
        <v>4186</v>
      </c>
      <c r="C21319" s="74" t="s">
        <v>433</v>
      </c>
    </row>
    <row r="21320" spans="1:3">
      <c r="A21320" s="250">
        <v>49611</v>
      </c>
      <c r="B21320" s="74" t="s">
        <v>4663</v>
      </c>
      <c r="C21320" s="74" t="s">
        <v>433</v>
      </c>
    </row>
    <row r="21321" spans="1:3">
      <c r="A21321" s="250">
        <v>49612</v>
      </c>
      <c r="B21321" s="74" t="s">
        <v>3668</v>
      </c>
      <c r="C21321" s="74" t="s">
        <v>433</v>
      </c>
    </row>
    <row r="21322" spans="1:3">
      <c r="A21322" s="250">
        <v>49613</v>
      </c>
      <c r="B21322" s="74" t="s">
        <v>4258</v>
      </c>
      <c r="C21322" s="74" t="s">
        <v>433</v>
      </c>
    </row>
    <row r="21323" spans="1:3">
      <c r="A21323" s="250">
        <v>49614</v>
      </c>
      <c r="B21323" s="74" t="s">
        <v>4505</v>
      </c>
      <c r="C21323" s="74" t="s">
        <v>433</v>
      </c>
    </row>
    <row r="21324" spans="1:3">
      <c r="A21324" s="250">
        <v>49615</v>
      </c>
      <c r="B21324" s="74" t="s">
        <v>10264</v>
      </c>
      <c r="C21324" s="74" t="s">
        <v>433</v>
      </c>
    </row>
    <row r="21325" spans="1:3">
      <c r="A21325" s="250">
        <v>49616</v>
      </c>
      <c r="B21325" s="74" t="s">
        <v>11297</v>
      </c>
      <c r="C21325" s="74" t="s">
        <v>433</v>
      </c>
    </row>
    <row r="21326" spans="1:3">
      <c r="A21326" s="250">
        <v>49617</v>
      </c>
      <c r="B21326" s="74" t="s">
        <v>9330</v>
      </c>
      <c r="C21326" s="74" t="s">
        <v>433</v>
      </c>
    </row>
    <row r="21327" spans="1:3">
      <c r="A21327" s="250">
        <v>49618</v>
      </c>
      <c r="B21327" s="74" t="s">
        <v>11298</v>
      </c>
      <c r="C21327" s="74" t="s">
        <v>433</v>
      </c>
    </row>
    <row r="21328" spans="1:3">
      <c r="A21328" s="250">
        <v>49619</v>
      </c>
      <c r="B21328" s="74" t="s">
        <v>11299</v>
      </c>
      <c r="C21328" s="74" t="s">
        <v>433</v>
      </c>
    </row>
    <row r="21329" spans="1:3">
      <c r="A21329" s="250">
        <v>49620</v>
      </c>
      <c r="B21329" s="74" t="s">
        <v>11300</v>
      </c>
      <c r="C21329" s="74" t="s">
        <v>433</v>
      </c>
    </row>
    <row r="21330" spans="1:3">
      <c r="A21330" s="250">
        <v>49621</v>
      </c>
      <c r="B21330" s="74" t="s">
        <v>11301</v>
      </c>
      <c r="C21330" s="74" t="s">
        <v>433</v>
      </c>
    </row>
    <row r="21331" spans="1:3">
      <c r="A21331" s="250">
        <v>49622</v>
      </c>
      <c r="B21331" s="74" t="s">
        <v>11302</v>
      </c>
      <c r="C21331" s="74" t="s">
        <v>433</v>
      </c>
    </row>
    <row r="21332" spans="1:3">
      <c r="A21332" s="250">
        <v>49623</v>
      </c>
      <c r="B21332" s="74" t="s">
        <v>5657</v>
      </c>
      <c r="C21332" s="74" t="s">
        <v>433</v>
      </c>
    </row>
    <row r="21333" spans="1:3">
      <c r="A21333" s="250">
        <v>49625</v>
      </c>
      <c r="B21333" s="74" t="s">
        <v>11303</v>
      </c>
      <c r="C21333" s="74" t="s">
        <v>433</v>
      </c>
    </row>
    <row r="21334" spans="1:3">
      <c r="A21334" s="250">
        <v>49626</v>
      </c>
      <c r="B21334" s="74" t="s">
        <v>10320</v>
      </c>
      <c r="C21334" s="74" t="s">
        <v>433</v>
      </c>
    </row>
    <row r="21335" spans="1:3">
      <c r="A21335" s="250">
        <v>49627</v>
      </c>
      <c r="B21335" s="74" t="s">
        <v>1583</v>
      </c>
      <c r="C21335" s="74" t="s">
        <v>433</v>
      </c>
    </row>
    <row r="21336" spans="1:3">
      <c r="A21336" s="250">
        <v>49628</v>
      </c>
      <c r="B21336" s="74" t="s">
        <v>8903</v>
      </c>
      <c r="C21336" s="74" t="s">
        <v>433</v>
      </c>
    </row>
    <row r="21337" spans="1:3">
      <c r="A21337" s="250">
        <v>49629</v>
      </c>
      <c r="B21337" s="74" t="s">
        <v>11304</v>
      </c>
      <c r="C21337" s="74" t="s">
        <v>433</v>
      </c>
    </row>
    <row r="21338" spans="1:3">
      <c r="A21338" s="250">
        <v>49630</v>
      </c>
      <c r="B21338" s="74" t="s">
        <v>8639</v>
      </c>
      <c r="C21338" s="74" t="s">
        <v>433</v>
      </c>
    </row>
    <row r="21339" spans="1:3">
      <c r="A21339" s="250">
        <v>49631</v>
      </c>
      <c r="B21339" s="74" t="s">
        <v>11305</v>
      </c>
      <c r="C21339" s="74" t="s">
        <v>433</v>
      </c>
    </row>
    <row r="21340" spans="1:3">
      <c r="A21340" s="250">
        <v>49632</v>
      </c>
      <c r="B21340" s="74" t="s">
        <v>1001</v>
      </c>
      <c r="C21340" s="74" t="s">
        <v>433</v>
      </c>
    </row>
    <row r="21341" spans="1:3">
      <c r="A21341" s="250">
        <v>49633</v>
      </c>
      <c r="B21341" s="74" t="s">
        <v>11306</v>
      </c>
      <c r="C21341" s="74" t="s">
        <v>433</v>
      </c>
    </row>
    <row r="21342" spans="1:3">
      <c r="A21342" s="250">
        <v>49634</v>
      </c>
      <c r="B21342" s="74" t="s">
        <v>11307</v>
      </c>
      <c r="C21342" s="74" t="s">
        <v>433</v>
      </c>
    </row>
    <row r="21343" spans="1:3">
      <c r="A21343" s="250">
        <v>49635</v>
      </c>
      <c r="B21343" s="74" t="s">
        <v>1505</v>
      </c>
      <c r="C21343" s="74" t="s">
        <v>433</v>
      </c>
    </row>
    <row r="21344" spans="1:3">
      <c r="A21344" s="250">
        <v>49636</v>
      </c>
      <c r="B21344" s="74" t="s">
        <v>11308</v>
      </c>
      <c r="C21344" s="74" t="s">
        <v>433</v>
      </c>
    </row>
    <row r="21345" spans="1:3">
      <c r="A21345" s="250">
        <v>49637</v>
      </c>
      <c r="B21345" s="74" t="s">
        <v>11309</v>
      </c>
      <c r="C21345" s="74" t="s">
        <v>433</v>
      </c>
    </row>
    <row r="21346" spans="1:3">
      <c r="A21346" s="250">
        <v>49638</v>
      </c>
      <c r="B21346" s="74" t="s">
        <v>11310</v>
      </c>
      <c r="C21346" s="74" t="s">
        <v>433</v>
      </c>
    </row>
    <row r="21347" spans="1:3">
      <c r="A21347" s="250">
        <v>49639</v>
      </c>
      <c r="B21347" s="74" t="s">
        <v>11311</v>
      </c>
      <c r="C21347" s="74" t="s">
        <v>433</v>
      </c>
    </row>
    <row r="21348" spans="1:3">
      <c r="A21348" s="250">
        <v>49640</v>
      </c>
      <c r="B21348" s="74" t="s">
        <v>11312</v>
      </c>
      <c r="C21348" s="74" t="s">
        <v>433</v>
      </c>
    </row>
    <row r="21349" spans="1:3">
      <c r="A21349" s="250">
        <v>49642</v>
      </c>
      <c r="B21349" s="74" t="s">
        <v>9223</v>
      </c>
      <c r="C21349" s="74" t="s">
        <v>433</v>
      </c>
    </row>
    <row r="21350" spans="1:3">
      <c r="A21350" s="250">
        <v>49643</v>
      </c>
      <c r="B21350" s="74" t="s">
        <v>11313</v>
      </c>
      <c r="C21350" s="74" t="s">
        <v>433</v>
      </c>
    </row>
    <row r="21351" spans="1:3">
      <c r="A21351" s="250">
        <v>49644</v>
      </c>
      <c r="B21351" s="74" t="s">
        <v>11314</v>
      </c>
      <c r="C21351" s="74" t="s">
        <v>433</v>
      </c>
    </row>
    <row r="21352" spans="1:3">
      <c r="A21352" s="250">
        <v>49645</v>
      </c>
      <c r="B21352" s="74" t="s">
        <v>11315</v>
      </c>
      <c r="C21352" s="74" t="s">
        <v>433</v>
      </c>
    </row>
    <row r="21353" spans="1:3">
      <c r="A21353" s="250">
        <v>49646</v>
      </c>
      <c r="B21353" s="74" t="s">
        <v>11316</v>
      </c>
      <c r="C21353" s="74" t="s">
        <v>433</v>
      </c>
    </row>
    <row r="21354" spans="1:3">
      <c r="A21354" s="250">
        <v>49648</v>
      </c>
      <c r="B21354" s="74" t="s">
        <v>11317</v>
      </c>
      <c r="C21354" s="74" t="s">
        <v>433</v>
      </c>
    </row>
    <row r="21355" spans="1:3">
      <c r="A21355" s="250">
        <v>49649</v>
      </c>
      <c r="B21355" s="74" t="s">
        <v>5242</v>
      </c>
      <c r="C21355" s="74" t="s">
        <v>433</v>
      </c>
    </row>
    <row r="21356" spans="1:3">
      <c r="A21356" s="250">
        <v>49650</v>
      </c>
      <c r="B21356" s="74" t="s">
        <v>11318</v>
      </c>
      <c r="C21356" s="74" t="s">
        <v>433</v>
      </c>
    </row>
    <row r="21357" spans="1:3">
      <c r="A21357" s="250">
        <v>49651</v>
      </c>
      <c r="B21357" s="74" t="s">
        <v>4516</v>
      </c>
      <c r="C21357" s="74" t="s">
        <v>433</v>
      </c>
    </row>
    <row r="21358" spans="1:3">
      <c r="A21358" s="250">
        <v>49653</v>
      </c>
      <c r="B21358" s="74" t="s">
        <v>11319</v>
      </c>
      <c r="C21358" s="74" t="s">
        <v>433</v>
      </c>
    </row>
    <row r="21359" spans="1:3">
      <c r="A21359" s="250">
        <v>49654</v>
      </c>
      <c r="B21359" s="74" t="s">
        <v>7406</v>
      </c>
      <c r="C21359" s="74" t="s">
        <v>433</v>
      </c>
    </row>
    <row r="21360" spans="1:3">
      <c r="A21360" s="250">
        <v>49655</v>
      </c>
      <c r="B21360" s="74" t="s">
        <v>8911</v>
      </c>
      <c r="C21360" s="74" t="s">
        <v>433</v>
      </c>
    </row>
    <row r="21361" spans="1:3">
      <c r="A21361" s="250">
        <v>49656</v>
      </c>
      <c r="B21361" s="74" t="s">
        <v>11320</v>
      </c>
      <c r="C21361" s="74" t="s">
        <v>433</v>
      </c>
    </row>
    <row r="21362" spans="1:3">
      <c r="A21362" s="250">
        <v>49657</v>
      </c>
      <c r="B21362" s="74" t="s">
        <v>11321</v>
      </c>
      <c r="C21362" s="74" t="s">
        <v>433</v>
      </c>
    </row>
    <row r="21363" spans="1:3">
      <c r="A21363" s="250">
        <v>49659</v>
      </c>
      <c r="B21363" s="74" t="s">
        <v>11322</v>
      </c>
      <c r="C21363" s="74" t="s">
        <v>433</v>
      </c>
    </row>
    <row r="21364" spans="1:3">
      <c r="A21364" s="250">
        <v>49660</v>
      </c>
      <c r="B21364" s="74" t="s">
        <v>11323</v>
      </c>
      <c r="C21364" s="74" t="s">
        <v>433</v>
      </c>
    </row>
    <row r="21365" spans="1:3">
      <c r="A21365" s="250">
        <v>49663</v>
      </c>
      <c r="B21365" s="74" t="s">
        <v>11324</v>
      </c>
      <c r="C21365" s="74" t="s">
        <v>433</v>
      </c>
    </row>
    <row r="21366" spans="1:3">
      <c r="A21366" s="250">
        <v>49664</v>
      </c>
      <c r="B21366" s="74" t="s">
        <v>11325</v>
      </c>
      <c r="C21366" s="74" t="s">
        <v>433</v>
      </c>
    </row>
    <row r="21367" spans="1:3">
      <c r="A21367" s="250">
        <v>49665</v>
      </c>
      <c r="B21367" s="74" t="s">
        <v>1071</v>
      </c>
      <c r="C21367" s="74" t="s">
        <v>433</v>
      </c>
    </row>
    <row r="21368" spans="1:3">
      <c r="A21368" s="250">
        <v>49666</v>
      </c>
      <c r="B21368" s="74" t="s">
        <v>2975</v>
      </c>
      <c r="C21368" s="74" t="s">
        <v>433</v>
      </c>
    </row>
    <row r="21369" spans="1:3">
      <c r="A21369" s="250">
        <v>49667</v>
      </c>
      <c r="B21369" s="74" t="s">
        <v>7451</v>
      </c>
      <c r="C21369" s="74" t="s">
        <v>433</v>
      </c>
    </row>
    <row r="21370" spans="1:3">
      <c r="A21370" s="250">
        <v>49668</v>
      </c>
      <c r="B21370" s="74" t="s">
        <v>11326</v>
      </c>
      <c r="C21370" s="74" t="s">
        <v>433</v>
      </c>
    </row>
    <row r="21371" spans="1:3">
      <c r="A21371" s="250">
        <v>49670</v>
      </c>
      <c r="B21371" s="74" t="s">
        <v>2844</v>
      </c>
      <c r="C21371" s="74" t="s">
        <v>433</v>
      </c>
    </row>
    <row r="21372" spans="1:3">
      <c r="A21372" s="250">
        <v>49673</v>
      </c>
      <c r="B21372" s="74" t="s">
        <v>11327</v>
      </c>
      <c r="C21372" s="74" t="s">
        <v>433</v>
      </c>
    </row>
    <row r="21373" spans="1:3">
      <c r="A21373" s="250">
        <v>49674</v>
      </c>
      <c r="B21373" s="74" t="s">
        <v>11328</v>
      </c>
      <c r="C21373" s="74" t="s">
        <v>433</v>
      </c>
    </row>
    <row r="21374" spans="1:3">
      <c r="A21374" s="250">
        <v>49675</v>
      </c>
      <c r="B21374" s="74" t="s">
        <v>11329</v>
      </c>
      <c r="C21374" s="74" t="s">
        <v>433</v>
      </c>
    </row>
    <row r="21375" spans="1:3">
      <c r="A21375" s="250">
        <v>49676</v>
      </c>
      <c r="B21375" s="74" t="s">
        <v>11330</v>
      </c>
      <c r="C21375" s="74" t="s">
        <v>433</v>
      </c>
    </row>
    <row r="21376" spans="1:3">
      <c r="A21376" s="250">
        <v>49677</v>
      </c>
      <c r="B21376" s="74" t="s">
        <v>11331</v>
      </c>
      <c r="C21376" s="74" t="s">
        <v>433</v>
      </c>
    </row>
    <row r="21377" spans="1:3">
      <c r="A21377" s="250">
        <v>49679</v>
      </c>
      <c r="B21377" s="74" t="s">
        <v>11332</v>
      </c>
      <c r="C21377" s="74" t="s">
        <v>433</v>
      </c>
    </row>
    <row r="21378" spans="1:3">
      <c r="A21378" s="250">
        <v>49680</v>
      </c>
      <c r="B21378" s="74" t="s">
        <v>11333</v>
      </c>
      <c r="C21378" s="74" t="s">
        <v>433</v>
      </c>
    </row>
    <row r="21379" spans="1:3">
      <c r="A21379" s="250">
        <v>49682</v>
      </c>
      <c r="B21379" s="74" t="s">
        <v>11334</v>
      </c>
      <c r="C21379" s="74" t="s">
        <v>433</v>
      </c>
    </row>
    <row r="21380" spans="1:3">
      <c r="A21380" s="250">
        <v>49683</v>
      </c>
      <c r="B21380" s="74" t="s">
        <v>3209</v>
      </c>
      <c r="C21380" s="74" t="s">
        <v>433</v>
      </c>
    </row>
    <row r="21381" spans="1:3">
      <c r="A21381" s="250">
        <v>49684</v>
      </c>
      <c r="B21381" s="74" t="s">
        <v>11335</v>
      </c>
      <c r="C21381" s="74" t="s">
        <v>433</v>
      </c>
    </row>
    <row r="21382" spans="1:3">
      <c r="A21382" s="250">
        <v>49685</v>
      </c>
      <c r="B21382" s="74" t="s">
        <v>11335</v>
      </c>
      <c r="C21382" s="74" t="s">
        <v>433</v>
      </c>
    </row>
    <row r="21383" spans="1:3">
      <c r="A21383" s="250">
        <v>49686</v>
      </c>
      <c r="B21383" s="74" t="s">
        <v>11335</v>
      </c>
      <c r="C21383" s="74" t="s">
        <v>433</v>
      </c>
    </row>
    <row r="21384" spans="1:3">
      <c r="A21384" s="250">
        <v>49688</v>
      </c>
      <c r="B21384" s="74" t="s">
        <v>11336</v>
      </c>
      <c r="C21384" s="74" t="s">
        <v>433</v>
      </c>
    </row>
    <row r="21385" spans="1:3">
      <c r="A21385" s="250">
        <v>49689</v>
      </c>
      <c r="B21385" s="74" t="s">
        <v>10560</v>
      </c>
      <c r="C21385" s="74" t="s">
        <v>433</v>
      </c>
    </row>
    <row r="21386" spans="1:3">
      <c r="A21386" s="250">
        <v>49690</v>
      </c>
      <c r="B21386" s="74" t="s">
        <v>631</v>
      </c>
      <c r="C21386" s="74" t="s">
        <v>433</v>
      </c>
    </row>
    <row r="21387" spans="1:3">
      <c r="A21387" s="250">
        <v>49696</v>
      </c>
      <c r="B21387" s="74" t="s">
        <v>11335</v>
      </c>
      <c r="C21387" s="74" t="s">
        <v>433</v>
      </c>
    </row>
    <row r="21388" spans="1:3">
      <c r="A21388" s="250">
        <v>49701</v>
      </c>
      <c r="B21388" s="74" t="s">
        <v>11337</v>
      </c>
      <c r="C21388" s="74" t="s">
        <v>433</v>
      </c>
    </row>
    <row r="21389" spans="1:3">
      <c r="A21389" s="250">
        <v>49705</v>
      </c>
      <c r="B21389" s="74" t="s">
        <v>3590</v>
      </c>
      <c r="C21389" s="74" t="s">
        <v>433</v>
      </c>
    </row>
    <row r="21390" spans="1:3">
      <c r="A21390" s="250">
        <v>49706</v>
      </c>
      <c r="B21390" s="74" t="s">
        <v>11338</v>
      </c>
      <c r="C21390" s="74" t="s">
        <v>433</v>
      </c>
    </row>
    <row r="21391" spans="1:3">
      <c r="A21391" s="250">
        <v>49707</v>
      </c>
      <c r="B21391" s="74" t="s">
        <v>11339</v>
      </c>
      <c r="C21391" s="74" t="s">
        <v>433</v>
      </c>
    </row>
    <row r="21392" spans="1:3">
      <c r="A21392" s="250">
        <v>49709</v>
      </c>
      <c r="B21392" s="74" t="s">
        <v>3895</v>
      </c>
      <c r="C21392" s="74" t="s">
        <v>433</v>
      </c>
    </row>
    <row r="21393" spans="1:3">
      <c r="A21393" s="250">
        <v>49710</v>
      </c>
      <c r="B21393" s="74" t="s">
        <v>11340</v>
      </c>
      <c r="C21393" s="74" t="s">
        <v>433</v>
      </c>
    </row>
    <row r="21394" spans="1:3">
      <c r="A21394" s="250">
        <v>49711</v>
      </c>
      <c r="B21394" s="74" t="s">
        <v>2805</v>
      </c>
      <c r="C21394" s="74" t="s">
        <v>433</v>
      </c>
    </row>
    <row r="21395" spans="1:3">
      <c r="A21395" s="250">
        <v>49712</v>
      </c>
      <c r="B21395" s="74" t="s">
        <v>11341</v>
      </c>
      <c r="C21395" s="74" t="s">
        <v>433</v>
      </c>
    </row>
    <row r="21396" spans="1:3">
      <c r="A21396" s="250">
        <v>49713</v>
      </c>
      <c r="B21396" s="74" t="s">
        <v>11342</v>
      </c>
      <c r="C21396" s="74" t="s">
        <v>433</v>
      </c>
    </row>
    <row r="21397" spans="1:3">
      <c r="A21397" s="250">
        <v>49715</v>
      </c>
      <c r="B21397" s="74" t="s">
        <v>11343</v>
      </c>
      <c r="C21397" s="74" t="s">
        <v>433</v>
      </c>
    </row>
    <row r="21398" spans="1:3">
      <c r="A21398" s="250">
        <v>49716</v>
      </c>
      <c r="B21398" s="74" t="s">
        <v>11344</v>
      </c>
      <c r="C21398" s="74" t="s">
        <v>433</v>
      </c>
    </row>
    <row r="21399" spans="1:3">
      <c r="A21399" s="250">
        <v>49717</v>
      </c>
      <c r="B21399" s="74" t="s">
        <v>11345</v>
      </c>
      <c r="C21399" s="74" t="s">
        <v>433</v>
      </c>
    </row>
    <row r="21400" spans="1:3">
      <c r="A21400" s="250">
        <v>49718</v>
      </c>
      <c r="B21400" s="74" t="s">
        <v>11346</v>
      </c>
      <c r="C21400" s="74" t="s">
        <v>433</v>
      </c>
    </row>
    <row r="21401" spans="1:3">
      <c r="A21401" s="250">
        <v>49719</v>
      </c>
      <c r="B21401" s="74" t="s">
        <v>2475</v>
      </c>
      <c r="C21401" s="74" t="s">
        <v>433</v>
      </c>
    </row>
    <row r="21402" spans="1:3">
      <c r="A21402" s="250">
        <v>49720</v>
      </c>
      <c r="B21402" s="74" t="s">
        <v>11347</v>
      </c>
      <c r="C21402" s="74" t="s">
        <v>433</v>
      </c>
    </row>
    <row r="21403" spans="1:3">
      <c r="A21403" s="250">
        <v>49721</v>
      </c>
      <c r="B21403" s="74" t="s">
        <v>11348</v>
      </c>
      <c r="C21403" s="74" t="s">
        <v>433</v>
      </c>
    </row>
    <row r="21404" spans="1:3">
      <c r="A21404" s="250">
        <v>49722</v>
      </c>
      <c r="B21404" s="74" t="s">
        <v>677</v>
      </c>
      <c r="C21404" s="74" t="s">
        <v>433</v>
      </c>
    </row>
    <row r="21405" spans="1:3">
      <c r="A21405" s="250">
        <v>49723</v>
      </c>
      <c r="B21405" s="74" t="s">
        <v>11349</v>
      </c>
      <c r="C21405" s="74" t="s">
        <v>433</v>
      </c>
    </row>
    <row r="21406" spans="1:3">
      <c r="A21406" s="250">
        <v>49724</v>
      </c>
      <c r="B21406" s="74" t="s">
        <v>11350</v>
      </c>
      <c r="C21406" s="74" t="s">
        <v>433</v>
      </c>
    </row>
    <row r="21407" spans="1:3">
      <c r="A21407" s="250">
        <v>49725</v>
      </c>
      <c r="B21407" s="74" t="s">
        <v>11351</v>
      </c>
      <c r="C21407" s="74" t="s">
        <v>433</v>
      </c>
    </row>
    <row r="21408" spans="1:3">
      <c r="A21408" s="250">
        <v>49726</v>
      </c>
      <c r="B21408" s="74" t="s">
        <v>11352</v>
      </c>
      <c r="C21408" s="74" t="s">
        <v>433</v>
      </c>
    </row>
    <row r="21409" spans="1:3">
      <c r="A21409" s="250">
        <v>49727</v>
      </c>
      <c r="B21409" s="74" t="s">
        <v>11353</v>
      </c>
      <c r="C21409" s="74" t="s">
        <v>433</v>
      </c>
    </row>
    <row r="21410" spans="1:3">
      <c r="A21410" s="250">
        <v>49728</v>
      </c>
      <c r="B21410" s="74" t="s">
        <v>11354</v>
      </c>
      <c r="C21410" s="74" t="s">
        <v>433</v>
      </c>
    </row>
    <row r="21411" spans="1:3">
      <c r="A21411" s="250">
        <v>49729</v>
      </c>
      <c r="B21411" s="74" t="s">
        <v>1563</v>
      </c>
      <c r="C21411" s="74" t="s">
        <v>433</v>
      </c>
    </row>
    <row r="21412" spans="1:3">
      <c r="A21412" s="250">
        <v>49730</v>
      </c>
      <c r="B21412" s="74" t="s">
        <v>3955</v>
      </c>
      <c r="C21412" s="74" t="s">
        <v>433</v>
      </c>
    </row>
    <row r="21413" spans="1:3">
      <c r="A21413" s="250">
        <v>49733</v>
      </c>
      <c r="B21413" s="74" t="s">
        <v>11355</v>
      </c>
      <c r="C21413" s="74" t="s">
        <v>433</v>
      </c>
    </row>
    <row r="21414" spans="1:3">
      <c r="A21414" s="250">
        <v>49734</v>
      </c>
      <c r="B21414" s="74" t="s">
        <v>11356</v>
      </c>
      <c r="C21414" s="74" t="s">
        <v>433</v>
      </c>
    </row>
    <row r="21415" spans="1:3">
      <c r="A21415" s="250">
        <v>49735</v>
      </c>
      <c r="B21415" s="74" t="s">
        <v>11356</v>
      </c>
      <c r="C21415" s="74" t="s">
        <v>433</v>
      </c>
    </row>
    <row r="21416" spans="1:3">
      <c r="A21416" s="250">
        <v>49736</v>
      </c>
      <c r="B21416" s="74" t="s">
        <v>11357</v>
      </c>
      <c r="C21416" s="74" t="s">
        <v>433</v>
      </c>
    </row>
    <row r="21417" spans="1:3">
      <c r="A21417" s="250">
        <v>49737</v>
      </c>
      <c r="B21417" s="74" t="s">
        <v>11358</v>
      </c>
      <c r="C21417" s="74" t="s">
        <v>433</v>
      </c>
    </row>
    <row r="21418" spans="1:3">
      <c r="A21418" s="250">
        <v>49738</v>
      </c>
      <c r="B21418" s="74" t="s">
        <v>11359</v>
      </c>
      <c r="C21418" s="74" t="s">
        <v>433</v>
      </c>
    </row>
    <row r="21419" spans="1:3">
      <c r="A21419" s="250">
        <v>49739</v>
      </c>
      <c r="B21419" s="74" t="s">
        <v>11359</v>
      </c>
      <c r="C21419" s="74" t="s">
        <v>433</v>
      </c>
    </row>
    <row r="21420" spans="1:3">
      <c r="A21420" s="250">
        <v>49740</v>
      </c>
      <c r="B21420" s="74" t="s">
        <v>11360</v>
      </c>
      <c r="C21420" s="74" t="s">
        <v>433</v>
      </c>
    </row>
    <row r="21421" spans="1:3">
      <c r="A21421" s="250">
        <v>49743</v>
      </c>
      <c r="B21421" s="74" t="s">
        <v>11361</v>
      </c>
      <c r="C21421" s="74" t="s">
        <v>433</v>
      </c>
    </row>
    <row r="21422" spans="1:3">
      <c r="A21422" s="250">
        <v>49744</v>
      </c>
      <c r="B21422" s="74" t="s">
        <v>11362</v>
      </c>
      <c r="C21422" s="74" t="s">
        <v>433</v>
      </c>
    </row>
    <row r="21423" spans="1:3">
      <c r="A21423" s="250">
        <v>49745</v>
      </c>
      <c r="B21423" s="74" t="s">
        <v>11363</v>
      </c>
      <c r="C21423" s="74" t="s">
        <v>433</v>
      </c>
    </row>
    <row r="21424" spans="1:3">
      <c r="A21424" s="250">
        <v>49746</v>
      </c>
      <c r="B21424" s="74" t="s">
        <v>11364</v>
      </c>
      <c r="C21424" s="74" t="s">
        <v>433</v>
      </c>
    </row>
    <row r="21425" spans="1:3">
      <c r="A21425" s="250">
        <v>49747</v>
      </c>
      <c r="B21425" s="74" t="s">
        <v>11365</v>
      </c>
      <c r="C21425" s="74" t="s">
        <v>433</v>
      </c>
    </row>
    <row r="21426" spans="1:3">
      <c r="A21426" s="250">
        <v>49748</v>
      </c>
      <c r="B21426" s="74" t="s">
        <v>11366</v>
      </c>
      <c r="C21426" s="74" t="s">
        <v>433</v>
      </c>
    </row>
    <row r="21427" spans="1:3">
      <c r="A21427" s="250">
        <v>49749</v>
      </c>
      <c r="B21427" s="74" t="s">
        <v>11367</v>
      </c>
      <c r="C21427" s="74" t="s">
        <v>433</v>
      </c>
    </row>
    <row r="21428" spans="1:3">
      <c r="A21428" s="250">
        <v>49751</v>
      </c>
      <c r="B21428" s="74" t="s">
        <v>11368</v>
      </c>
      <c r="C21428" s="74" t="s">
        <v>433</v>
      </c>
    </row>
    <row r="21429" spans="1:3">
      <c r="A21429" s="250">
        <v>49752</v>
      </c>
      <c r="B21429" s="74" t="s">
        <v>11369</v>
      </c>
      <c r="C21429" s="74" t="s">
        <v>433</v>
      </c>
    </row>
    <row r="21430" spans="1:3">
      <c r="A21430" s="250">
        <v>49753</v>
      </c>
      <c r="B21430" s="74" t="s">
        <v>11370</v>
      </c>
      <c r="C21430" s="74" t="s">
        <v>433</v>
      </c>
    </row>
    <row r="21431" spans="1:3">
      <c r="A21431" s="250">
        <v>49755</v>
      </c>
      <c r="B21431" s="74" t="s">
        <v>11371</v>
      </c>
      <c r="C21431" s="74" t="s">
        <v>433</v>
      </c>
    </row>
    <row r="21432" spans="1:3">
      <c r="A21432" s="250">
        <v>49756</v>
      </c>
      <c r="B21432" s="74" t="s">
        <v>1444</v>
      </c>
      <c r="C21432" s="74" t="s">
        <v>433</v>
      </c>
    </row>
    <row r="21433" spans="1:3">
      <c r="A21433" s="250">
        <v>49757</v>
      </c>
      <c r="B21433" s="74" t="s">
        <v>11372</v>
      </c>
      <c r="C21433" s="74" t="s">
        <v>433</v>
      </c>
    </row>
    <row r="21434" spans="1:3">
      <c r="A21434" s="250">
        <v>49759</v>
      </c>
      <c r="B21434" s="74" t="s">
        <v>4729</v>
      </c>
      <c r="C21434" s="74" t="s">
        <v>433</v>
      </c>
    </row>
    <row r="21435" spans="1:3">
      <c r="A21435" s="250">
        <v>49760</v>
      </c>
      <c r="B21435" s="74" t="s">
        <v>11373</v>
      </c>
      <c r="C21435" s="74" t="s">
        <v>433</v>
      </c>
    </row>
    <row r="21436" spans="1:3">
      <c r="A21436" s="250">
        <v>49761</v>
      </c>
      <c r="B21436" s="74" t="s">
        <v>11374</v>
      </c>
      <c r="C21436" s="74" t="s">
        <v>433</v>
      </c>
    </row>
    <row r="21437" spans="1:3">
      <c r="A21437" s="250">
        <v>49762</v>
      </c>
      <c r="B21437" s="74" t="s">
        <v>11375</v>
      </c>
      <c r="C21437" s="74" t="s">
        <v>433</v>
      </c>
    </row>
    <row r="21438" spans="1:3">
      <c r="A21438" s="250">
        <v>49764</v>
      </c>
      <c r="B21438" s="74" t="s">
        <v>11376</v>
      </c>
      <c r="C21438" s="74" t="s">
        <v>433</v>
      </c>
    </row>
    <row r="21439" spans="1:3">
      <c r="A21439" s="250">
        <v>49765</v>
      </c>
      <c r="B21439" s="74" t="s">
        <v>11377</v>
      </c>
      <c r="C21439" s="74" t="s">
        <v>433</v>
      </c>
    </row>
    <row r="21440" spans="1:3">
      <c r="A21440" s="250">
        <v>49766</v>
      </c>
      <c r="B21440" s="74" t="s">
        <v>11378</v>
      </c>
      <c r="C21440" s="74" t="s">
        <v>433</v>
      </c>
    </row>
    <row r="21441" spans="1:3">
      <c r="A21441" s="250">
        <v>49768</v>
      </c>
      <c r="B21441" s="74" t="s">
        <v>4877</v>
      </c>
      <c r="C21441" s="74" t="s">
        <v>433</v>
      </c>
    </row>
    <row r="21442" spans="1:3">
      <c r="A21442" s="250">
        <v>49769</v>
      </c>
      <c r="B21442" s="74" t="s">
        <v>11379</v>
      </c>
      <c r="C21442" s="74" t="s">
        <v>433</v>
      </c>
    </row>
    <row r="21443" spans="1:3">
      <c r="A21443" s="250">
        <v>49770</v>
      </c>
      <c r="B21443" s="74" t="s">
        <v>11380</v>
      </c>
      <c r="C21443" s="74" t="s">
        <v>433</v>
      </c>
    </row>
    <row r="21444" spans="1:3">
      <c r="A21444" s="250">
        <v>49774</v>
      </c>
      <c r="B21444" s="74" t="s">
        <v>11381</v>
      </c>
      <c r="C21444" s="74" t="s">
        <v>433</v>
      </c>
    </row>
    <row r="21445" spans="1:3">
      <c r="A21445" s="250">
        <v>49775</v>
      </c>
      <c r="B21445" s="74" t="s">
        <v>11382</v>
      </c>
      <c r="C21445" s="74" t="s">
        <v>433</v>
      </c>
    </row>
    <row r="21446" spans="1:3">
      <c r="A21446" s="250">
        <v>49776</v>
      </c>
      <c r="B21446" s="74" t="s">
        <v>11383</v>
      </c>
      <c r="C21446" s="74" t="s">
        <v>433</v>
      </c>
    </row>
    <row r="21447" spans="1:3">
      <c r="A21447" s="250">
        <v>49777</v>
      </c>
      <c r="B21447" s="74" t="s">
        <v>1647</v>
      </c>
      <c r="C21447" s="74" t="s">
        <v>433</v>
      </c>
    </row>
    <row r="21448" spans="1:3">
      <c r="A21448" s="250">
        <v>49779</v>
      </c>
      <c r="B21448" s="74" t="s">
        <v>11384</v>
      </c>
      <c r="C21448" s="74" t="s">
        <v>433</v>
      </c>
    </row>
    <row r="21449" spans="1:3">
      <c r="A21449" s="250">
        <v>49780</v>
      </c>
      <c r="B21449" s="74" t="s">
        <v>11385</v>
      </c>
      <c r="C21449" s="74" t="s">
        <v>433</v>
      </c>
    </row>
    <row r="21450" spans="1:3">
      <c r="A21450" s="250">
        <v>49781</v>
      </c>
      <c r="B21450" s="74" t="s">
        <v>11386</v>
      </c>
      <c r="C21450" s="74" t="s">
        <v>433</v>
      </c>
    </row>
    <row r="21451" spans="1:3">
      <c r="A21451" s="250">
        <v>49782</v>
      </c>
      <c r="B21451" s="74" t="s">
        <v>11387</v>
      </c>
      <c r="C21451" s="74" t="s">
        <v>433</v>
      </c>
    </row>
    <row r="21452" spans="1:3">
      <c r="A21452" s="250">
        <v>49783</v>
      </c>
      <c r="B21452" s="74" t="s">
        <v>11388</v>
      </c>
      <c r="C21452" s="74" t="s">
        <v>433</v>
      </c>
    </row>
    <row r="21453" spans="1:3">
      <c r="A21453" s="250">
        <v>49784</v>
      </c>
      <c r="B21453" s="74" t="s">
        <v>11389</v>
      </c>
      <c r="C21453" s="74" t="s">
        <v>433</v>
      </c>
    </row>
    <row r="21454" spans="1:3">
      <c r="A21454" s="250">
        <v>49785</v>
      </c>
      <c r="B21454" s="74" t="s">
        <v>11389</v>
      </c>
      <c r="C21454" s="74" t="s">
        <v>433</v>
      </c>
    </row>
    <row r="21455" spans="1:3">
      <c r="A21455" s="250">
        <v>49786</v>
      </c>
      <c r="B21455" s="74" t="s">
        <v>11389</v>
      </c>
      <c r="C21455" s="74" t="s">
        <v>433</v>
      </c>
    </row>
    <row r="21456" spans="1:3">
      <c r="A21456" s="250">
        <v>49788</v>
      </c>
      <c r="B21456" s="74" t="s">
        <v>11389</v>
      </c>
      <c r="C21456" s="74" t="s">
        <v>433</v>
      </c>
    </row>
    <row r="21457" spans="1:3">
      <c r="A21457" s="250">
        <v>49790</v>
      </c>
      <c r="B21457" s="74" t="s">
        <v>11354</v>
      </c>
      <c r="C21457" s="74" t="s">
        <v>433</v>
      </c>
    </row>
    <row r="21458" spans="1:3">
      <c r="A21458" s="250">
        <v>49791</v>
      </c>
      <c r="B21458" s="74" t="s">
        <v>11390</v>
      </c>
      <c r="C21458" s="74" t="s">
        <v>433</v>
      </c>
    </row>
    <row r="21459" spans="1:3">
      <c r="A21459" s="250">
        <v>49792</v>
      </c>
      <c r="B21459" s="74" t="s">
        <v>11391</v>
      </c>
      <c r="C21459" s="74" t="s">
        <v>433</v>
      </c>
    </row>
    <row r="21460" spans="1:3">
      <c r="A21460" s="250">
        <v>49793</v>
      </c>
      <c r="B21460" s="74" t="s">
        <v>11392</v>
      </c>
      <c r="C21460" s="74" t="s">
        <v>433</v>
      </c>
    </row>
    <row r="21461" spans="1:3">
      <c r="A21461" s="250">
        <v>49795</v>
      </c>
      <c r="B21461" s="74" t="s">
        <v>4149</v>
      </c>
      <c r="C21461" s="74" t="s">
        <v>433</v>
      </c>
    </row>
    <row r="21462" spans="1:3">
      <c r="A21462" s="250">
        <v>49796</v>
      </c>
      <c r="B21462" s="74" t="s">
        <v>11393</v>
      </c>
      <c r="C21462" s="74" t="s">
        <v>433</v>
      </c>
    </row>
    <row r="21463" spans="1:3">
      <c r="A21463" s="250">
        <v>49797</v>
      </c>
      <c r="B21463" s="74" t="s">
        <v>11394</v>
      </c>
      <c r="C21463" s="74" t="s">
        <v>433</v>
      </c>
    </row>
    <row r="21464" spans="1:3">
      <c r="A21464" s="250">
        <v>49799</v>
      </c>
      <c r="B21464" s="74" t="s">
        <v>11395</v>
      </c>
      <c r="C21464" s="74" t="s">
        <v>433</v>
      </c>
    </row>
    <row r="21465" spans="1:3">
      <c r="A21465" s="250">
        <v>49801</v>
      </c>
      <c r="B21465" s="74" t="s">
        <v>11396</v>
      </c>
      <c r="C21465" s="74" t="s">
        <v>433</v>
      </c>
    </row>
    <row r="21466" spans="1:3">
      <c r="A21466" s="250">
        <v>49802</v>
      </c>
      <c r="B21466" s="74" t="s">
        <v>11397</v>
      </c>
      <c r="C21466" s="74" t="s">
        <v>433</v>
      </c>
    </row>
    <row r="21467" spans="1:3">
      <c r="A21467" s="250">
        <v>49805</v>
      </c>
      <c r="B21467" s="74" t="s">
        <v>11398</v>
      </c>
      <c r="C21467" s="74" t="s">
        <v>433</v>
      </c>
    </row>
    <row r="21468" spans="1:3">
      <c r="A21468" s="250">
        <v>49806</v>
      </c>
      <c r="B21468" s="74" t="s">
        <v>11399</v>
      </c>
      <c r="C21468" s="74" t="s">
        <v>433</v>
      </c>
    </row>
    <row r="21469" spans="1:3">
      <c r="A21469" s="250">
        <v>49807</v>
      </c>
      <c r="B21469" s="74" t="s">
        <v>11400</v>
      </c>
      <c r="C21469" s="74" t="s">
        <v>433</v>
      </c>
    </row>
    <row r="21470" spans="1:3">
      <c r="A21470" s="250">
        <v>49808</v>
      </c>
      <c r="B21470" s="74" t="s">
        <v>11401</v>
      </c>
      <c r="C21470" s="74" t="s">
        <v>433</v>
      </c>
    </row>
    <row r="21471" spans="1:3">
      <c r="A21471" s="250">
        <v>49812</v>
      </c>
      <c r="B21471" s="74" t="s">
        <v>11402</v>
      </c>
      <c r="C21471" s="74" t="s">
        <v>433</v>
      </c>
    </row>
    <row r="21472" spans="1:3">
      <c r="A21472" s="250">
        <v>49814</v>
      </c>
      <c r="B21472" s="74" t="s">
        <v>4197</v>
      </c>
      <c r="C21472" s="74" t="s">
        <v>433</v>
      </c>
    </row>
    <row r="21473" spans="1:3">
      <c r="A21473" s="250">
        <v>49815</v>
      </c>
      <c r="B21473" s="74" t="s">
        <v>11403</v>
      </c>
      <c r="C21473" s="74" t="s">
        <v>433</v>
      </c>
    </row>
    <row r="21474" spans="1:3">
      <c r="A21474" s="250">
        <v>49816</v>
      </c>
      <c r="B21474" s="74" t="s">
        <v>1025</v>
      </c>
      <c r="C21474" s="74" t="s">
        <v>433</v>
      </c>
    </row>
    <row r="21475" spans="1:3">
      <c r="A21475" s="250">
        <v>49817</v>
      </c>
      <c r="B21475" s="74" t="s">
        <v>11404</v>
      </c>
      <c r="C21475" s="74" t="s">
        <v>433</v>
      </c>
    </row>
    <row r="21476" spans="1:3">
      <c r="A21476" s="250">
        <v>49818</v>
      </c>
      <c r="B21476" s="74" t="s">
        <v>11405</v>
      </c>
      <c r="C21476" s="74" t="s">
        <v>433</v>
      </c>
    </row>
    <row r="21477" spans="1:3">
      <c r="A21477" s="250">
        <v>49819</v>
      </c>
      <c r="B21477" s="74" t="s">
        <v>5652</v>
      </c>
      <c r="C21477" s="74" t="s">
        <v>433</v>
      </c>
    </row>
    <row r="21478" spans="1:3">
      <c r="A21478" s="250">
        <v>49820</v>
      </c>
      <c r="B21478" s="74" t="s">
        <v>11406</v>
      </c>
      <c r="C21478" s="74" t="s">
        <v>433</v>
      </c>
    </row>
    <row r="21479" spans="1:3">
      <c r="A21479" s="250">
        <v>49821</v>
      </c>
      <c r="B21479" s="74" t="s">
        <v>11407</v>
      </c>
      <c r="C21479" s="74" t="s">
        <v>433</v>
      </c>
    </row>
    <row r="21480" spans="1:3">
      <c r="A21480" s="250">
        <v>49822</v>
      </c>
      <c r="B21480" s="74" t="s">
        <v>11408</v>
      </c>
      <c r="C21480" s="74" t="s">
        <v>433</v>
      </c>
    </row>
    <row r="21481" spans="1:3">
      <c r="A21481" s="250">
        <v>49825</v>
      </c>
      <c r="B21481" s="74" t="s">
        <v>11409</v>
      </c>
      <c r="C21481" s="74" t="s">
        <v>433</v>
      </c>
    </row>
    <row r="21482" spans="1:3">
      <c r="A21482" s="250">
        <v>49826</v>
      </c>
      <c r="B21482" s="74" t="s">
        <v>11410</v>
      </c>
      <c r="C21482" s="74" t="s">
        <v>433</v>
      </c>
    </row>
    <row r="21483" spans="1:3">
      <c r="A21483" s="250">
        <v>49827</v>
      </c>
      <c r="B21483" s="74" t="s">
        <v>11411</v>
      </c>
      <c r="C21483" s="74" t="s">
        <v>433</v>
      </c>
    </row>
    <row r="21484" spans="1:3">
      <c r="A21484" s="250">
        <v>49829</v>
      </c>
      <c r="B21484" s="74" t="s">
        <v>11412</v>
      </c>
      <c r="C21484" s="74" t="s">
        <v>433</v>
      </c>
    </row>
    <row r="21485" spans="1:3">
      <c r="A21485" s="250">
        <v>49831</v>
      </c>
      <c r="B21485" s="74" t="s">
        <v>11413</v>
      </c>
      <c r="C21485" s="74" t="s">
        <v>433</v>
      </c>
    </row>
    <row r="21486" spans="1:3">
      <c r="A21486" s="250">
        <v>49833</v>
      </c>
      <c r="B21486" s="74" t="s">
        <v>11414</v>
      </c>
      <c r="C21486" s="74" t="s">
        <v>433</v>
      </c>
    </row>
    <row r="21487" spans="1:3">
      <c r="A21487" s="250">
        <v>49834</v>
      </c>
      <c r="B21487" s="74" t="s">
        <v>11415</v>
      </c>
      <c r="C21487" s="74" t="s">
        <v>433</v>
      </c>
    </row>
    <row r="21488" spans="1:3">
      <c r="A21488" s="250">
        <v>49835</v>
      </c>
      <c r="B21488" s="74" t="s">
        <v>11416</v>
      </c>
      <c r="C21488" s="74" t="s">
        <v>433</v>
      </c>
    </row>
    <row r="21489" spans="1:3">
      <c r="A21489" s="250">
        <v>49836</v>
      </c>
      <c r="B21489" s="74" t="s">
        <v>11417</v>
      </c>
      <c r="C21489" s="74" t="s">
        <v>433</v>
      </c>
    </row>
    <row r="21490" spans="1:3">
      <c r="A21490" s="250">
        <v>49837</v>
      </c>
      <c r="B21490" s="74" t="s">
        <v>2345</v>
      </c>
      <c r="C21490" s="74" t="s">
        <v>433</v>
      </c>
    </row>
    <row r="21491" spans="1:3">
      <c r="A21491" s="250">
        <v>49838</v>
      </c>
      <c r="B21491" s="74" t="s">
        <v>11418</v>
      </c>
      <c r="C21491" s="74" t="s">
        <v>433</v>
      </c>
    </row>
    <row r="21492" spans="1:3">
      <c r="A21492" s="250">
        <v>49839</v>
      </c>
      <c r="B21492" s="74" t="s">
        <v>11419</v>
      </c>
      <c r="C21492" s="74" t="s">
        <v>433</v>
      </c>
    </row>
    <row r="21493" spans="1:3">
      <c r="A21493" s="250">
        <v>49840</v>
      </c>
      <c r="B21493" s="74" t="s">
        <v>11420</v>
      </c>
      <c r="C21493" s="74" t="s">
        <v>433</v>
      </c>
    </row>
    <row r="21494" spans="1:3">
      <c r="A21494" s="250">
        <v>49841</v>
      </c>
      <c r="B21494" s="74" t="s">
        <v>11421</v>
      </c>
      <c r="C21494" s="74" t="s">
        <v>433</v>
      </c>
    </row>
    <row r="21495" spans="1:3">
      <c r="A21495" s="250">
        <v>49845</v>
      </c>
      <c r="B21495" s="74" t="s">
        <v>3179</v>
      </c>
      <c r="C21495" s="74" t="s">
        <v>433</v>
      </c>
    </row>
    <row r="21496" spans="1:3">
      <c r="A21496" s="250">
        <v>49847</v>
      </c>
      <c r="B21496" s="74" t="s">
        <v>11422</v>
      </c>
      <c r="C21496" s="74" t="s">
        <v>433</v>
      </c>
    </row>
    <row r="21497" spans="1:3">
      <c r="A21497" s="250">
        <v>49848</v>
      </c>
      <c r="B21497" s="74" t="s">
        <v>10642</v>
      </c>
      <c r="C21497" s="74" t="s">
        <v>433</v>
      </c>
    </row>
    <row r="21498" spans="1:3">
      <c r="A21498" s="250">
        <v>49849</v>
      </c>
      <c r="B21498" s="74" t="s">
        <v>11423</v>
      </c>
      <c r="C21498" s="74" t="s">
        <v>433</v>
      </c>
    </row>
    <row r="21499" spans="1:3">
      <c r="A21499" s="250">
        <v>49852</v>
      </c>
      <c r="B21499" s="74" t="s">
        <v>4358</v>
      </c>
      <c r="C21499" s="74" t="s">
        <v>433</v>
      </c>
    </row>
    <row r="21500" spans="1:3">
      <c r="A21500" s="250">
        <v>49853</v>
      </c>
      <c r="B21500" s="74" t="s">
        <v>11424</v>
      </c>
      <c r="C21500" s="74" t="s">
        <v>433</v>
      </c>
    </row>
    <row r="21501" spans="1:3">
      <c r="A21501" s="250">
        <v>49854</v>
      </c>
      <c r="B21501" s="74" t="s">
        <v>11425</v>
      </c>
      <c r="C21501" s="74" t="s">
        <v>433</v>
      </c>
    </row>
    <row r="21502" spans="1:3">
      <c r="A21502" s="250">
        <v>49855</v>
      </c>
      <c r="B21502" s="74" t="s">
        <v>11426</v>
      </c>
      <c r="C21502" s="74" t="s">
        <v>433</v>
      </c>
    </row>
    <row r="21503" spans="1:3">
      <c r="A21503" s="250">
        <v>49858</v>
      </c>
      <c r="B21503" s="74" t="s">
        <v>11427</v>
      </c>
      <c r="C21503" s="74" t="s">
        <v>433</v>
      </c>
    </row>
    <row r="21504" spans="1:3">
      <c r="A21504" s="250">
        <v>49861</v>
      </c>
      <c r="B21504" s="74" t="s">
        <v>11428</v>
      </c>
      <c r="C21504" s="74" t="s">
        <v>433</v>
      </c>
    </row>
    <row r="21505" spans="1:3">
      <c r="A21505" s="250">
        <v>49862</v>
      </c>
      <c r="B21505" s="74" t="s">
        <v>11429</v>
      </c>
      <c r="C21505" s="74" t="s">
        <v>433</v>
      </c>
    </row>
    <row r="21506" spans="1:3">
      <c r="A21506" s="250">
        <v>49863</v>
      </c>
      <c r="B21506" s="74" t="s">
        <v>11430</v>
      </c>
      <c r="C21506" s="74" t="s">
        <v>433</v>
      </c>
    </row>
    <row r="21507" spans="1:3">
      <c r="A21507" s="250">
        <v>49864</v>
      </c>
      <c r="B21507" s="74" t="s">
        <v>11431</v>
      </c>
      <c r="C21507" s="74" t="s">
        <v>433</v>
      </c>
    </row>
    <row r="21508" spans="1:3">
      <c r="A21508" s="250">
        <v>49865</v>
      </c>
      <c r="B21508" s="74" t="s">
        <v>11432</v>
      </c>
      <c r="C21508" s="74" t="s">
        <v>433</v>
      </c>
    </row>
    <row r="21509" spans="1:3">
      <c r="A21509" s="250">
        <v>49866</v>
      </c>
      <c r="B21509" s="74" t="s">
        <v>11433</v>
      </c>
      <c r="C21509" s="74" t="s">
        <v>433</v>
      </c>
    </row>
    <row r="21510" spans="1:3">
      <c r="A21510" s="250">
        <v>49868</v>
      </c>
      <c r="B21510" s="74" t="s">
        <v>7634</v>
      </c>
      <c r="C21510" s="74" t="s">
        <v>433</v>
      </c>
    </row>
    <row r="21511" spans="1:3">
      <c r="A21511" s="250">
        <v>49870</v>
      </c>
      <c r="B21511" s="74" t="s">
        <v>1458</v>
      </c>
      <c r="C21511" s="74" t="s">
        <v>433</v>
      </c>
    </row>
    <row r="21512" spans="1:3">
      <c r="A21512" s="250">
        <v>49871</v>
      </c>
      <c r="B21512" s="74" t="s">
        <v>526</v>
      </c>
      <c r="C21512" s="74" t="s">
        <v>433</v>
      </c>
    </row>
    <row r="21513" spans="1:3">
      <c r="A21513" s="250">
        <v>49872</v>
      </c>
      <c r="B21513" s="74" t="s">
        <v>8058</v>
      </c>
      <c r="C21513" s="74" t="s">
        <v>433</v>
      </c>
    </row>
    <row r="21514" spans="1:3">
      <c r="A21514" s="250">
        <v>49873</v>
      </c>
      <c r="B21514" s="74" t="s">
        <v>11434</v>
      </c>
      <c r="C21514" s="74" t="s">
        <v>433</v>
      </c>
    </row>
    <row r="21515" spans="1:3">
      <c r="A21515" s="250">
        <v>49874</v>
      </c>
      <c r="B21515" s="74" t="s">
        <v>11435</v>
      </c>
      <c r="C21515" s="74" t="s">
        <v>433</v>
      </c>
    </row>
    <row r="21516" spans="1:3">
      <c r="A21516" s="250">
        <v>49876</v>
      </c>
      <c r="B21516" s="74" t="s">
        <v>11436</v>
      </c>
      <c r="C21516" s="74" t="s">
        <v>433</v>
      </c>
    </row>
    <row r="21517" spans="1:3">
      <c r="A21517" s="250">
        <v>49877</v>
      </c>
      <c r="B21517" s="74" t="s">
        <v>8701</v>
      </c>
      <c r="C21517" s="74" t="s">
        <v>433</v>
      </c>
    </row>
    <row r="21518" spans="1:3">
      <c r="A21518" s="250">
        <v>49878</v>
      </c>
      <c r="B21518" s="74" t="s">
        <v>11437</v>
      </c>
      <c r="C21518" s="74" t="s">
        <v>433</v>
      </c>
    </row>
    <row r="21519" spans="1:3">
      <c r="A21519" s="250">
        <v>49879</v>
      </c>
      <c r="B21519" s="74" t="s">
        <v>4141</v>
      </c>
      <c r="C21519" s="74" t="s">
        <v>433</v>
      </c>
    </row>
    <row r="21520" spans="1:3">
      <c r="A21520" s="250">
        <v>49880</v>
      </c>
      <c r="B21520" s="74" t="s">
        <v>6490</v>
      </c>
      <c r="C21520" s="74" t="s">
        <v>433</v>
      </c>
    </row>
    <row r="21521" spans="1:3">
      <c r="A21521" s="250">
        <v>49881</v>
      </c>
      <c r="B21521" s="74" t="s">
        <v>11438</v>
      </c>
      <c r="C21521" s="74" t="s">
        <v>433</v>
      </c>
    </row>
    <row r="21522" spans="1:3">
      <c r="A21522" s="250">
        <v>49883</v>
      </c>
      <c r="B21522" s="74" t="s">
        <v>11439</v>
      </c>
      <c r="C21522" s="74" t="s">
        <v>433</v>
      </c>
    </row>
    <row r="21523" spans="1:3">
      <c r="A21523" s="250">
        <v>49884</v>
      </c>
      <c r="B21523" s="74" t="s">
        <v>11440</v>
      </c>
      <c r="C21523" s="74" t="s">
        <v>433</v>
      </c>
    </row>
    <row r="21524" spans="1:3">
      <c r="A21524" s="250">
        <v>49885</v>
      </c>
      <c r="B21524" s="74" t="s">
        <v>11441</v>
      </c>
      <c r="C21524" s="74" t="s">
        <v>433</v>
      </c>
    </row>
    <row r="21525" spans="1:3">
      <c r="A21525" s="250">
        <v>49886</v>
      </c>
      <c r="B21525" s="74" t="s">
        <v>11442</v>
      </c>
      <c r="C21525" s="74" t="s">
        <v>433</v>
      </c>
    </row>
    <row r="21526" spans="1:3">
      <c r="A21526" s="250">
        <v>49887</v>
      </c>
      <c r="B21526" s="74" t="s">
        <v>5950</v>
      </c>
      <c r="C21526" s="74" t="s">
        <v>433</v>
      </c>
    </row>
    <row r="21527" spans="1:3">
      <c r="A21527" s="250">
        <v>49891</v>
      </c>
      <c r="B21527" s="74" t="s">
        <v>11443</v>
      </c>
      <c r="C21527" s="74" t="s">
        <v>433</v>
      </c>
    </row>
    <row r="21528" spans="1:3">
      <c r="A21528" s="250">
        <v>49892</v>
      </c>
      <c r="B21528" s="74" t="s">
        <v>11444</v>
      </c>
      <c r="C21528" s="74" t="s">
        <v>433</v>
      </c>
    </row>
    <row r="21529" spans="1:3">
      <c r="A21529" s="250">
        <v>49893</v>
      </c>
      <c r="B21529" s="74" t="s">
        <v>6961</v>
      </c>
      <c r="C21529" s="74" t="s">
        <v>433</v>
      </c>
    </row>
    <row r="21530" spans="1:3">
      <c r="A21530" s="250">
        <v>49894</v>
      </c>
      <c r="B21530" s="74" t="s">
        <v>1421</v>
      </c>
      <c r="C21530" s="74" t="s">
        <v>433</v>
      </c>
    </row>
    <row r="21531" spans="1:3">
      <c r="A21531" s="250">
        <v>49895</v>
      </c>
      <c r="B21531" s="74" t="s">
        <v>11445</v>
      </c>
      <c r="C21531" s="74" t="s">
        <v>433</v>
      </c>
    </row>
    <row r="21532" spans="1:3">
      <c r="A21532" s="250">
        <v>49896</v>
      </c>
      <c r="B21532" s="74" t="s">
        <v>3748</v>
      </c>
      <c r="C21532" s="74" t="s">
        <v>433</v>
      </c>
    </row>
    <row r="21533" spans="1:3">
      <c r="A21533" s="250">
        <v>49901</v>
      </c>
      <c r="B21533" s="74" t="s">
        <v>11446</v>
      </c>
      <c r="C21533" s="74" t="s">
        <v>433</v>
      </c>
    </row>
    <row r="21534" spans="1:3">
      <c r="A21534" s="250">
        <v>49902</v>
      </c>
      <c r="B21534" s="74" t="s">
        <v>10047</v>
      </c>
      <c r="C21534" s="74" t="s">
        <v>433</v>
      </c>
    </row>
    <row r="21535" spans="1:3">
      <c r="A21535" s="250">
        <v>49903</v>
      </c>
      <c r="B21535" s="74" t="s">
        <v>11447</v>
      </c>
      <c r="C21535" s="74" t="s">
        <v>433</v>
      </c>
    </row>
    <row r="21536" spans="1:3">
      <c r="A21536" s="250">
        <v>49905</v>
      </c>
      <c r="B21536" s="74" t="s">
        <v>11448</v>
      </c>
      <c r="C21536" s="74" t="s">
        <v>433</v>
      </c>
    </row>
    <row r="21537" spans="1:3">
      <c r="A21537" s="250">
        <v>49908</v>
      </c>
      <c r="B21537" s="74" t="s">
        <v>11449</v>
      </c>
      <c r="C21537" s="74" t="s">
        <v>433</v>
      </c>
    </row>
    <row r="21538" spans="1:3">
      <c r="A21538" s="250">
        <v>49910</v>
      </c>
      <c r="B21538" s="74" t="s">
        <v>11450</v>
      </c>
      <c r="C21538" s="74" t="s">
        <v>433</v>
      </c>
    </row>
    <row r="21539" spans="1:3">
      <c r="A21539" s="250">
        <v>49911</v>
      </c>
      <c r="B21539" s="74" t="s">
        <v>4410</v>
      </c>
      <c r="C21539" s="74" t="s">
        <v>433</v>
      </c>
    </row>
    <row r="21540" spans="1:3">
      <c r="A21540" s="250">
        <v>49912</v>
      </c>
      <c r="B21540" s="74" t="s">
        <v>11451</v>
      </c>
      <c r="C21540" s="74" t="s">
        <v>433</v>
      </c>
    </row>
    <row r="21541" spans="1:3">
      <c r="A21541" s="250">
        <v>49913</v>
      </c>
      <c r="B21541" s="74" t="s">
        <v>4196</v>
      </c>
      <c r="C21541" s="74" t="s">
        <v>433</v>
      </c>
    </row>
    <row r="21542" spans="1:3">
      <c r="A21542" s="250">
        <v>49915</v>
      </c>
      <c r="B21542" s="74" t="s">
        <v>11452</v>
      </c>
      <c r="C21542" s="74" t="s">
        <v>433</v>
      </c>
    </row>
    <row r="21543" spans="1:3">
      <c r="A21543" s="250">
        <v>49916</v>
      </c>
      <c r="B21543" s="74" t="s">
        <v>11453</v>
      </c>
      <c r="C21543" s="74" t="s">
        <v>433</v>
      </c>
    </row>
    <row r="21544" spans="1:3">
      <c r="A21544" s="250">
        <v>49917</v>
      </c>
      <c r="B21544" s="74" t="s">
        <v>11454</v>
      </c>
      <c r="C21544" s="74" t="s">
        <v>433</v>
      </c>
    </row>
    <row r="21545" spans="1:3">
      <c r="A21545" s="250">
        <v>49918</v>
      </c>
      <c r="B21545" s="74" t="s">
        <v>11455</v>
      </c>
      <c r="C21545" s="74" t="s">
        <v>433</v>
      </c>
    </row>
    <row r="21546" spans="1:3">
      <c r="A21546" s="250">
        <v>49919</v>
      </c>
      <c r="B21546" s="74" t="s">
        <v>4668</v>
      </c>
      <c r="C21546" s="74" t="s">
        <v>433</v>
      </c>
    </row>
    <row r="21547" spans="1:3">
      <c r="A21547" s="250">
        <v>49920</v>
      </c>
      <c r="B21547" s="74" t="s">
        <v>11456</v>
      </c>
      <c r="C21547" s="74" t="s">
        <v>433</v>
      </c>
    </row>
    <row r="21548" spans="1:3">
      <c r="A21548" s="250">
        <v>49921</v>
      </c>
      <c r="B21548" s="74" t="s">
        <v>11457</v>
      </c>
      <c r="C21548" s="74" t="s">
        <v>433</v>
      </c>
    </row>
    <row r="21549" spans="1:3">
      <c r="A21549" s="250">
        <v>49922</v>
      </c>
      <c r="B21549" s="74" t="s">
        <v>11458</v>
      </c>
      <c r="C21549" s="74" t="s">
        <v>433</v>
      </c>
    </row>
    <row r="21550" spans="1:3">
      <c r="A21550" s="250">
        <v>49925</v>
      </c>
      <c r="B21550" s="74" t="s">
        <v>11459</v>
      </c>
      <c r="C21550" s="74" t="s">
        <v>433</v>
      </c>
    </row>
    <row r="21551" spans="1:3">
      <c r="A21551" s="250">
        <v>49927</v>
      </c>
      <c r="B21551" s="74" t="s">
        <v>11460</v>
      </c>
      <c r="C21551" s="74" t="s">
        <v>433</v>
      </c>
    </row>
    <row r="21552" spans="1:3">
      <c r="A21552" s="250">
        <v>49929</v>
      </c>
      <c r="B21552" s="74" t="s">
        <v>1313</v>
      </c>
      <c r="C21552" s="74" t="s">
        <v>433</v>
      </c>
    </row>
    <row r="21553" spans="1:3">
      <c r="A21553" s="250">
        <v>49930</v>
      </c>
      <c r="B21553" s="74" t="s">
        <v>1235</v>
      </c>
      <c r="C21553" s="74" t="s">
        <v>433</v>
      </c>
    </row>
    <row r="21554" spans="1:3">
      <c r="A21554" s="250">
        <v>49931</v>
      </c>
      <c r="B21554" s="74" t="s">
        <v>3868</v>
      </c>
      <c r="C21554" s="74" t="s">
        <v>433</v>
      </c>
    </row>
    <row r="21555" spans="1:3">
      <c r="A21555" s="250">
        <v>49934</v>
      </c>
      <c r="B21555" s="74" t="s">
        <v>11461</v>
      </c>
      <c r="C21555" s="74" t="s">
        <v>433</v>
      </c>
    </row>
    <row r="21556" spans="1:3">
      <c r="A21556" s="250">
        <v>49935</v>
      </c>
      <c r="B21556" s="74" t="s">
        <v>11462</v>
      </c>
      <c r="C21556" s="74" t="s">
        <v>433</v>
      </c>
    </row>
    <row r="21557" spans="1:3">
      <c r="A21557" s="250">
        <v>49938</v>
      </c>
      <c r="B21557" s="74" t="s">
        <v>11463</v>
      </c>
      <c r="C21557" s="74" t="s">
        <v>433</v>
      </c>
    </row>
    <row r="21558" spans="1:3">
      <c r="A21558" s="250">
        <v>49942</v>
      </c>
      <c r="B21558" s="74" t="s">
        <v>1319</v>
      </c>
      <c r="C21558" s="74" t="s">
        <v>433</v>
      </c>
    </row>
    <row r="21559" spans="1:3">
      <c r="A21559" s="250">
        <v>49945</v>
      </c>
      <c r="B21559" s="74" t="s">
        <v>11464</v>
      </c>
      <c r="C21559" s="74" t="s">
        <v>433</v>
      </c>
    </row>
    <row r="21560" spans="1:3">
      <c r="A21560" s="250">
        <v>49946</v>
      </c>
      <c r="B21560" s="74" t="s">
        <v>4633</v>
      </c>
      <c r="C21560" s="74" t="s">
        <v>433</v>
      </c>
    </row>
    <row r="21561" spans="1:3">
      <c r="A21561" s="250">
        <v>49947</v>
      </c>
      <c r="B21561" s="74" t="s">
        <v>11465</v>
      </c>
      <c r="C21561" s="74" t="s">
        <v>433</v>
      </c>
    </row>
    <row r="21562" spans="1:3">
      <c r="A21562" s="250">
        <v>49948</v>
      </c>
      <c r="B21562" s="74" t="s">
        <v>11466</v>
      </c>
      <c r="C21562" s="74" t="s">
        <v>433</v>
      </c>
    </row>
    <row r="21563" spans="1:3">
      <c r="A21563" s="250">
        <v>49950</v>
      </c>
      <c r="B21563" s="74" t="s">
        <v>3477</v>
      </c>
      <c r="C21563" s="74" t="s">
        <v>433</v>
      </c>
    </row>
    <row r="21564" spans="1:3">
      <c r="A21564" s="250">
        <v>49952</v>
      </c>
      <c r="B21564" s="74" t="s">
        <v>11467</v>
      </c>
      <c r="C21564" s="74" t="s">
        <v>433</v>
      </c>
    </row>
    <row r="21565" spans="1:3">
      <c r="A21565" s="250">
        <v>49953</v>
      </c>
      <c r="B21565" s="74" t="s">
        <v>11468</v>
      </c>
      <c r="C21565" s="74" t="s">
        <v>433</v>
      </c>
    </row>
    <row r="21566" spans="1:3">
      <c r="A21566" s="250">
        <v>49955</v>
      </c>
      <c r="B21566" s="74" t="s">
        <v>11469</v>
      </c>
      <c r="C21566" s="74" t="s">
        <v>433</v>
      </c>
    </row>
    <row r="21567" spans="1:3">
      <c r="A21567" s="250">
        <v>49958</v>
      </c>
      <c r="B21567" s="74" t="s">
        <v>11470</v>
      </c>
      <c r="C21567" s="74" t="s">
        <v>433</v>
      </c>
    </row>
    <row r="21568" spans="1:3">
      <c r="A21568" s="250">
        <v>49959</v>
      </c>
      <c r="B21568" s="74" t="s">
        <v>11471</v>
      </c>
      <c r="C21568" s="74" t="s">
        <v>433</v>
      </c>
    </row>
    <row r="21569" spans="1:3">
      <c r="A21569" s="250">
        <v>49960</v>
      </c>
      <c r="B21569" s="74" t="s">
        <v>961</v>
      </c>
      <c r="C21569" s="74" t="s">
        <v>433</v>
      </c>
    </row>
    <row r="21570" spans="1:3">
      <c r="A21570" s="250">
        <v>49961</v>
      </c>
      <c r="B21570" s="74" t="s">
        <v>11472</v>
      </c>
      <c r="C21570" s="74" t="s">
        <v>433</v>
      </c>
    </row>
    <row r="21571" spans="1:3">
      <c r="A21571" s="250">
        <v>49962</v>
      </c>
      <c r="B21571" s="74" t="s">
        <v>11473</v>
      </c>
      <c r="C21571" s="74" t="s">
        <v>433</v>
      </c>
    </row>
    <row r="21572" spans="1:3">
      <c r="A21572" s="250">
        <v>49963</v>
      </c>
      <c r="B21572" s="74" t="s">
        <v>11474</v>
      </c>
      <c r="C21572" s="74" t="s">
        <v>433</v>
      </c>
    </row>
    <row r="21573" spans="1:3">
      <c r="A21573" s="250">
        <v>49964</v>
      </c>
      <c r="B21573" s="74" t="s">
        <v>9778</v>
      </c>
      <c r="C21573" s="74" t="s">
        <v>433</v>
      </c>
    </row>
    <row r="21574" spans="1:3">
      <c r="A21574" s="250">
        <v>49965</v>
      </c>
      <c r="B21574" s="74" t="s">
        <v>11475</v>
      </c>
      <c r="C21574" s="74" t="s">
        <v>433</v>
      </c>
    </row>
    <row r="21575" spans="1:3">
      <c r="A21575" s="250">
        <v>49967</v>
      </c>
      <c r="B21575" s="74" t="s">
        <v>3655</v>
      </c>
      <c r="C21575" s="74" t="s">
        <v>433</v>
      </c>
    </row>
    <row r="21576" spans="1:3">
      <c r="A21576" s="250">
        <v>49968</v>
      </c>
      <c r="B21576" s="74" t="s">
        <v>828</v>
      </c>
      <c r="C21576" s="74" t="s">
        <v>433</v>
      </c>
    </row>
    <row r="21577" spans="1:3">
      <c r="A21577" s="250">
        <v>49969</v>
      </c>
      <c r="B21577" s="74" t="s">
        <v>11476</v>
      </c>
      <c r="C21577" s="74" t="s">
        <v>433</v>
      </c>
    </row>
    <row r="21578" spans="1:3">
      <c r="A21578" s="250">
        <v>49970</v>
      </c>
      <c r="B21578" s="74" t="s">
        <v>11477</v>
      </c>
      <c r="C21578" s="74" t="s">
        <v>433</v>
      </c>
    </row>
    <row r="21579" spans="1:3">
      <c r="A21579" s="250">
        <v>49971</v>
      </c>
      <c r="B21579" s="74" t="s">
        <v>9169</v>
      </c>
      <c r="C21579" s="74" t="s">
        <v>433</v>
      </c>
    </row>
    <row r="21580" spans="1:3">
      <c r="A21580" s="250">
        <v>50001</v>
      </c>
      <c r="B21580" s="74" t="s">
        <v>11478</v>
      </c>
      <c r="C21580" s="74" t="s">
        <v>426</v>
      </c>
    </row>
    <row r="21581" spans="1:3">
      <c r="A21581" s="250">
        <v>50002</v>
      </c>
      <c r="B21581" s="74" t="s">
        <v>11479</v>
      </c>
      <c r="C21581" s="74" t="s">
        <v>426</v>
      </c>
    </row>
    <row r="21582" spans="1:3">
      <c r="A21582" s="250">
        <v>50003</v>
      </c>
      <c r="B21582" s="74" t="s">
        <v>8143</v>
      </c>
      <c r="C21582" s="74" t="s">
        <v>426</v>
      </c>
    </row>
    <row r="21583" spans="1:3">
      <c r="A21583" s="250">
        <v>50005</v>
      </c>
      <c r="B21583" s="74" t="s">
        <v>1093</v>
      </c>
      <c r="C21583" s="74" t="s">
        <v>426</v>
      </c>
    </row>
    <row r="21584" spans="1:3">
      <c r="A21584" s="250">
        <v>50006</v>
      </c>
      <c r="B21584" s="74" t="s">
        <v>3668</v>
      </c>
      <c r="C21584" s="74" t="s">
        <v>426</v>
      </c>
    </row>
    <row r="21585" spans="1:3">
      <c r="A21585" s="250">
        <v>50007</v>
      </c>
      <c r="B21585" s="74" t="s">
        <v>11480</v>
      </c>
      <c r="C21585" s="74" t="s">
        <v>426</v>
      </c>
    </row>
    <row r="21586" spans="1:3">
      <c r="A21586" s="250">
        <v>50008</v>
      </c>
      <c r="B21586" s="74" t="s">
        <v>11481</v>
      </c>
      <c r="C21586" s="74" t="s">
        <v>426</v>
      </c>
    </row>
    <row r="21587" spans="1:3">
      <c r="A21587" s="250">
        <v>50009</v>
      </c>
      <c r="B21587" s="74" t="s">
        <v>4529</v>
      </c>
      <c r="C21587" s="74" t="s">
        <v>426</v>
      </c>
    </row>
    <row r="21588" spans="1:3">
      <c r="A21588" s="250">
        <v>50010</v>
      </c>
      <c r="B21588" s="74" t="s">
        <v>11482</v>
      </c>
      <c r="C21588" s="74" t="s">
        <v>426</v>
      </c>
    </row>
    <row r="21589" spans="1:3">
      <c r="A21589" s="250">
        <v>50011</v>
      </c>
      <c r="B21589" s="74" t="s">
        <v>11482</v>
      </c>
      <c r="C21589" s="74" t="s">
        <v>426</v>
      </c>
    </row>
    <row r="21590" spans="1:3">
      <c r="A21590" s="250">
        <v>50012</v>
      </c>
      <c r="B21590" s="74" t="s">
        <v>11482</v>
      </c>
      <c r="C21590" s="74" t="s">
        <v>426</v>
      </c>
    </row>
    <row r="21591" spans="1:3">
      <c r="A21591" s="250">
        <v>50013</v>
      </c>
      <c r="B21591" s="74" t="s">
        <v>11482</v>
      </c>
      <c r="C21591" s="74" t="s">
        <v>426</v>
      </c>
    </row>
    <row r="21592" spans="1:3">
      <c r="A21592" s="250">
        <v>50014</v>
      </c>
      <c r="B21592" s="74" t="s">
        <v>11482</v>
      </c>
      <c r="C21592" s="74" t="s">
        <v>426</v>
      </c>
    </row>
    <row r="21593" spans="1:3">
      <c r="A21593" s="250">
        <v>50020</v>
      </c>
      <c r="B21593" s="74" t="s">
        <v>4257</v>
      </c>
      <c r="C21593" s="74" t="s">
        <v>426</v>
      </c>
    </row>
    <row r="21594" spans="1:3">
      <c r="A21594" s="250">
        <v>50021</v>
      </c>
      <c r="B21594" s="74" t="s">
        <v>11483</v>
      </c>
      <c r="C21594" s="74" t="s">
        <v>426</v>
      </c>
    </row>
    <row r="21595" spans="1:3">
      <c r="A21595" s="250">
        <v>50022</v>
      </c>
      <c r="B21595" s="74" t="s">
        <v>4409</v>
      </c>
      <c r="C21595" s="74" t="s">
        <v>426</v>
      </c>
    </row>
    <row r="21596" spans="1:3">
      <c r="A21596" s="250">
        <v>50023</v>
      </c>
      <c r="B21596" s="74" t="s">
        <v>11483</v>
      </c>
      <c r="C21596" s="74" t="s">
        <v>426</v>
      </c>
    </row>
    <row r="21597" spans="1:3">
      <c r="A21597" s="250">
        <v>50025</v>
      </c>
      <c r="B21597" s="74" t="s">
        <v>2437</v>
      </c>
      <c r="C21597" s="74" t="s">
        <v>426</v>
      </c>
    </row>
    <row r="21598" spans="1:3">
      <c r="A21598" s="250">
        <v>50026</v>
      </c>
      <c r="B21598" s="74" t="s">
        <v>11484</v>
      </c>
      <c r="C21598" s="74" t="s">
        <v>426</v>
      </c>
    </row>
    <row r="21599" spans="1:3">
      <c r="A21599" s="250">
        <v>50027</v>
      </c>
      <c r="B21599" s="74" t="s">
        <v>11485</v>
      </c>
      <c r="C21599" s="74" t="s">
        <v>426</v>
      </c>
    </row>
    <row r="21600" spans="1:3">
      <c r="A21600" s="250">
        <v>50028</v>
      </c>
      <c r="B21600" s="74" t="s">
        <v>6978</v>
      </c>
      <c r="C21600" s="74" t="s">
        <v>426</v>
      </c>
    </row>
    <row r="21601" spans="1:3">
      <c r="A21601" s="250">
        <v>50029</v>
      </c>
      <c r="B21601" s="74" t="s">
        <v>7016</v>
      </c>
      <c r="C21601" s="74" t="s">
        <v>426</v>
      </c>
    </row>
    <row r="21602" spans="1:3">
      <c r="A21602" s="250">
        <v>50031</v>
      </c>
      <c r="B21602" s="74" t="s">
        <v>3962</v>
      </c>
      <c r="C21602" s="74" t="s">
        <v>426</v>
      </c>
    </row>
    <row r="21603" spans="1:3">
      <c r="A21603" s="250">
        <v>50032</v>
      </c>
      <c r="B21603" s="74" t="s">
        <v>1351</v>
      </c>
      <c r="C21603" s="74" t="s">
        <v>426</v>
      </c>
    </row>
    <row r="21604" spans="1:3">
      <c r="A21604" s="250">
        <v>50033</v>
      </c>
      <c r="B21604" s="74" t="s">
        <v>11486</v>
      </c>
      <c r="C21604" s="74" t="s">
        <v>426</v>
      </c>
    </row>
    <row r="21605" spans="1:3">
      <c r="A21605" s="250">
        <v>50034</v>
      </c>
      <c r="B21605" s="74" t="s">
        <v>11487</v>
      </c>
      <c r="C21605" s="74" t="s">
        <v>426</v>
      </c>
    </row>
    <row r="21606" spans="1:3">
      <c r="A21606" s="250">
        <v>50035</v>
      </c>
      <c r="B21606" s="74" t="s">
        <v>11488</v>
      </c>
      <c r="C21606" s="74" t="s">
        <v>426</v>
      </c>
    </row>
    <row r="21607" spans="1:3">
      <c r="A21607" s="250">
        <v>50036</v>
      </c>
      <c r="B21607" s="74" t="s">
        <v>7469</v>
      </c>
      <c r="C21607" s="74" t="s">
        <v>426</v>
      </c>
    </row>
    <row r="21608" spans="1:3">
      <c r="A21608" s="250">
        <v>50037</v>
      </c>
      <c r="B21608" s="74" t="s">
        <v>7469</v>
      </c>
      <c r="C21608" s="74" t="s">
        <v>426</v>
      </c>
    </row>
    <row r="21609" spans="1:3">
      <c r="A21609" s="250">
        <v>50038</v>
      </c>
      <c r="B21609" s="74" t="s">
        <v>9358</v>
      </c>
      <c r="C21609" s="74" t="s">
        <v>426</v>
      </c>
    </row>
    <row r="21610" spans="1:3">
      <c r="A21610" s="250">
        <v>50039</v>
      </c>
      <c r="B21610" s="74" t="s">
        <v>11489</v>
      </c>
      <c r="C21610" s="74" t="s">
        <v>426</v>
      </c>
    </row>
    <row r="21611" spans="1:3">
      <c r="A21611" s="250">
        <v>50040</v>
      </c>
      <c r="B21611" s="74" t="s">
        <v>11490</v>
      </c>
      <c r="C21611" s="74" t="s">
        <v>426</v>
      </c>
    </row>
    <row r="21612" spans="1:3">
      <c r="A21612" s="250">
        <v>50041</v>
      </c>
      <c r="B21612" s="74" t="s">
        <v>1097</v>
      </c>
      <c r="C21612" s="74" t="s">
        <v>426</v>
      </c>
    </row>
    <row r="21613" spans="1:3">
      <c r="A21613" s="250">
        <v>50042</v>
      </c>
      <c r="B21613" s="74" t="s">
        <v>11491</v>
      </c>
      <c r="C21613" s="74" t="s">
        <v>426</v>
      </c>
    </row>
    <row r="21614" spans="1:3">
      <c r="A21614" s="250">
        <v>50043</v>
      </c>
      <c r="B21614" s="74" t="s">
        <v>6548</v>
      </c>
      <c r="C21614" s="74" t="s">
        <v>426</v>
      </c>
    </row>
    <row r="21615" spans="1:3">
      <c r="A21615" s="250">
        <v>50044</v>
      </c>
      <c r="B21615" s="74" t="s">
        <v>11492</v>
      </c>
      <c r="C21615" s="74" t="s">
        <v>426</v>
      </c>
    </row>
    <row r="21616" spans="1:3">
      <c r="A21616" s="250">
        <v>50046</v>
      </c>
      <c r="B21616" s="74" t="s">
        <v>914</v>
      </c>
      <c r="C21616" s="74" t="s">
        <v>426</v>
      </c>
    </row>
    <row r="21617" spans="1:3">
      <c r="A21617" s="250">
        <v>50047</v>
      </c>
      <c r="B21617" s="74" t="s">
        <v>786</v>
      </c>
      <c r="C21617" s="74" t="s">
        <v>426</v>
      </c>
    </row>
    <row r="21618" spans="1:3">
      <c r="A21618" s="250">
        <v>50048</v>
      </c>
      <c r="B21618" s="74" t="s">
        <v>11493</v>
      </c>
      <c r="C21618" s="74" t="s">
        <v>426</v>
      </c>
    </row>
    <row r="21619" spans="1:3">
      <c r="A21619" s="250">
        <v>50049</v>
      </c>
      <c r="B21619" s="74" t="s">
        <v>11494</v>
      </c>
      <c r="C21619" s="74" t="s">
        <v>426</v>
      </c>
    </row>
    <row r="21620" spans="1:3">
      <c r="A21620" s="250">
        <v>50050</v>
      </c>
      <c r="B21620" s="74" t="s">
        <v>11495</v>
      </c>
      <c r="C21620" s="74" t="s">
        <v>426</v>
      </c>
    </row>
    <row r="21621" spans="1:3">
      <c r="A21621" s="250">
        <v>50051</v>
      </c>
      <c r="B21621" s="74" t="s">
        <v>3228</v>
      </c>
      <c r="C21621" s="74" t="s">
        <v>426</v>
      </c>
    </row>
    <row r="21622" spans="1:3">
      <c r="A21622" s="250">
        <v>50052</v>
      </c>
      <c r="B21622" s="74" t="s">
        <v>7732</v>
      </c>
      <c r="C21622" s="74" t="s">
        <v>426</v>
      </c>
    </row>
    <row r="21623" spans="1:3">
      <c r="A21623" s="250">
        <v>50054</v>
      </c>
      <c r="B21623" s="74" t="s">
        <v>6980</v>
      </c>
      <c r="C21623" s="74" t="s">
        <v>426</v>
      </c>
    </row>
    <row r="21624" spans="1:3">
      <c r="A21624" s="250">
        <v>50055</v>
      </c>
      <c r="B21624" s="74" t="s">
        <v>3686</v>
      </c>
      <c r="C21624" s="74" t="s">
        <v>426</v>
      </c>
    </row>
    <row r="21625" spans="1:3">
      <c r="A21625" s="250">
        <v>50056</v>
      </c>
      <c r="B21625" s="74" t="s">
        <v>11496</v>
      </c>
      <c r="C21625" s="74" t="s">
        <v>426</v>
      </c>
    </row>
    <row r="21626" spans="1:3">
      <c r="A21626" s="250">
        <v>50057</v>
      </c>
      <c r="B21626" s="74" t="s">
        <v>1985</v>
      </c>
      <c r="C21626" s="74" t="s">
        <v>426</v>
      </c>
    </row>
    <row r="21627" spans="1:3">
      <c r="A21627" s="250">
        <v>50058</v>
      </c>
      <c r="B21627" s="74" t="s">
        <v>11497</v>
      </c>
      <c r="C21627" s="74" t="s">
        <v>426</v>
      </c>
    </row>
    <row r="21628" spans="1:3">
      <c r="A21628" s="250">
        <v>50059</v>
      </c>
      <c r="B21628" s="74" t="s">
        <v>11498</v>
      </c>
      <c r="C21628" s="74" t="s">
        <v>426</v>
      </c>
    </row>
    <row r="21629" spans="1:3">
      <c r="A21629" s="250">
        <v>50060</v>
      </c>
      <c r="B21629" s="74" t="s">
        <v>10023</v>
      </c>
      <c r="C21629" s="74" t="s">
        <v>426</v>
      </c>
    </row>
    <row r="21630" spans="1:3">
      <c r="A21630" s="250">
        <v>50061</v>
      </c>
      <c r="B21630" s="74" t="s">
        <v>7861</v>
      </c>
      <c r="C21630" s="74" t="s">
        <v>426</v>
      </c>
    </row>
    <row r="21631" spans="1:3">
      <c r="A21631" s="250">
        <v>50062</v>
      </c>
      <c r="B21631" s="74" t="s">
        <v>11499</v>
      </c>
      <c r="C21631" s="74" t="s">
        <v>426</v>
      </c>
    </row>
    <row r="21632" spans="1:3">
      <c r="A21632" s="250">
        <v>50063</v>
      </c>
      <c r="B21632" s="74" t="s">
        <v>11500</v>
      </c>
      <c r="C21632" s="74" t="s">
        <v>426</v>
      </c>
    </row>
    <row r="21633" spans="1:3">
      <c r="A21633" s="250">
        <v>50064</v>
      </c>
      <c r="B21633" s="74" t="s">
        <v>7543</v>
      </c>
      <c r="C21633" s="74" t="s">
        <v>426</v>
      </c>
    </row>
    <row r="21634" spans="1:3">
      <c r="A21634" s="250">
        <v>50065</v>
      </c>
      <c r="B21634" s="74" t="s">
        <v>11501</v>
      </c>
      <c r="C21634" s="74" t="s">
        <v>426</v>
      </c>
    </row>
    <row r="21635" spans="1:3">
      <c r="A21635" s="250">
        <v>50066</v>
      </c>
      <c r="B21635" s="74" t="s">
        <v>4101</v>
      </c>
      <c r="C21635" s="74" t="s">
        <v>426</v>
      </c>
    </row>
    <row r="21636" spans="1:3">
      <c r="A21636" s="250">
        <v>50067</v>
      </c>
      <c r="B21636" s="74" t="s">
        <v>7862</v>
      </c>
      <c r="C21636" s="74" t="s">
        <v>426</v>
      </c>
    </row>
    <row r="21637" spans="1:3">
      <c r="A21637" s="250">
        <v>50068</v>
      </c>
      <c r="B21637" s="74" t="s">
        <v>1902</v>
      </c>
      <c r="C21637" s="74" t="s">
        <v>426</v>
      </c>
    </row>
    <row r="21638" spans="1:3">
      <c r="A21638" s="250">
        <v>50069</v>
      </c>
      <c r="B21638" s="74" t="s">
        <v>8171</v>
      </c>
      <c r="C21638" s="74" t="s">
        <v>426</v>
      </c>
    </row>
    <row r="21639" spans="1:3">
      <c r="A21639" s="250">
        <v>50070</v>
      </c>
      <c r="B21639" s="74" t="s">
        <v>1689</v>
      </c>
      <c r="C21639" s="74" t="s">
        <v>426</v>
      </c>
    </row>
    <row r="21640" spans="1:3">
      <c r="A21640" s="250">
        <v>50071</v>
      </c>
      <c r="B21640" s="74" t="s">
        <v>11502</v>
      </c>
      <c r="C21640" s="74" t="s">
        <v>426</v>
      </c>
    </row>
    <row r="21641" spans="1:3">
      <c r="A21641" s="250">
        <v>50072</v>
      </c>
      <c r="B21641" s="74" t="s">
        <v>11503</v>
      </c>
      <c r="C21641" s="74" t="s">
        <v>426</v>
      </c>
    </row>
    <row r="21642" spans="1:3">
      <c r="A21642" s="250">
        <v>50073</v>
      </c>
      <c r="B21642" s="74" t="s">
        <v>10711</v>
      </c>
      <c r="C21642" s="74" t="s">
        <v>426</v>
      </c>
    </row>
    <row r="21643" spans="1:3">
      <c r="A21643" s="250">
        <v>50074</v>
      </c>
      <c r="B21643" s="74" t="s">
        <v>11504</v>
      </c>
      <c r="C21643" s="74" t="s">
        <v>426</v>
      </c>
    </row>
    <row r="21644" spans="1:3">
      <c r="A21644" s="250">
        <v>50075</v>
      </c>
      <c r="B21644" s="74" t="s">
        <v>1563</v>
      </c>
      <c r="C21644" s="74" t="s">
        <v>426</v>
      </c>
    </row>
    <row r="21645" spans="1:3">
      <c r="A21645" s="250">
        <v>50076</v>
      </c>
      <c r="B21645" s="74" t="s">
        <v>11505</v>
      </c>
      <c r="C21645" s="74" t="s">
        <v>426</v>
      </c>
    </row>
    <row r="21646" spans="1:3">
      <c r="A21646" s="250">
        <v>50078</v>
      </c>
      <c r="B21646" s="74" t="s">
        <v>7480</v>
      </c>
      <c r="C21646" s="74" t="s">
        <v>426</v>
      </c>
    </row>
    <row r="21647" spans="1:3">
      <c r="A21647" s="250">
        <v>50099</v>
      </c>
      <c r="B21647" s="74" t="s">
        <v>7469</v>
      </c>
      <c r="C21647" s="74" t="s">
        <v>426</v>
      </c>
    </row>
    <row r="21648" spans="1:3">
      <c r="A21648" s="250">
        <v>50101</v>
      </c>
      <c r="B21648" s="74" t="s">
        <v>11506</v>
      </c>
      <c r="C21648" s="74" t="s">
        <v>426</v>
      </c>
    </row>
    <row r="21649" spans="1:3">
      <c r="A21649" s="250">
        <v>50102</v>
      </c>
      <c r="B21649" s="74" t="s">
        <v>2769</v>
      </c>
      <c r="C21649" s="74" t="s">
        <v>426</v>
      </c>
    </row>
    <row r="21650" spans="1:3">
      <c r="A21650" s="250">
        <v>50103</v>
      </c>
      <c r="B21650" s="74" t="s">
        <v>11507</v>
      </c>
      <c r="C21650" s="74" t="s">
        <v>426</v>
      </c>
    </row>
    <row r="21651" spans="1:3">
      <c r="A21651" s="250">
        <v>50104</v>
      </c>
      <c r="B21651" s="74" t="s">
        <v>5239</v>
      </c>
      <c r="C21651" s="74" t="s">
        <v>426</v>
      </c>
    </row>
    <row r="21652" spans="1:3">
      <c r="A21652" s="250">
        <v>50105</v>
      </c>
      <c r="B21652" s="74" t="s">
        <v>5122</v>
      </c>
      <c r="C21652" s="74" t="s">
        <v>426</v>
      </c>
    </row>
    <row r="21653" spans="1:3">
      <c r="A21653" s="250">
        <v>50106</v>
      </c>
      <c r="B21653" s="74" t="s">
        <v>1931</v>
      </c>
      <c r="C21653" s="74" t="s">
        <v>426</v>
      </c>
    </row>
    <row r="21654" spans="1:3">
      <c r="A21654" s="250">
        <v>50107</v>
      </c>
      <c r="B21654" s="74" t="s">
        <v>9181</v>
      </c>
      <c r="C21654" s="74" t="s">
        <v>426</v>
      </c>
    </row>
    <row r="21655" spans="1:3">
      <c r="A21655" s="250">
        <v>50108</v>
      </c>
      <c r="B21655" s="74" t="s">
        <v>10302</v>
      </c>
      <c r="C21655" s="74" t="s">
        <v>426</v>
      </c>
    </row>
    <row r="21656" spans="1:3">
      <c r="A21656" s="250">
        <v>50109</v>
      </c>
      <c r="B21656" s="74" t="s">
        <v>10713</v>
      </c>
      <c r="C21656" s="74" t="s">
        <v>426</v>
      </c>
    </row>
    <row r="21657" spans="1:3">
      <c r="A21657" s="250">
        <v>50110</v>
      </c>
      <c r="B21657" s="74" t="s">
        <v>1385</v>
      </c>
      <c r="C21657" s="74" t="s">
        <v>426</v>
      </c>
    </row>
    <row r="21658" spans="1:3">
      <c r="A21658" s="250">
        <v>50111</v>
      </c>
      <c r="B21658" s="74" t="s">
        <v>11508</v>
      </c>
      <c r="C21658" s="74" t="s">
        <v>426</v>
      </c>
    </row>
    <row r="21659" spans="1:3">
      <c r="A21659" s="250">
        <v>50112</v>
      </c>
      <c r="B21659" s="74" t="s">
        <v>11509</v>
      </c>
      <c r="C21659" s="74" t="s">
        <v>426</v>
      </c>
    </row>
    <row r="21660" spans="1:3">
      <c r="A21660" s="250">
        <v>50115</v>
      </c>
      <c r="B21660" s="74" t="s">
        <v>11510</v>
      </c>
      <c r="C21660" s="74" t="s">
        <v>426</v>
      </c>
    </row>
    <row r="21661" spans="1:3">
      <c r="A21661" s="250">
        <v>50116</v>
      </c>
      <c r="B21661" s="74" t="s">
        <v>844</v>
      </c>
      <c r="C21661" s="74" t="s">
        <v>426</v>
      </c>
    </row>
    <row r="21662" spans="1:3">
      <c r="A21662" s="250">
        <v>50117</v>
      </c>
      <c r="B21662" s="74" t="s">
        <v>3778</v>
      </c>
      <c r="C21662" s="74" t="s">
        <v>426</v>
      </c>
    </row>
    <row r="21663" spans="1:3">
      <c r="A21663" s="250">
        <v>50118</v>
      </c>
      <c r="B21663" s="74" t="s">
        <v>1737</v>
      </c>
      <c r="C21663" s="74" t="s">
        <v>426</v>
      </c>
    </row>
    <row r="21664" spans="1:3">
      <c r="A21664" s="250">
        <v>50119</v>
      </c>
      <c r="B21664" s="74" t="s">
        <v>11511</v>
      </c>
      <c r="C21664" s="74" t="s">
        <v>426</v>
      </c>
    </row>
    <row r="21665" spans="1:3">
      <c r="A21665" s="250">
        <v>50120</v>
      </c>
      <c r="B21665" s="74" t="s">
        <v>812</v>
      </c>
      <c r="C21665" s="74" t="s">
        <v>426</v>
      </c>
    </row>
    <row r="21666" spans="1:3">
      <c r="A21666" s="250">
        <v>50122</v>
      </c>
      <c r="B21666" s="74" t="s">
        <v>10364</v>
      </c>
      <c r="C21666" s="74" t="s">
        <v>426</v>
      </c>
    </row>
    <row r="21667" spans="1:3">
      <c r="A21667" s="250">
        <v>50123</v>
      </c>
      <c r="B21667" s="74" t="s">
        <v>11512</v>
      </c>
      <c r="C21667" s="74" t="s">
        <v>426</v>
      </c>
    </row>
    <row r="21668" spans="1:3">
      <c r="A21668" s="250">
        <v>50124</v>
      </c>
      <c r="B21668" s="74" t="s">
        <v>11513</v>
      </c>
      <c r="C21668" s="74" t="s">
        <v>426</v>
      </c>
    </row>
    <row r="21669" spans="1:3">
      <c r="A21669" s="250">
        <v>50125</v>
      </c>
      <c r="B21669" s="74" t="s">
        <v>3988</v>
      </c>
      <c r="C21669" s="74" t="s">
        <v>426</v>
      </c>
    </row>
    <row r="21670" spans="1:3">
      <c r="A21670" s="250">
        <v>50126</v>
      </c>
      <c r="B21670" s="74" t="s">
        <v>11514</v>
      </c>
      <c r="C21670" s="74" t="s">
        <v>426</v>
      </c>
    </row>
    <row r="21671" spans="1:3">
      <c r="A21671" s="250">
        <v>50127</v>
      </c>
      <c r="B21671" s="74" t="s">
        <v>11515</v>
      </c>
      <c r="C21671" s="74" t="s">
        <v>426</v>
      </c>
    </row>
    <row r="21672" spans="1:3">
      <c r="A21672" s="250">
        <v>50128</v>
      </c>
      <c r="B21672" s="74" t="s">
        <v>1783</v>
      </c>
      <c r="C21672" s="74" t="s">
        <v>426</v>
      </c>
    </row>
    <row r="21673" spans="1:3">
      <c r="A21673" s="250">
        <v>50129</v>
      </c>
      <c r="B21673" s="74" t="s">
        <v>740</v>
      </c>
      <c r="C21673" s="74" t="s">
        <v>426</v>
      </c>
    </row>
    <row r="21674" spans="1:3">
      <c r="A21674" s="250">
        <v>50130</v>
      </c>
      <c r="B21674" s="74" t="s">
        <v>8079</v>
      </c>
      <c r="C21674" s="74" t="s">
        <v>426</v>
      </c>
    </row>
    <row r="21675" spans="1:3">
      <c r="A21675" s="250">
        <v>50131</v>
      </c>
      <c r="B21675" s="74" t="s">
        <v>1150</v>
      </c>
      <c r="C21675" s="74" t="s">
        <v>426</v>
      </c>
    </row>
    <row r="21676" spans="1:3">
      <c r="A21676" s="250">
        <v>50132</v>
      </c>
      <c r="B21676" s="74" t="s">
        <v>11516</v>
      </c>
      <c r="C21676" s="74" t="s">
        <v>426</v>
      </c>
    </row>
    <row r="21677" spans="1:3">
      <c r="A21677" s="250">
        <v>50133</v>
      </c>
      <c r="B21677" s="74" t="s">
        <v>11517</v>
      </c>
      <c r="C21677" s="74" t="s">
        <v>426</v>
      </c>
    </row>
    <row r="21678" spans="1:3">
      <c r="A21678" s="250">
        <v>50134</v>
      </c>
      <c r="B21678" s="74" t="s">
        <v>11518</v>
      </c>
      <c r="C21678" s="74" t="s">
        <v>426</v>
      </c>
    </row>
    <row r="21679" spans="1:3">
      <c r="A21679" s="250">
        <v>50135</v>
      </c>
      <c r="B21679" s="74" t="s">
        <v>11519</v>
      </c>
      <c r="C21679" s="74" t="s">
        <v>426</v>
      </c>
    </row>
    <row r="21680" spans="1:3">
      <c r="A21680" s="250">
        <v>50136</v>
      </c>
      <c r="B21680" s="74" t="s">
        <v>6016</v>
      </c>
      <c r="C21680" s="74" t="s">
        <v>426</v>
      </c>
    </row>
    <row r="21681" spans="1:3">
      <c r="A21681" s="250">
        <v>50137</v>
      </c>
      <c r="B21681" s="74" t="s">
        <v>11520</v>
      </c>
      <c r="C21681" s="74" t="s">
        <v>426</v>
      </c>
    </row>
    <row r="21682" spans="1:3">
      <c r="A21682" s="250">
        <v>50138</v>
      </c>
      <c r="B21682" s="74" t="s">
        <v>4677</v>
      </c>
      <c r="C21682" s="74" t="s">
        <v>426</v>
      </c>
    </row>
    <row r="21683" spans="1:3">
      <c r="A21683" s="250">
        <v>50139</v>
      </c>
      <c r="B21683" s="74" t="s">
        <v>3374</v>
      </c>
      <c r="C21683" s="74" t="s">
        <v>426</v>
      </c>
    </row>
    <row r="21684" spans="1:3">
      <c r="A21684" s="250">
        <v>50140</v>
      </c>
      <c r="B21684" s="74" t="s">
        <v>11521</v>
      </c>
      <c r="C21684" s="74" t="s">
        <v>426</v>
      </c>
    </row>
    <row r="21685" spans="1:3">
      <c r="A21685" s="250">
        <v>50141</v>
      </c>
      <c r="B21685" s="74" t="s">
        <v>2882</v>
      </c>
      <c r="C21685" s="74" t="s">
        <v>426</v>
      </c>
    </row>
    <row r="21686" spans="1:3">
      <c r="A21686" s="250">
        <v>50142</v>
      </c>
      <c r="B21686" s="74" t="s">
        <v>11522</v>
      </c>
      <c r="C21686" s="74" t="s">
        <v>426</v>
      </c>
    </row>
    <row r="21687" spans="1:3">
      <c r="A21687" s="250">
        <v>50143</v>
      </c>
      <c r="B21687" s="74" t="s">
        <v>8732</v>
      </c>
      <c r="C21687" s="74" t="s">
        <v>426</v>
      </c>
    </row>
    <row r="21688" spans="1:3">
      <c r="A21688" s="250">
        <v>50144</v>
      </c>
      <c r="B21688" s="74" t="s">
        <v>3872</v>
      </c>
      <c r="C21688" s="74" t="s">
        <v>426</v>
      </c>
    </row>
    <row r="21689" spans="1:3">
      <c r="A21689" s="250">
        <v>50145</v>
      </c>
      <c r="B21689" s="74" t="s">
        <v>10198</v>
      </c>
      <c r="C21689" s="74" t="s">
        <v>426</v>
      </c>
    </row>
    <row r="21690" spans="1:3">
      <c r="A21690" s="250">
        <v>50146</v>
      </c>
      <c r="B21690" s="74" t="s">
        <v>2134</v>
      </c>
      <c r="C21690" s="74" t="s">
        <v>426</v>
      </c>
    </row>
    <row r="21691" spans="1:3">
      <c r="A21691" s="250">
        <v>50147</v>
      </c>
      <c r="B21691" s="74" t="s">
        <v>8832</v>
      </c>
      <c r="C21691" s="74" t="s">
        <v>426</v>
      </c>
    </row>
    <row r="21692" spans="1:3">
      <c r="A21692" s="250">
        <v>50148</v>
      </c>
      <c r="B21692" s="74" t="s">
        <v>11523</v>
      </c>
      <c r="C21692" s="74" t="s">
        <v>426</v>
      </c>
    </row>
    <row r="21693" spans="1:3">
      <c r="A21693" s="250">
        <v>50149</v>
      </c>
      <c r="B21693" s="74" t="s">
        <v>11524</v>
      </c>
      <c r="C21693" s="74" t="s">
        <v>426</v>
      </c>
    </row>
    <row r="21694" spans="1:3">
      <c r="A21694" s="250">
        <v>50150</v>
      </c>
      <c r="B21694" s="74" t="s">
        <v>11525</v>
      </c>
      <c r="C21694" s="74" t="s">
        <v>426</v>
      </c>
    </row>
    <row r="21695" spans="1:3">
      <c r="A21695" s="250">
        <v>50151</v>
      </c>
      <c r="B21695" s="74" t="s">
        <v>9968</v>
      </c>
      <c r="C21695" s="74" t="s">
        <v>426</v>
      </c>
    </row>
    <row r="21696" spans="1:3">
      <c r="A21696" s="250">
        <v>50152</v>
      </c>
      <c r="B21696" s="74" t="s">
        <v>11320</v>
      </c>
      <c r="C21696" s="74" t="s">
        <v>426</v>
      </c>
    </row>
    <row r="21697" spans="1:3">
      <c r="A21697" s="250">
        <v>50153</v>
      </c>
      <c r="B21697" s="74" t="s">
        <v>9254</v>
      </c>
      <c r="C21697" s="74" t="s">
        <v>426</v>
      </c>
    </row>
    <row r="21698" spans="1:3">
      <c r="A21698" s="250">
        <v>50154</v>
      </c>
      <c r="B21698" s="74" t="s">
        <v>11526</v>
      </c>
      <c r="C21698" s="74" t="s">
        <v>426</v>
      </c>
    </row>
    <row r="21699" spans="1:3">
      <c r="A21699" s="250">
        <v>50155</v>
      </c>
      <c r="B21699" s="74" t="s">
        <v>10578</v>
      </c>
      <c r="C21699" s="74" t="s">
        <v>426</v>
      </c>
    </row>
    <row r="21700" spans="1:3">
      <c r="A21700" s="250">
        <v>50156</v>
      </c>
      <c r="B21700" s="74" t="s">
        <v>3563</v>
      </c>
      <c r="C21700" s="74" t="s">
        <v>426</v>
      </c>
    </row>
    <row r="21701" spans="1:3">
      <c r="A21701" s="250">
        <v>50157</v>
      </c>
      <c r="B21701" s="74" t="s">
        <v>11527</v>
      </c>
      <c r="C21701" s="74" t="s">
        <v>426</v>
      </c>
    </row>
    <row r="21702" spans="1:3">
      <c r="A21702" s="250">
        <v>50158</v>
      </c>
      <c r="B21702" s="74" t="s">
        <v>11528</v>
      </c>
      <c r="C21702" s="74" t="s">
        <v>426</v>
      </c>
    </row>
    <row r="21703" spans="1:3">
      <c r="A21703" s="250">
        <v>50160</v>
      </c>
      <c r="B21703" s="74" t="s">
        <v>11529</v>
      </c>
      <c r="C21703" s="74" t="s">
        <v>426</v>
      </c>
    </row>
    <row r="21704" spans="1:3">
      <c r="A21704" s="250">
        <v>50161</v>
      </c>
      <c r="B21704" s="74" t="s">
        <v>10665</v>
      </c>
      <c r="C21704" s="74" t="s">
        <v>426</v>
      </c>
    </row>
    <row r="21705" spans="1:3">
      <c r="A21705" s="250">
        <v>50162</v>
      </c>
      <c r="B21705" s="74" t="s">
        <v>8393</v>
      </c>
      <c r="C21705" s="74" t="s">
        <v>426</v>
      </c>
    </row>
    <row r="21706" spans="1:3">
      <c r="A21706" s="250">
        <v>50163</v>
      </c>
      <c r="B21706" s="74" t="s">
        <v>11499</v>
      </c>
      <c r="C21706" s="74" t="s">
        <v>426</v>
      </c>
    </row>
    <row r="21707" spans="1:3">
      <c r="A21707" s="250">
        <v>50164</v>
      </c>
      <c r="B21707" s="74" t="s">
        <v>8032</v>
      </c>
      <c r="C21707" s="74" t="s">
        <v>426</v>
      </c>
    </row>
    <row r="21708" spans="1:3">
      <c r="A21708" s="250">
        <v>50165</v>
      </c>
      <c r="B21708" s="74" t="s">
        <v>3129</v>
      </c>
      <c r="C21708" s="74" t="s">
        <v>426</v>
      </c>
    </row>
    <row r="21709" spans="1:3">
      <c r="A21709" s="250">
        <v>50166</v>
      </c>
      <c r="B21709" s="74" t="s">
        <v>1516</v>
      </c>
      <c r="C21709" s="74" t="s">
        <v>426</v>
      </c>
    </row>
    <row r="21710" spans="1:3">
      <c r="A21710" s="250">
        <v>50167</v>
      </c>
      <c r="B21710" s="74" t="s">
        <v>11530</v>
      </c>
      <c r="C21710" s="74" t="s">
        <v>426</v>
      </c>
    </row>
    <row r="21711" spans="1:3">
      <c r="A21711" s="250">
        <v>50168</v>
      </c>
      <c r="B21711" s="74" t="s">
        <v>10094</v>
      </c>
      <c r="C21711" s="74" t="s">
        <v>426</v>
      </c>
    </row>
    <row r="21712" spans="1:3">
      <c r="A21712" s="250">
        <v>50169</v>
      </c>
      <c r="B21712" s="74" t="s">
        <v>9020</v>
      </c>
      <c r="C21712" s="74" t="s">
        <v>426</v>
      </c>
    </row>
    <row r="21713" spans="1:3">
      <c r="A21713" s="250">
        <v>50170</v>
      </c>
      <c r="B21713" s="74" t="s">
        <v>1284</v>
      </c>
      <c r="C21713" s="74" t="s">
        <v>426</v>
      </c>
    </row>
    <row r="21714" spans="1:3">
      <c r="A21714" s="250">
        <v>50171</v>
      </c>
      <c r="B21714" s="74" t="s">
        <v>3391</v>
      </c>
      <c r="C21714" s="74" t="s">
        <v>426</v>
      </c>
    </row>
    <row r="21715" spans="1:3">
      <c r="A21715" s="250">
        <v>50173</v>
      </c>
      <c r="B21715" s="74" t="s">
        <v>11531</v>
      </c>
      <c r="C21715" s="74" t="s">
        <v>426</v>
      </c>
    </row>
    <row r="21716" spans="1:3">
      <c r="A21716" s="250">
        <v>50174</v>
      </c>
      <c r="B21716" s="74" t="s">
        <v>9947</v>
      </c>
      <c r="C21716" s="74" t="s">
        <v>426</v>
      </c>
    </row>
    <row r="21717" spans="1:3">
      <c r="A21717" s="250">
        <v>50201</v>
      </c>
      <c r="B21717" s="74" t="s">
        <v>10437</v>
      </c>
      <c r="C21717" s="74" t="s">
        <v>426</v>
      </c>
    </row>
    <row r="21718" spans="1:3">
      <c r="A21718" s="250">
        <v>50206</v>
      </c>
      <c r="B21718" s="74" t="s">
        <v>2356</v>
      </c>
      <c r="C21718" s="74" t="s">
        <v>426</v>
      </c>
    </row>
    <row r="21719" spans="1:3">
      <c r="A21719" s="250">
        <v>50207</v>
      </c>
      <c r="B21719" s="74" t="s">
        <v>1704</v>
      </c>
      <c r="C21719" s="74" t="s">
        <v>426</v>
      </c>
    </row>
    <row r="21720" spans="1:3">
      <c r="A21720" s="250">
        <v>50208</v>
      </c>
      <c r="B21720" s="74" t="s">
        <v>973</v>
      </c>
      <c r="C21720" s="74" t="s">
        <v>426</v>
      </c>
    </row>
    <row r="21721" spans="1:3">
      <c r="A21721" s="250">
        <v>50210</v>
      </c>
      <c r="B21721" s="74" t="s">
        <v>11532</v>
      </c>
      <c r="C21721" s="74" t="s">
        <v>426</v>
      </c>
    </row>
    <row r="21722" spans="1:3">
      <c r="A21722" s="250">
        <v>50211</v>
      </c>
      <c r="B21722" s="74" t="s">
        <v>2104</v>
      </c>
      <c r="C21722" s="74" t="s">
        <v>426</v>
      </c>
    </row>
    <row r="21723" spans="1:3">
      <c r="A21723" s="250">
        <v>50212</v>
      </c>
      <c r="B21723" s="74" t="s">
        <v>11533</v>
      </c>
      <c r="C21723" s="74" t="s">
        <v>426</v>
      </c>
    </row>
    <row r="21724" spans="1:3">
      <c r="A21724" s="250">
        <v>50213</v>
      </c>
      <c r="B21724" s="74" t="s">
        <v>4682</v>
      </c>
      <c r="C21724" s="74" t="s">
        <v>426</v>
      </c>
    </row>
    <row r="21725" spans="1:3">
      <c r="A21725" s="250">
        <v>50214</v>
      </c>
      <c r="B21725" s="74" t="s">
        <v>11534</v>
      </c>
      <c r="C21725" s="74" t="s">
        <v>426</v>
      </c>
    </row>
    <row r="21726" spans="1:3">
      <c r="A21726" s="250">
        <v>50216</v>
      </c>
      <c r="B21726" s="74" t="s">
        <v>11535</v>
      </c>
      <c r="C21726" s="74" t="s">
        <v>426</v>
      </c>
    </row>
    <row r="21727" spans="1:3">
      <c r="A21727" s="250">
        <v>50217</v>
      </c>
      <c r="B21727" s="74" t="s">
        <v>11536</v>
      </c>
      <c r="C21727" s="74" t="s">
        <v>426</v>
      </c>
    </row>
    <row r="21728" spans="1:3">
      <c r="A21728" s="250">
        <v>50218</v>
      </c>
      <c r="B21728" s="74" t="s">
        <v>3134</v>
      </c>
      <c r="C21728" s="74" t="s">
        <v>426</v>
      </c>
    </row>
    <row r="21729" spans="1:3">
      <c r="A21729" s="250">
        <v>50219</v>
      </c>
      <c r="B21729" s="74" t="s">
        <v>11537</v>
      </c>
      <c r="C21729" s="74" t="s">
        <v>426</v>
      </c>
    </row>
    <row r="21730" spans="1:3">
      <c r="A21730" s="250">
        <v>50220</v>
      </c>
      <c r="B21730" s="74" t="s">
        <v>1602</v>
      </c>
      <c r="C21730" s="74" t="s">
        <v>426</v>
      </c>
    </row>
    <row r="21731" spans="1:3">
      <c r="A21731" s="250">
        <v>50222</v>
      </c>
      <c r="B21731" s="74" t="s">
        <v>1470</v>
      </c>
      <c r="C21731" s="74" t="s">
        <v>426</v>
      </c>
    </row>
    <row r="21732" spans="1:3">
      <c r="A21732" s="250">
        <v>50223</v>
      </c>
      <c r="B21732" s="74" t="s">
        <v>11538</v>
      </c>
      <c r="C21732" s="74" t="s">
        <v>426</v>
      </c>
    </row>
    <row r="21733" spans="1:3">
      <c r="A21733" s="250">
        <v>50225</v>
      </c>
      <c r="B21733" s="74" t="s">
        <v>2459</v>
      </c>
      <c r="C21733" s="74" t="s">
        <v>426</v>
      </c>
    </row>
    <row r="21734" spans="1:3">
      <c r="A21734" s="250">
        <v>50226</v>
      </c>
      <c r="B21734" s="74" t="s">
        <v>8513</v>
      </c>
      <c r="C21734" s="74" t="s">
        <v>426</v>
      </c>
    </row>
    <row r="21735" spans="1:3">
      <c r="A21735" s="250">
        <v>50227</v>
      </c>
      <c r="B21735" s="74" t="s">
        <v>11539</v>
      </c>
      <c r="C21735" s="74" t="s">
        <v>426</v>
      </c>
    </row>
    <row r="21736" spans="1:3">
      <c r="A21736" s="250">
        <v>50228</v>
      </c>
      <c r="B21736" s="74" t="s">
        <v>11540</v>
      </c>
      <c r="C21736" s="74" t="s">
        <v>426</v>
      </c>
    </row>
    <row r="21737" spans="1:3">
      <c r="A21737" s="250">
        <v>50229</v>
      </c>
      <c r="B21737" s="74" t="s">
        <v>11541</v>
      </c>
      <c r="C21737" s="74" t="s">
        <v>426</v>
      </c>
    </row>
    <row r="21738" spans="1:3">
      <c r="A21738" s="250">
        <v>50230</v>
      </c>
      <c r="B21738" s="74" t="s">
        <v>11542</v>
      </c>
      <c r="C21738" s="74" t="s">
        <v>426</v>
      </c>
    </row>
    <row r="21739" spans="1:3">
      <c r="A21739" s="250">
        <v>50231</v>
      </c>
      <c r="B21739" s="74" t="s">
        <v>11543</v>
      </c>
      <c r="C21739" s="74" t="s">
        <v>426</v>
      </c>
    </row>
    <row r="21740" spans="1:3">
      <c r="A21740" s="250">
        <v>50232</v>
      </c>
      <c r="B21740" s="74" t="s">
        <v>11544</v>
      </c>
      <c r="C21740" s="74" t="s">
        <v>426</v>
      </c>
    </row>
    <row r="21741" spans="1:3">
      <c r="A21741" s="250">
        <v>50233</v>
      </c>
      <c r="B21741" s="74" t="s">
        <v>3489</v>
      </c>
      <c r="C21741" s="74" t="s">
        <v>426</v>
      </c>
    </row>
    <row r="21742" spans="1:3">
      <c r="A21742" s="250">
        <v>50234</v>
      </c>
      <c r="B21742" s="74" t="s">
        <v>11107</v>
      </c>
      <c r="C21742" s="74" t="s">
        <v>426</v>
      </c>
    </row>
    <row r="21743" spans="1:3">
      <c r="A21743" s="250">
        <v>50235</v>
      </c>
      <c r="B21743" s="74" t="s">
        <v>11545</v>
      </c>
      <c r="C21743" s="74" t="s">
        <v>426</v>
      </c>
    </row>
    <row r="21744" spans="1:3">
      <c r="A21744" s="250">
        <v>50236</v>
      </c>
      <c r="B21744" s="74" t="s">
        <v>11546</v>
      </c>
      <c r="C21744" s="74" t="s">
        <v>426</v>
      </c>
    </row>
    <row r="21745" spans="1:3">
      <c r="A21745" s="250">
        <v>50237</v>
      </c>
      <c r="B21745" s="74" t="s">
        <v>11547</v>
      </c>
      <c r="C21745" s="74" t="s">
        <v>426</v>
      </c>
    </row>
    <row r="21746" spans="1:3">
      <c r="A21746" s="250">
        <v>50238</v>
      </c>
      <c r="B21746" s="74" t="s">
        <v>612</v>
      </c>
      <c r="C21746" s="74" t="s">
        <v>426</v>
      </c>
    </row>
    <row r="21747" spans="1:3">
      <c r="A21747" s="250">
        <v>50239</v>
      </c>
      <c r="B21747" s="74" t="s">
        <v>10898</v>
      </c>
      <c r="C21747" s="74" t="s">
        <v>426</v>
      </c>
    </row>
    <row r="21748" spans="1:3">
      <c r="A21748" s="250">
        <v>50240</v>
      </c>
      <c r="B21748" s="74" t="s">
        <v>6340</v>
      </c>
      <c r="C21748" s="74" t="s">
        <v>426</v>
      </c>
    </row>
    <row r="21749" spans="1:3">
      <c r="A21749" s="250">
        <v>50241</v>
      </c>
      <c r="B21749" s="74" t="s">
        <v>4333</v>
      </c>
      <c r="C21749" s="74" t="s">
        <v>426</v>
      </c>
    </row>
    <row r="21750" spans="1:3">
      <c r="A21750" s="250">
        <v>50242</v>
      </c>
      <c r="B21750" s="74" t="s">
        <v>11548</v>
      </c>
      <c r="C21750" s="74" t="s">
        <v>426</v>
      </c>
    </row>
    <row r="21751" spans="1:3">
      <c r="A21751" s="250">
        <v>50243</v>
      </c>
      <c r="B21751" s="74" t="s">
        <v>11549</v>
      </c>
      <c r="C21751" s="74" t="s">
        <v>426</v>
      </c>
    </row>
    <row r="21752" spans="1:3">
      <c r="A21752" s="250">
        <v>50244</v>
      </c>
      <c r="B21752" s="74" t="s">
        <v>7790</v>
      </c>
      <c r="C21752" s="74" t="s">
        <v>426</v>
      </c>
    </row>
    <row r="21753" spans="1:3">
      <c r="A21753" s="250">
        <v>50246</v>
      </c>
      <c r="B21753" s="74" t="s">
        <v>2328</v>
      </c>
      <c r="C21753" s="74" t="s">
        <v>426</v>
      </c>
    </row>
    <row r="21754" spans="1:3">
      <c r="A21754" s="250">
        <v>50247</v>
      </c>
      <c r="B21754" s="74" t="s">
        <v>11550</v>
      </c>
      <c r="C21754" s="74" t="s">
        <v>426</v>
      </c>
    </row>
    <row r="21755" spans="1:3">
      <c r="A21755" s="250">
        <v>50248</v>
      </c>
      <c r="B21755" s="74" t="s">
        <v>11551</v>
      </c>
      <c r="C21755" s="74" t="s">
        <v>426</v>
      </c>
    </row>
    <row r="21756" spans="1:3">
      <c r="A21756" s="250">
        <v>50249</v>
      </c>
      <c r="B21756" s="74" t="s">
        <v>2072</v>
      </c>
      <c r="C21756" s="74" t="s">
        <v>426</v>
      </c>
    </row>
    <row r="21757" spans="1:3">
      <c r="A21757" s="250">
        <v>50250</v>
      </c>
      <c r="B21757" s="74" t="s">
        <v>6305</v>
      </c>
      <c r="C21757" s="74" t="s">
        <v>426</v>
      </c>
    </row>
    <row r="21758" spans="1:3">
      <c r="A21758" s="250">
        <v>50251</v>
      </c>
      <c r="B21758" s="74" t="s">
        <v>11552</v>
      </c>
      <c r="C21758" s="74" t="s">
        <v>426</v>
      </c>
    </row>
    <row r="21759" spans="1:3">
      <c r="A21759" s="250">
        <v>50252</v>
      </c>
      <c r="B21759" s="74" t="s">
        <v>11553</v>
      </c>
      <c r="C21759" s="74" t="s">
        <v>426</v>
      </c>
    </row>
    <row r="21760" spans="1:3">
      <c r="A21760" s="250">
        <v>50254</v>
      </c>
      <c r="B21760" s="74" t="s">
        <v>10700</v>
      </c>
      <c r="C21760" s="74" t="s">
        <v>426</v>
      </c>
    </row>
    <row r="21761" spans="1:3">
      <c r="A21761" s="250">
        <v>50255</v>
      </c>
      <c r="B21761" s="74" t="s">
        <v>5925</v>
      </c>
      <c r="C21761" s="74" t="s">
        <v>426</v>
      </c>
    </row>
    <row r="21762" spans="1:3">
      <c r="A21762" s="250">
        <v>50256</v>
      </c>
      <c r="B21762" s="74" t="s">
        <v>11554</v>
      </c>
      <c r="C21762" s="74" t="s">
        <v>426</v>
      </c>
    </row>
    <row r="21763" spans="1:3">
      <c r="A21763" s="250">
        <v>50257</v>
      </c>
      <c r="B21763" s="74" t="s">
        <v>1051</v>
      </c>
      <c r="C21763" s="74" t="s">
        <v>426</v>
      </c>
    </row>
    <row r="21764" spans="1:3">
      <c r="A21764" s="250">
        <v>50258</v>
      </c>
      <c r="B21764" s="74" t="s">
        <v>1346</v>
      </c>
      <c r="C21764" s="74" t="s">
        <v>426</v>
      </c>
    </row>
    <row r="21765" spans="1:3">
      <c r="A21765" s="250">
        <v>50259</v>
      </c>
      <c r="B21765" s="74" t="s">
        <v>4595</v>
      </c>
      <c r="C21765" s="74" t="s">
        <v>426</v>
      </c>
    </row>
    <row r="21766" spans="1:3">
      <c r="A21766" s="250">
        <v>50261</v>
      </c>
      <c r="B21766" s="74" t="s">
        <v>11555</v>
      </c>
      <c r="C21766" s="74" t="s">
        <v>426</v>
      </c>
    </row>
    <row r="21767" spans="1:3">
      <c r="A21767" s="250">
        <v>50262</v>
      </c>
      <c r="B21767" s="74" t="s">
        <v>10631</v>
      </c>
      <c r="C21767" s="74" t="s">
        <v>426</v>
      </c>
    </row>
    <row r="21768" spans="1:3">
      <c r="A21768" s="250">
        <v>50263</v>
      </c>
      <c r="B21768" s="74" t="s">
        <v>11556</v>
      </c>
      <c r="C21768" s="74" t="s">
        <v>426</v>
      </c>
    </row>
    <row r="21769" spans="1:3">
      <c r="A21769" s="250">
        <v>50264</v>
      </c>
      <c r="B21769" s="74" t="s">
        <v>7232</v>
      </c>
      <c r="C21769" s="74" t="s">
        <v>426</v>
      </c>
    </row>
    <row r="21770" spans="1:3">
      <c r="A21770" s="250">
        <v>50265</v>
      </c>
      <c r="B21770" s="74" t="s">
        <v>11557</v>
      </c>
      <c r="C21770" s="74" t="s">
        <v>426</v>
      </c>
    </row>
    <row r="21771" spans="1:3">
      <c r="A21771" s="250">
        <v>50266</v>
      </c>
      <c r="B21771" s="74" t="s">
        <v>11557</v>
      </c>
      <c r="C21771" s="74" t="s">
        <v>426</v>
      </c>
    </row>
    <row r="21772" spans="1:3">
      <c r="A21772" s="250">
        <v>50268</v>
      </c>
      <c r="B21772" s="74" t="s">
        <v>11558</v>
      </c>
      <c r="C21772" s="74" t="s">
        <v>426</v>
      </c>
    </row>
    <row r="21773" spans="1:3">
      <c r="A21773" s="250">
        <v>50269</v>
      </c>
      <c r="B21773" s="74" t="s">
        <v>11559</v>
      </c>
      <c r="C21773" s="74" t="s">
        <v>426</v>
      </c>
    </row>
    <row r="21774" spans="1:3">
      <c r="A21774" s="250">
        <v>50271</v>
      </c>
      <c r="B21774" s="74" t="s">
        <v>7725</v>
      </c>
      <c r="C21774" s="74" t="s">
        <v>426</v>
      </c>
    </row>
    <row r="21775" spans="1:3">
      <c r="A21775" s="250">
        <v>50272</v>
      </c>
      <c r="B21775" s="74" t="s">
        <v>3839</v>
      </c>
      <c r="C21775" s="74" t="s">
        <v>426</v>
      </c>
    </row>
    <row r="21776" spans="1:3">
      <c r="A21776" s="250">
        <v>50273</v>
      </c>
      <c r="B21776" s="74" t="s">
        <v>11560</v>
      </c>
      <c r="C21776" s="74" t="s">
        <v>426</v>
      </c>
    </row>
    <row r="21777" spans="1:3">
      <c r="A21777" s="250">
        <v>50274</v>
      </c>
      <c r="B21777" s="74" t="s">
        <v>11561</v>
      </c>
      <c r="C21777" s="74" t="s">
        <v>426</v>
      </c>
    </row>
    <row r="21778" spans="1:3">
      <c r="A21778" s="250">
        <v>50275</v>
      </c>
      <c r="B21778" s="74" t="s">
        <v>9973</v>
      </c>
      <c r="C21778" s="74" t="s">
        <v>426</v>
      </c>
    </row>
    <row r="21779" spans="1:3">
      <c r="A21779" s="250">
        <v>50276</v>
      </c>
      <c r="B21779" s="74" t="s">
        <v>4661</v>
      </c>
      <c r="C21779" s="74" t="s">
        <v>426</v>
      </c>
    </row>
    <row r="21780" spans="1:3">
      <c r="A21780" s="250">
        <v>50277</v>
      </c>
      <c r="B21780" s="74" t="s">
        <v>6218</v>
      </c>
      <c r="C21780" s="74" t="s">
        <v>426</v>
      </c>
    </row>
    <row r="21781" spans="1:3">
      <c r="A21781" s="250">
        <v>50278</v>
      </c>
      <c r="B21781" s="74" t="s">
        <v>11562</v>
      </c>
      <c r="C21781" s="74" t="s">
        <v>426</v>
      </c>
    </row>
    <row r="21782" spans="1:3">
      <c r="A21782" s="250">
        <v>50301</v>
      </c>
      <c r="B21782" s="74" t="s">
        <v>11563</v>
      </c>
      <c r="C21782" s="74" t="s">
        <v>426</v>
      </c>
    </row>
    <row r="21783" spans="1:3">
      <c r="A21783" s="250">
        <v>50302</v>
      </c>
      <c r="B21783" s="74" t="s">
        <v>11563</v>
      </c>
      <c r="C21783" s="74" t="s">
        <v>426</v>
      </c>
    </row>
    <row r="21784" spans="1:3">
      <c r="A21784" s="250">
        <v>50303</v>
      </c>
      <c r="B21784" s="74" t="s">
        <v>11563</v>
      </c>
      <c r="C21784" s="74" t="s">
        <v>426</v>
      </c>
    </row>
    <row r="21785" spans="1:3">
      <c r="A21785" s="250">
        <v>50304</v>
      </c>
      <c r="B21785" s="74" t="s">
        <v>11563</v>
      </c>
      <c r="C21785" s="74" t="s">
        <v>426</v>
      </c>
    </row>
    <row r="21786" spans="1:3">
      <c r="A21786" s="250">
        <v>50305</v>
      </c>
      <c r="B21786" s="74" t="s">
        <v>11563</v>
      </c>
      <c r="C21786" s="74" t="s">
        <v>426</v>
      </c>
    </row>
    <row r="21787" spans="1:3">
      <c r="A21787" s="250">
        <v>50306</v>
      </c>
      <c r="B21787" s="74" t="s">
        <v>11563</v>
      </c>
      <c r="C21787" s="74" t="s">
        <v>426</v>
      </c>
    </row>
    <row r="21788" spans="1:3">
      <c r="A21788" s="250">
        <v>50307</v>
      </c>
      <c r="B21788" s="74" t="s">
        <v>11563</v>
      </c>
      <c r="C21788" s="74" t="s">
        <v>426</v>
      </c>
    </row>
    <row r="21789" spans="1:3">
      <c r="A21789" s="250">
        <v>50308</v>
      </c>
      <c r="B21789" s="74" t="s">
        <v>11563</v>
      </c>
      <c r="C21789" s="74" t="s">
        <v>426</v>
      </c>
    </row>
    <row r="21790" spans="1:3">
      <c r="A21790" s="250">
        <v>50309</v>
      </c>
      <c r="B21790" s="74" t="s">
        <v>11563</v>
      </c>
      <c r="C21790" s="74" t="s">
        <v>426</v>
      </c>
    </row>
    <row r="21791" spans="1:3">
      <c r="A21791" s="250">
        <v>50310</v>
      </c>
      <c r="B21791" s="74" t="s">
        <v>11563</v>
      </c>
      <c r="C21791" s="74" t="s">
        <v>426</v>
      </c>
    </row>
    <row r="21792" spans="1:3">
      <c r="A21792" s="250">
        <v>50311</v>
      </c>
      <c r="B21792" s="74" t="s">
        <v>11563</v>
      </c>
      <c r="C21792" s="74" t="s">
        <v>426</v>
      </c>
    </row>
    <row r="21793" spans="1:3">
      <c r="A21793" s="250">
        <v>50312</v>
      </c>
      <c r="B21793" s="74" t="s">
        <v>11563</v>
      </c>
      <c r="C21793" s="74" t="s">
        <v>426</v>
      </c>
    </row>
    <row r="21794" spans="1:3">
      <c r="A21794" s="250">
        <v>50313</v>
      </c>
      <c r="B21794" s="74" t="s">
        <v>11563</v>
      </c>
      <c r="C21794" s="74" t="s">
        <v>426</v>
      </c>
    </row>
    <row r="21795" spans="1:3">
      <c r="A21795" s="250">
        <v>50314</v>
      </c>
      <c r="B21795" s="74" t="s">
        <v>11563</v>
      </c>
      <c r="C21795" s="74" t="s">
        <v>426</v>
      </c>
    </row>
    <row r="21796" spans="1:3">
      <c r="A21796" s="250">
        <v>50315</v>
      </c>
      <c r="B21796" s="74" t="s">
        <v>11563</v>
      </c>
      <c r="C21796" s="74" t="s">
        <v>426</v>
      </c>
    </row>
    <row r="21797" spans="1:3">
      <c r="A21797" s="250">
        <v>50316</v>
      </c>
      <c r="B21797" s="74" t="s">
        <v>11563</v>
      </c>
      <c r="C21797" s="74" t="s">
        <v>426</v>
      </c>
    </row>
    <row r="21798" spans="1:3">
      <c r="A21798" s="250">
        <v>50317</v>
      </c>
      <c r="B21798" s="74" t="s">
        <v>11563</v>
      </c>
      <c r="C21798" s="74" t="s">
        <v>426</v>
      </c>
    </row>
    <row r="21799" spans="1:3">
      <c r="A21799" s="250">
        <v>50318</v>
      </c>
      <c r="B21799" s="74" t="s">
        <v>11563</v>
      </c>
      <c r="C21799" s="74" t="s">
        <v>426</v>
      </c>
    </row>
    <row r="21800" spans="1:3">
      <c r="A21800" s="250">
        <v>50319</v>
      </c>
      <c r="B21800" s="74" t="s">
        <v>11563</v>
      </c>
      <c r="C21800" s="74" t="s">
        <v>426</v>
      </c>
    </row>
    <row r="21801" spans="1:3">
      <c r="A21801" s="250">
        <v>50320</v>
      </c>
      <c r="B21801" s="74" t="s">
        <v>11563</v>
      </c>
      <c r="C21801" s="74" t="s">
        <v>426</v>
      </c>
    </row>
    <row r="21802" spans="1:3">
      <c r="A21802" s="250">
        <v>50321</v>
      </c>
      <c r="B21802" s="74" t="s">
        <v>11563</v>
      </c>
      <c r="C21802" s="74" t="s">
        <v>426</v>
      </c>
    </row>
    <row r="21803" spans="1:3">
      <c r="A21803" s="250">
        <v>50322</v>
      </c>
      <c r="B21803" s="74" t="s">
        <v>11564</v>
      </c>
      <c r="C21803" s="74" t="s">
        <v>426</v>
      </c>
    </row>
    <row r="21804" spans="1:3">
      <c r="A21804" s="250">
        <v>50323</v>
      </c>
      <c r="B21804" s="74" t="s">
        <v>11564</v>
      </c>
      <c r="C21804" s="74" t="s">
        <v>426</v>
      </c>
    </row>
    <row r="21805" spans="1:3">
      <c r="A21805" s="250">
        <v>50324</v>
      </c>
      <c r="B21805" s="74" t="s">
        <v>6863</v>
      </c>
      <c r="C21805" s="74" t="s">
        <v>426</v>
      </c>
    </row>
    <row r="21806" spans="1:3">
      <c r="A21806" s="250">
        <v>50325</v>
      </c>
      <c r="B21806" s="74" t="s">
        <v>11565</v>
      </c>
      <c r="C21806" s="74" t="s">
        <v>426</v>
      </c>
    </row>
    <row r="21807" spans="1:3">
      <c r="A21807" s="250">
        <v>50327</v>
      </c>
      <c r="B21807" s="74" t="s">
        <v>7214</v>
      </c>
      <c r="C21807" s="74" t="s">
        <v>426</v>
      </c>
    </row>
    <row r="21808" spans="1:3">
      <c r="A21808" s="250">
        <v>50328</v>
      </c>
      <c r="B21808" s="74" t="s">
        <v>11563</v>
      </c>
      <c r="C21808" s="74" t="s">
        <v>426</v>
      </c>
    </row>
    <row r="21809" spans="1:3">
      <c r="A21809" s="250">
        <v>50329</v>
      </c>
      <c r="B21809" s="74" t="s">
        <v>11563</v>
      </c>
      <c r="C21809" s="74" t="s">
        <v>426</v>
      </c>
    </row>
    <row r="21810" spans="1:3">
      <c r="A21810" s="250">
        <v>50330</v>
      </c>
      <c r="B21810" s="74" t="s">
        <v>11563</v>
      </c>
      <c r="C21810" s="74" t="s">
        <v>426</v>
      </c>
    </row>
    <row r="21811" spans="1:3">
      <c r="A21811" s="250">
        <v>50331</v>
      </c>
      <c r="B21811" s="74" t="s">
        <v>11563</v>
      </c>
      <c r="C21811" s="74" t="s">
        <v>426</v>
      </c>
    </row>
    <row r="21812" spans="1:3">
      <c r="A21812" s="250">
        <v>50332</v>
      </c>
      <c r="B21812" s="74" t="s">
        <v>11563</v>
      </c>
      <c r="C21812" s="74" t="s">
        <v>426</v>
      </c>
    </row>
    <row r="21813" spans="1:3">
      <c r="A21813" s="250">
        <v>50333</v>
      </c>
      <c r="B21813" s="74" t="s">
        <v>11563</v>
      </c>
      <c r="C21813" s="74" t="s">
        <v>426</v>
      </c>
    </row>
    <row r="21814" spans="1:3">
      <c r="A21814" s="250">
        <v>50334</v>
      </c>
      <c r="B21814" s="74" t="s">
        <v>11563</v>
      </c>
      <c r="C21814" s="74" t="s">
        <v>426</v>
      </c>
    </row>
    <row r="21815" spans="1:3">
      <c r="A21815" s="250">
        <v>50335</v>
      </c>
      <c r="B21815" s="74" t="s">
        <v>11563</v>
      </c>
      <c r="C21815" s="74" t="s">
        <v>426</v>
      </c>
    </row>
    <row r="21816" spans="1:3">
      <c r="A21816" s="250">
        <v>50336</v>
      </c>
      <c r="B21816" s="74" t="s">
        <v>11563</v>
      </c>
      <c r="C21816" s="74" t="s">
        <v>426</v>
      </c>
    </row>
    <row r="21817" spans="1:3">
      <c r="A21817" s="250">
        <v>50339</v>
      </c>
      <c r="B21817" s="74" t="s">
        <v>11563</v>
      </c>
      <c r="C21817" s="74" t="s">
        <v>426</v>
      </c>
    </row>
    <row r="21818" spans="1:3">
      <c r="A21818" s="250">
        <v>50340</v>
      </c>
      <c r="B21818" s="74" t="s">
        <v>11563</v>
      </c>
      <c r="C21818" s="74" t="s">
        <v>426</v>
      </c>
    </row>
    <row r="21819" spans="1:3">
      <c r="A21819" s="250">
        <v>50347</v>
      </c>
      <c r="B21819" s="74" t="s">
        <v>11563</v>
      </c>
      <c r="C21819" s="74" t="s">
        <v>426</v>
      </c>
    </row>
    <row r="21820" spans="1:3">
      <c r="A21820" s="250">
        <v>50359</v>
      </c>
      <c r="B21820" s="74" t="s">
        <v>11563</v>
      </c>
      <c r="C21820" s="74" t="s">
        <v>426</v>
      </c>
    </row>
    <row r="21821" spans="1:3">
      <c r="A21821" s="250">
        <v>50360</v>
      </c>
      <c r="B21821" s="74" t="s">
        <v>11563</v>
      </c>
      <c r="C21821" s="74" t="s">
        <v>426</v>
      </c>
    </row>
    <row r="21822" spans="1:3">
      <c r="A21822" s="250">
        <v>50361</v>
      </c>
      <c r="B21822" s="74" t="s">
        <v>11563</v>
      </c>
      <c r="C21822" s="74" t="s">
        <v>426</v>
      </c>
    </row>
    <row r="21823" spans="1:3">
      <c r="A21823" s="250">
        <v>50362</v>
      </c>
      <c r="B21823" s="74" t="s">
        <v>11563</v>
      </c>
      <c r="C21823" s="74" t="s">
        <v>426</v>
      </c>
    </row>
    <row r="21824" spans="1:3">
      <c r="A21824" s="250">
        <v>50363</v>
      </c>
      <c r="B21824" s="74" t="s">
        <v>11563</v>
      </c>
      <c r="C21824" s="74" t="s">
        <v>426</v>
      </c>
    </row>
    <row r="21825" spans="1:3">
      <c r="A21825" s="250">
        <v>50364</v>
      </c>
      <c r="B21825" s="74" t="s">
        <v>11563</v>
      </c>
      <c r="C21825" s="74" t="s">
        <v>426</v>
      </c>
    </row>
    <row r="21826" spans="1:3">
      <c r="A21826" s="250">
        <v>50367</v>
      </c>
      <c r="B21826" s="74" t="s">
        <v>11563</v>
      </c>
      <c r="C21826" s="74" t="s">
        <v>426</v>
      </c>
    </row>
    <row r="21827" spans="1:3">
      <c r="A21827" s="250">
        <v>50368</v>
      </c>
      <c r="B21827" s="74" t="s">
        <v>11563</v>
      </c>
      <c r="C21827" s="74" t="s">
        <v>426</v>
      </c>
    </row>
    <row r="21828" spans="1:3">
      <c r="A21828" s="250">
        <v>50369</v>
      </c>
      <c r="B21828" s="74" t="s">
        <v>11563</v>
      </c>
      <c r="C21828" s="74" t="s">
        <v>426</v>
      </c>
    </row>
    <row r="21829" spans="1:3">
      <c r="A21829" s="250">
        <v>50380</v>
      </c>
      <c r="B21829" s="74" t="s">
        <v>11563</v>
      </c>
      <c r="C21829" s="74" t="s">
        <v>426</v>
      </c>
    </row>
    <row r="21830" spans="1:3">
      <c r="A21830" s="250">
        <v>50381</v>
      </c>
      <c r="B21830" s="74" t="s">
        <v>11563</v>
      </c>
      <c r="C21830" s="74" t="s">
        <v>426</v>
      </c>
    </row>
    <row r="21831" spans="1:3">
      <c r="A21831" s="250">
        <v>50391</v>
      </c>
      <c r="B21831" s="74" t="s">
        <v>11563</v>
      </c>
      <c r="C21831" s="74" t="s">
        <v>426</v>
      </c>
    </row>
    <row r="21832" spans="1:3">
      <c r="A21832" s="250">
        <v>50392</v>
      </c>
      <c r="B21832" s="74" t="s">
        <v>11563</v>
      </c>
      <c r="C21832" s="74" t="s">
        <v>426</v>
      </c>
    </row>
    <row r="21833" spans="1:3">
      <c r="A21833" s="250">
        <v>50393</v>
      </c>
      <c r="B21833" s="74" t="s">
        <v>11563</v>
      </c>
      <c r="C21833" s="74" t="s">
        <v>426</v>
      </c>
    </row>
    <row r="21834" spans="1:3">
      <c r="A21834" s="250">
        <v>50394</v>
      </c>
      <c r="B21834" s="74" t="s">
        <v>11563</v>
      </c>
      <c r="C21834" s="74" t="s">
        <v>426</v>
      </c>
    </row>
    <row r="21835" spans="1:3">
      <c r="A21835" s="250">
        <v>50395</v>
      </c>
      <c r="B21835" s="74" t="s">
        <v>11563</v>
      </c>
      <c r="C21835" s="74" t="s">
        <v>426</v>
      </c>
    </row>
    <row r="21836" spans="1:3">
      <c r="A21836" s="250">
        <v>50396</v>
      </c>
      <c r="B21836" s="74" t="s">
        <v>11563</v>
      </c>
      <c r="C21836" s="74" t="s">
        <v>426</v>
      </c>
    </row>
    <row r="21837" spans="1:3">
      <c r="A21837" s="250">
        <v>50397</v>
      </c>
      <c r="B21837" s="74" t="s">
        <v>11563</v>
      </c>
      <c r="C21837" s="74" t="s">
        <v>426</v>
      </c>
    </row>
    <row r="21838" spans="1:3">
      <c r="A21838" s="250">
        <v>50398</v>
      </c>
      <c r="B21838" s="74" t="s">
        <v>11564</v>
      </c>
      <c r="C21838" s="74" t="s">
        <v>426</v>
      </c>
    </row>
    <row r="21839" spans="1:3">
      <c r="A21839" s="250">
        <v>50401</v>
      </c>
      <c r="B21839" s="74" t="s">
        <v>11566</v>
      </c>
      <c r="C21839" s="74" t="s">
        <v>426</v>
      </c>
    </row>
    <row r="21840" spans="1:3">
      <c r="A21840" s="250">
        <v>50402</v>
      </c>
      <c r="B21840" s="74" t="s">
        <v>11566</v>
      </c>
      <c r="C21840" s="74" t="s">
        <v>426</v>
      </c>
    </row>
    <row r="21841" spans="1:3">
      <c r="A21841" s="250">
        <v>50420</v>
      </c>
      <c r="B21841" s="74" t="s">
        <v>3669</v>
      </c>
      <c r="C21841" s="74" t="s">
        <v>426</v>
      </c>
    </row>
    <row r="21842" spans="1:3">
      <c r="A21842" s="250">
        <v>50421</v>
      </c>
      <c r="B21842" s="74" t="s">
        <v>11567</v>
      </c>
      <c r="C21842" s="74" t="s">
        <v>426</v>
      </c>
    </row>
    <row r="21843" spans="1:3">
      <c r="A21843" s="250">
        <v>50423</v>
      </c>
      <c r="B21843" s="74" t="s">
        <v>11568</v>
      </c>
      <c r="C21843" s="74" t="s">
        <v>426</v>
      </c>
    </row>
    <row r="21844" spans="1:3">
      <c r="A21844" s="250">
        <v>50424</v>
      </c>
      <c r="B21844" s="74" t="s">
        <v>11569</v>
      </c>
      <c r="C21844" s="74" t="s">
        <v>426</v>
      </c>
    </row>
    <row r="21845" spans="1:3">
      <c r="A21845" s="250">
        <v>50426</v>
      </c>
      <c r="B21845" s="74" t="s">
        <v>11570</v>
      </c>
      <c r="C21845" s="74" t="s">
        <v>426</v>
      </c>
    </row>
    <row r="21846" spans="1:3">
      <c r="A21846" s="250">
        <v>50427</v>
      </c>
      <c r="B21846" s="74" t="s">
        <v>7603</v>
      </c>
      <c r="C21846" s="74" t="s">
        <v>426</v>
      </c>
    </row>
    <row r="21847" spans="1:3">
      <c r="A21847" s="250">
        <v>50428</v>
      </c>
      <c r="B21847" s="74" t="s">
        <v>11571</v>
      </c>
      <c r="C21847" s="74" t="s">
        <v>426</v>
      </c>
    </row>
    <row r="21848" spans="1:3">
      <c r="A21848" s="250">
        <v>50430</v>
      </c>
      <c r="B21848" s="74" t="s">
        <v>11572</v>
      </c>
      <c r="C21848" s="74" t="s">
        <v>426</v>
      </c>
    </row>
    <row r="21849" spans="1:3">
      <c r="A21849" s="250">
        <v>50431</v>
      </c>
      <c r="B21849" s="74" t="s">
        <v>11573</v>
      </c>
      <c r="C21849" s="74" t="s">
        <v>426</v>
      </c>
    </row>
    <row r="21850" spans="1:3">
      <c r="A21850" s="250">
        <v>50432</v>
      </c>
      <c r="B21850" s="74" t="s">
        <v>11574</v>
      </c>
      <c r="C21850" s="74" t="s">
        <v>426</v>
      </c>
    </row>
    <row r="21851" spans="1:3">
      <c r="A21851" s="250">
        <v>50433</v>
      </c>
      <c r="B21851" s="74" t="s">
        <v>11575</v>
      </c>
      <c r="C21851" s="74" t="s">
        <v>426</v>
      </c>
    </row>
    <row r="21852" spans="1:3">
      <c r="A21852" s="250">
        <v>50434</v>
      </c>
      <c r="B21852" s="74" t="s">
        <v>11576</v>
      </c>
      <c r="C21852" s="74" t="s">
        <v>426</v>
      </c>
    </row>
    <row r="21853" spans="1:3">
      <c r="A21853" s="250">
        <v>50435</v>
      </c>
      <c r="B21853" s="74" t="s">
        <v>6275</v>
      </c>
      <c r="C21853" s="74" t="s">
        <v>426</v>
      </c>
    </row>
    <row r="21854" spans="1:3">
      <c r="A21854" s="250">
        <v>50436</v>
      </c>
      <c r="B21854" s="74" t="s">
        <v>5158</v>
      </c>
      <c r="C21854" s="74" t="s">
        <v>426</v>
      </c>
    </row>
    <row r="21855" spans="1:3">
      <c r="A21855" s="250">
        <v>50438</v>
      </c>
      <c r="B21855" s="74" t="s">
        <v>7149</v>
      </c>
      <c r="C21855" s="74" t="s">
        <v>426</v>
      </c>
    </row>
    <row r="21856" spans="1:3">
      <c r="A21856" s="250">
        <v>50439</v>
      </c>
      <c r="B21856" s="74" t="s">
        <v>11577</v>
      </c>
      <c r="C21856" s="74" t="s">
        <v>426</v>
      </c>
    </row>
    <row r="21857" spans="1:3">
      <c r="A21857" s="250">
        <v>50440</v>
      </c>
      <c r="B21857" s="74" t="s">
        <v>737</v>
      </c>
      <c r="C21857" s="74" t="s">
        <v>426</v>
      </c>
    </row>
    <row r="21858" spans="1:3">
      <c r="A21858" s="250">
        <v>50441</v>
      </c>
      <c r="B21858" s="74" t="s">
        <v>1315</v>
      </c>
      <c r="C21858" s="74" t="s">
        <v>426</v>
      </c>
    </row>
    <row r="21859" spans="1:3">
      <c r="A21859" s="250">
        <v>50444</v>
      </c>
      <c r="B21859" s="74" t="s">
        <v>11578</v>
      </c>
      <c r="C21859" s="74" t="s">
        <v>426</v>
      </c>
    </row>
    <row r="21860" spans="1:3">
      <c r="A21860" s="250">
        <v>50446</v>
      </c>
      <c r="B21860" s="74" t="s">
        <v>11579</v>
      </c>
      <c r="C21860" s="74" t="s">
        <v>426</v>
      </c>
    </row>
    <row r="21861" spans="1:3">
      <c r="A21861" s="250">
        <v>50447</v>
      </c>
      <c r="B21861" s="74" t="s">
        <v>11580</v>
      </c>
      <c r="C21861" s="74" t="s">
        <v>426</v>
      </c>
    </row>
    <row r="21862" spans="1:3">
      <c r="A21862" s="250">
        <v>50448</v>
      </c>
      <c r="B21862" s="74" t="s">
        <v>11581</v>
      </c>
      <c r="C21862" s="74" t="s">
        <v>426</v>
      </c>
    </row>
    <row r="21863" spans="1:3">
      <c r="A21863" s="250">
        <v>50449</v>
      </c>
      <c r="B21863" s="74" t="s">
        <v>11582</v>
      </c>
      <c r="C21863" s="74" t="s">
        <v>426</v>
      </c>
    </row>
    <row r="21864" spans="1:3">
      <c r="A21864" s="250">
        <v>50450</v>
      </c>
      <c r="B21864" s="74" t="s">
        <v>11583</v>
      </c>
      <c r="C21864" s="74" t="s">
        <v>426</v>
      </c>
    </row>
    <row r="21865" spans="1:3">
      <c r="A21865" s="250">
        <v>50451</v>
      </c>
      <c r="B21865" s="74" t="s">
        <v>11584</v>
      </c>
      <c r="C21865" s="74" t="s">
        <v>426</v>
      </c>
    </row>
    <row r="21866" spans="1:3">
      <c r="A21866" s="250">
        <v>50452</v>
      </c>
      <c r="B21866" s="74" t="s">
        <v>11585</v>
      </c>
      <c r="C21866" s="74" t="s">
        <v>426</v>
      </c>
    </row>
    <row r="21867" spans="1:3">
      <c r="A21867" s="250">
        <v>50453</v>
      </c>
      <c r="B21867" s="74" t="s">
        <v>7406</v>
      </c>
      <c r="C21867" s="74" t="s">
        <v>426</v>
      </c>
    </row>
    <row r="21868" spans="1:3">
      <c r="A21868" s="250">
        <v>50454</v>
      </c>
      <c r="B21868" s="74" t="s">
        <v>11586</v>
      </c>
      <c r="C21868" s="74" t="s">
        <v>426</v>
      </c>
    </row>
    <row r="21869" spans="1:3">
      <c r="A21869" s="250">
        <v>50455</v>
      </c>
      <c r="B21869" s="74" t="s">
        <v>11587</v>
      </c>
      <c r="C21869" s="74" t="s">
        <v>426</v>
      </c>
    </row>
    <row r="21870" spans="1:3">
      <c r="A21870" s="250">
        <v>50456</v>
      </c>
      <c r="B21870" s="74" t="s">
        <v>11588</v>
      </c>
      <c r="C21870" s="74" t="s">
        <v>426</v>
      </c>
    </row>
    <row r="21871" spans="1:3">
      <c r="A21871" s="250">
        <v>50457</v>
      </c>
      <c r="B21871" s="74" t="s">
        <v>11589</v>
      </c>
      <c r="C21871" s="74" t="s">
        <v>426</v>
      </c>
    </row>
    <row r="21872" spans="1:3">
      <c r="A21872" s="250">
        <v>50458</v>
      </c>
      <c r="B21872" s="74" t="s">
        <v>11590</v>
      </c>
      <c r="C21872" s="74" t="s">
        <v>426</v>
      </c>
    </row>
    <row r="21873" spans="1:3">
      <c r="A21873" s="250">
        <v>50459</v>
      </c>
      <c r="B21873" s="74" t="s">
        <v>1205</v>
      </c>
      <c r="C21873" s="74" t="s">
        <v>426</v>
      </c>
    </row>
    <row r="21874" spans="1:3">
      <c r="A21874" s="250">
        <v>50460</v>
      </c>
      <c r="B21874" s="74" t="s">
        <v>11591</v>
      </c>
      <c r="C21874" s="74" t="s">
        <v>426</v>
      </c>
    </row>
    <row r="21875" spans="1:3">
      <c r="A21875" s="250">
        <v>50461</v>
      </c>
      <c r="B21875" s="74" t="s">
        <v>6973</v>
      </c>
      <c r="C21875" s="74" t="s">
        <v>426</v>
      </c>
    </row>
    <row r="21876" spans="1:3">
      <c r="A21876" s="250">
        <v>50464</v>
      </c>
      <c r="B21876" s="74" t="s">
        <v>956</v>
      </c>
      <c r="C21876" s="74" t="s">
        <v>426</v>
      </c>
    </row>
    <row r="21877" spans="1:3">
      <c r="A21877" s="250">
        <v>50465</v>
      </c>
      <c r="B21877" s="74" t="s">
        <v>11592</v>
      </c>
      <c r="C21877" s="74" t="s">
        <v>426</v>
      </c>
    </row>
    <row r="21878" spans="1:3">
      <c r="A21878" s="250">
        <v>50466</v>
      </c>
      <c r="B21878" s="74" t="s">
        <v>4521</v>
      </c>
      <c r="C21878" s="74" t="s">
        <v>426</v>
      </c>
    </row>
    <row r="21879" spans="1:3">
      <c r="A21879" s="250">
        <v>50467</v>
      </c>
      <c r="B21879" s="74" t="s">
        <v>11593</v>
      </c>
      <c r="C21879" s="74" t="s">
        <v>426</v>
      </c>
    </row>
    <row r="21880" spans="1:3">
      <c r="A21880" s="250">
        <v>50468</v>
      </c>
      <c r="B21880" s="74" t="s">
        <v>8662</v>
      </c>
      <c r="C21880" s="74" t="s">
        <v>426</v>
      </c>
    </row>
    <row r="21881" spans="1:3">
      <c r="A21881" s="250">
        <v>50469</v>
      </c>
      <c r="B21881" s="74" t="s">
        <v>7333</v>
      </c>
      <c r="C21881" s="74" t="s">
        <v>426</v>
      </c>
    </row>
    <row r="21882" spans="1:3">
      <c r="A21882" s="250">
        <v>50470</v>
      </c>
      <c r="B21882" s="74" t="s">
        <v>11594</v>
      </c>
      <c r="C21882" s="74" t="s">
        <v>426</v>
      </c>
    </row>
    <row r="21883" spans="1:3">
      <c r="A21883" s="250">
        <v>50471</v>
      </c>
      <c r="B21883" s="74" t="s">
        <v>11595</v>
      </c>
      <c r="C21883" s="74" t="s">
        <v>426</v>
      </c>
    </row>
    <row r="21884" spans="1:3">
      <c r="A21884" s="250">
        <v>50472</v>
      </c>
      <c r="B21884" s="74" t="s">
        <v>11596</v>
      </c>
      <c r="C21884" s="74" t="s">
        <v>426</v>
      </c>
    </row>
    <row r="21885" spans="1:3">
      <c r="A21885" s="250">
        <v>50473</v>
      </c>
      <c r="B21885" s="74" t="s">
        <v>11597</v>
      </c>
      <c r="C21885" s="74" t="s">
        <v>426</v>
      </c>
    </row>
    <row r="21886" spans="1:3">
      <c r="A21886" s="250">
        <v>50475</v>
      </c>
      <c r="B21886" s="74" t="s">
        <v>661</v>
      </c>
      <c r="C21886" s="74" t="s">
        <v>426</v>
      </c>
    </row>
    <row r="21887" spans="1:3">
      <c r="A21887" s="250">
        <v>50476</v>
      </c>
      <c r="B21887" s="74" t="s">
        <v>1653</v>
      </c>
      <c r="C21887" s="74" t="s">
        <v>426</v>
      </c>
    </row>
    <row r="21888" spans="1:3">
      <c r="A21888" s="250">
        <v>50477</v>
      </c>
      <c r="B21888" s="74" t="s">
        <v>11598</v>
      </c>
      <c r="C21888" s="74" t="s">
        <v>426</v>
      </c>
    </row>
    <row r="21889" spans="1:3">
      <c r="A21889" s="250">
        <v>50478</v>
      </c>
      <c r="B21889" s="74" t="s">
        <v>2006</v>
      </c>
      <c r="C21889" s="74" t="s">
        <v>426</v>
      </c>
    </row>
    <row r="21890" spans="1:3">
      <c r="A21890" s="250">
        <v>50479</v>
      </c>
      <c r="B21890" s="74" t="s">
        <v>1218</v>
      </c>
      <c r="C21890" s="74" t="s">
        <v>426</v>
      </c>
    </row>
    <row r="21891" spans="1:3">
      <c r="A21891" s="250">
        <v>50480</v>
      </c>
      <c r="B21891" s="74" t="s">
        <v>11599</v>
      </c>
      <c r="C21891" s="74" t="s">
        <v>426</v>
      </c>
    </row>
    <row r="21892" spans="1:3">
      <c r="A21892" s="250">
        <v>50481</v>
      </c>
      <c r="B21892" s="74" t="s">
        <v>11600</v>
      </c>
      <c r="C21892" s="74" t="s">
        <v>426</v>
      </c>
    </row>
    <row r="21893" spans="1:3">
      <c r="A21893" s="250">
        <v>50482</v>
      </c>
      <c r="B21893" s="74" t="s">
        <v>11601</v>
      </c>
      <c r="C21893" s="74" t="s">
        <v>426</v>
      </c>
    </row>
    <row r="21894" spans="1:3">
      <c r="A21894" s="250">
        <v>50483</v>
      </c>
      <c r="B21894" s="74" t="s">
        <v>1617</v>
      </c>
      <c r="C21894" s="74" t="s">
        <v>426</v>
      </c>
    </row>
    <row r="21895" spans="1:3">
      <c r="A21895" s="250">
        <v>50484</v>
      </c>
      <c r="B21895" s="74" t="s">
        <v>11602</v>
      </c>
      <c r="C21895" s="74" t="s">
        <v>426</v>
      </c>
    </row>
    <row r="21896" spans="1:3">
      <c r="A21896" s="250">
        <v>50501</v>
      </c>
      <c r="B21896" s="74" t="s">
        <v>11603</v>
      </c>
      <c r="C21896" s="74" t="s">
        <v>426</v>
      </c>
    </row>
    <row r="21897" spans="1:3">
      <c r="A21897" s="250">
        <v>50510</v>
      </c>
      <c r="B21897" s="74" t="s">
        <v>11604</v>
      </c>
      <c r="C21897" s="74" t="s">
        <v>426</v>
      </c>
    </row>
    <row r="21898" spans="1:3">
      <c r="A21898" s="250">
        <v>50511</v>
      </c>
      <c r="B21898" s="74" t="s">
        <v>11605</v>
      </c>
      <c r="C21898" s="74" t="s">
        <v>426</v>
      </c>
    </row>
    <row r="21899" spans="1:3">
      <c r="A21899" s="250">
        <v>50514</v>
      </c>
      <c r="B21899" s="74" t="s">
        <v>11606</v>
      </c>
      <c r="C21899" s="74" t="s">
        <v>426</v>
      </c>
    </row>
    <row r="21900" spans="1:3">
      <c r="A21900" s="250">
        <v>50515</v>
      </c>
      <c r="B21900" s="74" t="s">
        <v>11607</v>
      </c>
      <c r="C21900" s="74" t="s">
        <v>426</v>
      </c>
    </row>
    <row r="21901" spans="1:3">
      <c r="A21901" s="250">
        <v>50516</v>
      </c>
      <c r="B21901" s="74" t="s">
        <v>11608</v>
      </c>
      <c r="C21901" s="74" t="s">
        <v>426</v>
      </c>
    </row>
    <row r="21902" spans="1:3">
      <c r="A21902" s="250">
        <v>50517</v>
      </c>
      <c r="B21902" s="74" t="s">
        <v>6574</v>
      </c>
      <c r="C21902" s="74" t="s">
        <v>426</v>
      </c>
    </row>
    <row r="21903" spans="1:3">
      <c r="A21903" s="250">
        <v>50518</v>
      </c>
      <c r="B21903" s="74" t="s">
        <v>11609</v>
      </c>
      <c r="C21903" s="74" t="s">
        <v>426</v>
      </c>
    </row>
    <row r="21904" spans="1:3">
      <c r="A21904" s="250">
        <v>50519</v>
      </c>
      <c r="B21904" s="74" t="s">
        <v>11610</v>
      </c>
      <c r="C21904" s="74" t="s">
        <v>426</v>
      </c>
    </row>
    <row r="21905" spans="1:3">
      <c r="A21905" s="250">
        <v>50520</v>
      </c>
      <c r="B21905" s="74" t="s">
        <v>11611</v>
      </c>
      <c r="C21905" s="74" t="s">
        <v>426</v>
      </c>
    </row>
    <row r="21906" spans="1:3">
      <c r="A21906" s="250">
        <v>50521</v>
      </c>
      <c r="B21906" s="74" t="s">
        <v>4265</v>
      </c>
      <c r="C21906" s="74" t="s">
        <v>426</v>
      </c>
    </row>
    <row r="21907" spans="1:3">
      <c r="A21907" s="250">
        <v>50522</v>
      </c>
      <c r="B21907" s="74" t="s">
        <v>3681</v>
      </c>
      <c r="C21907" s="74" t="s">
        <v>426</v>
      </c>
    </row>
    <row r="21908" spans="1:3">
      <c r="A21908" s="250">
        <v>50523</v>
      </c>
      <c r="B21908" s="74" t="s">
        <v>11612</v>
      </c>
      <c r="C21908" s="74" t="s">
        <v>426</v>
      </c>
    </row>
    <row r="21909" spans="1:3">
      <c r="A21909" s="250">
        <v>50524</v>
      </c>
      <c r="B21909" s="74" t="s">
        <v>11092</v>
      </c>
      <c r="C21909" s="74" t="s">
        <v>426</v>
      </c>
    </row>
    <row r="21910" spans="1:3">
      <c r="A21910" s="250">
        <v>50525</v>
      </c>
      <c r="B21910" s="74" t="s">
        <v>4443</v>
      </c>
      <c r="C21910" s="74" t="s">
        <v>426</v>
      </c>
    </row>
    <row r="21911" spans="1:3">
      <c r="A21911" s="250">
        <v>50526</v>
      </c>
      <c r="B21911" s="74" t="s">
        <v>4443</v>
      </c>
      <c r="C21911" s="74" t="s">
        <v>426</v>
      </c>
    </row>
    <row r="21912" spans="1:3">
      <c r="A21912" s="250">
        <v>50527</v>
      </c>
      <c r="B21912" s="74" t="s">
        <v>11613</v>
      </c>
      <c r="C21912" s="74" t="s">
        <v>426</v>
      </c>
    </row>
    <row r="21913" spans="1:3">
      <c r="A21913" s="250">
        <v>50528</v>
      </c>
      <c r="B21913" s="74" t="s">
        <v>11614</v>
      </c>
      <c r="C21913" s="74" t="s">
        <v>426</v>
      </c>
    </row>
    <row r="21914" spans="1:3">
      <c r="A21914" s="250">
        <v>50529</v>
      </c>
      <c r="B21914" s="74" t="s">
        <v>11615</v>
      </c>
      <c r="C21914" s="74" t="s">
        <v>426</v>
      </c>
    </row>
    <row r="21915" spans="1:3">
      <c r="A21915" s="250">
        <v>50530</v>
      </c>
      <c r="B21915" s="74" t="s">
        <v>2564</v>
      </c>
      <c r="C21915" s="74" t="s">
        <v>426</v>
      </c>
    </row>
    <row r="21916" spans="1:3">
      <c r="A21916" s="250">
        <v>50531</v>
      </c>
      <c r="B21916" s="74" t="s">
        <v>11616</v>
      </c>
      <c r="C21916" s="74" t="s">
        <v>426</v>
      </c>
    </row>
    <row r="21917" spans="1:3">
      <c r="A21917" s="250">
        <v>50532</v>
      </c>
      <c r="B21917" s="74" t="s">
        <v>11617</v>
      </c>
      <c r="C21917" s="74" t="s">
        <v>426</v>
      </c>
    </row>
    <row r="21918" spans="1:3">
      <c r="A21918" s="250">
        <v>50533</v>
      </c>
      <c r="B21918" s="74" t="s">
        <v>11618</v>
      </c>
      <c r="C21918" s="74" t="s">
        <v>426</v>
      </c>
    </row>
    <row r="21919" spans="1:3">
      <c r="A21919" s="250">
        <v>50535</v>
      </c>
      <c r="B21919" s="74" t="s">
        <v>11619</v>
      </c>
      <c r="C21919" s="74" t="s">
        <v>426</v>
      </c>
    </row>
    <row r="21920" spans="1:3">
      <c r="A21920" s="250">
        <v>50536</v>
      </c>
      <c r="B21920" s="74" t="s">
        <v>11620</v>
      </c>
      <c r="C21920" s="74" t="s">
        <v>426</v>
      </c>
    </row>
    <row r="21921" spans="1:3">
      <c r="A21921" s="250">
        <v>50538</v>
      </c>
      <c r="B21921" s="74" t="s">
        <v>11621</v>
      </c>
      <c r="C21921" s="74" t="s">
        <v>426</v>
      </c>
    </row>
    <row r="21922" spans="1:3">
      <c r="A21922" s="250">
        <v>50539</v>
      </c>
      <c r="B21922" s="74" t="s">
        <v>11065</v>
      </c>
      <c r="C21922" s="74" t="s">
        <v>426</v>
      </c>
    </row>
    <row r="21923" spans="1:3">
      <c r="A21923" s="250">
        <v>50540</v>
      </c>
      <c r="B21923" s="74" t="s">
        <v>2950</v>
      </c>
      <c r="C21923" s="74" t="s">
        <v>426</v>
      </c>
    </row>
    <row r="21924" spans="1:3">
      <c r="A21924" s="250">
        <v>50541</v>
      </c>
      <c r="B21924" s="74" t="s">
        <v>11622</v>
      </c>
      <c r="C21924" s="74" t="s">
        <v>426</v>
      </c>
    </row>
    <row r="21925" spans="1:3">
      <c r="A21925" s="250">
        <v>50542</v>
      </c>
      <c r="B21925" s="74" t="s">
        <v>11623</v>
      </c>
      <c r="C21925" s="74" t="s">
        <v>426</v>
      </c>
    </row>
    <row r="21926" spans="1:3">
      <c r="A21926" s="250">
        <v>50543</v>
      </c>
      <c r="B21926" s="74" t="s">
        <v>11624</v>
      </c>
      <c r="C21926" s="74" t="s">
        <v>426</v>
      </c>
    </row>
    <row r="21927" spans="1:3">
      <c r="A21927" s="250">
        <v>50544</v>
      </c>
      <c r="B21927" s="74" t="s">
        <v>11625</v>
      </c>
      <c r="C21927" s="74" t="s">
        <v>426</v>
      </c>
    </row>
    <row r="21928" spans="1:3">
      <c r="A21928" s="250">
        <v>50545</v>
      </c>
      <c r="B21928" s="74" t="s">
        <v>6279</v>
      </c>
      <c r="C21928" s="74" t="s">
        <v>426</v>
      </c>
    </row>
    <row r="21929" spans="1:3">
      <c r="A21929" s="250">
        <v>50546</v>
      </c>
      <c r="B21929" s="74" t="s">
        <v>7438</v>
      </c>
      <c r="C21929" s="74" t="s">
        <v>426</v>
      </c>
    </row>
    <row r="21930" spans="1:3">
      <c r="A21930" s="250">
        <v>50548</v>
      </c>
      <c r="B21930" s="74" t="s">
        <v>9221</v>
      </c>
      <c r="C21930" s="74" t="s">
        <v>426</v>
      </c>
    </row>
    <row r="21931" spans="1:3">
      <c r="A21931" s="250">
        <v>50551</v>
      </c>
      <c r="B21931" s="74" t="s">
        <v>11626</v>
      </c>
      <c r="C21931" s="74" t="s">
        <v>426</v>
      </c>
    </row>
    <row r="21932" spans="1:3">
      <c r="A21932" s="250">
        <v>50552</v>
      </c>
      <c r="B21932" s="74" t="s">
        <v>11627</v>
      </c>
      <c r="C21932" s="74" t="s">
        <v>426</v>
      </c>
    </row>
    <row r="21933" spans="1:3">
      <c r="A21933" s="250">
        <v>50554</v>
      </c>
      <c r="B21933" s="74" t="s">
        <v>3626</v>
      </c>
      <c r="C21933" s="74" t="s">
        <v>426</v>
      </c>
    </row>
    <row r="21934" spans="1:3">
      <c r="A21934" s="250">
        <v>50556</v>
      </c>
      <c r="B21934" s="74" t="s">
        <v>2016</v>
      </c>
      <c r="C21934" s="74" t="s">
        <v>426</v>
      </c>
    </row>
    <row r="21935" spans="1:3">
      <c r="A21935" s="250">
        <v>50557</v>
      </c>
      <c r="B21935" s="74" t="s">
        <v>11628</v>
      </c>
      <c r="C21935" s="74" t="s">
        <v>426</v>
      </c>
    </row>
    <row r="21936" spans="1:3">
      <c r="A21936" s="250">
        <v>50558</v>
      </c>
      <c r="B21936" s="74" t="s">
        <v>1446</v>
      </c>
      <c r="C21936" s="74" t="s">
        <v>426</v>
      </c>
    </row>
    <row r="21937" spans="1:3">
      <c r="A21937" s="250">
        <v>50559</v>
      </c>
      <c r="B21937" s="74" t="s">
        <v>11629</v>
      </c>
      <c r="C21937" s="74" t="s">
        <v>426</v>
      </c>
    </row>
    <row r="21938" spans="1:3">
      <c r="A21938" s="250">
        <v>50560</v>
      </c>
      <c r="B21938" s="74" t="s">
        <v>11630</v>
      </c>
      <c r="C21938" s="74" t="s">
        <v>426</v>
      </c>
    </row>
    <row r="21939" spans="1:3">
      <c r="A21939" s="250">
        <v>50561</v>
      </c>
      <c r="B21939" s="74" t="s">
        <v>11631</v>
      </c>
      <c r="C21939" s="74" t="s">
        <v>426</v>
      </c>
    </row>
    <row r="21940" spans="1:3">
      <c r="A21940" s="250">
        <v>50562</v>
      </c>
      <c r="B21940" s="74" t="s">
        <v>11632</v>
      </c>
      <c r="C21940" s="74" t="s">
        <v>426</v>
      </c>
    </row>
    <row r="21941" spans="1:3">
      <c r="A21941" s="250">
        <v>50563</v>
      </c>
      <c r="B21941" s="74" t="s">
        <v>7159</v>
      </c>
      <c r="C21941" s="74" t="s">
        <v>426</v>
      </c>
    </row>
    <row r="21942" spans="1:3">
      <c r="A21942" s="250">
        <v>50565</v>
      </c>
      <c r="B21942" s="74" t="s">
        <v>3630</v>
      </c>
      <c r="C21942" s="74" t="s">
        <v>426</v>
      </c>
    </row>
    <row r="21943" spans="1:3">
      <c r="A21943" s="250">
        <v>50566</v>
      </c>
      <c r="B21943" s="74" t="s">
        <v>11633</v>
      </c>
      <c r="C21943" s="74" t="s">
        <v>426</v>
      </c>
    </row>
    <row r="21944" spans="1:3">
      <c r="A21944" s="250">
        <v>50567</v>
      </c>
      <c r="B21944" s="74" t="s">
        <v>11634</v>
      </c>
      <c r="C21944" s="74" t="s">
        <v>426</v>
      </c>
    </row>
    <row r="21945" spans="1:3">
      <c r="A21945" s="250">
        <v>50568</v>
      </c>
      <c r="B21945" s="74" t="s">
        <v>4134</v>
      </c>
      <c r="C21945" s="74" t="s">
        <v>426</v>
      </c>
    </row>
    <row r="21946" spans="1:3">
      <c r="A21946" s="250">
        <v>50569</v>
      </c>
      <c r="B21946" s="74" t="s">
        <v>11635</v>
      </c>
      <c r="C21946" s="74" t="s">
        <v>426</v>
      </c>
    </row>
    <row r="21947" spans="1:3">
      <c r="A21947" s="250">
        <v>50570</v>
      </c>
      <c r="B21947" s="74" t="s">
        <v>11636</v>
      </c>
      <c r="C21947" s="74" t="s">
        <v>426</v>
      </c>
    </row>
    <row r="21948" spans="1:3">
      <c r="A21948" s="250">
        <v>50571</v>
      </c>
      <c r="B21948" s="74" t="s">
        <v>526</v>
      </c>
      <c r="C21948" s="74" t="s">
        <v>426</v>
      </c>
    </row>
    <row r="21949" spans="1:3">
      <c r="A21949" s="250">
        <v>50573</v>
      </c>
      <c r="B21949" s="74" t="s">
        <v>11637</v>
      </c>
      <c r="C21949" s="74" t="s">
        <v>426</v>
      </c>
    </row>
    <row r="21950" spans="1:3">
      <c r="A21950" s="250">
        <v>50574</v>
      </c>
      <c r="B21950" s="74" t="s">
        <v>6468</v>
      </c>
      <c r="C21950" s="74" t="s">
        <v>426</v>
      </c>
    </row>
    <row r="21951" spans="1:3">
      <c r="A21951" s="250">
        <v>50575</v>
      </c>
      <c r="B21951" s="74" t="s">
        <v>5395</v>
      </c>
      <c r="C21951" s="74" t="s">
        <v>426</v>
      </c>
    </row>
    <row r="21952" spans="1:3">
      <c r="A21952" s="250">
        <v>50576</v>
      </c>
      <c r="B21952" s="74" t="s">
        <v>11638</v>
      </c>
      <c r="C21952" s="74" t="s">
        <v>426</v>
      </c>
    </row>
    <row r="21953" spans="1:3">
      <c r="A21953" s="250">
        <v>50577</v>
      </c>
      <c r="B21953" s="74" t="s">
        <v>11639</v>
      </c>
      <c r="C21953" s="74" t="s">
        <v>426</v>
      </c>
    </row>
    <row r="21954" spans="1:3">
      <c r="A21954" s="250">
        <v>50578</v>
      </c>
      <c r="B21954" s="74" t="s">
        <v>11640</v>
      </c>
      <c r="C21954" s="74" t="s">
        <v>426</v>
      </c>
    </row>
    <row r="21955" spans="1:3">
      <c r="A21955" s="250">
        <v>50579</v>
      </c>
      <c r="B21955" s="74" t="s">
        <v>11641</v>
      </c>
      <c r="C21955" s="74" t="s">
        <v>426</v>
      </c>
    </row>
    <row r="21956" spans="1:3">
      <c r="A21956" s="250">
        <v>50581</v>
      </c>
      <c r="B21956" s="74" t="s">
        <v>11642</v>
      </c>
      <c r="C21956" s="74" t="s">
        <v>426</v>
      </c>
    </row>
    <row r="21957" spans="1:3">
      <c r="A21957" s="250">
        <v>50582</v>
      </c>
      <c r="B21957" s="74" t="s">
        <v>757</v>
      </c>
      <c r="C21957" s="74" t="s">
        <v>426</v>
      </c>
    </row>
    <row r="21958" spans="1:3">
      <c r="A21958" s="250">
        <v>50583</v>
      </c>
      <c r="B21958" s="74" t="s">
        <v>11643</v>
      </c>
      <c r="C21958" s="74" t="s">
        <v>426</v>
      </c>
    </row>
    <row r="21959" spans="1:3">
      <c r="A21959" s="250">
        <v>50585</v>
      </c>
      <c r="B21959" s="74" t="s">
        <v>11644</v>
      </c>
      <c r="C21959" s="74" t="s">
        <v>426</v>
      </c>
    </row>
    <row r="21960" spans="1:3">
      <c r="A21960" s="250">
        <v>50586</v>
      </c>
      <c r="B21960" s="74" t="s">
        <v>1957</v>
      </c>
      <c r="C21960" s="74" t="s">
        <v>426</v>
      </c>
    </row>
    <row r="21961" spans="1:3">
      <c r="A21961" s="250">
        <v>50588</v>
      </c>
      <c r="B21961" s="74" t="s">
        <v>11645</v>
      </c>
      <c r="C21961" s="74" t="s">
        <v>426</v>
      </c>
    </row>
    <row r="21962" spans="1:3">
      <c r="A21962" s="250">
        <v>50590</v>
      </c>
      <c r="B21962" s="74" t="s">
        <v>11646</v>
      </c>
      <c r="C21962" s="74" t="s">
        <v>426</v>
      </c>
    </row>
    <row r="21963" spans="1:3">
      <c r="A21963" s="250">
        <v>50591</v>
      </c>
      <c r="B21963" s="74" t="s">
        <v>11647</v>
      </c>
      <c r="C21963" s="74" t="s">
        <v>426</v>
      </c>
    </row>
    <row r="21964" spans="1:3">
      <c r="A21964" s="250">
        <v>50592</v>
      </c>
      <c r="B21964" s="74" t="s">
        <v>11648</v>
      </c>
      <c r="C21964" s="74" t="s">
        <v>426</v>
      </c>
    </row>
    <row r="21965" spans="1:3">
      <c r="A21965" s="250">
        <v>50593</v>
      </c>
      <c r="B21965" s="74" t="s">
        <v>11649</v>
      </c>
      <c r="C21965" s="74" t="s">
        <v>426</v>
      </c>
    </row>
    <row r="21966" spans="1:3">
      <c r="A21966" s="250">
        <v>50594</v>
      </c>
      <c r="B21966" s="74" t="s">
        <v>8672</v>
      </c>
      <c r="C21966" s="74" t="s">
        <v>426</v>
      </c>
    </row>
    <row r="21967" spans="1:3">
      <c r="A21967" s="250">
        <v>50595</v>
      </c>
      <c r="B21967" s="74" t="s">
        <v>11650</v>
      </c>
      <c r="C21967" s="74" t="s">
        <v>426</v>
      </c>
    </row>
    <row r="21968" spans="1:3">
      <c r="A21968" s="250">
        <v>50597</v>
      </c>
      <c r="B21968" s="74" t="s">
        <v>11651</v>
      </c>
      <c r="C21968" s="74" t="s">
        <v>426</v>
      </c>
    </row>
    <row r="21969" spans="1:3">
      <c r="A21969" s="250">
        <v>50598</v>
      </c>
      <c r="B21969" s="74" t="s">
        <v>11145</v>
      </c>
      <c r="C21969" s="74" t="s">
        <v>426</v>
      </c>
    </row>
    <row r="21970" spans="1:3">
      <c r="A21970" s="250">
        <v>50599</v>
      </c>
      <c r="B21970" s="74" t="s">
        <v>11652</v>
      </c>
      <c r="C21970" s="74" t="s">
        <v>426</v>
      </c>
    </row>
    <row r="21971" spans="1:3">
      <c r="A21971" s="250">
        <v>50601</v>
      </c>
      <c r="B21971" s="74" t="s">
        <v>11653</v>
      </c>
      <c r="C21971" s="74" t="s">
        <v>426</v>
      </c>
    </row>
    <row r="21972" spans="1:3">
      <c r="A21972" s="250">
        <v>50602</v>
      </c>
      <c r="B21972" s="74" t="s">
        <v>4092</v>
      </c>
      <c r="C21972" s="74" t="s">
        <v>426</v>
      </c>
    </row>
    <row r="21973" spans="1:3">
      <c r="A21973" s="250">
        <v>50603</v>
      </c>
      <c r="B21973" s="74" t="s">
        <v>11654</v>
      </c>
      <c r="C21973" s="74" t="s">
        <v>426</v>
      </c>
    </row>
    <row r="21974" spans="1:3">
      <c r="A21974" s="250">
        <v>50604</v>
      </c>
      <c r="B21974" s="74" t="s">
        <v>11655</v>
      </c>
      <c r="C21974" s="74" t="s">
        <v>426</v>
      </c>
    </row>
    <row r="21975" spans="1:3">
      <c r="A21975" s="250">
        <v>50605</v>
      </c>
      <c r="B21975" s="74" t="s">
        <v>11656</v>
      </c>
      <c r="C21975" s="74" t="s">
        <v>426</v>
      </c>
    </row>
    <row r="21976" spans="1:3">
      <c r="A21976" s="250">
        <v>50606</v>
      </c>
      <c r="B21976" s="74" t="s">
        <v>984</v>
      </c>
      <c r="C21976" s="74" t="s">
        <v>426</v>
      </c>
    </row>
    <row r="21977" spans="1:3">
      <c r="A21977" s="250">
        <v>50607</v>
      </c>
      <c r="B21977" s="74" t="s">
        <v>1489</v>
      </c>
      <c r="C21977" s="74" t="s">
        <v>426</v>
      </c>
    </row>
    <row r="21978" spans="1:3">
      <c r="A21978" s="250">
        <v>50608</v>
      </c>
      <c r="B21978" s="74" t="s">
        <v>6346</v>
      </c>
      <c r="C21978" s="74" t="s">
        <v>426</v>
      </c>
    </row>
    <row r="21979" spans="1:3">
      <c r="A21979" s="250">
        <v>50609</v>
      </c>
      <c r="B21979" s="74" t="s">
        <v>11657</v>
      </c>
      <c r="C21979" s="74" t="s">
        <v>426</v>
      </c>
    </row>
    <row r="21980" spans="1:3">
      <c r="A21980" s="250">
        <v>50611</v>
      </c>
      <c r="B21980" s="74" t="s">
        <v>5524</v>
      </c>
      <c r="C21980" s="74" t="s">
        <v>426</v>
      </c>
    </row>
    <row r="21981" spans="1:3">
      <c r="A21981" s="250">
        <v>50612</v>
      </c>
      <c r="B21981" s="74" t="s">
        <v>5261</v>
      </c>
      <c r="C21981" s="74" t="s">
        <v>426</v>
      </c>
    </row>
    <row r="21982" spans="1:3">
      <c r="A21982" s="250">
        <v>50613</v>
      </c>
      <c r="B21982" s="74" t="s">
        <v>7090</v>
      </c>
      <c r="C21982" s="74" t="s">
        <v>426</v>
      </c>
    </row>
    <row r="21983" spans="1:3">
      <c r="A21983" s="250">
        <v>50614</v>
      </c>
      <c r="B21983" s="74" t="s">
        <v>7090</v>
      </c>
      <c r="C21983" s="74" t="s">
        <v>426</v>
      </c>
    </row>
    <row r="21984" spans="1:3">
      <c r="A21984" s="250">
        <v>50616</v>
      </c>
      <c r="B21984" s="74" t="s">
        <v>6045</v>
      </c>
      <c r="C21984" s="74" t="s">
        <v>426</v>
      </c>
    </row>
    <row r="21985" spans="1:3">
      <c r="A21985" s="250">
        <v>50619</v>
      </c>
      <c r="B21985" s="74" t="s">
        <v>2926</v>
      </c>
      <c r="C21985" s="74" t="s">
        <v>426</v>
      </c>
    </row>
    <row r="21986" spans="1:3">
      <c r="A21986" s="250">
        <v>50620</v>
      </c>
      <c r="B21986" s="74" t="s">
        <v>11658</v>
      </c>
      <c r="C21986" s="74" t="s">
        <v>426</v>
      </c>
    </row>
    <row r="21987" spans="1:3">
      <c r="A21987" s="250">
        <v>50621</v>
      </c>
      <c r="B21987" s="74" t="s">
        <v>11659</v>
      </c>
      <c r="C21987" s="74" t="s">
        <v>426</v>
      </c>
    </row>
    <row r="21988" spans="1:3">
      <c r="A21988" s="250">
        <v>50622</v>
      </c>
      <c r="B21988" s="74" t="s">
        <v>3040</v>
      </c>
      <c r="C21988" s="74" t="s">
        <v>426</v>
      </c>
    </row>
    <row r="21989" spans="1:3">
      <c r="A21989" s="250">
        <v>50623</v>
      </c>
      <c r="B21989" s="74" t="s">
        <v>11660</v>
      </c>
      <c r="C21989" s="74" t="s">
        <v>426</v>
      </c>
    </row>
    <row r="21990" spans="1:3">
      <c r="A21990" s="250">
        <v>50624</v>
      </c>
      <c r="B21990" s="74" t="s">
        <v>11661</v>
      </c>
      <c r="C21990" s="74" t="s">
        <v>426</v>
      </c>
    </row>
    <row r="21991" spans="1:3">
      <c r="A21991" s="250">
        <v>50625</v>
      </c>
      <c r="B21991" s="74" t="s">
        <v>2230</v>
      </c>
      <c r="C21991" s="74" t="s">
        <v>426</v>
      </c>
    </row>
    <row r="21992" spans="1:3">
      <c r="A21992" s="250">
        <v>50626</v>
      </c>
      <c r="B21992" s="74" t="s">
        <v>11662</v>
      </c>
      <c r="C21992" s="74" t="s">
        <v>426</v>
      </c>
    </row>
    <row r="21993" spans="1:3">
      <c r="A21993" s="250">
        <v>50627</v>
      </c>
      <c r="B21993" s="74" t="s">
        <v>11663</v>
      </c>
      <c r="C21993" s="74" t="s">
        <v>426</v>
      </c>
    </row>
    <row r="21994" spans="1:3">
      <c r="A21994" s="250">
        <v>50628</v>
      </c>
      <c r="B21994" s="74" t="s">
        <v>3702</v>
      </c>
      <c r="C21994" s="74" t="s">
        <v>426</v>
      </c>
    </row>
    <row r="21995" spans="1:3">
      <c r="A21995" s="250">
        <v>50629</v>
      </c>
      <c r="B21995" s="74" t="s">
        <v>4108</v>
      </c>
      <c r="C21995" s="74" t="s">
        <v>426</v>
      </c>
    </row>
    <row r="21996" spans="1:3">
      <c r="A21996" s="250">
        <v>50630</v>
      </c>
      <c r="B21996" s="74" t="s">
        <v>4704</v>
      </c>
      <c r="C21996" s="74" t="s">
        <v>426</v>
      </c>
    </row>
    <row r="21997" spans="1:3">
      <c r="A21997" s="250">
        <v>50631</v>
      </c>
      <c r="B21997" s="74" t="s">
        <v>11664</v>
      </c>
      <c r="C21997" s="74" t="s">
        <v>426</v>
      </c>
    </row>
    <row r="21998" spans="1:3">
      <c r="A21998" s="250">
        <v>50632</v>
      </c>
      <c r="B21998" s="74" t="s">
        <v>11665</v>
      </c>
      <c r="C21998" s="74" t="s">
        <v>426</v>
      </c>
    </row>
    <row r="21999" spans="1:3">
      <c r="A21999" s="250">
        <v>50633</v>
      </c>
      <c r="B21999" s="74" t="s">
        <v>3776</v>
      </c>
      <c r="C21999" s="74" t="s">
        <v>426</v>
      </c>
    </row>
    <row r="22000" spans="1:3">
      <c r="A22000" s="250">
        <v>50634</v>
      </c>
      <c r="B22000" s="74" t="s">
        <v>591</v>
      </c>
      <c r="C22000" s="74" t="s">
        <v>426</v>
      </c>
    </row>
    <row r="22001" spans="1:3">
      <c r="A22001" s="250">
        <v>50635</v>
      </c>
      <c r="B22001" s="74" t="s">
        <v>11666</v>
      </c>
      <c r="C22001" s="74" t="s">
        <v>426</v>
      </c>
    </row>
    <row r="22002" spans="1:3">
      <c r="A22002" s="250">
        <v>50636</v>
      </c>
      <c r="B22002" s="74" t="s">
        <v>1107</v>
      </c>
      <c r="C22002" s="74" t="s">
        <v>426</v>
      </c>
    </row>
    <row r="22003" spans="1:3">
      <c r="A22003" s="250">
        <v>50638</v>
      </c>
      <c r="B22003" s="74" t="s">
        <v>11667</v>
      </c>
      <c r="C22003" s="74" t="s">
        <v>426</v>
      </c>
    </row>
    <row r="22004" spans="1:3">
      <c r="A22004" s="250">
        <v>50641</v>
      </c>
      <c r="B22004" s="74" t="s">
        <v>5077</v>
      </c>
      <c r="C22004" s="74" t="s">
        <v>426</v>
      </c>
    </row>
    <row r="22005" spans="1:3">
      <c r="A22005" s="250">
        <v>50642</v>
      </c>
      <c r="B22005" s="74" t="s">
        <v>739</v>
      </c>
      <c r="C22005" s="74" t="s">
        <v>426</v>
      </c>
    </row>
    <row r="22006" spans="1:3">
      <c r="A22006" s="250">
        <v>50643</v>
      </c>
      <c r="B22006" s="74" t="s">
        <v>792</v>
      </c>
      <c r="C22006" s="74" t="s">
        <v>426</v>
      </c>
    </row>
    <row r="22007" spans="1:3">
      <c r="A22007" s="250">
        <v>50644</v>
      </c>
      <c r="B22007" s="74" t="s">
        <v>6364</v>
      </c>
      <c r="C22007" s="74" t="s">
        <v>426</v>
      </c>
    </row>
    <row r="22008" spans="1:3">
      <c r="A22008" s="250">
        <v>50645</v>
      </c>
      <c r="B22008" s="74" t="s">
        <v>3785</v>
      </c>
      <c r="C22008" s="74" t="s">
        <v>426</v>
      </c>
    </row>
    <row r="22009" spans="1:3">
      <c r="A22009" s="250">
        <v>50647</v>
      </c>
      <c r="B22009" s="74" t="s">
        <v>11668</v>
      </c>
      <c r="C22009" s="74" t="s">
        <v>426</v>
      </c>
    </row>
    <row r="22010" spans="1:3">
      <c r="A22010" s="250">
        <v>50648</v>
      </c>
      <c r="B22010" s="74" t="s">
        <v>8128</v>
      </c>
      <c r="C22010" s="74" t="s">
        <v>426</v>
      </c>
    </row>
    <row r="22011" spans="1:3">
      <c r="A22011" s="250">
        <v>50649</v>
      </c>
      <c r="B22011" s="74" t="s">
        <v>11669</v>
      </c>
      <c r="C22011" s="74" t="s">
        <v>426</v>
      </c>
    </row>
    <row r="22012" spans="1:3">
      <c r="A22012" s="250">
        <v>50650</v>
      </c>
      <c r="B22012" s="74" t="s">
        <v>8282</v>
      </c>
      <c r="C22012" s="74" t="s">
        <v>426</v>
      </c>
    </row>
    <row r="22013" spans="1:3">
      <c r="A22013" s="250">
        <v>50651</v>
      </c>
      <c r="B22013" s="74" t="s">
        <v>11670</v>
      </c>
      <c r="C22013" s="74" t="s">
        <v>426</v>
      </c>
    </row>
    <row r="22014" spans="1:3">
      <c r="A22014" s="250">
        <v>50652</v>
      </c>
      <c r="B22014" s="74" t="s">
        <v>800</v>
      </c>
      <c r="C22014" s="74" t="s">
        <v>426</v>
      </c>
    </row>
    <row r="22015" spans="1:3">
      <c r="A22015" s="250">
        <v>50653</v>
      </c>
      <c r="B22015" s="74" t="s">
        <v>11671</v>
      </c>
      <c r="C22015" s="74" t="s">
        <v>426</v>
      </c>
    </row>
    <row r="22016" spans="1:3">
      <c r="A22016" s="250">
        <v>50654</v>
      </c>
      <c r="B22016" s="74" t="s">
        <v>3631</v>
      </c>
      <c r="C22016" s="74" t="s">
        <v>426</v>
      </c>
    </row>
    <row r="22017" spans="1:3">
      <c r="A22017" s="250">
        <v>50655</v>
      </c>
      <c r="B22017" s="74" t="s">
        <v>794</v>
      </c>
      <c r="C22017" s="74" t="s">
        <v>426</v>
      </c>
    </row>
    <row r="22018" spans="1:3">
      <c r="A22018" s="250">
        <v>50657</v>
      </c>
      <c r="B22018" s="74" t="s">
        <v>9073</v>
      </c>
      <c r="C22018" s="74" t="s">
        <v>426</v>
      </c>
    </row>
    <row r="22019" spans="1:3">
      <c r="A22019" s="250">
        <v>50658</v>
      </c>
      <c r="B22019" s="74" t="s">
        <v>1165</v>
      </c>
      <c r="C22019" s="74" t="s">
        <v>426</v>
      </c>
    </row>
    <row r="22020" spans="1:3">
      <c r="A22020" s="250">
        <v>50659</v>
      </c>
      <c r="B22020" s="74" t="s">
        <v>1200</v>
      </c>
      <c r="C22020" s="74" t="s">
        <v>426</v>
      </c>
    </row>
    <row r="22021" spans="1:3">
      <c r="A22021" s="250">
        <v>50660</v>
      </c>
      <c r="B22021" s="74" t="s">
        <v>1947</v>
      </c>
      <c r="C22021" s="74" t="s">
        <v>426</v>
      </c>
    </row>
    <row r="22022" spans="1:3">
      <c r="A22022" s="250">
        <v>50661</v>
      </c>
      <c r="B22022" s="74" t="s">
        <v>4395</v>
      </c>
      <c r="C22022" s="74" t="s">
        <v>426</v>
      </c>
    </row>
    <row r="22023" spans="1:3">
      <c r="A22023" s="250">
        <v>50662</v>
      </c>
      <c r="B22023" s="74" t="s">
        <v>11672</v>
      </c>
      <c r="C22023" s="74" t="s">
        <v>426</v>
      </c>
    </row>
    <row r="22024" spans="1:3">
      <c r="A22024" s="250">
        <v>50664</v>
      </c>
      <c r="B22024" s="74" t="s">
        <v>11673</v>
      </c>
      <c r="C22024" s="74" t="s">
        <v>426</v>
      </c>
    </row>
    <row r="22025" spans="1:3">
      <c r="A22025" s="250">
        <v>50665</v>
      </c>
      <c r="B22025" s="74" t="s">
        <v>6864</v>
      </c>
      <c r="C22025" s="74" t="s">
        <v>426</v>
      </c>
    </row>
    <row r="22026" spans="1:3">
      <c r="A22026" s="250">
        <v>50666</v>
      </c>
      <c r="B22026" s="74" t="s">
        <v>611</v>
      </c>
      <c r="C22026" s="74" t="s">
        <v>426</v>
      </c>
    </row>
    <row r="22027" spans="1:3">
      <c r="A22027" s="250">
        <v>50667</v>
      </c>
      <c r="B22027" s="74" t="s">
        <v>1170</v>
      </c>
      <c r="C22027" s="74" t="s">
        <v>426</v>
      </c>
    </row>
    <row r="22028" spans="1:3">
      <c r="A22028" s="250">
        <v>50668</v>
      </c>
      <c r="B22028" s="74" t="s">
        <v>11674</v>
      </c>
      <c r="C22028" s="74" t="s">
        <v>426</v>
      </c>
    </row>
    <row r="22029" spans="1:3">
      <c r="A22029" s="250">
        <v>50669</v>
      </c>
      <c r="B22029" s="74" t="s">
        <v>11675</v>
      </c>
      <c r="C22029" s="74" t="s">
        <v>426</v>
      </c>
    </row>
    <row r="22030" spans="1:3">
      <c r="A22030" s="250">
        <v>50670</v>
      </c>
      <c r="B22030" s="74" t="s">
        <v>11676</v>
      </c>
      <c r="C22030" s="74" t="s">
        <v>426</v>
      </c>
    </row>
    <row r="22031" spans="1:3">
      <c r="A22031" s="250">
        <v>50671</v>
      </c>
      <c r="B22031" s="74" t="s">
        <v>3830</v>
      </c>
      <c r="C22031" s="74" t="s">
        <v>426</v>
      </c>
    </row>
    <row r="22032" spans="1:3">
      <c r="A22032" s="250">
        <v>50672</v>
      </c>
      <c r="B22032" s="74" t="s">
        <v>11677</v>
      </c>
      <c r="C22032" s="74" t="s">
        <v>426</v>
      </c>
    </row>
    <row r="22033" spans="1:3">
      <c r="A22033" s="250">
        <v>50673</v>
      </c>
      <c r="B22033" s="74" t="s">
        <v>10558</v>
      </c>
      <c r="C22033" s="74" t="s">
        <v>426</v>
      </c>
    </row>
    <row r="22034" spans="1:3">
      <c r="A22034" s="250">
        <v>50674</v>
      </c>
      <c r="B22034" s="74" t="s">
        <v>1472</v>
      </c>
      <c r="C22034" s="74" t="s">
        <v>426</v>
      </c>
    </row>
    <row r="22035" spans="1:3">
      <c r="A22035" s="250">
        <v>50675</v>
      </c>
      <c r="B22035" s="74" t="s">
        <v>11678</v>
      </c>
      <c r="C22035" s="74" t="s">
        <v>426</v>
      </c>
    </row>
    <row r="22036" spans="1:3">
      <c r="A22036" s="250">
        <v>50676</v>
      </c>
      <c r="B22036" s="74" t="s">
        <v>11679</v>
      </c>
      <c r="C22036" s="74" t="s">
        <v>426</v>
      </c>
    </row>
    <row r="22037" spans="1:3">
      <c r="A22037" s="250">
        <v>50677</v>
      </c>
      <c r="B22037" s="74" t="s">
        <v>3950</v>
      </c>
      <c r="C22037" s="74" t="s">
        <v>426</v>
      </c>
    </row>
    <row r="22038" spans="1:3">
      <c r="A22038" s="250">
        <v>50680</v>
      </c>
      <c r="B22038" s="74" t="s">
        <v>3951</v>
      </c>
      <c r="C22038" s="74" t="s">
        <v>426</v>
      </c>
    </row>
    <row r="22039" spans="1:3">
      <c r="A22039" s="250">
        <v>50681</v>
      </c>
      <c r="B22039" s="74" t="s">
        <v>11680</v>
      </c>
      <c r="C22039" s="74" t="s">
        <v>426</v>
      </c>
    </row>
    <row r="22040" spans="1:3">
      <c r="A22040" s="250">
        <v>50682</v>
      </c>
      <c r="B22040" s="74" t="s">
        <v>920</v>
      </c>
      <c r="C22040" s="74" t="s">
        <v>426</v>
      </c>
    </row>
    <row r="22041" spans="1:3">
      <c r="A22041" s="250">
        <v>50701</v>
      </c>
      <c r="B22041" s="74" t="s">
        <v>3425</v>
      </c>
      <c r="C22041" s="74" t="s">
        <v>426</v>
      </c>
    </row>
    <row r="22042" spans="1:3">
      <c r="A22042" s="250">
        <v>50702</v>
      </c>
      <c r="B22042" s="74" t="s">
        <v>3425</v>
      </c>
      <c r="C22042" s="74" t="s">
        <v>426</v>
      </c>
    </row>
    <row r="22043" spans="1:3">
      <c r="A22043" s="250">
        <v>50703</v>
      </c>
      <c r="B22043" s="74" t="s">
        <v>3425</v>
      </c>
      <c r="C22043" s="74" t="s">
        <v>426</v>
      </c>
    </row>
    <row r="22044" spans="1:3">
      <c r="A22044" s="250">
        <v>50704</v>
      </c>
      <c r="B22044" s="74" t="s">
        <v>3425</v>
      </c>
      <c r="C22044" s="74" t="s">
        <v>426</v>
      </c>
    </row>
    <row r="22045" spans="1:3">
      <c r="A22045" s="250">
        <v>50706</v>
      </c>
      <c r="B22045" s="74" t="s">
        <v>3425</v>
      </c>
      <c r="C22045" s="74" t="s">
        <v>426</v>
      </c>
    </row>
    <row r="22046" spans="1:3">
      <c r="A22046" s="250">
        <v>50707</v>
      </c>
      <c r="B22046" s="74" t="s">
        <v>11681</v>
      </c>
      <c r="C22046" s="74" t="s">
        <v>426</v>
      </c>
    </row>
    <row r="22047" spans="1:3">
      <c r="A22047" s="250">
        <v>50801</v>
      </c>
      <c r="B22047" s="74" t="s">
        <v>6869</v>
      </c>
      <c r="C22047" s="74" t="s">
        <v>426</v>
      </c>
    </row>
    <row r="22048" spans="1:3">
      <c r="A22048" s="250">
        <v>50830</v>
      </c>
      <c r="B22048" s="74" t="s">
        <v>3590</v>
      </c>
      <c r="C22048" s="74" t="s">
        <v>426</v>
      </c>
    </row>
    <row r="22049" spans="1:3">
      <c r="A22049" s="250">
        <v>50831</v>
      </c>
      <c r="B22049" s="74" t="s">
        <v>11682</v>
      </c>
      <c r="C22049" s="74" t="s">
        <v>426</v>
      </c>
    </row>
    <row r="22050" spans="1:3">
      <c r="A22050" s="250">
        <v>50833</v>
      </c>
      <c r="B22050" s="74" t="s">
        <v>783</v>
      </c>
      <c r="C22050" s="74" t="s">
        <v>426</v>
      </c>
    </row>
    <row r="22051" spans="1:3">
      <c r="A22051" s="250">
        <v>50835</v>
      </c>
      <c r="B22051" s="74" t="s">
        <v>4938</v>
      </c>
      <c r="C22051" s="74" t="s">
        <v>426</v>
      </c>
    </row>
    <row r="22052" spans="1:3">
      <c r="A22052" s="250">
        <v>50836</v>
      </c>
      <c r="B22052" s="74" t="s">
        <v>11683</v>
      </c>
      <c r="C22052" s="74" t="s">
        <v>426</v>
      </c>
    </row>
    <row r="22053" spans="1:3">
      <c r="A22053" s="250">
        <v>50837</v>
      </c>
      <c r="B22053" s="74" t="s">
        <v>936</v>
      </c>
      <c r="C22053" s="74" t="s">
        <v>426</v>
      </c>
    </row>
    <row r="22054" spans="1:3">
      <c r="A22054" s="250">
        <v>50839</v>
      </c>
      <c r="B22054" s="74" t="s">
        <v>10930</v>
      </c>
      <c r="C22054" s="74" t="s">
        <v>426</v>
      </c>
    </row>
    <row r="22055" spans="1:3">
      <c r="A22055" s="250">
        <v>50840</v>
      </c>
      <c r="B22055" s="74" t="s">
        <v>4618</v>
      </c>
      <c r="C22055" s="74" t="s">
        <v>426</v>
      </c>
    </row>
    <row r="22056" spans="1:3">
      <c r="A22056" s="250">
        <v>50841</v>
      </c>
      <c r="B22056" s="74" t="s">
        <v>3911</v>
      </c>
      <c r="C22056" s="74" t="s">
        <v>426</v>
      </c>
    </row>
    <row r="22057" spans="1:3">
      <c r="A22057" s="250">
        <v>50842</v>
      </c>
      <c r="B22057" s="74" t="s">
        <v>2045</v>
      </c>
      <c r="C22057" s="74" t="s">
        <v>426</v>
      </c>
    </row>
    <row r="22058" spans="1:3">
      <c r="A22058" s="250">
        <v>50843</v>
      </c>
      <c r="B22058" s="74" t="s">
        <v>1125</v>
      </c>
      <c r="C22058" s="74" t="s">
        <v>426</v>
      </c>
    </row>
    <row r="22059" spans="1:3">
      <c r="A22059" s="250">
        <v>50845</v>
      </c>
      <c r="B22059" s="74" t="s">
        <v>11684</v>
      </c>
      <c r="C22059" s="74" t="s">
        <v>426</v>
      </c>
    </row>
    <row r="22060" spans="1:3">
      <c r="A22060" s="250">
        <v>50846</v>
      </c>
      <c r="B22060" s="74" t="s">
        <v>11685</v>
      </c>
      <c r="C22060" s="74" t="s">
        <v>426</v>
      </c>
    </row>
    <row r="22061" spans="1:3">
      <c r="A22061" s="250">
        <v>50847</v>
      </c>
      <c r="B22061" s="74" t="s">
        <v>8402</v>
      </c>
      <c r="C22061" s="74" t="s">
        <v>426</v>
      </c>
    </row>
    <row r="22062" spans="1:3">
      <c r="A22062" s="250">
        <v>50848</v>
      </c>
      <c r="B22062" s="74" t="s">
        <v>11686</v>
      </c>
      <c r="C22062" s="74" t="s">
        <v>426</v>
      </c>
    </row>
    <row r="22063" spans="1:3">
      <c r="A22063" s="250">
        <v>50849</v>
      </c>
      <c r="B22063" s="74" t="s">
        <v>670</v>
      </c>
      <c r="C22063" s="74" t="s">
        <v>426</v>
      </c>
    </row>
    <row r="22064" spans="1:3">
      <c r="A22064" s="250">
        <v>50851</v>
      </c>
      <c r="B22064" s="74" t="s">
        <v>650</v>
      </c>
      <c r="C22064" s="74" t="s">
        <v>426</v>
      </c>
    </row>
    <row r="22065" spans="1:3">
      <c r="A22065" s="250">
        <v>50853</v>
      </c>
      <c r="B22065" s="74" t="s">
        <v>3565</v>
      </c>
      <c r="C22065" s="74" t="s">
        <v>426</v>
      </c>
    </row>
    <row r="22066" spans="1:3">
      <c r="A22066" s="250">
        <v>50854</v>
      </c>
      <c r="B22066" s="74" t="s">
        <v>10971</v>
      </c>
      <c r="C22066" s="74" t="s">
        <v>426</v>
      </c>
    </row>
    <row r="22067" spans="1:3">
      <c r="A22067" s="250">
        <v>50857</v>
      </c>
      <c r="B22067" s="74" t="s">
        <v>11687</v>
      </c>
      <c r="C22067" s="74" t="s">
        <v>426</v>
      </c>
    </row>
    <row r="22068" spans="1:3">
      <c r="A22068" s="250">
        <v>50858</v>
      </c>
      <c r="B22068" s="74" t="s">
        <v>1520</v>
      </c>
      <c r="C22068" s="74" t="s">
        <v>426</v>
      </c>
    </row>
    <row r="22069" spans="1:3">
      <c r="A22069" s="250">
        <v>50859</v>
      </c>
      <c r="B22069" s="74" t="s">
        <v>11136</v>
      </c>
      <c r="C22069" s="74" t="s">
        <v>426</v>
      </c>
    </row>
    <row r="22070" spans="1:3">
      <c r="A22070" s="250">
        <v>50860</v>
      </c>
      <c r="B22070" s="74" t="s">
        <v>2109</v>
      </c>
      <c r="C22070" s="74" t="s">
        <v>426</v>
      </c>
    </row>
    <row r="22071" spans="1:3">
      <c r="A22071" s="250">
        <v>50861</v>
      </c>
      <c r="B22071" s="74" t="s">
        <v>11688</v>
      </c>
      <c r="C22071" s="74" t="s">
        <v>426</v>
      </c>
    </row>
    <row r="22072" spans="1:3">
      <c r="A22072" s="250">
        <v>50862</v>
      </c>
      <c r="B22072" s="74" t="s">
        <v>5818</v>
      </c>
      <c r="C22072" s="74" t="s">
        <v>426</v>
      </c>
    </row>
    <row r="22073" spans="1:3">
      <c r="A22073" s="250">
        <v>50863</v>
      </c>
      <c r="B22073" s="74" t="s">
        <v>11689</v>
      </c>
      <c r="C22073" s="74" t="s">
        <v>426</v>
      </c>
    </row>
    <row r="22074" spans="1:3">
      <c r="A22074" s="250">
        <v>50864</v>
      </c>
      <c r="B22074" s="74" t="s">
        <v>11690</v>
      </c>
      <c r="C22074" s="74" t="s">
        <v>426</v>
      </c>
    </row>
    <row r="22075" spans="1:3">
      <c r="A22075" s="250">
        <v>50936</v>
      </c>
      <c r="B22075" s="74" t="s">
        <v>11563</v>
      </c>
      <c r="C22075" s="74" t="s">
        <v>426</v>
      </c>
    </row>
    <row r="22076" spans="1:3">
      <c r="A22076" s="250">
        <v>50940</v>
      </c>
      <c r="B22076" s="74" t="s">
        <v>11563</v>
      </c>
      <c r="C22076" s="74" t="s">
        <v>426</v>
      </c>
    </row>
    <row r="22077" spans="1:3">
      <c r="A22077" s="250">
        <v>50947</v>
      </c>
      <c r="B22077" s="74" t="s">
        <v>11563</v>
      </c>
      <c r="C22077" s="74" t="s">
        <v>426</v>
      </c>
    </row>
    <row r="22078" spans="1:3">
      <c r="A22078" s="250">
        <v>50950</v>
      </c>
      <c r="B22078" s="74" t="s">
        <v>11563</v>
      </c>
      <c r="C22078" s="74" t="s">
        <v>426</v>
      </c>
    </row>
    <row r="22079" spans="1:3">
      <c r="A22079" s="250">
        <v>50980</v>
      </c>
      <c r="B22079" s="74" t="s">
        <v>11563</v>
      </c>
      <c r="C22079" s="74" t="s">
        <v>426</v>
      </c>
    </row>
    <row r="22080" spans="1:3">
      <c r="A22080" s="250">
        <v>50981</v>
      </c>
      <c r="B22080" s="74" t="s">
        <v>11563</v>
      </c>
      <c r="C22080" s="74" t="s">
        <v>426</v>
      </c>
    </row>
    <row r="22081" spans="1:3">
      <c r="A22081" s="250">
        <v>50982</v>
      </c>
      <c r="B22081" s="74" t="s">
        <v>11563</v>
      </c>
      <c r="C22081" s="74" t="s">
        <v>426</v>
      </c>
    </row>
    <row r="22082" spans="1:3">
      <c r="A22082" s="250">
        <v>50983</v>
      </c>
      <c r="B22082" s="74" t="s">
        <v>11563</v>
      </c>
      <c r="C22082" s="74" t="s">
        <v>426</v>
      </c>
    </row>
    <row r="22083" spans="1:3">
      <c r="A22083" s="250">
        <v>51001</v>
      </c>
      <c r="B22083" s="74" t="s">
        <v>3667</v>
      </c>
      <c r="C22083" s="74" t="s">
        <v>426</v>
      </c>
    </row>
    <row r="22084" spans="1:3">
      <c r="A22084" s="250">
        <v>51002</v>
      </c>
      <c r="B22084" s="74" t="s">
        <v>11691</v>
      </c>
      <c r="C22084" s="74" t="s">
        <v>426</v>
      </c>
    </row>
    <row r="22085" spans="1:3">
      <c r="A22085" s="250">
        <v>51003</v>
      </c>
      <c r="B22085" s="74" t="s">
        <v>1293</v>
      </c>
      <c r="C22085" s="74" t="s">
        <v>426</v>
      </c>
    </row>
    <row r="22086" spans="1:3">
      <c r="A22086" s="250">
        <v>51004</v>
      </c>
      <c r="B22086" s="74" t="s">
        <v>11692</v>
      </c>
      <c r="C22086" s="74" t="s">
        <v>426</v>
      </c>
    </row>
    <row r="22087" spans="1:3">
      <c r="A22087" s="250">
        <v>51005</v>
      </c>
      <c r="B22087" s="74" t="s">
        <v>11693</v>
      </c>
      <c r="C22087" s="74" t="s">
        <v>426</v>
      </c>
    </row>
    <row r="22088" spans="1:3">
      <c r="A22088" s="250">
        <v>51006</v>
      </c>
      <c r="B22088" s="74" t="s">
        <v>11186</v>
      </c>
      <c r="C22088" s="74" t="s">
        <v>426</v>
      </c>
    </row>
    <row r="22089" spans="1:3">
      <c r="A22089" s="250">
        <v>51007</v>
      </c>
      <c r="B22089" s="74" t="s">
        <v>8344</v>
      </c>
      <c r="C22089" s="74" t="s">
        <v>426</v>
      </c>
    </row>
    <row r="22090" spans="1:3">
      <c r="A22090" s="250">
        <v>51008</v>
      </c>
      <c r="B22090" s="74" t="s">
        <v>11694</v>
      </c>
      <c r="C22090" s="74" t="s">
        <v>426</v>
      </c>
    </row>
    <row r="22091" spans="1:3">
      <c r="A22091" s="250">
        <v>51009</v>
      </c>
      <c r="B22091" s="74" t="s">
        <v>4196</v>
      </c>
      <c r="C22091" s="74" t="s">
        <v>426</v>
      </c>
    </row>
    <row r="22092" spans="1:3">
      <c r="A22092" s="250">
        <v>51010</v>
      </c>
      <c r="B22092" s="74" t="s">
        <v>11695</v>
      </c>
      <c r="C22092" s="74" t="s">
        <v>426</v>
      </c>
    </row>
    <row r="22093" spans="1:3">
      <c r="A22093" s="250">
        <v>51011</v>
      </c>
      <c r="B22093" s="74" t="s">
        <v>2373</v>
      </c>
      <c r="C22093" s="74" t="s">
        <v>426</v>
      </c>
    </row>
    <row r="22094" spans="1:3">
      <c r="A22094" s="250">
        <v>51012</v>
      </c>
      <c r="B22094" s="74" t="s">
        <v>7540</v>
      </c>
      <c r="C22094" s="74" t="s">
        <v>426</v>
      </c>
    </row>
    <row r="22095" spans="1:3">
      <c r="A22095" s="250">
        <v>51014</v>
      </c>
      <c r="B22095" s="74" t="s">
        <v>11696</v>
      </c>
      <c r="C22095" s="74" t="s">
        <v>426</v>
      </c>
    </row>
    <row r="22096" spans="1:3">
      <c r="A22096" s="250">
        <v>51015</v>
      </c>
      <c r="B22096" s="74" t="s">
        <v>11697</v>
      </c>
      <c r="C22096" s="74" t="s">
        <v>426</v>
      </c>
    </row>
    <row r="22097" spans="1:3">
      <c r="A22097" s="250">
        <v>51016</v>
      </c>
      <c r="B22097" s="74" t="s">
        <v>11698</v>
      </c>
      <c r="C22097" s="74" t="s">
        <v>426</v>
      </c>
    </row>
    <row r="22098" spans="1:3">
      <c r="A22098" s="250">
        <v>51018</v>
      </c>
      <c r="B22098" s="74" t="s">
        <v>1552</v>
      </c>
      <c r="C22098" s="74" t="s">
        <v>426</v>
      </c>
    </row>
    <row r="22099" spans="1:3">
      <c r="A22099" s="250">
        <v>51019</v>
      </c>
      <c r="B22099" s="74" t="s">
        <v>1184</v>
      </c>
      <c r="C22099" s="74" t="s">
        <v>426</v>
      </c>
    </row>
    <row r="22100" spans="1:3">
      <c r="A22100" s="250">
        <v>51020</v>
      </c>
      <c r="B22100" s="74" t="s">
        <v>11699</v>
      </c>
      <c r="C22100" s="74" t="s">
        <v>426</v>
      </c>
    </row>
    <row r="22101" spans="1:3">
      <c r="A22101" s="250">
        <v>51022</v>
      </c>
      <c r="B22101" s="74" t="s">
        <v>594</v>
      </c>
      <c r="C22101" s="74" t="s">
        <v>426</v>
      </c>
    </row>
    <row r="22102" spans="1:3">
      <c r="A22102" s="250">
        <v>51023</v>
      </c>
      <c r="B22102" s="74" t="s">
        <v>11700</v>
      </c>
      <c r="C22102" s="74" t="s">
        <v>426</v>
      </c>
    </row>
    <row r="22103" spans="1:3">
      <c r="A22103" s="250">
        <v>51024</v>
      </c>
      <c r="B22103" s="74" t="s">
        <v>5988</v>
      </c>
      <c r="C22103" s="74" t="s">
        <v>426</v>
      </c>
    </row>
    <row r="22104" spans="1:3">
      <c r="A22104" s="250">
        <v>51025</v>
      </c>
      <c r="B22104" s="74" t="s">
        <v>11701</v>
      </c>
      <c r="C22104" s="74" t="s">
        <v>426</v>
      </c>
    </row>
    <row r="22105" spans="1:3">
      <c r="A22105" s="250">
        <v>51026</v>
      </c>
      <c r="B22105" s="74" t="s">
        <v>11702</v>
      </c>
      <c r="C22105" s="74" t="s">
        <v>426</v>
      </c>
    </row>
    <row r="22106" spans="1:3">
      <c r="A22106" s="250">
        <v>51027</v>
      </c>
      <c r="B22106" s="74" t="s">
        <v>11703</v>
      </c>
      <c r="C22106" s="74" t="s">
        <v>426</v>
      </c>
    </row>
    <row r="22107" spans="1:3">
      <c r="A22107" s="250">
        <v>51028</v>
      </c>
      <c r="B22107" s="74" t="s">
        <v>5242</v>
      </c>
      <c r="C22107" s="74" t="s">
        <v>426</v>
      </c>
    </row>
    <row r="22108" spans="1:3">
      <c r="A22108" s="250">
        <v>51029</v>
      </c>
      <c r="B22108" s="74" t="s">
        <v>11704</v>
      </c>
      <c r="C22108" s="74" t="s">
        <v>426</v>
      </c>
    </row>
    <row r="22109" spans="1:3">
      <c r="A22109" s="250">
        <v>51030</v>
      </c>
      <c r="B22109" s="74" t="s">
        <v>5243</v>
      </c>
      <c r="C22109" s="74" t="s">
        <v>426</v>
      </c>
    </row>
    <row r="22110" spans="1:3">
      <c r="A22110" s="250">
        <v>51031</v>
      </c>
      <c r="B22110" s="74" t="s">
        <v>11705</v>
      </c>
      <c r="C22110" s="74" t="s">
        <v>426</v>
      </c>
    </row>
    <row r="22111" spans="1:3">
      <c r="A22111" s="250">
        <v>51033</v>
      </c>
      <c r="B22111" s="74" t="s">
        <v>10742</v>
      </c>
      <c r="C22111" s="74" t="s">
        <v>426</v>
      </c>
    </row>
    <row r="22112" spans="1:3">
      <c r="A22112" s="250">
        <v>51034</v>
      </c>
      <c r="B22112" s="74" t="s">
        <v>1637</v>
      </c>
      <c r="C22112" s="74" t="s">
        <v>426</v>
      </c>
    </row>
    <row r="22113" spans="1:3">
      <c r="A22113" s="250">
        <v>51035</v>
      </c>
      <c r="B22113" s="74" t="s">
        <v>11706</v>
      </c>
      <c r="C22113" s="74" t="s">
        <v>426</v>
      </c>
    </row>
    <row r="22114" spans="1:3">
      <c r="A22114" s="250">
        <v>51036</v>
      </c>
      <c r="B22114" s="74" t="s">
        <v>11707</v>
      </c>
      <c r="C22114" s="74" t="s">
        <v>426</v>
      </c>
    </row>
    <row r="22115" spans="1:3">
      <c r="A22115" s="250">
        <v>51037</v>
      </c>
      <c r="B22115" s="74" t="s">
        <v>1283</v>
      </c>
      <c r="C22115" s="74" t="s">
        <v>426</v>
      </c>
    </row>
    <row r="22116" spans="1:3">
      <c r="A22116" s="250">
        <v>51038</v>
      </c>
      <c r="B22116" s="74" t="s">
        <v>11102</v>
      </c>
      <c r="C22116" s="74" t="s">
        <v>426</v>
      </c>
    </row>
    <row r="22117" spans="1:3">
      <c r="A22117" s="250">
        <v>51039</v>
      </c>
      <c r="B22117" s="74" t="s">
        <v>11708</v>
      </c>
      <c r="C22117" s="74" t="s">
        <v>426</v>
      </c>
    </row>
    <row r="22118" spans="1:3">
      <c r="A22118" s="250">
        <v>51040</v>
      </c>
      <c r="B22118" s="74" t="s">
        <v>11709</v>
      </c>
      <c r="C22118" s="74" t="s">
        <v>426</v>
      </c>
    </row>
    <row r="22119" spans="1:3">
      <c r="A22119" s="250">
        <v>51041</v>
      </c>
      <c r="B22119" s="74" t="s">
        <v>8384</v>
      </c>
      <c r="C22119" s="74" t="s">
        <v>426</v>
      </c>
    </row>
    <row r="22120" spans="1:3">
      <c r="A22120" s="250">
        <v>51044</v>
      </c>
      <c r="B22120" s="74" t="s">
        <v>11710</v>
      </c>
      <c r="C22120" s="74" t="s">
        <v>426</v>
      </c>
    </row>
    <row r="22121" spans="1:3">
      <c r="A22121" s="250">
        <v>51045</v>
      </c>
      <c r="B22121" s="74" t="s">
        <v>11711</v>
      </c>
      <c r="C22121" s="74" t="s">
        <v>426</v>
      </c>
    </row>
    <row r="22122" spans="1:3">
      <c r="A22122" s="250">
        <v>51046</v>
      </c>
      <c r="B22122" s="74" t="s">
        <v>11712</v>
      </c>
      <c r="C22122" s="74" t="s">
        <v>426</v>
      </c>
    </row>
    <row r="22123" spans="1:3">
      <c r="A22123" s="250">
        <v>51047</v>
      </c>
      <c r="B22123" s="74" t="s">
        <v>8700</v>
      </c>
      <c r="C22123" s="74" t="s">
        <v>426</v>
      </c>
    </row>
    <row r="22124" spans="1:3">
      <c r="A22124" s="250">
        <v>51048</v>
      </c>
      <c r="B22124" s="74" t="s">
        <v>8262</v>
      </c>
      <c r="C22124" s="74" t="s">
        <v>426</v>
      </c>
    </row>
    <row r="22125" spans="1:3">
      <c r="A22125" s="250">
        <v>51049</v>
      </c>
      <c r="B22125" s="74" t="s">
        <v>11713</v>
      </c>
      <c r="C22125" s="74" t="s">
        <v>426</v>
      </c>
    </row>
    <row r="22126" spans="1:3">
      <c r="A22126" s="250">
        <v>51050</v>
      </c>
      <c r="B22126" s="74" t="s">
        <v>3490</v>
      </c>
      <c r="C22126" s="74" t="s">
        <v>426</v>
      </c>
    </row>
    <row r="22127" spans="1:3">
      <c r="A22127" s="250">
        <v>51051</v>
      </c>
      <c r="B22127" s="74" t="s">
        <v>11267</v>
      </c>
      <c r="C22127" s="74" t="s">
        <v>426</v>
      </c>
    </row>
    <row r="22128" spans="1:3">
      <c r="A22128" s="250">
        <v>51052</v>
      </c>
      <c r="B22128" s="74" t="s">
        <v>4366</v>
      </c>
      <c r="C22128" s="74" t="s">
        <v>426</v>
      </c>
    </row>
    <row r="22129" spans="1:3">
      <c r="A22129" s="250">
        <v>51053</v>
      </c>
      <c r="B22129" s="74" t="s">
        <v>11714</v>
      </c>
      <c r="C22129" s="74" t="s">
        <v>426</v>
      </c>
    </row>
    <row r="22130" spans="1:3">
      <c r="A22130" s="250">
        <v>51054</v>
      </c>
      <c r="B22130" s="74" t="s">
        <v>11715</v>
      </c>
      <c r="C22130" s="74" t="s">
        <v>426</v>
      </c>
    </row>
    <row r="22131" spans="1:3">
      <c r="A22131" s="250">
        <v>51055</v>
      </c>
      <c r="B22131" s="74" t="s">
        <v>11716</v>
      </c>
      <c r="C22131" s="74" t="s">
        <v>426</v>
      </c>
    </row>
    <row r="22132" spans="1:3">
      <c r="A22132" s="250">
        <v>51056</v>
      </c>
      <c r="B22132" s="74" t="s">
        <v>9949</v>
      </c>
      <c r="C22132" s="74" t="s">
        <v>426</v>
      </c>
    </row>
    <row r="22133" spans="1:3">
      <c r="A22133" s="250">
        <v>51058</v>
      </c>
      <c r="B22133" s="74" t="s">
        <v>6214</v>
      </c>
      <c r="C22133" s="74" t="s">
        <v>426</v>
      </c>
    </row>
    <row r="22134" spans="1:3">
      <c r="A22134" s="250">
        <v>51060</v>
      </c>
      <c r="B22134" s="74" t="s">
        <v>11717</v>
      </c>
      <c r="C22134" s="74" t="s">
        <v>426</v>
      </c>
    </row>
    <row r="22135" spans="1:3">
      <c r="A22135" s="250">
        <v>51061</v>
      </c>
      <c r="B22135" s="74" t="s">
        <v>11718</v>
      </c>
      <c r="C22135" s="74" t="s">
        <v>426</v>
      </c>
    </row>
    <row r="22136" spans="1:3">
      <c r="A22136" s="250">
        <v>51062</v>
      </c>
      <c r="B22136" s="74" t="s">
        <v>624</v>
      </c>
      <c r="C22136" s="74" t="s">
        <v>426</v>
      </c>
    </row>
    <row r="22137" spans="1:3">
      <c r="A22137" s="250">
        <v>51063</v>
      </c>
      <c r="B22137" s="74" t="s">
        <v>1618</v>
      </c>
      <c r="C22137" s="74" t="s">
        <v>426</v>
      </c>
    </row>
    <row r="22138" spans="1:3">
      <c r="A22138" s="250">
        <v>51101</v>
      </c>
      <c r="B22138" s="74" t="s">
        <v>11719</v>
      </c>
      <c r="C22138" s="74" t="s">
        <v>426</v>
      </c>
    </row>
    <row r="22139" spans="1:3">
      <c r="A22139" s="250">
        <v>51102</v>
      </c>
      <c r="B22139" s="74" t="s">
        <v>11719</v>
      </c>
      <c r="C22139" s="74" t="s">
        <v>426</v>
      </c>
    </row>
    <row r="22140" spans="1:3">
      <c r="A22140" s="250">
        <v>51103</v>
      </c>
      <c r="B22140" s="74" t="s">
        <v>11719</v>
      </c>
      <c r="C22140" s="74" t="s">
        <v>426</v>
      </c>
    </row>
    <row r="22141" spans="1:3">
      <c r="A22141" s="250">
        <v>51104</v>
      </c>
      <c r="B22141" s="74" t="s">
        <v>11719</v>
      </c>
      <c r="C22141" s="74" t="s">
        <v>426</v>
      </c>
    </row>
    <row r="22142" spans="1:3">
      <c r="A22142" s="250">
        <v>51105</v>
      </c>
      <c r="B22142" s="74" t="s">
        <v>11719</v>
      </c>
      <c r="C22142" s="74" t="s">
        <v>426</v>
      </c>
    </row>
    <row r="22143" spans="1:3">
      <c r="A22143" s="250">
        <v>51106</v>
      </c>
      <c r="B22143" s="74" t="s">
        <v>11719</v>
      </c>
      <c r="C22143" s="74" t="s">
        <v>426</v>
      </c>
    </row>
    <row r="22144" spans="1:3">
      <c r="A22144" s="250">
        <v>51108</v>
      </c>
      <c r="B22144" s="74" t="s">
        <v>11719</v>
      </c>
      <c r="C22144" s="74" t="s">
        <v>426</v>
      </c>
    </row>
    <row r="22145" spans="1:3">
      <c r="A22145" s="250">
        <v>51109</v>
      </c>
      <c r="B22145" s="74" t="s">
        <v>11719</v>
      </c>
      <c r="C22145" s="74" t="s">
        <v>426</v>
      </c>
    </row>
    <row r="22146" spans="1:3">
      <c r="A22146" s="250">
        <v>51111</v>
      </c>
      <c r="B22146" s="74" t="s">
        <v>11719</v>
      </c>
      <c r="C22146" s="74" t="s">
        <v>426</v>
      </c>
    </row>
    <row r="22147" spans="1:3">
      <c r="A22147" s="250">
        <v>51201</v>
      </c>
      <c r="B22147" s="74" t="s">
        <v>1829</v>
      </c>
      <c r="C22147" s="74" t="s">
        <v>426</v>
      </c>
    </row>
    <row r="22148" spans="1:3">
      <c r="A22148" s="250">
        <v>51230</v>
      </c>
      <c r="B22148" s="74" t="s">
        <v>11720</v>
      </c>
      <c r="C22148" s="74" t="s">
        <v>426</v>
      </c>
    </row>
    <row r="22149" spans="1:3">
      <c r="A22149" s="250">
        <v>51231</v>
      </c>
      <c r="B22149" s="74" t="s">
        <v>8342</v>
      </c>
      <c r="C22149" s="74" t="s">
        <v>426</v>
      </c>
    </row>
    <row r="22150" spans="1:3">
      <c r="A22150" s="250">
        <v>51232</v>
      </c>
      <c r="B22150" s="74" t="s">
        <v>5637</v>
      </c>
      <c r="C22150" s="74" t="s">
        <v>426</v>
      </c>
    </row>
    <row r="22151" spans="1:3">
      <c r="A22151" s="250">
        <v>51234</v>
      </c>
      <c r="B22151" s="74" t="s">
        <v>11721</v>
      </c>
      <c r="C22151" s="74" t="s">
        <v>426</v>
      </c>
    </row>
    <row r="22152" spans="1:3">
      <c r="A22152" s="250">
        <v>51235</v>
      </c>
      <c r="B22152" s="74" t="s">
        <v>11722</v>
      </c>
      <c r="C22152" s="74" t="s">
        <v>426</v>
      </c>
    </row>
    <row r="22153" spans="1:3">
      <c r="A22153" s="250">
        <v>51237</v>
      </c>
      <c r="B22153" s="74" t="s">
        <v>11723</v>
      </c>
      <c r="C22153" s="74" t="s">
        <v>426</v>
      </c>
    </row>
    <row r="22154" spans="1:3">
      <c r="A22154" s="250">
        <v>51238</v>
      </c>
      <c r="B22154" s="74" t="s">
        <v>11724</v>
      </c>
      <c r="C22154" s="74" t="s">
        <v>426</v>
      </c>
    </row>
    <row r="22155" spans="1:3">
      <c r="A22155" s="250">
        <v>51239</v>
      </c>
      <c r="B22155" s="74" t="s">
        <v>877</v>
      </c>
      <c r="C22155" s="74" t="s">
        <v>426</v>
      </c>
    </row>
    <row r="22156" spans="1:3">
      <c r="A22156" s="250">
        <v>51240</v>
      </c>
      <c r="B22156" s="74" t="s">
        <v>2730</v>
      </c>
      <c r="C22156" s="74" t="s">
        <v>426</v>
      </c>
    </row>
    <row r="22157" spans="1:3">
      <c r="A22157" s="250">
        <v>51241</v>
      </c>
      <c r="B22157" s="74" t="s">
        <v>11725</v>
      </c>
      <c r="C22157" s="74" t="s">
        <v>426</v>
      </c>
    </row>
    <row r="22158" spans="1:3">
      <c r="A22158" s="250">
        <v>51242</v>
      </c>
      <c r="B22158" s="74" t="s">
        <v>6803</v>
      </c>
      <c r="C22158" s="74" t="s">
        <v>426</v>
      </c>
    </row>
    <row r="22159" spans="1:3">
      <c r="A22159" s="250">
        <v>51243</v>
      </c>
      <c r="B22159" s="74" t="s">
        <v>7745</v>
      </c>
      <c r="C22159" s="74" t="s">
        <v>426</v>
      </c>
    </row>
    <row r="22160" spans="1:3">
      <c r="A22160" s="250">
        <v>51244</v>
      </c>
      <c r="B22160" s="74" t="s">
        <v>11726</v>
      </c>
      <c r="C22160" s="74" t="s">
        <v>426</v>
      </c>
    </row>
    <row r="22161" spans="1:3">
      <c r="A22161" s="250">
        <v>51245</v>
      </c>
      <c r="B22161" s="74" t="s">
        <v>11727</v>
      </c>
      <c r="C22161" s="74" t="s">
        <v>426</v>
      </c>
    </row>
    <row r="22162" spans="1:3">
      <c r="A22162" s="250">
        <v>51246</v>
      </c>
      <c r="B22162" s="74" t="s">
        <v>11728</v>
      </c>
      <c r="C22162" s="74" t="s">
        <v>426</v>
      </c>
    </row>
    <row r="22163" spans="1:3">
      <c r="A22163" s="250">
        <v>51247</v>
      </c>
      <c r="B22163" s="74" t="s">
        <v>11729</v>
      </c>
      <c r="C22163" s="74" t="s">
        <v>426</v>
      </c>
    </row>
    <row r="22164" spans="1:3">
      <c r="A22164" s="250">
        <v>51248</v>
      </c>
      <c r="B22164" s="74" t="s">
        <v>3732</v>
      </c>
      <c r="C22164" s="74" t="s">
        <v>426</v>
      </c>
    </row>
    <row r="22165" spans="1:3">
      <c r="A22165" s="250">
        <v>51249</v>
      </c>
      <c r="B22165" s="74" t="s">
        <v>9443</v>
      </c>
      <c r="C22165" s="74" t="s">
        <v>426</v>
      </c>
    </row>
    <row r="22166" spans="1:3">
      <c r="A22166" s="250">
        <v>51250</v>
      </c>
      <c r="B22166" s="74" t="s">
        <v>11730</v>
      </c>
      <c r="C22166" s="74" t="s">
        <v>426</v>
      </c>
    </row>
    <row r="22167" spans="1:3">
      <c r="A22167" s="250">
        <v>51301</v>
      </c>
      <c r="B22167" s="74" t="s">
        <v>762</v>
      </c>
      <c r="C22167" s="74" t="s">
        <v>426</v>
      </c>
    </row>
    <row r="22168" spans="1:3">
      <c r="A22168" s="250">
        <v>51331</v>
      </c>
      <c r="B22168" s="74" t="s">
        <v>11731</v>
      </c>
      <c r="C22168" s="74" t="s">
        <v>426</v>
      </c>
    </row>
    <row r="22169" spans="1:3">
      <c r="A22169" s="250">
        <v>51333</v>
      </c>
      <c r="B22169" s="74" t="s">
        <v>11732</v>
      </c>
      <c r="C22169" s="74" t="s">
        <v>426</v>
      </c>
    </row>
    <row r="22170" spans="1:3">
      <c r="A22170" s="250">
        <v>51334</v>
      </c>
      <c r="B22170" s="74" t="s">
        <v>11733</v>
      </c>
      <c r="C22170" s="74" t="s">
        <v>426</v>
      </c>
    </row>
    <row r="22171" spans="1:3">
      <c r="A22171" s="250">
        <v>51338</v>
      </c>
      <c r="B22171" s="74" t="s">
        <v>11734</v>
      </c>
      <c r="C22171" s="74" t="s">
        <v>426</v>
      </c>
    </row>
    <row r="22172" spans="1:3">
      <c r="A22172" s="250">
        <v>51340</v>
      </c>
      <c r="B22172" s="74" t="s">
        <v>10429</v>
      </c>
      <c r="C22172" s="74" t="s">
        <v>426</v>
      </c>
    </row>
    <row r="22173" spans="1:3">
      <c r="A22173" s="250">
        <v>51341</v>
      </c>
      <c r="B22173" s="74" t="s">
        <v>11735</v>
      </c>
      <c r="C22173" s="74" t="s">
        <v>426</v>
      </c>
    </row>
    <row r="22174" spans="1:3">
      <c r="A22174" s="250">
        <v>51342</v>
      </c>
      <c r="B22174" s="74" t="s">
        <v>11736</v>
      </c>
      <c r="C22174" s="74" t="s">
        <v>426</v>
      </c>
    </row>
    <row r="22175" spans="1:3">
      <c r="A22175" s="250">
        <v>51343</v>
      </c>
      <c r="B22175" s="74" t="s">
        <v>1108</v>
      </c>
      <c r="C22175" s="74" t="s">
        <v>426</v>
      </c>
    </row>
    <row r="22176" spans="1:3">
      <c r="A22176" s="250">
        <v>51344</v>
      </c>
      <c r="B22176" s="74" t="s">
        <v>11737</v>
      </c>
      <c r="C22176" s="74" t="s">
        <v>426</v>
      </c>
    </row>
    <row r="22177" spans="1:3">
      <c r="A22177" s="250">
        <v>51345</v>
      </c>
      <c r="B22177" s="74" t="s">
        <v>3179</v>
      </c>
      <c r="C22177" s="74" t="s">
        <v>426</v>
      </c>
    </row>
    <row r="22178" spans="1:3">
      <c r="A22178" s="250">
        <v>51346</v>
      </c>
      <c r="B22178" s="74" t="s">
        <v>11738</v>
      </c>
      <c r="C22178" s="74" t="s">
        <v>426</v>
      </c>
    </row>
    <row r="22179" spans="1:3">
      <c r="A22179" s="250">
        <v>51347</v>
      </c>
      <c r="B22179" s="74" t="s">
        <v>8152</v>
      </c>
      <c r="C22179" s="74" t="s">
        <v>426</v>
      </c>
    </row>
    <row r="22180" spans="1:3">
      <c r="A22180" s="250">
        <v>51350</v>
      </c>
      <c r="B22180" s="74" t="s">
        <v>8980</v>
      </c>
      <c r="C22180" s="74" t="s">
        <v>426</v>
      </c>
    </row>
    <row r="22181" spans="1:3">
      <c r="A22181" s="250">
        <v>51351</v>
      </c>
      <c r="B22181" s="74" t="s">
        <v>796</v>
      </c>
      <c r="C22181" s="74" t="s">
        <v>426</v>
      </c>
    </row>
    <row r="22182" spans="1:3">
      <c r="A22182" s="250">
        <v>51354</v>
      </c>
      <c r="B22182" s="74" t="s">
        <v>11739</v>
      </c>
      <c r="C22182" s="74" t="s">
        <v>426</v>
      </c>
    </row>
    <row r="22183" spans="1:3">
      <c r="A22183" s="250">
        <v>51355</v>
      </c>
      <c r="B22183" s="74" t="s">
        <v>11740</v>
      </c>
      <c r="C22183" s="74" t="s">
        <v>426</v>
      </c>
    </row>
    <row r="22184" spans="1:3">
      <c r="A22184" s="250">
        <v>51357</v>
      </c>
      <c r="B22184" s="74" t="s">
        <v>11741</v>
      </c>
      <c r="C22184" s="74" t="s">
        <v>426</v>
      </c>
    </row>
    <row r="22185" spans="1:3">
      <c r="A22185" s="250">
        <v>51358</v>
      </c>
      <c r="B22185" s="74" t="s">
        <v>11742</v>
      </c>
      <c r="C22185" s="74" t="s">
        <v>426</v>
      </c>
    </row>
    <row r="22186" spans="1:3">
      <c r="A22186" s="250">
        <v>51360</v>
      </c>
      <c r="B22186" s="74" t="s">
        <v>11743</v>
      </c>
      <c r="C22186" s="74" t="s">
        <v>426</v>
      </c>
    </row>
    <row r="22187" spans="1:3">
      <c r="A22187" s="250">
        <v>51363</v>
      </c>
      <c r="B22187" s="74" t="s">
        <v>11744</v>
      </c>
      <c r="C22187" s="74" t="s">
        <v>426</v>
      </c>
    </row>
    <row r="22188" spans="1:3">
      <c r="A22188" s="250">
        <v>51364</v>
      </c>
      <c r="B22188" s="74" t="s">
        <v>11745</v>
      </c>
      <c r="C22188" s="74" t="s">
        <v>426</v>
      </c>
    </row>
    <row r="22189" spans="1:3">
      <c r="A22189" s="250">
        <v>51365</v>
      </c>
      <c r="B22189" s="74" t="s">
        <v>1891</v>
      </c>
      <c r="C22189" s="74" t="s">
        <v>426</v>
      </c>
    </row>
    <row r="22190" spans="1:3">
      <c r="A22190" s="250">
        <v>51366</v>
      </c>
      <c r="B22190" s="74" t="s">
        <v>8859</v>
      </c>
      <c r="C22190" s="74" t="s">
        <v>426</v>
      </c>
    </row>
    <row r="22191" spans="1:3">
      <c r="A22191" s="250">
        <v>51401</v>
      </c>
      <c r="B22191" s="74" t="s">
        <v>10113</v>
      </c>
      <c r="C22191" s="74" t="s">
        <v>426</v>
      </c>
    </row>
    <row r="22192" spans="1:3">
      <c r="A22192" s="250">
        <v>51430</v>
      </c>
      <c r="B22192" s="74" t="s">
        <v>4258</v>
      </c>
      <c r="C22192" s="74" t="s">
        <v>426</v>
      </c>
    </row>
    <row r="22193" spans="1:3">
      <c r="A22193" s="250">
        <v>51431</v>
      </c>
      <c r="B22193" s="74" t="s">
        <v>9109</v>
      </c>
      <c r="C22193" s="74" t="s">
        <v>426</v>
      </c>
    </row>
    <row r="22194" spans="1:3">
      <c r="A22194" s="250">
        <v>51432</v>
      </c>
      <c r="B22194" s="74" t="s">
        <v>11746</v>
      </c>
      <c r="C22194" s="74" t="s">
        <v>426</v>
      </c>
    </row>
    <row r="22195" spans="1:3">
      <c r="A22195" s="250">
        <v>51433</v>
      </c>
      <c r="B22195" s="74" t="s">
        <v>724</v>
      </c>
      <c r="C22195" s="74" t="s">
        <v>426</v>
      </c>
    </row>
    <row r="22196" spans="1:3">
      <c r="A22196" s="250">
        <v>51436</v>
      </c>
      <c r="B22196" s="74" t="s">
        <v>11747</v>
      </c>
      <c r="C22196" s="74" t="s">
        <v>426</v>
      </c>
    </row>
    <row r="22197" spans="1:3">
      <c r="A22197" s="250">
        <v>51439</v>
      </c>
      <c r="B22197" s="74" t="s">
        <v>11748</v>
      </c>
      <c r="C22197" s="74" t="s">
        <v>426</v>
      </c>
    </row>
    <row r="22198" spans="1:3">
      <c r="A22198" s="250">
        <v>51440</v>
      </c>
      <c r="B22198" s="74" t="s">
        <v>868</v>
      </c>
      <c r="C22198" s="74" t="s">
        <v>426</v>
      </c>
    </row>
    <row r="22199" spans="1:3">
      <c r="A22199" s="250">
        <v>51441</v>
      </c>
      <c r="B22199" s="74" t="s">
        <v>11749</v>
      </c>
      <c r="C22199" s="74" t="s">
        <v>426</v>
      </c>
    </row>
    <row r="22200" spans="1:3">
      <c r="A22200" s="250">
        <v>51442</v>
      </c>
      <c r="B22200" s="74" t="s">
        <v>11750</v>
      </c>
      <c r="C22200" s="74" t="s">
        <v>426</v>
      </c>
    </row>
    <row r="22201" spans="1:3">
      <c r="A22201" s="250">
        <v>51443</v>
      </c>
      <c r="B22201" s="74" t="s">
        <v>11751</v>
      </c>
      <c r="C22201" s="74" t="s">
        <v>426</v>
      </c>
    </row>
    <row r="22202" spans="1:3">
      <c r="A22202" s="250">
        <v>51444</v>
      </c>
      <c r="B22202" s="74" t="s">
        <v>11752</v>
      </c>
      <c r="C22202" s="74" t="s">
        <v>426</v>
      </c>
    </row>
    <row r="22203" spans="1:3">
      <c r="A22203" s="250">
        <v>51445</v>
      </c>
      <c r="B22203" s="74" t="s">
        <v>11753</v>
      </c>
      <c r="C22203" s="74" t="s">
        <v>426</v>
      </c>
    </row>
    <row r="22204" spans="1:3">
      <c r="A22204" s="250">
        <v>51446</v>
      </c>
      <c r="B22204" s="74" t="s">
        <v>4213</v>
      </c>
      <c r="C22204" s="74" t="s">
        <v>426</v>
      </c>
    </row>
    <row r="22205" spans="1:3">
      <c r="A22205" s="250">
        <v>51447</v>
      </c>
      <c r="B22205" s="74" t="s">
        <v>11754</v>
      </c>
      <c r="C22205" s="74" t="s">
        <v>426</v>
      </c>
    </row>
    <row r="22206" spans="1:3">
      <c r="A22206" s="250">
        <v>51448</v>
      </c>
      <c r="B22206" s="74" t="s">
        <v>11755</v>
      </c>
      <c r="C22206" s="74" t="s">
        <v>426</v>
      </c>
    </row>
    <row r="22207" spans="1:3">
      <c r="A22207" s="250">
        <v>51449</v>
      </c>
      <c r="B22207" s="74" t="s">
        <v>4516</v>
      </c>
      <c r="C22207" s="74" t="s">
        <v>426</v>
      </c>
    </row>
    <row r="22208" spans="1:3">
      <c r="A22208" s="250">
        <v>51450</v>
      </c>
      <c r="B22208" s="74" t="s">
        <v>3715</v>
      </c>
      <c r="C22208" s="74" t="s">
        <v>426</v>
      </c>
    </row>
    <row r="22209" spans="1:3">
      <c r="A22209" s="250">
        <v>51451</v>
      </c>
      <c r="B22209" s="74" t="s">
        <v>648</v>
      </c>
      <c r="C22209" s="74" t="s">
        <v>426</v>
      </c>
    </row>
    <row r="22210" spans="1:3">
      <c r="A22210" s="250">
        <v>51452</v>
      </c>
      <c r="B22210" s="74" t="s">
        <v>11756</v>
      </c>
      <c r="C22210" s="74" t="s">
        <v>426</v>
      </c>
    </row>
    <row r="22211" spans="1:3">
      <c r="A22211" s="250">
        <v>51453</v>
      </c>
      <c r="B22211" s="74" t="s">
        <v>11757</v>
      </c>
      <c r="C22211" s="74" t="s">
        <v>426</v>
      </c>
    </row>
    <row r="22212" spans="1:3">
      <c r="A22212" s="250">
        <v>51454</v>
      </c>
      <c r="B22212" s="74" t="s">
        <v>10664</v>
      </c>
      <c r="C22212" s="74" t="s">
        <v>426</v>
      </c>
    </row>
    <row r="22213" spans="1:3">
      <c r="A22213" s="250">
        <v>51455</v>
      </c>
      <c r="B22213" s="74" t="s">
        <v>7630</v>
      </c>
      <c r="C22213" s="74" t="s">
        <v>426</v>
      </c>
    </row>
    <row r="22214" spans="1:3">
      <c r="A22214" s="250">
        <v>51458</v>
      </c>
      <c r="B22214" s="74" t="s">
        <v>11758</v>
      </c>
      <c r="C22214" s="74" t="s">
        <v>426</v>
      </c>
    </row>
    <row r="22215" spans="1:3">
      <c r="A22215" s="250">
        <v>51459</v>
      </c>
      <c r="B22215" s="74" t="s">
        <v>4923</v>
      </c>
      <c r="C22215" s="74" t="s">
        <v>426</v>
      </c>
    </row>
    <row r="22216" spans="1:3">
      <c r="A22216" s="250">
        <v>51460</v>
      </c>
      <c r="B22216" s="74" t="s">
        <v>11759</v>
      </c>
      <c r="C22216" s="74" t="s">
        <v>426</v>
      </c>
    </row>
    <row r="22217" spans="1:3">
      <c r="A22217" s="250">
        <v>51461</v>
      </c>
      <c r="B22217" s="74" t="s">
        <v>11760</v>
      </c>
      <c r="C22217" s="74" t="s">
        <v>426</v>
      </c>
    </row>
    <row r="22218" spans="1:3">
      <c r="A22218" s="250">
        <v>51462</v>
      </c>
      <c r="B22218" s="74" t="s">
        <v>5193</v>
      </c>
      <c r="C22218" s="74" t="s">
        <v>426</v>
      </c>
    </row>
    <row r="22219" spans="1:3">
      <c r="A22219" s="250">
        <v>51463</v>
      </c>
      <c r="B22219" s="74" t="s">
        <v>718</v>
      </c>
      <c r="C22219" s="74" t="s">
        <v>426</v>
      </c>
    </row>
    <row r="22220" spans="1:3">
      <c r="A22220" s="250">
        <v>51465</v>
      </c>
      <c r="B22220" s="74" t="s">
        <v>11761</v>
      </c>
      <c r="C22220" s="74" t="s">
        <v>426</v>
      </c>
    </row>
    <row r="22221" spans="1:3">
      <c r="A22221" s="250">
        <v>51466</v>
      </c>
      <c r="B22221" s="74" t="s">
        <v>11762</v>
      </c>
      <c r="C22221" s="74" t="s">
        <v>426</v>
      </c>
    </row>
    <row r="22222" spans="1:3">
      <c r="A22222" s="250">
        <v>51467</v>
      </c>
      <c r="B22222" s="74" t="s">
        <v>11763</v>
      </c>
      <c r="C22222" s="74" t="s">
        <v>426</v>
      </c>
    </row>
    <row r="22223" spans="1:3">
      <c r="A22223" s="250">
        <v>51501</v>
      </c>
      <c r="B22223" s="74" t="s">
        <v>11764</v>
      </c>
      <c r="C22223" s="74" t="s">
        <v>426</v>
      </c>
    </row>
    <row r="22224" spans="1:3">
      <c r="A22224" s="250">
        <v>51502</v>
      </c>
      <c r="B22224" s="74" t="s">
        <v>11764</v>
      </c>
      <c r="C22224" s="74" t="s">
        <v>426</v>
      </c>
    </row>
    <row r="22225" spans="1:3">
      <c r="A22225" s="250">
        <v>51503</v>
      </c>
      <c r="B22225" s="74" t="s">
        <v>11764</v>
      </c>
      <c r="C22225" s="74" t="s">
        <v>426</v>
      </c>
    </row>
    <row r="22226" spans="1:3">
      <c r="A22226" s="250">
        <v>51510</v>
      </c>
      <c r="B22226" s="74" t="s">
        <v>11765</v>
      </c>
      <c r="C22226" s="74" t="s">
        <v>426</v>
      </c>
    </row>
    <row r="22227" spans="1:3">
      <c r="A22227" s="250">
        <v>51520</v>
      </c>
      <c r="B22227" s="74" t="s">
        <v>11766</v>
      </c>
      <c r="C22227" s="74" t="s">
        <v>426</v>
      </c>
    </row>
    <row r="22228" spans="1:3">
      <c r="A22228" s="250">
        <v>51521</v>
      </c>
      <c r="B22228" s="74" t="s">
        <v>3896</v>
      </c>
      <c r="C22228" s="74" t="s">
        <v>426</v>
      </c>
    </row>
    <row r="22229" spans="1:3">
      <c r="A22229" s="250">
        <v>51523</v>
      </c>
      <c r="B22229" s="74" t="s">
        <v>11767</v>
      </c>
      <c r="C22229" s="74" t="s">
        <v>426</v>
      </c>
    </row>
    <row r="22230" spans="1:3">
      <c r="A22230" s="250">
        <v>51525</v>
      </c>
      <c r="B22230" s="74" t="s">
        <v>6190</v>
      </c>
      <c r="C22230" s="74" t="s">
        <v>426</v>
      </c>
    </row>
    <row r="22231" spans="1:3">
      <c r="A22231" s="250">
        <v>51526</v>
      </c>
      <c r="B22231" s="74" t="s">
        <v>3984</v>
      </c>
      <c r="C22231" s="74" t="s">
        <v>426</v>
      </c>
    </row>
    <row r="22232" spans="1:3">
      <c r="A22232" s="250">
        <v>51527</v>
      </c>
      <c r="B22232" s="74" t="s">
        <v>4543</v>
      </c>
      <c r="C22232" s="74" t="s">
        <v>426</v>
      </c>
    </row>
    <row r="22233" spans="1:3">
      <c r="A22233" s="250">
        <v>51528</v>
      </c>
      <c r="B22233" s="74" t="s">
        <v>11768</v>
      </c>
      <c r="C22233" s="74" t="s">
        <v>426</v>
      </c>
    </row>
    <row r="22234" spans="1:3">
      <c r="A22234" s="250">
        <v>51529</v>
      </c>
      <c r="B22234" s="74" t="s">
        <v>9059</v>
      </c>
      <c r="C22234" s="74" t="s">
        <v>426</v>
      </c>
    </row>
    <row r="22235" spans="1:3">
      <c r="A22235" s="250">
        <v>51530</v>
      </c>
      <c r="B22235" s="74" t="s">
        <v>11769</v>
      </c>
      <c r="C22235" s="74" t="s">
        <v>426</v>
      </c>
    </row>
    <row r="22236" spans="1:3">
      <c r="A22236" s="250">
        <v>51531</v>
      </c>
      <c r="B22236" s="74" t="s">
        <v>10068</v>
      </c>
      <c r="C22236" s="74" t="s">
        <v>426</v>
      </c>
    </row>
    <row r="22237" spans="1:3">
      <c r="A22237" s="250">
        <v>51532</v>
      </c>
      <c r="B22237" s="74" t="s">
        <v>7609</v>
      </c>
      <c r="C22237" s="74" t="s">
        <v>426</v>
      </c>
    </row>
    <row r="22238" spans="1:3">
      <c r="A22238" s="250">
        <v>51533</v>
      </c>
      <c r="B22238" s="74" t="s">
        <v>2231</v>
      </c>
      <c r="C22238" s="74" t="s">
        <v>426</v>
      </c>
    </row>
    <row r="22239" spans="1:3">
      <c r="A22239" s="250">
        <v>51534</v>
      </c>
      <c r="B22239" s="74" t="s">
        <v>2187</v>
      </c>
      <c r="C22239" s="74" t="s">
        <v>426</v>
      </c>
    </row>
    <row r="22240" spans="1:3">
      <c r="A22240" s="250">
        <v>51535</v>
      </c>
      <c r="B22240" s="74" t="s">
        <v>11770</v>
      </c>
      <c r="C22240" s="74" t="s">
        <v>426</v>
      </c>
    </row>
    <row r="22241" spans="1:3">
      <c r="A22241" s="250">
        <v>51536</v>
      </c>
      <c r="B22241" s="74" t="s">
        <v>1235</v>
      </c>
      <c r="C22241" s="74" t="s">
        <v>426</v>
      </c>
    </row>
    <row r="22242" spans="1:3">
      <c r="A22242" s="250">
        <v>51537</v>
      </c>
      <c r="B22242" s="74" t="s">
        <v>9682</v>
      </c>
      <c r="C22242" s="74" t="s">
        <v>426</v>
      </c>
    </row>
    <row r="22243" spans="1:3">
      <c r="A22243" s="250">
        <v>51540</v>
      </c>
      <c r="B22243" s="74" t="s">
        <v>3368</v>
      </c>
      <c r="C22243" s="74" t="s">
        <v>426</v>
      </c>
    </row>
    <row r="22244" spans="1:3">
      <c r="A22244" s="250">
        <v>51541</v>
      </c>
      <c r="B22244" s="74" t="s">
        <v>3556</v>
      </c>
      <c r="C22244" s="74" t="s">
        <v>426</v>
      </c>
    </row>
    <row r="22245" spans="1:3">
      <c r="A22245" s="250">
        <v>51542</v>
      </c>
      <c r="B22245" s="74" t="s">
        <v>11771</v>
      </c>
      <c r="C22245" s="74" t="s">
        <v>426</v>
      </c>
    </row>
    <row r="22246" spans="1:3">
      <c r="A22246" s="250">
        <v>51543</v>
      </c>
      <c r="B22246" s="74" t="s">
        <v>11772</v>
      </c>
      <c r="C22246" s="74" t="s">
        <v>426</v>
      </c>
    </row>
    <row r="22247" spans="1:3">
      <c r="A22247" s="250">
        <v>51544</v>
      </c>
      <c r="B22247" s="74" t="s">
        <v>3303</v>
      </c>
      <c r="C22247" s="74" t="s">
        <v>426</v>
      </c>
    </row>
    <row r="22248" spans="1:3">
      <c r="A22248" s="250">
        <v>51545</v>
      </c>
      <c r="B22248" s="74" t="s">
        <v>11773</v>
      </c>
      <c r="C22248" s="74" t="s">
        <v>426</v>
      </c>
    </row>
    <row r="22249" spans="1:3">
      <c r="A22249" s="250">
        <v>51546</v>
      </c>
      <c r="B22249" s="74" t="s">
        <v>6736</v>
      </c>
      <c r="C22249" s="74" t="s">
        <v>426</v>
      </c>
    </row>
    <row r="22250" spans="1:3">
      <c r="A22250" s="250">
        <v>51548</v>
      </c>
      <c r="B22250" s="74" t="s">
        <v>11774</v>
      </c>
      <c r="C22250" s="74" t="s">
        <v>426</v>
      </c>
    </row>
    <row r="22251" spans="1:3">
      <c r="A22251" s="250">
        <v>51549</v>
      </c>
      <c r="B22251" s="74" t="s">
        <v>10307</v>
      </c>
      <c r="C22251" s="74" t="s">
        <v>426</v>
      </c>
    </row>
    <row r="22252" spans="1:3">
      <c r="A22252" s="250">
        <v>51550</v>
      </c>
      <c r="B22252" s="74" t="s">
        <v>2398</v>
      </c>
      <c r="C22252" s="74" t="s">
        <v>426</v>
      </c>
    </row>
    <row r="22253" spans="1:3">
      <c r="A22253" s="250">
        <v>51551</v>
      </c>
      <c r="B22253" s="74" t="s">
        <v>5391</v>
      </c>
      <c r="C22253" s="74" t="s">
        <v>426</v>
      </c>
    </row>
    <row r="22254" spans="1:3">
      <c r="A22254" s="250">
        <v>51552</v>
      </c>
      <c r="B22254" s="74" t="s">
        <v>11285</v>
      </c>
      <c r="C22254" s="74" t="s">
        <v>426</v>
      </c>
    </row>
    <row r="22255" spans="1:3">
      <c r="A22255" s="250">
        <v>51553</v>
      </c>
      <c r="B22255" s="74" t="s">
        <v>6811</v>
      </c>
      <c r="C22255" s="74" t="s">
        <v>426</v>
      </c>
    </row>
    <row r="22256" spans="1:3">
      <c r="A22256" s="250">
        <v>51554</v>
      </c>
      <c r="B22256" s="74" t="s">
        <v>2762</v>
      </c>
      <c r="C22256" s="74" t="s">
        <v>426</v>
      </c>
    </row>
    <row r="22257" spans="1:3">
      <c r="A22257" s="250">
        <v>51555</v>
      </c>
      <c r="B22257" s="74" t="s">
        <v>11775</v>
      </c>
      <c r="C22257" s="74" t="s">
        <v>426</v>
      </c>
    </row>
    <row r="22258" spans="1:3">
      <c r="A22258" s="250">
        <v>51556</v>
      </c>
      <c r="B22258" s="74" t="s">
        <v>11776</v>
      </c>
      <c r="C22258" s="74" t="s">
        <v>426</v>
      </c>
    </row>
    <row r="22259" spans="1:3">
      <c r="A22259" s="250">
        <v>51557</v>
      </c>
      <c r="B22259" s="74" t="s">
        <v>11777</v>
      </c>
      <c r="C22259" s="74" t="s">
        <v>426</v>
      </c>
    </row>
    <row r="22260" spans="1:3">
      <c r="A22260" s="250">
        <v>51558</v>
      </c>
      <c r="B22260" s="74" t="s">
        <v>9342</v>
      </c>
      <c r="C22260" s="74" t="s">
        <v>426</v>
      </c>
    </row>
    <row r="22261" spans="1:3">
      <c r="A22261" s="250">
        <v>51559</v>
      </c>
      <c r="B22261" s="74" t="s">
        <v>11778</v>
      </c>
      <c r="C22261" s="74" t="s">
        <v>426</v>
      </c>
    </row>
    <row r="22262" spans="1:3">
      <c r="A22262" s="250">
        <v>51560</v>
      </c>
      <c r="B22262" s="74" t="s">
        <v>1121</v>
      </c>
      <c r="C22262" s="74" t="s">
        <v>426</v>
      </c>
    </row>
    <row r="22263" spans="1:3">
      <c r="A22263" s="250">
        <v>51561</v>
      </c>
      <c r="B22263" s="74" t="s">
        <v>11779</v>
      </c>
      <c r="C22263" s="74" t="s">
        <v>426</v>
      </c>
    </row>
    <row r="22264" spans="1:3">
      <c r="A22264" s="250">
        <v>51562</v>
      </c>
      <c r="B22264" s="74" t="s">
        <v>3881</v>
      </c>
      <c r="C22264" s="74" t="s">
        <v>426</v>
      </c>
    </row>
    <row r="22265" spans="1:3">
      <c r="A22265" s="250">
        <v>51563</v>
      </c>
      <c r="B22265" s="74" t="s">
        <v>11780</v>
      </c>
      <c r="C22265" s="74" t="s">
        <v>426</v>
      </c>
    </row>
    <row r="22266" spans="1:3">
      <c r="A22266" s="250">
        <v>51564</v>
      </c>
      <c r="B22266" s="74" t="s">
        <v>8752</v>
      </c>
      <c r="C22266" s="74" t="s">
        <v>426</v>
      </c>
    </row>
    <row r="22267" spans="1:3">
      <c r="A22267" s="250">
        <v>51565</v>
      </c>
      <c r="B22267" s="74" t="s">
        <v>1126</v>
      </c>
      <c r="C22267" s="74" t="s">
        <v>426</v>
      </c>
    </row>
    <row r="22268" spans="1:3">
      <c r="A22268" s="250">
        <v>51566</v>
      </c>
      <c r="B22268" s="74" t="s">
        <v>6245</v>
      </c>
      <c r="C22268" s="74" t="s">
        <v>426</v>
      </c>
    </row>
    <row r="22269" spans="1:3">
      <c r="A22269" s="250">
        <v>51570</v>
      </c>
      <c r="B22269" s="74" t="s">
        <v>7335</v>
      </c>
      <c r="C22269" s="74" t="s">
        <v>426</v>
      </c>
    </row>
    <row r="22270" spans="1:3">
      <c r="A22270" s="250">
        <v>51571</v>
      </c>
      <c r="B22270" s="74" t="s">
        <v>9444</v>
      </c>
      <c r="C22270" s="74" t="s">
        <v>426</v>
      </c>
    </row>
    <row r="22271" spans="1:3">
      <c r="A22271" s="250">
        <v>51572</v>
      </c>
      <c r="B22271" s="74" t="s">
        <v>9756</v>
      </c>
      <c r="C22271" s="74" t="s">
        <v>426</v>
      </c>
    </row>
    <row r="22272" spans="1:3">
      <c r="A22272" s="250">
        <v>51573</v>
      </c>
      <c r="B22272" s="74" t="s">
        <v>2602</v>
      </c>
      <c r="C22272" s="74" t="s">
        <v>426</v>
      </c>
    </row>
    <row r="22273" spans="1:3">
      <c r="A22273" s="250">
        <v>51575</v>
      </c>
      <c r="B22273" s="74" t="s">
        <v>11781</v>
      </c>
      <c r="C22273" s="74" t="s">
        <v>426</v>
      </c>
    </row>
    <row r="22274" spans="1:3">
      <c r="A22274" s="250">
        <v>51576</v>
      </c>
      <c r="B22274" s="74" t="s">
        <v>10822</v>
      </c>
      <c r="C22274" s="74" t="s">
        <v>426</v>
      </c>
    </row>
    <row r="22275" spans="1:3">
      <c r="A22275" s="250">
        <v>51577</v>
      </c>
      <c r="B22275" s="74" t="s">
        <v>9326</v>
      </c>
      <c r="C22275" s="74" t="s">
        <v>426</v>
      </c>
    </row>
    <row r="22276" spans="1:3">
      <c r="A22276" s="250">
        <v>51578</v>
      </c>
      <c r="B22276" s="74" t="s">
        <v>10909</v>
      </c>
      <c r="C22276" s="74" t="s">
        <v>426</v>
      </c>
    </row>
    <row r="22277" spans="1:3">
      <c r="A22277" s="250">
        <v>51579</v>
      </c>
      <c r="B22277" s="74" t="s">
        <v>2472</v>
      </c>
      <c r="C22277" s="74" t="s">
        <v>426</v>
      </c>
    </row>
    <row r="22278" spans="1:3">
      <c r="A22278" s="250">
        <v>51591</v>
      </c>
      <c r="B22278" s="74" t="s">
        <v>6245</v>
      </c>
      <c r="C22278" s="74" t="s">
        <v>426</v>
      </c>
    </row>
    <row r="22279" spans="1:3">
      <c r="A22279" s="250">
        <v>51593</v>
      </c>
      <c r="B22279" s="74" t="s">
        <v>9682</v>
      </c>
      <c r="C22279" s="74" t="s">
        <v>426</v>
      </c>
    </row>
    <row r="22280" spans="1:3">
      <c r="A22280" s="250">
        <v>51601</v>
      </c>
      <c r="B22280" s="74" t="s">
        <v>5020</v>
      </c>
      <c r="C22280" s="74" t="s">
        <v>426</v>
      </c>
    </row>
    <row r="22281" spans="1:3">
      <c r="A22281" s="250">
        <v>51602</v>
      </c>
      <c r="B22281" s="74" t="s">
        <v>5020</v>
      </c>
      <c r="C22281" s="74" t="s">
        <v>426</v>
      </c>
    </row>
    <row r="22282" spans="1:3">
      <c r="A22282" s="250">
        <v>51603</v>
      </c>
      <c r="B22282" s="74" t="s">
        <v>5020</v>
      </c>
      <c r="C22282" s="74" t="s">
        <v>426</v>
      </c>
    </row>
    <row r="22283" spans="1:3">
      <c r="A22283" s="250">
        <v>51630</v>
      </c>
      <c r="B22283" s="74" t="s">
        <v>4615</v>
      </c>
      <c r="C22283" s="74" t="s">
        <v>426</v>
      </c>
    </row>
    <row r="22284" spans="1:3">
      <c r="A22284" s="250">
        <v>51631</v>
      </c>
      <c r="B22284" s="74" t="s">
        <v>11782</v>
      </c>
      <c r="C22284" s="74" t="s">
        <v>426</v>
      </c>
    </row>
    <row r="22285" spans="1:3">
      <c r="A22285" s="250">
        <v>51632</v>
      </c>
      <c r="B22285" s="74" t="s">
        <v>11783</v>
      </c>
      <c r="C22285" s="74" t="s">
        <v>426</v>
      </c>
    </row>
    <row r="22286" spans="1:3">
      <c r="A22286" s="250">
        <v>51636</v>
      </c>
      <c r="B22286" s="74" t="s">
        <v>11784</v>
      </c>
      <c r="C22286" s="74" t="s">
        <v>426</v>
      </c>
    </row>
    <row r="22287" spans="1:3">
      <c r="A22287" s="250">
        <v>51637</v>
      </c>
      <c r="B22287" s="74" t="s">
        <v>11785</v>
      </c>
      <c r="C22287" s="74" t="s">
        <v>426</v>
      </c>
    </row>
    <row r="22288" spans="1:3">
      <c r="A22288" s="250">
        <v>51638</v>
      </c>
      <c r="B22288" s="74" t="s">
        <v>842</v>
      </c>
      <c r="C22288" s="74" t="s">
        <v>426</v>
      </c>
    </row>
    <row r="22289" spans="1:3">
      <c r="A22289" s="250">
        <v>51639</v>
      </c>
      <c r="B22289" s="74" t="s">
        <v>11786</v>
      </c>
      <c r="C22289" s="74" t="s">
        <v>426</v>
      </c>
    </row>
    <row r="22290" spans="1:3">
      <c r="A22290" s="250">
        <v>51640</v>
      </c>
      <c r="B22290" s="74" t="s">
        <v>2188</v>
      </c>
      <c r="C22290" s="74" t="s">
        <v>426</v>
      </c>
    </row>
    <row r="22291" spans="1:3">
      <c r="A22291" s="250">
        <v>51645</v>
      </c>
      <c r="B22291" s="74" t="s">
        <v>11787</v>
      </c>
      <c r="C22291" s="74" t="s">
        <v>426</v>
      </c>
    </row>
    <row r="22292" spans="1:3">
      <c r="A22292" s="250">
        <v>51646</v>
      </c>
      <c r="B22292" s="74" t="s">
        <v>5812</v>
      </c>
      <c r="C22292" s="74" t="s">
        <v>426</v>
      </c>
    </row>
    <row r="22293" spans="1:3">
      <c r="A22293" s="250">
        <v>51647</v>
      </c>
      <c r="B22293" s="74" t="s">
        <v>11788</v>
      </c>
      <c r="C22293" s="74" t="s">
        <v>426</v>
      </c>
    </row>
    <row r="22294" spans="1:3">
      <c r="A22294" s="250">
        <v>51648</v>
      </c>
      <c r="B22294" s="74" t="s">
        <v>11789</v>
      </c>
      <c r="C22294" s="74" t="s">
        <v>426</v>
      </c>
    </row>
    <row r="22295" spans="1:3">
      <c r="A22295" s="250">
        <v>51649</v>
      </c>
      <c r="B22295" s="74" t="s">
        <v>960</v>
      </c>
      <c r="C22295" s="74" t="s">
        <v>426</v>
      </c>
    </row>
    <row r="22296" spans="1:3">
      <c r="A22296" s="250">
        <v>51650</v>
      </c>
      <c r="B22296" s="74" t="s">
        <v>1953</v>
      </c>
      <c r="C22296" s="74" t="s">
        <v>426</v>
      </c>
    </row>
    <row r="22297" spans="1:3">
      <c r="A22297" s="250">
        <v>51651</v>
      </c>
      <c r="B22297" s="74" t="s">
        <v>11790</v>
      </c>
      <c r="C22297" s="74" t="s">
        <v>426</v>
      </c>
    </row>
    <row r="22298" spans="1:3">
      <c r="A22298" s="250">
        <v>51652</v>
      </c>
      <c r="B22298" s="74" t="s">
        <v>3646</v>
      </c>
      <c r="C22298" s="74" t="s">
        <v>426</v>
      </c>
    </row>
    <row r="22299" spans="1:3">
      <c r="A22299" s="250">
        <v>51653</v>
      </c>
      <c r="B22299" s="74" t="s">
        <v>11791</v>
      </c>
      <c r="C22299" s="74" t="s">
        <v>426</v>
      </c>
    </row>
    <row r="22300" spans="1:3">
      <c r="A22300" s="250">
        <v>51654</v>
      </c>
      <c r="B22300" s="74" t="s">
        <v>10559</v>
      </c>
      <c r="C22300" s="74" t="s">
        <v>426</v>
      </c>
    </row>
    <row r="22301" spans="1:3">
      <c r="A22301" s="250">
        <v>51656</v>
      </c>
      <c r="B22301" s="74" t="s">
        <v>6183</v>
      </c>
      <c r="C22301" s="74" t="s">
        <v>426</v>
      </c>
    </row>
    <row r="22302" spans="1:3">
      <c r="A22302" s="250">
        <v>52001</v>
      </c>
      <c r="B22302" s="74" t="s">
        <v>11792</v>
      </c>
      <c r="C22302" s="74" t="s">
        <v>426</v>
      </c>
    </row>
    <row r="22303" spans="1:3">
      <c r="A22303" s="250">
        <v>52002</v>
      </c>
      <c r="B22303" s="74" t="s">
        <v>11792</v>
      </c>
      <c r="C22303" s="74" t="s">
        <v>426</v>
      </c>
    </row>
    <row r="22304" spans="1:3">
      <c r="A22304" s="250">
        <v>52003</v>
      </c>
      <c r="B22304" s="74" t="s">
        <v>11792</v>
      </c>
      <c r="C22304" s="74" t="s">
        <v>426</v>
      </c>
    </row>
    <row r="22305" spans="1:3">
      <c r="A22305" s="250">
        <v>52004</v>
      </c>
      <c r="B22305" s="74" t="s">
        <v>11792</v>
      </c>
      <c r="C22305" s="74" t="s">
        <v>426</v>
      </c>
    </row>
    <row r="22306" spans="1:3">
      <c r="A22306" s="250">
        <v>52030</v>
      </c>
      <c r="B22306" s="74" t="s">
        <v>11793</v>
      </c>
      <c r="C22306" s="74" t="s">
        <v>426</v>
      </c>
    </row>
    <row r="22307" spans="1:3">
      <c r="A22307" s="250">
        <v>52031</v>
      </c>
      <c r="B22307" s="74" t="s">
        <v>9741</v>
      </c>
      <c r="C22307" s="74" t="s">
        <v>426</v>
      </c>
    </row>
    <row r="22308" spans="1:3">
      <c r="A22308" s="250">
        <v>52032</v>
      </c>
      <c r="B22308" s="74" t="s">
        <v>1568</v>
      </c>
      <c r="C22308" s="74" t="s">
        <v>426</v>
      </c>
    </row>
    <row r="22309" spans="1:3">
      <c r="A22309" s="250">
        <v>52033</v>
      </c>
      <c r="B22309" s="74" t="s">
        <v>5792</v>
      </c>
      <c r="C22309" s="74" t="s">
        <v>426</v>
      </c>
    </row>
    <row r="22310" spans="1:3">
      <c r="A22310" s="250">
        <v>52035</v>
      </c>
      <c r="B22310" s="74" t="s">
        <v>11794</v>
      </c>
      <c r="C22310" s="74" t="s">
        <v>426</v>
      </c>
    </row>
    <row r="22311" spans="1:3">
      <c r="A22311" s="250">
        <v>52036</v>
      </c>
      <c r="B22311" s="74" t="s">
        <v>2303</v>
      </c>
      <c r="C22311" s="74" t="s">
        <v>426</v>
      </c>
    </row>
    <row r="22312" spans="1:3">
      <c r="A22312" s="250">
        <v>52037</v>
      </c>
      <c r="B22312" s="74" t="s">
        <v>2936</v>
      </c>
      <c r="C22312" s="74" t="s">
        <v>426</v>
      </c>
    </row>
    <row r="22313" spans="1:3">
      <c r="A22313" s="250">
        <v>52038</v>
      </c>
      <c r="B22313" s="74" t="s">
        <v>3912</v>
      </c>
      <c r="C22313" s="74" t="s">
        <v>426</v>
      </c>
    </row>
    <row r="22314" spans="1:3">
      <c r="A22314" s="250">
        <v>52039</v>
      </c>
      <c r="B22314" s="74" t="s">
        <v>11795</v>
      </c>
      <c r="C22314" s="74" t="s">
        <v>426</v>
      </c>
    </row>
    <row r="22315" spans="1:3">
      <c r="A22315" s="250">
        <v>52040</v>
      </c>
      <c r="B22315" s="74" t="s">
        <v>11796</v>
      </c>
      <c r="C22315" s="74" t="s">
        <v>426</v>
      </c>
    </row>
    <row r="22316" spans="1:3">
      <c r="A22316" s="250">
        <v>52041</v>
      </c>
      <c r="B22316" s="74" t="s">
        <v>3450</v>
      </c>
      <c r="C22316" s="74" t="s">
        <v>426</v>
      </c>
    </row>
    <row r="22317" spans="1:3">
      <c r="A22317" s="250">
        <v>52042</v>
      </c>
      <c r="B22317" s="74" t="s">
        <v>5662</v>
      </c>
      <c r="C22317" s="74" t="s">
        <v>426</v>
      </c>
    </row>
    <row r="22318" spans="1:3">
      <c r="A22318" s="250">
        <v>52043</v>
      </c>
      <c r="B22318" s="74" t="s">
        <v>11797</v>
      </c>
      <c r="C22318" s="74" t="s">
        <v>426</v>
      </c>
    </row>
    <row r="22319" spans="1:3">
      <c r="A22319" s="250">
        <v>52044</v>
      </c>
      <c r="B22319" s="74" t="s">
        <v>11798</v>
      </c>
      <c r="C22319" s="74" t="s">
        <v>426</v>
      </c>
    </row>
    <row r="22320" spans="1:3">
      <c r="A22320" s="250">
        <v>52045</v>
      </c>
      <c r="B22320" s="74" t="s">
        <v>7979</v>
      </c>
      <c r="C22320" s="74" t="s">
        <v>426</v>
      </c>
    </row>
    <row r="22321" spans="1:3">
      <c r="A22321" s="250">
        <v>52046</v>
      </c>
      <c r="B22321" s="74" t="s">
        <v>11799</v>
      </c>
      <c r="C22321" s="74" t="s">
        <v>426</v>
      </c>
    </row>
    <row r="22322" spans="1:3">
      <c r="A22322" s="250">
        <v>52047</v>
      </c>
      <c r="B22322" s="74" t="s">
        <v>10935</v>
      </c>
      <c r="C22322" s="74" t="s">
        <v>426</v>
      </c>
    </row>
    <row r="22323" spans="1:3">
      <c r="A22323" s="250">
        <v>52048</v>
      </c>
      <c r="B22323" s="74" t="s">
        <v>11800</v>
      </c>
      <c r="C22323" s="74" t="s">
        <v>426</v>
      </c>
    </row>
    <row r="22324" spans="1:3">
      <c r="A22324" s="250">
        <v>52049</v>
      </c>
      <c r="B22324" s="74" t="s">
        <v>11801</v>
      </c>
      <c r="C22324" s="74" t="s">
        <v>426</v>
      </c>
    </row>
    <row r="22325" spans="1:3">
      <c r="A22325" s="250">
        <v>52050</v>
      </c>
      <c r="B22325" s="74" t="s">
        <v>5159</v>
      </c>
      <c r="C22325" s="74" t="s">
        <v>426</v>
      </c>
    </row>
    <row r="22326" spans="1:3">
      <c r="A22326" s="250">
        <v>52052</v>
      </c>
      <c r="B22326" s="74" t="s">
        <v>11802</v>
      </c>
      <c r="C22326" s="74" t="s">
        <v>426</v>
      </c>
    </row>
    <row r="22327" spans="1:3">
      <c r="A22327" s="250">
        <v>52053</v>
      </c>
      <c r="B22327" s="74" t="s">
        <v>11803</v>
      </c>
      <c r="C22327" s="74" t="s">
        <v>426</v>
      </c>
    </row>
    <row r="22328" spans="1:3">
      <c r="A22328" s="250">
        <v>52054</v>
      </c>
      <c r="B22328" s="74" t="s">
        <v>11804</v>
      </c>
      <c r="C22328" s="74" t="s">
        <v>426</v>
      </c>
    </row>
    <row r="22329" spans="1:3">
      <c r="A22329" s="250">
        <v>52056</v>
      </c>
      <c r="B22329" s="74" t="s">
        <v>11805</v>
      </c>
      <c r="C22329" s="74" t="s">
        <v>426</v>
      </c>
    </row>
    <row r="22330" spans="1:3">
      <c r="A22330" s="250">
        <v>52057</v>
      </c>
      <c r="B22330" s="74" t="s">
        <v>848</v>
      </c>
      <c r="C22330" s="74" t="s">
        <v>426</v>
      </c>
    </row>
    <row r="22331" spans="1:3">
      <c r="A22331" s="250">
        <v>52060</v>
      </c>
      <c r="B22331" s="74" t="s">
        <v>11806</v>
      </c>
      <c r="C22331" s="74" t="s">
        <v>426</v>
      </c>
    </row>
    <row r="22332" spans="1:3">
      <c r="A22332" s="250">
        <v>52064</v>
      </c>
      <c r="B22332" s="74" t="s">
        <v>11807</v>
      </c>
      <c r="C22332" s="74" t="s">
        <v>426</v>
      </c>
    </row>
    <row r="22333" spans="1:3">
      <c r="A22333" s="250">
        <v>52065</v>
      </c>
      <c r="B22333" s="74" t="s">
        <v>10481</v>
      </c>
      <c r="C22333" s="74" t="s">
        <v>426</v>
      </c>
    </row>
    <row r="22334" spans="1:3">
      <c r="A22334" s="250">
        <v>52066</v>
      </c>
      <c r="B22334" s="74" t="s">
        <v>11808</v>
      </c>
      <c r="C22334" s="74" t="s">
        <v>426</v>
      </c>
    </row>
    <row r="22335" spans="1:3">
      <c r="A22335" s="250">
        <v>52068</v>
      </c>
      <c r="B22335" s="74" t="s">
        <v>11809</v>
      </c>
      <c r="C22335" s="74" t="s">
        <v>426</v>
      </c>
    </row>
    <row r="22336" spans="1:3">
      <c r="A22336" s="250">
        <v>52069</v>
      </c>
      <c r="B22336" s="74" t="s">
        <v>2023</v>
      </c>
      <c r="C22336" s="74" t="s">
        <v>426</v>
      </c>
    </row>
    <row r="22337" spans="1:3">
      <c r="A22337" s="250">
        <v>52070</v>
      </c>
      <c r="B22337" s="74" t="s">
        <v>11810</v>
      </c>
      <c r="C22337" s="74" t="s">
        <v>426</v>
      </c>
    </row>
    <row r="22338" spans="1:3">
      <c r="A22338" s="250">
        <v>52071</v>
      </c>
      <c r="B22338" s="74" t="s">
        <v>11811</v>
      </c>
      <c r="C22338" s="74" t="s">
        <v>426</v>
      </c>
    </row>
    <row r="22339" spans="1:3">
      <c r="A22339" s="250">
        <v>52072</v>
      </c>
      <c r="B22339" s="74" t="s">
        <v>11812</v>
      </c>
      <c r="C22339" s="74" t="s">
        <v>426</v>
      </c>
    </row>
    <row r="22340" spans="1:3">
      <c r="A22340" s="250">
        <v>52073</v>
      </c>
      <c r="B22340" s="74" t="s">
        <v>3501</v>
      </c>
      <c r="C22340" s="74" t="s">
        <v>426</v>
      </c>
    </row>
    <row r="22341" spans="1:3">
      <c r="A22341" s="250">
        <v>52074</v>
      </c>
      <c r="B22341" s="74" t="s">
        <v>11813</v>
      </c>
      <c r="C22341" s="74" t="s">
        <v>426</v>
      </c>
    </row>
    <row r="22342" spans="1:3">
      <c r="A22342" s="250">
        <v>52075</v>
      </c>
      <c r="B22342" s="74" t="s">
        <v>11814</v>
      </c>
      <c r="C22342" s="74" t="s">
        <v>426</v>
      </c>
    </row>
    <row r="22343" spans="1:3">
      <c r="A22343" s="250">
        <v>52076</v>
      </c>
      <c r="B22343" s="74" t="s">
        <v>11815</v>
      </c>
      <c r="C22343" s="74" t="s">
        <v>426</v>
      </c>
    </row>
    <row r="22344" spans="1:3">
      <c r="A22344" s="250">
        <v>52077</v>
      </c>
      <c r="B22344" s="74" t="s">
        <v>6902</v>
      </c>
      <c r="C22344" s="74" t="s">
        <v>426</v>
      </c>
    </row>
    <row r="22345" spans="1:3">
      <c r="A22345" s="250">
        <v>52078</v>
      </c>
      <c r="B22345" s="74" t="s">
        <v>633</v>
      </c>
      <c r="C22345" s="74" t="s">
        <v>426</v>
      </c>
    </row>
    <row r="22346" spans="1:3">
      <c r="A22346" s="250">
        <v>52079</v>
      </c>
      <c r="B22346" s="74" t="s">
        <v>11816</v>
      </c>
      <c r="C22346" s="74" t="s">
        <v>426</v>
      </c>
    </row>
    <row r="22347" spans="1:3">
      <c r="A22347" s="250">
        <v>52099</v>
      </c>
      <c r="B22347" s="74" t="s">
        <v>11792</v>
      </c>
      <c r="C22347" s="74" t="s">
        <v>426</v>
      </c>
    </row>
    <row r="22348" spans="1:3">
      <c r="A22348" s="250">
        <v>52101</v>
      </c>
      <c r="B22348" s="74" t="s">
        <v>11817</v>
      </c>
      <c r="C22348" s="74" t="s">
        <v>426</v>
      </c>
    </row>
    <row r="22349" spans="1:3">
      <c r="A22349" s="250">
        <v>52132</v>
      </c>
      <c r="B22349" s="74" t="s">
        <v>11818</v>
      </c>
      <c r="C22349" s="74" t="s">
        <v>426</v>
      </c>
    </row>
    <row r="22350" spans="1:3">
      <c r="A22350" s="250">
        <v>52133</v>
      </c>
      <c r="B22350" s="74" t="s">
        <v>7183</v>
      </c>
      <c r="C22350" s="74" t="s">
        <v>426</v>
      </c>
    </row>
    <row r="22351" spans="1:3">
      <c r="A22351" s="250">
        <v>52134</v>
      </c>
      <c r="B22351" s="74" t="s">
        <v>583</v>
      </c>
      <c r="C22351" s="74" t="s">
        <v>426</v>
      </c>
    </row>
    <row r="22352" spans="1:3">
      <c r="A22352" s="250">
        <v>52135</v>
      </c>
      <c r="B22352" s="74" t="s">
        <v>7969</v>
      </c>
      <c r="C22352" s="74" t="s">
        <v>426</v>
      </c>
    </row>
    <row r="22353" spans="1:3">
      <c r="A22353" s="250">
        <v>52136</v>
      </c>
      <c r="B22353" s="74" t="s">
        <v>5118</v>
      </c>
      <c r="C22353" s="74" t="s">
        <v>426</v>
      </c>
    </row>
    <row r="22354" spans="1:3">
      <c r="A22354" s="250">
        <v>52140</v>
      </c>
      <c r="B22354" s="74" t="s">
        <v>903</v>
      </c>
      <c r="C22354" s="74" t="s">
        <v>426</v>
      </c>
    </row>
    <row r="22355" spans="1:3">
      <c r="A22355" s="250">
        <v>52141</v>
      </c>
      <c r="B22355" s="74" t="s">
        <v>4511</v>
      </c>
      <c r="C22355" s="74" t="s">
        <v>426</v>
      </c>
    </row>
    <row r="22356" spans="1:3">
      <c r="A22356" s="250">
        <v>52142</v>
      </c>
      <c r="B22356" s="74" t="s">
        <v>3362</v>
      </c>
      <c r="C22356" s="74" t="s">
        <v>426</v>
      </c>
    </row>
    <row r="22357" spans="1:3">
      <c r="A22357" s="250">
        <v>52144</v>
      </c>
      <c r="B22357" s="74" t="s">
        <v>11819</v>
      </c>
      <c r="C22357" s="74" t="s">
        <v>426</v>
      </c>
    </row>
    <row r="22358" spans="1:3">
      <c r="A22358" s="250">
        <v>52146</v>
      </c>
      <c r="B22358" s="74" t="s">
        <v>6691</v>
      </c>
      <c r="C22358" s="74" t="s">
        <v>426</v>
      </c>
    </row>
    <row r="22359" spans="1:3">
      <c r="A22359" s="250">
        <v>52147</v>
      </c>
      <c r="B22359" s="74" t="s">
        <v>11820</v>
      </c>
      <c r="C22359" s="74" t="s">
        <v>426</v>
      </c>
    </row>
    <row r="22360" spans="1:3">
      <c r="A22360" s="250">
        <v>52149</v>
      </c>
      <c r="B22360" s="74" t="s">
        <v>11821</v>
      </c>
      <c r="C22360" s="74" t="s">
        <v>426</v>
      </c>
    </row>
    <row r="22361" spans="1:3">
      <c r="A22361" s="250">
        <v>52151</v>
      </c>
      <c r="B22361" s="74" t="s">
        <v>3943</v>
      </c>
      <c r="C22361" s="74" t="s">
        <v>426</v>
      </c>
    </row>
    <row r="22362" spans="1:3">
      <c r="A22362" s="250">
        <v>52154</v>
      </c>
      <c r="B22362" s="74" t="s">
        <v>11822</v>
      </c>
      <c r="C22362" s="74" t="s">
        <v>426</v>
      </c>
    </row>
    <row r="22363" spans="1:3">
      <c r="A22363" s="250">
        <v>52155</v>
      </c>
      <c r="B22363" s="74" t="s">
        <v>11823</v>
      </c>
      <c r="C22363" s="74" t="s">
        <v>426</v>
      </c>
    </row>
    <row r="22364" spans="1:3">
      <c r="A22364" s="250">
        <v>52156</v>
      </c>
      <c r="B22364" s="74" t="s">
        <v>11824</v>
      </c>
      <c r="C22364" s="74" t="s">
        <v>426</v>
      </c>
    </row>
    <row r="22365" spans="1:3">
      <c r="A22365" s="250">
        <v>52157</v>
      </c>
      <c r="B22365" s="74" t="s">
        <v>11825</v>
      </c>
      <c r="C22365" s="74" t="s">
        <v>426</v>
      </c>
    </row>
    <row r="22366" spans="1:3">
      <c r="A22366" s="250">
        <v>52158</v>
      </c>
      <c r="B22366" s="74" t="s">
        <v>11426</v>
      </c>
      <c r="C22366" s="74" t="s">
        <v>426</v>
      </c>
    </row>
    <row r="22367" spans="1:3">
      <c r="A22367" s="250">
        <v>52159</v>
      </c>
      <c r="B22367" s="74" t="s">
        <v>11826</v>
      </c>
      <c r="C22367" s="74" t="s">
        <v>426</v>
      </c>
    </row>
    <row r="22368" spans="1:3">
      <c r="A22368" s="250">
        <v>52160</v>
      </c>
      <c r="B22368" s="74" t="s">
        <v>11827</v>
      </c>
      <c r="C22368" s="74" t="s">
        <v>426</v>
      </c>
    </row>
    <row r="22369" spans="1:3">
      <c r="A22369" s="250">
        <v>52161</v>
      </c>
      <c r="B22369" s="74" t="s">
        <v>10745</v>
      </c>
      <c r="C22369" s="74" t="s">
        <v>426</v>
      </c>
    </row>
    <row r="22370" spans="1:3">
      <c r="A22370" s="250">
        <v>52162</v>
      </c>
      <c r="B22370" s="74" t="s">
        <v>11828</v>
      </c>
      <c r="C22370" s="74" t="s">
        <v>426</v>
      </c>
    </row>
    <row r="22371" spans="1:3">
      <c r="A22371" s="250">
        <v>52163</v>
      </c>
      <c r="B22371" s="74" t="s">
        <v>11829</v>
      </c>
      <c r="C22371" s="74" t="s">
        <v>426</v>
      </c>
    </row>
    <row r="22372" spans="1:3">
      <c r="A22372" s="250">
        <v>52164</v>
      </c>
      <c r="B22372" s="74" t="s">
        <v>11830</v>
      </c>
      <c r="C22372" s="74" t="s">
        <v>426</v>
      </c>
    </row>
    <row r="22373" spans="1:3">
      <c r="A22373" s="250">
        <v>52165</v>
      </c>
      <c r="B22373" s="74" t="s">
        <v>6297</v>
      </c>
      <c r="C22373" s="74" t="s">
        <v>426</v>
      </c>
    </row>
    <row r="22374" spans="1:3">
      <c r="A22374" s="250">
        <v>52166</v>
      </c>
      <c r="B22374" s="74" t="s">
        <v>11831</v>
      </c>
      <c r="C22374" s="74" t="s">
        <v>426</v>
      </c>
    </row>
    <row r="22375" spans="1:3">
      <c r="A22375" s="250">
        <v>52168</v>
      </c>
      <c r="B22375" s="74" t="s">
        <v>11832</v>
      </c>
      <c r="C22375" s="74" t="s">
        <v>426</v>
      </c>
    </row>
    <row r="22376" spans="1:3">
      <c r="A22376" s="250">
        <v>52169</v>
      </c>
      <c r="B22376" s="74" t="s">
        <v>11833</v>
      </c>
      <c r="C22376" s="74" t="s">
        <v>426</v>
      </c>
    </row>
    <row r="22377" spans="1:3">
      <c r="A22377" s="250">
        <v>52170</v>
      </c>
      <c r="B22377" s="74" t="s">
        <v>1676</v>
      </c>
      <c r="C22377" s="74" t="s">
        <v>426</v>
      </c>
    </row>
    <row r="22378" spans="1:3">
      <c r="A22378" s="250">
        <v>52171</v>
      </c>
      <c r="B22378" s="74" t="s">
        <v>11834</v>
      </c>
      <c r="C22378" s="74" t="s">
        <v>426</v>
      </c>
    </row>
    <row r="22379" spans="1:3">
      <c r="A22379" s="250">
        <v>52172</v>
      </c>
      <c r="B22379" s="74" t="s">
        <v>11835</v>
      </c>
      <c r="C22379" s="74" t="s">
        <v>426</v>
      </c>
    </row>
    <row r="22380" spans="1:3">
      <c r="A22380" s="250">
        <v>52175</v>
      </c>
      <c r="B22380" s="74" t="s">
        <v>6962</v>
      </c>
      <c r="C22380" s="74" t="s">
        <v>426</v>
      </c>
    </row>
    <row r="22381" spans="1:3">
      <c r="A22381" s="250">
        <v>52201</v>
      </c>
      <c r="B22381" s="74" t="s">
        <v>11836</v>
      </c>
      <c r="C22381" s="74" t="s">
        <v>426</v>
      </c>
    </row>
    <row r="22382" spans="1:3">
      <c r="A22382" s="250">
        <v>52202</v>
      </c>
      <c r="B22382" s="74" t="s">
        <v>11837</v>
      </c>
      <c r="C22382" s="74" t="s">
        <v>426</v>
      </c>
    </row>
    <row r="22383" spans="1:3">
      <c r="A22383" s="250">
        <v>52203</v>
      </c>
      <c r="B22383" s="74" t="s">
        <v>11838</v>
      </c>
      <c r="C22383" s="74" t="s">
        <v>426</v>
      </c>
    </row>
    <row r="22384" spans="1:3">
      <c r="A22384" s="250">
        <v>52204</v>
      </c>
      <c r="B22384" s="74" t="s">
        <v>11838</v>
      </c>
      <c r="C22384" s="74" t="s">
        <v>426</v>
      </c>
    </row>
    <row r="22385" spans="1:3">
      <c r="A22385" s="250">
        <v>52205</v>
      </c>
      <c r="B22385" s="74" t="s">
        <v>11839</v>
      </c>
      <c r="C22385" s="74" t="s">
        <v>426</v>
      </c>
    </row>
    <row r="22386" spans="1:3">
      <c r="A22386" s="250">
        <v>52206</v>
      </c>
      <c r="B22386" s="74" t="s">
        <v>6345</v>
      </c>
      <c r="C22386" s="74" t="s">
        <v>426</v>
      </c>
    </row>
    <row r="22387" spans="1:3">
      <c r="A22387" s="250">
        <v>52207</v>
      </c>
      <c r="B22387" s="74" t="s">
        <v>2765</v>
      </c>
      <c r="C22387" s="74" t="s">
        <v>426</v>
      </c>
    </row>
    <row r="22388" spans="1:3">
      <c r="A22388" s="250">
        <v>52208</v>
      </c>
      <c r="B22388" s="74" t="s">
        <v>11840</v>
      </c>
      <c r="C22388" s="74" t="s">
        <v>426</v>
      </c>
    </row>
    <row r="22389" spans="1:3">
      <c r="A22389" s="250">
        <v>52209</v>
      </c>
      <c r="B22389" s="74" t="s">
        <v>2297</v>
      </c>
      <c r="C22389" s="74" t="s">
        <v>426</v>
      </c>
    </row>
    <row r="22390" spans="1:3">
      <c r="A22390" s="250">
        <v>52210</v>
      </c>
      <c r="B22390" s="74" t="s">
        <v>1864</v>
      </c>
      <c r="C22390" s="74" t="s">
        <v>426</v>
      </c>
    </row>
    <row r="22391" spans="1:3">
      <c r="A22391" s="250">
        <v>52211</v>
      </c>
      <c r="B22391" s="74" t="s">
        <v>1983</v>
      </c>
      <c r="C22391" s="74" t="s">
        <v>426</v>
      </c>
    </row>
    <row r="22392" spans="1:3">
      <c r="A22392" s="250">
        <v>52212</v>
      </c>
      <c r="B22392" s="74" t="s">
        <v>11841</v>
      </c>
      <c r="C22392" s="74" t="s">
        <v>426</v>
      </c>
    </row>
    <row r="22393" spans="1:3">
      <c r="A22393" s="250">
        <v>52213</v>
      </c>
      <c r="B22393" s="74" t="s">
        <v>6933</v>
      </c>
      <c r="C22393" s="74" t="s">
        <v>426</v>
      </c>
    </row>
    <row r="22394" spans="1:3">
      <c r="A22394" s="250">
        <v>52214</v>
      </c>
      <c r="B22394" s="74" t="s">
        <v>4347</v>
      </c>
      <c r="C22394" s="74" t="s">
        <v>426</v>
      </c>
    </row>
    <row r="22395" spans="1:3">
      <c r="A22395" s="250">
        <v>52215</v>
      </c>
      <c r="B22395" s="74" t="s">
        <v>918</v>
      </c>
      <c r="C22395" s="74" t="s">
        <v>426</v>
      </c>
    </row>
    <row r="22396" spans="1:3">
      <c r="A22396" s="250">
        <v>52216</v>
      </c>
      <c r="B22396" s="74" t="s">
        <v>3683</v>
      </c>
      <c r="C22396" s="74" t="s">
        <v>426</v>
      </c>
    </row>
    <row r="22397" spans="1:3">
      <c r="A22397" s="250">
        <v>52217</v>
      </c>
      <c r="B22397" s="74" t="s">
        <v>11842</v>
      </c>
      <c r="C22397" s="74" t="s">
        <v>426</v>
      </c>
    </row>
    <row r="22398" spans="1:3">
      <c r="A22398" s="250">
        <v>52218</v>
      </c>
      <c r="B22398" s="74" t="s">
        <v>11843</v>
      </c>
      <c r="C22398" s="74" t="s">
        <v>426</v>
      </c>
    </row>
    <row r="22399" spans="1:3">
      <c r="A22399" s="250">
        <v>52219</v>
      </c>
      <c r="B22399" s="74" t="s">
        <v>11844</v>
      </c>
      <c r="C22399" s="74" t="s">
        <v>426</v>
      </c>
    </row>
    <row r="22400" spans="1:3">
      <c r="A22400" s="250">
        <v>52220</v>
      </c>
      <c r="B22400" s="74" t="s">
        <v>11845</v>
      </c>
      <c r="C22400" s="74" t="s">
        <v>426</v>
      </c>
    </row>
    <row r="22401" spans="1:3">
      <c r="A22401" s="250">
        <v>52221</v>
      </c>
      <c r="B22401" s="74" t="s">
        <v>11846</v>
      </c>
      <c r="C22401" s="74" t="s">
        <v>426</v>
      </c>
    </row>
    <row r="22402" spans="1:3">
      <c r="A22402" s="250">
        <v>52222</v>
      </c>
      <c r="B22402" s="74" t="s">
        <v>2046</v>
      </c>
      <c r="C22402" s="74" t="s">
        <v>426</v>
      </c>
    </row>
    <row r="22403" spans="1:3">
      <c r="A22403" s="250">
        <v>52223</v>
      </c>
      <c r="B22403" s="74" t="s">
        <v>3608</v>
      </c>
      <c r="C22403" s="74" t="s">
        <v>426</v>
      </c>
    </row>
    <row r="22404" spans="1:3">
      <c r="A22404" s="250">
        <v>52224</v>
      </c>
      <c r="B22404" s="74" t="s">
        <v>4545</v>
      </c>
      <c r="C22404" s="74" t="s">
        <v>426</v>
      </c>
    </row>
    <row r="22405" spans="1:3">
      <c r="A22405" s="250">
        <v>52225</v>
      </c>
      <c r="B22405" s="74" t="s">
        <v>6201</v>
      </c>
      <c r="C22405" s="74" t="s">
        <v>426</v>
      </c>
    </row>
    <row r="22406" spans="1:3">
      <c r="A22406" s="250">
        <v>52227</v>
      </c>
      <c r="B22406" s="74" t="s">
        <v>11847</v>
      </c>
      <c r="C22406" s="74" t="s">
        <v>426</v>
      </c>
    </row>
    <row r="22407" spans="1:3">
      <c r="A22407" s="250">
        <v>52228</v>
      </c>
      <c r="B22407" s="74" t="s">
        <v>1811</v>
      </c>
      <c r="C22407" s="74" t="s">
        <v>426</v>
      </c>
    </row>
    <row r="22408" spans="1:3">
      <c r="A22408" s="250">
        <v>52229</v>
      </c>
      <c r="B22408" s="74" t="s">
        <v>2630</v>
      </c>
      <c r="C22408" s="74" t="s">
        <v>426</v>
      </c>
    </row>
    <row r="22409" spans="1:3">
      <c r="A22409" s="250">
        <v>52231</v>
      </c>
      <c r="B22409" s="74" t="s">
        <v>6798</v>
      </c>
      <c r="C22409" s="74" t="s">
        <v>426</v>
      </c>
    </row>
    <row r="22410" spans="1:3">
      <c r="A22410" s="250">
        <v>52232</v>
      </c>
      <c r="B22410" s="74" t="s">
        <v>3461</v>
      </c>
      <c r="C22410" s="74" t="s">
        <v>426</v>
      </c>
    </row>
    <row r="22411" spans="1:3">
      <c r="A22411" s="250">
        <v>52233</v>
      </c>
      <c r="B22411" s="74" t="s">
        <v>6483</v>
      </c>
      <c r="C22411" s="74" t="s">
        <v>426</v>
      </c>
    </row>
    <row r="22412" spans="1:3">
      <c r="A22412" s="250">
        <v>52235</v>
      </c>
      <c r="B22412" s="74" t="s">
        <v>11848</v>
      </c>
      <c r="C22412" s="74" t="s">
        <v>426</v>
      </c>
    </row>
    <row r="22413" spans="1:3">
      <c r="A22413" s="250">
        <v>52236</v>
      </c>
      <c r="B22413" s="74" t="s">
        <v>4024</v>
      </c>
      <c r="C22413" s="74" t="s">
        <v>426</v>
      </c>
    </row>
    <row r="22414" spans="1:3">
      <c r="A22414" s="250">
        <v>52237</v>
      </c>
      <c r="B22414" s="74" t="s">
        <v>791</v>
      </c>
      <c r="C22414" s="74" t="s">
        <v>426</v>
      </c>
    </row>
    <row r="22415" spans="1:3">
      <c r="A22415" s="250">
        <v>52240</v>
      </c>
      <c r="B22415" s="74" t="s">
        <v>11849</v>
      </c>
      <c r="C22415" s="74" t="s">
        <v>426</v>
      </c>
    </row>
    <row r="22416" spans="1:3">
      <c r="A22416" s="250">
        <v>52241</v>
      </c>
      <c r="B22416" s="74" t="s">
        <v>11850</v>
      </c>
      <c r="C22416" s="74" t="s">
        <v>426</v>
      </c>
    </row>
    <row r="22417" spans="1:3">
      <c r="A22417" s="250">
        <v>52242</v>
      </c>
      <c r="B22417" s="74" t="s">
        <v>11849</v>
      </c>
      <c r="C22417" s="74" t="s">
        <v>426</v>
      </c>
    </row>
    <row r="22418" spans="1:3">
      <c r="A22418" s="250">
        <v>52243</v>
      </c>
      <c r="B22418" s="74" t="s">
        <v>11849</v>
      </c>
      <c r="C22418" s="74" t="s">
        <v>426</v>
      </c>
    </row>
    <row r="22419" spans="1:3">
      <c r="A22419" s="250">
        <v>52244</v>
      </c>
      <c r="B22419" s="74" t="s">
        <v>11849</v>
      </c>
      <c r="C22419" s="74" t="s">
        <v>426</v>
      </c>
    </row>
    <row r="22420" spans="1:3">
      <c r="A22420" s="250">
        <v>52245</v>
      </c>
      <c r="B22420" s="74" t="s">
        <v>11849</v>
      </c>
      <c r="C22420" s="74" t="s">
        <v>426</v>
      </c>
    </row>
    <row r="22421" spans="1:3">
      <c r="A22421" s="250">
        <v>52246</v>
      </c>
      <c r="B22421" s="74" t="s">
        <v>11849</v>
      </c>
      <c r="C22421" s="74" t="s">
        <v>426</v>
      </c>
    </row>
    <row r="22422" spans="1:3">
      <c r="A22422" s="250">
        <v>52247</v>
      </c>
      <c r="B22422" s="74" t="s">
        <v>11851</v>
      </c>
      <c r="C22422" s="74" t="s">
        <v>426</v>
      </c>
    </row>
    <row r="22423" spans="1:3">
      <c r="A22423" s="250">
        <v>52248</v>
      </c>
      <c r="B22423" s="74" t="s">
        <v>11852</v>
      </c>
      <c r="C22423" s="74" t="s">
        <v>426</v>
      </c>
    </row>
    <row r="22424" spans="1:3">
      <c r="A22424" s="250">
        <v>52249</v>
      </c>
      <c r="B22424" s="74" t="s">
        <v>10737</v>
      </c>
      <c r="C22424" s="74" t="s">
        <v>426</v>
      </c>
    </row>
    <row r="22425" spans="1:3">
      <c r="A22425" s="250">
        <v>52251</v>
      </c>
      <c r="B22425" s="74" t="s">
        <v>11853</v>
      </c>
      <c r="C22425" s="74" t="s">
        <v>426</v>
      </c>
    </row>
    <row r="22426" spans="1:3">
      <c r="A22426" s="250">
        <v>52252</v>
      </c>
      <c r="B22426" s="74" t="s">
        <v>11854</v>
      </c>
      <c r="C22426" s="74" t="s">
        <v>426</v>
      </c>
    </row>
    <row r="22427" spans="1:3">
      <c r="A22427" s="250">
        <v>52253</v>
      </c>
      <c r="B22427" s="74" t="s">
        <v>1254</v>
      </c>
      <c r="C22427" s="74" t="s">
        <v>426</v>
      </c>
    </row>
    <row r="22428" spans="1:3">
      <c r="A22428" s="250">
        <v>52254</v>
      </c>
      <c r="B22428" s="74" t="s">
        <v>11855</v>
      </c>
      <c r="C22428" s="74" t="s">
        <v>426</v>
      </c>
    </row>
    <row r="22429" spans="1:3">
      <c r="A22429" s="250">
        <v>52255</v>
      </c>
      <c r="B22429" s="74" t="s">
        <v>11856</v>
      </c>
      <c r="C22429" s="74" t="s">
        <v>426</v>
      </c>
    </row>
    <row r="22430" spans="1:3">
      <c r="A22430" s="250">
        <v>52257</v>
      </c>
      <c r="B22430" s="74" t="s">
        <v>5233</v>
      </c>
      <c r="C22430" s="74" t="s">
        <v>426</v>
      </c>
    </row>
    <row r="22431" spans="1:3">
      <c r="A22431" s="250">
        <v>52301</v>
      </c>
      <c r="B22431" s="74" t="s">
        <v>10141</v>
      </c>
      <c r="C22431" s="74" t="s">
        <v>426</v>
      </c>
    </row>
    <row r="22432" spans="1:3">
      <c r="A22432" s="250">
        <v>52302</v>
      </c>
      <c r="B22432" s="74" t="s">
        <v>1071</v>
      </c>
      <c r="C22432" s="74" t="s">
        <v>426</v>
      </c>
    </row>
    <row r="22433" spans="1:3">
      <c r="A22433" s="250">
        <v>52305</v>
      </c>
      <c r="B22433" s="74" t="s">
        <v>11857</v>
      </c>
      <c r="C22433" s="74" t="s">
        <v>426</v>
      </c>
    </row>
    <row r="22434" spans="1:3">
      <c r="A22434" s="250">
        <v>52306</v>
      </c>
      <c r="B22434" s="74" t="s">
        <v>5279</v>
      </c>
      <c r="C22434" s="74" t="s">
        <v>426</v>
      </c>
    </row>
    <row r="22435" spans="1:3">
      <c r="A22435" s="250">
        <v>52307</v>
      </c>
      <c r="B22435" s="74" t="s">
        <v>11858</v>
      </c>
      <c r="C22435" s="74" t="s">
        <v>426</v>
      </c>
    </row>
    <row r="22436" spans="1:3">
      <c r="A22436" s="250">
        <v>52308</v>
      </c>
      <c r="B22436" s="74" t="s">
        <v>4729</v>
      </c>
      <c r="C22436" s="74" t="s">
        <v>426</v>
      </c>
    </row>
    <row r="22437" spans="1:3">
      <c r="A22437" s="250">
        <v>52309</v>
      </c>
      <c r="B22437" s="74" t="s">
        <v>1451</v>
      </c>
      <c r="C22437" s="74" t="s">
        <v>426</v>
      </c>
    </row>
    <row r="22438" spans="1:3">
      <c r="A22438" s="250">
        <v>52310</v>
      </c>
      <c r="B22438" s="74" t="s">
        <v>1639</v>
      </c>
      <c r="C22438" s="74" t="s">
        <v>426</v>
      </c>
    </row>
    <row r="22439" spans="1:3">
      <c r="A22439" s="250">
        <v>52312</v>
      </c>
      <c r="B22439" s="74" t="s">
        <v>11264</v>
      </c>
      <c r="C22439" s="74" t="s">
        <v>426</v>
      </c>
    </row>
    <row r="22440" spans="1:3">
      <c r="A22440" s="250">
        <v>52313</v>
      </c>
      <c r="B22440" s="74" t="s">
        <v>11859</v>
      </c>
      <c r="C22440" s="74" t="s">
        <v>426</v>
      </c>
    </row>
    <row r="22441" spans="1:3">
      <c r="A22441" s="250">
        <v>52314</v>
      </c>
      <c r="B22441" s="74" t="s">
        <v>1481</v>
      </c>
      <c r="C22441" s="74" t="s">
        <v>426</v>
      </c>
    </row>
    <row r="22442" spans="1:3">
      <c r="A22442" s="250">
        <v>52315</v>
      </c>
      <c r="B22442" s="74" t="s">
        <v>6524</v>
      </c>
      <c r="C22442" s="74" t="s">
        <v>426</v>
      </c>
    </row>
    <row r="22443" spans="1:3">
      <c r="A22443" s="250">
        <v>52316</v>
      </c>
      <c r="B22443" s="74" t="s">
        <v>11860</v>
      </c>
      <c r="C22443" s="74" t="s">
        <v>426</v>
      </c>
    </row>
    <row r="22444" spans="1:3">
      <c r="A22444" s="250">
        <v>52317</v>
      </c>
      <c r="B22444" s="74" t="s">
        <v>10718</v>
      </c>
      <c r="C22444" s="74" t="s">
        <v>426</v>
      </c>
    </row>
    <row r="22445" spans="1:3">
      <c r="A22445" s="250">
        <v>52318</v>
      </c>
      <c r="B22445" s="74" t="s">
        <v>1458</v>
      </c>
      <c r="C22445" s="74" t="s">
        <v>426</v>
      </c>
    </row>
    <row r="22446" spans="1:3">
      <c r="A22446" s="250">
        <v>52319</v>
      </c>
      <c r="B22446" s="74" t="s">
        <v>2024</v>
      </c>
      <c r="C22446" s="74" t="s">
        <v>426</v>
      </c>
    </row>
    <row r="22447" spans="1:3">
      <c r="A22447" s="250">
        <v>52320</v>
      </c>
      <c r="B22447" s="74" t="s">
        <v>7502</v>
      </c>
      <c r="C22447" s="74" t="s">
        <v>426</v>
      </c>
    </row>
    <row r="22448" spans="1:3">
      <c r="A22448" s="250">
        <v>52321</v>
      </c>
      <c r="B22448" s="74" t="s">
        <v>11861</v>
      </c>
      <c r="C22448" s="74" t="s">
        <v>426</v>
      </c>
    </row>
    <row r="22449" spans="1:3">
      <c r="A22449" s="250">
        <v>52322</v>
      </c>
      <c r="B22449" s="74" t="s">
        <v>754</v>
      </c>
      <c r="C22449" s="74" t="s">
        <v>426</v>
      </c>
    </row>
    <row r="22450" spans="1:3">
      <c r="A22450" s="250">
        <v>52323</v>
      </c>
      <c r="B22450" s="74" t="s">
        <v>11862</v>
      </c>
      <c r="C22450" s="74" t="s">
        <v>426</v>
      </c>
    </row>
    <row r="22451" spans="1:3">
      <c r="A22451" s="250">
        <v>52324</v>
      </c>
      <c r="B22451" s="74" t="s">
        <v>11171</v>
      </c>
      <c r="C22451" s="74" t="s">
        <v>426</v>
      </c>
    </row>
    <row r="22452" spans="1:3">
      <c r="A22452" s="250">
        <v>52325</v>
      </c>
      <c r="B22452" s="74" t="s">
        <v>11863</v>
      </c>
      <c r="C22452" s="74" t="s">
        <v>426</v>
      </c>
    </row>
    <row r="22453" spans="1:3">
      <c r="A22453" s="250">
        <v>52326</v>
      </c>
      <c r="B22453" s="74" t="s">
        <v>11864</v>
      </c>
      <c r="C22453" s="74" t="s">
        <v>426</v>
      </c>
    </row>
    <row r="22454" spans="1:3">
      <c r="A22454" s="250">
        <v>52327</v>
      </c>
      <c r="B22454" s="74" t="s">
        <v>1147</v>
      </c>
      <c r="C22454" s="74" t="s">
        <v>426</v>
      </c>
    </row>
    <row r="22455" spans="1:3">
      <c r="A22455" s="250">
        <v>52328</v>
      </c>
      <c r="B22455" s="74" t="s">
        <v>11865</v>
      </c>
      <c r="C22455" s="74" t="s">
        <v>426</v>
      </c>
    </row>
    <row r="22456" spans="1:3">
      <c r="A22456" s="250">
        <v>52329</v>
      </c>
      <c r="B22456" s="74" t="s">
        <v>857</v>
      </c>
      <c r="C22456" s="74" t="s">
        <v>426</v>
      </c>
    </row>
    <row r="22457" spans="1:3">
      <c r="A22457" s="250">
        <v>52330</v>
      </c>
      <c r="B22457" s="74" t="s">
        <v>11866</v>
      </c>
      <c r="C22457" s="74" t="s">
        <v>426</v>
      </c>
    </row>
    <row r="22458" spans="1:3">
      <c r="A22458" s="250">
        <v>52332</v>
      </c>
      <c r="B22458" s="74" t="s">
        <v>11867</v>
      </c>
      <c r="C22458" s="74" t="s">
        <v>426</v>
      </c>
    </row>
    <row r="22459" spans="1:3">
      <c r="A22459" s="250">
        <v>52333</v>
      </c>
      <c r="B22459" s="74" t="s">
        <v>1719</v>
      </c>
      <c r="C22459" s="74" t="s">
        <v>426</v>
      </c>
    </row>
    <row r="22460" spans="1:3">
      <c r="A22460" s="250">
        <v>52334</v>
      </c>
      <c r="B22460" s="74" t="s">
        <v>11868</v>
      </c>
      <c r="C22460" s="74" t="s">
        <v>426</v>
      </c>
    </row>
    <row r="22461" spans="1:3">
      <c r="A22461" s="250">
        <v>52335</v>
      </c>
      <c r="B22461" s="74" t="s">
        <v>11869</v>
      </c>
      <c r="C22461" s="74" t="s">
        <v>426</v>
      </c>
    </row>
    <row r="22462" spans="1:3">
      <c r="A22462" s="250">
        <v>52336</v>
      </c>
      <c r="B22462" s="74" t="s">
        <v>3739</v>
      </c>
      <c r="C22462" s="74" t="s">
        <v>426</v>
      </c>
    </row>
    <row r="22463" spans="1:3">
      <c r="A22463" s="250">
        <v>52337</v>
      </c>
      <c r="B22463" s="74" t="s">
        <v>11268</v>
      </c>
      <c r="C22463" s="74" t="s">
        <v>426</v>
      </c>
    </row>
    <row r="22464" spans="1:3">
      <c r="A22464" s="250">
        <v>52338</v>
      </c>
      <c r="B22464" s="74" t="s">
        <v>11870</v>
      </c>
      <c r="C22464" s="74" t="s">
        <v>426</v>
      </c>
    </row>
    <row r="22465" spans="1:3">
      <c r="A22465" s="250">
        <v>52339</v>
      </c>
      <c r="B22465" s="74" t="s">
        <v>11871</v>
      </c>
      <c r="C22465" s="74" t="s">
        <v>426</v>
      </c>
    </row>
    <row r="22466" spans="1:3">
      <c r="A22466" s="250">
        <v>52340</v>
      </c>
      <c r="B22466" s="74" t="s">
        <v>10446</v>
      </c>
      <c r="C22466" s="74" t="s">
        <v>426</v>
      </c>
    </row>
    <row r="22467" spans="1:3">
      <c r="A22467" s="250">
        <v>52341</v>
      </c>
      <c r="B22467" s="74" t="s">
        <v>5780</v>
      </c>
      <c r="C22467" s="74" t="s">
        <v>426</v>
      </c>
    </row>
    <row r="22468" spans="1:3">
      <c r="A22468" s="250">
        <v>52342</v>
      </c>
      <c r="B22468" s="74" t="s">
        <v>10215</v>
      </c>
      <c r="C22468" s="74" t="s">
        <v>426</v>
      </c>
    </row>
    <row r="22469" spans="1:3">
      <c r="A22469" s="250">
        <v>52344</v>
      </c>
      <c r="B22469" s="74" t="s">
        <v>11872</v>
      </c>
      <c r="C22469" s="74" t="s">
        <v>426</v>
      </c>
    </row>
    <row r="22470" spans="1:3">
      <c r="A22470" s="250">
        <v>52345</v>
      </c>
      <c r="B22470" s="74" t="s">
        <v>10107</v>
      </c>
      <c r="C22470" s="74" t="s">
        <v>426</v>
      </c>
    </row>
    <row r="22471" spans="1:3">
      <c r="A22471" s="250">
        <v>52346</v>
      </c>
      <c r="B22471" s="74" t="s">
        <v>11873</v>
      </c>
      <c r="C22471" s="74" t="s">
        <v>426</v>
      </c>
    </row>
    <row r="22472" spans="1:3">
      <c r="A22472" s="250">
        <v>52347</v>
      </c>
      <c r="B22472" s="74" t="s">
        <v>3832</v>
      </c>
      <c r="C22472" s="74" t="s">
        <v>426</v>
      </c>
    </row>
    <row r="22473" spans="1:3">
      <c r="A22473" s="250">
        <v>52348</v>
      </c>
      <c r="B22473" s="74" t="s">
        <v>11874</v>
      </c>
      <c r="C22473" s="74" t="s">
        <v>426</v>
      </c>
    </row>
    <row r="22474" spans="1:3">
      <c r="A22474" s="250">
        <v>52349</v>
      </c>
      <c r="B22474" s="74" t="s">
        <v>6310</v>
      </c>
      <c r="C22474" s="74" t="s">
        <v>426</v>
      </c>
    </row>
    <row r="22475" spans="1:3">
      <c r="A22475" s="250">
        <v>52350</v>
      </c>
      <c r="B22475" s="74" t="s">
        <v>5510</v>
      </c>
      <c r="C22475" s="74" t="s">
        <v>426</v>
      </c>
    </row>
    <row r="22476" spans="1:3">
      <c r="A22476" s="250">
        <v>52351</v>
      </c>
      <c r="B22476" s="74" t="s">
        <v>11875</v>
      </c>
      <c r="C22476" s="74" t="s">
        <v>426</v>
      </c>
    </row>
    <row r="22477" spans="1:3">
      <c r="A22477" s="250">
        <v>52352</v>
      </c>
      <c r="B22477" s="74" t="s">
        <v>6885</v>
      </c>
      <c r="C22477" s="74" t="s">
        <v>426</v>
      </c>
    </row>
    <row r="22478" spans="1:3">
      <c r="A22478" s="250">
        <v>52353</v>
      </c>
      <c r="B22478" s="74" t="s">
        <v>1215</v>
      </c>
      <c r="C22478" s="74" t="s">
        <v>426</v>
      </c>
    </row>
    <row r="22479" spans="1:3">
      <c r="A22479" s="250">
        <v>52354</v>
      </c>
      <c r="B22479" s="74" t="s">
        <v>11876</v>
      </c>
      <c r="C22479" s="74" t="s">
        <v>426</v>
      </c>
    </row>
    <row r="22480" spans="1:3">
      <c r="A22480" s="250">
        <v>52355</v>
      </c>
      <c r="B22480" s="74" t="s">
        <v>767</v>
      </c>
      <c r="C22480" s="74" t="s">
        <v>426</v>
      </c>
    </row>
    <row r="22481" spans="1:3">
      <c r="A22481" s="250">
        <v>52356</v>
      </c>
      <c r="B22481" s="74" t="s">
        <v>11877</v>
      </c>
      <c r="C22481" s="74" t="s">
        <v>426</v>
      </c>
    </row>
    <row r="22482" spans="1:3">
      <c r="A22482" s="250">
        <v>52358</v>
      </c>
      <c r="B22482" s="74" t="s">
        <v>11111</v>
      </c>
      <c r="C22482" s="74" t="s">
        <v>426</v>
      </c>
    </row>
    <row r="22483" spans="1:3">
      <c r="A22483" s="250">
        <v>52359</v>
      </c>
      <c r="B22483" s="74" t="s">
        <v>5401</v>
      </c>
      <c r="C22483" s="74" t="s">
        <v>426</v>
      </c>
    </row>
    <row r="22484" spans="1:3">
      <c r="A22484" s="250">
        <v>52361</v>
      </c>
      <c r="B22484" s="74" t="s">
        <v>631</v>
      </c>
      <c r="C22484" s="74" t="s">
        <v>426</v>
      </c>
    </row>
    <row r="22485" spans="1:3">
      <c r="A22485" s="250">
        <v>52362</v>
      </c>
      <c r="B22485" s="74" t="s">
        <v>1142</v>
      </c>
      <c r="C22485" s="74" t="s">
        <v>426</v>
      </c>
    </row>
    <row r="22486" spans="1:3">
      <c r="A22486" s="250">
        <v>52401</v>
      </c>
      <c r="B22486" s="74" t="s">
        <v>11878</v>
      </c>
      <c r="C22486" s="74" t="s">
        <v>426</v>
      </c>
    </row>
    <row r="22487" spans="1:3">
      <c r="A22487" s="250">
        <v>52402</v>
      </c>
      <c r="B22487" s="74" t="s">
        <v>11878</v>
      </c>
      <c r="C22487" s="74" t="s">
        <v>426</v>
      </c>
    </row>
    <row r="22488" spans="1:3">
      <c r="A22488" s="250">
        <v>52403</v>
      </c>
      <c r="B22488" s="74" t="s">
        <v>11878</v>
      </c>
      <c r="C22488" s="74" t="s">
        <v>426</v>
      </c>
    </row>
    <row r="22489" spans="1:3">
      <c r="A22489" s="250">
        <v>52404</v>
      </c>
      <c r="B22489" s="74" t="s">
        <v>11878</v>
      </c>
      <c r="C22489" s="74" t="s">
        <v>426</v>
      </c>
    </row>
    <row r="22490" spans="1:3">
      <c r="A22490" s="250">
        <v>52405</v>
      </c>
      <c r="B22490" s="74" t="s">
        <v>11878</v>
      </c>
      <c r="C22490" s="74" t="s">
        <v>426</v>
      </c>
    </row>
    <row r="22491" spans="1:3">
      <c r="A22491" s="250">
        <v>52406</v>
      </c>
      <c r="B22491" s="74" t="s">
        <v>11878</v>
      </c>
      <c r="C22491" s="74" t="s">
        <v>426</v>
      </c>
    </row>
    <row r="22492" spans="1:3">
      <c r="A22492" s="250">
        <v>52407</v>
      </c>
      <c r="B22492" s="74" t="s">
        <v>11878</v>
      </c>
      <c r="C22492" s="74" t="s">
        <v>426</v>
      </c>
    </row>
    <row r="22493" spans="1:3">
      <c r="A22493" s="250">
        <v>52408</v>
      </c>
      <c r="B22493" s="74" t="s">
        <v>11878</v>
      </c>
      <c r="C22493" s="74" t="s">
        <v>426</v>
      </c>
    </row>
    <row r="22494" spans="1:3">
      <c r="A22494" s="250">
        <v>52409</v>
      </c>
      <c r="B22494" s="74" t="s">
        <v>11878</v>
      </c>
      <c r="C22494" s="74" t="s">
        <v>426</v>
      </c>
    </row>
    <row r="22495" spans="1:3">
      <c r="A22495" s="250">
        <v>52410</v>
      </c>
      <c r="B22495" s="74" t="s">
        <v>11878</v>
      </c>
      <c r="C22495" s="74" t="s">
        <v>426</v>
      </c>
    </row>
    <row r="22496" spans="1:3">
      <c r="A22496" s="250">
        <v>52411</v>
      </c>
      <c r="B22496" s="74" t="s">
        <v>11878</v>
      </c>
      <c r="C22496" s="74" t="s">
        <v>426</v>
      </c>
    </row>
    <row r="22497" spans="1:3">
      <c r="A22497" s="250">
        <v>52497</v>
      </c>
      <c r="B22497" s="74" t="s">
        <v>11878</v>
      </c>
      <c r="C22497" s="74" t="s">
        <v>426</v>
      </c>
    </row>
    <row r="22498" spans="1:3">
      <c r="A22498" s="250">
        <v>52498</v>
      </c>
      <c r="B22498" s="74" t="s">
        <v>11878</v>
      </c>
      <c r="C22498" s="74" t="s">
        <v>426</v>
      </c>
    </row>
    <row r="22499" spans="1:3">
      <c r="A22499" s="250">
        <v>52499</v>
      </c>
      <c r="B22499" s="74" t="s">
        <v>11878</v>
      </c>
      <c r="C22499" s="74" t="s">
        <v>426</v>
      </c>
    </row>
    <row r="22500" spans="1:3">
      <c r="A22500" s="250">
        <v>52501</v>
      </c>
      <c r="B22500" s="74" t="s">
        <v>11879</v>
      </c>
      <c r="C22500" s="74" t="s">
        <v>426</v>
      </c>
    </row>
    <row r="22501" spans="1:3">
      <c r="A22501" s="250">
        <v>52530</v>
      </c>
      <c r="B22501" s="74" t="s">
        <v>11880</v>
      </c>
      <c r="C22501" s="74" t="s">
        <v>426</v>
      </c>
    </row>
    <row r="22502" spans="1:3">
      <c r="A22502" s="250">
        <v>52531</v>
      </c>
      <c r="B22502" s="74" t="s">
        <v>11881</v>
      </c>
      <c r="C22502" s="74" t="s">
        <v>426</v>
      </c>
    </row>
    <row r="22503" spans="1:3">
      <c r="A22503" s="250">
        <v>52533</v>
      </c>
      <c r="B22503" s="74" t="s">
        <v>3677</v>
      </c>
      <c r="C22503" s="74" t="s">
        <v>426</v>
      </c>
    </row>
    <row r="22504" spans="1:3">
      <c r="A22504" s="250">
        <v>52534</v>
      </c>
      <c r="B22504" s="74" t="s">
        <v>3105</v>
      </c>
      <c r="C22504" s="74" t="s">
        <v>426</v>
      </c>
    </row>
    <row r="22505" spans="1:3">
      <c r="A22505" s="250">
        <v>52535</v>
      </c>
      <c r="B22505" s="74" t="s">
        <v>2369</v>
      </c>
      <c r="C22505" s="74" t="s">
        <v>426</v>
      </c>
    </row>
    <row r="22506" spans="1:3">
      <c r="A22506" s="250">
        <v>52536</v>
      </c>
      <c r="B22506" s="74" t="s">
        <v>11882</v>
      </c>
      <c r="C22506" s="74" t="s">
        <v>426</v>
      </c>
    </row>
    <row r="22507" spans="1:3">
      <c r="A22507" s="250">
        <v>52537</v>
      </c>
      <c r="B22507" s="74" t="s">
        <v>1933</v>
      </c>
      <c r="C22507" s="74" t="s">
        <v>426</v>
      </c>
    </row>
    <row r="22508" spans="1:3">
      <c r="A22508" s="250">
        <v>52538</v>
      </c>
      <c r="B22508" s="74" t="s">
        <v>5402</v>
      </c>
      <c r="C22508" s="74" t="s">
        <v>426</v>
      </c>
    </row>
    <row r="22509" spans="1:3">
      <c r="A22509" s="250">
        <v>52540</v>
      </c>
      <c r="B22509" s="74" t="s">
        <v>911</v>
      </c>
      <c r="C22509" s="74" t="s">
        <v>426</v>
      </c>
    </row>
    <row r="22510" spans="1:3">
      <c r="A22510" s="250">
        <v>52542</v>
      </c>
      <c r="B22510" s="74" t="s">
        <v>11883</v>
      </c>
      <c r="C22510" s="74" t="s">
        <v>426</v>
      </c>
    </row>
    <row r="22511" spans="1:3">
      <c r="A22511" s="250">
        <v>52543</v>
      </c>
      <c r="B22511" s="74" t="s">
        <v>11301</v>
      </c>
      <c r="C22511" s="74" t="s">
        <v>426</v>
      </c>
    </row>
    <row r="22512" spans="1:3">
      <c r="A22512" s="250">
        <v>52544</v>
      </c>
      <c r="B22512" s="74" t="s">
        <v>1024</v>
      </c>
      <c r="C22512" s="74" t="s">
        <v>426</v>
      </c>
    </row>
    <row r="22513" spans="1:3">
      <c r="A22513" s="250">
        <v>52548</v>
      </c>
      <c r="B22513" s="74" t="s">
        <v>10526</v>
      </c>
      <c r="C22513" s="74" t="s">
        <v>426</v>
      </c>
    </row>
    <row r="22514" spans="1:3">
      <c r="A22514" s="250">
        <v>52549</v>
      </c>
      <c r="B22514" s="74" t="s">
        <v>10489</v>
      </c>
      <c r="C22514" s="74" t="s">
        <v>426</v>
      </c>
    </row>
    <row r="22515" spans="1:3">
      <c r="A22515" s="250">
        <v>52550</v>
      </c>
      <c r="B22515" s="74" t="s">
        <v>4813</v>
      </c>
      <c r="C22515" s="74" t="s">
        <v>426</v>
      </c>
    </row>
    <row r="22516" spans="1:3">
      <c r="A22516" s="250">
        <v>52551</v>
      </c>
      <c r="B22516" s="74" t="s">
        <v>11884</v>
      </c>
      <c r="C22516" s="74" t="s">
        <v>426</v>
      </c>
    </row>
    <row r="22517" spans="1:3">
      <c r="A22517" s="250">
        <v>52552</v>
      </c>
      <c r="B22517" s="74" t="s">
        <v>11885</v>
      </c>
      <c r="C22517" s="74" t="s">
        <v>426</v>
      </c>
    </row>
    <row r="22518" spans="1:3">
      <c r="A22518" s="250">
        <v>52553</v>
      </c>
      <c r="B22518" s="74" t="s">
        <v>9933</v>
      </c>
      <c r="C22518" s="74" t="s">
        <v>426</v>
      </c>
    </row>
    <row r="22519" spans="1:3">
      <c r="A22519" s="250">
        <v>52554</v>
      </c>
      <c r="B22519" s="74" t="s">
        <v>11886</v>
      </c>
      <c r="C22519" s="74" t="s">
        <v>426</v>
      </c>
    </row>
    <row r="22520" spans="1:3">
      <c r="A22520" s="250">
        <v>52555</v>
      </c>
      <c r="B22520" s="74" t="s">
        <v>11887</v>
      </c>
      <c r="C22520" s="74" t="s">
        <v>426</v>
      </c>
    </row>
    <row r="22521" spans="1:3">
      <c r="A22521" s="250">
        <v>52556</v>
      </c>
      <c r="B22521" s="74" t="s">
        <v>1694</v>
      </c>
      <c r="C22521" s="74" t="s">
        <v>426</v>
      </c>
    </row>
    <row r="22522" spans="1:3">
      <c r="A22522" s="250">
        <v>52557</v>
      </c>
      <c r="B22522" s="74" t="s">
        <v>1694</v>
      </c>
      <c r="C22522" s="74" t="s">
        <v>426</v>
      </c>
    </row>
    <row r="22523" spans="1:3">
      <c r="A22523" s="250">
        <v>52560</v>
      </c>
      <c r="B22523" s="74" t="s">
        <v>11888</v>
      </c>
      <c r="C22523" s="74" t="s">
        <v>426</v>
      </c>
    </row>
    <row r="22524" spans="1:3">
      <c r="A22524" s="250">
        <v>52561</v>
      </c>
      <c r="B22524" s="74" t="s">
        <v>1157</v>
      </c>
      <c r="C22524" s="74" t="s">
        <v>426</v>
      </c>
    </row>
    <row r="22525" spans="1:3">
      <c r="A22525" s="250">
        <v>52562</v>
      </c>
      <c r="B22525" s="74" t="s">
        <v>7590</v>
      </c>
      <c r="C22525" s="74" t="s">
        <v>426</v>
      </c>
    </row>
    <row r="22526" spans="1:3">
      <c r="A22526" s="250">
        <v>52563</v>
      </c>
      <c r="B22526" s="74" t="s">
        <v>11889</v>
      </c>
      <c r="C22526" s="74" t="s">
        <v>426</v>
      </c>
    </row>
    <row r="22527" spans="1:3">
      <c r="A22527" s="250">
        <v>52565</v>
      </c>
      <c r="B22527" s="74" t="s">
        <v>11890</v>
      </c>
      <c r="C22527" s="74" t="s">
        <v>426</v>
      </c>
    </row>
    <row r="22528" spans="1:3">
      <c r="A22528" s="250">
        <v>52566</v>
      </c>
      <c r="B22528" s="74" t="s">
        <v>3373</v>
      </c>
      <c r="C22528" s="74" t="s">
        <v>426</v>
      </c>
    </row>
    <row r="22529" spans="1:3">
      <c r="A22529" s="250">
        <v>52567</v>
      </c>
      <c r="B22529" s="74" t="s">
        <v>11891</v>
      </c>
      <c r="C22529" s="74" t="s">
        <v>426</v>
      </c>
    </row>
    <row r="22530" spans="1:3">
      <c r="A22530" s="250">
        <v>52568</v>
      </c>
      <c r="B22530" s="74" t="s">
        <v>3476</v>
      </c>
      <c r="C22530" s="74" t="s">
        <v>426</v>
      </c>
    </row>
    <row r="22531" spans="1:3">
      <c r="A22531" s="250">
        <v>52569</v>
      </c>
      <c r="B22531" s="74" t="s">
        <v>924</v>
      </c>
      <c r="C22531" s="74" t="s">
        <v>426</v>
      </c>
    </row>
    <row r="22532" spans="1:3">
      <c r="A22532" s="250">
        <v>52570</v>
      </c>
      <c r="B22532" s="74" t="s">
        <v>927</v>
      </c>
      <c r="C22532" s="74" t="s">
        <v>426</v>
      </c>
    </row>
    <row r="22533" spans="1:3">
      <c r="A22533" s="250">
        <v>52571</v>
      </c>
      <c r="B22533" s="74" t="s">
        <v>3392</v>
      </c>
      <c r="C22533" s="74" t="s">
        <v>426</v>
      </c>
    </row>
    <row r="22534" spans="1:3">
      <c r="A22534" s="250">
        <v>52572</v>
      </c>
      <c r="B22534" s="74" t="s">
        <v>8733</v>
      </c>
      <c r="C22534" s="74" t="s">
        <v>426</v>
      </c>
    </row>
    <row r="22535" spans="1:3">
      <c r="A22535" s="250">
        <v>52573</v>
      </c>
      <c r="B22535" s="74" t="s">
        <v>9631</v>
      </c>
      <c r="C22535" s="74" t="s">
        <v>426</v>
      </c>
    </row>
    <row r="22536" spans="1:3">
      <c r="A22536" s="250">
        <v>52574</v>
      </c>
      <c r="B22536" s="74" t="s">
        <v>2020</v>
      </c>
      <c r="C22536" s="74" t="s">
        <v>426</v>
      </c>
    </row>
    <row r="22537" spans="1:3">
      <c r="A22537" s="250">
        <v>52576</v>
      </c>
      <c r="B22537" s="74" t="s">
        <v>11892</v>
      </c>
      <c r="C22537" s="74" t="s">
        <v>426</v>
      </c>
    </row>
    <row r="22538" spans="1:3">
      <c r="A22538" s="250">
        <v>52577</v>
      </c>
      <c r="B22538" s="74" t="s">
        <v>11893</v>
      </c>
      <c r="C22538" s="74" t="s">
        <v>426</v>
      </c>
    </row>
    <row r="22539" spans="1:3">
      <c r="A22539" s="250">
        <v>52580</v>
      </c>
      <c r="B22539" s="74" t="s">
        <v>11894</v>
      </c>
      <c r="C22539" s="74" t="s">
        <v>426</v>
      </c>
    </row>
    <row r="22540" spans="1:3">
      <c r="A22540" s="250">
        <v>52581</v>
      </c>
      <c r="B22540" s="74" t="s">
        <v>11895</v>
      </c>
      <c r="C22540" s="74" t="s">
        <v>426</v>
      </c>
    </row>
    <row r="22541" spans="1:3">
      <c r="A22541" s="250">
        <v>52583</v>
      </c>
      <c r="B22541" s="74" t="s">
        <v>11896</v>
      </c>
      <c r="C22541" s="74" t="s">
        <v>426</v>
      </c>
    </row>
    <row r="22542" spans="1:3">
      <c r="A22542" s="250">
        <v>52584</v>
      </c>
      <c r="B22542" s="74" t="s">
        <v>3408</v>
      </c>
      <c r="C22542" s="74" t="s">
        <v>426</v>
      </c>
    </row>
    <row r="22543" spans="1:3">
      <c r="A22543" s="250">
        <v>52585</v>
      </c>
      <c r="B22543" s="74" t="s">
        <v>2499</v>
      </c>
      <c r="C22543" s="74" t="s">
        <v>426</v>
      </c>
    </row>
    <row r="22544" spans="1:3">
      <c r="A22544" s="250">
        <v>52586</v>
      </c>
      <c r="B22544" s="74" t="s">
        <v>6339</v>
      </c>
      <c r="C22544" s="74" t="s">
        <v>426</v>
      </c>
    </row>
    <row r="22545" spans="1:3">
      <c r="A22545" s="250">
        <v>52588</v>
      </c>
      <c r="B22545" s="74" t="s">
        <v>6404</v>
      </c>
      <c r="C22545" s="74" t="s">
        <v>426</v>
      </c>
    </row>
    <row r="22546" spans="1:3">
      <c r="A22546" s="250">
        <v>52590</v>
      </c>
      <c r="B22546" s="74" t="s">
        <v>2066</v>
      </c>
      <c r="C22546" s="74" t="s">
        <v>426</v>
      </c>
    </row>
    <row r="22547" spans="1:3">
      <c r="A22547" s="250">
        <v>52591</v>
      </c>
      <c r="B22547" s="74" t="s">
        <v>11897</v>
      </c>
      <c r="C22547" s="74" t="s">
        <v>426</v>
      </c>
    </row>
    <row r="22548" spans="1:3">
      <c r="A22548" s="250">
        <v>52593</v>
      </c>
      <c r="B22548" s="74" t="s">
        <v>11898</v>
      </c>
      <c r="C22548" s="74" t="s">
        <v>426</v>
      </c>
    </row>
    <row r="22549" spans="1:3">
      <c r="A22549" s="250">
        <v>52594</v>
      </c>
      <c r="B22549" s="74" t="s">
        <v>1968</v>
      </c>
      <c r="C22549" s="74" t="s">
        <v>426</v>
      </c>
    </row>
    <row r="22550" spans="1:3">
      <c r="A22550" s="250">
        <v>52595</v>
      </c>
      <c r="B22550" s="74" t="s">
        <v>4609</v>
      </c>
      <c r="C22550" s="74" t="s">
        <v>426</v>
      </c>
    </row>
    <row r="22551" spans="1:3">
      <c r="A22551" s="250">
        <v>52601</v>
      </c>
      <c r="B22551" s="74" t="s">
        <v>806</v>
      </c>
      <c r="C22551" s="74" t="s">
        <v>426</v>
      </c>
    </row>
    <row r="22552" spans="1:3">
      <c r="A22552" s="250">
        <v>52619</v>
      </c>
      <c r="B22552" s="74" t="s">
        <v>3222</v>
      </c>
      <c r="C22552" s="74" t="s">
        <v>426</v>
      </c>
    </row>
    <row r="22553" spans="1:3">
      <c r="A22553" s="250">
        <v>52620</v>
      </c>
      <c r="B22553" s="74" t="s">
        <v>11899</v>
      </c>
      <c r="C22553" s="74" t="s">
        <v>426</v>
      </c>
    </row>
    <row r="22554" spans="1:3">
      <c r="A22554" s="250">
        <v>52621</v>
      </c>
      <c r="B22554" s="74" t="s">
        <v>10961</v>
      </c>
      <c r="C22554" s="74" t="s">
        <v>426</v>
      </c>
    </row>
    <row r="22555" spans="1:3">
      <c r="A22555" s="250">
        <v>52623</v>
      </c>
      <c r="B22555" s="74" t="s">
        <v>1302</v>
      </c>
      <c r="C22555" s="74" t="s">
        <v>426</v>
      </c>
    </row>
    <row r="22556" spans="1:3">
      <c r="A22556" s="250">
        <v>52624</v>
      </c>
      <c r="B22556" s="74" t="s">
        <v>1378</v>
      </c>
      <c r="C22556" s="74" t="s">
        <v>426</v>
      </c>
    </row>
    <row r="22557" spans="1:3">
      <c r="A22557" s="250">
        <v>52625</v>
      </c>
      <c r="B22557" s="74" t="s">
        <v>11900</v>
      </c>
      <c r="C22557" s="74" t="s">
        <v>426</v>
      </c>
    </row>
    <row r="22558" spans="1:3">
      <c r="A22558" s="250">
        <v>52626</v>
      </c>
      <c r="B22558" s="74" t="s">
        <v>1309</v>
      </c>
      <c r="C22558" s="74" t="s">
        <v>426</v>
      </c>
    </row>
    <row r="22559" spans="1:3">
      <c r="A22559" s="250">
        <v>52627</v>
      </c>
      <c r="B22559" s="74" t="s">
        <v>11901</v>
      </c>
      <c r="C22559" s="74" t="s">
        <v>426</v>
      </c>
    </row>
    <row r="22560" spans="1:3">
      <c r="A22560" s="250">
        <v>52630</v>
      </c>
      <c r="B22560" s="74" t="s">
        <v>5758</v>
      </c>
      <c r="C22560" s="74" t="s">
        <v>426</v>
      </c>
    </row>
    <row r="22561" spans="1:3">
      <c r="A22561" s="250">
        <v>52631</v>
      </c>
      <c r="B22561" s="74" t="s">
        <v>3868</v>
      </c>
      <c r="C22561" s="74" t="s">
        <v>426</v>
      </c>
    </row>
    <row r="22562" spans="1:3">
      <c r="A22562" s="250">
        <v>52632</v>
      </c>
      <c r="B22562" s="74" t="s">
        <v>11902</v>
      </c>
      <c r="C22562" s="74" t="s">
        <v>426</v>
      </c>
    </row>
    <row r="22563" spans="1:3">
      <c r="A22563" s="250">
        <v>52635</v>
      </c>
      <c r="B22563" s="74" t="s">
        <v>11903</v>
      </c>
      <c r="C22563" s="74" t="s">
        <v>426</v>
      </c>
    </row>
    <row r="22564" spans="1:3">
      <c r="A22564" s="250">
        <v>52637</v>
      </c>
      <c r="B22564" s="74" t="s">
        <v>11904</v>
      </c>
      <c r="C22564" s="74" t="s">
        <v>426</v>
      </c>
    </row>
    <row r="22565" spans="1:3">
      <c r="A22565" s="250">
        <v>52638</v>
      </c>
      <c r="B22565" s="74" t="s">
        <v>1119</v>
      </c>
      <c r="C22565" s="74" t="s">
        <v>426</v>
      </c>
    </row>
    <row r="22566" spans="1:3">
      <c r="A22566" s="250">
        <v>52639</v>
      </c>
      <c r="B22566" s="74" t="s">
        <v>2645</v>
      </c>
      <c r="C22566" s="74" t="s">
        <v>426</v>
      </c>
    </row>
    <row r="22567" spans="1:3">
      <c r="A22567" s="250">
        <v>52640</v>
      </c>
      <c r="B22567" s="74" t="s">
        <v>11905</v>
      </c>
      <c r="C22567" s="74" t="s">
        <v>426</v>
      </c>
    </row>
    <row r="22568" spans="1:3">
      <c r="A22568" s="250">
        <v>52641</v>
      </c>
      <c r="B22568" s="74" t="s">
        <v>4226</v>
      </c>
      <c r="C22568" s="74" t="s">
        <v>426</v>
      </c>
    </row>
    <row r="22569" spans="1:3">
      <c r="A22569" s="250">
        <v>52642</v>
      </c>
      <c r="B22569" s="74" t="s">
        <v>3492</v>
      </c>
      <c r="C22569" s="74" t="s">
        <v>426</v>
      </c>
    </row>
    <row r="22570" spans="1:3">
      <c r="A22570" s="250">
        <v>52644</v>
      </c>
      <c r="B22570" s="74" t="s">
        <v>4734</v>
      </c>
      <c r="C22570" s="74" t="s">
        <v>426</v>
      </c>
    </row>
    <row r="22571" spans="1:3">
      <c r="A22571" s="250">
        <v>52645</v>
      </c>
      <c r="B22571" s="74" t="s">
        <v>1201</v>
      </c>
      <c r="C22571" s="74" t="s">
        <v>426</v>
      </c>
    </row>
    <row r="22572" spans="1:3">
      <c r="A22572" s="250">
        <v>52646</v>
      </c>
      <c r="B22572" s="74" t="s">
        <v>2090</v>
      </c>
      <c r="C22572" s="74" t="s">
        <v>426</v>
      </c>
    </row>
    <row r="22573" spans="1:3">
      <c r="A22573" s="250">
        <v>52647</v>
      </c>
      <c r="B22573" s="74" t="s">
        <v>11906</v>
      </c>
      <c r="C22573" s="74" t="s">
        <v>426</v>
      </c>
    </row>
    <row r="22574" spans="1:3">
      <c r="A22574" s="250">
        <v>52648</v>
      </c>
      <c r="B22574" s="74" t="s">
        <v>11907</v>
      </c>
      <c r="C22574" s="74" t="s">
        <v>426</v>
      </c>
    </row>
    <row r="22575" spans="1:3">
      <c r="A22575" s="250">
        <v>52649</v>
      </c>
      <c r="B22575" s="74" t="s">
        <v>858</v>
      </c>
      <c r="C22575" s="74" t="s">
        <v>426</v>
      </c>
    </row>
    <row r="22576" spans="1:3">
      <c r="A22576" s="250">
        <v>52650</v>
      </c>
      <c r="B22576" s="74" t="s">
        <v>11908</v>
      </c>
      <c r="C22576" s="74" t="s">
        <v>426</v>
      </c>
    </row>
    <row r="22577" spans="1:3">
      <c r="A22577" s="250">
        <v>52651</v>
      </c>
      <c r="B22577" s="74" t="s">
        <v>10247</v>
      </c>
      <c r="C22577" s="74" t="s">
        <v>426</v>
      </c>
    </row>
    <row r="22578" spans="1:3">
      <c r="A22578" s="250">
        <v>52652</v>
      </c>
      <c r="B22578" s="74" t="s">
        <v>11909</v>
      </c>
      <c r="C22578" s="74" t="s">
        <v>426</v>
      </c>
    </row>
    <row r="22579" spans="1:3">
      <c r="A22579" s="250">
        <v>52653</v>
      </c>
      <c r="B22579" s="74" t="s">
        <v>11910</v>
      </c>
      <c r="C22579" s="74" t="s">
        <v>426</v>
      </c>
    </row>
    <row r="22580" spans="1:3">
      <c r="A22580" s="250">
        <v>52654</v>
      </c>
      <c r="B22580" s="74" t="s">
        <v>803</v>
      </c>
      <c r="C22580" s="74" t="s">
        <v>426</v>
      </c>
    </row>
    <row r="22581" spans="1:3">
      <c r="A22581" s="250">
        <v>52655</v>
      </c>
      <c r="B22581" s="74" t="s">
        <v>3512</v>
      </c>
      <c r="C22581" s="74" t="s">
        <v>426</v>
      </c>
    </row>
    <row r="22582" spans="1:3">
      <c r="A22582" s="250">
        <v>52656</v>
      </c>
      <c r="B22582" s="74" t="s">
        <v>2720</v>
      </c>
      <c r="C22582" s="74" t="s">
        <v>426</v>
      </c>
    </row>
    <row r="22583" spans="1:3">
      <c r="A22583" s="250">
        <v>52657</v>
      </c>
      <c r="B22583" s="74" t="s">
        <v>6341</v>
      </c>
      <c r="C22583" s="74" t="s">
        <v>426</v>
      </c>
    </row>
    <row r="22584" spans="1:3">
      <c r="A22584" s="250">
        <v>52658</v>
      </c>
      <c r="B22584" s="74" t="s">
        <v>11911</v>
      </c>
      <c r="C22584" s="74" t="s">
        <v>426</v>
      </c>
    </row>
    <row r="22585" spans="1:3">
      <c r="A22585" s="250">
        <v>52659</v>
      </c>
      <c r="B22585" s="74" t="s">
        <v>4985</v>
      </c>
      <c r="C22585" s="74" t="s">
        <v>426</v>
      </c>
    </row>
    <row r="22586" spans="1:3">
      <c r="A22586" s="250">
        <v>52660</v>
      </c>
      <c r="B22586" s="74" t="s">
        <v>1427</v>
      </c>
      <c r="C22586" s="74" t="s">
        <v>426</v>
      </c>
    </row>
    <row r="22587" spans="1:3">
      <c r="A22587" s="250">
        <v>52701</v>
      </c>
      <c r="B22587" s="74" t="s">
        <v>807</v>
      </c>
      <c r="C22587" s="74" t="s">
        <v>426</v>
      </c>
    </row>
    <row r="22588" spans="1:3">
      <c r="A22588" s="250">
        <v>52720</v>
      </c>
      <c r="B22588" s="74" t="s">
        <v>11912</v>
      </c>
      <c r="C22588" s="74" t="s">
        <v>426</v>
      </c>
    </row>
    <row r="22589" spans="1:3">
      <c r="A22589" s="250">
        <v>52721</v>
      </c>
      <c r="B22589" s="74" t="s">
        <v>7084</v>
      </c>
      <c r="C22589" s="74" t="s">
        <v>426</v>
      </c>
    </row>
    <row r="22590" spans="1:3">
      <c r="A22590" s="250">
        <v>52722</v>
      </c>
      <c r="B22590" s="74" t="s">
        <v>11913</v>
      </c>
      <c r="C22590" s="74" t="s">
        <v>426</v>
      </c>
    </row>
    <row r="22591" spans="1:3">
      <c r="A22591" s="250">
        <v>52726</v>
      </c>
      <c r="B22591" s="74" t="s">
        <v>6382</v>
      </c>
      <c r="C22591" s="74" t="s">
        <v>426</v>
      </c>
    </row>
    <row r="22592" spans="1:3">
      <c r="A22592" s="250">
        <v>52727</v>
      </c>
      <c r="B22592" s="74" t="s">
        <v>8763</v>
      </c>
      <c r="C22592" s="74" t="s">
        <v>426</v>
      </c>
    </row>
    <row r="22593" spans="1:3">
      <c r="A22593" s="250">
        <v>52728</v>
      </c>
      <c r="B22593" s="74" t="s">
        <v>3751</v>
      </c>
      <c r="C22593" s="74" t="s">
        <v>426</v>
      </c>
    </row>
    <row r="22594" spans="1:3">
      <c r="A22594" s="250">
        <v>52729</v>
      </c>
      <c r="B22594" s="74" t="s">
        <v>11914</v>
      </c>
      <c r="C22594" s="74" t="s">
        <v>426</v>
      </c>
    </row>
    <row r="22595" spans="1:3">
      <c r="A22595" s="250">
        <v>52730</v>
      </c>
      <c r="B22595" s="74" t="s">
        <v>11915</v>
      </c>
      <c r="C22595" s="74" t="s">
        <v>426</v>
      </c>
    </row>
    <row r="22596" spans="1:3">
      <c r="A22596" s="250">
        <v>52731</v>
      </c>
      <c r="B22596" s="74" t="s">
        <v>1806</v>
      </c>
      <c r="C22596" s="74" t="s">
        <v>426</v>
      </c>
    </row>
    <row r="22597" spans="1:3">
      <c r="A22597" s="250">
        <v>52732</v>
      </c>
      <c r="B22597" s="74" t="s">
        <v>732</v>
      </c>
      <c r="C22597" s="74" t="s">
        <v>426</v>
      </c>
    </row>
    <row r="22598" spans="1:3">
      <c r="A22598" s="250">
        <v>52733</v>
      </c>
      <c r="B22598" s="74" t="s">
        <v>732</v>
      </c>
      <c r="C22598" s="74" t="s">
        <v>426</v>
      </c>
    </row>
    <row r="22599" spans="1:3">
      <c r="A22599" s="250">
        <v>52734</v>
      </c>
      <c r="B22599" s="74" t="s">
        <v>732</v>
      </c>
      <c r="C22599" s="74" t="s">
        <v>426</v>
      </c>
    </row>
    <row r="22600" spans="1:3">
      <c r="A22600" s="250">
        <v>52736</v>
      </c>
      <c r="B22600" s="74" t="s">
        <v>732</v>
      </c>
      <c r="C22600" s="74" t="s">
        <v>426</v>
      </c>
    </row>
    <row r="22601" spans="1:3">
      <c r="A22601" s="250">
        <v>52737</v>
      </c>
      <c r="B22601" s="74" t="s">
        <v>11916</v>
      </c>
      <c r="C22601" s="74" t="s">
        <v>426</v>
      </c>
    </row>
    <row r="22602" spans="1:3">
      <c r="A22602" s="250">
        <v>52738</v>
      </c>
      <c r="B22602" s="74" t="s">
        <v>11917</v>
      </c>
      <c r="C22602" s="74" t="s">
        <v>426</v>
      </c>
    </row>
    <row r="22603" spans="1:3">
      <c r="A22603" s="250">
        <v>52739</v>
      </c>
      <c r="B22603" s="74" t="s">
        <v>10252</v>
      </c>
      <c r="C22603" s="74" t="s">
        <v>426</v>
      </c>
    </row>
    <row r="22604" spans="1:3">
      <c r="A22604" s="250">
        <v>52742</v>
      </c>
      <c r="B22604" s="74" t="s">
        <v>11918</v>
      </c>
      <c r="C22604" s="74" t="s">
        <v>426</v>
      </c>
    </row>
    <row r="22605" spans="1:3">
      <c r="A22605" s="250">
        <v>52745</v>
      </c>
      <c r="B22605" s="74" t="s">
        <v>10025</v>
      </c>
      <c r="C22605" s="74" t="s">
        <v>426</v>
      </c>
    </row>
    <row r="22606" spans="1:3">
      <c r="A22606" s="250">
        <v>52746</v>
      </c>
      <c r="B22606" s="74" t="s">
        <v>11919</v>
      </c>
      <c r="C22606" s="74" t="s">
        <v>426</v>
      </c>
    </row>
    <row r="22607" spans="1:3">
      <c r="A22607" s="250">
        <v>52747</v>
      </c>
      <c r="B22607" s="74" t="s">
        <v>8464</v>
      </c>
      <c r="C22607" s="74" t="s">
        <v>426</v>
      </c>
    </row>
    <row r="22608" spans="1:3">
      <c r="A22608" s="250">
        <v>52748</v>
      </c>
      <c r="B22608" s="74" t="s">
        <v>8713</v>
      </c>
      <c r="C22608" s="74" t="s">
        <v>426</v>
      </c>
    </row>
    <row r="22609" spans="1:3">
      <c r="A22609" s="250">
        <v>52749</v>
      </c>
      <c r="B22609" s="74" t="s">
        <v>5832</v>
      </c>
      <c r="C22609" s="74" t="s">
        <v>426</v>
      </c>
    </row>
    <row r="22610" spans="1:3">
      <c r="A22610" s="250">
        <v>52750</v>
      </c>
      <c r="B22610" s="74" t="s">
        <v>11920</v>
      </c>
      <c r="C22610" s="74" t="s">
        <v>426</v>
      </c>
    </row>
    <row r="22611" spans="1:3">
      <c r="A22611" s="250">
        <v>52751</v>
      </c>
      <c r="B22611" s="74" t="s">
        <v>11921</v>
      </c>
      <c r="C22611" s="74" t="s">
        <v>426</v>
      </c>
    </row>
    <row r="22612" spans="1:3">
      <c r="A22612" s="250">
        <v>52752</v>
      </c>
      <c r="B22612" s="74" t="s">
        <v>9065</v>
      </c>
      <c r="C22612" s="74" t="s">
        <v>426</v>
      </c>
    </row>
    <row r="22613" spans="1:3">
      <c r="A22613" s="250">
        <v>52753</v>
      </c>
      <c r="B22613" s="74" t="s">
        <v>11922</v>
      </c>
      <c r="C22613" s="74" t="s">
        <v>426</v>
      </c>
    </row>
    <row r="22614" spans="1:3">
      <c r="A22614" s="250">
        <v>52754</v>
      </c>
      <c r="B22614" s="74" t="s">
        <v>11923</v>
      </c>
      <c r="C22614" s="74" t="s">
        <v>426</v>
      </c>
    </row>
    <row r="22615" spans="1:3">
      <c r="A22615" s="250">
        <v>52755</v>
      </c>
      <c r="B22615" s="74" t="s">
        <v>11924</v>
      </c>
      <c r="C22615" s="74" t="s">
        <v>426</v>
      </c>
    </row>
    <row r="22616" spans="1:3">
      <c r="A22616" s="250">
        <v>52756</v>
      </c>
      <c r="B22616" s="74" t="s">
        <v>11925</v>
      </c>
      <c r="C22616" s="74" t="s">
        <v>426</v>
      </c>
    </row>
    <row r="22617" spans="1:3">
      <c r="A22617" s="250">
        <v>52757</v>
      </c>
      <c r="B22617" s="74" t="s">
        <v>6394</v>
      </c>
      <c r="C22617" s="74" t="s">
        <v>426</v>
      </c>
    </row>
    <row r="22618" spans="1:3">
      <c r="A22618" s="250">
        <v>52758</v>
      </c>
      <c r="B22618" s="74" t="s">
        <v>11926</v>
      </c>
      <c r="C22618" s="74" t="s">
        <v>426</v>
      </c>
    </row>
    <row r="22619" spans="1:3">
      <c r="A22619" s="250">
        <v>52759</v>
      </c>
      <c r="B22619" s="74" t="s">
        <v>1838</v>
      </c>
      <c r="C22619" s="74" t="s">
        <v>426</v>
      </c>
    </row>
    <row r="22620" spans="1:3">
      <c r="A22620" s="250">
        <v>52760</v>
      </c>
      <c r="B22620" s="74" t="s">
        <v>1851</v>
      </c>
      <c r="C22620" s="74" t="s">
        <v>426</v>
      </c>
    </row>
    <row r="22621" spans="1:3">
      <c r="A22621" s="250">
        <v>52761</v>
      </c>
      <c r="B22621" s="74" t="s">
        <v>11927</v>
      </c>
      <c r="C22621" s="74" t="s">
        <v>426</v>
      </c>
    </row>
    <row r="22622" spans="1:3">
      <c r="A22622" s="250">
        <v>52765</v>
      </c>
      <c r="B22622" s="74" t="s">
        <v>9632</v>
      </c>
      <c r="C22622" s="74" t="s">
        <v>426</v>
      </c>
    </row>
    <row r="22623" spans="1:3">
      <c r="A22623" s="250">
        <v>52766</v>
      </c>
      <c r="B22623" s="74" t="s">
        <v>3636</v>
      </c>
      <c r="C22623" s="74" t="s">
        <v>426</v>
      </c>
    </row>
    <row r="22624" spans="1:3">
      <c r="A22624" s="250">
        <v>52767</v>
      </c>
      <c r="B22624" s="74" t="s">
        <v>3140</v>
      </c>
      <c r="C22624" s="74" t="s">
        <v>426</v>
      </c>
    </row>
    <row r="22625" spans="1:3">
      <c r="A22625" s="250">
        <v>52768</v>
      </c>
      <c r="B22625" s="74" t="s">
        <v>755</v>
      </c>
      <c r="C22625" s="74" t="s">
        <v>426</v>
      </c>
    </row>
    <row r="22626" spans="1:3">
      <c r="A22626" s="250">
        <v>52769</v>
      </c>
      <c r="B22626" s="74" t="s">
        <v>2529</v>
      </c>
      <c r="C22626" s="74" t="s">
        <v>426</v>
      </c>
    </row>
    <row r="22627" spans="1:3">
      <c r="A22627" s="250">
        <v>52771</v>
      </c>
      <c r="B22627" s="74" t="s">
        <v>11928</v>
      </c>
      <c r="C22627" s="74" t="s">
        <v>426</v>
      </c>
    </row>
    <row r="22628" spans="1:3">
      <c r="A22628" s="250">
        <v>52772</v>
      </c>
      <c r="B22628" s="74" t="s">
        <v>4581</v>
      </c>
      <c r="C22628" s="74" t="s">
        <v>426</v>
      </c>
    </row>
    <row r="22629" spans="1:3">
      <c r="A22629" s="250">
        <v>52773</v>
      </c>
      <c r="B22629" s="74" t="s">
        <v>11929</v>
      </c>
      <c r="C22629" s="74" t="s">
        <v>426</v>
      </c>
    </row>
    <row r="22630" spans="1:3">
      <c r="A22630" s="250">
        <v>52774</v>
      </c>
      <c r="B22630" s="74" t="s">
        <v>11930</v>
      </c>
      <c r="C22630" s="74" t="s">
        <v>426</v>
      </c>
    </row>
    <row r="22631" spans="1:3">
      <c r="A22631" s="250">
        <v>52776</v>
      </c>
      <c r="B22631" s="74" t="s">
        <v>6862</v>
      </c>
      <c r="C22631" s="74" t="s">
        <v>426</v>
      </c>
    </row>
    <row r="22632" spans="1:3">
      <c r="A22632" s="250">
        <v>52777</v>
      </c>
      <c r="B22632" s="74" t="s">
        <v>4437</v>
      </c>
      <c r="C22632" s="74" t="s">
        <v>426</v>
      </c>
    </row>
    <row r="22633" spans="1:3">
      <c r="A22633" s="250">
        <v>52778</v>
      </c>
      <c r="B22633" s="74" t="s">
        <v>1173</v>
      </c>
      <c r="C22633" s="74" t="s">
        <v>426</v>
      </c>
    </row>
    <row r="22634" spans="1:3">
      <c r="A22634" s="250">
        <v>52801</v>
      </c>
      <c r="B22634" s="74" t="s">
        <v>3605</v>
      </c>
      <c r="C22634" s="74" t="s">
        <v>426</v>
      </c>
    </row>
    <row r="22635" spans="1:3">
      <c r="A22635" s="250">
        <v>52802</v>
      </c>
      <c r="B22635" s="74" t="s">
        <v>3605</v>
      </c>
      <c r="C22635" s="74" t="s">
        <v>426</v>
      </c>
    </row>
    <row r="22636" spans="1:3">
      <c r="A22636" s="250">
        <v>52803</v>
      </c>
      <c r="B22636" s="74" t="s">
        <v>3605</v>
      </c>
      <c r="C22636" s="74" t="s">
        <v>426</v>
      </c>
    </row>
    <row r="22637" spans="1:3">
      <c r="A22637" s="250">
        <v>52804</v>
      </c>
      <c r="B22637" s="74" t="s">
        <v>3605</v>
      </c>
      <c r="C22637" s="74" t="s">
        <v>426</v>
      </c>
    </row>
    <row r="22638" spans="1:3">
      <c r="A22638" s="250">
        <v>52805</v>
      </c>
      <c r="B22638" s="74" t="s">
        <v>3605</v>
      </c>
      <c r="C22638" s="74" t="s">
        <v>426</v>
      </c>
    </row>
    <row r="22639" spans="1:3">
      <c r="A22639" s="250">
        <v>52806</v>
      </c>
      <c r="B22639" s="74" t="s">
        <v>3605</v>
      </c>
      <c r="C22639" s="74" t="s">
        <v>426</v>
      </c>
    </row>
    <row r="22640" spans="1:3">
      <c r="A22640" s="250">
        <v>52807</v>
      </c>
      <c r="B22640" s="74" t="s">
        <v>3605</v>
      </c>
      <c r="C22640" s="74" t="s">
        <v>426</v>
      </c>
    </row>
    <row r="22641" spans="1:3">
      <c r="A22641" s="250">
        <v>52808</v>
      </c>
      <c r="B22641" s="74" t="s">
        <v>3605</v>
      </c>
      <c r="C22641" s="74" t="s">
        <v>426</v>
      </c>
    </row>
    <row r="22642" spans="1:3">
      <c r="A22642" s="250">
        <v>52809</v>
      </c>
      <c r="B22642" s="74" t="s">
        <v>3605</v>
      </c>
      <c r="C22642" s="74" t="s">
        <v>426</v>
      </c>
    </row>
    <row r="22643" spans="1:3">
      <c r="A22643" s="250">
        <v>53001</v>
      </c>
      <c r="B22643" s="74" t="s">
        <v>11931</v>
      </c>
      <c r="C22643" s="74" t="s">
        <v>459</v>
      </c>
    </row>
    <row r="22644" spans="1:3">
      <c r="A22644" s="250">
        <v>53002</v>
      </c>
      <c r="B22644" s="74" t="s">
        <v>10981</v>
      </c>
      <c r="C22644" s="74" t="s">
        <v>459</v>
      </c>
    </row>
    <row r="22645" spans="1:3">
      <c r="A22645" s="250">
        <v>53003</v>
      </c>
      <c r="B22645" s="74" t="s">
        <v>11932</v>
      </c>
      <c r="C22645" s="74" t="s">
        <v>459</v>
      </c>
    </row>
    <row r="22646" spans="1:3">
      <c r="A22646" s="250">
        <v>53004</v>
      </c>
      <c r="B22646" s="74" t="s">
        <v>11933</v>
      </c>
      <c r="C22646" s="74" t="s">
        <v>459</v>
      </c>
    </row>
    <row r="22647" spans="1:3">
      <c r="A22647" s="250">
        <v>53005</v>
      </c>
      <c r="B22647" s="74" t="s">
        <v>728</v>
      </c>
      <c r="C22647" s="74" t="s">
        <v>459</v>
      </c>
    </row>
    <row r="22648" spans="1:3">
      <c r="A22648" s="250">
        <v>53006</v>
      </c>
      <c r="B22648" s="74" t="s">
        <v>1731</v>
      </c>
      <c r="C22648" s="74" t="s">
        <v>459</v>
      </c>
    </row>
    <row r="22649" spans="1:3">
      <c r="A22649" s="250">
        <v>53007</v>
      </c>
      <c r="B22649" s="74" t="s">
        <v>2183</v>
      </c>
      <c r="C22649" s="74" t="s">
        <v>459</v>
      </c>
    </row>
    <row r="22650" spans="1:3">
      <c r="A22650" s="250">
        <v>53008</v>
      </c>
      <c r="B22650" s="74" t="s">
        <v>728</v>
      </c>
      <c r="C22650" s="74" t="s">
        <v>459</v>
      </c>
    </row>
    <row r="22651" spans="1:3">
      <c r="A22651" s="250">
        <v>53010</v>
      </c>
      <c r="B22651" s="74" t="s">
        <v>11934</v>
      </c>
      <c r="C22651" s="74" t="s">
        <v>459</v>
      </c>
    </row>
    <row r="22652" spans="1:3">
      <c r="A22652" s="250">
        <v>53011</v>
      </c>
      <c r="B22652" s="74" t="s">
        <v>5792</v>
      </c>
      <c r="C22652" s="74" t="s">
        <v>459</v>
      </c>
    </row>
    <row r="22653" spans="1:3">
      <c r="A22653" s="250">
        <v>53012</v>
      </c>
      <c r="B22653" s="74" t="s">
        <v>11935</v>
      </c>
      <c r="C22653" s="74" t="s">
        <v>459</v>
      </c>
    </row>
    <row r="22654" spans="1:3">
      <c r="A22654" s="250">
        <v>53013</v>
      </c>
      <c r="B22654" s="74" t="s">
        <v>2115</v>
      </c>
      <c r="C22654" s="74" t="s">
        <v>459</v>
      </c>
    </row>
    <row r="22655" spans="1:3">
      <c r="A22655" s="250">
        <v>53014</v>
      </c>
      <c r="B22655" s="74" t="s">
        <v>11936</v>
      </c>
      <c r="C22655" s="74" t="s">
        <v>459</v>
      </c>
    </row>
    <row r="22656" spans="1:3">
      <c r="A22656" s="250">
        <v>53015</v>
      </c>
      <c r="B22656" s="74" t="s">
        <v>3350</v>
      </c>
      <c r="C22656" s="74" t="s">
        <v>459</v>
      </c>
    </row>
    <row r="22657" spans="1:3">
      <c r="A22657" s="250">
        <v>53016</v>
      </c>
      <c r="B22657" s="74" t="s">
        <v>11937</v>
      </c>
      <c r="C22657" s="74" t="s">
        <v>459</v>
      </c>
    </row>
    <row r="22658" spans="1:3">
      <c r="A22658" s="250">
        <v>53017</v>
      </c>
      <c r="B22658" s="74" t="s">
        <v>11938</v>
      </c>
      <c r="C22658" s="74" t="s">
        <v>459</v>
      </c>
    </row>
    <row r="22659" spans="1:3">
      <c r="A22659" s="250">
        <v>53018</v>
      </c>
      <c r="B22659" s="74" t="s">
        <v>11939</v>
      </c>
      <c r="C22659" s="74" t="s">
        <v>459</v>
      </c>
    </row>
    <row r="22660" spans="1:3">
      <c r="A22660" s="250">
        <v>53019</v>
      </c>
      <c r="B22660" s="74" t="s">
        <v>1844</v>
      </c>
      <c r="C22660" s="74" t="s">
        <v>459</v>
      </c>
    </row>
    <row r="22661" spans="1:3">
      <c r="A22661" s="250">
        <v>53020</v>
      </c>
      <c r="B22661" s="74" t="s">
        <v>11940</v>
      </c>
      <c r="C22661" s="74" t="s">
        <v>459</v>
      </c>
    </row>
    <row r="22662" spans="1:3">
      <c r="A22662" s="250">
        <v>53021</v>
      </c>
      <c r="B22662" s="74" t="s">
        <v>3706</v>
      </c>
      <c r="C22662" s="74" t="s">
        <v>459</v>
      </c>
    </row>
    <row r="22663" spans="1:3">
      <c r="A22663" s="250">
        <v>53022</v>
      </c>
      <c r="B22663" s="74" t="s">
        <v>3118</v>
      </c>
      <c r="C22663" s="74" t="s">
        <v>459</v>
      </c>
    </row>
    <row r="22664" spans="1:3">
      <c r="A22664" s="250">
        <v>53023</v>
      </c>
      <c r="B22664" s="74" t="s">
        <v>11941</v>
      </c>
      <c r="C22664" s="74" t="s">
        <v>459</v>
      </c>
    </row>
    <row r="22665" spans="1:3">
      <c r="A22665" s="250">
        <v>53024</v>
      </c>
      <c r="B22665" s="74" t="s">
        <v>737</v>
      </c>
      <c r="C22665" s="74" t="s">
        <v>459</v>
      </c>
    </row>
    <row r="22666" spans="1:3">
      <c r="A22666" s="250">
        <v>53026</v>
      </c>
      <c r="B22666" s="74" t="s">
        <v>874</v>
      </c>
      <c r="C22666" s="74" t="s">
        <v>459</v>
      </c>
    </row>
    <row r="22667" spans="1:3">
      <c r="A22667" s="250">
        <v>53027</v>
      </c>
      <c r="B22667" s="74" t="s">
        <v>1737</v>
      </c>
      <c r="C22667" s="74" t="s">
        <v>459</v>
      </c>
    </row>
    <row r="22668" spans="1:3">
      <c r="A22668" s="250">
        <v>53029</v>
      </c>
      <c r="B22668" s="74" t="s">
        <v>1697</v>
      </c>
      <c r="C22668" s="74" t="s">
        <v>459</v>
      </c>
    </row>
    <row r="22669" spans="1:3">
      <c r="A22669" s="250">
        <v>53031</v>
      </c>
      <c r="B22669" s="74" t="s">
        <v>876</v>
      </c>
      <c r="C22669" s="74" t="s">
        <v>459</v>
      </c>
    </row>
    <row r="22670" spans="1:3">
      <c r="A22670" s="250">
        <v>53032</v>
      </c>
      <c r="B22670" s="74" t="s">
        <v>11942</v>
      </c>
      <c r="C22670" s="74" t="s">
        <v>459</v>
      </c>
    </row>
    <row r="22671" spans="1:3">
      <c r="A22671" s="250">
        <v>53033</v>
      </c>
      <c r="B22671" s="74" t="s">
        <v>11943</v>
      </c>
      <c r="C22671" s="74" t="s">
        <v>459</v>
      </c>
    </row>
    <row r="22672" spans="1:3">
      <c r="A22672" s="250">
        <v>53034</v>
      </c>
      <c r="B22672" s="74" t="s">
        <v>11944</v>
      </c>
      <c r="C22672" s="74" t="s">
        <v>459</v>
      </c>
    </row>
    <row r="22673" spans="1:3">
      <c r="A22673" s="250">
        <v>53035</v>
      </c>
      <c r="B22673" s="74" t="s">
        <v>11945</v>
      </c>
      <c r="C22673" s="74" t="s">
        <v>459</v>
      </c>
    </row>
    <row r="22674" spans="1:3">
      <c r="A22674" s="250">
        <v>53036</v>
      </c>
      <c r="B22674" s="74" t="s">
        <v>11946</v>
      </c>
      <c r="C22674" s="74" t="s">
        <v>459</v>
      </c>
    </row>
    <row r="22675" spans="1:3">
      <c r="A22675" s="250">
        <v>53037</v>
      </c>
      <c r="B22675" s="74" t="s">
        <v>1318</v>
      </c>
      <c r="C22675" s="74" t="s">
        <v>459</v>
      </c>
    </row>
    <row r="22676" spans="1:3">
      <c r="A22676" s="250">
        <v>53038</v>
      </c>
      <c r="B22676" s="74" t="s">
        <v>11947</v>
      </c>
      <c r="C22676" s="74" t="s">
        <v>459</v>
      </c>
    </row>
    <row r="22677" spans="1:3">
      <c r="A22677" s="250">
        <v>53039</v>
      </c>
      <c r="B22677" s="74" t="s">
        <v>11948</v>
      </c>
      <c r="C22677" s="74" t="s">
        <v>459</v>
      </c>
    </row>
    <row r="22678" spans="1:3">
      <c r="A22678" s="250">
        <v>53040</v>
      </c>
      <c r="B22678" s="74" t="s">
        <v>11949</v>
      </c>
      <c r="C22678" s="74" t="s">
        <v>459</v>
      </c>
    </row>
    <row r="22679" spans="1:3">
      <c r="A22679" s="250">
        <v>53042</v>
      </c>
      <c r="B22679" s="74" t="s">
        <v>11950</v>
      </c>
      <c r="C22679" s="74" t="s">
        <v>459</v>
      </c>
    </row>
    <row r="22680" spans="1:3">
      <c r="A22680" s="250">
        <v>53044</v>
      </c>
      <c r="B22680" s="74" t="s">
        <v>11951</v>
      </c>
      <c r="C22680" s="74" t="s">
        <v>459</v>
      </c>
    </row>
    <row r="22681" spans="1:3">
      <c r="A22681" s="250">
        <v>53045</v>
      </c>
      <c r="B22681" s="74" t="s">
        <v>728</v>
      </c>
      <c r="C22681" s="74" t="s">
        <v>459</v>
      </c>
    </row>
    <row r="22682" spans="1:3">
      <c r="A22682" s="250">
        <v>53046</v>
      </c>
      <c r="B22682" s="74" t="s">
        <v>11952</v>
      </c>
      <c r="C22682" s="74" t="s">
        <v>459</v>
      </c>
    </row>
    <row r="22683" spans="1:3">
      <c r="A22683" s="250">
        <v>53047</v>
      </c>
      <c r="B22683" s="74" t="s">
        <v>1280</v>
      </c>
      <c r="C22683" s="74" t="s">
        <v>459</v>
      </c>
    </row>
    <row r="22684" spans="1:3">
      <c r="A22684" s="250">
        <v>53048</v>
      </c>
      <c r="B22684" s="74" t="s">
        <v>11953</v>
      </c>
      <c r="C22684" s="74" t="s">
        <v>459</v>
      </c>
    </row>
    <row r="22685" spans="1:3">
      <c r="A22685" s="250">
        <v>53049</v>
      </c>
      <c r="B22685" s="74" t="s">
        <v>3305</v>
      </c>
      <c r="C22685" s="74" t="s">
        <v>459</v>
      </c>
    </row>
    <row r="22686" spans="1:3">
      <c r="A22686" s="250">
        <v>53050</v>
      </c>
      <c r="B22686" s="74" t="s">
        <v>3877</v>
      </c>
      <c r="C22686" s="74" t="s">
        <v>459</v>
      </c>
    </row>
    <row r="22687" spans="1:3">
      <c r="A22687" s="250">
        <v>53051</v>
      </c>
      <c r="B22687" s="74" t="s">
        <v>11954</v>
      </c>
      <c r="C22687" s="74" t="s">
        <v>459</v>
      </c>
    </row>
    <row r="22688" spans="1:3">
      <c r="A22688" s="250">
        <v>53052</v>
      </c>
      <c r="B22688" s="74" t="s">
        <v>11954</v>
      </c>
      <c r="C22688" s="74" t="s">
        <v>459</v>
      </c>
    </row>
    <row r="22689" spans="1:3">
      <c r="A22689" s="250">
        <v>53056</v>
      </c>
      <c r="B22689" s="74" t="s">
        <v>11955</v>
      </c>
      <c r="C22689" s="74" t="s">
        <v>459</v>
      </c>
    </row>
    <row r="22690" spans="1:3">
      <c r="A22690" s="250">
        <v>53057</v>
      </c>
      <c r="B22690" s="74" t="s">
        <v>11956</v>
      </c>
      <c r="C22690" s="74" t="s">
        <v>459</v>
      </c>
    </row>
    <row r="22691" spans="1:3">
      <c r="A22691" s="250">
        <v>53058</v>
      </c>
      <c r="B22691" s="74" t="s">
        <v>11957</v>
      </c>
      <c r="C22691" s="74" t="s">
        <v>459</v>
      </c>
    </row>
    <row r="22692" spans="1:3">
      <c r="A22692" s="250">
        <v>53059</v>
      </c>
      <c r="B22692" s="74" t="s">
        <v>11958</v>
      </c>
      <c r="C22692" s="74" t="s">
        <v>459</v>
      </c>
    </row>
    <row r="22693" spans="1:3">
      <c r="A22693" s="250">
        <v>53060</v>
      </c>
      <c r="B22693" s="74" t="s">
        <v>4779</v>
      </c>
      <c r="C22693" s="74" t="s">
        <v>459</v>
      </c>
    </row>
    <row r="22694" spans="1:3">
      <c r="A22694" s="250">
        <v>53061</v>
      </c>
      <c r="B22694" s="74" t="s">
        <v>11959</v>
      </c>
      <c r="C22694" s="74" t="s">
        <v>459</v>
      </c>
    </row>
    <row r="22695" spans="1:3">
      <c r="A22695" s="250">
        <v>53062</v>
      </c>
      <c r="B22695" s="74" t="s">
        <v>11959</v>
      </c>
      <c r="C22695" s="74" t="s">
        <v>459</v>
      </c>
    </row>
    <row r="22696" spans="1:3">
      <c r="A22696" s="250">
        <v>53063</v>
      </c>
      <c r="B22696" s="74" t="s">
        <v>973</v>
      </c>
      <c r="C22696" s="74" t="s">
        <v>459</v>
      </c>
    </row>
    <row r="22697" spans="1:3">
      <c r="A22697" s="250">
        <v>53064</v>
      </c>
      <c r="B22697" s="74" t="s">
        <v>11960</v>
      </c>
      <c r="C22697" s="74" t="s">
        <v>459</v>
      </c>
    </row>
    <row r="22698" spans="1:3">
      <c r="A22698" s="250">
        <v>53065</v>
      </c>
      <c r="B22698" s="74" t="s">
        <v>1642</v>
      </c>
      <c r="C22698" s="74" t="s">
        <v>459</v>
      </c>
    </row>
    <row r="22699" spans="1:3">
      <c r="A22699" s="250">
        <v>53066</v>
      </c>
      <c r="B22699" s="74" t="s">
        <v>11961</v>
      </c>
      <c r="C22699" s="74" t="s">
        <v>459</v>
      </c>
    </row>
    <row r="22700" spans="1:3">
      <c r="A22700" s="250">
        <v>53069</v>
      </c>
      <c r="B22700" s="74" t="s">
        <v>11962</v>
      </c>
      <c r="C22700" s="74" t="s">
        <v>459</v>
      </c>
    </row>
    <row r="22701" spans="1:3">
      <c r="A22701" s="250">
        <v>53070</v>
      </c>
      <c r="B22701" s="74" t="s">
        <v>11963</v>
      </c>
      <c r="C22701" s="74" t="s">
        <v>459</v>
      </c>
    </row>
    <row r="22702" spans="1:3">
      <c r="A22702" s="250">
        <v>53072</v>
      </c>
      <c r="B22702" s="74" t="s">
        <v>11964</v>
      </c>
      <c r="C22702" s="74" t="s">
        <v>459</v>
      </c>
    </row>
    <row r="22703" spans="1:3">
      <c r="A22703" s="250">
        <v>53073</v>
      </c>
      <c r="B22703" s="74" t="s">
        <v>956</v>
      </c>
      <c r="C22703" s="74" t="s">
        <v>459</v>
      </c>
    </row>
    <row r="22704" spans="1:3">
      <c r="A22704" s="250">
        <v>53074</v>
      </c>
      <c r="B22704" s="74" t="s">
        <v>2729</v>
      </c>
      <c r="C22704" s="74" t="s">
        <v>459</v>
      </c>
    </row>
    <row r="22705" spans="1:3">
      <c r="A22705" s="250">
        <v>53075</v>
      </c>
      <c r="B22705" s="74" t="s">
        <v>11965</v>
      </c>
      <c r="C22705" s="74" t="s">
        <v>459</v>
      </c>
    </row>
    <row r="22706" spans="1:3">
      <c r="A22706" s="250">
        <v>53076</v>
      </c>
      <c r="B22706" s="74" t="s">
        <v>4750</v>
      </c>
      <c r="C22706" s="74" t="s">
        <v>459</v>
      </c>
    </row>
    <row r="22707" spans="1:3">
      <c r="A22707" s="250">
        <v>53078</v>
      </c>
      <c r="B22707" s="74" t="s">
        <v>11966</v>
      </c>
      <c r="C22707" s="74" t="s">
        <v>459</v>
      </c>
    </row>
    <row r="22708" spans="1:3">
      <c r="A22708" s="250">
        <v>53079</v>
      </c>
      <c r="B22708" s="74" t="s">
        <v>8605</v>
      </c>
      <c r="C22708" s="74" t="s">
        <v>459</v>
      </c>
    </row>
    <row r="22709" spans="1:3">
      <c r="A22709" s="250">
        <v>53080</v>
      </c>
      <c r="B22709" s="74" t="s">
        <v>11967</v>
      </c>
      <c r="C22709" s="74" t="s">
        <v>459</v>
      </c>
    </row>
    <row r="22710" spans="1:3">
      <c r="A22710" s="250">
        <v>53081</v>
      </c>
      <c r="B22710" s="74" t="s">
        <v>11968</v>
      </c>
      <c r="C22710" s="74" t="s">
        <v>459</v>
      </c>
    </row>
    <row r="22711" spans="1:3">
      <c r="A22711" s="250">
        <v>53082</v>
      </c>
      <c r="B22711" s="74" t="s">
        <v>11968</v>
      </c>
      <c r="C22711" s="74" t="s">
        <v>459</v>
      </c>
    </row>
    <row r="22712" spans="1:3">
      <c r="A22712" s="250">
        <v>53083</v>
      </c>
      <c r="B22712" s="74" t="s">
        <v>11968</v>
      </c>
      <c r="C22712" s="74" t="s">
        <v>459</v>
      </c>
    </row>
    <row r="22713" spans="1:3">
      <c r="A22713" s="250">
        <v>53085</v>
      </c>
      <c r="B22713" s="74" t="s">
        <v>11969</v>
      </c>
      <c r="C22713" s="74" t="s">
        <v>459</v>
      </c>
    </row>
    <row r="22714" spans="1:3">
      <c r="A22714" s="250">
        <v>53086</v>
      </c>
      <c r="B22714" s="74" t="s">
        <v>11970</v>
      </c>
      <c r="C22714" s="74" t="s">
        <v>459</v>
      </c>
    </row>
    <row r="22715" spans="1:3">
      <c r="A22715" s="250">
        <v>53088</v>
      </c>
      <c r="B22715" s="74" t="s">
        <v>665</v>
      </c>
      <c r="C22715" s="74" t="s">
        <v>459</v>
      </c>
    </row>
    <row r="22716" spans="1:3">
      <c r="A22716" s="250">
        <v>53089</v>
      </c>
      <c r="B22716" s="74" t="s">
        <v>2209</v>
      </c>
      <c r="C22716" s="74" t="s">
        <v>459</v>
      </c>
    </row>
    <row r="22717" spans="1:3">
      <c r="A22717" s="250">
        <v>53090</v>
      </c>
      <c r="B22717" s="74" t="s">
        <v>11651</v>
      </c>
      <c r="C22717" s="74" t="s">
        <v>459</v>
      </c>
    </row>
    <row r="22718" spans="1:3">
      <c r="A22718" s="250">
        <v>53091</v>
      </c>
      <c r="B22718" s="74" t="s">
        <v>3584</v>
      </c>
      <c r="C22718" s="74" t="s">
        <v>459</v>
      </c>
    </row>
    <row r="22719" spans="1:3">
      <c r="A22719" s="250">
        <v>53092</v>
      </c>
      <c r="B22719" s="74" t="s">
        <v>11971</v>
      </c>
      <c r="C22719" s="74" t="s">
        <v>459</v>
      </c>
    </row>
    <row r="22720" spans="1:3">
      <c r="A22720" s="250">
        <v>53093</v>
      </c>
      <c r="B22720" s="74" t="s">
        <v>8364</v>
      </c>
      <c r="C22720" s="74" t="s">
        <v>459</v>
      </c>
    </row>
    <row r="22721" spans="1:3">
      <c r="A22721" s="250">
        <v>53094</v>
      </c>
      <c r="B22721" s="74" t="s">
        <v>983</v>
      </c>
      <c r="C22721" s="74" t="s">
        <v>459</v>
      </c>
    </row>
    <row r="22722" spans="1:3">
      <c r="A22722" s="250">
        <v>53095</v>
      </c>
      <c r="B22722" s="74" t="s">
        <v>11651</v>
      </c>
      <c r="C22722" s="74" t="s">
        <v>459</v>
      </c>
    </row>
    <row r="22723" spans="1:3">
      <c r="A22723" s="250">
        <v>53097</v>
      </c>
      <c r="B22723" s="74" t="s">
        <v>11972</v>
      </c>
      <c r="C22723" s="74" t="s">
        <v>459</v>
      </c>
    </row>
    <row r="22724" spans="1:3">
      <c r="A22724" s="250">
        <v>53098</v>
      </c>
      <c r="B22724" s="74" t="s">
        <v>983</v>
      </c>
      <c r="C22724" s="74" t="s">
        <v>459</v>
      </c>
    </row>
    <row r="22725" spans="1:3">
      <c r="A22725" s="250">
        <v>53099</v>
      </c>
      <c r="B22725" s="74" t="s">
        <v>4660</v>
      </c>
      <c r="C22725" s="74" t="s">
        <v>459</v>
      </c>
    </row>
    <row r="22726" spans="1:3">
      <c r="A22726" s="250">
        <v>53101</v>
      </c>
      <c r="B22726" s="74" t="s">
        <v>6255</v>
      </c>
      <c r="C22726" s="74" t="s">
        <v>459</v>
      </c>
    </row>
    <row r="22727" spans="1:3">
      <c r="A22727" s="250">
        <v>53102</v>
      </c>
      <c r="B22727" s="74" t="s">
        <v>11973</v>
      </c>
      <c r="C22727" s="74" t="s">
        <v>459</v>
      </c>
    </row>
    <row r="22728" spans="1:3">
      <c r="A22728" s="250">
        <v>53103</v>
      </c>
      <c r="B22728" s="74" t="s">
        <v>6866</v>
      </c>
      <c r="C22728" s="74" t="s">
        <v>459</v>
      </c>
    </row>
    <row r="22729" spans="1:3">
      <c r="A22729" s="250">
        <v>53104</v>
      </c>
      <c r="B22729" s="74" t="s">
        <v>1098</v>
      </c>
      <c r="C22729" s="74" t="s">
        <v>459</v>
      </c>
    </row>
    <row r="22730" spans="1:3">
      <c r="A22730" s="250">
        <v>53105</v>
      </c>
      <c r="B22730" s="74" t="s">
        <v>806</v>
      </c>
      <c r="C22730" s="74" t="s">
        <v>459</v>
      </c>
    </row>
    <row r="22731" spans="1:3">
      <c r="A22731" s="250">
        <v>53108</v>
      </c>
      <c r="B22731" s="74" t="s">
        <v>3759</v>
      </c>
      <c r="C22731" s="74" t="s">
        <v>459</v>
      </c>
    </row>
    <row r="22732" spans="1:3">
      <c r="A22732" s="250">
        <v>53109</v>
      </c>
      <c r="B22732" s="74" t="s">
        <v>11974</v>
      </c>
      <c r="C22732" s="74" t="s">
        <v>459</v>
      </c>
    </row>
    <row r="22733" spans="1:3">
      <c r="A22733" s="250">
        <v>53110</v>
      </c>
      <c r="B22733" s="74" t="s">
        <v>11975</v>
      </c>
      <c r="C22733" s="74" t="s">
        <v>459</v>
      </c>
    </row>
    <row r="22734" spans="1:3">
      <c r="A22734" s="250">
        <v>53114</v>
      </c>
      <c r="B22734" s="74" t="s">
        <v>2100</v>
      </c>
      <c r="C22734" s="74" t="s">
        <v>459</v>
      </c>
    </row>
    <row r="22735" spans="1:3">
      <c r="A22735" s="250">
        <v>53115</v>
      </c>
      <c r="B22735" s="74" t="s">
        <v>11976</v>
      </c>
      <c r="C22735" s="74" t="s">
        <v>459</v>
      </c>
    </row>
    <row r="22736" spans="1:3">
      <c r="A22736" s="250">
        <v>53118</v>
      </c>
      <c r="B22736" s="74" t="s">
        <v>11977</v>
      </c>
      <c r="C22736" s="74" t="s">
        <v>459</v>
      </c>
    </row>
    <row r="22737" spans="1:3">
      <c r="A22737" s="250">
        <v>53119</v>
      </c>
      <c r="B22737" s="74" t="s">
        <v>11153</v>
      </c>
      <c r="C22737" s="74" t="s">
        <v>459</v>
      </c>
    </row>
    <row r="22738" spans="1:3">
      <c r="A22738" s="250">
        <v>53120</v>
      </c>
      <c r="B22738" s="74" t="s">
        <v>11978</v>
      </c>
      <c r="C22738" s="74" t="s">
        <v>459</v>
      </c>
    </row>
    <row r="22739" spans="1:3">
      <c r="A22739" s="250">
        <v>53121</v>
      </c>
      <c r="B22739" s="74" t="s">
        <v>6505</v>
      </c>
      <c r="C22739" s="74" t="s">
        <v>459</v>
      </c>
    </row>
    <row r="22740" spans="1:3">
      <c r="A22740" s="250">
        <v>53122</v>
      </c>
      <c r="B22740" s="74" t="s">
        <v>11979</v>
      </c>
      <c r="C22740" s="74" t="s">
        <v>459</v>
      </c>
    </row>
    <row r="22741" spans="1:3">
      <c r="A22741" s="250">
        <v>53125</v>
      </c>
      <c r="B22741" s="74" t="s">
        <v>11980</v>
      </c>
      <c r="C22741" s="74" t="s">
        <v>459</v>
      </c>
    </row>
    <row r="22742" spans="1:3">
      <c r="A22742" s="250">
        <v>53126</v>
      </c>
      <c r="B22742" s="74" t="s">
        <v>11981</v>
      </c>
      <c r="C22742" s="74" t="s">
        <v>459</v>
      </c>
    </row>
    <row r="22743" spans="1:3">
      <c r="A22743" s="250">
        <v>53127</v>
      </c>
      <c r="B22743" s="74" t="s">
        <v>11982</v>
      </c>
      <c r="C22743" s="74" t="s">
        <v>459</v>
      </c>
    </row>
    <row r="22744" spans="1:3">
      <c r="A22744" s="250">
        <v>53128</v>
      </c>
      <c r="B22744" s="74" t="s">
        <v>11983</v>
      </c>
      <c r="C22744" s="74" t="s">
        <v>459</v>
      </c>
    </row>
    <row r="22745" spans="1:3">
      <c r="A22745" s="250">
        <v>53129</v>
      </c>
      <c r="B22745" s="74" t="s">
        <v>11984</v>
      </c>
      <c r="C22745" s="74" t="s">
        <v>459</v>
      </c>
    </row>
    <row r="22746" spans="1:3">
      <c r="A22746" s="250">
        <v>53130</v>
      </c>
      <c r="B22746" s="74" t="s">
        <v>11985</v>
      </c>
      <c r="C22746" s="74" t="s">
        <v>459</v>
      </c>
    </row>
    <row r="22747" spans="1:3">
      <c r="A22747" s="250">
        <v>53132</v>
      </c>
      <c r="B22747" s="74" t="s">
        <v>873</v>
      </c>
      <c r="C22747" s="74" t="s">
        <v>459</v>
      </c>
    </row>
    <row r="22748" spans="1:3">
      <c r="A22748" s="250">
        <v>53137</v>
      </c>
      <c r="B22748" s="74" t="s">
        <v>11986</v>
      </c>
      <c r="C22748" s="74" t="s">
        <v>459</v>
      </c>
    </row>
    <row r="22749" spans="1:3">
      <c r="A22749" s="250">
        <v>53138</v>
      </c>
      <c r="B22749" s="74" t="s">
        <v>11771</v>
      </c>
      <c r="C22749" s="74" t="s">
        <v>459</v>
      </c>
    </row>
    <row r="22750" spans="1:3">
      <c r="A22750" s="250">
        <v>53139</v>
      </c>
      <c r="B22750" s="74" t="s">
        <v>11987</v>
      </c>
      <c r="C22750" s="74" t="s">
        <v>459</v>
      </c>
    </row>
    <row r="22751" spans="1:3">
      <c r="A22751" s="250">
        <v>53140</v>
      </c>
      <c r="B22751" s="74" t="s">
        <v>11988</v>
      </c>
      <c r="C22751" s="74" t="s">
        <v>459</v>
      </c>
    </row>
    <row r="22752" spans="1:3">
      <c r="A22752" s="250">
        <v>53141</v>
      </c>
      <c r="B22752" s="74" t="s">
        <v>11988</v>
      </c>
      <c r="C22752" s="74" t="s">
        <v>459</v>
      </c>
    </row>
    <row r="22753" spans="1:3">
      <c r="A22753" s="250">
        <v>53142</v>
      </c>
      <c r="B22753" s="74" t="s">
        <v>11988</v>
      </c>
      <c r="C22753" s="74" t="s">
        <v>459</v>
      </c>
    </row>
    <row r="22754" spans="1:3">
      <c r="A22754" s="250">
        <v>53143</v>
      </c>
      <c r="B22754" s="74" t="s">
        <v>11988</v>
      </c>
      <c r="C22754" s="74" t="s">
        <v>459</v>
      </c>
    </row>
    <row r="22755" spans="1:3">
      <c r="A22755" s="250">
        <v>53144</v>
      </c>
      <c r="B22755" s="74" t="s">
        <v>11988</v>
      </c>
      <c r="C22755" s="74" t="s">
        <v>459</v>
      </c>
    </row>
    <row r="22756" spans="1:3">
      <c r="A22756" s="250">
        <v>53146</v>
      </c>
      <c r="B22756" s="74" t="s">
        <v>3480</v>
      </c>
      <c r="C22756" s="74" t="s">
        <v>459</v>
      </c>
    </row>
    <row r="22757" spans="1:3">
      <c r="A22757" s="250">
        <v>53147</v>
      </c>
      <c r="B22757" s="74" t="s">
        <v>8256</v>
      </c>
      <c r="C22757" s="74" t="s">
        <v>459</v>
      </c>
    </row>
    <row r="22758" spans="1:3">
      <c r="A22758" s="250">
        <v>53148</v>
      </c>
      <c r="B22758" s="74" t="s">
        <v>2349</v>
      </c>
      <c r="C22758" s="74" t="s">
        <v>459</v>
      </c>
    </row>
    <row r="22759" spans="1:3">
      <c r="A22759" s="250">
        <v>53149</v>
      </c>
      <c r="B22759" s="74" t="s">
        <v>11989</v>
      </c>
      <c r="C22759" s="74" t="s">
        <v>459</v>
      </c>
    </row>
    <row r="22760" spans="1:3">
      <c r="A22760" s="250">
        <v>53150</v>
      </c>
      <c r="B22760" s="74" t="s">
        <v>11990</v>
      </c>
      <c r="C22760" s="74" t="s">
        <v>459</v>
      </c>
    </row>
    <row r="22761" spans="1:3">
      <c r="A22761" s="250">
        <v>53151</v>
      </c>
      <c r="B22761" s="74" t="s">
        <v>3480</v>
      </c>
      <c r="C22761" s="74" t="s">
        <v>459</v>
      </c>
    </row>
    <row r="22762" spans="1:3">
      <c r="A22762" s="250">
        <v>53152</v>
      </c>
      <c r="B22762" s="74" t="s">
        <v>11991</v>
      </c>
      <c r="C22762" s="74" t="s">
        <v>459</v>
      </c>
    </row>
    <row r="22763" spans="1:3">
      <c r="A22763" s="250">
        <v>53153</v>
      </c>
      <c r="B22763" s="74" t="s">
        <v>11992</v>
      </c>
      <c r="C22763" s="74" t="s">
        <v>459</v>
      </c>
    </row>
    <row r="22764" spans="1:3">
      <c r="A22764" s="250">
        <v>53154</v>
      </c>
      <c r="B22764" s="74" t="s">
        <v>11993</v>
      </c>
      <c r="C22764" s="74" t="s">
        <v>459</v>
      </c>
    </row>
    <row r="22765" spans="1:3">
      <c r="A22765" s="250">
        <v>53156</v>
      </c>
      <c r="B22765" s="74" t="s">
        <v>1710</v>
      </c>
      <c r="C22765" s="74" t="s">
        <v>459</v>
      </c>
    </row>
    <row r="22766" spans="1:3">
      <c r="A22766" s="250">
        <v>53157</v>
      </c>
      <c r="B22766" s="74" t="s">
        <v>11994</v>
      </c>
      <c r="C22766" s="74" t="s">
        <v>459</v>
      </c>
    </row>
    <row r="22767" spans="1:3">
      <c r="A22767" s="250">
        <v>53158</v>
      </c>
      <c r="B22767" s="74" t="s">
        <v>11995</v>
      </c>
      <c r="C22767" s="74" t="s">
        <v>459</v>
      </c>
    </row>
    <row r="22768" spans="1:3">
      <c r="A22768" s="250">
        <v>53159</v>
      </c>
      <c r="B22768" s="74" t="s">
        <v>11996</v>
      </c>
      <c r="C22768" s="74" t="s">
        <v>459</v>
      </c>
    </row>
    <row r="22769" spans="1:3">
      <c r="A22769" s="250">
        <v>53167</v>
      </c>
      <c r="B22769" s="74" t="s">
        <v>1085</v>
      </c>
      <c r="C22769" s="74" t="s">
        <v>459</v>
      </c>
    </row>
    <row r="22770" spans="1:3">
      <c r="A22770" s="250">
        <v>53168</v>
      </c>
      <c r="B22770" s="74" t="s">
        <v>858</v>
      </c>
      <c r="C22770" s="74" t="s">
        <v>459</v>
      </c>
    </row>
    <row r="22771" spans="1:3">
      <c r="A22771" s="250">
        <v>53170</v>
      </c>
      <c r="B22771" s="74" t="s">
        <v>1339</v>
      </c>
      <c r="C22771" s="74" t="s">
        <v>459</v>
      </c>
    </row>
    <row r="22772" spans="1:3">
      <c r="A22772" s="250">
        <v>53171</v>
      </c>
      <c r="B22772" s="74" t="s">
        <v>1957</v>
      </c>
      <c r="C22772" s="74" t="s">
        <v>459</v>
      </c>
    </row>
    <row r="22773" spans="1:3">
      <c r="A22773" s="250">
        <v>53172</v>
      </c>
      <c r="B22773" s="74" t="s">
        <v>11997</v>
      </c>
      <c r="C22773" s="74" t="s">
        <v>459</v>
      </c>
    </row>
    <row r="22774" spans="1:3">
      <c r="A22774" s="250">
        <v>53176</v>
      </c>
      <c r="B22774" s="74" t="s">
        <v>634</v>
      </c>
      <c r="C22774" s="74" t="s">
        <v>459</v>
      </c>
    </row>
    <row r="22775" spans="1:3">
      <c r="A22775" s="250">
        <v>53177</v>
      </c>
      <c r="B22775" s="74" t="s">
        <v>11998</v>
      </c>
      <c r="C22775" s="74" t="s">
        <v>459</v>
      </c>
    </row>
    <row r="22776" spans="1:3">
      <c r="A22776" s="250">
        <v>53178</v>
      </c>
      <c r="B22776" s="74" t="s">
        <v>1231</v>
      </c>
      <c r="C22776" s="74" t="s">
        <v>459</v>
      </c>
    </row>
    <row r="22777" spans="1:3">
      <c r="A22777" s="250">
        <v>53179</v>
      </c>
      <c r="B22777" s="74" t="s">
        <v>11999</v>
      </c>
      <c r="C22777" s="74" t="s">
        <v>459</v>
      </c>
    </row>
    <row r="22778" spans="1:3">
      <c r="A22778" s="250">
        <v>53181</v>
      </c>
      <c r="B22778" s="74" t="s">
        <v>12000</v>
      </c>
      <c r="C22778" s="74" t="s">
        <v>459</v>
      </c>
    </row>
    <row r="22779" spans="1:3">
      <c r="A22779" s="250">
        <v>53182</v>
      </c>
      <c r="B22779" s="74" t="s">
        <v>7520</v>
      </c>
      <c r="C22779" s="74" t="s">
        <v>459</v>
      </c>
    </row>
    <row r="22780" spans="1:3">
      <c r="A22780" s="250">
        <v>53183</v>
      </c>
      <c r="B22780" s="74" t="s">
        <v>620</v>
      </c>
      <c r="C22780" s="74" t="s">
        <v>459</v>
      </c>
    </row>
    <row r="22781" spans="1:3">
      <c r="A22781" s="250">
        <v>53184</v>
      </c>
      <c r="B22781" s="74" t="s">
        <v>3833</v>
      </c>
      <c r="C22781" s="74" t="s">
        <v>459</v>
      </c>
    </row>
    <row r="22782" spans="1:3">
      <c r="A22782" s="250">
        <v>53185</v>
      </c>
      <c r="B22782" s="74" t="s">
        <v>1420</v>
      </c>
      <c r="C22782" s="74" t="s">
        <v>459</v>
      </c>
    </row>
    <row r="22783" spans="1:3">
      <c r="A22783" s="250">
        <v>53186</v>
      </c>
      <c r="B22783" s="74" t="s">
        <v>12001</v>
      </c>
      <c r="C22783" s="74" t="s">
        <v>459</v>
      </c>
    </row>
    <row r="22784" spans="1:3">
      <c r="A22784" s="250">
        <v>53187</v>
      </c>
      <c r="B22784" s="74" t="s">
        <v>12001</v>
      </c>
      <c r="C22784" s="74" t="s">
        <v>459</v>
      </c>
    </row>
    <row r="22785" spans="1:3">
      <c r="A22785" s="250">
        <v>53188</v>
      </c>
      <c r="B22785" s="74" t="s">
        <v>12001</v>
      </c>
      <c r="C22785" s="74" t="s">
        <v>459</v>
      </c>
    </row>
    <row r="22786" spans="1:3">
      <c r="A22786" s="250">
        <v>53189</v>
      </c>
      <c r="B22786" s="74" t="s">
        <v>12001</v>
      </c>
      <c r="C22786" s="74" t="s">
        <v>459</v>
      </c>
    </row>
    <row r="22787" spans="1:3">
      <c r="A22787" s="250">
        <v>53190</v>
      </c>
      <c r="B22787" s="74" t="s">
        <v>12002</v>
      </c>
      <c r="C22787" s="74" t="s">
        <v>459</v>
      </c>
    </row>
    <row r="22788" spans="1:3">
      <c r="A22788" s="250">
        <v>53191</v>
      </c>
      <c r="B22788" s="74" t="s">
        <v>12003</v>
      </c>
      <c r="C22788" s="74" t="s">
        <v>459</v>
      </c>
    </row>
    <row r="22789" spans="1:3">
      <c r="A22789" s="250">
        <v>53192</v>
      </c>
      <c r="B22789" s="74" t="s">
        <v>1219</v>
      </c>
      <c r="C22789" s="74" t="s">
        <v>459</v>
      </c>
    </row>
    <row r="22790" spans="1:3">
      <c r="A22790" s="250">
        <v>53194</v>
      </c>
      <c r="B22790" s="74" t="s">
        <v>12004</v>
      </c>
      <c r="C22790" s="74" t="s">
        <v>459</v>
      </c>
    </row>
    <row r="22791" spans="1:3">
      <c r="A22791" s="250">
        <v>53195</v>
      </c>
      <c r="B22791" s="74" t="s">
        <v>12005</v>
      </c>
      <c r="C22791" s="74" t="s">
        <v>459</v>
      </c>
    </row>
    <row r="22792" spans="1:3">
      <c r="A22792" s="250">
        <v>53199</v>
      </c>
      <c r="B22792" s="74" t="s">
        <v>1339</v>
      </c>
      <c r="C22792" s="74" t="s">
        <v>459</v>
      </c>
    </row>
    <row r="22793" spans="1:3">
      <c r="A22793" s="250">
        <v>53201</v>
      </c>
      <c r="B22793" s="74" t="s">
        <v>7204</v>
      </c>
      <c r="C22793" s="74" t="s">
        <v>459</v>
      </c>
    </row>
    <row r="22794" spans="1:3">
      <c r="A22794" s="250">
        <v>53202</v>
      </c>
      <c r="B22794" s="74" t="s">
        <v>7204</v>
      </c>
      <c r="C22794" s="74" t="s">
        <v>459</v>
      </c>
    </row>
    <row r="22795" spans="1:3">
      <c r="A22795" s="250">
        <v>53203</v>
      </c>
      <c r="B22795" s="74" t="s">
        <v>7204</v>
      </c>
      <c r="C22795" s="74" t="s">
        <v>459</v>
      </c>
    </row>
    <row r="22796" spans="1:3">
      <c r="A22796" s="250">
        <v>53204</v>
      </c>
      <c r="B22796" s="74" t="s">
        <v>7204</v>
      </c>
      <c r="C22796" s="74" t="s">
        <v>459</v>
      </c>
    </row>
    <row r="22797" spans="1:3">
      <c r="A22797" s="250">
        <v>53205</v>
      </c>
      <c r="B22797" s="74" t="s">
        <v>7204</v>
      </c>
      <c r="C22797" s="74" t="s">
        <v>459</v>
      </c>
    </row>
    <row r="22798" spans="1:3">
      <c r="A22798" s="250">
        <v>53206</v>
      </c>
      <c r="B22798" s="74" t="s">
        <v>7204</v>
      </c>
      <c r="C22798" s="74" t="s">
        <v>459</v>
      </c>
    </row>
    <row r="22799" spans="1:3">
      <c r="A22799" s="250">
        <v>53207</v>
      </c>
      <c r="B22799" s="74" t="s">
        <v>7204</v>
      </c>
      <c r="C22799" s="74" t="s">
        <v>459</v>
      </c>
    </row>
    <row r="22800" spans="1:3">
      <c r="A22800" s="250">
        <v>53208</v>
      </c>
      <c r="B22800" s="74" t="s">
        <v>7204</v>
      </c>
      <c r="C22800" s="74" t="s">
        <v>459</v>
      </c>
    </row>
    <row r="22801" spans="1:3">
      <c r="A22801" s="250">
        <v>53209</v>
      </c>
      <c r="B22801" s="74" t="s">
        <v>7204</v>
      </c>
      <c r="C22801" s="74" t="s">
        <v>459</v>
      </c>
    </row>
    <row r="22802" spans="1:3">
      <c r="A22802" s="250">
        <v>53210</v>
      </c>
      <c r="B22802" s="74" t="s">
        <v>7204</v>
      </c>
      <c r="C22802" s="74" t="s">
        <v>459</v>
      </c>
    </row>
    <row r="22803" spans="1:3">
      <c r="A22803" s="250">
        <v>53211</v>
      </c>
      <c r="B22803" s="74" t="s">
        <v>7204</v>
      </c>
      <c r="C22803" s="74" t="s">
        <v>459</v>
      </c>
    </row>
    <row r="22804" spans="1:3">
      <c r="A22804" s="250">
        <v>53212</v>
      </c>
      <c r="B22804" s="74" t="s">
        <v>7204</v>
      </c>
      <c r="C22804" s="74" t="s">
        <v>459</v>
      </c>
    </row>
    <row r="22805" spans="1:3">
      <c r="A22805" s="250">
        <v>53213</v>
      </c>
      <c r="B22805" s="74" t="s">
        <v>7204</v>
      </c>
      <c r="C22805" s="74" t="s">
        <v>459</v>
      </c>
    </row>
    <row r="22806" spans="1:3">
      <c r="A22806" s="250">
        <v>53214</v>
      </c>
      <c r="B22806" s="74" t="s">
        <v>7204</v>
      </c>
      <c r="C22806" s="74" t="s">
        <v>459</v>
      </c>
    </row>
    <row r="22807" spans="1:3">
      <c r="A22807" s="250">
        <v>53215</v>
      </c>
      <c r="B22807" s="74" t="s">
        <v>7204</v>
      </c>
      <c r="C22807" s="74" t="s">
        <v>459</v>
      </c>
    </row>
    <row r="22808" spans="1:3">
      <c r="A22808" s="250">
        <v>53216</v>
      </c>
      <c r="B22808" s="74" t="s">
        <v>7204</v>
      </c>
      <c r="C22808" s="74" t="s">
        <v>459</v>
      </c>
    </row>
    <row r="22809" spans="1:3">
      <c r="A22809" s="250">
        <v>53217</v>
      </c>
      <c r="B22809" s="74" t="s">
        <v>7204</v>
      </c>
      <c r="C22809" s="74" t="s">
        <v>459</v>
      </c>
    </row>
    <row r="22810" spans="1:3">
      <c r="A22810" s="250">
        <v>53218</v>
      </c>
      <c r="B22810" s="74" t="s">
        <v>7204</v>
      </c>
      <c r="C22810" s="74" t="s">
        <v>459</v>
      </c>
    </row>
    <row r="22811" spans="1:3">
      <c r="A22811" s="250">
        <v>53219</v>
      </c>
      <c r="B22811" s="74" t="s">
        <v>7204</v>
      </c>
      <c r="C22811" s="74" t="s">
        <v>459</v>
      </c>
    </row>
    <row r="22812" spans="1:3">
      <c r="A22812" s="250">
        <v>53220</v>
      </c>
      <c r="B22812" s="74" t="s">
        <v>7204</v>
      </c>
      <c r="C22812" s="74" t="s">
        <v>459</v>
      </c>
    </row>
    <row r="22813" spans="1:3">
      <c r="A22813" s="250">
        <v>53221</v>
      </c>
      <c r="B22813" s="74" t="s">
        <v>7204</v>
      </c>
      <c r="C22813" s="74" t="s">
        <v>459</v>
      </c>
    </row>
    <row r="22814" spans="1:3">
      <c r="A22814" s="250">
        <v>53222</v>
      </c>
      <c r="B22814" s="74" t="s">
        <v>7204</v>
      </c>
      <c r="C22814" s="74" t="s">
        <v>459</v>
      </c>
    </row>
    <row r="22815" spans="1:3">
      <c r="A22815" s="250">
        <v>53223</v>
      </c>
      <c r="B22815" s="74" t="s">
        <v>7204</v>
      </c>
      <c r="C22815" s="74" t="s">
        <v>459</v>
      </c>
    </row>
    <row r="22816" spans="1:3">
      <c r="A22816" s="250">
        <v>53224</v>
      </c>
      <c r="B22816" s="74" t="s">
        <v>7204</v>
      </c>
      <c r="C22816" s="74" t="s">
        <v>459</v>
      </c>
    </row>
    <row r="22817" spans="1:3">
      <c r="A22817" s="250">
        <v>53225</v>
      </c>
      <c r="B22817" s="74" t="s">
        <v>7204</v>
      </c>
      <c r="C22817" s="74" t="s">
        <v>459</v>
      </c>
    </row>
    <row r="22818" spans="1:3">
      <c r="A22818" s="250">
        <v>53226</v>
      </c>
      <c r="B22818" s="74" t="s">
        <v>7204</v>
      </c>
      <c r="C22818" s="74" t="s">
        <v>459</v>
      </c>
    </row>
    <row r="22819" spans="1:3">
      <c r="A22819" s="250">
        <v>53227</v>
      </c>
      <c r="B22819" s="74" t="s">
        <v>7204</v>
      </c>
      <c r="C22819" s="74" t="s">
        <v>459</v>
      </c>
    </row>
    <row r="22820" spans="1:3">
      <c r="A22820" s="250">
        <v>53228</v>
      </c>
      <c r="B22820" s="74" t="s">
        <v>7204</v>
      </c>
      <c r="C22820" s="74" t="s">
        <v>459</v>
      </c>
    </row>
    <row r="22821" spans="1:3">
      <c r="A22821" s="250">
        <v>53233</v>
      </c>
      <c r="B22821" s="74" t="s">
        <v>7204</v>
      </c>
      <c r="C22821" s="74" t="s">
        <v>459</v>
      </c>
    </row>
    <row r="22822" spans="1:3">
      <c r="A22822" s="250">
        <v>53234</v>
      </c>
      <c r="B22822" s="74" t="s">
        <v>7204</v>
      </c>
      <c r="C22822" s="74" t="s">
        <v>459</v>
      </c>
    </row>
    <row r="22823" spans="1:3">
      <c r="A22823" s="250">
        <v>53235</v>
      </c>
      <c r="B22823" s="74" t="s">
        <v>1650</v>
      </c>
      <c r="C22823" s="74" t="s">
        <v>459</v>
      </c>
    </row>
    <row r="22824" spans="1:3">
      <c r="A22824" s="250">
        <v>53237</v>
      </c>
      <c r="B22824" s="74" t="s">
        <v>7204</v>
      </c>
      <c r="C22824" s="74" t="s">
        <v>459</v>
      </c>
    </row>
    <row r="22825" spans="1:3">
      <c r="A22825" s="250">
        <v>53244</v>
      </c>
      <c r="B22825" s="74" t="s">
        <v>7204</v>
      </c>
      <c r="C22825" s="74" t="s">
        <v>459</v>
      </c>
    </row>
    <row r="22826" spans="1:3">
      <c r="A22826" s="250">
        <v>53259</v>
      </c>
      <c r="B22826" s="74" t="s">
        <v>7204</v>
      </c>
      <c r="C22826" s="74" t="s">
        <v>459</v>
      </c>
    </row>
    <row r="22827" spans="1:3">
      <c r="A22827" s="250">
        <v>53263</v>
      </c>
      <c r="B22827" s="74" t="s">
        <v>7204</v>
      </c>
      <c r="C22827" s="74" t="s">
        <v>459</v>
      </c>
    </row>
    <row r="22828" spans="1:3">
      <c r="A22828" s="250">
        <v>53267</v>
      </c>
      <c r="B22828" s="74" t="s">
        <v>7204</v>
      </c>
      <c r="C22828" s="74" t="s">
        <v>459</v>
      </c>
    </row>
    <row r="22829" spans="1:3">
      <c r="A22829" s="250">
        <v>53268</v>
      </c>
      <c r="B22829" s="74" t="s">
        <v>7204</v>
      </c>
      <c r="C22829" s="74" t="s">
        <v>459</v>
      </c>
    </row>
    <row r="22830" spans="1:3">
      <c r="A22830" s="250">
        <v>53274</v>
      </c>
      <c r="B22830" s="74" t="s">
        <v>7204</v>
      </c>
      <c r="C22830" s="74" t="s">
        <v>459</v>
      </c>
    </row>
    <row r="22831" spans="1:3">
      <c r="A22831" s="250">
        <v>53278</v>
      </c>
      <c r="B22831" s="74" t="s">
        <v>7204</v>
      </c>
      <c r="C22831" s="74" t="s">
        <v>459</v>
      </c>
    </row>
    <row r="22832" spans="1:3">
      <c r="A22832" s="250">
        <v>53288</v>
      </c>
      <c r="B22832" s="74" t="s">
        <v>7204</v>
      </c>
      <c r="C22832" s="74" t="s">
        <v>459</v>
      </c>
    </row>
    <row r="22833" spans="1:3">
      <c r="A22833" s="250">
        <v>53290</v>
      </c>
      <c r="B22833" s="74" t="s">
        <v>7204</v>
      </c>
      <c r="C22833" s="74" t="s">
        <v>459</v>
      </c>
    </row>
    <row r="22834" spans="1:3">
      <c r="A22834" s="250">
        <v>53293</v>
      </c>
      <c r="B22834" s="74" t="s">
        <v>7204</v>
      </c>
      <c r="C22834" s="74" t="s">
        <v>459</v>
      </c>
    </row>
    <row r="22835" spans="1:3">
      <c r="A22835" s="250">
        <v>53295</v>
      </c>
      <c r="B22835" s="74" t="s">
        <v>7204</v>
      </c>
      <c r="C22835" s="74" t="s">
        <v>459</v>
      </c>
    </row>
    <row r="22836" spans="1:3">
      <c r="A22836" s="250">
        <v>53401</v>
      </c>
      <c r="B22836" s="74" t="s">
        <v>6643</v>
      </c>
      <c r="C22836" s="74" t="s">
        <v>459</v>
      </c>
    </row>
    <row r="22837" spans="1:3">
      <c r="A22837" s="250">
        <v>53402</v>
      </c>
      <c r="B22837" s="74" t="s">
        <v>6643</v>
      </c>
      <c r="C22837" s="74" t="s">
        <v>459</v>
      </c>
    </row>
    <row r="22838" spans="1:3">
      <c r="A22838" s="250">
        <v>53403</v>
      </c>
      <c r="B22838" s="74" t="s">
        <v>6643</v>
      </c>
      <c r="C22838" s="74" t="s">
        <v>459</v>
      </c>
    </row>
    <row r="22839" spans="1:3">
      <c r="A22839" s="250">
        <v>53404</v>
      </c>
      <c r="B22839" s="74" t="s">
        <v>6643</v>
      </c>
      <c r="C22839" s="74" t="s">
        <v>459</v>
      </c>
    </row>
    <row r="22840" spans="1:3">
      <c r="A22840" s="250">
        <v>53405</v>
      </c>
      <c r="B22840" s="74" t="s">
        <v>6643</v>
      </c>
      <c r="C22840" s="74" t="s">
        <v>459</v>
      </c>
    </row>
    <row r="22841" spans="1:3">
      <c r="A22841" s="250">
        <v>53406</v>
      </c>
      <c r="B22841" s="74" t="s">
        <v>6643</v>
      </c>
      <c r="C22841" s="74" t="s">
        <v>459</v>
      </c>
    </row>
    <row r="22842" spans="1:3">
      <c r="A22842" s="250">
        <v>53407</v>
      </c>
      <c r="B22842" s="74" t="s">
        <v>6643</v>
      </c>
      <c r="C22842" s="74" t="s">
        <v>459</v>
      </c>
    </row>
    <row r="22843" spans="1:3">
      <c r="A22843" s="250">
        <v>53408</v>
      </c>
      <c r="B22843" s="74" t="s">
        <v>6643</v>
      </c>
      <c r="C22843" s="74" t="s">
        <v>459</v>
      </c>
    </row>
    <row r="22844" spans="1:3">
      <c r="A22844" s="250">
        <v>53501</v>
      </c>
      <c r="B22844" s="74" t="s">
        <v>3590</v>
      </c>
      <c r="C22844" s="74" t="s">
        <v>459</v>
      </c>
    </row>
    <row r="22845" spans="1:3">
      <c r="A22845" s="250">
        <v>53502</v>
      </c>
      <c r="B22845" s="74" t="s">
        <v>1896</v>
      </c>
      <c r="C22845" s="74" t="s">
        <v>459</v>
      </c>
    </row>
    <row r="22846" spans="1:3">
      <c r="A22846" s="250">
        <v>53503</v>
      </c>
      <c r="B22846" s="74" t="s">
        <v>12006</v>
      </c>
      <c r="C22846" s="74" t="s">
        <v>459</v>
      </c>
    </row>
    <row r="22847" spans="1:3">
      <c r="A22847" s="250">
        <v>53504</v>
      </c>
      <c r="B22847" s="74" t="s">
        <v>3222</v>
      </c>
      <c r="C22847" s="74" t="s">
        <v>459</v>
      </c>
    </row>
    <row r="22848" spans="1:3">
      <c r="A22848" s="250">
        <v>53505</v>
      </c>
      <c r="B22848" s="74" t="s">
        <v>2443</v>
      </c>
      <c r="C22848" s="74" t="s">
        <v>459</v>
      </c>
    </row>
    <row r="22849" spans="1:3">
      <c r="A22849" s="250">
        <v>53506</v>
      </c>
      <c r="B22849" s="74" t="s">
        <v>3896</v>
      </c>
      <c r="C22849" s="74" t="s">
        <v>459</v>
      </c>
    </row>
    <row r="22850" spans="1:3">
      <c r="A22850" s="250">
        <v>53507</v>
      </c>
      <c r="B22850" s="74" t="s">
        <v>3432</v>
      </c>
      <c r="C22850" s="74" t="s">
        <v>459</v>
      </c>
    </row>
    <row r="22851" spans="1:3">
      <c r="A22851" s="250">
        <v>53508</v>
      </c>
      <c r="B22851" s="74" t="s">
        <v>2173</v>
      </c>
      <c r="C22851" s="74" t="s">
        <v>459</v>
      </c>
    </row>
    <row r="22852" spans="1:3">
      <c r="A22852" s="250">
        <v>53510</v>
      </c>
      <c r="B22852" s="74" t="s">
        <v>986</v>
      </c>
      <c r="C22852" s="74" t="s">
        <v>459</v>
      </c>
    </row>
    <row r="22853" spans="1:3">
      <c r="A22853" s="250">
        <v>53511</v>
      </c>
      <c r="B22853" s="74" t="s">
        <v>10385</v>
      </c>
      <c r="C22853" s="74" t="s">
        <v>459</v>
      </c>
    </row>
    <row r="22854" spans="1:3">
      <c r="A22854" s="250">
        <v>53512</v>
      </c>
      <c r="B22854" s="74" t="s">
        <v>10385</v>
      </c>
      <c r="C22854" s="74" t="s">
        <v>459</v>
      </c>
    </row>
    <row r="22855" spans="1:3">
      <c r="A22855" s="250">
        <v>53515</v>
      </c>
      <c r="B22855" s="74" t="s">
        <v>12007</v>
      </c>
      <c r="C22855" s="74" t="s">
        <v>459</v>
      </c>
    </row>
    <row r="22856" spans="1:3">
      <c r="A22856" s="250">
        <v>53516</v>
      </c>
      <c r="B22856" s="74" t="s">
        <v>12008</v>
      </c>
      <c r="C22856" s="74" t="s">
        <v>459</v>
      </c>
    </row>
    <row r="22857" spans="1:3">
      <c r="A22857" s="250">
        <v>53517</v>
      </c>
      <c r="B22857" s="74" t="s">
        <v>12009</v>
      </c>
      <c r="C22857" s="74" t="s">
        <v>459</v>
      </c>
    </row>
    <row r="22858" spans="1:3">
      <c r="A22858" s="250">
        <v>53518</v>
      </c>
      <c r="B22858" s="74" t="s">
        <v>9843</v>
      </c>
      <c r="C22858" s="74" t="s">
        <v>459</v>
      </c>
    </row>
    <row r="22859" spans="1:3">
      <c r="A22859" s="250">
        <v>53520</v>
      </c>
      <c r="B22859" s="74" t="s">
        <v>9644</v>
      </c>
      <c r="C22859" s="74" t="s">
        <v>459</v>
      </c>
    </row>
    <row r="22860" spans="1:3">
      <c r="A22860" s="250">
        <v>53521</v>
      </c>
      <c r="B22860" s="74" t="s">
        <v>1983</v>
      </c>
      <c r="C22860" s="74" t="s">
        <v>459</v>
      </c>
    </row>
    <row r="22861" spans="1:3">
      <c r="A22861" s="250">
        <v>53522</v>
      </c>
      <c r="B22861" s="74" t="s">
        <v>12010</v>
      </c>
      <c r="C22861" s="74" t="s">
        <v>459</v>
      </c>
    </row>
    <row r="22862" spans="1:3">
      <c r="A22862" s="250">
        <v>53523</v>
      </c>
      <c r="B22862" s="74" t="s">
        <v>914</v>
      </c>
      <c r="C22862" s="74" t="s">
        <v>459</v>
      </c>
    </row>
    <row r="22863" spans="1:3">
      <c r="A22863" s="250">
        <v>53525</v>
      </c>
      <c r="B22863" s="74" t="s">
        <v>732</v>
      </c>
      <c r="C22863" s="74" t="s">
        <v>459</v>
      </c>
    </row>
    <row r="22864" spans="1:3">
      <c r="A22864" s="250">
        <v>53526</v>
      </c>
      <c r="B22864" s="74" t="s">
        <v>8168</v>
      </c>
      <c r="C22864" s="74" t="s">
        <v>459</v>
      </c>
    </row>
    <row r="22865" spans="1:3">
      <c r="A22865" s="250">
        <v>53527</v>
      </c>
      <c r="B22865" s="74" t="s">
        <v>9192</v>
      </c>
      <c r="C22865" s="74" t="s">
        <v>459</v>
      </c>
    </row>
    <row r="22866" spans="1:3">
      <c r="A22866" s="250">
        <v>53528</v>
      </c>
      <c r="B22866" s="74" t="s">
        <v>8998</v>
      </c>
      <c r="C22866" s="74" t="s">
        <v>459</v>
      </c>
    </row>
    <row r="22867" spans="1:3">
      <c r="A22867" s="250">
        <v>53529</v>
      </c>
      <c r="B22867" s="74" t="s">
        <v>12011</v>
      </c>
      <c r="C22867" s="74" t="s">
        <v>459</v>
      </c>
    </row>
    <row r="22868" spans="1:3">
      <c r="A22868" s="250">
        <v>53530</v>
      </c>
      <c r="B22868" s="74" t="s">
        <v>4412</v>
      </c>
      <c r="C22868" s="74" t="s">
        <v>459</v>
      </c>
    </row>
    <row r="22869" spans="1:3">
      <c r="A22869" s="250">
        <v>53531</v>
      </c>
      <c r="B22869" s="74" t="s">
        <v>678</v>
      </c>
      <c r="C22869" s="74" t="s">
        <v>459</v>
      </c>
    </row>
    <row r="22870" spans="1:3">
      <c r="A22870" s="250">
        <v>53532</v>
      </c>
      <c r="B22870" s="74" t="s">
        <v>12012</v>
      </c>
      <c r="C22870" s="74" t="s">
        <v>459</v>
      </c>
    </row>
    <row r="22871" spans="1:3">
      <c r="A22871" s="250">
        <v>53533</v>
      </c>
      <c r="B22871" s="74" t="s">
        <v>11457</v>
      </c>
      <c r="C22871" s="74" t="s">
        <v>459</v>
      </c>
    </row>
    <row r="22872" spans="1:3">
      <c r="A22872" s="250">
        <v>53534</v>
      </c>
      <c r="B22872" s="74" t="s">
        <v>10187</v>
      </c>
      <c r="C22872" s="74" t="s">
        <v>459</v>
      </c>
    </row>
    <row r="22873" spans="1:3">
      <c r="A22873" s="250">
        <v>53535</v>
      </c>
      <c r="B22873" s="74" t="s">
        <v>12013</v>
      </c>
      <c r="C22873" s="74" t="s">
        <v>459</v>
      </c>
    </row>
    <row r="22874" spans="1:3">
      <c r="A22874" s="250">
        <v>53536</v>
      </c>
      <c r="B22874" s="74" t="s">
        <v>10926</v>
      </c>
      <c r="C22874" s="74" t="s">
        <v>459</v>
      </c>
    </row>
    <row r="22875" spans="1:3">
      <c r="A22875" s="250">
        <v>53537</v>
      </c>
      <c r="B22875" s="74" t="s">
        <v>12014</v>
      </c>
      <c r="C22875" s="74" t="s">
        <v>459</v>
      </c>
    </row>
    <row r="22876" spans="1:3">
      <c r="A22876" s="250">
        <v>53538</v>
      </c>
      <c r="B22876" s="74" t="s">
        <v>11819</v>
      </c>
      <c r="C22876" s="74" t="s">
        <v>459</v>
      </c>
    </row>
    <row r="22877" spans="1:3">
      <c r="A22877" s="250">
        <v>53540</v>
      </c>
      <c r="B22877" s="74" t="s">
        <v>12015</v>
      </c>
      <c r="C22877" s="74" t="s">
        <v>459</v>
      </c>
    </row>
    <row r="22878" spans="1:3">
      <c r="A22878" s="250">
        <v>53541</v>
      </c>
      <c r="B22878" s="74" t="s">
        <v>10227</v>
      </c>
      <c r="C22878" s="74" t="s">
        <v>459</v>
      </c>
    </row>
    <row r="22879" spans="1:3">
      <c r="A22879" s="250">
        <v>53542</v>
      </c>
      <c r="B22879" s="74" t="s">
        <v>944</v>
      </c>
      <c r="C22879" s="74" t="s">
        <v>459</v>
      </c>
    </row>
    <row r="22880" spans="1:3">
      <c r="A22880" s="250">
        <v>53543</v>
      </c>
      <c r="B22880" s="74" t="s">
        <v>3120</v>
      </c>
      <c r="C22880" s="74" t="s">
        <v>459</v>
      </c>
    </row>
    <row r="22881" spans="1:3">
      <c r="A22881" s="250">
        <v>53544</v>
      </c>
      <c r="B22881" s="74" t="s">
        <v>9338</v>
      </c>
      <c r="C22881" s="74" t="s">
        <v>459</v>
      </c>
    </row>
    <row r="22882" spans="1:3">
      <c r="A22882" s="250">
        <v>53545</v>
      </c>
      <c r="B22882" s="74" t="s">
        <v>11668</v>
      </c>
      <c r="C22882" s="74" t="s">
        <v>459</v>
      </c>
    </row>
    <row r="22883" spans="1:3">
      <c r="A22883" s="250">
        <v>53546</v>
      </c>
      <c r="B22883" s="74" t="s">
        <v>11668</v>
      </c>
      <c r="C22883" s="74" t="s">
        <v>459</v>
      </c>
    </row>
    <row r="22884" spans="1:3">
      <c r="A22884" s="250">
        <v>53547</v>
      </c>
      <c r="B22884" s="74" t="s">
        <v>11668</v>
      </c>
      <c r="C22884" s="74" t="s">
        <v>459</v>
      </c>
    </row>
    <row r="22885" spans="1:3">
      <c r="A22885" s="250">
        <v>53548</v>
      </c>
      <c r="B22885" s="74" t="s">
        <v>11668</v>
      </c>
      <c r="C22885" s="74" t="s">
        <v>459</v>
      </c>
    </row>
    <row r="22886" spans="1:3">
      <c r="A22886" s="250">
        <v>53549</v>
      </c>
      <c r="B22886" s="74" t="s">
        <v>740</v>
      </c>
      <c r="C22886" s="74" t="s">
        <v>459</v>
      </c>
    </row>
    <row r="22887" spans="1:3">
      <c r="A22887" s="250">
        <v>53550</v>
      </c>
      <c r="B22887" s="74" t="s">
        <v>12016</v>
      </c>
      <c r="C22887" s="74" t="s">
        <v>459</v>
      </c>
    </row>
    <row r="22888" spans="1:3">
      <c r="A22888" s="250">
        <v>53551</v>
      </c>
      <c r="B22888" s="74" t="s">
        <v>11583</v>
      </c>
      <c r="C22888" s="74" t="s">
        <v>459</v>
      </c>
    </row>
    <row r="22889" spans="1:3">
      <c r="A22889" s="250">
        <v>53553</v>
      </c>
      <c r="B22889" s="74" t="s">
        <v>2134</v>
      </c>
      <c r="C22889" s="74" t="s">
        <v>459</v>
      </c>
    </row>
    <row r="22890" spans="1:3">
      <c r="A22890" s="250">
        <v>53554</v>
      </c>
      <c r="B22890" s="74" t="s">
        <v>2135</v>
      </c>
      <c r="C22890" s="74" t="s">
        <v>459</v>
      </c>
    </row>
    <row r="22891" spans="1:3">
      <c r="A22891" s="250">
        <v>53555</v>
      </c>
      <c r="B22891" s="74" t="s">
        <v>2238</v>
      </c>
      <c r="C22891" s="74" t="s">
        <v>459</v>
      </c>
    </row>
    <row r="22892" spans="1:3">
      <c r="A22892" s="250">
        <v>53556</v>
      </c>
      <c r="B22892" s="74" t="s">
        <v>11629</v>
      </c>
      <c r="C22892" s="74" t="s">
        <v>459</v>
      </c>
    </row>
    <row r="22893" spans="1:3">
      <c r="A22893" s="250">
        <v>53557</v>
      </c>
      <c r="B22893" s="74" t="s">
        <v>818</v>
      </c>
      <c r="C22893" s="74" t="s">
        <v>459</v>
      </c>
    </row>
    <row r="22894" spans="1:3">
      <c r="A22894" s="250">
        <v>53558</v>
      </c>
      <c r="B22894" s="74" t="s">
        <v>12017</v>
      </c>
      <c r="C22894" s="74" t="s">
        <v>459</v>
      </c>
    </row>
    <row r="22895" spans="1:3">
      <c r="A22895" s="250">
        <v>53559</v>
      </c>
      <c r="B22895" s="74" t="s">
        <v>5516</v>
      </c>
      <c r="C22895" s="74" t="s">
        <v>459</v>
      </c>
    </row>
    <row r="22896" spans="1:3">
      <c r="A22896" s="250">
        <v>53560</v>
      </c>
      <c r="B22896" s="74" t="s">
        <v>12018</v>
      </c>
      <c r="C22896" s="74" t="s">
        <v>459</v>
      </c>
    </row>
    <row r="22897" spans="1:3">
      <c r="A22897" s="250">
        <v>53561</v>
      </c>
      <c r="B22897" s="74" t="s">
        <v>819</v>
      </c>
      <c r="C22897" s="74" t="s">
        <v>459</v>
      </c>
    </row>
    <row r="22898" spans="1:3">
      <c r="A22898" s="250">
        <v>53562</v>
      </c>
      <c r="B22898" s="74" t="s">
        <v>850</v>
      </c>
      <c r="C22898" s="74" t="s">
        <v>459</v>
      </c>
    </row>
    <row r="22899" spans="1:3">
      <c r="A22899" s="250">
        <v>53563</v>
      </c>
      <c r="B22899" s="74" t="s">
        <v>927</v>
      </c>
      <c r="C22899" s="74" t="s">
        <v>459</v>
      </c>
    </row>
    <row r="22900" spans="1:3">
      <c r="A22900" s="250">
        <v>53565</v>
      </c>
      <c r="B22900" s="74" t="s">
        <v>4359</v>
      </c>
      <c r="C22900" s="74" t="s">
        <v>459</v>
      </c>
    </row>
    <row r="22901" spans="1:3">
      <c r="A22901" s="250">
        <v>53566</v>
      </c>
      <c r="B22901" s="74" t="s">
        <v>1284</v>
      </c>
      <c r="C22901" s="74" t="s">
        <v>459</v>
      </c>
    </row>
    <row r="22902" spans="1:3">
      <c r="A22902" s="250">
        <v>53569</v>
      </c>
      <c r="B22902" s="74" t="s">
        <v>12019</v>
      </c>
      <c r="C22902" s="74" t="s">
        <v>459</v>
      </c>
    </row>
    <row r="22903" spans="1:3">
      <c r="A22903" s="250">
        <v>53570</v>
      </c>
      <c r="B22903" s="74" t="s">
        <v>1639</v>
      </c>
      <c r="C22903" s="74" t="s">
        <v>459</v>
      </c>
    </row>
    <row r="22904" spans="1:3">
      <c r="A22904" s="250">
        <v>53571</v>
      </c>
      <c r="B22904" s="74" t="s">
        <v>3312</v>
      </c>
      <c r="C22904" s="74" t="s">
        <v>459</v>
      </c>
    </row>
    <row r="22905" spans="1:3">
      <c r="A22905" s="250">
        <v>53572</v>
      </c>
      <c r="B22905" s="74" t="s">
        <v>12020</v>
      </c>
      <c r="C22905" s="74" t="s">
        <v>459</v>
      </c>
    </row>
    <row r="22906" spans="1:3">
      <c r="A22906" s="250">
        <v>53573</v>
      </c>
      <c r="B22906" s="74" t="s">
        <v>12021</v>
      </c>
      <c r="C22906" s="74" t="s">
        <v>459</v>
      </c>
    </row>
    <row r="22907" spans="1:3">
      <c r="A22907" s="250">
        <v>53574</v>
      </c>
      <c r="B22907" s="74" t="s">
        <v>12022</v>
      </c>
      <c r="C22907" s="74" t="s">
        <v>459</v>
      </c>
    </row>
    <row r="22908" spans="1:3">
      <c r="A22908" s="250">
        <v>53575</v>
      </c>
      <c r="B22908" s="74" t="s">
        <v>10216</v>
      </c>
      <c r="C22908" s="74" t="s">
        <v>459</v>
      </c>
    </row>
    <row r="22909" spans="1:3">
      <c r="A22909" s="250">
        <v>53576</v>
      </c>
      <c r="B22909" s="74" t="s">
        <v>12023</v>
      </c>
      <c r="C22909" s="74" t="s">
        <v>459</v>
      </c>
    </row>
    <row r="22910" spans="1:3">
      <c r="A22910" s="250">
        <v>53577</v>
      </c>
      <c r="B22910" s="74" t="s">
        <v>12024</v>
      </c>
      <c r="C22910" s="74" t="s">
        <v>459</v>
      </c>
    </row>
    <row r="22911" spans="1:3">
      <c r="A22911" s="250">
        <v>53578</v>
      </c>
      <c r="B22911" s="74" t="s">
        <v>12025</v>
      </c>
      <c r="C22911" s="74" t="s">
        <v>459</v>
      </c>
    </row>
    <row r="22912" spans="1:3">
      <c r="A22912" s="250">
        <v>53579</v>
      </c>
      <c r="B22912" s="74" t="s">
        <v>12026</v>
      </c>
      <c r="C22912" s="74" t="s">
        <v>459</v>
      </c>
    </row>
    <row r="22913" spans="1:3">
      <c r="A22913" s="250">
        <v>53580</v>
      </c>
      <c r="B22913" s="74" t="s">
        <v>12027</v>
      </c>
      <c r="C22913" s="74" t="s">
        <v>459</v>
      </c>
    </row>
    <row r="22914" spans="1:3">
      <c r="A22914" s="250">
        <v>53581</v>
      </c>
      <c r="B22914" s="74" t="s">
        <v>12028</v>
      </c>
      <c r="C22914" s="74" t="s">
        <v>459</v>
      </c>
    </row>
    <row r="22915" spans="1:3">
      <c r="A22915" s="250">
        <v>53582</v>
      </c>
      <c r="B22915" s="74" t="s">
        <v>6297</v>
      </c>
      <c r="C22915" s="74" t="s">
        <v>459</v>
      </c>
    </row>
    <row r="22916" spans="1:3">
      <c r="A22916" s="250">
        <v>53583</v>
      </c>
      <c r="B22916" s="74" t="s">
        <v>12029</v>
      </c>
      <c r="C22916" s="74" t="s">
        <v>459</v>
      </c>
    </row>
    <row r="22917" spans="1:3">
      <c r="A22917" s="250">
        <v>53584</v>
      </c>
      <c r="B22917" s="74" t="s">
        <v>12030</v>
      </c>
      <c r="C22917" s="74" t="s">
        <v>459</v>
      </c>
    </row>
    <row r="22918" spans="1:3">
      <c r="A22918" s="250">
        <v>53585</v>
      </c>
      <c r="B22918" s="74" t="s">
        <v>893</v>
      </c>
      <c r="C22918" s="74" t="s">
        <v>459</v>
      </c>
    </row>
    <row r="22919" spans="1:3">
      <c r="A22919" s="250">
        <v>53586</v>
      </c>
      <c r="B22919" s="74" t="s">
        <v>12031</v>
      </c>
      <c r="C22919" s="74" t="s">
        <v>459</v>
      </c>
    </row>
    <row r="22920" spans="1:3">
      <c r="A22920" s="250">
        <v>53587</v>
      </c>
      <c r="B22920" s="74" t="s">
        <v>12032</v>
      </c>
      <c r="C22920" s="74" t="s">
        <v>459</v>
      </c>
    </row>
    <row r="22921" spans="1:3">
      <c r="A22921" s="250">
        <v>53588</v>
      </c>
      <c r="B22921" s="74" t="s">
        <v>12033</v>
      </c>
      <c r="C22921" s="74" t="s">
        <v>459</v>
      </c>
    </row>
    <row r="22922" spans="1:3">
      <c r="A22922" s="250">
        <v>53589</v>
      </c>
      <c r="B22922" s="74" t="s">
        <v>896</v>
      </c>
      <c r="C22922" s="74" t="s">
        <v>459</v>
      </c>
    </row>
    <row r="22923" spans="1:3">
      <c r="A22923" s="250">
        <v>53590</v>
      </c>
      <c r="B22923" s="74" t="s">
        <v>12034</v>
      </c>
      <c r="C22923" s="74" t="s">
        <v>459</v>
      </c>
    </row>
    <row r="22924" spans="1:3">
      <c r="A22924" s="250">
        <v>53593</v>
      </c>
      <c r="B22924" s="74" t="s">
        <v>2139</v>
      </c>
      <c r="C22924" s="74" t="s">
        <v>459</v>
      </c>
    </row>
    <row r="22925" spans="1:3">
      <c r="A22925" s="250">
        <v>53594</v>
      </c>
      <c r="B22925" s="74" t="s">
        <v>3425</v>
      </c>
      <c r="C22925" s="74" t="s">
        <v>459</v>
      </c>
    </row>
    <row r="22926" spans="1:3">
      <c r="A22926" s="250">
        <v>53595</v>
      </c>
      <c r="B22926" s="74" t="s">
        <v>11457</v>
      </c>
      <c r="C22926" s="74" t="s">
        <v>459</v>
      </c>
    </row>
    <row r="22927" spans="1:3">
      <c r="A22927" s="250">
        <v>53596</v>
      </c>
      <c r="B22927" s="74" t="s">
        <v>12034</v>
      </c>
      <c r="C22927" s="74" t="s">
        <v>459</v>
      </c>
    </row>
    <row r="22928" spans="1:3">
      <c r="A22928" s="250">
        <v>53597</v>
      </c>
      <c r="B22928" s="74" t="s">
        <v>12035</v>
      </c>
      <c r="C22928" s="74" t="s">
        <v>459</v>
      </c>
    </row>
    <row r="22929" spans="1:3">
      <c r="A22929" s="250">
        <v>53598</v>
      </c>
      <c r="B22929" s="74" t="s">
        <v>669</v>
      </c>
      <c r="C22929" s="74" t="s">
        <v>459</v>
      </c>
    </row>
    <row r="22930" spans="1:3">
      <c r="A22930" s="250">
        <v>53599</v>
      </c>
      <c r="B22930" s="74" t="s">
        <v>5930</v>
      </c>
      <c r="C22930" s="74" t="s">
        <v>459</v>
      </c>
    </row>
    <row r="22931" spans="1:3">
      <c r="A22931" s="250">
        <v>53701</v>
      </c>
      <c r="B22931" s="74" t="s">
        <v>1320</v>
      </c>
      <c r="C22931" s="74" t="s">
        <v>459</v>
      </c>
    </row>
    <row r="22932" spans="1:3">
      <c r="A22932" s="250">
        <v>53702</v>
      </c>
      <c r="B22932" s="74" t="s">
        <v>1320</v>
      </c>
      <c r="C22932" s="74" t="s">
        <v>459</v>
      </c>
    </row>
    <row r="22933" spans="1:3">
      <c r="A22933" s="250">
        <v>53703</v>
      </c>
      <c r="B22933" s="74" t="s">
        <v>1320</v>
      </c>
      <c r="C22933" s="74" t="s">
        <v>459</v>
      </c>
    </row>
    <row r="22934" spans="1:3">
      <c r="A22934" s="250">
        <v>53704</v>
      </c>
      <c r="B22934" s="74" t="s">
        <v>1320</v>
      </c>
      <c r="C22934" s="74" t="s">
        <v>459</v>
      </c>
    </row>
    <row r="22935" spans="1:3">
      <c r="A22935" s="250">
        <v>53705</v>
      </c>
      <c r="B22935" s="74" t="s">
        <v>1320</v>
      </c>
      <c r="C22935" s="74" t="s">
        <v>459</v>
      </c>
    </row>
    <row r="22936" spans="1:3">
      <c r="A22936" s="250">
        <v>53706</v>
      </c>
      <c r="B22936" s="74" t="s">
        <v>1320</v>
      </c>
      <c r="C22936" s="74" t="s">
        <v>459</v>
      </c>
    </row>
    <row r="22937" spans="1:3">
      <c r="A22937" s="250">
        <v>53707</v>
      </c>
      <c r="B22937" s="74" t="s">
        <v>1320</v>
      </c>
      <c r="C22937" s="74" t="s">
        <v>459</v>
      </c>
    </row>
    <row r="22938" spans="1:3">
      <c r="A22938" s="250">
        <v>53708</v>
      </c>
      <c r="B22938" s="74" t="s">
        <v>1320</v>
      </c>
      <c r="C22938" s="74" t="s">
        <v>459</v>
      </c>
    </row>
    <row r="22939" spans="1:3">
      <c r="A22939" s="250">
        <v>53711</v>
      </c>
      <c r="B22939" s="74" t="s">
        <v>1320</v>
      </c>
      <c r="C22939" s="74" t="s">
        <v>459</v>
      </c>
    </row>
    <row r="22940" spans="1:3">
      <c r="A22940" s="250">
        <v>53713</v>
      </c>
      <c r="B22940" s="74" t="s">
        <v>1320</v>
      </c>
      <c r="C22940" s="74" t="s">
        <v>459</v>
      </c>
    </row>
    <row r="22941" spans="1:3">
      <c r="A22941" s="250">
        <v>53714</v>
      </c>
      <c r="B22941" s="74" t="s">
        <v>1320</v>
      </c>
      <c r="C22941" s="74" t="s">
        <v>459</v>
      </c>
    </row>
    <row r="22942" spans="1:3">
      <c r="A22942" s="250">
        <v>53715</v>
      </c>
      <c r="B22942" s="74" t="s">
        <v>1320</v>
      </c>
      <c r="C22942" s="74" t="s">
        <v>459</v>
      </c>
    </row>
    <row r="22943" spans="1:3">
      <c r="A22943" s="250">
        <v>53716</v>
      </c>
      <c r="B22943" s="74" t="s">
        <v>1320</v>
      </c>
      <c r="C22943" s="74" t="s">
        <v>459</v>
      </c>
    </row>
    <row r="22944" spans="1:3">
      <c r="A22944" s="250">
        <v>53717</v>
      </c>
      <c r="B22944" s="74" t="s">
        <v>1320</v>
      </c>
      <c r="C22944" s="74" t="s">
        <v>459</v>
      </c>
    </row>
    <row r="22945" spans="1:3">
      <c r="A22945" s="250">
        <v>53718</v>
      </c>
      <c r="B22945" s="74" t="s">
        <v>1320</v>
      </c>
      <c r="C22945" s="74" t="s">
        <v>459</v>
      </c>
    </row>
    <row r="22946" spans="1:3">
      <c r="A22946" s="250">
        <v>53719</v>
      </c>
      <c r="B22946" s="74" t="s">
        <v>1320</v>
      </c>
      <c r="C22946" s="74" t="s">
        <v>459</v>
      </c>
    </row>
    <row r="22947" spans="1:3">
      <c r="A22947" s="250">
        <v>53725</v>
      </c>
      <c r="B22947" s="74" t="s">
        <v>1320</v>
      </c>
      <c r="C22947" s="74" t="s">
        <v>459</v>
      </c>
    </row>
    <row r="22948" spans="1:3">
      <c r="A22948" s="250">
        <v>53726</v>
      </c>
      <c r="B22948" s="74" t="s">
        <v>1320</v>
      </c>
      <c r="C22948" s="74" t="s">
        <v>459</v>
      </c>
    </row>
    <row r="22949" spans="1:3">
      <c r="A22949" s="250">
        <v>53744</v>
      </c>
      <c r="B22949" s="74" t="s">
        <v>1320</v>
      </c>
      <c r="C22949" s="74" t="s">
        <v>459</v>
      </c>
    </row>
    <row r="22950" spans="1:3">
      <c r="A22950" s="250">
        <v>53774</v>
      </c>
      <c r="B22950" s="74" t="s">
        <v>1320</v>
      </c>
      <c r="C22950" s="74" t="s">
        <v>459</v>
      </c>
    </row>
    <row r="22951" spans="1:3">
      <c r="A22951" s="250">
        <v>53777</v>
      </c>
      <c r="B22951" s="74" t="s">
        <v>1320</v>
      </c>
      <c r="C22951" s="74" t="s">
        <v>459</v>
      </c>
    </row>
    <row r="22952" spans="1:3">
      <c r="A22952" s="250">
        <v>53778</v>
      </c>
      <c r="B22952" s="74" t="s">
        <v>1320</v>
      </c>
      <c r="C22952" s="74" t="s">
        <v>459</v>
      </c>
    </row>
    <row r="22953" spans="1:3">
      <c r="A22953" s="250">
        <v>53779</v>
      </c>
      <c r="B22953" s="74" t="s">
        <v>1320</v>
      </c>
      <c r="C22953" s="74" t="s">
        <v>459</v>
      </c>
    </row>
    <row r="22954" spans="1:3">
      <c r="A22954" s="250">
        <v>53782</v>
      </c>
      <c r="B22954" s="74" t="s">
        <v>1320</v>
      </c>
      <c r="C22954" s="74" t="s">
        <v>459</v>
      </c>
    </row>
    <row r="22955" spans="1:3">
      <c r="A22955" s="250">
        <v>53783</v>
      </c>
      <c r="B22955" s="74" t="s">
        <v>1320</v>
      </c>
      <c r="C22955" s="74" t="s">
        <v>459</v>
      </c>
    </row>
    <row r="22956" spans="1:3">
      <c r="A22956" s="250">
        <v>53784</v>
      </c>
      <c r="B22956" s="74" t="s">
        <v>1320</v>
      </c>
      <c r="C22956" s="74" t="s">
        <v>459</v>
      </c>
    </row>
    <row r="22957" spans="1:3">
      <c r="A22957" s="250">
        <v>53785</v>
      </c>
      <c r="B22957" s="74" t="s">
        <v>1320</v>
      </c>
      <c r="C22957" s="74" t="s">
        <v>459</v>
      </c>
    </row>
    <row r="22958" spans="1:3">
      <c r="A22958" s="250">
        <v>53786</v>
      </c>
      <c r="B22958" s="74" t="s">
        <v>1320</v>
      </c>
      <c r="C22958" s="74" t="s">
        <v>459</v>
      </c>
    </row>
    <row r="22959" spans="1:3">
      <c r="A22959" s="250">
        <v>53788</v>
      </c>
      <c r="B22959" s="74" t="s">
        <v>1320</v>
      </c>
      <c r="C22959" s="74" t="s">
        <v>459</v>
      </c>
    </row>
    <row r="22960" spans="1:3">
      <c r="A22960" s="250">
        <v>53789</v>
      </c>
      <c r="B22960" s="74" t="s">
        <v>1320</v>
      </c>
      <c r="C22960" s="74" t="s">
        <v>459</v>
      </c>
    </row>
    <row r="22961" spans="1:3">
      <c r="A22961" s="250">
        <v>53790</v>
      </c>
      <c r="B22961" s="74" t="s">
        <v>1320</v>
      </c>
      <c r="C22961" s="74" t="s">
        <v>459</v>
      </c>
    </row>
    <row r="22962" spans="1:3">
      <c r="A22962" s="250">
        <v>53791</v>
      </c>
      <c r="B22962" s="74" t="s">
        <v>1320</v>
      </c>
      <c r="C22962" s="74" t="s">
        <v>459</v>
      </c>
    </row>
    <row r="22963" spans="1:3">
      <c r="A22963" s="250">
        <v>53792</v>
      </c>
      <c r="B22963" s="74" t="s">
        <v>1320</v>
      </c>
      <c r="C22963" s="74" t="s">
        <v>459</v>
      </c>
    </row>
    <row r="22964" spans="1:3">
      <c r="A22964" s="250">
        <v>53793</v>
      </c>
      <c r="B22964" s="74" t="s">
        <v>1320</v>
      </c>
      <c r="C22964" s="74" t="s">
        <v>459</v>
      </c>
    </row>
    <row r="22965" spans="1:3">
      <c r="A22965" s="250">
        <v>53794</v>
      </c>
      <c r="B22965" s="74" t="s">
        <v>1320</v>
      </c>
      <c r="C22965" s="74" t="s">
        <v>459</v>
      </c>
    </row>
    <row r="22966" spans="1:3">
      <c r="A22966" s="250">
        <v>53801</v>
      </c>
      <c r="B22966" s="74" t="s">
        <v>11484</v>
      </c>
      <c r="C22966" s="74" t="s">
        <v>459</v>
      </c>
    </row>
    <row r="22967" spans="1:3">
      <c r="A22967" s="250">
        <v>53802</v>
      </c>
      <c r="B22967" s="74" t="s">
        <v>12036</v>
      </c>
      <c r="C22967" s="74" t="s">
        <v>459</v>
      </c>
    </row>
    <row r="22968" spans="1:3">
      <c r="A22968" s="250">
        <v>53803</v>
      </c>
      <c r="B22968" s="74" t="s">
        <v>4938</v>
      </c>
      <c r="C22968" s="74" t="s">
        <v>459</v>
      </c>
    </row>
    <row r="22969" spans="1:3">
      <c r="A22969" s="250">
        <v>53804</v>
      </c>
      <c r="B22969" s="74" t="s">
        <v>3032</v>
      </c>
      <c r="C22969" s="74" t="s">
        <v>459</v>
      </c>
    </row>
    <row r="22970" spans="1:3">
      <c r="A22970" s="250">
        <v>53805</v>
      </c>
      <c r="B22970" s="74" t="s">
        <v>12037</v>
      </c>
      <c r="C22970" s="74" t="s">
        <v>459</v>
      </c>
    </row>
    <row r="22971" spans="1:3">
      <c r="A22971" s="250">
        <v>53806</v>
      </c>
      <c r="B22971" s="74" t="s">
        <v>3440</v>
      </c>
      <c r="C22971" s="74" t="s">
        <v>459</v>
      </c>
    </row>
    <row r="22972" spans="1:3">
      <c r="A22972" s="250">
        <v>53807</v>
      </c>
      <c r="B22972" s="74" t="s">
        <v>12038</v>
      </c>
      <c r="C22972" s="74" t="s">
        <v>459</v>
      </c>
    </row>
    <row r="22973" spans="1:3">
      <c r="A22973" s="250">
        <v>53808</v>
      </c>
      <c r="B22973" s="74" t="s">
        <v>12039</v>
      </c>
      <c r="C22973" s="74" t="s">
        <v>459</v>
      </c>
    </row>
    <row r="22974" spans="1:3">
      <c r="A22974" s="250">
        <v>53809</v>
      </c>
      <c r="B22974" s="74" t="s">
        <v>12040</v>
      </c>
      <c r="C22974" s="74" t="s">
        <v>459</v>
      </c>
    </row>
    <row r="22975" spans="1:3">
      <c r="A22975" s="250">
        <v>53810</v>
      </c>
      <c r="B22975" s="74" t="s">
        <v>12041</v>
      </c>
      <c r="C22975" s="74" t="s">
        <v>459</v>
      </c>
    </row>
    <row r="22976" spans="1:3">
      <c r="A22976" s="250">
        <v>53811</v>
      </c>
      <c r="B22976" s="74" t="s">
        <v>8744</v>
      </c>
      <c r="C22976" s="74" t="s">
        <v>459</v>
      </c>
    </row>
    <row r="22977" spans="1:3">
      <c r="A22977" s="250">
        <v>53812</v>
      </c>
      <c r="B22977" s="74" t="s">
        <v>12042</v>
      </c>
      <c r="C22977" s="74" t="s">
        <v>459</v>
      </c>
    </row>
    <row r="22978" spans="1:3">
      <c r="A22978" s="250">
        <v>53813</v>
      </c>
      <c r="B22978" s="74" t="s">
        <v>741</v>
      </c>
      <c r="C22978" s="74" t="s">
        <v>459</v>
      </c>
    </row>
    <row r="22979" spans="1:3">
      <c r="A22979" s="250">
        <v>53816</v>
      </c>
      <c r="B22979" s="74" t="s">
        <v>6812</v>
      </c>
      <c r="C22979" s="74" t="s">
        <v>459</v>
      </c>
    </row>
    <row r="22980" spans="1:3">
      <c r="A22980" s="250">
        <v>53817</v>
      </c>
      <c r="B22980" s="74" t="s">
        <v>12043</v>
      </c>
      <c r="C22980" s="74" t="s">
        <v>459</v>
      </c>
    </row>
    <row r="22981" spans="1:3">
      <c r="A22981" s="250">
        <v>53818</v>
      </c>
      <c r="B22981" s="74" t="s">
        <v>12044</v>
      </c>
      <c r="C22981" s="74" t="s">
        <v>459</v>
      </c>
    </row>
    <row r="22982" spans="1:3">
      <c r="A22982" s="250">
        <v>53820</v>
      </c>
      <c r="B22982" s="74" t="s">
        <v>12045</v>
      </c>
      <c r="C22982" s="74" t="s">
        <v>459</v>
      </c>
    </row>
    <row r="22983" spans="1:3">
      <c r="A22983" s="250">
        <v>53821</v>
      </c>
      <c r="B22983" s="74" t="s">
        <v>12046</v>
      </c>
      <c r="C22983" s="74" t="s">
        <v>459</v>
      </c>
    </row>
    <row r="22984" spans="1:3">
      <c r="A22984" s="250">
        <v>53824</v>
      </c>
      <c r="B22984" s="74" t="s">
        <v>12047</v>
      </c>
      <c r="C22984" s="74" t="s">
        <v>459</v>
      </c>
    </row>
    <row r="22985" spans="1:3">
      <c r="A22985" s="250">
        <v>53825</v>
      </c>
      <c r="B22985" s="74" t="s">
        <v>12048</v>
      </c>
      <c r="C22985" s="74" t="s">
        <v>459</v>
      </c>
    </row>
    <row r="22986" spans="1:3">
      <c r="A22986" s="250">
        <v>53826</v>
      </c>
      <c r="B22986" s="74" t="s">
        <v>12049</v>
      </c>
      <c r="C22986" s="74" t="s">
        <v>459</v>
      </c>
    </row>
    <row r="22987" spans="1:3">
      <c r="A22987" s="250">
        <v>53827</v>
      </c>
      <c r="B22987" s="74" t="s">
        <v>12050</v>
      </c>
      <c r="C22987" s="74" t="s">
        <v>459</v>
      </c>
    </row>
    <row r="22988" spans="1:3">
      <c r="A22988" s="250">
        <v>53901</v>
      </c>
      <c r="B22988" s="74" t="s">
        <v>1646</v>
      </c>
      <c r="C22988" s="74" t="s">
        <v>459</v>
      </c>
    </row>
    <row r="22989" spans="1:3">
      <c r="A22989" s="250">
        <v>53910</v>
      </c>
      <c r="B22989" s="74" t="s">
        <v>638</v>
      </c>
      <c r="C22989" s="74" t="s">
        <v>459</v>
      </c>
    </row>
    <row r="22990" spans="1:3">
      <c r="A22990" s="250">
        <v>53911</v>
      </c>
      <c r="B22990" s="74" t="s">
        <v>984</v>
      </c>
      <c r="C22990" s="74" t="s">
        <v>459</v>
      </c>
    </row>
    <row r="22991" spans="1:3">
      <c r="A22991" s="250">
        <v>53913</v>
      </c>
      <c r="B22991" s="74" t="s">
        <v>12051</v>
      </c>
      <c r="C22991" s="74" t="s">
        <v>459</v>
      </c>
    </row>
    <row r="22992" spans="1:3">
      <c r="A22992" s="250">
        <v>53916</v>
      </c>
      <c r="B22992" s="74" t="s">
        <v>9996</v>
      </c>
      <c r="C22992" s="74" t="s">
        <v>459</v>
      </c>
    </row>
    <row r="22993" spans="1:3">
      <c r="A22993" s="250">
        <v>53919</v>
      </c>
      <c r="B22993" s="74" t="s">
        <v>1864</v>
      </c>
      <c r="C22993" s="74" t="s">
        <v>459</v>
      </c>
    </row>
    <row r="22994" spans="1:3">
      <c r="A22994" s="250">
        <v>53920</v>
      </c>
      <c r="B22994" s="74" t="s">
        <v>12052</v>
      </c>
      <c r="C22994" s="74" t="s">
        <v>459</v>
      </c>
    </row>
    <row r="22995" spans="1:3">
      <c r="A22995" s="250">
        <v>53922</v>
      </c>
      <c r="B22995" s="74" t="s">
        <v>12053</v>
      </c>
      <c r="C22995" s="74" t="s">
        <v>459</v>
      </c>
    </row>
    <row r="22996" spans="1:3">
      <c r="A22996" s="250">
        <v>53923</v>
      </c>
      <c r="B22996" s="74" t="s">
        <v>12054</v>
      </c>
      <c r="C22996" s="74" t="s">
        <v>459</v>
      </c>
    </row>
    <row r="22997" spans="1:3">
      <c r="A22997" s="250">
        <v>53924</v>
      </c>
      <c r="B22997" s="74" t="s">
        <v>3344</v>
      </c>
      <c r="C22997" s="74" t="s">
        <v>459</v>
      </c>
    </row>
    <row r="22998" spans="1:3">
      <c r="A22998" s="250">
        <v>53925</v>
      </c>
      <c r="B22998" s="74" t="s">
        <v>2376</v>
      </c>
      <c r="C22998" s="74" t="s">
        <v>459</v>
      </c>
    </row>
    <row r="22999" spans="1:3">
      <c r="A22999" s="250">
        <v>53926</v>
      </c>
      <c r="B22999" s="74" t="s">
        <v>643</v>
      </c>
      <c r="C22999" s="74" t="s">
        <v>459</v>
      </c>
    </row>
    <row r="23000" spans="1:3">
      <c r="A23000" s="250">
        <v>53927</v>
      </c>
      <c r="B23000" s="74" t="s">
        <v>12055</v>
      </c>
      <c r="C23000" s="74" t="s">
        <v>459</v>
      </c>
    </row>
    <row r="23001" spans="1:3">
      <c r="A23001" s="250">
        <v>53928</v>
      </c>
      <c r="B23001" s="74" t="s">
        <v>5259</v>
      </c>
      <c r="C23001" s="74" t="s">
        <v>459</v>
      </c>
    </row>
    <row r="23002" spans="1:3">
      <c r="A23002" s="250">
        <v>53929</v>
      </c>
      <c r="B23002" s="74" t="s">
        <v>12056</v>
      </c>
      <c r="C23002" s="74" t="s">
        <v>459</v>
      </c>
    </row>
    <row r="23003" spans="1:3">
      <c r="A23003" s="250">
        <v>53930</v>
      </c>
      <c r="B23003" s="74" t="s">
        <v>4480</v>
      </c>
      <c r="C23003" s="74" t="s">
        <v>459</v>
      </c>
    </row>
    <row r="23004" spans="1:3">
      <c r="A23004" s="250">
        <v>53931</v>
      </c>
      <c r="B23004" s="74" t="s">
        <v>12057</v>
      </c>
      <c r="C23004" s="74" t="s">
        <v>459</v>
      </c>
    </row>
    <row r="23005" spans="1:3">
      <c r="A23005" s="250">
        <v>53932</v>
      </c>
      <c r="B23005" s="74" t="s">
        <v>1069</v>
      </c>
      <c r="C23005" s="74" t="s">
        <v>459</v>
      </c>
    </row>
    <row r="23006" spans="1:3">
      <c r="A23006" s="250">
        <v>53933</v>
      </c>
      <c r="B23006" s="74" t="s">
        <v>12058</v>
      </c>
      <c r="C23006" s="74" t="s">
        <v>459</v>
      </c>
    </row>
    <row r="23007" spans="1:3">
      <c r="A23007" s="250">
        <v>53934</v>
      </c>
      <c r="B23007" s="74" t="s">
        <v>1543</v>
      </c>
      <c r="C23007" s="74" t="s">
        <v>459</v>
      </c>
    </row>
    <row r="23008" spans="1:3">
      <c r="A23008" s="250">
        <v>53935</v>
      </c>
      <c r="B23008" s="74" t="s">
        <v>12059</v>
      </c>
      <c r="C23008" s="74" t="s">
        <v>459</v>
      </c>
    </row>
    <row r="23009" spans="1:3">
      <c r="A23009" s="250">
        <v>53936</v>
      </c>
      <c r="B23009" s="74" t="s">
        <v>12060</v>
      </c>
      <c r="C23009" s="74" t="s">
        <v>459</v>
      </c>
    </row>
    <row r="23010" spans="1:3">
      <c r="A23010" s="250">
        <v>53937</v>
      </c>
      <c r="B23010" s="74" t="s">
        <v>12061</v>
      </c>
      <c r="C23010" s="74" t="s">
        <v>459</v>
      </c>
    </row>
    <row r="23011" spans="1:3">
      <c r="A23011" s="250">
        <v>53939</v>
      </c>
      <c r="B23011" s="74" t="s">
        <v>957</v>
      </c>
      <c r="C23011" s="74" t="s">
        <v>459</v>
      </c>
    </row>
    <row r="23012" spans="1:3">
      <c r="A23012" s="250">
        <v>53940</v>
      </c>
      <c r="B23012" s="74" t="s">
        <v>12062</v>
      </c>
      <c r="C23012" s="74" t="s">
        <v>459</v>
      </c>
    </row>
    <row r="23013" spans="1:3">
      <c r="A23013" s="250">
        <v>53941</v>
      </c>
      <c r="B23013" s="74" t="s">
        <v>12063</v>
      </c>
      <c r="C23013" s="74" t="s">
        <v>459</v>
      </c>
    </row>
    <row r="23014" spans="1:3">
      <c r="A23014" s="250">
        <v>53942</v>
      </c>
      <c r="B23014" s="74" t="s">
        <v>12064</v>
      </c>
      <c r="C23014" s="74" t="s">
        <v>459</v>
      </c>
    </row>
    <row r="23015" spans="1:3">
      <c r="A23015" s="250">
        <v>53943</v>
      </c>
      <c r="B23015" s="74" t="s">
        <v>4826</v>
      </c>
      <c r="C23015" s="74" t="s">
        <v>459</v>
      </c>
    </row>
    <row r="23016" spans="1:3">
      <c r="A23016" s="250">
        <v>53944</v>
      </c>
      <c r="B23016" s="74" t="s">
        <v>12065</v>
      </c>
      <c r="C23016" s="74" t="s">
        <v>459</v>
      </c>
    </row>
    <row r="23017" spans="1:3">
      <c r="A23017" s="250">
        <v>53946</v>
      </c>
      <c r="B23017" s="74" t="s">
        <v>12066</v>
      </c>
      <c r="C23017" s="74" t="s">
        <v>459</v>
      </c>
    </row>
    <row r="23018" spans="1:3">
      <c r="A23018" s="250">
        <v>53947</v>
      </c>
      <c r="B23018" s="74" t="s">
        <v>11426</v>
      </c>
      <c r="C23018" s="74" t="s">
        <v>459</v>
      </c>
    </row>
    <row r="23019" spans="1:3">
      <c r="A23019" s="250">
        <v>53948</v>
      </c>
      <c r="B23019" s="74" t="s">
        <v>12067</v>
      </c>
      <c r="C23019" s="74" t="s">
        <v>459</v>
      </c>
    </row>
    <row r="23020" spans="1:3">
      <c r="A23020" s="250">
        <v>53949</v>
      </c>
      <c r="B23020" s="74" t="s">
        <v>12068</v>
      </c>
      <c r="C23020" s="74" t="s">
        <v>459</v>
      </c>
    </row>
    <row r="23021" spans="1:3">
      <c r="A23021" s="250">
        <v>53950</v>
      </c>
      <c r="B23021" s="74" t="s">
        <v>2410</v>
      </c>
      <c r="C23021" s="74" t="s">
        <v>459</v>
      </c>
    </row>
    <row r="23022" spans="1:3">
      <c r="A23022" s="250">
        <v>53951</v>
      </c>
      <c r="B23022" s="74" t="s">
        <v>12069</v>
      </c>
      <c r="C23022" s="74" t="s">
        <v>459</v>
      </c>
    </row>
    <row r="23023" spans="1:3">
      <c r="A23023" s="250">
        <v>53952</v>
      </c>
      <c r="B23023" s="74" t="s">
        <v>754</v>
      </c>
      <c r="C23023" s="74" t="s">
        <v>459</v>
      </c>
    </row>
    <row r="23024" spans="1:3">
      <c r="A23024" s="250">
        <v>53953</v>
      </c>
      <c r="B23024" s="74" t="s">
        <v>12070</v>
      </c>
      <c r="C23024" s="74" t="s">
        <v>459</v>
      </c>
    </row>
    <row r="23025" spans="1:3">
      <c r="A23025" s="250">
        <v>53954</v>
      </c>
      <c r="B23025" s="74" t="s">
        <v>12071</v>
      </c>
      <c r="C23025" s="74" t="s">
        <v>459</v>
      </c>
    </row>
    <row r="23026" spans="1:3">
      <c r="A23026" s="250">
        <v>53955</v>
      </c>
      <c r="B23026" s="74" t="s">
        <v>12072</v>
      </c>
      <c r="C23026" s="74" t="s">
        <v>459</v>
      </c>
    </row>
    <row r="23027" spans="1:3">
      <c r="A23027" s="250">
        <v>53956</v>
      </c>
      <c r="B23027" s="74" t="s">
        <v>960</v>
      </c>
      <c r="C23027" s="74" t="s">
        <v>459</v>
      </c>
    </row>
    <row r="23028" spans="1:3">
      <c r="A23028" s="250">
        <v>53957</v>
      </c>
      <c r="B23028" s="74" t="s">
        <v>960</v>
      </c>
      <c r="C23028" s="74" t="s">
        <v>459</v>
      </c>
    </row>
    <row r="23029" spans="1:3">
      <c r="A23029" s="250">
        <v>53958</v>
      </c>
      <c r="B23029" s="74" t="s">
        <v>12073</v>
      </c>
      <c r="C23029" s="74" t="s">
        <v>459</v>
      </c>
    </row>
    <row r="23030" spans="1:3">
      <c r="A23030" s="250">
        <v>53959</v>
      </c>
      <c r="B23030" s="74" t="s">
        <v>12073</v>
      </c>
      <c r="C23030" s="74" t="s">
        <v>459</v>
      </c>
    </row>
    <row r="23031" spans="1:3">
      <c r="A23031" s="250">
        <v>53960</v>
      </c>
      <c r="B23031" s="74" t="s">
        <v>7030</v>
      </c>
      <c r="C23031" s="74" t="s">
        <v>459</v>
      </c>
    </row>
    <row r="23032" spans="1:3">
      <c r="A23032" s="250">
        <v>53961</v>
      </c>
      <c r="B23032" s="74" t="s">
        <v>12074</v>
      </c>
      <c r="C23032" s="74" t="s">
        <v>459</v>
      </c>
    </row>
    <row r="23033" spans="1:3">
      <c r="A23033" s="250">
        <v>53962</v>
      </c>
      <c r="B23033" s="74" t="s">
        <v>12075</v>
      </c>
      <c r="C23033" s="74" t="s">
        <v>459</v>
      </c>
    </row>
    <row r="23034" spans="1:3">
      <c r="A23034" s="250">
        <v>53963</v>
      </c>
      <c r="B23034" s="74" t="s">
        <v>12076</v>
      </c>
      <c r="C23034" s="74" t="s">
        <v>459</v>
      </c>
    </row>
    <row r="23035" spans="1:3">
      <c r="A23035" s="250">
        <v>53964</v>
      </c>
      <c r="B23035" s="74" t="s">
        <v>624</v>
      </c>
      <c r="C23035" s="74" t="s">
        <v>459</v>
      </c>
    </row>
    <row r="23036" spans="1:3">
      <c r="A23036" s="250">
        <v>53965</v>
      </c>
      <c r="B23036" s="74" t="s">
        <v>12077</v>
      </c>
      <c r="C23036" s="74" t="s">
        <v>459</v>
      </c>
    </row>
    <row r="23037" spans="1:3">
      <c r="A23037" s="250">
        <v>53968</v>
      </c>
      <c r="B23037" s="74" t="s">
        <v>12078</v>
      </c>
      <c r="C23037" s="74" t="s">
        <v>459</v>
      </c>
    </row>
    <row r="23038" spans="1:3">
      <c r="A23038" s="250">
        <v>53969</v>
      </c>
      <c r="B23038" s="74" t="s">
        <v>12079</v>
      </c>
      <c r="C23038" s="74" t="s">
        <v>459</v>
      </c>
    </row>
    <row r="23039" spans="1:3">
      <c r="A23039" s="250">
        <v>54001</v>
      </c>
      <c r="B23039" s="74" t="s">
        <v>12080</v>
      </c>
      <c r="C23039" s="74" t="s">
        <v>459</v>
      </c>
    </row>
    <row r="23040" spans="1:3">
      <c r="A23040" s="250">
        <v>54002</v>
      </c>
      <c r="B23040" s="74" t="s">
        <v>2765</v>
      </c>
      <c r="C23040" s="74" t="s">
        <v>459</v>
      </c>
    </row>
    <row r="23041" spans="1:3">
      <c r="A23041" s="250">
        <v>54003</v>
      </c>
      <c r="B23041" s="74" t="s">
        <v>12081</v>
      </c>
      <c r="C23041" s="74" t="s">
        <v>459</v>
      </c>
    </row>
    <row r="23042" spans="1:3">
      <c r="A23042" s="250">
        <v>54004</v>
      </c>
      <c r="B23042" s="74" t="s">
        <v>2476</v>
      </c>
      <c r="C23042" s="74" t="s">
        <v>459</v>
      </c>
    </row>
    <row r="23043" spans="1:3">
      <c r="A23043" s="250">
        <v>54005</v>
      </c>
      <c r="B23043" s="74" t="s">
        <v>11571</v>
      </c>
      <c r="C23043" s="74" t="s">
        <v>459</v>
      </c>
    </row>
    <row r="23044" spans="1:3">
      <c r="A23044" s="250">
        <v>54006</v>
      </c>
      <c r="B23044" s="74" t="s">
        <v>1552</v>
      </c>
      <c r="C23044" s="74" t="s">
        <v>459</v>
      </c>
    </row>
    <row r="23045" spans="1:3">
      <c r="A23045" s="250">
        <v>54007</v>
      </c>
      <c r="B23045" s="74" t="s">
        <v>2821</v>
      </c>
      <c r="C23045" s="74" t="s">
        <v>459</v>
      </c>
    </row>
    <row r="23046" spans="1:3">
      <c r="A23046" s="250">
        <v>54009</v>
      </c>
      <c r="B23046" s="74" t="s">
        <v>12082</v>
      </c>
      <c r="C23046" s="74" t="s">
        <v>459</v>
      </c>
    </row>
    <row r="23047" spans="1:3">
      <c r="A23047" s="250">
        <v>54010</v>
      </c>
      <c r="B23047" s="74" t="s">
        <v>12083</v>
      </c>
      <c r="C23047" s="74" t="s">
        <v>459</v>
      </c>
    </row>
    <row r="23048" spans="1:3">
      <c r="A23048" s="250">
        <v>54011</v>
      </c>
      <c r="B23048" s="74" t="s">
        <v>1563</v>
      </c>
      <c r="C23048" s="74" t="s">
        <v>459</v>
      </c>
    </row>
    <row r="23049" spans="1:3">
      <c r="A23049" s="250">
        <v>54013</v>
      </c>
      <c r="B23049" s="74" t="s">
        <v>12084</v>
      </c>
      <c r="C23049" s="74" t="s">
        <v>459</v>
      </c>
    </row>
    <row r="23050" spans="1:3">
      <c r="A23050" s="250">
        <v>54014</v>
      </c>
      <c r="B23050" s="74" t="s">
        <v>12085</v>
      </c>
      <c r="C23050" s="74" t="s">
        <v>459</v>
      </c>
    </row>
    <row r="23051" spans="1:3">
      <c r="A23051" s="250">
        <v>54015</v>
      </c>
      <c r="B23051" s="74" t="s">
        <v>3553</v>
      </c>
      <c r="C23051" s="74" t="s">
        <v>459</v>
      </c>
    </row>
    <row r="23052" spans="1:3">
      <c r="A23052" s="250">
        <v>54016</v>
      </c>
      <c r="B23052" s="74" t="s">
        <v>792</v>
      </c>
      <c r="C23052" s="74" t="s">
        <v>459</v>
      </c>
    </row>
    <row r="23053" spans="1:3">
      <c r="A23053" s="250">
        <v>54017</v>
      </c>
      <c r="B23053" s="74" t="s">
        <v>6525</v>
      </c>
      <c r="C23053" s="74" t="s">
        <v>459</v>
      </c>
    </row>
    <row r="23054" spans="1:3">
      <c r="A23054" s="250">
        <v>54020</v>
      </c>
      <c r="B23054" s="74" t="s">
        <v>4682</v>
      </c>
      <c r="C23054" s="74" t="s">
        <v>459</v>
      </c>
    </row>
    <row r="23055" spans="1:3">
      <c r="A23055" s="250">
        <v>54021</v>
      </c>
      <c r="B23055" s="74" t="s">
        <v>11136</v>
      </c>
      <c r="C23055" s="74" t="s">
        <v>459</v>
      </c>
    </row>
    <row r="23056" spans="1:3">
      <c r="A23056" s="250">
        <v>54022</v>
      </c>
      <c r="B23056" s="74" t="s">
        <v>8881</v>
      </c>
      <c r="C23056" s="74" t="s">
        <v>459</v>
      </c>
    </row>
    <row r="23057" spans="1:3">
      <c r="A23057" s="250">
        <v>54023</v>
      </c>
      <c r="B23057" s="74" t="s">
        <v>12086</v>
      </c>
      <c r="C23057" s="74" t="s">
        <v>459</v>
      </c>
    </row>
    <row r="23058" spans="1:3">
      <c r="A23058" s="250">
        <v>54024</v>
      </c>
      <c r="B23058" s="74" t="s">
        <v>12087</v>
      </c>
      <c r="C23058" s="74" t="s">
        <v>459</v>
      </c>
    </row>
    <row r="23059" spans="1:3">
      <c r="A23059" s="250">
        <v>54025</v>
      </c>
      <c r="B23059" s="74" t="s">
        <v>1070</v>
      </c>
      <c r="C23059" s="74" t="s">
        <v>459</v>
      </c>
    </row>
    <row r="23060" spans="1:3">
      <c r="A23060" s="250">
        <v>54026</v>
      </c>
      <c r="B23060" s="74" t="s">
        <v>12088</v>
      </c>
      <c r="C23060" s="74" t="s">
        <v>459</v>
      </c>
    </row>
    <row r="23061" spans="1:3">
      <c r="A23061" s="250">
        <v>54027</v>
      </c>
      <c r="B23061" s="74" t="s">
        <v>3748</v>
      </c>
      <c r="C23061" s="74" t="s">
        <v>459</v>
      </c>
    </row>
    <row r="23062" spans="1:3">
      <c r="A23062" s="250">
        <v>54028</v>
      </c>
      <c r="B23062" s="74" t="s">
        <v>804</v>
      </c>
      <c r="C23062" s="74" t="s">
        <v>459</v>
      </c>
    </row>
    <row r="23063" spans="1:3">
      <c r="A23063" s="250">
        <v>54082</v>
      </c>
      <c r="B23063" s="74" t="s">
        <v>1621</v>
      </c>
      <c r="C23063" s="74" t="s">
        <v>459</v>
      </c>
    </row>
    <row r="23064" spans="1:3">
      <c r="A23064" s="250">
        <v>54101</v>
      </c>
      <c r="B23064" s="74" t="s">
        <v>12089</v>
      </c>
      <c r="C23064" s="74" t="s">
        <v>459</v>
      </c>
    </row>
    <row r="23065" spans="1:3">
      <c r="A23065" s="250">
        <v>54102</v>
      </c>
      <c r="B23065" s="74" t="s">
        <v>12090</v>
      </c>
      <c r="C23065" s="74" t="s">
        <v>459</v>
      </c>
    </row>
    <row r="23066" spans="1:3">
      <c r="A23066" s="250">
        <v>54103</v>
      </c>
      <c r="B23066" s="74" t="s">
        <v>12091</v>
      </c>
      <c r="C23066" s="74" t="s">
        <v>459</v>
      </c>
    </row>
    <row r="23067" spans="1:3">
      <c r="A23067" s="250">
        <v>54104</v>
      </c>
      <c r="B23067" s="74" t="s">
        <v>12092</v>
      </c>
      <c r="C23067" s="74" t="s">
        <v>459</v>
      </c>
    </row>
    <row r="23068" spans="1:3">
      <c r="A23068" s="250">
        <v>54106</v>
      </c>
      <c r="B23068" s="74" t="s">
        <v>3845</v>
      </c>
      <c r="C23068" s="74" t="s">
        <v>459</v>
      </c>
    </row>
    <row r="23069" spans="1:3">
      <c r="A23069" s="250">
        <v>54107</v>
      </c>
      <c r="B23069" s="74" t="s">
        <v>12093</v>
      </c>
      <c r="C23069" s="74" t="s">
        <v>459</v>
      </c>
    </row>
    <row r="23070" spans="1:3">
      <c r="A23070" s="250">
        <v>54110</v>
      </c>
      <c r="B23070" s="74" t="s">
        <v>12094</v>
      </c>
      <c r="C23070" s="74" t="s">
        <v>459</v>
      </c>
    </row>
    <row r="23071" spans="1:3">
      <c r="A23071" s="250">
        <v>54111</v>
      </c>
      <c r="B23071" s="74" t="s">
        <v>4049</v>
      </c>
      <c r="C23071" s="74" t="s">
        <v>459</v>
      </c>
    </row>
    <row r="23072" spans="1:3">
      <c r="A23072" s="250">
        <v>54112</v>
      </c>
      <c r="B23072" s="74" t="s">
        <v>8461</v>
      </c>
      <c r="C23072" s="74" t="s">
        <v>459</v>
      </c>
    </row>
    <row r="23073" spans="1:3">
      <c r="A23073" s="250">
        <v>54113</v>
      </c>
      <c r="B23073" s="74" t="s">
        <v>12095</v>
      </c>
      <c r="C23073" s="74" t="s">
        <v>459</v>
      </c>
    </row>
    <row r="23074" spans="1:3">
      <c r="A23074" s="250">
        <v>54114</v>
      </c>
      <c r="B23074" s="74" t="s">
        <v>12096</v>
      </c>
      <c r="C23074" s="74" t="s">
        <v>459</v>
      </c>
    </row>
    <row r="23075" spans="1:3">
      <c r="A23075" s="250">
        <v>54115</v>
      </c>
      <c r="B23075" s="74" t="s">
        <v>12097</v>
      </c>
      <c r="C23075" s="74" t="s">
        <v>459</v>
      </c>
    </row>
    <row r="23076" spans="1:3">
      <c r="A23076" s="250">
        <v>54119</v>
      </c>
      <c r="B23076" s="74" t="s">
        <v>4104</v>
      </c>
      <c r="C23076" s="74" t="s">
        <v>459</v>
      </c>
    </row>
    <row r="23077" spans="1:3">
      <c r="A23077" s="250">
        <v>54120</v>
      </c>
      <c r="B23077" s="74" t="s">
        <v>12098</v>
      </c>
      <c r="C23077" s="74" t="s">
        <v>459</v>
      </c>
    </row>
    <row r="23078" spans="1:3">
      <c r="A23078" s="250">
        <v>54121</v>
      </c>
      <c r="B23078" s="74" t="s">
        <v>608</v>
      </c>
      <c r="C23078" s="74" t="s">
        <v>459</v>
      </c>
    </row>
    <row r="23079" spans="1:3">
      <c r="A23079" s="250">
        <v>54123</v>
      </c>
      <c r="B23079" s="74" t="s">
        <v>12099</v>
      </c>
      <c r="C23079" s="74" t="s">
        <v>459</v>
      </c>
    </row>
    <row r="23080" spans="1:3">
      <c r="A23080" s="250">
        <v>54124</v>
      </c>
      <c r="B23080" s="74" t="s">
        <v>4674</v>
      </c>
      <c r="C23080" s="74" t="s">
        <v>459</v>
      </c>
    </row>
    <row r="23081" spans="1:3">
      <c r="A23081" s="250">
        <v>54125</v>
      </c>
      <c r="B23081" s="74" t="s">
        <v>9416</v>
      </c>
      <c r="C23081" s="74" t="s">
        <v>459</v>
      </c>
    </row>
    <row r="23082" spans="1:3">
      <c r="A23082" s="250">
        <v>54126</v>
      </c>
      <c r="B23082" s="74" t="s">
        <v>12100</v>
      </c>
      <c r="C23082" s="74" t="s">
        <v>459</v>
      </c>
    </row>
    <row r="23083" spans="1:3">
      <c r="A23083" s="250">
        <v>54127</v>
      </c>
      <c r="B23083" s="74" t="s">
        <v>12101</v>
      </c>
      <c r="C23083" s="74" t="s">
        <v>459</v>
      </c>
    </row>
    <row r="23084" spans="1:3">
      <c r="A23084" s="250">
        <v>54128</v>
      </c>
      <c r="B23084" s="74" t="s">
        <v>7737</v>
      </c>
      <c r="C23084" s="74" t="s">
        <v>459</v>
      </c>
    </row>
    <row r="23085" spans="1:3">
      <c r="A23085" s="250">
        <v>54129</v>
      </c>
      <c r="B23085" s="74" t="s">
        <v>12102</v>
      </c>
      <c r="C23085" s="74" t="s">
        <v>459</v>
      </c>
    </row>
    <row r="23086" spans="1:3">
      <c r="A23086" s="250">
        <v>54130</v>
      </c>
      <c r="B23086" s="74" t="s">
        <v>12103</v>
      </c>
      <c r="C23086" s="74" t="s">
        <v>459</v>
      </c>
    </row>
    <row r="23087" spans="1:3">
      <c r="A23087" s="250">
        <v>54131</v>
      </c>
      <c r="B23087" s="74" t="s">
        <v>1310</v>
      </c>
      <c r="C23087" s="74" t="s">
        <v>459</v>
      </c>
    </row>
    <row r="23088" spans="1:3">
      <c r="A23088" s="250">
        <v>54135</v>
      </c>
      <c r="B23088" s="74" t="s">
        <v>12104</v>
      </c>
      <c r="C23088" s="74" t="s">
        <v>459</v>
      </c>
    </row>
    <row r="23089" spans="1:3">
      <c r="A23089" s="250">
        <v>54136</v>
      </c>
      <c r="B23089" s="74" t="s">
        <v>6621</v>
      </c>
      <c r="C23089" s="74" t="s">
        <v>459</v>
      </c>
    </row>
    <row r="23090" spans="1:3">
      <c r="A23090" s="250">
        <v>54137</v>
      </c>
      <c r="B23090" s="74" t="s">
        <v>12105</v>
      </c>
      <c r="C23090" s="74" t="s">
        <v>459</v>
      </c>
    </row>
    <row r="23091" spans="1:3">
      <c r="A23091" s="250">
        <v>54138</v>
      </c>
      <c r="B23091" s="74" t="s">
        <v>2535</v>
      </c>
      <c r="C23091" s="74" t="s">
        <v>459</v>
      </c>
    </row>
    <row r="23092" spans="1:3">
      <c r="A23092" s="250">
        <v>54139</v>
      </c>
      <c r="B23092" s="74" t="s">
        <v>9422</v>
      </c>
      <c r="C23092" s="74" t="s">
        <v>459</v>
      </c>
    </row>
    <row r="23093" spans="1:3">
      <c r="A23093" s="250">
        <v>54140</v>
      </c>
      <c r="B23093" s="74" t="s">
        <v>12106</v>
      </c>
      <c r="C23093" s="74" t="s">
        <v>459</v>
      </c>
    </row>
    <row r="23094" spans="1:3">
      <c r="A23094" s="250">
        <v>54141</v>
      </c>
      <c r="B23094" s="74" t="s">
        <v>12107</v>
      </c>
      <c r="C23094" s="74" t="s">
        <v>459</v>
      </c>
    </row>
    <row r="23095" spans="1:3">
      <c r="A23095" s="250">
        <v>54143</v>
      </c>
      <c r="B23095" s="74" t="s">
        <v>12108</v>
      </c>
      <c r="C23095" s="74" t="s">
        <v>459</v>
      </c>
    </row>
    <row r="23096" spans="1:3">
      <c r="A23096" s="250">
        <v>54149</v>
      </c>
      <c r="B23096" s="74" t="s">
        <v>12109</v>
      </c>
      <c r="C23096" s="74" t="s">
        <v>459</v>
      </c>
    </row>
    <row r="23097" spans="1:3">
      <c r="A23097" s="250">
        <v>54150</v>
      </c>
      <c r="B23097" s="74" t="s">
        <v>12110</v>
      </c>
      <c r="C23097" s="74" t="s">
        <v>459</v>
      </c>
    </row>
    <row r="23098" spans="1:3">
      <c r="A23098" s="250">
        <v>54151</v>
      </c>
      <c r="B23098" s="74" t="s">
        <v>12111</v>
      </c>
      <c r="C23098" s="74" t="s">
        <v>459</v>
      </c>
    </row>
    <row r="23099" spans="1:3">
      <c r="A23099" s="250">
        <v>54152</v>
      </c>
      <c r="B23099" s="74" t="s">
        <v>3636</v>
      </c>
      <c r="C23099" s="74" t="s">
        <v>459</v>
      </c>
    </row>
    <row r="23100" spans="1:3">
      <c r="A23100" s="250">
        <v>54153</v>
      </c>
      <c r="B23100" s="74" t="s">
        <v>12112</v>
      </c>
      <c r="C23100" s="74" t="s">
        <v>459</v>
      </c>
    </row>
    <row r="23101" spans="1:3">
      <c r="A23101" s="250">
        <v>54154</v>
      </c>
      <c r="B23101" s="74" t="s">
        <v>12113</v>
      </c>
      <c r="C23101" s="74" t="s">
        <v>459</v>
      </c>
    </row>
    <row r="23102" spans="1:3">
      <c r="A23102" s="250">
        <v>54155</v>
      </c>
      <c r="B23102" s="74" t="s">
        <v>3483</v>
      </c>
      <c r="C23102" s="74" t="s">
        <v>459</v>
      </c>
    </row>
    <row r="23103" spans="1:3">
      <c r="A23103" s="250">
        <v>54156</v>
      </c>
      <c r="B23103" s="74" t="s">
        <v>12114</v>
      </c>
      <c r="C23103" s="74" t="s">
        <v>459</v>
      </c>
    </row>
    <row r="23104" spans="1:3">
      <c r="A23104" s="250">
        <v>54157</v>
      </c>
      <c r="B23104" s="74" t="s">
        <v>12115</v>
      </c>
      <c r="C23104" s="74" t="s">
        <v>459</v>
      </c>
    </row>
    <row r="23105" spans="1:3">
      <c r="A23105" s="250">
        <v>54159</v>
      </c>
      <c r="B23105" s="74" t="s">
        <v>12116</v>
      </c>
      <c r="C23105" s="74" t="s">
        <v>459</v>
      </c>
    </row>
    <row r="23106" spans="1:3">
      <c r="A23106" s="250">
        <v>54160</v>
      </c>
      <c r="B23106" s="74" t="s">
        <v>12117</v>
      </c>
      <c r="C23106" s="74" t="s">
        <v>459</v>
      </c>
    </row>
    <row r="23107" spans="1:3">
      <c r="A23107" s="250">
        <v>54161</v>
      </c>
      <c r="B23107" s="74" t="s">
        <v>6338</v>
      </c>
      <c r="C23107" s="74" t="s">
        <v>459</v>
      </c>
    </row>
    <row r="23108" spans="1:3">
      <c r="A23108" s="250">
        <v>54162</v>
      </c>
      <c r="B23108" s="74" t="s">
        <v>3408</v>
      </c>
      <c r="C23108" s="74" t="s">
        <v>459</v>
      </c>
    </row>
    <row r="23109" spans="1:3">
      <c r="A23109" s="250">
        <v>54165</v>
      </c>
      <c r="B23109" s="74" t="s">
        <v>2066</v>
      </c>
      <c r="C23109" s="74" t="s">
        <v>459</v>
      </c>
    </row>
    <row r="23110" spans="1:3">
      <c r="A23110" s="250">
        <v>54166</v>
      </c>
      <c r="B23110" s="74" t="s">
        <v>12118</v>
      </c>
      <c r="C23110" s="74" t="s">
        <v>459</v>
      </c>
    </row>
    <row r="23111" spans="1:3">
      <c r="A23111" s="250">
        <v>54169</v>
      </c>
      <c r="B23111" s="74" t="s">
        <v>5774</v>
      </c>
      <c r="C23111" s="74" t="s">
        <v>459</v>
      </c>
    </row>
    <row r="23112" spans="1:3">
      <c r="A23112" s="250">
        <v>54170</v>
      </c>
      <c r="B23112" s="74" t="s">
        <v>12119</v>
      </c>
      <c r="C23112" s="74" t="s">
        <v>459</v>
      </c>
    </row>
    <row r="23113" spans="1:3">
      <c r="A23113" s="250">
        <v>54171</v>
      </c>
      <c r="B23113" s="74" t="s">
        <v>12120</v>
      </c>
      <c r="C23113" s="74" t="s">
        <v>459</v>
      </c>
    </row>
    <row r="23114" spans="1:3">
      <c r="A23114" s="250">
        <v>54173</v>
      </c>
      <c r="B23114" s="74" t="s">
        <v>12121</v>
      </c>
      <c r="C23114" s="74" t="s">
        <v>459</v>
      </c>
    </row>
    <row r="23115" spans="1:3">
      <c r="A23115" s="250">
        <v>54174</v>
      </c>
      <c r="B23115" s="74" t="s">
        <v>12122</v>
      </c>
      <c r="C23115" s="74" t="s">
        <v>459</v>
      </c>
    </row>
    <row r="23116" spans="1:3">
      <c r="A23116" s="250">
        <v>54175</v>
      </c>
      <c r="B23116" s="74" t="s">
        <v>719</v>
      </c>
      <c r="C23116" s="74" t="s">
        <v>459</v>
      </c>
    </row>
    <row r="23117" spans="1:3">
      <c r="A23117" s="250">
        <v>54177</v>
      </c>
      <c r="B23117" s="74" t="s">
        <v>12123</v>
      </c>
      <c r="C23117" s="74" t="s">
        <v>459</v>
      </c>
    </row>
    <row r="23118" spans="1:3">
      <c r="A23118" s="250">
        <v>54180</v>
      </c>
      <c r="B23118" s="74" t="s">
        <v>2531</v>
      </c>
      <c r="C23118" s="74" t="s">
        <v>459</v>
      </c>
    </row>
    <row r="23119" spans="1:3">
      <c r="A23119" s="250">
        <v>54182</v>
      </c>
      <c r="B23119" s="74" t="s">
        <v>12124</v>
      </c>
      <c r="C23119" s="74" t="s">
        <v>459</v>
      </c>
    </row>
    <row r="23120" spans="1:3">
      <c r="A23120" s="250">
        <v>54201</v>
      </c>
      <c r="B23120" s="74" t="s">
        <v>9352</v>
      </c>
      <c r="C23120" s="74" t="s">
        <v>459</v>
      </c>
    </row>
    <row r="23121" spans="1:3">
      <c r="A23121" s="250">
        <v>54202</v>
      </c>
      <c r="B23121" s="74" t="s">
        <v>12125</v>
      </c>
      <c r="C23121" s="74" t="s">
        <v>459</v>
      </c>
    </row>
    <row r="23122" spans="1:3">
      <c r="A23122" s="250">
        <v>54204</v>
      </c>
      <c r="B23122" s="74" t="s">
        <v>12126</v>
      </c>
      <c r="C23122" s="74" t="s">
        <v>459</v>
      </c>
    </row>
    <row r="23123" spans="1:3">
      <c r="A23123" s="250">
        <v>54205</v>
      </c>
      <c r="B23123" s="74" t="s">
        <v>1373</v>
      </c>
      <c r="C23123" s="74" t="s">
        <v>459</v>
      </c>
    </row>
    <row r="23124" spans="1:3">
      <c r="A23124" s="250">
        <v>54207</v>
      </c>
      <c r="B23124" s="74" t="s">
        <v>3686</v>
      </c>
      <c r="C23124" s="74" t="s">
        <v>459</v>
      </c>
    </row>
    <row r="23125" spans="1:3">
      <c r="A23125" s="250">
        <v>54208</v>
      </c>
      <c r="B23125" s="74" t="s">
        <v>1378</v>
      </c>
      <c r="C23125" s="74" t="s">
        <v>459</v>
      </c>
    </row>
    <row r="23126" spans="1:3">
      <c r="A23126" s="250">
        <v>54209</v>
      </c>
      <c r="B23126" s="74" t="s">
        <v>12127</v>
      </c>
      <c r="C23126" s="74" t="s">
        <v>459</v>
      </c>
    </row>
    <row r="23127" spans="1:3">
      <c r="A23127" s="250">
        <v>54210</v>
      </c>
      <c r="B23127" s="74" t="s">
        <v>12128</v>
      </c>
      <c r="C23127" s="74" t="s">
        <v>459</v>
      </c>
    </row>
    <row r="23128" spans="1:3">
      <c r="A23128" s="250">
        <v>54211</v>
      </c>
      <c r="B23128" s="74" t="s">
        <v>12129</v>
      </c>
      <c r="C23128" s="74" t="s">
        <v>459</v>
      </c>
    </row>
    <row r="23129" spans="1:3">
      <c r="A23129" s="250">
        <v>54212</v>
      </c>
      <c r="B23129" s="74" t="s">
        <v>12130</v>
      </c>
      <c r="C23129" s="74" t="s">
        <v>459</v>
      </c>
    </row>
    <row r="23130" spans="1:3">
      <c r="A23130" s="250">
        <v>54213</v>
      </c>
      <c r="B23130" s="74" t="s">
        <v>3705</v>
      </c>
      <c r="C23130" s="74" t="s">
        <v>459</v>
      </c>
    </row>
    <row r="23131" spans="1:3">
      <c r="A23131" s="250">
        <v>54214</v>
      </c>
      <c r="B23131" s="74" t="s">
        <v>12131</v>
      </c>
      <c r="C23131" s="74" t="s">
        <v>459</v>
      </c>
    </row>
    <row r="23132" spans="1:3">
      <c r="A23132" s="250">
        <v>54215</v>
      </c>
      <c r="B23132" s="74" t="s">
        <v>12132</v>
      </c>
      <c r="C23132" s="74" t="s">
        <v>459</v>
      </c>
    </row>
    <row r="23133" spans="1:3">
      <c r="A23133" s="250">
        <v>54216</v>
      </c>
      <c r="B23133" s="74" t="s">
        <v>12133</v>
      </c>
      <c r="C23133" s="74" t="s">
        <v>459</v>
      </c>
    </row>
    <row r="23134" spans="1:3">
      <c r="A23134" s="250">
        <v>54217</v>
      </c>
      <c r="B23134" s="74" t="s">
        <v>11805</v>
      </c>
      <c r="C23134" s="74" t="s">
        <v>459</v>
      </c>
    </row>
    <row r="23135" spans="1:3">
      <c r="A23135" s="250">
        <v>54220</v>
      </c>
      <c r="B23135" s="74" t="s">
        <v>12134</v>
      </c>
      <c r="C23135" s="74" t="s">
        <v>459</v>
      </c>
    </row>
    <row r="23136" spans="1:3">
      <c r="A23136" s="250">
        <v>54221</v>
      </c>
      <c r="B23136" s="74" t="s">
        <v>12134</v>
      </c>
      <c r="C23136" s="74" t="s">
        <v>459</v>
      </c>
    </row>
    <row r="23137" spans="1:3">
      <c r="A23137" s="250">
        <v>54226</v>
      </c>
      <c r="B23137" s="74" t="s">
        <v>2136</v>
      </c>
      <c r="C23137" s="74" t="s">
        <v>459</v>
      </c>
    </row>
    <row r="23138" spans="1:3">
      <c r="A23138" s="250">
        <v>54227</v>
      </c>
      <c r="B23138" s="74" t="s">
        <v>12135</v>
      </c>
      <c r="C23138" s="74" t="s">
        <v>459</v>
      </c>
    </row>
    <row r="23139" spans="1:3">
      <c r="A23139" s="250">
        <v>54228</v>
      </c>
      <c r="B23139" s="74" t="s">
        <v>12136</v>
      </c>
      <c r="C23139" s="74" t="s">
        <v>459</v>
      </c>
    </row>
    <row r="23140" spans="1:3">
      <c r="A23140" s="250">
        <v>54229</v>
      </c>
      <c r="B23140" s="74" t="s">
        <v>12137</v>
      </c>
      <c r="C23140" s="74" t="s">
        <v>459</v>
      </c>
    </row>
    <row r="23141" spans="1:3">
      <c r="A23141" s="250">
        <v>54230</v>
      </c>
      <c r="B23141" s="74" t="s">
        <v>4748</v>
      </c>
      <c r="C23141" s="74" t="s">
        <v>459</v>
      </c>
    </row>
    <row r="23142" spans="1:3">
      <c r="A23142" s="250">
        <v>54232</v>
      </c>
      <c r="B23142" s="74" t="s">
        <v>12138</v>
      </c>
      <c r="C23142" s="74" t="s">
        <v>459</v>
      </c>
    </row>
    <row r="23143" spans="1:3">
      <c r="A23143" s="250">
        <v>54234</v>
      </c>
      <c r="B23143" s="74" t="s">
        <v>12139</v>
      </c>
      <c r="C23143" s="74" t="s">
        <v>459</v>
      </c>
    </row>
    <row r="23144" spans="1:3">
      <c r="A23144" s="250">
        <v>54235</v>
      </c>
      <c r="B23144" s="74" t="s">
        <v>12140</v>
      </c>
      <c r="C23144" s="74" t="s">
        <v>459</v>
      </c>
    </row>
    <row r="23145" spans="1:3">
      <c r="A23145" s="250">
        <v>54240</v>
      </c>
      <c r="B23145" s="74" t="s">
        <v>12141</v>
      </c>
      <c r="C23145" s="74" t="s">
        <v>459</v>
      </c>
    </row>
    <row r="23146" spans="1:3">
      <c r="A23146" s="250">
        <v>54241</v>
      </c>
      <c r="B23146" s="74" t="s">
        <v>12142</v>
      </c>
      <c r="C23146" s="74" t="s">
        <v>459</v>
      </c>
    </row>
    <row r="23147" spans="1:3">
      <c r="A23147" s="250">
        <v>54245</v>
      </c>
      <c r="B23147" s="74" t="s">
        <v>12143</v>
      </c>
      <c r="C23147" s="74" t="s">
        <v>459</v>
      </c>
    </row>
    <row r="23148" spans="1:3">
      <c r="A23148" s="250">
        <v>54246</v>
      </c>
      <c r="B23148" s="74" t="s">
        <v>12144</v>
      </c>
      <c r="C23148" s="74" t="s">
        <v>459</v>
      </c>
    </row>
    <row r="23149" spans="1:3">
      <c r="A23149" s="250">
        <v>54247</v>
      </c>
      <c r="B23149" s="74" t="s">
        <v>12145</v>
      </c>
      <c r="C23149" s="74" t="s">
        <v>459</v>
      </c>
    </row>
    <row r="23150" spans="1:3">
      <c r="A23150" s="250">
        <v>54301</v>
      </c>
      <c r="B23150" s="74" t="s">
        <v>6235</v>
      </c>
      <c r="C23150" s="74" t="s">
        <v>459</v>
      </c>
    </row>
    <row r="23151" spans="1:3">
      <c r="A23151" s="250">
        <v>54302</v>
      </c>
      <c r="B23151" s="74" t="s">
        <v>6235</v>
      </c>
      <c r="C23151" s="74" t="s">
        <v>459</v>
      </c>
    </row>
    <row r="23152" spans="1:3">
      <c r="A23152" s="250">
        <v>54303</v>
      </c>
      <c r="B23152" s="74" t="s">
        <v>6235</v>
      </c>
      <c r="C23152" s="74" t="s">
        <v>459</v>
      </c>
    </row>
    <row r="23153" spans="1:3">
      <c r="A23153" s="250">
        <v>54304</v>
      </c>
      <c r="B23153" s="74" t="s">
        <v>6235</v>
      </c>
      <c r="C23153" s="74" t="s">
        <v>459</v>
      </c>
    </row>
    <row r="23154" spans="1:3">
      <c r="A23154" s="250">
        <v>54305</v>
      </c>
      <c r="B23154" s="74" t="s">
        <v>6235</v>
      </c>
      <c r="C23154" s="74" t="s">
        <v>459</v>
      </c>
    </row>
    <row r="23155" spans="1:3">
      <c r="A23155" s="250">
        <v>54306</v>
      </c>
      <c r="B23155" s="74" t="s">
        <v>6235</v>
      </c>
      <c r="C23155" s="74" t="s">
        <v>459</v>
      </c>
    </row>
    <row r="23156" spans="1:3">
      <c r="A23156" s="250">
        <v>54307</v>
      </c>
      <c r="B23156" s="74" t="s">
        <v>6235</v>
      </c>
      <c r="C23156" s="74" t="s">
        <v>459</v>
      </c>
    </row>
    <row r="23157" spans="1:3">
      <c r="A23157" s="250">
        <v>54308</v>
      </c>
      <c r="B23157" s="74" t="s">
        <v>6235</v>
      </c>
      <c r="C23157" s="74" t="s">
        <v>459</v>
      </c>
    </row>
    <row r="23158" spans="1:3">
      <c r="A23158" s="250">
        <v>54311</v>
      </c>
      <c r="B23158" s="74" t="s">
        <v>6235</v>
      </c>
      <c r="C23158" s="74" t="s">
        <v>459</v>
      </c>
    </row>
    <row r="23159" spans="1:3">
      <c r="A23159" s="250">
        <v>54313</v>
      </c>
      <c r="B23159" s="74" t="s">
        <v>6235</v>
      </c>
      <c r="C23159" s="74" t="s">
        <v>459</v>
      </c>
    </row>
    <row r="23160" spans="1:3">
      <c r="A23160" s="250">
        <v>54324</v>
      </c>
      <c r="B23160" s="74" t="s">
        <v>6235</v>
      </c>
      <c r="C23160" s="74" t="s">
        <v>459</v>
      </c>
    </row>
    <row r="23161" spans="1:3">
      <c r="A23161" s="250">
        <v>54344</v>
      </c>
      <c r="B23161" s="74" t="s">
        <v>6235</v>
      </c>
      <c r="C23161" s="74" t="s">
        <v>459</v>
      </c>
    </row>
    <row r="23162" spans="1:3">
      <c r="A23162" s="250">
        <v>54401</v>
      </c>
      <c r="B23162" s="74" t="s">
        <v>8318</v>
      </c>
      <c r="C23162" s="74" t="s">
        <v>459</v>
      </c>
    </row>
    <row r="23163" spans="1:3">
      <c r="A23163" s="250">
        <v>54402</v>
      </c>
      <c r="B23163" s="74" t="s">
        <v>8318</v>
      </c>
      <c r="C23163" s="74" t="s">
        <v>459</v>
      </c>
    </row>
    <row r="23164" spans="1:3">
      <c r="A23164" s="250">
        <v>54403</v>
      </c>
      <c r="B23164" s="74" t="s">
        <v>8318</v>
      </c>
      <c r="C23164" s="74" t="s">
        <v>459</v>
      </c>
    </row>
    <row r="23165" spans="1:3">
      <c r="A23165" s="250">
        <v>54404</v>
      </c>
      <c r="B23165" s="74" t="s">
        <v>880</v>
      </c>
      <c r="C23165" s="74" t="s">
        <v>459</v>
      </c>
    </row>
    <row r="23166" spans="1:3">
      <c r="A23166" s="250">
        <v>54405</v>
      </c>
      <c r="B23166" s="74" t="s">
        <v>12146</v>
      </c>
      <c r="C23166" s="74" t="s">
        <v>459</v>
      </c>
    </row>
    <row r="23167" spans="1:3">
      <c r="A23167" s="250">
        <v>54406</v>
      </c>
      <c r="B23167" s="74" t="s">
        <v>577</v>
      </c>
      <c r="C23167" s="74" t="s">
        <v>459</v>
      </c>
    </row>
    <row r="23168" spans="1:3">
      <c r="A23168" s="250">
        <v>54407</v>
      </c>
      <c r="B23168" s="74" t="s">
        <v>12147</v>
      </c>
      <c r="C23168" s="74" t="s">
        <v>459</v>
      </c>
    </row>
    <row r="23169" spans="1:3">
      <c r="A23169" s="250">
        <v>54408</v>
      </c>
      <c r="B23169" s="74" t="s">
        <v>12148</v>
      </c>
      <c r="C23169" s="74" t="s">
        <v>459</v>
      </c>
    </row>
    <row r="23170" spans="1:3">
      <c r="A23170" s="250">
        <v>54409</v>
      </c>
      <c r="B23170" s="74" t="s">
        <v>12149</v>
      </c>
      <c r="C23170" s="74" t="s">
        <v>459</v>
      </c>
    </row>
    <row r="23171" spans="1:3">
      <c r="A23171" s="250">
        <v>54410</v>
      </c>
      <c r="B23171" s="74" t="s">
        <v>12150</v>
      </c>
      <c r="C23171" s="74" t="s">
        <v>459</v>
      </c>
    </row>
    <row r="23172" spans="1:3">
      <c r="A23172" s="250">
        <v>54411</v>
      </c>
      <c r="B23172" s="74" t="s">
        <v>1678</v>
      </c>
      <c r="C23172" s="74" t="s">
        <v>459</v>
      </c>
    </row>
    <row r="23173" spans="1:3">
      <c r="A23173" s="250">
        <v>54412</v>
      </c>
      <c r="B23173" s="74" t="s">
        <v>980</v>
      </c>
      <c r="C23173" s="74" t="s">
        <v>459</v>
      </c>
    </row>
    <row r="23174" spans="1:3">
      <c r="A23174" s="250">
        <v>54413</v>
      </c>
      <c r="B23174" s="74" t="s">
        <v>12151</v>
      </c>
      <c r="C23174" s="74" t="s">
        <v>459</v>
      </c>
    </row>
    <row r="23175" spans="1:3">
      <c r="A23175" s="250">
        <v>54414</v>
      </c>
      <c r="B23175" s="74" t="s">
        <v>12152</v>
      </c>
      <c r="C23175" s="74" t="s">
        <v>459</v>
      </c>
    </row>
    <row r="23176" spans="1:3">
      <c r="A23176" s="250">
        <v>54415</v>
      </c>
      <c r="B23176" s="74" t="s">
        <v>12153</v>
      </c>
      <c r="C23176" s="74" t="s">
        <v>459</v>
      </c>
    </row>
    <row r="23177" spans="1:3">
      <c r="A23177" s="250">
        <v>54416</v>
      </c>
      <c r="B23177" s="74" t="s">
        <v>12154</v>
      </c>
      <c r="C23177" s="74" t="s">
        <v>459</v>
      </c>
    </row>
    <row r="23178" spans="1:3">
      <c r="A23178" s="250">
        <v>54417</v>
      </c>
      <c r="B23178" s="74" t="s">
        <v>12155</v>
      </c>
      <c r="C23178" s="74" t="s">
        <v>459</v>
      </c>
    </row>
    <row r="23179" spans="1:3">
      <c r="A23179" s="250">
        <v>54418</v>
      </c>
      <c r="B23179" s="74" t="s">
        <v>8763</v>
      </c>
      <c r="C23179" s="74" t="s">
        <v>459</v>
      </c>
    </row>
    <row r="23180" spans="1:3">
      <c r="A23180" s="250">
        <v>54420</v>
      </c>
      <c r="B23180" s="74" t="s">
        <v>12156</v>
      </c>
      <c r="C23180" s="74" t="s">
        <v>459</v>
      </c>
    </row>
    <row r="23181" spans="1:3">
      <c r="A23181" s="250">
        <v>54421</v>
      </c>
      <c r="B23181" s="74" t="s">
        <v>12157</v>
      </c>
      <c r="C23181" s="74" t="s">
        <v>459</v>
      </c>
    </row>
    <row r="23182" spans="1:3">
      <c r="A23182" s="250">
        <v>54422</v>
      </c>
      <c r="B23182" s="74" t="s">
        <v>12158</v>
      </c>
      <c r="C23182" s="74" t="s">
        <v>459</v>
      </c>
    </row>
    <row r="23183" spans="1:3">
      <c r="A23183" s="250">
        <v>54423</v>
      </c>
      <c r="B23183" s="74" t="s">
        <v>9599</v>
      </c>
      <c r="C23183" s="74" t="s">
        <v>459</v>
      </c>
    </row>
    <row r="23184" spans="1:3">
      <c r="A23184" s="250">
        <v>54424</v>
      </c>
      <c r="B23184" s="74" t="s">
        <v>12159</v>
      </c>
      <c r="C23184" s="74" t="s">
        <v>459</v>
      </c>
    </row>
    <row r="23185" spans="1:3">
      <c r="A23185" s="250">
        <v>54425</v>
      </c>
      <c r="B23185" s="74" t="s">
        <v>903</v>
      </c>
      <c r="C23185" s="74" t="s">
        <v>459</v>
      </c>
    </row>
    <row r="23186" spans="1:3">
      <c r="A23186" s="250">
        <v>54426</v>
      </c>
      <c r="B23186" s="74" t="s">
        <v>8254</v>
      </c>
      <c r="C23186" s="74" t="s">
        <v>459</v>
      </c>
    </row>
    <row r="23187" spans="1:3">
      <c r="A23187" s="250">
        <v>54427</v>
      </c>
      <c r="B23187" s="74" t="s">
        <v>12160</v>
      </c>
      <c r="C23187" s="74" t="s">
        <v>459</v>
      </c>
    </row>
    <row r="23188" spans="1:3">
      <c r="A23188" s="250">
        <v>54428</v>
      </c>
      <c r="B23188" s="74" t="s">
        <v>12161</v>
      </c>
      <c r="C23188" s="74" t="s">
        <v>459</v>
      </c>
    </row>
    <row r="23189" spans="1:3">
      <c r="A23189" s="250">
        <v>54429</v>
      </c>
      <c r="B23189" s="74" t="s">
        <v>12162</v>
      </c>
      <c r="C23189" s="74" t="s">
        <v>459</v>
      </c>
    </row>
    <row r="23190" spans="1:3">
      <c r="A23190" s="250">
        <v>54430</v>
      </c>
      <c r="B23190" s="74" t="s">
        <v>4353</v>
      </c>
      <c r="C23190" s="74" t="s">
        <v>459</v>
      </c>
    </row>
    <row r="23191" spans="1:3">
      <c r="A23191" s="250">
        <v>54432</v>
      </c>
      <c r="B23191" s="74" t="s">
        <v>6937</v>
      </c>
      <c r="C23191" s="74" t="s">
        <v>459</v>
      </c>
    </row>
    <row r="23192" spans="1:3">
      <c r="A23192" s="250">
        <v>54433</v>
      </c>
      <c r="B23192" s="74" t="s">
        <v>1931</v>
      </c>
      <c r="C23192" s="74" t="s">
        <v>459</v>
      </c>
    </row>
    <row r="23193" spans="1:3">
      <c r="A23193" s="250">
        <v>54434</v>
      </c>
      <c r="B23193" s="74" t="s">
        <v>12163</v>
      </c>
      <c r="C23193" s="74" t="s">
        <v>459</v>
      </c>
    </row>
    <row r="23194" spans="1:3">
      <c r="A23194" s="250">
        <v>54435</v>
      </c>
      <c r="B23194" s="74" t="s">
        <v>9194</v>
      </c>
      <c r="C23194" s="74" t="s">
        <v>459</v>
      </c>
    </row>
    <row r="23195" spans="1:3">
      <c r="A23195" s="250">
        <v>54436</v>
      </c>
      <c r="B23195" s="74" t="s">
        <v>12164</v>
      </c>
      <c r="C23195" s="74" t="s">
        <v>459</v>
      </c>
    </row>
    <row r="23196" spans="1:3">
      <c r="A23196" s="250">
        <v>54437</v>
      </c>
      <c r="B23196" s="74" t="s">
        <v>1448</v>
      </c>
      <c r="C23196" s="74" t="s">
        <v>459</v>
      </c>
    </row>
    <row r="23197" spans="1:3">
      <c r="A23197" s="250">
        <v>54439</v>
      </c>
      <c r="B23197" s="74" t="s">
        <v>3367</v>
      </c>
      <c r="C23197" s="74" t="s">
        <v>459</v>
      </c>
    </row>
    <row r="23198" spans="1:3">
      <c r="A23198" s="250">
        <v>54440</v>
      </c>
      <c r="B23198" s="74" t="s">
        <v>12165</v>
      </c>
      <c r="C23198" s="74" t="s">
        <v>459</v>
      </c>
    </row>
    <row r="23199" spans="1:3">
      <c r="A23199" s="250">
        <v>54441</v>
      </c>
      <c r="B23199" s="74" t="s">
        <v>2190</v>
      </c>
      <c r="C23199" s="74" t="s">
        <v>459</v>
      </c>
    </row>
    <row r="23200" spans="1:3">
      <c r="A23200" s="250">
        <v>54442</v>
      </c>
      <c r="B23200" s="74" t="s">
        <v>12166</v>
      </c>
      <c r="C23200" s="74" t="s">
        <v>459</v>
      </c>
    </row>
    <row r="23201" spans="1:3">
      <c r="A23201" s="250">
        <v>54443</v>
      </c>
      <c r="B23201" s="74" t="s">
        <v>8198</v>
      </c>
      <c r="C23201" s="74" t="s">
        <v>459</v>
      </c>
    </row>
    <row r="23202" spans="1:3">
      <c r="A23202" s="250">
        <v>54446</v>
      </c>
      <c r="B23202" s="74" t="s">
        <v>12167</v>
      </c>
      <c r="C23202" s="74" t="s">
        <v>459</v>
      </c>
    </row>
    <row r="23203" spans="1:3">
      <c r="A23203" s="250">
        <v>54447</v>
      </c>
      <c r="B23203" s="74" t="s">
        <v>12168</v>
      </c>
      <c r="C23203" s="74" t="s">
        <v>459</v>
      </c>
    </row>
    <row r="23204" spans="1:3">
      <c r="A23204" s="250">
        <v>54448</v>
      </c>
      <c r="B23204" s="74" t="s">
        <v>3630</v>
      </c>
      <c r="C23204" s="74" t="s">
        <v>459</v>
      </c>
    </row>
    <row r="23205" spans="1:3">
      <c r="A23205" s="250">
        <v>54449</v>
      </c>
      <c r="B23205" s="74" t="s">
        <v>880</v>
      </c>
      <c r="C23205" s="74" t="s">
        <v>459</v>
      </c>
    </row>
    <row r="23206" spans="1:3">
      <c r="A23206" s="250">
        <v>54450</v>
      </c>
      <c r="B23206" s="74" t="s">
        <v>12169</v>
      </c>
      <c r="C23206" s="74" t="s">
        <v>459</v>
      </c>
    </row>
    <row r="23207" spans="1:3">
      <c r="A23207" s="250">
        <v>54451</v>
      </c>
      <c r="B23207" s="74" t="s">
        <v>921</v>
      </c>
      <c r="C23207" s="74" t="s">
        <v>459</v>
      </c>
    </row>
    <row r="23208" spans="1:3">
      <c r="A23208" s="250">
        <v>54452</v>
      </c>
      <c r="B23208" s="74" t="s">
        <v>11102</v>
      </c>
      <c r="C23208" s="74" t="s">
        <v>459</v>
      </c>
    </row>
    <row r="23209" spans="1:3">
      <c r="A23209" s="250">
        <v>54454</v>
      </c>
      <c r="B23209" s="74" t="s">
        <v>12170</v>
      </c>
      <c r="C23209" s="74" t="s">
        <v>459</v>
      </c>
    </row>
    <row r="23210" spans="1:3">
      <c r="A23210" s="250">
        <v>54455</v>
      </c>
      <c r="B23210" s="74" t="s">
        <v>12171</v>
      </c>
      <c r="C23210" s="74" t="s">
        <v>459</v>
      </c>
    </row>
    <row r="23211" spans="1:3">
      <c r="A23211" s="250">
        <v>54456</v>
      </c>
      <c r="B23211" s="74" t="s">
        <v>12172</v>
      </c>
      <c r="C23211" s="74" t="s">
        <v>459</v>
      </c>
    </row>
    <row r="23212" spans="1:3">
      <c r="A23212" s="250">
        <v>54457</v>
      </c>
      <c r="B23212" s="74" t="s">
        <v>12173</v>
      </c>
      <c r="C23212" s="74" t="s">
        <v>459</v>
      </c>
    </row>
    <row r="23213" spans="1:3">
      <c r="A23213" s="250">
        <v>54458</v>
      </c>
      <c r="B23213" s="74" t="s">
        <v>10580</v>
      </c>
      <c r="C23213" s="74" t="s">
        <v>459</v>
      </c>
    </row>
    <row r="23214" spans="1:3">
      <c r="A23214" s="250">
        <v>54459</v>
      </c>
      <c r="B23214" s="74" t="s">
        <v>12174</v>
      </c>
      <c r="C23214" s="74" t="s">
        <v>459</v>
      </c>
    </row>
    <row r="23215" spans="1:3">
      <c r="A23215" s="250">
        <v>54460</v>
      </c>
      <c r="B23215" s="74" t="s">
        <v>12175</v>
      </c>
      <c r="C23215" s="74" t="s">
        <v>459</v>
      </c>
    </row>
    <row r="23216" spans="1:3">
      <c r="A23216" s="250">
        <v>54462</v>
      </c>
      <c r="B23216" s="74" t="s">
        <v>8154</v>
      </c>
      <c r="C23216" s="74" t="s">
        <v>459</v>
      </c>
    </row>
    <row r="23217" spans="1:3">
      <c r="A23217" s="250">
        <v>54463</v>
      </c>
      <c r="B23217" s="74" t="s">
        <v>12176</v>
      </c>
      <c r="C23217" s="74" t="s">
        <v>459</v>
      </c>
    </row>
    <row r="23218" spans="1:3">
      <c r="A23218" s="250">
        <v>54464</v>
      </c>
      <c r="B23218" s="74" t="s">
        <v>12177</v>
      </c>
      <c r="C23218" s="74" t="s">
        <v>459</v>
      </c>
    </row>
    <row r="23219" spans="1:3">
      <c r="A23219" s="250">
        <v>54465</v>
      </c>
      <c r="B23219" s="74" t="s">
        <v>12178</v>
      </c>
      <c r="C23219" s="74" t="s">
        <v>459</v>
      </c>
    </row>
    <row r="23220" spans="1:3">
      <c r="A23220" s="250">
        <v>54466</v>
      </c>
      <c r="B23220" s="74" t="s">
        <v>5839</v>
      </c>
      <c r="C23220" s="74" t="s">
        <v>459</v>
      </c>
    </row>
    <row r="23221" spans="1:3">
      <c r="A23221" s="250">
        <v>54467</v>
      </c>
      <c r="B23221" s="74" t="s">
        <v>11637</v>
      </c>
      <c r="C23221" s="74" t="s">
        <v>459</v>
      </c>
    </row>
    <row r="23222" spans="1:3">
      <c r="A23222" s="250">
        <v>54469</v>
      </c>
      <c r="B23222" s="74" t="s">
        <v>12179</v>
      </c>
      <c r="C23222" s="74" t="s">
        <v>459</v>
      </c>
    </row>
    <row r="23223" spans="1:3">
      <c r="A23223" s="250">
        <v>54470</v>
      </c>
      <c r="B23223" s="74" t="s">
        <v>12180</v>
      </c>
      <c r="C23223" s="74" t="s">
        <v>459</v>
      </c>
    </row>
    <row r="23224" spans="1:3">
      <c r="A23224" s="250">
        <v>54471</v>
      </c>
      <c r="B23224" s="74" t="s">
        <v>12181</v>
      </c>
      <c r="C23224" s="74" t="s">
        <v>459</v>
      </c>
    </row>
    <row r="23225" spans="1:3">
      <c r="A23225" s="250">
        <v>54472</v>
      </c>
      <c r="B23225" s="74" t="s">
        <v>880</v>
      </c>
      <c r="C23225" s="74" t="s">
        <v>459</v>
      </c>
    </row>
    <row r="23226" spans="1:3">
      <c r="A23226" s="250">
        <v>54473</v>
      </c>
      <c r="B23226" s="74" t="s">
        <v>12182</v>
      </c>
      <c r="C23226" s="74" t="s">
        <v>459</v>
      </c>
    </row>
    <row r="23227" spans="1:3">
      <c r="A23227" s="250">
        <v>54474</v>
      </c>
      <c r="B23227" s="74" t="s">
        <v>12183</v>
      </c>
      <c r="C23227" s="74" t="s">
        <v>459</v>
      </c>
    </row>
    <row r="23228" spans="1:3">
      <c r="A23228" s="250">
        <v>54475</v>
      </c>
      <c r="B23228" s="74" t="s">
        <v>10176</v>
      </c>
      <c r="C23228" s="74" t="s">
        <v>459</v>
      </c>
    </row>
    <row r="23229" spans="1:3">
      <c r="A23229" s="250">
        <v>54476</v>
      </c>
      <c r="B23229" s="74" t="s">
        <v>12184</v>
      </c>
      <c r="C23229" s="74" t="s">
        <v>459</v>
      </c>
    </row>
    <row r="23230" spans="1:3">
      <c r="A23230" s="250">
        <v>54479</v>
      </c>
      <c r="B23230" s="74" t="s">
        <v>762</v>
      </c>
      <c r="C23230" s="74" t="s">
        <v>459</v>
      </c>
    </row>
    <row r="23231" spans="1:3">
      <c r="A23231" s="250">
        <v>54480</v>
      </c>
      <c r="B23231" s="74" t="s">
        <v>12185</v>
      </c>
      <c r="C23231" s="74" t="s">
        <v>459</v>
      </c>
    </row>
    <row r="23232" spans="1:3">
      <c r="A23232" s="250">
        <v>54481</v>
      </c>
      <c r="B23232" s="74" t="s">
        <v>12186</v>
      </c>
      <c r="C23232" s="74" t="s">
        <v>459</v>
      </c>
    </row>
    <row r="23233" spans="1:3">
      <c r="A23233" s="250">
        <v>54482</v>
      </c>
      <c r="B23233" s="74" t="s">
        <v>12186</v>
      </c>
      <c r="C23233" s="74" t="s">
        <v>459</v>
      </c>
    </row>
    <row r="23234" spans="1:3">
      <c r="A23234" s="250">
        <v>54484</v>
      </c>
      <c r="B23234" s="74" t="s">
        <v>2072</v>
      </c>
      <c r="C23234" s="74" t="s">
        <v>459</v>
      </c>
    </row>
    <row r="23235" spans="1:3">
      <c r="A23235" s="250">
        <v>54485</v>
      </c>
      <c r="B23235" s="74" t="s">
        <v>12187</v>
      </c>
      <c r="C23235" s="74" t="s">
        <v>459</v>
      </c>
    </row>
    <row r="23236" spans="1:3">
      <c r="A23236" s="250">
        <v>54486</v>
      </c>
      <c r="B23236" s="74" t="s">
        <v>12188</v>
      </c>
      <c r="C23236" s="74" t="s">
        <v>459</v>
      </c>
    </row>
    <row r="23237" spans="1:3">
      <c r="A23237" s="250">
        <v>54487</v>
      </c>
      <c r="B23237" s="74" t="s">
        <v>9780</v>
      </c>
      <c r="C23237" s="74" t="s">
        <v>459</v>
      </c>
    </row>
    <row r="23238" spans="1:3">
      <c r="A23238" s="250">
        <v>54488</v>
      </c>
      <c r="B23238" s="74" t="s">
        <v>1724</v>
      </c>
      <c r="C23238" s="74" t="s">
        <v>459</v>
      </c>
    </row>
    <row r="23239" spans="1:3">
      <c r="A23239" s="250">
        <v>54489</v>
      </c>
      <c r="B23239" s="74" t="s">
        <v>12189</v>
      </c>
      <c r="C23239" s="74" t="s">
        <v>459</v>
      </c>
    </row>
    <row r="23240" spans="1:3">
      <c r="A23240" s="250">
        <v>54490</v>
      </c>
      <c r="B23240" s="74" t="s">
        <v>12190</v>
      </c>
      <c r="C23240" s="74" t="s">
        <v>459</v>
      </c>
    </row>
    <row r="23241" spans="1:3">
      <c r="A23241" s="250">
        <v>54491</v>
      </c>
      <c r="B23241" s="74" t="s">
        <v>3211</v>
      </c>
      <c r="C23241" s="74" t="s">
        <v>459</v>
      </c>
    </row>
    <row r="23242" spans="1:3">
      <c r="A23242" s="250">
        <v>54492</v>
      </c>
      <c r="B23242" s="74" t="s">
        <v>12186</v>
      </c>
      <c r="C23242" s="74" t="s">
        <v>459</v>
      </c>
    </row>
    <row r="23243" spans="1:3">
      <c r="A23243" s="250">
        <v>54493</v>
      </c>
      <c r="B23243" s="74" t="s">
        <v>3838</v>
      </c>
      <c r="C23243" s="74" t="s">
        <v>459</v>
      </c>
    </row>
    <row r="23244" spans="1:3">
      <c r="A23244" s="250">
        <v>54494</v>
      </c>
      <c r="B23244" s="74" t="s">
        <v>12191</v>
      </c>
      <c r="C23244" s="74" t="s">
        <v>459</v>
      </c>
    </row>
    <row r="23245" spans="1:3">
      <c r="A23245" s="250">
        <v>54495</v>
      </c>
      <c r="B23245" s="74" t="s">
        <v>12191</v>
      </c>
      <c r="C23245" s="74" t="s">
        <v>459</v>
      </c>
    </row>
    <row r="23246" spans="1:3">
      <c r="A23246" s="250">
        <v>54498</v>
      </c>
      <c r="B23246" s="74" t="s">
        <v>12192</v>
      </c>
      <c r="C23246" s="74" t="s">
        <v>459</v>
      </c>
    </row>
    <row r="23247" spans="1:3">
      <c r="A23247" s="250">
        <v>54499</v>
      </c>
      <c r="B23247" s="74" t="s">
        <v>12193</v>
      </c>
      <c r="C23247" s="74" t="s">
        <v>459</v>
      </c>
    </row>
    <row r="23248" spans="1:3">
      <c r="A23248" s="250">
        <v>54501</v>
      </c>
      <c r="B23248" s="74" t="s">
        <v>12194</v>
      </c>
      <c r="C23248" s="74" t="s">
        <v>459</v>
      </c>
    </row>
    <row r="23249" spans="1:3">
      <c r="A23249" s="250">
        <v>54511</v>
      </c>
      <c r="B23249" s="74" t="s">
        <v>12195</v>
      </c>
      <c r="C23249" s="74" t="s">
        <v>459</v>
      </c>
    </row>
    <row r="23250" spans="1:3">
      <c r="A23250" s="250">
        <v>54512</v>
      </c>
      <c r="B23250" s="74" t="s">
        <v>12196</v>
      </c>
      <c r="C23250" s="74" t="s">
        <v>459</v>
      </c>
    </row>
    <row r="23251" spans="1:3">
      <c r="A23251" s="250">
        <v>54513</v>
      </c>
      <c r="B23251" s="74" t="s">
        <v>12197</v>
      </c>
      <c r="C23251" s="74" t="s">
        <v>459</v>
      </c>
    </row>
    <row r="23252" spans="1:3">
      <c r="A23252" s="250">
        <v>54514</v>
      </c>
      <c r="B23252" s="74" t="s">
        <v>12198</v>
      </c>
      <c r="C23252" s="74" t="s">
        <v>459</v>
      </c>
    </row>
    <row r="23253" spans="1:3">
      <c r="A23253" s="250">
        <v>54515</v>
      </c>
      <c r="B23253" s="74" t="s">
        <v>6262</v>
      </c>
      <c r="C23253" s="74" t="s">
        <v>459</v>
      </c>
    </row>
    <row r="23254" spans="1:3">
      <c r="A23254" s="250">
        <v>54517</v>
      </c>
      <c r="B23254" s="74" t="s">
        <v>12199</v>
      </c>
      <c r="C23254" s="74" t="s">
        <v>459</v>
      </c>
    </row>
    <row r="23255" spans="1:3">
      <c r="A23255" s="250">
        <v>54519</v>
      </c>
      <c r="B23255" s="74" t="s">
        <v>7472</v>
      </c>
      <c r="C23255" s="74" t="s">
        <v>459</v>
      </c>
    </row>
    <row r="23256" spans="1:3">
      <c r="A23256" s="250">
        <v>54520</v>
      </c>
      <c r="B23256" s="74" t="s">
        <v>12200</v>
      </c>
      <c r="C23256" s="74" t="s">
        <v>459</v>
      </c>
    </row>
    <row r="23257" spans="1:3">
      <c r="A23257" s="250">
        <v>54521</v>
      </c>
      <c r="B23257" s="74" t="s">
        <v>12201</v>
      </c>
      <c r="C23257" s="74" t="s">
        <v>459</v>
      </c>
    </row>
    <row r="23258" spans="1:3">
      <c r="A23258" s="250">
        <v>54524</v>
      </c>
      <c r="B23258" s="74" t="s">
        <v>12202</v>
      </c>
      <c r="C23258" s="74" t="s">
        <v>459</v>
      </c>
    </row>
    <row r="23259" spans="1:3">
      <c r="A23259" s="250">
        <v>54525</v>
      </c>
      <c r="B23259" s="74" t="s">
        <v>12203</v>
      </c>
      <c r="C23259" s="74" t="s">
        <v>459</v>
      </c>
    </row>
    <row r="23260" spans="1:3">
      <c r="A23260" s="250">
        <v>54526</v>
      </c>
      <c r="B23260" s="74" t="s">
        <v>12204</v>
      </c>
      <c r="C23260" s="74" t="s">
        <v>459</v>
      </c>
    </row>
    <row r="23261" spans="1:3">
      <c r="A23261" s="250">
        <v>54527</v>
      </c>
      <c r="B23261" s="74" t="s">
        <v>11751</v>
      </c>
      <c r="C23261" s="74" t="s">
        <v>459</v>
      </c>
    </row>
    <row r="23262" spans="1:3">
      <c r="A23262" s="250">
        <v>54529</v>
      </c>
      <c r="B23262" s="74" t="s">
        <v>12205</v>
      </c>
      <c r="C23262" s="74" t="s">
        <v>459</v>
      </c>
    </row>
    <row r="23263" spans="1:3">
      <c r="A23263" s="250">
        <v>54530</v>
      </c>
      <c r="B23263" s="74" t="s">
        <v>12206</v>
      </c>
      <c r="C23263" s="74" t="s">
        <v>459</v>
      </c>
    </row>
    <row r="23264" spans="1:3">
      <c r="A23264" s="250">
        <v>54531</v>
      </c>
      <c r="B23264" s="74" t="s">
        <v>12207</v>
      </c>
      <c r="C23264" s="74" t="s">
        <v>459</v>
      </c>
    </row>
    <row r="23265" spans="1:3">
      <c r="A23265" s="250">
        <v>54532</v>
      </c>
      <c r="B23265" s="74" t="s">
        <v>12208</v>
      </c>
      <c r="C23265" s="74" t="s">
        <v>459</v>
      </c>
    </row>
    <row r="23266" spans="1:3">
      <c r="A23266" s="250">
        <v>54534</v>
      </c>
      <c r="B23266" s="74" t="s">
        <v>3057</v>
      </c>
      <c r="C23266" s="74" t="s">
        <v>459</v>
      </c>
    </row>
    <row r="23267" spans="1:3">
      <c r="A23267" s="250">
        <v>54536</v>
      </c>
      <c r="B23267" s="74" t="s">
        <v>12209</v>
      </c>
      <c r="C23267" s="74" t="s">
        <v>459</v>
      </c>
    </row>
    <row r="23268" spans="1:3">
      <c r="A23268" s="250">
        <v>54537</v>
      </c>
      <c r="B23268" s="74" t="s">
        <v>12210</v>
      </c>
      <c r="C23268" s="74" t="s">
        <v>459</v>
      </c>
    </row>
    <row r="23269" spans="1:3">
      <c r="A23269" s="250">
        <v>54538</v>
      </c>
      <c r="B23269" s="74" t="s">
        <v>12211</v>
      </c>
      <c r="C23269" s="74" t="s">
        <v>459</v>
      </c>
    </row>
    <row r="23270" spans="1:3">
      <c r="A23270" s="250">
        <v>54539</v>
      </c>
      <c r="B23270" s="74" t="s">
        <v>12212</v>
      </c>
      <c r="C23270" s="74" t="s">
        <v>459</v>
      </c>
    </row>
    <row r="23271" spans="1:3">
      <c r="A23271" s="250">
        <v>54540</v>
      </c>
      <c r="B23271" s="74" t="s">
        <v>8580</v>
      </c>
      <c r="C23271" s="74" t="s">
        <v>459</v>
      </c>
    </row>
    <row r="23272" spans="1:3">
      <c r="A23272" s="250">
        <v>54541</v>
      </c>
      <c r="B23272" s="74" t="s">
        <v>12213</v>
      </c>
      <c r="C23272" s="74" t="s">
        <v>459</v>
      </c>
    </row>
    <row r="23273" spans="1:3">
      <c r="A23273" s="250">
        <v>54542</v>
      </c>
      <c r="B23273" s="74" t="s">
        <v>3245</v>
      </c>
      <c r="C23273" s="74" t="s">
        <v>459</v>
      </c>
    </row>
    <row r="23274" spans="1:3">
      <c r="A23274" s="250">
        <v>54543</v>
      </c>
      <c r="B23274" s="74" t="s">
        <v>12214</v>
      </c>
      <c r="C23274" s="74" t="s">
        <v>459</v>
      </c>
    </row>
    <row r="23275" spans="1:3">
      <c r="A23275" s="250">
        <v>54545</v>
      </c>
      <c r="B23275" s="74" t="s">
        <v>12215</v>
      </c>
      <c r="C23275" s="74" t="s">
        <v>459</v>
      </c>
    </row>
    <row r="23276" spans="1:3">
      <c r="A23276" s="250">
        <v>54546</v>
      </c>
      <c r="B23276" s="74" t="s">
        <v>12216</v>
      </c>
      <c r="C23276" s="74" t="s">
        <v>459</v>
      </c>
    </row>
    <row r="23277" spans="1:3">
      <c r="A23277" s="250">
        <v>54547</v>
      </c>
      <c r="B23277" s="74" t="s">
        <v>4423</v>
      </c>
      <c r="C23277" s="74" t="s">
        <v>459</v>
      </c>
    </row>
    <row r="23278" spans="1:3">
      <c r="A23278" s="250">
        <v>54548</v>
      </c>
      <c r="B23278" s="74" t="s">
        <v>12217</v>
      </c>
      <c r="C23278" s="74" t="s">
        <v>459</v>
      </c>
    </row>
    <row r="23279" spans="1:3">
      <c r="A23279" s="250">
        <v>54550</v>
      </c>
      <c r="B23279" s="74" t="s">
        <v>12218</v>
      </c>
      <c r="C23279" s="74" t="s">
        <v>459</v>
      </c>
    </row>
    <row r="23280" spans="1:3">
      <c r="A23280" s="250">
        <v>54552</v>
      </c>
      <c r="B23280" s="74" t="s">
        <v>12219</v>
      </c>
      <c r="C23280" s="74" t="s">
        <v>459</v>
      </c>
    </row>
    <row r="23281" spans="1:3">
      <c r="A23281" s="250">
        <v>54554</v>
      </c>
      <c r="B23281" s="74" t="s">
        <v>3808</v>
      </c>
      <c r="C23281" s="74" t="s">
        <v>459</v>
      </c>
    </row>
    <row r="23282" spans="1:3">
      <c r="A23282" s="250">
        <v>54555</v>
      </c>
      <c r="B23282" s="74" t="s">
        <v>1711</v>
      </c>
      <c r="C23282" s="74" t="s">
        <v>459</v>
      </c>
    </row>
    <row r="23283" spans="1:3">
      <c r="A23283" s="250">
        <v>54556</v>
      </c>
      <c r="B23283" s="74" t="s">
        <v>12220</v>
      </c>
      <c r="C23283" s="74" t="s">
        <v>459</v>
      </c>
    </row>
    <row r="23284" spans="1:3">
      <c r="A23284" s="250">
        <v>54557</v>
      </c>
      <c r="B23284" s="74" t="s">
        <v>1647</v>
      </c>
      <c r="C23284" s="74" t="s">
        <v>459</v>
      </c>
    </row>
    <row r="23285" spans="1:3">
      <c r="A23285" s="250">
        <v>54558</v>
      </c>
      <c r="B23285" s="74" t="s">
        <v>12221</v>
      </c>
      <c r="C23285" s="74" t="s">
        <v>459</v>
      </c>
    </row>
    <row r="23286" spans="1:3">
      <c r="A23286" s="250">
        <v>54559</v>
      </c>
      <c r="B23286" s="74" t="s">
        <v>6647</v>
      </c>
      <c r="C23286" s="74" t="s">
        <v>459</v>
      </c>
    </row>
    <row r="23287" spans="1:3">
      <c r="A23287" s="250">
        <v>54560</v>
      </c>
      <c r="B23287" s="74" t="s">
        <v>12222</v>
      </c>
      <c r="C23287" s="74" t="s">
        <v>459</v>
      </c>
    </row>
    <row r="23288" spans="1:3">
      <c r="A23288" s="250">
        <v>54561</v>
      </c>
      <c r="B23288" s="74" t="s">
        <v>3583</v>
      </c>
      <c r="C23288" s="74" t="s">
        <v>459</v>
      </c>
    </row>
    <row r="23289" spans="1:3">
      <c r="A23289" s="250">
        <v>54562</v>
      </c>
      <c r="B23289" s="74" t="s">
        <v>12223</v>
      </c>
      <c r="C23289" s="74" t="s">
        <v>459</v>
      </c>
    </row>
    <row r="23290" spans="1:3">
      <c r="A23290" s="250">
        <v>54563</v>
      </c>
      <c r="B23290" s="74" t="s">
        <v>12224</v>
      </c>
      <c r="C23290" s="74" t="s">
        <v>459</v>
      </c>
    </row>
    <row r="23291" spans="1:3">
      <c r="A23291" s="250">
        <v>54564</v>
      </c>
      <c r="B23291" s="74" t="s">
        <v>11679</v>
      </c>
      <c r="C23291" s="74" t="s">
        <v>459</v>
      </c>
    </row>
    <row r="23292" spans="1:3">
      <c r="A23292" s="250">
        <v>54565</v>
      </c>
      <c r="B23292" s="74" t="s">
        <v>12225</v>
      </c>
      <c r="C23292" s="74" t="s">
        <v>459</v>
      </c>
    </row>
    <row r="23293" spans="1:3">
      <c r="A23293" s="250">
        <v>54566</v>
      </c>
      <c r="B23293" s="74" t="s">
        <v>12226</v>
      </c>
      <c r="C23293" s="74" t="s">
        <v>459</v>
      </c>
    </row>
    <row r="23294" spans="1:3">
      <c r="A23294" s="250">
        <v>54568</v>
      </c>
      <c r="B23294" s="74" t="s">
        <v>7690</v>
      </c>
      <c r="C23294" s="74" t="s">
        <v>459</v>
      </c>
    </row>
    <row r="23295" spans="1:3">
      <c r="A23295" s="250">
        <v>54601</v>
      </c>
      <c r="B23295" s="74" t="s">
        <v>6239</v>
      </c>
      <c r="C23295" s="74" t="s">
        <v>459</v>
      </c>
    </row>
    <row r="23296" spans="1:3">
      <c r="A23296" s="250">
        <v>54602</v>
      </c>
      <c r="B23296" s="74" t="s">
        <v>6239</v>
      </c>
      <c r="C23296" s="74" t="s">
        <v>459</v>
      </c>
    </row>
    <row r="23297" spans="1:3">
      <c r="A23297" s="250">
        <v>54603</v>
      </c>
      <c r="B23297" s="74" t="s">
        <v>6239</v>
      </c>
      <c r="C23297" s="74" t="s">
        <v>459</v>
      </c>
    </row>
    <row r="23298" spans="1:3">
      <c r="A23298" s="250">
        <v>54610</v>
      </c>
      <c r="B23298" s="74" t="s">
        <v>3841</v>
      </c>
      <c r="C23298" s="74" t="s">
        <v>459</v>
      </c>
    </row>
    <row r="23299" spans="1:3">
      <c r="A23299" s="250">
        <v>54611</v>
      </c>
      <c r="B23299" s="74" t="s">
        <v>12227</v>
      </c>
      <c r="C23299" s="74" t="s">
        <v>459</v>
      </c>
    </row>
    <row r="23300" spans="1:3">
      <c r="A23300" s="250">
        <v>54612</v>
      </c>
      <c r="B23300" s="74" t="s">
        <v>4258</v>
      </c>
      <c r="C23300" s="74" t="s">
        <v>459</v>
      </c>
    </row>
    <row r="23301" spans="1:3">
      <c r="A23301" s="250">
        <v>54613</v>
      </c>
      <c r="B23301" s="74" t="s">
        <v>12228</v>
      </c>
      <c r="C23301" s="74" t="s">
        <v>459</v>
      </c>
    </row>
    <row r="23302" spans="1:3">
      <c r="A23302" s="250">
        <v>54614</v>
      </c>
      <c r="B23302" s="74" t="s">
        <v>1487</v>
      </c>
      <c r="C23302" s="74" t="s">
        <v>459</v>
      </c>
    </row>
    <row r="23303" spans="1:3">
      <c r="A23303" s="250">
        <v>54615</v>
      </c>
      <c r="B23303" s="74" t="s">
        <v>12229</v>
      </c>
      <c r="C23303" s="74" t="s">
        <v>459</v>
      </c>
    </row>
    <row r="23304" spans="1:3">
      <c r="A23304" s="250">
        <v>54616</v>
      </c>
      <c r="B23304" s="74" t="s">
        <v>6578</v>
      </c>
      <c r="C23304" s="74" t="s">
        <v>459</v>
      </c>
    </row>
    <row r="23305" spans="1:3">
      <c r="A23305" s="250">
        <v>54618</v>
      </c>
      <c r="B23305" s="74" t="s">
        <v>12230</v>
      </c>
      <c r="C23305" s="74" t="s">
        <v>459</v>
      </c>
    </row>
    <row r="23306" spans="1:3">
      <c r="A23306" s="250">
        <v>54619</v>
      </c>
      <c r="B23306" s="74" t="s">
        <v>12231</v>
      </c>
      <c r="C23306" s="74" t="s">
        <v>459</v>
      </c>
    </row>
    <row r="23307" spans="1:3">
      <c r="A23307" s="250">
        <v>54620</v>
      </c>
      <c r="B23307" s="74" t="s">
        <v>12232</v>
      </c>
      <c r="C23307" s="74" t="s">
        <v>459</v>
      </c>
    </row>
    <row r="23308" spans="1:3">
      <c r="A23308" s="250">
        <v>54621</v>
      </c>
      <c r="B23308" s="74" t="s">
        <v>12233</v>
      </c>
      <c r="C23308" s="74" t="s">
        <v>459</v>
      </c>
    </row>
    <row r="23309" spans="1:3">
      <c r="A23309" s="250">
        <v>54622</v>
      </c>
      <c r="B23309" s="74" t="s">
        <v>12234</v>
      </c>
      <c r="C23309" s="74" t="s">
        <v>459</v>
      </c>
    </row>
    <row r="23310" spans="1:3">
      <c r="A23310" s="250">
        <v>54623</v>
      </c>
      <c r="B23310" s="74" t="s">
        <v>12235</v>
      </c>
      <c r="C23310" s="74" t="s">
        <v>459</v>
      </c>
    </row>
    <row r="23311" spans="1:3">
      <c r="A23311" s="250">
        <v>54624</v>
      </c>
      <c r="B23311" s="74" t="s">
        <v>8171</v>
      </c>
      <c r="C23311" s="74" t="s">
        <v>459</v>
      </c>
    </row>
    <row r="23312" spans="1:3">
      <c r="A23312" s="250">
        <v>54625</v>
      </c>
      <c r="B23312" s="74" t="s">
        <v>12236</v>
      </c>
      <c r="C23312" s="74" t="s">
        <v>459</v>
      </c>
    </row>
    <row r="23313" spans="1:3">
      <c r="A23313" s="250">
        <v>54626</v>
      </c>
      <c r="B23313" s="74" t="s">
        <v>8071</v>
      </c>
      <c r="C23313" s="74" t="s">
        <v>459</v>
      </c>
    </row>
    <row r="23314" spans="1:3">
      <c r="A23314" s="250">
        <v>54627</v>
      </c>
      <c r="B23314" s="74" t="s">
        <v>12237</v>
      </c>
      <c r="C23314" s="74" t="s">
        <v>459</v>
      </c>
    </row>
    <row r="23315" spans="1:3">
      <c r="A23315" s="250">
        <v>54628</v>
      </c>
      <c r="B23315" s="74" t="s">
        <v>12238</v>
      </c>
      <c r="C23315" s="74" t="s">
        <v>459</v>
      </c>
    </row>
    <row r="23316" spans="1:3">
      <c r="A23316" s="250">
        <v>54629</v>
      </c>
      <c r="B23316" s="74" t="s">
        <v>10842</v>
      </c>
      <c r="C23316" s="74" t="s">
        <v>459</v>
      </c>
    </row>
    <row r="23317" spans="1:3">
      <c r="A23317" s="250">
        <v>54630</v>
      </c>
      <c r="B23317" s="74" t="s">
        <v>5617</v>
      </c>
      <c r="C23317" s="74" t="s">
        <v>459</v>
      </c>
    </row>
    <row r="23318" spans="1:3">
      <c r="A23318" s="250">
        <v>54631</v>
      </c>
      <c r="B23318" s="74" t="s">
        <v>12239</v>
      </c>
      <c r="C23318" s="74" t="s">
        <v>459</v>
      </c>
    </row>
    <row r="23319" spans="1:3">
      <c r="A23319" s="250">
        <v>54632</v>
      </c>
      <c r="B23319" s="74" t="s">
        <v>3366</v>
      </c>
      <c r="C23319" s="74" t="s">
        <v>459</v>
      </c>
    </row>
    <row r="23320" spans="1:3">
      <c r="A23320" s="250">
        <v>54634</v>
      </c>
      <c r="B23320" s="74" t="s">
        <v>5758</v>
      </c>
      <c r="C23320" s="74" t="s">
        <v>459</v>
      </c>
    </row>
    <row r="23321" spans="1:3">
      <c r="A23321" s="250">
        <v>54635</v>
      </c>
      <c r="B23321" s="74" t="s">
        <v>12240</v>
      </c>
      <c r="C23321" s="74" t="s">
        <v>459</v>
      </c>
    </row>
    <row r="23322" spans="1:3">
      <c r="A23322" s="250">
        <v>54636</v>
      </c>
      <c r="B23322" s="74" t="s">
        <v>12241</v>
      </c>
      <c r="C23322" s="74" t="s">
        <v>459</v>
      </c>
    </row>
    <row r="23323" spans="1:3">
      <c r="A23323" s="250">
        <v>54637</v>
      </c>
      <c r="B23323" s="74" t="s">
        <v>12242</v>
      </c>
      <c r="C23323" s="74" t="s">
        <v>459</v>
      </c>
    </row>
    <row r="23324" spans="1:3">
      <c r="A23324" s="250">
        <v>54638</v>
      </c>
      <c r="B23324" s="74" t="s">
        <v>3786</v>
      </c>
      <c r="C23324" s="74" t="s">
        <v>459</v>
      </c>
    </row>
    <row r="23325" spans="1:3">
      <c r="A23325" s="250">
        <v>54639</v>
      </c>
      <c r="B23325" s="74" t="s">
        <v>12243</v>
      </c>
      <c r="C23325" s="74" t="s">
        <v>459</v>
      </c>
    </row>
    <row r="23326" spans="1:3">
      <c r="A23326" s="250">
        <v>54640</v>
      </c>
      <c r="B23326" s="74" t="s">
        <v>12244</v>
      </c>
      <c r="C23326" s="74" t="s">
        <v>459</v>
      </c>
    </row>
    <row r="23327" spans="1:3">
      <c r="A23327" s="250">
        <v>54641</v>
      </c>
      <c r="B23327" s="74" t="s">
        <v>4065</v>
      </c>
      <c r="C23327" s="74" t="s">
        <v>459</v>
      </c>
    </row>
    <row r="23328" spans="1:3">
      <c r="A23328" s="250">
        <v>54642</v>
      </c>
      <c r="B23328" s="74" t="s">
        <v>924</v>
      </c>
      <c r="C23328" s="74" t="s">
        <v>459</v>
      </c>
    </row>
    <row r="23329" spans="1:3">
      <c r="A23329" s="250">
        <v>54643</v>
      </c>
      <c r="B23329" s="74" t="s">
        <v>12245</v>
      </c>
      <c r="C23329" s="74" t="s">
        <v>459</v>
      </c>
    </row>
    <row r="23330" spans="1:3">
      <c r="A23330" s="250">
        <v>54644</v>
      </c>
      <c r="B23330" s="74" t="s">
        <v>12246</v>
      </c>
      <c r="C23330" s="74" t="s">
        <v>459</v>
      </c>
    </row>
    <row r="23331" spans="1:3">
      <c r="A23331" s="250">
        <v>54645</v>
      </c>
      <c r="B23331" s="74" t="s">
        <v>9631</v>
      </c>
      <c r="C23331" s="74" t="s">
        <v>459</v>
      </c>
    </row>
    <row r="23332" spans="1:3">
      <c r="A23332" s="250">
        <v>54646</v>
      </c>
      <c r="B23332" s="74" t="s">
        <v>12247</v>
      </c>
      <c r="C23332" s="74" t="s">
        <v>459</v>
      </c>
    </row>
    <row r="23333" spans="1:3">
      <c r="A23333" s="250">
        <v>54648</v>
      </c>
      <c r="B23333" s="74" t="s">
        <v>2104</v>
      </c>
      <c r="C23333" s="74" t="s">
        <v>459</v>
      </c>
    </row>
    <row r="23334" spans="1:3">
      <c r="A23334" s="250">
        <v>54649</v>
      </c>
      <c r="B23334" s="74" t="s">
        <v>2024</v>
      </c>
      <c r="C23334" s="74" t="s">
        <v>459</v>
      </c>
    </row>
    <row r="23335" spans="1:3">
      <c r="A23335" s="250">
        <v>54650</v>
      </c>
      <c r="B23335" s="74" t="s">
        <v>12248</v>
      </c>
      <c r="C23335" s="74" t="s">
        <v>459</v>
      </c>
    </row>
    <row r="23336" spans="1:3">
      <c r="A23336" s="250">
        <v>54651</v>
      </c>
      <c r="B23336" s="74" t="s">
        <v>3802</v>
      </c>
      <c r="C23336" s="74" t="s">
        <v>459</v>
      </c>
    </row>
    <row r="23337" spans="1:3">
      <c r="A23337" s="250">
        <v>54652</v>
      </c>
      <c r="B23337" s="74" t="s">
        <v>12249</v>
      </c>
      <c r="C23337" s="74" t="s">
        <v>459</v>
      </c>
    </row>
    <row r="23338" spans="1:3">
      <c r="A23338" s="250">
        <v>54653</v>
      </c>
      <c r="B23338" s="74" t="s">
        <v>961</v>
      </c>
      <c r="C23338" s="74" t="s">
        <v>459</v>
      </c>
    </row>
    <row r="23339" spans="1:3">
      <c r="A23339" s="250">
        <v>54654</v>
      </c>
      <c r="B23339" s="74" t="s">
        <v>4492</v>
      </c>
      <c r="C23339" s="74" t="s">
        <v>459</v>
      </c>
    </row>
    <row r="23340" spans="1:3">
      <c r="A23340" s="250">
        <v>54655</v>
      </c>
      <c r="B23340" s="74" t="s">
        <v>12250</v>
      </c>
      <c r="C23340" s="74" t="s">
        <v>459</v>
      </c>
    </row>
    <row r="23341" spans="1:3">
      <c r="A23341" s="250">
        <v>54656</v>
      </c>
      <c r="B23341" s="74" t="s">
        <v>2327</v>
      </c>
      <c r="C23341" s="74" t="s">
        <v>459</v>
      </c>
    </row>
    <row r="23342" spans="1:3">
      <c r="A23342" s="250">
        <v>54657</v>
      </c>
      <c r="B23342" s="74" t="s">
        <v>1612</v>
      </c>
      <c r="C23342" s="74" t="s">
        <v>459</v>
      </c>
    </row>
    <row r="23343" spans="1:3">
      <c r="A23343" s="250">
        <v>54658</v>
      </c>
      <c r="B23343" s="74" t="s">
        <v>1242</v>
      </c>
      <c r="C23343" s="74" t="s">
        <v>459</v>
      </c>
    </row>
    <row r="23344" spans="1:3">
      <c r="A23344" s="250">
        <v>54659</v>
      </c>
      <c r="B23344" s="74" t="s">
        <v>5195</v>
      </c>
      <c r="C23344" s="74" t="s">
        <v>459</v>
      </c>
    </row>
    <row r="23345" spans="1:3">
      <c r="A23345" s="250">
        <v>54660</v>
      </c>
      <c r="B23345" s="74" t="s">
        <v>12251</v>
      </c>
      <c r="C23345" s="74" t="s">
        <v>459</v>
      </c>
    </row>
    <row r="23346" spans="1:3">
      <c r="A23346" s="250">
        <v>54661</v>
      </c>
      <c r="B23346" s="74" t="s">
        <v>12252</v>
      </c>
      <c r="C23346" s="74" t="s">
        <v>459</v>
      </c>
    </row>
    <row r="23347" spans="1:3">
      <c r="A23347" s="250">
        <v>54662</v>
      </c>
      <c r="B23347" s="74" t="s">
        <v>12253</v>
      </c>
      <c r="C23347" s="74" t="s">
        <v>459</v>
      </c>
    </row>
    <row r="23348" spans="1:3">
      <c r="A23348" s="250">
        <v>54664</v>
      </c>
      <c r="B23348" s="74" t="s">
        <v>5510</v>
      </c>
      <c r="C23348" s="74" t="s">
        <v>459</v>
      </c>
    </row>
    <row r="23349" spans="1:3">
      <c r="A23349" s="250">
        <v>54665</v>
      </c>
      <c r="B23349" s="74" t="s">
        <v>12254</v>
      </c>
      <c r="C23349" s="74" t="s">
        <v>459</v>
      </c>
    </row>
    <row r="23350" spans="1:3">
      <c r="A23350" s="250">
        <v>54666</v>
      </c>
      <c r="B23350" s="74" t="s">
        <v>12255</v>
      </c>
      <c r="C23350" s="74" t="s">
        <v>459</v>
      </c>
    </row>
    <row r="23351" spans="1:3">
      <c r="A23351" s="250">
        <v>54667</v>
      </c>
      <c r="B23351" s="74" t="s">
        <v>12256</v>
      </c>
      <c r="C23351" s="74" t="s">
        <v>459</v>
      </c>
    </row>
    <row r="23352" spans="1:3">
      <c r="A23352" s="250">
        <v>54669</v>
      </c>
      <c r="B23352" s="74" t="s">
        <v>10352</v>
      </c>
      <c r="C23352" s="74" t="s">
        <v>459</v>
      </c>
    </row>
    <row r="23353" spans="1:3">
      <c r="A23353" s="250">
        <v>54670</v>
      </c>
      <c r="B23353" s="74" t="s">
        <v>1173</v>
      </c>
      <c r="C23353" s="74" t="s">
        <v>459</v>
      </c>
    </row>
    <row r="23354" spans="1:3">
      <c r="A23354" s="250">
        <v>54701</v>
      </c>
      <c r="B23354" s="74" t="s">
        <v>4386</v>
      </c>
      <c r="C23354" s="74" t="s">
        <v>459</v>
      </c>
    </row>
    <row r="23355" spans="1:3">
      <c r="A23355" s="250">
        <v>54702</v>
      </c>
      <c r="B23355" s="74" t="s">
        <v>4386</v>
      </c>
      <c r="C23355" s="74" t="s">
        <v>459</v>
      </c>
    </row>
    <row r="23356" spans="1:3">
      <c r="A23356" s="250">
        <v>54703</v>
      </c>
      <c r="B23356" s="74" t="s">
        <v>4386</v>
      </c>
      <c r="C23356" s="74" t="s">
        <v>459</v>
      </c>
    </row>
    <row r="23357" spans="1:3">
      <c r="A23357" s="250">
        <v>54720</v>
      </c>
      <c r="B23357" s="74" t="s">
        <v>4529</v>
      </c>
      <c r="C23357" s="74" t="s">
        <v>459</v>
      </c>
    </row>
    <row r="23358" spans="1:3">
      <c r="A23358" s="250">
        <v>54721</v>
      </c>
      <c r="B23358" s="74" t="s">
        <v>12257</v>
      </c>
      <c r="C23358" s="74" t="s">
        <v>459</v>
      </c>
    </row>
    <row r="23359" spans="1:3">
      <c r="A23359" s="250">
        <v>54722</v>
      </c>
      <c r="B23359" s="74" t="s">
        <v>1473</v>
      </c>
      <c r="C23359" s="74" t="s">
        <v>459</v>
      </c>
    </row>
    <row r="23360" spans="1:3">
      <c r="A23360" s="250">
        <v>54723</v>
      </c>
      <c r="B23360" s="74" t="s">
        <v>11114</v>
      </c>
      <c r="C23360" s="74" t="s">
        <v>459</v>
      </c>
    </row>
    <row r="23361" spans="1:3">
      <c r="A23361" s="250">
        <v>54724</v>
      </c>
      <c r="B23361" s="74" t="s">
        <v>12258</v>
      </c>
      <c r="C23361" s="74" t="s">
        <v>459</v>
      </c>
    </row>
    <row r="23362" spans="1:3">
      <c r="A23362" s="250">
        <v>54725</v>
      </c>
      <c r="B23362" s="74" t="s">
        <v>12259</v>
      </c>
      <c r="C23362" s="74" t="s">
        <v>459</v>
      </c>
    </row>
    <row r="23363" spans="1:3">
      <c r="A23363" s="250">
        <v>54726</v>
      </c>
      <c r="B23363" s="74" t="s">
        <v>12260</v>
      </c>
      <c r="C23363" s="74" t="s">
        <v>459</v>
      </c>
    </row>
    <row r="23364" spans="1:3">
      <c r="A23364" s="250">
        <v>54727</v>
      </c>
      <c r="B23364" s="74" t="s">
        <v>12261</v>
      </c>
      <c r="C23364" s="74" t="s">
        <v>459</v>
      </c>
    </row>
    <row r="23365" spans="1:3">
      <c r="A23365" s="250">
        <v>54728</v>
      </c>
      <c r="B23365" s="74" t="s">
        <v>12262</v>
      </c>
      <c r="C23365" s="74" t="s">
        <v>459</v>
      </c>
    </row>
    <row r="23366" spans="1:3">
      <c r="A23366" s="250">
        <v>54729</v>
      </c>
      <c r="B23366" s="74" t="s">
        <v>12263</v>
      </c>
      <c r="C23366" s="74" t="s">
        <v>459</v>
      </c>
    </row>
    <row r="23367" spans="1:3">
      <c r="A23367" s="250">
        <v>54730</v>
      </c>
      <c r="B23367" s="74" t="s">
        <v>6980</v>
      </c>
      <c r="C23367" s="74" t="s">
        <v>459</v>
      </c>
    </row>
    <row r="23368" spans="1:3">
      <c r="A23368" s="250">
        <v>54731</v>
      </c>
      <c r="B23368" s="74" t="s">
        <v>12264</v>
      </c>
      <c r="C23368" s="74" t="s">
        <v>459</v>
      </c>
    </row>
    <row r="23369" spans="1:3">
      <c r="A23369" s="250">
        <v>54732</v>
      </c>
      <c r="B23369" s="74" t="s">
        <v>11405</v>
      </c>
      <c r="C23369" s="74" t="s">
        <v>459</v>
      </c>
    </row>
    <row r="23370" spans="1:3">
      <c r="A23370" s="250">
        <v>54733</v>
      </c>
      <c r="B23370" s="74" t="s">
        <v>5199</v>
      </c>
      <c r="C23370" s="74" t="s">
        <v>459</v>
      </c>
    </row>
    <row r="23371" spans="1:3">
      <c r="A23371" s="250">
        <v>54734</v>
      </c>
      <c r="B23371" s="74" t="s">
        <v>12265</v>
      </c>
      <c r="C23371" s="74" t="s">
        <v>459</v>
      </c>
    </row>
    <row r="23372" spans="1:3">
      <c r="A23372" s="250">
        <v>54735</v>
      </c>
      <c r="B23372" s="74" t="s">
        <v>3610</v>
      </c>
      <c r="C23372" s="74" t="s">
        <v>459</v>
      </c>
    </row>
    <row r="23373" spans="1:3">
      <c r="A23373" s="250">
        <v>54736</v>
      </c>
      <c r="B23373" s="74" t="s">
        <v>11064</v>
      </c>
      <c r="C23373" s="74" t="s">
        <v>459</v>
      </c>
    </row>
    <row r="23374" spans="1:3">
      <c r="A23374" s="250">
        <v>54737</v>
      </c>
      <c r="B23374" s="74" t="s">
        <v>12266</v>
      </c>
      <c r="C23374" s="74" t="s">
        <v>459</v>
      </c>
    </row>
    <row r="23375" spans="1:3">
      <c r="A23375" s="250">
        <v>54738</v>
      </c>
      <c r="B23375" s="74" t="s">
        <v>12267</v>
      </c>
      <c r="C23375" s="74" t="s">
        <v>459</v>
      </c>
    </row>
    <row r="23376" spans="1:3">
      <c r="A23376" s="250">
        <v>54739</v>
      </c>
      <c r="B23376" s="74" t="s">
        <v>12268</v>
      </c>
      <c r="C23376" s="74" t="s">
        <v>459</v>
      </c>
    </row>
    <row r="23377" spans="1:3">
      <c r="A23377" s="250">
        <v>54740</v>
      </c>
      <c r="B23377" s="74" t="s">
        <v>942</v>
      </c>
      <c r="C23377" s="74" t="s">
        <v>459</v>
      </c>
    </row>
    <row r="23378" spans="1:3">
      <c r="A23378" s="250">
        <v>54741</v>
      </c>
      <c r="B23378" s="74" t="s">
        <v>12269</v>
      </c>
      <c r="C23378" s="74" t="s">
        <v>459</v>
      </c>
    </row>
    <row r="23379" spans="1:3">
      <c r="A23379" s="250">
        <v>54742</v>
      </c>
      <c r="B23379" s="74" t="s">
        <v>12270</v>
      </c>
      <c r="C23379" s="74" t="s">
        <v>459</v>
      </c>
    </row>
    <row r="23380" spans="1:3">
      <c r="A23380" s="250">
        <v>54743</v>
      </c>
      <c r="B23380" s="74" t="s">
        <v>1188</v>
      </c>
      <c r="C23380" s="74" t="s">
        <v>459</v>
      </c>
    </row>
    <row r="23381" spans="1:3">
      <c r="A23381" s="250">
        <v>54745</v>
      </c>
      <c r="B23381" s="74" t="s">
        <v>12271</v>
      </c>
      <c r="C23381" s="74" t="s">
        <v>459</v>
      </c>
    </row>
    <row r="23382" spans="1:3">
      <c r="A23382" s="250">
        <v>54746</v>
      </c>
      <c r="B23382" s="74" t="s">
        <v>12272</v>
      </c>
      <c r="C23382" s="74" t="s">
        <v>459</v>
      </c>
    </row>
    <row r="23383" spans="1:3">
      <c r="A23383" s="250">
        <v>54747</v>
      </c>
      <c r="B23383" s="74" t="s">
        <v>6364</v>
      </c>
      <c r="C23383" s="74" t="s">
        <v>459</v>
      </c>
    </row>
    <row r="23384" spans="1:3">
      <c r="A23384" s="250">
        <v>54748</v>
      </c>
      <c r="B23384" s="74" t="s">
        <v>12273</v>
      </c>
      <c r="C23384" s="74" t="s">
        <v>459</v>
      </c>
    </row>
    <row r="23385" spans="1:3">
      <c r="A23385" s="250">
        <v>54749</v>
      </c>
      <c r="B23385" s="74" t="s">
        <v>12274</v>
      </c>
      <c r="C23385" s="74" t="s">
        <v>459</v>
      </c>
    </row>
    <row r="23386" spans="1:3">
      <c r="A23386" s="250">
        <v>54750</v>
      </c>
      <c r="B23386" s="74" t="s">
        <v>12275</v>
      </c>
      <c r="C23386" s="74" t="s">
        <v>459</v>
      </c>
    </row>
    <row r="23387" spans="1:3">
      <c r="A23387" s="250">
        <v>54751</v>
      </c>
      <c r="B23387" s="74" t="s">
        <v>12276</v>
      </c>
      <c r="C23387" s="74" t="s">
        <v>459</v>
      </c>
    </row>
    <row r="23388" spans="1:3">
      <c r="A23388" s="250">
        <v>54754</v>
      </c>
      <c r="B23388" s="74" t="s">
        <v>12277</v>
      </c>
      <c r="C23388" s="74" t="s">
        <v>459</v>
      </c>
    </row>
    <row r="23389" spans="1:3">
      <c r="A23389" s="250">
        <v>54755</v>
      </c>
      <c r="B23389" s="74" t="s">
        <v>12278</v>
      </c>
      <c r="C23389" s="74" t="s">
        <v>459</v>
      </c>
    </row>
    <row r="23390" spans="1:3">
      <c r="A23390" s="250">
        <v>54756</v>
      </c>
      <c r="B23390" s="74" t="s">
        <v>1238</v>
      </c>
      <c r="C23390" s="74" t="s">
        <v>459</v>
      </c>
    </row>
    <row r="23391" spans="1:3">
      <c r="A23391" s="250">
        <v>54757</v>
      </c>
      <c r="B23391" s="74" t="s">
        <v>12279</v>
      </c>
      <c r="C23391" s="74" t="s">
        <v>459</v>
      </c>
    </row>
    <row r="23392" spans="1:3">
      <c r="A23392" s="250">
        <v>54758</v>
      </c>
      <c r="B23392" s="74" t="s">
        <v>11240</v>
      </c>
      <c r="C23392" s="74" t="s">
        <v>459</v>
      </c>
    </row>
    <row r="23393" spans="1:3">
      <c r="A23393" s="250">
        <v>54759</v>
      </c>
      <c r="B23393" s="74" t="s">
        <v>12280</v>
      </c>
      <c r="C23393" s="74" t="s">
        <v>459</v>
      </c>
    </row>
    <row r="23394" spans="1:3">
      <c r="A23394" s="250">
        <v>54760</v>
      </c>
      <c r="B23394" s="74" t="s">
        <v>12281</v>
      </c>
      <c r="C23394" s="74" t="s">
        <v>459</v>
      </c>
    </row>
    <row r="23395" spans="1:3">
      <c r="A23395" s="250">
        <v>54761</v>
      </c>
      <c r="B23395" s="74" t="s">
        <v>12282</v>
      </c>
      <c r="C23395" s="74" t="s">
        <v>459</v>
      </c>
    </row>
    <row r="23396" spans="1:3">
      <c r="A23396" s="250">
        <v>54762</v>
      </c>
      <c r="B23396" s="74" t="s">
        <v>12283</v>
      </c>
      <c r="C23396" s="74" t="s">
        <v>459</v>
      </c>
    </row>
    <row r="23397" spans="1:3">
      <c r="A23397" s="250">
        <v>54763</v>
      </c>
      <c r="B23397" s="74" t="s">
        <v>7846</v>
      </c>
      <c r="C23397" s="74" t="s">
        <v>459</v>
      </c>
    </row>
    <row r="23398" spans="1:3">
      <c r="A23398" s="250">
        <v>54764</v>
      </c>
      <c r="B23398" s="74" t="s">
        <v>11593</v>
      </c>
      <c r="C23398" s="74" t="s">
        <v>459</v>
      </c>
    </row>
    <row r="23399" spans="1:3">
      <c r="A23399" s="250">
        <v>54765</v>
      </c>
      <c r="B23399" s="74" t="s">
        <v>11245</v>
      </c>
      <c r="C23399" s="74" t="s">
        <v>459</v>
      </c>
    </row>
    <row r="23400" spans="1:3">
      <c r="A23400" s="250">
        <v>54766</v>
      </c>
      <c r="B23400" s="74" t="s">
        <v>1829</v>
      </c>
      <c r="C23400" s="74" t="s">
        <v>459</v>
      </c>
    </row>
    <row r="23401" spans="1:3">
      <c r="A23401" s="250">
        <v>54767</v>
      </c>
      <c r="B23401" s="74" t="s">
        <v>2706</v>
      </c>
      <c r="C23401" s="74" t="s">
        <v>459</v>
      </c>
    </row>
    <row r="23402" spans="1:3">
      <c r="A23402" s="250">
        <v>54768</v>
      </c>
      <c r="B23402" s="74" t="s">
        <v>3830</v>
      </c>
      <c r="C23402" s="74" t="s">
        <v>459</v>
      </c>
    </row>
    <row r="23403" spans="1:3">
      <c r="A23403" s="250">
        <v>54769</v>
      </c>
      <c r="B23403" s="74" t="s">
        <v>1657</v>
      </c>
      <c r="C23403" s="74" t="s">
        <v>459</v>
      </c>
    </row>
    <row r="23404" spans="1:3">
      <c r="A23404" s="250">
        <v>54770</v>
      </c>
      <c r="B23404" s="74" t="s">
        <v>12284</v>
      </c>
      <c r="C23404" s="74" t="s">
        <v>459</v>
      </c>
    </row>
    <row r="23405" spans="1:3">
      <c r="A23405" s="250">
        <v>54771</v>
      </c>
      <c r="B23405" s="74" t="s">
        <v>12285</v>
      </c>
      <c r="C23405" s="74" t="s">
        <v>459</v>
      </c>
    </row>
    <row r="23406" spans="1:3">
      <c r="A23406" s="250">
        <v>54772</v>
      </c>
      <c r="B23406" s="74" t="s">
        <v>9379</v>
      </c>
      <c r="C23406" s="74" t="s">
        <v>459</v>
      </c>
    </row>
    <row r="23407" spans="1:3">
      <c r="A23407" s="250">
        <v>54773</v>
      </c>
      <c r="B23407" s="74" t="s">
        <v>3273</v>
      </c>
      <c r="C23407" s="74" t="s">
        <v>459</v>
      </c>
    </row>
    <row r="23408" spans="1:3">
      <c r="A23408" s="250">
        <v>54774</v>
      </c>
      <c r="B23408" s="74" t="s">
        <v>12263</v>
      </c>
      <c r="C23408" s="74" t="s">
        <v>459</v>
      </c>
    </row>
    <row r="23409" spans="1:3">
      <c r="A23409" s="250">
        <v>54801</v>
      </c>
      <c r="B23409" s="74" t="s">
        <v>12286</v>
      </c>
      <c r="C23409" s="74" t="s">
        <v>459</v>
      </c>
    </row>
    <row r="23410" spans="1:3">
      <c r="A23410" s="250">
        <v>54805</v>
      </c>
      <c r="B23410" s="74" t="s">
        <v>12287</v>
      </c>
      <c r="C23410" s="74" t="s">
        <v>459</v>
      </c>
    </row>
    <row r="23411" spans="1:3">
      <c r="A23411" s="250">
        <v>54806</v>
      </c>
      <c r="B23411" s="74" t="s">
        <v>782</v>
      </c>
      <c r="C23411" s="74" t="s">
        <v>459</v>
      </c>
    </row>
    <row r="23412" spans="1:3">
      <c r="A23412" s="250">
        <v>54810</v>
      </c>
      <c r="B23412" s="74" t="s">
        <v>12288</v>
      </c>
      <c r="C23412" s="74" t="s">
        <v>459</v>
      </c>
    </row>
    <row r="23413" spans="1:3">
      <c r="A23413" s="250">
        <v>54812</v>
      </c>
      <c r="B23413" s="74" t="s">
        <v>12289</v>
      </c>
      <c r="C23413" s="74" t="s">
        <v>459</v>
      </c>
    </row>
    <row r="23414" spans="1:3">
      <c r="A23414" s="250">
        <v>54813</v>
      </c>
      <c r="B23414" s="74" t="s">
        <v>12290</v>
      </c>
      <c r="C23414" s="74" t="s">
        <v>459</v>
      </c>
    </row>
    <row r="23415" spans="1:3">
      <c r="A23415" s="250">
        <v>54814</v>
      </c>
      <c r="B23415" s="74" t="s">
        <v>12291</v>
      </c>
      <c r="C23415" s="74" t="s">
        <v>459</v>
      </c>
    </row>
    <row r="23416" spans="1:3">
      <c r="A23416" s="250">
        <v>54816</v>
      </c>
      <c r="B23416" s="74" t="s">
        <v>9329</v>
      </c>
      <c r="C23416" s="74" t="s">
        <v>459</v>
      </c>
    </row>
    <row r="23417" spans="1:3">
      <c r="A23417" s="250">
        <v>54817</v>
      </c>
      <c r="B23417" s="74" t="s">
        <v>9050</v>
      </c>
      <c r="C23417" s="74" t="s">
        <v>459</v>
      </c>
    </row>
    <row r="23418" spans="1:3">
      <c r="A23418" s="250">
        <v>54818</v>
      </c>
      <c r="B23418" s="74" t="s">
        <v>12292</v>
      </c>
      <c r="C23418" s="74" t="s">
        <v>459</v>
      </c>
    </row>
    <row r="23419" spans="1:3">
      <c r="A23419" s="250">
        <v>54819</v>
      </c>
      <c r="B23419" s="74" t="s">
        <v>9382</v>
      </c>
      <c r="C23419" s="74" t="s">
        <v>459</v>
      </c>
    </row>
    <row r="23420" spans="1:3">
      <c r="A23420" s="250">
        <v>54820</v>
      </c>
      <c r="B23420" s="74" t="s">
        <v>12293</v>
      </c>
      <c r="C23420" s="74" t="s">
        <v>459</v>
      </c>
    </row>
    <row r="23421" spans="1:3">
      <c r="A23421" s="250">
        <v>54821</v>
      </c>
      <c r="B23421" s="74" t="s">
        <v>10083</v>
      </c>
      <c r="C23421" s="74" t="s">
        <v>459</v>
      </c>
    </row>
    <row r="23422" spans="1:3">
      <c r="A23422" s="250">
        <v>54822</v>
      </c>
      <c r="B23422" s="74" t="s">
        <v>3902</v>
      </c>
      <c r="C23422" s="74" t="s">
        <v>459</v>
      </c>
    </row>
    <row r="23423" spans="1:3">
      <c r="A23423" s="250">
        <v>54824</v>
      </c>
      <c r="B23423" s="74" t="s">
        <v>12294</v>
      </c>
      <c r="C23423" s="74" t="s">
        <v>459</v>
      </c>
    </row>
    <row r="23424" spans="1:3">
      <c r="A23424" s="250">
        <v>54826</v>
      </c>
      <c r="B23424" s="74" t="s">
        <v>3230</v>
      </c>
      <c r="C23424" s="74" t="s">
        <v>459</v>
      </c>
    </row>
    <row r="23425" spans="1:3">
      <c r="A23425" s="250">
        <v>54827</v>
      </c>
      <c r="B23425" s="74" t="s">
        <v>12295</v>
      </c>
      <c r="C23425" s="74" t="s">
        <v>459</v>
      </c>
    </row>
    <row r="23426" spans="1:3">
      <c r="A23426" s="250">
        <v>54828</v>
      </c>
      <c r="B23426" s="74" t="s">
        <v>12296</v>
      </c>
      <c r="C23426" s="74" t="s">
        <v>459</v>
      </c>
    </row>
    <row r="23427" spans="1:3">
      <c r="A23427" s="250">
        <v>54829</v>
      </c>
      <c r="B23427" s="74" t="s">
        <v>1125</v>
      </c>
      <c r="C23427" s="74" t="s">
        <v>459</v>
      </c>
    </row>
    <row r="23428" spans="1:3">
      <c r="A23428" s="250">
        <v>54830</v>
      </c>
      <c r="B23428" s="74" t="s">
        <v>1184</v>
      </c>
      <c r="C23428" s="74" t="s">
        <v>459</v>
      </c>
    </row>
    <row r="23429" spans="1:3">
      <c r="A23429" s="250">
        <v>54832</v>
      </c>
      <c r="B23429" s="74" t="s">
        <v>12297</v>
      </c>
      <c r="C23429" s="74" t="s">
        <v>459</v>
      </c>
    </row>
    <row r="23430" spans="1:3">
      <c r="A23430" s="250">
        <v>54834</v>
      </c>
      <c r="B23430" s="74" t="s">
        <v>2120</v>
      </c>
      <c r="C23430" s="74" t="s">
        <v>459</v>
      </c>
    </row>
    <row r="23431" spans="1:3">
      <c r="A23431" s="250">
        <v>54835</v>
      </c>
      <c r="B23431" s="74" t="s">
        <v>12298</v>
      </c>
      <c r="C23431" s="74" t="s">
        <v>459</v>
      </c>
    </row>
    <row r="23432" spans="1:3">
      <c r="A23432" s="250">
        <v>54836</v>
      </c>
      <c r="B23432" s="74" t="s">
        <v>872</v>
      </c>
      <c r="C23432" s="74" t="s">
        <v>459</v>
      </c>
    </row>
    <row r="23433" spans="1:3">
      <c r="A23433" s="250">
        <v>54837</v>
      </c>
      <c r="B23433" s="74" t="s">
        <v>11355</v>
      </c>
      <c r="C23433" s="74" t="s">
        <v>459</v>
      </c>
    </row>
    <row r="23434" spans="1:3">
      <c r="A23434" s="250">
        <v>54838</v>
      </c>
      <c r="B23434" s="74" t="s">
        <v>4995</v>
      </c>
      <c r="C23434" s="74" t="s">
        <v>459</v>
      </c>
    </row>
    <row r="23435" spans="1:3">
      <c r="A23435" s="250">
        <v>54839</v>
      </c>
      <c r="B23435" s="74" t="s">
        <v>12299</v>
      </c>
      <c r="C23435" s="74" t="s">
        <v>459</v>
      </c>
    </row>
    <row r="23436" spans="1:3">
      <c r="A23436" s="250">
        <v>54840</v>
      </c>
      <c r="B23436" s="74" t="s">
        <v>10812</v>
      </c>
      <c r="C23436" s="74" t="s">
        <v>459</v>
      </c>
    </row>
    <row r="23437" spans="1:3">
      <c r="A23437" s="250">
        <v>54841</v>
      </c>
      <c r="B23437" s="74" t="s">
        <v>12300</v>
      </c>
      <c r="C23437" s="74" t="s">
        <v>459</v>
      </c>
    </row>
    <row r="23438" spans="1:3">
      <c r="A23438" s="250">
        <v>54842</v>
      </c>
      <c r="B23438" s="74" t="s">
        <v>2215</v>
      </c>
      <c r="C23438" s="74" t="s">
        <v>459</v>
      </c>
    </row>
    <row r="23439" spans="1:3">
      <c r="A23439" s="250">
        <v>54843</v>
      </c>
      <c r="B23439" s="74" t="s">
        <v>12301</v>
      </c>
      <c r="C23439" s="74" t="s">
        <v>459</v>
      </c>
    </row>
    <row r="23440" spans="1:3">
      <c r="A23440" s="250">
        <v>54844</v>
      </c>
      <c r="B23440" s="74" t="s">
        <v>12302</v>
      </c>
      <c r="C23440" s="74" t="s">
        <v>459</v>
      </c>
    </row>
    <row r="23441" spans="1:3">
      <c r="A23441" s="250">
        <v>54845</v>
      </c>
      <c r="B23441" s="74" t="s">
        <v>12303</v>
      </c>
      <c r="C23441" s="74" t="s">
        <v>459</v>
      </c>
    </row>
    <row r="23442" spans="1:3">
      <c r="A23442" s="250">
        <v>54846</v>
      </c>
      <c r="B23442" s="74" t="s">
        <v>2575</v>
      </c>
      <c r="C23442" s="74" t="s">
        <v>459</v>
      </c>
    </row>
    <row r="23443" spans="1:3">
      <c r="A23443" s="250">
        <v>54847</v>
      </c>
      <c r="B23443" s="74" t="s">
        <v>11462</v>
      </c>
      <c r="C23443" s="74" t="s">
        <v>459</v>
      </c>
    </row>
    <row r="23444" spans="1:3">
      <c r="A23444" s="250">
        <v>54848</v>
      </c>
      <c r="B23444" s="74" t="s">
        <v>5902</v>
      </c>
      <c r="C23444" s="74" t="s">
        <v>459</v>
      </c>
    </row>
    <row r="23445" spans="1:3">
      <c r="A23445" s="250">
        <v>54849</v>
      </c>
      <c r="B23445" s="74" t="s">
        <v>12304</v>
      </c>
      <c r="C23445" s="74" t="s">
        <v>459</v>
      </c>
    </row>
    <row r="23446" spans="1:3">
      <c r="A23446" s="250">
        <v>54850</v>
      </c>
      <c r="B23446" s="74" t="s">
        <v>12305</v>
      </c>
      <c r="C23446" s="74" t="s">
        <v>459</v>
      </c>
    </row>
    <row r="23447" spans="1:3">
      <c r="A23447" s="250">
        <v>54853</v>
      </c>
      <c r="B23447" s="74" t="s">
        <v>12306</v>
      </c>
      <c r="C23447" s="74" t="s">
        <v>459</v>
      </c>
    </row>
    <row r="23448" spans="1:3">
      <c r="A23448" s="250">
        <v>54854</v>
      </c>
      <c r="B23448" s="74" t="s">
        <v>7264</v>
      </c>
      <c r="C23448" s="74" t="s">
        <v>459</v>
      </c>
    </row>
    <row r="23449" spans="1:3">
      <c r="A23449" s="250">
        <v>54855</v>
      </c>
      <c r="B23449" s="74" t="s">
        <v>10141</v>
      </c>
      <c r="C23449" s="74" t="s">
        <v>459</v>
      </c>
    </row>
    <row r="23450" spans="1:3">
      <c r="A23450" s="250">
        <v>54856</v>
      </c>
      <c r="B23450" s="74" t="s">
        <v>6673</v>
      </c>
      <c r="C23450" s="74" t="s">
        <v>459</v>
      </c>
    </row>
    <row r="23451" spans="1:3">
      <c r="A23451" s="250">
        <v>54857</v>
      </c>
      <c r="B23451" s="74" t="s">
        <v>12307</v>
      </c>
      <c r="C23451" s="74" t="s">
        <v>459</v>
      </c>
    </row>
    <row r="23452" spans="1:3">
      <c r="A23452" s="250">
        <v>54858</v>
      </c>
      <c r="B23452" s="74" t="s">
        <v>2583</v>
      </c>
      <c r="C23452" s="74" t="s">
        <v>459</v>
      </c>
    </row>
    <row r="23453" spans="1:3">
      <c r="A23453" s="250">
        <v>54859</v>
      </c>
      <c r="B23453" s="74" t="s">
        <v>12308</v>
      </c>
      <c r="C23453" s="74" t="s">
        <v>459</v>
      </c>
    </row>
    <row r="23454" spans="1:3">
      <c r="A23454" s="250">
        <v>54861</v>
      </c>
      <c r="B23454" s="74" t="s">
        <v>12309</v>
      </c>
      <c r="C23454" s="74" t="s">
        <v>459</v>
      </c>
    </row>
    <row r="23455" spans="1:3">
      <c r="A23455" s="250">
        <v>54862</v>
      </c>
      <c r="B23455" s="74" t="s">
        <v>12310</v>
      </c>
      <c r="C23455" s="74" t="s">
        <v>459</v>
      </c>
    </row>
    <row r="23456" spans="1:3">
      <c r="A23456" s="250">
        <v>54864</v>
      </c>
      <c r="B23456" s="74" t="s">
        <v>12311</v>
      </c>
      <c r="C23456" s="74" t="s">
        <v>459</v>
      </c>
    </row>
    <row r="23457" spans="1:3">
      <c r="A23457" s="250">
        <v>54865</v>
      </c>
      <c r="B23457" s="74" t="s">
        <v>12312</v>
      </c>
      <c r="C23457" s="74" t="s">
        <v>459</v>
      </c>
    </row>
    <row r="23458" spans="1:3">
      <c r="A23458" s="250">
        <v>54867</v>
      </c>
      <c r="B23458" s="74" t="s">
        <v>12313</v>
      </c>
      <c r="C23458" s="74" t="s">
        <v>459</v>
      </c>
    </row>
    <row r="23459" spans="1:3">
      <c r="A23459" s="250">
        <v>54868</v>
      </c>
      <c r="B23459" s="74" t="s">
        <v>12314</v>
      </c>
      <c r="C23459" s="74" t="s">
        <v>459</v>
      </c>
    </row>
    <row r="23460" spans="1:3">
      <c r="A23460" s="250">
        <v>54870</v>
      </c>
      <c r="B23460" s="74" t="s">
        <v>12315</v>
      </c>
      <c r="C23460" s="74" t="s">
        <v>459</v>
      </c>
    </row>
    <row r="23461" spans="1:3">
      <c r="A23461" s="250">
        <v>54871</v>
      </c>
      <c r="B23461" s="74" t="s">
        <v>12316</v>
      </c>
      <c r="C23461" s="74" t="s">
        <v>459</v>
      </c>
    </row>
    <row r="23462" spans="1:3">
      <c r="A23462" s="250">
        <v>54872</v>
      </c>
      <c r="B23462" s="74" t="s">
        <v>12317</v>
      </c>
      <c r="C23462" s="74" t="s">
        <v>459</v>
      </c>
    </row>
    <row r="23463" spans="1:3">
      <c r="A23463" s="250">
        <v>54873</v>
      </c>
      <c r="B23463" s="74" t="s">
        <v>12318</v>
      </c>
      <c r="C23463" s="74" t="s">
        <v>459</v>
      </c>
    </row>
    <row r="23464" spans="1:3">
      <c r="A23464" s="250">
        <v>54874</v>
      </c>
      <c r="B23464" s="74" t="s">
        <v>11474</v>
      </c>
      <c r="C23464" s="74" t="s">
        <v>459</v>
      </c>
    </row>
    <row r="23465" spans="1:3">
      <c r="A23465" s="250">
        <v>54875</v>
      </c>
      <c r="B23465" s="74" t="s">
        <v>11814</v>
      </c>
      <c r="C23465" s="74" t="s">
        <v>459</v>
      </c>
    </row>
    <row r="23466" spans="1:3">
      <c r="A23466" s="250">
        <v>54876</v>
      </c>
      <c r="B23466" s="74" t="s">
        <v>12319</v>
      </c>
      <c r="C23466" s="74" t="s">
        <v>459</v>
      </c>
    </row>
    <row r="23467" spans="1:3">
      <c r="A23467" s="250">
        <v>54880</v>
      </c>
      <c r="B23467" s="74" t="s">
        <v>11744</v>
      </c>
      <c r="C23467" s="74" t="s">
        <v>459</v>
      </c>
    </row>
    <row r="23468" spans="1:3">
      <c r="A23468" s="250">
        <v>54888</v>
      </c>
      <c r="B23468" s="74" t="s">
        <v>12320</v>
      </c>
      <c r="C23468" s="74" t="s">
        <v>459</v>
      </c>
    </row>
    <row r="23469" spans="1:3">
      <c r="A23469" s="250">
        <v>54889</v>
      </c>
      <c r="B23469" s="74" t="s">
        <v>12321</v>
      </c>
      <c r="C23469" s="74" t="s">
        <v>459</v>
      </c>
    </row>
    <row r="23470" spans="1:3">
      <c r="A23470" s="250">
        <v>54890</v>
      </c>
      <c r="B23470" s="74" t="s">
        <v>12322</v>
      </c>
      <c r="C23470" s="74" t="s">
        <v>459</v>
      </c>
    </row>
    <row r="23471" spans="1:3">
      <c r="A23471" s="250">
        <v>54891</v>
      </c>
      <c r="B23471" s="74" t="s">
        <v>1659</v>
      </c>
      <c r="C23471" s="74" t="s">
        <v>459</v>
      </c>
    </row>
    <row r="23472" spans="1:3">
      <c r="A23472" s="250">
        <v>54893</v>
      </c>
      <c r="B23472" s="74" t="s">
        <v>767</v>
      </c>
      <c r="C23472" s="74" t="s">
        <v>459</v>
      </c>
    </row>
    <row r="23473" spans="1:3">
      <c r="A23473" s="250">
        <v>54895</v>
      </c>
      <c r="B23473" s="74" t="s">
        <v>12323</v>
      </c>
      <c r="C23473" s="74" t="s">
        <v>459</v>
      </c>
    </row>
    <row r="23474" spans="1:3">
      <c r="A23474" s="250">
        <v>54896</v>
      </c>
      <c r="B23474" s="74" t="s">
        <v>12324</v>
      </c>
      <c r="C23474" s="74" t="s">
        <v>459</v>
      </c>
    </row>
    <row r="23475" spans="1:3">
      <c r="A23475" s="250">
        <v>54901</v>
      </c>
      <c r="B23475" s="74" t="s">
        <v>12325</v>
      </c>
      <c r="C23475" s="74" t="s">
        <v>459</v>
      </c>
    </row>
    <row r="23476" spans="1:3">
      <c r="A23476" s="250">
        <v>54902</v>
      </c>
      <c r="B23476" s="74" t="s">
        <v>12325</v>
      </c>
      <c r="C23476" s="74" t="s">
        <v>459</v>
      </c>
    </row>
    <row r="23477" spans="1:3">
      <c r="A23477" s="250">
        <v>54903</v>
      </c>
      <c r="B23477" s="74" t="s">
        <v>12325</v>
      </c>
      <c r="C23477" s="74" t="s">
        <v>459</v>
      </c>
    </row>
    <row r="23478" spans="1:3">
      <c r="A23478" s="250">
        <v>54904</v>
      </c>
      <c r="B23478" s="74" t="s">
        <v>12325</v>
      </c>
      <c r="C23478" s="74" t="s">
        <v>459</v>
      </c>
    </row>
    <row r="23479" spans="1:3">
      <c r="A23479" s="250">
        <v>54906</v>
      </c>
      <c r="B23479" s="74" t="s">
        <v>12325</v>
      </c>
      <c r="C23479" s="74" t="s">
        <v>459</v>
      </c>
    </row>
    <row r="23480" spans="1:3">
      <c r="A23480" s="250">
        <v>54909</v>
      </c>
      <c r="B23480" s="74" t="s">
        <v>3893</v>
      </c>
      <c r="C23480" s="74" t="s">
        <v>459</v>
      </c>
    </row>
    <row r="23481" spans="1:3">
      <c r="A23481" s="250">
        <v>54911</v>
      </c>
      <c r="B23481" s="74" t="s">
        <v>3671</v>
      </c>
      <c r="C23481" s="74" t="s">
        <v>459</v>
      </c>
    </row>
    <row r="23482" spans="1:3">
      <c r="A23482" s="250">
        <v>54912</v>
      </c>
      <c r="B23482" s="74" t="s">
        <v>3671</v>
      </c>
      <c r="C23482" s="74" t="s">
        <v>459</v>
      </c>
    </row>
    <row r="23483" spans="1:3">
      <c r="A23483" s="250">
        <v>54913</v>
      </c>
      <c r="B23483" s="74" t="s">
        <v>3671</v>
      </c>
      <c r="C23483" s="74" t="s">
        <v>459</v>
      </c>
    </row>
    <row r="23484" spans="1:3">
      <c r="A23484" s="250">
        <v>54914</v>
      </c>
      <c r="B23484" s="74" t="s">
        <v>3671</v>
      </c>
      <c r="C23484" s="74" t="s">
        <v>459</v>
      </c>
    </row>
    <row r="23485" spans="1:3">
      <c r="A23485" s="250">
        <v>54915</v>
      </c>
      <c r="B23485" s="74" t="s">
        <v>3671</v>
      </c>
      <c r="C23485" s="74" t="s">
        <v>459</v>
      </c>
    </row>
    <row r="23486" spans="1:3">
      <c r="A23486" s="250">
        <v>54919</v>
      </c>
      <c r="B23486" s="74" t="s">
        <v>3671</v>
      </c>
      <c r="C23486" s="74" t="s">
        <v>459</v>
      </c>
    </row>
    <row r="23487" spans="1:3">
      <c r="A23487" s="250">
        <v>54921</v>
      </c>
      <c r="B23487" s="74" t="s">
        <v>6574</v>
      </c>
      <c r="C23487" s="74" t="s">
        <v>459</v>
      </c>
    </row>
    <row r="23488" spans="1:3">
      <c r="A23488" s="250">
        <v>54922</v>
      </c>
      <c r="B23488" s="74" t="s">
        <v>5196</v>
      </c>
      <c r="C23488" s="74" t="s">
        <v>459</v>
      </c>
    </row>
    <row r="23489" spans="1:3">
      <c r="A23489" s="250">
        <v>54923</v>
      </c>
      <c r="B23489" s="74" t="s">
        <v>725</v>
      </c>
      <c r="C23489" s="74" t="s">
        <v>459</v>
      </c>
    </row>
    <row r="23490" spans="1:3">
      <c r="A23490" s="250">
        <v>54926</v>
      </c>
      <c r="B23490" s="74" t="s">
        <v>12326</v>
      </c>
      <c r="C23490" s="74" t="s">
        <v>459</v>
      </c>
    </row>
    <row r="23491" spans="1:3">
      <c r="A23491" s="250">
        <v>54927</v>
      </c>
      <c r="B23491" s="74" t="s">
        <v>12327</v>
      </c>
      <c r="C23491" s="74" t="s">
        <v>459</v>
      </c>
    </row>
    <row r="23492" spans="1:3">
      <c r="A23492" s="250">
        <v>54928</v>
      </c>
      <c r="B23492" s="74" t="s">
        <v>12328</v>
      </c>
      <c r="C23492" s="74" t="s">
        <v>459</v>
      </c>
    </row>
    <row r="23493" spans="1:3">
      <c r="A23493" s="250">
        <v>54929</v>
      </c>
      <c r="B23493" s="74" t="s">
        <v>4501</v>
      </c>
      <c r="C23493" s="74" t="s">
        <v>459</v>
      </c>
    </row>
    <row r="23494" spans="1:3">
      <c r="A23494" s="250">
        <v>54930</v>
      </c>
      <c r="B23494" s="74" t="s">
        <v>11192</v>
      </c>
      <c r="C23494" s="74" t="s">
        <v>459</v>
      </c>
    </row>
    <row r="23495" spans="1:3">
      <c r="A23495" s="250">
        <v>54931</v>
      </c>
      <c r="B23495" s="74" t="s">
        <v>3691</v>
      </c>
      <c r="C23495" s="74" t="s">
        <v>459</v>
      </c>
    </row>
    <row r="23496" spans="1:3">
      <c r="A23496" s="250">
        <v>54932</v>
      </c>
      <c r="B23496" s="74" t="s">
        <v>10497</v>
      </c>
      <c r="C23496" s="74" t="s">
        <v>459</v>
      </c>
    </row>
    <row r="23497" spans="1:3">
      <c r="A23497" s="250">
        <v>54933</v>
      </c>
      <c r="B23497" s="74" t="s">
        <v>12329</v>
      </c>
      <c r="C23497" s="74" t="s">
        <v>459</v>
      </c>
    </row>
    <row r="23498" spans="1:3">
      <c r="A23498" s="250">
        <v>54934</v>
      </c>
      <c r="B23498" s="74" t="s">
        <v>11160</v>
      </c>
      <c r="C23498" s="74" t="s">
        <v>459</v>
      </c>
    </row>
    <row r="23499" spans="1:3">
      <c r="A23499" s="250">
        <v>54935</v>
      </c>
      <c r="B23499" s="74" t="s">
        <v>12330</v>
      </c>
      <c r="C23499" s="74" t="s">
        <v>459</v>
      </c>
    </row>
    <row r="23500" spans="1:3">
      <c r="A23500" s="250">
        <v>54936</v>
      </c>
      <c r="B23500" s="74" t="s">
        <v>12330</v>
      </c>
      <c r="C23500" s="74" t="s">
        <v>459</v>
      </c>
    </row>
    <row r="23501" spans="1:3">
      <c r="A23501" s="250">
        <v>54937</v>
      </c>
      <c r="B23501" s="74" t="s">
        <v>12330</v>
      </c>
      <c r="C23501" s="74" t="s">
        <v>459</v>
      </c>
    </row>
    <row r="23502" spans="1:3">
      <c r="A23502" s="250">
        <v>54940</v>
      </c>
      <c r="B23502" s="74" t="s">
        <v>1157</v>
      </c>
      <c r="C23502" s="74" t="s">
        <v>459</v>
      </c>
    </row>
    <row r="23503" spans="1:3">
      <c r="A23503" s="250">
        <v>54941</v>
      </c>
      <c r="B23503" s="74" t="s">
        <v>12331</v>
      </c>
      <c r="C23503" s="74" t="s">
        <v>459</v>
      </c>
    </row>
    <row r="23504" spans="1:3">
      <c r="A23504" s="250">
        <v>54942</v>
      </c>
      <c r="B23504" s="74" t="s">
        <v>1108</v>
      </c>
      <c r="C23504" s="74" t="s">
        <v>459</v>
      </c>
    </row>
    <row r="23505" spans="1:3">
      <c r="A23505" s="250">
        <v>54943</v>
      </c>
      <c r="B23505" s="74" t="s">
        <v>1235</v>
      </c>
      <c r="C23505" s="74" t="s">
        <v>459</v>
      </c>
    </row>
    <row r="23506" spans="1:3">
      <c r="A23506" s="250">
        <v>54944</v>
      </c>
      <c r="B23506" s="74" t="s">
        <v>3181</v>
      </c>
      <c r="C23506" s="74" t="s">
        <v>459</v>
      </c>
    </row>
    <row r="23507" spans="1:3">
      <c r="A23507" s="250">
        <v>54945</v>
      </c>
      <c r="B23507" s="74" t="s">
        <v>12332</v>
      </c>
      <c r="C23507" s="74" t="s">
        <v>459</v>
      </c>
    </row>
    <row r="23508" spans="1:3">
      <c r="A23508" s="250">
        <v>54946</v>
      </c>
      <c r="B23508" s="74" t="s">
        <v>7061</v>
      </c>
      <c r="C23508" s="74" t="s">
        <v>459</v>
      </c>
    </row>
    <row r="23509" spans="1:3">
      <c r="A23509" s="250">
        <v>54947</v>
      </c>
      <c r="B23509" s="74" t="s">
        <v>12333</v>
      </c>
      <c r="C23509" s="74" t="s">
        <v>459</v>
      </c>
    </row>
    <row r="23510" spans="1:3">
      <c r="A23510" s="250">
        <v>54948</v>
      </c>
      <c r="B23510" s="74" t="s">
        <v>12334</v>
      </c>
      <c r="C23510" s="74" t="s">
        <v>459</v>
      </c>
    </row>
    <row r="23511" spans="1:3">
      <c r="A23511" s="250">
        <v>54949</v>
      </c>
      <c r="B23511" s="74" t="s">
        <v>12335</v>
      </c>
      <c r="C23511" s="74" t="s">
        <v>459</v>
      </c>
    </row>
    <row r="23512" spans="1:3">
      <c r="A23512" s="250">
        <v>54950</v>
      </c>
      <c r="B23512" s="74" t="s">
        <v>1071</v>
      </c>
      <c r="C23512" s="74" t="s">
        <v>459</v>
      </c>
    </row>
    <row r="23513" spans="1:3">
      <c r="A23513" s="250">
        <v>54952</v>
      </c>
      <c r="B23513" s="74" t="s">
        <v>12336</v>
      </c>
      <c r="C23513" s="74" t="s">
        <v>459</v>
      </c>
    </row>
    <row r="23514" spans="1:3">
      <c r="A23514" s="250">
        <v>54956</v>
      </c>
      <c r="B23514" s="74" t="s">
        <v>12337</v>
      </c>
      <c r="C23514" s="74" t="s">
        <v>459</v>
      </c>
    </row>
    <row r="23515" spans="1:3">
      <c r="A23515" s="250">
        <v>54957</v>
      </c>
      <c r="B23515" s="74" t="s">
        <v>12337</v>
      </c>
      <c r="C23515" s="74" t="s">
        <v>459</v>
      </c>
    </row>
    <row r="23516" spans="1:3">
      <c r="A23516" s="250">
        <v>54960</v>
      </c>
      <c r="B23516" s="74" t="s">
        <v>12338</v>
      </c>
      <c r="C23516" s="74" t="s">
        <v>459</v>
      </c>
    </row>
    <row r="23517" spans="1:3">
      <c r="A23517" s="250">
        <v>54961</v>
      </c>
      <c r="B23517" s="74" t="s">
        <v>1201</v>
      </c>
      <c r="C23517" s="74" t="s">
        <v>459</v>
      </c>
    </row>
    <row r="23518" spans="1:3">
      <c r="A23518" s="250">
        <v>54962</v>
      </c>
      <c r="B23518" s="74" t="s">
        <v>2199</v>
      </c>
      <c r="C23518" s="74" t="s">
        <v>459</v>
      </c>
    </row>
    <row r="23519" spans="1:3">
      <c r="A23519" s="250">
        <v>54963</v>
      </c>
      <c r="B23519" s="74" t="s">
        <v>12339</v>
      </c>
      <c r="C23519" s="74" t="s">
        <v>459</v>
      </c>
    </row>
    <row r="23520" spans="1:3">
      <c r="A23520" s="250">
        <v>54964</v>
      </c>
      <c r="B23520" s="74" t="s">
        <v>12340</v>
      </c>
      <c r="C23520" s="74" t="s">
        <v>459</v>
      </c>
    </row>
    <row r="23521" spans="1:3">
      <c r="A23521" s="250">
        <v>54965</v>
      </c>
      <c r="B23521" s="74" t="s">
        <v>12341</v>
      </c>
      <c r="C23521" s="74" t="s">
        <v>459</v>
      </c>
    </row>
    <row r="23522" spans="1:3">
      <c r="A23522" s="250">
        <v>54966</v>
      </c>
      <c r="B23522" s="74" t="s">
        <v>611</v>
      </c>
      <c r="C23522" s="74" t="s">
        <v>459</v>
      </c>
    </row>
    <row r="23523" spans="1:3">
      <c r="A23523" s="250">
        <v>54967</v>
      </c>
      <c r="B23523" s="74" t="s">
        <v>12342</v>
      </c>
      <c r="C23523" s="74" t="s">
        <v>459</v>
      </c>
    </row>
    <row r="23524" spans="1:3">
      <c r="A23524" s="250">
        <v>54968</v>
      </c>
      <c r="B23524" s="74" t="s">
        <v>755</v>
      </c>
      <c r="C23524" s="74" t="s">
        <v>459</v>
      </c>
    </row>
    <row r="23525" spans="1:3">
      <c r="A23525" s="250">
        <v>54969</v>
      </c>
      <c r="B23525" s="74" t="s">
        <v>1483</v>
      </c>
      <c r="C23525" s="74" t="s">
        <v>459</v>
      </c>
    </row>
    <row r="23526" spans="1:3">
      <c r="A23526" s="250">
        <v>54970</v>
      </c>
      <c r="B23526" s="74" t="s">
        <v>12343</v>
      </c>
      <c r="C23526" s="74" t="s">
        <v>459</v>
      </c>
    </row>
    <row r="23527" spans="1:3">
      <c r="A23527" s="250">
        <v>54971</v>
      </c>
      <c r="B23527" s="74" t="s">
        <v>12344</v>
      </c>
      <c r="C23527" s="74" t="s">
        <v>459</v>
      </c>
    </row>
    <row r="23528" spans="1:3">
      <c r="A23528" s="250">
        <v>54974</v>
      </c>
      <c r="B23528" s="74" t="s">
        <v>3080</v>
      </c>
      <c r="C23528" s="74" t="s">
        <v>459</v>
      </c>
    </row>
    <row r="23529" spans="1:3">
      <c r="A23529" s="250">
        <v>54976</v>
      </c>
      <c r="B23529" s="74" t="s">
        <v>12345</v>
      </c>
      <c r="C23529" s="74" t="s">
        <v>459</v>
      </c>
    </row>
    <row r="23530" spans="1:3">
      <c r="A23530" s="250">
        <v>54977</v>
      </c>
      <c r="B23530" s="74" t="s">
        <v>12346</v>
      </c>
      <c r="C23530" s="74" t="s">
        <v>459</v>
      </c>
    </row>
    <row r="23531" spans="1:3">
      <c r="A23531" s="250">
        <v>54978</v>
      </c>
      <c r="B23531" s="74" t="s">
        <v>12347</v>
      </c>
      <c r="C23531" s="74" t="s">
        <v>459</v>
      </c>
    </row>
    <row r="23532" spans="1:3">
      <c r="A23532" s="250">
        <v>54979</v>
      </c>
      <c r="B23532" s="74" t="s">
        <v>12348</v>
      </c>
      <c r="C23532" s="74" t="s">
        <v>459</v>
      </c>
    </row>
    <row r="23533" spans="1:3">
      <c r="A23533" s="250">
        <v>54980</v>
      </c>
      <c r="B23533" s="74" t="s">
        <v>12349</v>
      </c>
      <c r="C23533" s="74" t="s">
        <v>459</v>
      </c>
    </row>
    <row r="23534" spans="1:3">
      <c r="A23534" s="250">
        <v>54981</v>
      </c>
      <c r="B23534" s="74" t="s">
        <v>12350</v>
      </c>
      <c r="C23534" s="74" t="s">
        <v>459</v>
      </c>
    </row>
    <row r="23535" spans="1:3">
      <c r="A23535" s="250">
        <v>54982</v>
      </c>
      <c r="B23535" s="74" t="s">
        <v>12351</v>
      </c>
      <c r="C23535" s="74" t="s">
        <v>459</v>
      </c>
    </row>
    <row r="23536" spans="1:3">
      <c r="A23536" s="250">
        <v>54983</v>
      </c>
      <c r="B23536" s="74" t="s">
        <v>12352</v>
      </c>
      <c r="C23536" s="74" t="s">
        <v>459</v>
      </c>
    </row>
    <row r="23537" spans="1:3">
      <c r="A23537" s="250">
        <v>54984</v>
      </c>
      <c r="B23537" s="74" t="s">
        <v>12353</v>
      </c>
      <c r="C23537" s="74" t="s">
        <v>459</v>
      </c>
    </row>
    <row r="23538" spans="1:3">
      <c r="A23538" s="250">
        <v>54985</v>
      </c>
      <c r="B23538" s="74" t="s">
        <v>12354</v>
      </c>
      <c r="C23538" s="74" t="s">
        <v>459</v>
      </c>
    </row>
    <row r="23539" spans="1:3">
      <c r="A23539" s="250">
        <v>54986</v>
      </c>
      <c r="B23539" s="74" t="s">
        <v>12355</v>
      </c>
      <c r="C23539" s="74" t="s">
        <v>459</v>
      </c>
    </row>
    <row r="23540" spans="1:3">
      <c r="A23540" s="250">
        <v>54990</v>
      </c>
      <c r="B23540" s="74" t="s">
        <v>12332</v>
      </c>
      <c r="C23540" s="74" t="s">
        <v>459</v>
      </c>
    </row>
    <row r="23541" spans="1:3">
      <c r="A23541" s="250">
        <v>55001</v>
      </c>
      <c r="B23541" s="74" t="s">
        <v>3590</v>
      </c>
      <c r="C23541" s="74" t="s">
        <v>434</v>
      </c>
    </row>
    <row r="23542" spans="1:3">
      <c r="A23542" s="250">
        <v>55002</v>
      </c>
      <c r="B23542" s="74" t="s">
        <v>12356</v>
      </c>
      <c r="C23542" s="74" t="s">
        <v>434</v>
      </c>
    </row>
    <row r="23543" spans="1:3">
      <c r="A23543" s="250">
        <v>55003</v>
      </c>
      <c r="B23543" s="74" t="s">
        <v>2804</v>
      </c>
      <c r="C23543" s="74" t="s">
        <v>434</v>
      </c>
    </row>
    <row r="23544" spans="1:3">
      <c r="A23544" s="250">
        <v>55005</v>
      </c>
      <c r="B23544" s="74" t="s">
        <v>1434</v>
      </c>
      <c r="C23544" s="74" t="s">
        <v>434</v>
      </c>
    </row>
    <row r="23545" spans="1:3">
      <c r="A23545" s="250">
        <v>55006</v>
      </c>
      <c r="B23545" s="74" t="s">
        <v>12357</v>
      </c>
      <c r="C23545" s="74" t="s">
        <v>434</v>
      </c>
    </row>
    <row r="23546" spans="1:3">
      <c r="A23546" s="250">
        <v>55007</v>
      </c>
      <c r="B23546" s="74" t="s">
        <v>12358</v>
      </c>
      <c r="C23546" s="74" t="s">
        <v>434</v>
      </c>
    </row>
    <row r="23547" spans="1:3">
      <c r="A23547" s="250">
        <v>55008</v>
      </c>
      <c r="B23547" s="74" t="s">
        <v>914</v>
      </c>
      <c r="C23547" s="74" t="s">
        <v>434</v>
      </c>
    </row>
    <row r="23548" spans="1:3">
      <c r="A23548" s="250">
        <v>55009</v>
      </c>
      <c r="B23548" s="74" t="s">
        <v>12359</v>
      </c>
      <c r="C23548" s="74" t="s">
        <v>434</v>
      </c>
    </row>
    <row r="23549" spans="1:3">
      <c r="A23549" s="250">
        <v>55010</v>
      </c>
      <c r="B23549" s="74" t="s">
        <v>12360</v>
      </c>
      <c r="C23549" s="74" t="s">
        <v>434</v>
      </c>
    </row>
    <row r="23550" spans="1:3">
      <c r="A23550" s="250">
        <v>55011</v>
      </c>
      <c r="B23550" s="74" t="s">
        <v>11301</v>
      </c>
      <c r="C23550" s="74" t="s">
        <v>434</v>
      </c>
    </row>
    <row r="23551" spans="1:3">
      <c r="A23551" s="250">
        <v>55012</v>
      </c>
      <c r="B23551" s="74" t="s">
        <v>12361</v>
      </c>
      <c r="C23551" s="74" t="s">
        <v>434</v>
      </c>
    </row>
    <row r="23552" spans="1:3">
      <c r="A23552" s="250">
        <v>55013</v>
      </c>
      <c r="B23552" s="74" t="s">
        <v>12362</v>
      </c>
      <c r="C23552" s="74" t="s">
        <v>434</v>
      </c>
    </row>
    <row r="23553" spans="1:3">
      <c r="A23553" s="250">
        <v>55014</v>
      </c>
      <c r="B23553" s="74" t="s">
        <v>12363</v>
      </c>
      <c r="C23553" s="74" t="s">
        <v>434</v>
      </c>
    </row>
    <row r="23554" spans="1:3">
      <c r="A23554" s="250">
        <v>55016</v>
      </c>
      <c r="B23554" s="74" t="s">
        <v>9192</v>
      </c>
      <c r="C23554" s="74" t="s">
        <v>434</v>
      </c>
    </row>
    <row r="23555" spans="1:3">
      <c r="A23555" s="250">
        <v>55017</v>
      </c>
      <c r="B23555" s="74" t="s">
        <v>12364</v>
      </c>
      <c r="C23555" s="74" t="s">
        <v>434</v>
      </c>
    </row>
    <row r="23556" spans="1:3">
      <c r="A23556" s="250">
        <v>55018</v>
      </c>
      <c r="B23556" s="74" t="s">
        <v>10390</v>
      </c>
      <c r="C23556" s="74" t="s">
        <v>434</v>
      </c>
    </row>
    <row r="23557" spans="1:3">
      <c r="A23557" s="250">
        <v>55019</v>
      </c>
      <c r="B23557" s="74" t="s">
        <v>6232</v>
      </c>
      <c r="C23557" s="74" t="s">
        <v>434</v>
      </c>
    </row>
    <row r="23558" spans="1:3">
      <c r="A23558" s="250">
        <v>55020</v>
      </c>
      <c r="B23558" s="74" t="s">
        <v>12365</v>
      </c>
      <c r="C23558" s="74" t="s">
        <v>434</v>
      </c>
    </row>
    <row r="23559" spans="1:3">
      <c r="A23559" s="250">
        <v>55021</v>
      </c>
      <c r="B23559" s="74" t="s">
        <v>12366</v>
      </c>
      <c r="C23559" s="74" t="s">
        <v>434</v>
      </c>
    </row>
    <row r="23560" spans="1:3">
      <c r="A23560" s="250">
        <v>55024</v>
      </c>
      <c r="B23560" s="74" t="s">
        <v>1309</v>
      </c>
      <c r="C23560" s="74" t="s">
        <v>434</v>
      </c>
    </row>
    <row r="23561" spans="1:3">
      <c r="A23561" s="250">
        <v>55025</v>
      </c>
      <c r="B23561" s="74" t="s">
        <v>12367</v>
      </c>
      <c r="C23561" s="74" t="s">
        <v>434</v>
      </c>
    </row>
    <row r="23562" spans="1:3">
      <c r="A23562" s="250">
        <v>55026</v>
      </c>
      <c r="B23562" s="74" t="s">
        <v>12368</v>
      </c>
      <c r="C23562" s="74" t="s">
        <v>434</v>
      </c>
    </row>
    <row r="23563" spans="1:3">
      <c r="A23563" s="250">
        <v>55027</v>
      </c>
      <c r="B23563" s="74" t="s">
        <v>12369</v>
      </c>
      <c r="C23563" s="74" t="s">
        <v>434</v>
      </c>
    </row>
    <row r="23564" spans="1:3">
      <c r="A23564" s="250">
        <v>55029</v>
      </c>
      <c r="B23564" s="74" t="s">
        <v>7252</v>
      </c>
      <c r="C23564" s="74" t="s">
        <v>434</v>
      </c>
    </row>
    <row r="23565" spans="1:3">
      <c r="A23565" s="250">
        <v>55030</v>
      </c>
      <c r="B23565" s="74" t="s">
        <v>12370</v>
      </c>
      <c r="C23565" s="74" t="s">
        <v>434</v>
      </c>
    </row>
    <row r="23566" spans="1:3">
      <c r="A23566" s="250">
        <v>55031</v>
      </c>
      <c r="B23566" s="74" t="s">
        <v>1315</v>
      </c>
      <c r="C23566" s="74" t="s">
        <v>434</v>
      </c>
    </row>
    <row r="23567" spans="1:3">
      <c r="A23567" s="250">
        <v>55032</v>
      </c>
      <c r="B23567" s="74" t="s">
        <v>3179</v>
      </c>
      <c r="C23567" s="74" t="s">
        <v>434</v>
      </c>
    </row>
    <row r="23568" spans="1:3">
      <c r="A23568" s="250">
        <v>55033</v>
      </c>
      <c r="B23568" s="74" t="s">
        <v>3368</v>
      </c>
      <c r="C23568" s="74" t="s">
        <v>434</v>
      </c>
    </row>
    <row r="23569" spans="1:3">
      <c r="A23569" s="250">
        <v>55036</v>
      </c>
      <c r="B23569" s="74" t="s">
        <v>12371</v>
      </c>
      <c r="C23569" s="74" t="s">
        <v>434</v>
      </c>
    </row>
    <row r="23570" spans="1:3">
      <c r="A23570" s="250">
        <v>55037</v>
      </c>
      <c r="B23570" s="74" t="s">
        <v>1698</v>
      </c>
      <c r="C23570" s="74" t="s">
        <v>434</v>
      </c>
    </row>
    <row r="23571" spans="1:3">
      <c r="A23571" s="250">
        <v>55038</v>
      </c>
      <c r="B23571" s="74" t="s">
        <v>12372</v>
      </c>
      <c r="C23571" s="74" t="s">
        <v>434</v>
      </c>
    </row>
    <row r="23572" spans="1:3">
      <c r="A23572" s="250">
        <v>55040</v>
      </c>
      <c r="B23572" s="74" t="s">
        <v>12373</v>
      </c>
      <c r="C23572" s="74" t="s">
        <v>434</v>
      </c>
    </row>
    <row r="23573" spans="1:3">
      <c r="A23573" s="250">
        <v>55041</v>
      </c>
      <c r="B23573" s="74" t="s">
        <v>4516</v>
      </c>
      <c r="C23573" s="74" t="s">
        <v>434</v>
      </c>
    </row>
    <row r="23574" spans="1:3">
      <c r="A23574" s="250">
        <v>55042</v>
      </c>
      <c r="B23574" s="74" t="s">
        <v>12374</v>
      </c>
      <c r="C23574" s="74" t="s">
        <v>434</v>
      </c>
    </row>
    <row r="23575" spans="1:3">
      <c r="A23575" s="250">
        <v>55043</v>
      </c>
      <c r="B23575" s="74" t="s">
        <v>8151</v>
      </c>
      <c r="C23575" s="74" t="s">
        <v>434</v>
      </c>
    </row>
    <row r="23576" spans="1:3">
      <c r="A23576" s="250">
        <v>55044</v>
      </c>
      <c r="B23576" s="74" t="s">
        <v>949</v>
      </c>
      <c r="C23576" s="74" t="s">
        <v>434</v>
      </c>
    </row>
    <row r="23577" spans="1:3">
      <c r="A23577" s="250">
        <v>55045</v>
      </c>
      <c r="B23577" s="74" t="s">
        <v>12375</v>
      </c>
      <c r="C23577" s="74" t="s">
        <v>434</v>
      </c>
    </row>
    <row r="23578" spans="1:3">
      <c r="A23578" s="250">
        <v>55046</v>
      </c>
      <c r="B23578" s="74" t="s">
        <v>12376</v>
      </c>
      <c r="C23578" s="74" t="s">
        <v>434</v>
      </c>
    </row>
    <row r="23579" spans="1:3">
      <c r="A23579" s="250">
        <v>55047</v>
      </c>
      <c r="B23579" s="74" t="s">
        <v>12377</v>
      </c>
      <c r="C23579" s="74" t="s">
        <v>434</v>
      </c>
    </row>
    <row r="23580" spans="1:3">
      <c r="A23580" s="250">
        <v>55049</v>
      </c>
      <c r="B23580" s="74" t="s">
        <v>921</v>
      </c>
      <c r="C23580" s="74" t="s">
        <v>434</v>
      </c>
    </row>
    <row r="23581" spans="1:3">
      <c r="A23581" s="250">
        <v>55051</v>
      </c>
      <c r="B23581" s="74" t="s">
        <v>12378</v>
      </c>
      <c r="C23581" s="74" t="s">
        <v>434</v>
      </c>
    </row>
    <row r="23582" spans="1:3">
      <c r="A23582" s="250">
        <v>55052</v>
      </c>
      <c r="B23582" s="74" t="s">
        <v>2353</v>
      </c>
      <c r="C23582" s="74" t="s">
        <v>434</v>
      </c>
    </row>
    <row r="23583" spans="1:3">
      <c r="A23583" s="250">
        <v>55053</v>
      </c>
      <c r="B23583" s="74" t="s">
        <v>12379</v>
      </c>
      <c r="C23583" s="74" t="s">
        <v>434</v>
      </c>
    </row>
    <row r="23584" spans="1:3">
      <c r="A23584" s="250">
        <v>55054</v>
      </c>
      <c r="B23584" s="74" t="s">
        <v>12365</v>
      </c>
      <c r="C23584" s="74" t="s">
        <v>434</v>
      </c>
    </row>
    <row r="23585" spans="1:3">
      <c r="A23585" s="250">
        <v>55055</v>
      </c>
      <c r="B23585" s="74" t="s">
        <v>1118</v>
      </c>
      <c r="C23585" s="74" t="s">
        <v>434</v>
      </c>
    </row>
    <row r="23586" spans="1:3">
      <c r="A23586" s="250">
        <v>55056</v>
      </c>
      <c r="B23586" s="74" t="s">
        <v>3195</v>
      </c>
      <c r="C23586" s="74" t="s">
        <v>434</v>
      </c>
    </row>
    <row r="23587" spans="1:3">
      <c r="A23587" s="250">
        <v>55057</v>
      </c>
      <c r="B23587" s="74" t="s">
        <v>688</v>
      </c>
      <c r="C23587" s="74" t="s">
        <v>434</v>
      </c>
    </row>
    <row r="23588" spans="1:3">
      <c r="A23588" s="250">
        <v>55060</v>
      </c>
      <c r="B23588" s="74" t="s">
        <v>12380</v>
      </c>
      <c r="C23588" s="74" t="s">
        <v>434</v>
      </c>
    </row>
    <row r="23589" spans="1:3">
      <c r="A23589" s="250">
        <v>55063</v>
      </c>
      <c r="B23589" s="74" t="s">
        <v>3933</v>
      </c>
      <c r="C23589" s="74" t="s">
        <v>434</v>
      </c>
    </row>
    <row r="23590" spans="1:3">
      <c r="A23590" s="250">
        <v>55065</v>
      </c>
      <c r="B23590" s="74" t="s">
        <v>960</v>
      </c>
      <c r="C23590" s="74" t="s">
        <v>434</v>
      </c>
    </row>
    <row r="23591" spans="1:3">
      <c r="A23591" s="250">
        <v>55066</v>
      </c>
      <c r="B23591" s="74" t="s">
        <v>12381</v>
      </c>
      <c r="C23591" s="74" t="s">
        <v>434</v>
      </c>
    </row>
    <row r="23592" spans="1:3">
      <c r="A23592" s="250">
        <v>55067</v>
      </c>
      <c r="B23592" s="74" t="s">
        <v>6646</v>
      </c>
      <c r="C23592" s="74" t="s">
        <v>434</v>
      </c>
    </row>
    <row r="23593" spans="1:3">
      <c r="A23593" s="250">
        <v>55068</v>
      </c>
      <c r="B23593" s="74" t="s">
        <v>12382</v>
      </c>
      <c r="C23593" s="74" t="s">
        <v>434</v>
      </c>
    </row>
    <row r="23594" spans="1:3">
      <c r="A23594" s="250">
        <v>55069</v>
      </c>
      <c r="B23594" s="74" t="s">
        <v>12383</v>
      </c>
      <c r="C23594" s="74" t="s">
        <v>434</v>
      </c>
    </row>
    <row r="23595" spans="1:3">
      <c r="A23595" s="250">
        <v>55070</v>
      </c>
      <c r="B23595" s="74" t="s">
        <v>1650</v>
      </c>
      <c r="C23595" s="74" t="s">
        <v>434</v>
      </c>
    </row>
    <row r="23596" spans="1:3">
      <c r="A23596" s="250">
        <v>55071</v>
      </c>
      <c r="B23596" s="74" t="s">
        <v>12384</v>
      </c>
      <c r="C23596" s="74" t="s">
        <v>434</v>
      </c>
    </row>
    <row r="23597" spans="1:3">
      <c r="A23597" s="250">
        <v>55072</v>
      </c>
      <c r="B23597" s="74" t="s">
        <v>6845</v>
      </c>
      <c r="C23597" s="74" t="s">
        <v>434</v>
      </c>
    </row>
    <row r="23598" spans="1:3">
      <c r="A23598" s="250">
        <v>55073</v>
      </c>
      <c r="B23598" s="74" t="s">
        <v>12385</v>
      </c>
      <c r="C23598" s="74" t="s">
        <v>434</v>
      </c>
    </row>
    <row r="23599" spans="1:3">
      <c r="A23599" s="250">
        <v>55074</v>
      </c>
      <c r="B23599" s="74" t="s">
        <v>12386</v>
      </c>
      <c r="C23599" s="74" t="s">
        <v>434</v>
      </c>
    </row>
    <row r="23600" spans="1:3">
      <c r="A23600" s="250">
        <v>55075</v>
      </c>
      <c r="B23600" s="74" t="s">
        <v>12387</v>
      </c>
      <c r="C23600" s="74" t="s">
        <v>434</v>
      </c>
    </row>
    <row r="23601" spans="1:3">
      <c r="A23601" s="250">
        <v>55076</v>
      </c>
      <c r="B23601" s="74" t="s">
        <v>12388</v>
      </c>
      <c r="C23601" s="74" t="s">
        <v>434</v>
      </c>
    </row>
    <row r="23602" spans="1:3">
      <c r="A23602" s="250">
        <v>55077</v>
      </c>
      <c r="B23602" s="74" t="s">
        <v>12388</v>
      </c>
      <c r="C23602" s="74" t="s">
        <v>434</v>
      </c>
    </row>
    <row r="23603" spans="1:3">
      <c r="A23603" s="250">
        <v>55078</v>
      </c>
      <c r="B23603" s="74" t="s">
        <v>7460</v>
      </c>
      <c r="C23603" s="74" t="s">
        <v>434</v>
      </c>
    </row>
    <row r="23604" spans="1:3">
      <c r="A23604" s="250">
        <v>55079</v>
      </c>
      <c r="B23604" s="74" t="s">
        <v>7460</v>
      </c>
      <c r="C23604" s="74" t="s">
        <v>434</v>
      </c>
    </row>
    <row r="23605" spans="1:3">
      <c r="A23605" s="250">
        <v>55080</v>
      </c>
      <c r="B23605" s="74" t="s">
        <v>12389</v>
      </c>
      <c r="C23605" s="74" t="s">
        <v>434</v>
      </c>
    </row>
    <row r="23606" spans="1:3">
      <c r="A23606" s="250">
        <v>55082</v>
      </c>
      <c r="B23606" s="74" t="s">
        <v>1530</v>
      </c>
      <c r="C23606" s="74" t="s">
        <v>434</v>
      </c>
    </row>
    <row r="23607" spans="1:3">
      <c r="A23607" s="250">
        <v>55083</v>
      </c>
      <c r="B23607" s="74" t="s">
        <v>1530</v>
      </c>
      <c r="C23607" s="74" t="s">
        <v>434</v>
      </c>
    </row>
    <row r="23608" spans="1:3">
      <c r="A23608" s="250">
        <v>55084</v>
      </c>
      <c r="B23608" s="74" t="s">
        <v>12390</v>
      </c>
      <c r="C23608" s="74" t="s">
        <v>434</v>
      </c>
    </row>
    <row r="23609" spans="1:3">
      <c r="A23609" s="250">
        <v>55085</v>
      </c>
      <c r="B23609" s="74" t="s">
        <v>12391</v>
      </c>
      <c r="C23609" s="74" t="s">
        <v>434</v>
      </c>
    </row>
    <row r="23610" spans="1:3">
      <c r="A23610" s="250">
        <v>55087</v>
      </c>
      <c r="B23610" s="74" t="s">
        <v>3834</v>
      </c>
      <c r="C23610" s="74" t="s">
        <v>434</v>
      </c>
    </row>
    <row r="23611" spans="1:3">
      <c r="A23611" s="250">
        <v>55088</v>
      </c>
      <c r="B23611" s="74" t="s">
        <v>767</v>
      </c>
      <c r="C23611" s="74" t="s">
        <v>434</v>
      </c>
    </row>
    <row r="23612" spans="1:3">
      <c r="A23612" s="250">
        <v>55089</v>
      </c>
      <c r="B23612" s="74" t="s">
        <v>6492</v>
      </c>
      <c r="C23612" s="74" t="s">
        <v>434</v>
      </c>
    </row>
    <row r="23613" spans="1:3">
      <c r="A23613" s="250">
        <v>55090</v>
      </c>
      <c r="B23613" s="74" t="s">
        <v>12392</v>
      </c>
      <c r="C23613" s="74" t="s">
        <v>434</v>
      </c>
    </row>
    <row r="23614" spans="1:3">
      <c r="A23614" s="250">
        <v>55092</v>
      </c>
      <c r="B23614" s="74" t="s">
        <v>1142</v>
      </c>
      <c r="C23614" s="74" t="s">
        <v>434</v>
      </c>
    </row>
    <row r="23615" spans="1:3">
      <c r="A23615" s="250">
        <v>55101</v>
      </c>
      <c r="B23615" s="74" t="s">
        <v>6341</v>
      </c>
      <c r="C23615" s="74" t="s">
        <v>434</v>
      </c>
    </row>
    <row r="23616" spans="1:3">
      <c r="A23616" s="250">
        <v>55102</v>
      </c>
      <c r="B23616" s="74" t="s">
        <v>6341</v>
      </c>
      <c r="C23616" s="74" t="s">
        <v>434</v>
      </c>
    </row>
    <row r="23617" spans="1:3">
      <c r="A23617" s="250">
        <v>55103</v>
      </c>
      <c r="B23617" s="74" t="s">
        <v>6341</v>
      </c>
      <c r="C23617" s="74" t="s">
        <v>434</v>
      </c>
    </row>
    <row r="23618" spans="1:3">
      <c r="A23618" s="250">
        <v>55104</v>
      </c>
      <c r="B23618" s="74" t="s">
        <v>6341</v>
      </c>
      <c r="C23618" s="74" t="s">
        <v>434</v>
      </c>
    </row>
    <row r="23619" spans="1:3">
      <c r="A23619" s="250">
        <v>55105</v>
      </c>
      <c r="B23619" s="74" t="s">
        <v>6341</v>
      </c>
      <c r="C23619" s="74" t="s">
        <v>434</v>
      </c>
    </row>
    <row r="23620" spans="1:3">
      <c r="A23620" s="250">
        <v>55106</v>
      </c>
      <c r="B23620" s="74" t="s">
        <v>6341</v>
      </c>
      <c r="C23620" s="74" t="s">
        <v>434</v>
      </c>
    </row>
    <row r="23621" spans="1:3">
      <c r="A23621" s="250">
        <v>55107</v>
      </c>
      <c r="B23621" s="74" t="s">
        <v>6341</v>
      </c>
      <c r="C23621" s="74" t="s">
        <v>434</v>
      </c>
    </row>
    <row r="23622" spans="1:3">
      <c r="A23622" s="250">
        <v>55108</v>
      </c>
      <c r="B23622" s="74" t="s">
        <v>6341</v>
      </c>
      <c r="C23622" s="74" t="s">
        <v>434</v>
      </c>
    </row>
    <row r="23623" spans="1:3">
      <c r="A23623" s="250">
        <v>55109</v>
      </c>
      <c r="B23623" s="74" t="s">
        <v>6341</v>
      </c>
      <c r="C23623" s="74" t="s">
        <v>434</v>
      </c>
    </row>
    <row r="23624" spans="1:3">
      <c r="A23624" s="250">
        <v>55110</v>
      </c>
      <c r="B23624" s="74" t="s">
        <v>6341</v>
      </c>
      <c r="C23624" s="74" t="s">
        <v>434</v>
      </c>
    </row>
    <row r="23625" spans="1:3">
      <c r="A23625" s="250">
        <v>55111</v>
      </c>
      <c r="B23625" s="74" t="s">
        <v>6341</v>
      </c>
      <c r="C23625" s="74" t="s">
        <v>434</v>
      </c>
    </row>
    <row r="23626" spans="1:3">
      <c r="A23626" s="250">
        <v>55112</v>
      </c>
      <c r="B23626" s="74" t="s">
        <v>6341</v>
      </c>
      <c r="C23626" s="74" t="s">
        <v>434</v>
      </c>
    </row>
    <row r="23627" spans="1:3">
      <c r="A23627" s="250">
        <v>55113</v>
      </c>
      <c r="B23627" s="74" t="s">
        <v>6341</v>
      </c>
      <c r="C23627" s="74" t="s">
        <v>434</v>
      </c>
    </row>
    <row r="23628" spans="1:3">
      <c r="A23628" s="250">
        <v>55114</v>
      </c>
      <c r="B23628" s="74" t="s">
        <v>6341</v>
      </c>
      <c r="C23628" s="74" t="s">
        <v>434</v>
      </c>
    </row>
    <row r="23629" spans="1:3">
      <c r="A23629" s="250">
        <v>55115</v>
      </c>
      <c r="B23629" s="74" t="s">
        <v>6341</v>
      </c>
      <c r="C23629" s="74" t="s">
        <v>434</v>
      </c>
    </row>
    <row r="23630" spans="1:3">
      <c r="A23630" s="250">
        <v>55116</v>
      </c>
      <c r="B23630" s="74" t="s">
        <v>6341</v>
      </c>
      <c r="C23630" s="74" t="s">
        <v>434</v>
      </c>
    </row>
    <row r="23631" spans="1:3">
      <c r="A23631" s="250">
        <v>55117</v>
      </c>
      <c r="B23631" s="74" t="s">
        <v>6341</v>
      </c>
      <c r="C23631" s="74" t="s">
        <v>434</v>
      </c>
    </row>
    <row r="23632" spans="1:3">
      <c r="A23632" s="250">
        <v>55118</v>
      </c>
      <c r="B23632" s="74" t="s">
        <v>6341</v>
      </c>
      <c r="C23632" s="74" t="s">
        <v>434</v>
      </c>
    </row>
    <row r="23633" spans="1:3">
      <c r="A23633" s="250">
        <v>55119</v>
      </c>
      <c r="B23633" s="74" t="s">
        <v>6341</v>
      </c>
      <c r="C23633" s="74" t="s">
        <v>434</v>
      </c>
    </row>
    <row r="23634" spans="1:3">
      <c r="A23634" s="250">
        <v>55120</v>
      </c>
      <c r="B23634" s="74" t="s">
        <v>6341</v>
      </c>
      <c r="C23634" s="74" t="s">
        <v>434</v>
      </c>
    </row>
    <row r="23635" spans="1:3">
      <c r="A23635" s="250">
        <v>55121</v>
      </c>
      <c r="B23635" s="74" t="s">
        <v>6341</v>
      </c>
      <c r="C23635" s="74" t="s">
        <v>434</v>
      </c>
    </row>
    <row r="23636" spans="1:3">
      <c r="A23636" s="250">
        <v>55122</v>
      </c>
      <c r="B23636" s="74" t="s">
        <v>6341</v>
      </c>
      <c r="C23636" s="74" t="s">
        <v>434</v>
      </c>
    </row>
    <row r="23637" spans="1:3">
      <c r="A23637" s="250">
        <v>55123</v>
      </c>
      <c r="B23637" s="74" t="s">
        <v>6341</v>
      </c>
      <c r="C23637" s="74" t="s">
        <v>434</v>
      </c>
    </row>
    <row r="23638" spans="1:3">
      <c r="A23638" s="250">
        <v>55124</v>
      </c>
      <c r="B23638" s="74" t="s">
        <v>6341</v>
      </c>
      <c r="C23638" s="74" t="s">
        <v>434</v>
      </c>
    </row>
    <row r="23639" spans="1:3">
      <c r="A23639" s="250">
        <v>55125</v>
      </c>
      <c r="B23639" s="74" t="s">
        <v>6341</v>
      </c>
      <c r="C23639" s="74" t="s">
        <v>434</v>
      </c>
    </row>
    <row r="23640" spans="1:3">
      <c r="A23640" s="250">
        <v>55126</v>
      </c>
      <c r="B23640" s="74" t="s">
        <v>6341</v>
      </c>
      <c r="C23640" s="74" t="s">
        <v>434</v>
      </c>
    </row>
    <row r="23641" spans="1:3">
      <c r="A23641" s="250">
        <v>55127</v>
      </c>
      <c r="B23641" s="74" t="s">
        <v>6341</v>
      </c>
      <c r="C23641" s="74" t="s">
        <v>434</v>
      </c>
    </row>
    <row r="23642" spans="1:3">
      <c r="A23642" s="250">
        <v>55128</v>
      </c>
      <c r="B23642" s="74" t="s">
        <v>6341</v>
      </c>
      <c r="C23642" s="74" t="s">
        <v>434</v>
      </c>
    </row>
    <row r="23643" spans="1:3">
      <c r="A23643" s="250">
        <v>55129</v>
      </c>
      <c r="B23643" s="74" t="s">
        <v>6341</v>
      </c>
      <c r="C23643" s="74" t="s">
        <v>434</v>
      </c>
    </row>
    <row r="23644" spans="1:3">
      <c r="A23644" s="250">
        <v>55130</v>
      </c>
      <c r="B23644" s="74" t="s">
        <v>6341</v>
      </c>
      <c r="C23644" s="74" t="s">
        <v>434</v>
      </c>
    </row>
    <row r="23645" spans="1:3">
      <c r="A23645" s="250">
        <v>55133</v>
      </c>
      <c r="B23645" s="74" t="s">
        <v>6341</v>
      </c>
      <c r="C23645" s="74" t="s">
        <v>434</v>
      </c>
    </row>
    <row r="23646" spans="1:3">
      <c r="A23646" s="250">
        <v>55144</v>
      </c>
      <c r="B23646" s="74" t="s">
        <v>6341</v>
      </c>
      <c r="C23646" s="74" t="s">
        <v>434</v>
      </c>
    </row>
    <row r="23647" spans="1:3">
      <c r="A23647" s="250">
        <v>55145</v>
      </c>
      <c r="B23647" s="74" t="s">
        <v>6341</v>
      </c>
      <c r="C23647" s="74" t="s">
        <v>434</v>
      </c>
    </row>
    <row r="23648" spans="1:3">
      <c r="A23648" s="250">
        <v>55146</v>
      </c>
      <c r="B23648" s="74" t="s">
        <v>6341</v>
      </c>
      <c r="C23648" s="74" t="s">
        <v>434</v>
      </c>
    </row>
    <row r="23649" spans="1:3">
      <c r="A23649" s="250">
        <v>55150</v>
      </c>
      <c r="B23649" s="74" t="s">
        <v>6334</v>
      </c>
      <c r="C23649" s="74" t="s">
        <v>434</v>
      </c>
    </row>
    <row r="23650" spans="1:3">
      <c r="A23650" s="250">
        <v>55155</v>
      </c>
      <c r="B23650" s="74" t="s">
        <v>6341</v>
      </c>
      <c r="C23650" s="74" t="s">
        <v>434</v>
      </c>
    </row>
    <row r="23651" spans="1:3">
      <c r="A23651" s="250">
        <v>55161</v>
      </c>
      <c r="B23651" s="74" t="s">
        <v>6341</v>
      </c>
      <c r="C23651" s="74" t="s">
        <v>434</v>
      </c>
    </row>
    <row r="23652" spans="1:3">
      <c r="A23652" s="250">
        <v>55164</v>
      </c>
      <c r="B23652" s="74" t="s">
        <v>6341</v>
      </c>
      <c r="C23652" s="74" t="s">
        <v>434</v>
      </c>
    </row>
    <row r="23653" spans="1:3">
      <c r="A23653" s="250">
        <v>55165</v>
      </c>
      <c r="B23653" s="74" t="s">
        <v>6341</v>
      </c>
      <c r="C23653" s="74" t="s">
        <v>434</v>
      </c>
    </row>
    <row r="23654" spans="1:3">
      <c r="A23654" s="250">
        <v>55166</v>
      </c>
      <c r="B23654" s="74" t="s">
        <v>6341</v>
      </c>
      <c r="C23654" s="74" t="s">
        <v>434</v>
      </c>
    </row>
    <row r="23655" spans="1:3">
      <c r="A23655" s="250">
        <v>55168</v>
      </c>
      <c r="B23655" s="74" t="s">
        <v>6341</v>
      </c>
      <c r="C23655" s="74" t="s">
        <v>434</v>
      </c>
    </row>
    <row r="23656" spans="1:3">
      <c r="A23656" s="250">
        <v>55169</v>
      </c>
      <c r="B23656" s="74" t="s">
        <v>6341</v>
      </c>
      <c r="C23656" s="74" t="s">
        <v>434</v>
      </c>
    </row>
    <row r="23657" spans="1:3">
      <c r="A23657" s="250">
        <v>55170</v>
      </c>
      <c r="B23657" s="74" t="s">
        <v>6341</v>
      </c>
      <c r="C23657" s="74" t="s">
        <v>434</v>
      </c>
    </row>
    <row r="23658" spans="1:3">
      <c r="A23658" s="250">
        <v>55171</v>
      </c>
      <c r="B23658" s="74" t="s">
        <v>6341</v>
      </c>
      <c r="C23658" s="74" t="s">
        <v>434</v>
      </c>
    </row>
    <row r="23659" spans="1:3">
      <c r="A23659" s="250">
        <v>55172</v>
      </c>
      <c r="B23659" s="74" t="s">
        <v>6341</v>
      </c>
      <c r="C23659" s="74" t="s">
        <v>434</v>
      </c>
    </row>
    <row r="23660" spans="1:3">
      <c r="A23660" s="250">
        <v>55175</v>
      </c>
      <c r="B23660" s="74" t="s">
        <v>6341</v>
      </c>
      <c r="C23660" s="74" t="s">
        <v>434</v>
      </c>
    </row>
    <row r="23661" spans="1:3">
      <c r="A23661" s="250">
        <v>55177</v>
      </c>
      <c r="B23661" s="74" t="s">
        <v>6341</v>
      </c>
      <c r="C23661" s="74" t="s">
        <v>434</v>
      </c>
    </row>
    <row r="23662" spans="1:3">
      <c r="A23662" s="250">
        <v>55187</v>
      </c>
      <c r="B23662" s="74" t="s">
        <v>6341</v>
      </c>
      <c r="C23662" s="74" t="s">
        <v>434</v>
      </c>
    </row>
    <row r="23663" spans="1:3">
      <c r="A23663" s="250">
        <v>55188</v>
      </c>
      <c r="B23663" s="74" t="s">
        <v>6341</v>
      </c>
      <c r="C23663" s="74" t="s">
        <v>434</v>
      </c>
    </row>
    <row r="23664" spans="1:3">
      <c r="A23664" s="250">
        <v>55191</v>
      </c>
      <c r="B23664" s="74" t="s">
        <v>6341</v>
      </c>
      <c r="C23664" s="74" t="s">
        <v>434</v>
      </c>
    </row>
    <row r="23665" spans="1:3">
      <c r="A23665" s="250">
        <v>55301</v>
      </c>
      <c r="B23665" s="74" t="s">
        <v>8760</v>
      </c>
      <c r="C23665" s="74" t="s">
        <v>434</v>
      </c>
    </row>
    <row r="23666" spans="1:3">
      <c r="A23666" s="250">
        <v>55302</v>
      </c>
      <c r="B23666" s="74" t="s">
        <v>2558</v>
      </c>
      <c r="C23666" s="74" t="s">
        <v>434</v>
      </c>
    </row>
    <row r="23667" spans="1:3">
      <c r="A23667" s="250">
        <v>55303</v>
      </c>
      <c r="B23667" s="74" t="s">
        <v>12393</v>
      </c>
      <c r="C23667" s="74" t="s">
        <v>434</v>
      </c>
    </row>
    <row r="23668" spans="1:3">
      <c r="A23668" s="250">
        <v>55304</v>
      </c>
      <c r="B23668" s="74" t="s">
        <v>807</v>
      </c>
      <c r="C23668" s="74" t="s">
        <v>434</v>
      </c>
    </row>
    <row r="23669" spans="1:3">
      <c r="A23669" s="250">
        <v>55305</v>
      </c>
      <c r="B23669" s="74" t="s">
        <v>7617</v>
      </c>
      <c r="C23669" s="74" t="s">
        <v>434</v>
      </c>
    </row>
    <row r="23670" spans="1:3">
      <c r="A23670" s="250">
        <v>55306</v>
      </c>
      <c r="B23670" s="74" t="s">
        <v>6932</v>
      </c>
      <c r="C23670" s="74" t="s">
        <v>434</v>
      </c>
    </row>
    <row r="23671" spans="1:3">
      <c r="A23671" s="250">
        <v>55307</v>
      </c>
      <c r="B23671" s="74" t="s">
        <v>984</v>
      </c>
      <c r="C23671" s="74" t="s">
        <v>434</v>
      </c>
    </row>
    <row r="23672" spans="1:3">
      <c r="A23672" s="250">
        <v>55308</v>
      </c>
      <c r="B23672" s="74" t="s">
        <v>9355</v>
      </c>
      <c r="C23672" s="74" t="s">
        <v>434</v>
      </c>
    </row>
    <row r="23673" spans="1:3">
      <c r="A23673" s="250">
        <v>55309</v>
      </c>
      <c r="B23673" s="74" t="s">
        <v>12394</v>
      </c>
      <c r="C23673" s="74" t="s">
        <v>434</v>
      </c>
    </row>
    <row r="23674" spans="1:3">
      <c r="A23674" s="250">
        <v>55310</v>
      </c>
      <c r="B23674" s="74" t="s">
        <v>12395</v>
      </c>
      <c r="C23674" s="74" t="s">
        <v>434</v>
      </c>
    </row>
    <row r="23675" spans="1:3">
      <c r="A23675" s="250">
        <v>55311</v>
      </c>
      <c r="B23675" s="74" t="s">
        <v>11240</v>
      </c>
      <c r="C23675" s="74" t="s">
        <v>434</v>
      </c>
    </row>
    <row r="23676" spans="1:3">
      <c r="A23676" s="250">
        <v>55312</v>
      </c>
      <c r="B23676" s="74" t="s">
        <v>12396</v>
      </c>
      <c r="C23676" s="74" t="s">
        <v>434</v>
      </c>
    </row>
    <row r="23677" spans="1:3">
      <c r="A23677" s="250">
        <v>55313</v>
      </c>
      <c r="B23677" s="74" t="s">
        <v>3751</v>
      </c>
      <c r="C23677" s="74" t="s">
        <v>434</v>
      </c>
    </row>
    <row r="23678" spans="1:3">
      <c r="A23678" s="250">
        <v>55314</v>
      </c>
      <c r="B23678" s="74" t="s">
        <v>12397</v>
      </c>
      <c r="C23678" s="74" t="s">
        <v>434</v>
      </c>
    </row>
    <row r="23679" spans="1:3">
      <c r="A23679" s="250">
        <v>55315</v>
      </c>
      <c r="B23679" s="74" t="s">
        <v>938</v>
      </c>
      <c r="C23679" s="74" t="s">
        <v>434</v>
      </c>
    </row>
    <row r="23680" spans="1:3">
      <c r="A23680" s="250">
        <v>55316</v>
      </c>
      <c r="B23680" s="74" t="s">
        <v>12398</v>
      </c>
      <c r="C23680" s="74" t="s">
        <v>434</v>
      </c>
    </row>
    <row r="23681" spans="1:3">
      <c r="A23681" s="250">
        <v>55317</v>
      </c>
      <c r="B23681" s="74" t="s">
        <v>12399</v>
      </c>
      <c r="C23681" s="74" t="s">
        <v>434</v>
      </c>
    </row>
    <row r="23682" spans="1:3">
      <c r="A23682" s="250">
        <v>55318</v>
      </c>
      <c r="B23682" s="74" t="s">
        <v>12400</v>
      </c>
      <c r="C23682" s="74" t="s">
        <v>434</v>
      </c>
    </row>
    <row r="23683" spans="1:3">
      <c r="A23683" s="250">
        <v>55319</v>
      </c>
      <c r="B23683" s="74" t="s">
        <v>11571</v>
      </c>
      <c r="C23683" s="74" t="s">
        <v>434</v>
      </c>
    </row>
    <row r="23684" spans="1:3">
      <c r="A23684" s="250">
        <v>55320</v>
      </c>
      <c r="B23684" s="74" t="s">
        <v>7813</v>
      </c>
      <c r="C23684" s="74" t="s">
        <v>434</v>
      </c>
    </row>
    <row r="23685" spans="1:3">
      <c r="A23685" s="250">
        <v>55321</v>
      </c>
      <c r="B23685" s="74" t="s">
        <v>12401</v>
      </c>
      <c r="C23685" s="74" t="s">
        <v>434</v>
      </c>
    </row>
    <row r="23686" spans="1:3">
      <c r="A23686" s="250">
        <v>55322</v>
      </c>
      <c r="B23686" s="74" t="s">
        <v>2448</v>
      </c>
      <c r="C23686" s="74" t="s">
        <v>434</v>
      </c>
    </row>
    <row r="23687" spans="1:3">
      <c r="A23687" s="250">
        <v>55323</v>
      </c>
      <c r="B23687" s="74" t="s">
        <v>12402</v>
      </c>
      <c r="C23687" s="74" t="s">
        <v>434</v>
      </c>
    </row>
    <row r="23688" spans="1:3">
      <c r="A23688" s="250">
        <v>55324</v>
      </c>
      <c r="B23688" s="74" t="s">
        <v>12403</v>
      </c>
      <c r="C23688" s="74" t="s">
        <v>434</v>
      </c>
    </row>
    <row r="23689" spans="1:3">
      <c r="A23689" s="250">
        <v>55325</v>
      </c>
      <c r="B23689" s="74" t="s">
        <v>12404</v>
      </c>
      <c r="C23689" s="74" t="s">
        <v>434</v>
      </c>
    </row>
    <row r="23690" spans="1:3">
      <c r="A23690" s="250">
        <v>55327</v>
      </c>
      <c r="B23690" s="74" t="s">
        <v>2564</v>
      </c>
      <c r="C23690" s="74" t="s">
        <v>434</v>
      </c>
    </row>
    <row r="23691" spans="1:3">
      <c r="A23691" s="250">
        <v>55328</v>
      </c>
      <c r="B23691" s="74" t="s">
        <v>5084</v>
      </c>
      <c r="C23691" s="74" t="s">
        <v>434</v>
      </c>
    </row>
    <row r="23692" spans="1:3">
      <c r="A23692" s="250">
        <v>55329</v>
      </c>
      <c r="B23692" s="74" t="s">
        <v>12405</v>
      </c>
      <c r="C23692" s="74" t="s">
        <v>434</v>
      </c>
    </row>
    <row r="23693" spans="1:3">
      <c r="A23693" s="250">
        <v>55330</v>
      </c>
      <c r="B23693" s="74" t="s">
        <v>12406</v>
      </c>
      <c r="C23693" s="74" t="s">
        <v>434</v>
      </c>
    </row>
    <row r="23694" spans="1:3">
      <c r="A23694" s="250">
        <v>55331</v>
      </c>
      <c r="B23694" s="74" t="s">
        <v>12407</v>
      </c>
      <c r="C23694" s="74" t="s">
        <v>434</v>
      </c>
    </row>
    <row r="23695" spans="1:3">
      <c r="A23695" s="250">
        <v>55332</v>
      </c>
      <c r="B23695" s="74" t="s">
        <v>1811</v>
      </c>
      <c r="C23695" s="74" t="s">
        <v>434</v>
      </c>
    </row>
    <row r="23696" spans="1:3">
      <c r="A23696" s="250">
        <v>55333</v>
      </c>
      <c r="B23696" s="74" t="s">
        <v>873</v>
      </c>
      <c r="C23696" s="74" t="s">
        <v>434</v>
      </c>
    </row>
    <row r="23697" spans="1:3">
      <c r="A23697" s="250">
        <v>55334</v>
      </c>
      <c r="B23697" s="74" t="s">
        <v>11356</v>
      </c>
      <c r="C23697" s="74" t="s">
        <v>434</v>
      </c>
    </row>
    <row r="23698" spans="1:3">
      <c r="A23698" s="250">
        <v>55335</v>
      </c>
      <c r="B23698" s="74" t="s">
        <v>12408</v>
      </c>
      <c r="C23698" s="74" t="s">
        <v>434</v>
      </c>
    </row>
    <row r="23699" spans="1:3">
      <c r="A23699" s="250">
        <v>55336</v>
      </c>
      <c r="B23699" s="74" t="s">
        <v>9736</v>
      </c>
      <c r="C23699" s="74" t="s">
        <v>434</v>
      </c>
    </row>
    <row r="23700" spans="1:3">
      <c r="A23700" s="250">
        <v>55337</v>
      </c>
      <c r="B23700" s="74" t="s">
        <v>6932</v>
      </c>
      <c r="C23700" s="74" t="s">
        <v>434</v>
      </c>
    </row>
    <row r="23701" spans="1:3">
      <c r="A23701" s="250">
        <v>55338</v>
      </c>
      <c r="B23701" s="74" t="s">
        <v>12409</v>
      </c>
      <c r="C23701" s="74" t="s">
        <v>434</v>
      </c>
    </row>
    <row r="23702" spans="1:3">
      <c r="A23702" s="250">
        <v>55339</v>
      </c>
      <c r="B23702" s="74" t="s">
        <v>2188</v>
      </c>
      <c r="C23702" s="74" t="s">
        <v>434</v>
      </c>
    </row>
    <row r="23703" spans="1:3">
      <c r="A23703" s="250">
        <v>55340</v>
      </c>
      <c r="B23703" s="74" t="s">
        <v>12410</v>
      </c>
      <c r="C23703" s="74" t="s">
        <v>434</v>
      </c>
    </row>
    <row r="23704" spans="1:3">
      <c r="A23704" s="250">
        <v>55341</v>
      </c>
      <c r="B23704" s="74" t="s">
        <v>944</v>
      </c>
      <c r="C23704" s="74" t="s">
        <v>434</v>
      </c>
    </row>
    <row r="23705" spans="1:3">
      <c r="A23705" s="250">
        <v>55342</v>
      </c>
      <c r="B23705" s="74" t="s">
        <v>3915</v>
      </c>
      <c r="C23705" s="74" t="s">
        <v>434</v>
      </c>
    </row>
    <row r="23706" spans="1:3">
      <c r="A23706" s="250">
        <v>55343</v>
      </c>
      <c r="B23706" s="74" t="s">
        <v>7617</v>
      </c>
      <c r="C23706" s="74" t="s">
        <v>434</v>
      </c>
    </row>
    <row r="23707" spans="1:3">
      <c r="A23707" s="250">
        <v>55344</v>
      </c>
      <c r="B23707" s="74" t="s">
        <v>12411</v>
      </c>
      <c r="C23707" s="74" t="s">
        <v>434</v>
      </c>
    </row>
    <row r="23708" spans="1:3">
      <c r="A23708" s="250">
        <v>55345</v>
      </c>
      <c r="B23708" s="74" t="s">
        <v>12412</v>
      </c>
      <c r="C23708" s="74" t="s">
        <v>434</v>
      </c>
    </row>
    <row r="23709" spans="1:3">
      <c r="A23709" s="250">
        <v>55346</v>
      </c>
      <c r="B23709" s="74" t="s">
        <v>12411</v>
      </c>
      <c r="C23709" s="74" t="s">
        <v>434</v>
      </c>
    </row>
    <row r="23710" spans="1:3">
      <c r="A23710" s="250">
        <v>55347</v>
      </c>
      <c r="B23710" s="74" t="s">
        <v>12411</v>
      </c>
      <c r="C23710" s="74" t="s">
        <v>434</v>
      </c>
    </row>
    <row r="23711" spans="1:3">
      <c r="A23711" s="250">
        <v>55348</v>
      </c>
      <c r="B23711" s="74" t="s">
        <v>12413</v>
      </c>
      <c r="C23711" s="74" t="s">
        <v>434</v>
      </c>
    </row>
    <row r="23712" spans="1:3">
      <c r="A23712" s="250">
        <v>55349</v>
      </c>
      <c r="B23712" s="74" t="s">
        <v>12414</v>
      </c>
      <c r="C23712" s="74" t="s">
        <v>434</v>
      </c>
    </row>
    <row r="23713" spans="1:3">
      <c r="A23713" s="250">
        <v>55350</v>
      </c>
      <c r="B23713" s="74" t="s">
        <v>4212</v>
      </c>
      <c r="C23713" s="74" t="s">
        <v>434</v>
      </c>
    </row>
    <row r="23714" spans="1:3">
      <c r="A23714" s="250">
        <v>55352</v>
      </c>
      <c r="B23714" s="74" t="s">
        <v>3371</v>
      </c>
      <c r="C23714" s="74" t="s">
        <v>434</v>
      </c>
    </row>
    <row r="23715" spans="1:3">
      <c r="A23715" s="250">
        <v>55353</v>
      </c>
      <c r="B23715" s="74" t="s">
        <v>6518</v>
      </c>
      <c r="C23715" s="74" t="s">
        <v>434</v>
      </c>
    </row>
    <row r="23716" spans="1:3">
      <c r="A23716" s="250">
        <v>55354</v>
      </c>
      <c r="B23716" s="74" t="s">
        <v>12415</v>
      </c>
      <c r="C23716" s="74" t="s">
        <v>434</v>
      </c>
    </row>
    <row r="23717" spans="1:3">
      <c r="A23717" s="250">
        <v>55355</v>
      </c>
      <c r="B23717" s="74" t="s">
        <v>1161</v>
      </c>
      <c r="C23717" s="74" t="s">
        <v>434</v>
      </c>
    </row>
    <row r="23718" spans="1:3">
      <c r="A23718" s="250">
        <v>55356</v>
      </c>
      <c r="B23718" s="74" t="s">
        <v>3245</v>
      </c>
      <c r="C23718" s="74" t="s">
        <v>434</v>
      </c>
    </row>
    <row r="23719" spans="1:3">
      <c r="A23719" s="250">
        <v>55357</v>
      </c>
      <c r="B23719" s="74" t="s">
        <v>4358</v>
      </c>
      <c r="C23719" s="74" t="s">
        <v>434</v>
      </c>
    </row>
    <row r="23720" spans="1:3">
      <c r="A23720" s="250">
        <v>55358</v>
      </c>
      <c r="B23720" s="74" t="s">
        <v>12416</v>
      </c>
      <c r="C23720" s="74" t="s">
        <v>434</v>
      </c>
    </row>
    <row r="23721" spans="1:3">
      <c r="A23721" s="250">
        <v>55359</v>
      </c>
      <c r="B23721" s="74" t="s">
        <v>12413</v>
      </c>
      <c r="C23721" s="74" t="s">
        <v>434</v>
      </c>
    </row>
    <row r="23722" spans="1:3">
      <c r="A23722" s="250">
        <v>55360</v>
      </c>
      <c r="B23722" s="74" t="s">
        <v>12417</v>
      </c>
      <c r="C23722" s="74" t="s">
        <v>434</v>
      </c>
    </row>
    <row r="23723" spans="1:3">
      <c r="A23723" s="250">
        <v>55361</v>
      </c>
      <c r="B23723" s="74" t="s">
        <v>12418</v>
      </c>
      <c r="C23723" s="74" t="s">
        <v>434</v>
      </c>
    </row>
    <row r="23724" spans="1:3">
      <c r="A23724" s="250">
        <v>55362</v>
      </c>
      <c r="B23724" s="74" t="s">
        <v>1639</v>
      </c>
      <c r="C23724" s="74" t="s">
        <v>434</v>
      </c>
    </row>
    <row r="23725" spans="1:3">
      <c r="A23725" s="250">
        <v>55363</v>
      </c>
      <c r="B23725" s="74" t="s">
        <v>2645</v>
      </c>
      <c r="C23725" s="74" t="s">
        <v>434</v>
      </c>
    </row>
    <row r="23726" spans="1:3">
      <c r="A23726" s="250">
        <v>55364</v>
      </c>
      <c r="B23726" s="74" t="s">
        <v>12419</v>
      </c>
      <c r="C23726" s="74" t="s">
        <v>434</v>
      </c>
    </row>
    <row r="23727" spans="1:3">
      <c r="A23727" s="250">
        <v>55365</v>
      </c>
      <c r="B23727" s="74" t="s">
        <v>1639</v>
      </c>
      <c r="C23727" s="74" t="s">
        <v>434</v>
      </c>
    </row>
    <row r="23728" spans="1:3">
      <c r="A23728" s="250">
        <v>55366</v>
      </c>
      <c r="B23728" s="74" t="s">
        <v>12279</v>
      </c>
      <c r="C23728" s="74" t="s">
        <v>434</v>
      </c>
    </row>
    <row r="23729" spans="1:3">
      <c r="A23729" s="250">
        <v>55367</v>
      </c>
      <c r="B23729" s="74" t="s">
        <v>12420</v>
      </c>
      <c r="C23729" s="74" t="s">
        <v>434</v>
      </c>
    </row>
    <row r="23730" spans="1:3">
      <c r="A23730" s="250">
        <v>55368</v>
      </c>
      <c r="B23730" s="74" t="s">
        <v>12421</v>
      </c>
      <c r="C23730" s="74" t="s">
        <v>434</v>
      </c>
    </row>
    <row r="23731" spans="1:3">
      <c r="A23731" s="250">
        <v>55369</v>
      </c>
      <c r="B23731" s="74" t="s">
        <v>11240</v>
      </c>
      <c r="C23731" s="74" t="s">
        <v>434</v>
      </c>
    </row>
    <row r="23732" spans="1:3">
      <c r="A23732" s="250">
        <v>55370</v>
      </c>
      <c r="B23732" s="74" t="s">
        <v>12422</v>
      </c>
      <c r="C23732" s="74" t="s">
        <v>434</v>
      </c>
    </row>
    <row r="23733" spans="1:3">
      <c r="A23733" s="250">
        <v>55371</v>
      </c>
      <c r="B23733" s="74" t="s">
        <v>755</v>
      </c>
      <c r="C23733" s="74" t="s">
        <v>434</v>
      </c>
    </row>
    <row r="23734" spans="1:3">
      <c r="A23734" s="250">
        <v>55372</v>
      </c>
      <c r="B23734" s="74" t="s">
        <v>12423</v>
      </c>
      <c r="C23734" s="74" t="s">
        <v>434</v>
      </c>
    </row>
    <row r="23735" spans="1:3">
      <c r="A23735" s="250">
        <v>55373</v>
      </c>
      <c r="B23735" s="74" t="s">
        <v>8662</v>
      </c>
      <c r="C23735" s="74" t="s">
        <v>434</v>
      </c>
    </row>
    <row r="23736" spans="1:3">
      <c r="A23736" s="250">
        <v>55374</v>
      </c>
      <c r="B23736" s="74" t="s">
        <v>2002</v>
      </c>
      <c r="C23736" s="74" t="s">
        <v>434</v>
      </c>
    </row>
    <row r="23737" spans="1:3">
      <c r="A23737" s="250">
        <v>55375</v>
      </c>
      <c r="B23737" s="74" t="s">
        <v>12424</v>
      </c>
      <c r="C23737" s="74" t="s">
        <v>434</v>
      </c>
    </row>
    <row r="23738" spans="1:3">
      <c r="A23738" s="250">
        <v>55376</v>
      </c>
      <c r="B23738" s="74" t="s">
        <v>4365</v>
      </c>
      <c r="C23738" s="74" t="s">
        <v>434</v>
      </c>
    </row>
    <row r="23739" spans="1:3">
      <c r="A23739" s="250">
        <v>55377</v>
      </c>
      <c r="B23739" s="74" t="s">
        <v>12425</v>
      </c>
      <c r="C23739" s="74" t="s">
        <v>434</v>
      </c>
    </row>
    <row r="23740" spans="1:3">
      <c r="A23740" s="250">
        <v>55378</v>
      </c>
      <c r="B23740" s="74" t="s">
        <v>5615</v>
      </c>
      <c r="C23740" s="74" t="s">
        <v>434</v>
      </c>
    </row>
    <row r="23741" spans="1:3">
      <c r="A23741" s="250">
        <v>55379</v>
      </c>
      <c r="B23741" s="74" t="s">
        <v>12426</v>
      </c>
      <c r="C23741" s="74" t="s">
        <v>434</v>
      </c>
    </row>
    <row r="23742" spans="1:3">
      <c r="A23742" s="250">
        <v>55380</v>
      </c>
      <c r="B23742" s="74" t="s">
        <v>3735</v>
      </c>
      <c r="C23742" s="74" t="s">
        <v>434</v>
      </c>
    </row>
    <row r="23743" spans="1:3">
      <c r="A23743" s="250">
        <v>55381</v>
      </c>
      <c r="B23743" s="74" t="s">
        <v>1339</v>
      </c>
      <c r="C23743" s="74" t="s">
        <v>434</v>
      </c>
    </row>
    <row r="23744" spans="1:3">
      <c r="A23744" s="250">
        <v>55382</v>
      </c>
      <c r="B23744" s="74" t="s">
        <v>11213</v>
      </c>
      <c r="C23744" s="74" t="s">
        <v>434</v>
      </c>
    </row>
    <row r="23745" spans="1:3">
      <c r="A23745" s="250">
        <v>55383</v>
      </c>
      <c r="B23745" s="74" t="s">
        <v>890</v>
      </c>
      <c r="C23745" s="74" t="s">
        <v>434</v>
      </c>
    </row>
    <row r="23746" spans="1:3">
      <c r="A23746" s="250">
        <v>55384</v>
      </c>
      <c r="B23746" s="74" t="s">
        <v>12427</v>
      </c>
      <c r="C23746" s="74" t="s">
        <v>434</v>
      </c>
    </row>
    <row r="23747" spans="1:3">
      <c r="A23747" s="250">
        <v>55385</v>
      </c>
      <c r="B23747" s="74" t="s">
        <v>9039</v>
      </c>
      <c r="C23747" s="74" t="s">
        <v>434</v>
      </c>
    </row>
    <row r="23748" spans="1:3">
      <c r="A23748" s="250">
        <v>55386</v>
      </c>
      <c r="B23748" s="74" t="s">
        <v>6250</v>
      </c>
      <c r="C23748" s="74" t="s">
        <v>434</v>
      </c>
    </row>
    <row r="23749" spans="1:3">
      <c r="A23749" s="250">
        <v>55387</v>
      </c>
      <c r="B23749" s="74" t="s">
        <v>12428</v>
      </c>
      <c r="C23749" s="74" t="s">
        <v>434</v>
      </c>
    </row>
    <row r="23750" spans="1:3">
      <c r="A23750" s="250">
        <v>55388</v>
      </c>
      <c r="B23750" s="74" t="s">
        <v>983</v>
      </c>
      <c r="C23750" s="74" t="s">
        <v>434</v>
      </c>
    </row>
    <row r="23751" spans="1:3">
      <c r="A23751" s="250">
        <v>55389</v>
      </c>
      <c r="B23751" s="74" t="s">
        <v>11876</v>
      </c>
      <c r="C23751" s="74" t="s">
        <v>434</v>
      </c>
    </row>
    <row r="23752" spans="1:3">
      <c r="A23752" s="250">
        <v>55390</v>
      </c>
      <c r="B23752" s="74" t="s">
        <v>3950</v>
      </c>
      <c r="C23752" s="74" t="s">
        <v>434</v>
      </c>
    </row>
    <row r="23753" spans="1:3">
      <c r="A23753" s="250">
        <v>55391</v>
      </c>
      <c r="B23753" s="74" t="s">
        <v>12429</v>
      </c>
      <c r="C23753" s="74" t="s">
        <v>434</v>
      </c>
    </row>
    <row r="23754" spans="1:3">
      <c r="A23754" s="250">
        <v>55392</v>
      </c>
      <c r="B23754" s="74" t="s">
        <v>8333</v>
      </c>
      <c r="C23754" s="74" t="s">
        <v>434</v>
      </c>
    </row>
    <row r="23755" spans="1:3">
      <c r="A23755" s="250">
        <v>55393</v>
      </c>
      <c r="B23755" s="74" t="s">
        <v>12413</v>
      </c>
      <c r="C23755" s="74" t="s">
        <v>434</v>
      </c>
    </row>
    <row r="23756" spans="1:3">
      <c r="A23756" s="250">
        <v>55394</v>
      </c>
      <c r="B23756" s="74" t="s">
        <v>10797</v>
      </c>
      <c r="C23756" s="74" t="s">
        <v>434</v>
      </c>
    </row>
    <row r="23757" spans="1:3">
      <c r="A23757" s="250">
        <v>55395</v>
      </c>
      <c r="B23757" s="74" t="s">
        <v>1977</v>
      </c>
      <c r="C23757" s="74" t="s">
        <v>434</v>
      </c>
    </row>
    <row r="23758" spans="1:3">
      <c r="A23758" s="250">
        <v>55396</v>
      </c>
      <c r="B23758" s="74" t="s">
        <v>920</v>
      </c>
      <c r="C23758" s="74" t="s">
        <v>434</v>
      </c>
    </row>
    <row r="23759" spans="1:3">
      <c r="A23759" s="250">
        <v>55397</v>
      </c>
      <c r="B23759" s="74" t="s">
        <v>10797</v>
      </c>
      <c r="C23759" s="74" t="s">
        <v>434</v>
      </c>
    </row>
    <row r="23760" spans="1:3">
      <c r="A23760" s="250">
        <v>55398</v>
      </c>
      <c r="B23760" s="74" t="s">
        <v>12430</v>
      </c>
      <c r="C23760" s="74" t="s">
        <v>434</v>
      </c>
    </row>
    <row r="23761" spans="1:3">
      <c r="A23761" s="250">
        <v>55399</v>
      </c>
      <c r="B23761" s="74" t="s">
        <v>10797</v>
      </c>
      <c r="C23761" s="74" t="s">
        <v>434</v>
      </c>
    </row>
    <row r="23762" spans="1:3">
      <c r="A23762" s="250">
        <v>55401</v>
      </c>
      <c r="B23762" s="74" t="s">
        <v>7497</v>
      </c>
      <c r="C23762" s="74" t="s">
        <v>434</v>
      </c>
    </row>
    <row r="23763" spans="1:3">
      <c r="A23763" s="250">
        <v>55402</v>
      </c>
      <c r="B23763" s="74" t="s">
        <v>7497</v>
      </c>
      <c r="C23763" s="74" t="s">
        <v>434</v>
      </c>
    </row>
    <row r="23764" spans="1:3">
      <c r="A23764" s="250">
        <v>55403</v>
      </c>
      <c r="B23764" s="74" t="s">
        <v>7497</v>
      </c>
      <c r="C23764" s="74" t="s">
        <v>434</v>
      </c>
    </row>
    <row r="23765" spans="1:3">
      <c r="A23765" s="250">
        <v>55404</v>
      </c>
      <c r="B23765" s="74" t="s">
        <v>7497</v>
      </c>
      <c r="C23765" s="74" t="s">
        <v>434</v>
      </c>
    </row>
    <row r="23766" spans="1:3">
      <c r="A23766" s="250">
        <v>55405</v>
      </c>
      <c r="B23766" s="74" t="s">
        <v>7497</v>
      </c>
      <c r="C23766" s="74" t="s">
        <v>434</v>
      </c>
    </row>
    <row r="23767" spans="1:3">
      <c r="A23767" s="250">
        <v>55406</v>
      </c>
      <c r="B23767" s="74" t="s">
        <v>7497</v>
      </c>
      <c r="C23767" s="74" t="s">
        <v>434</v>
      </c>
    </row>
    <row r="23768" spans="1:3">
      <c r="A23768" s="250">
        <v>55407</v>
      </c>
      <c r="B23768" s="74" t="s">
        <v>7497</v>
      </c>
      <c r="C23768" s="74" t="s">
        <v>434</v>
      </c>
    </row>
    <row r="23769" spans="1:3">
      <c r="A23769" s="250">
        <v>55408</v>
      </c>
      <c r="B23769" s="74" t="s">
        <v>7497</v>
      </c>
      <c r="C23769" s="74" t="s">
        <v>434</v>
      </c>
    </row>
    <row r="23770" spans="1:3">
      <c r="A23770" s="250">
        <v>55409</v>
      </c>
      <c r="B23770" s="74" t="s">
        <v>7497</v>
      </c>
      <c r="C23770" s="74" t="s">
        <v>434</v>
      </c>
    </row>
    <row r="23771" spans="1:3">
      <c r="A23771" s="250">
        <v>55410</v>
      </c>
      <c r="B23771" s="74" t="s">
        <v>7497</v>
      </c>
      <c r="C23771" s="74" t="s">
        <v>434</v>
      </c>
    </row>
    <row r="23772" spans="1:3">
      <c r="A23772" s="250">
        <v>55411</v>
      </c>
      <c r="B23772" s="74" t="s">
        <v>7497</v>
      </c>
      <c r="C23772" s="74" t="s">
        <v>434</v>
      </c>
    </row>
    <row r="23773" spans="1:3">
      <c r="A23773" s="250">
        <v>55412</v>
      </c>
      <c r="B23773" s="74" t="s">
        <v>7497</v>
      </c>
      <c r="C23773" s="74" t="s">
        <v>434</v>
      </c>
    </row>
    <row r="23774" spans="1:3">
      <c r="A23774" s="250">
        <v>55413</v>
      </c>
      <c r="B23774" s="74" t="s">
        <v>7497</v>
      </c>
      <c r="C23774" s="74" t="s">
        <v>434</v>
      </c>
    </row>
    <row r="23775" spans="1:3">
      <c r="A23775" s="250">
        <v>55414</v>
      </c>
      <c r="B23775" s="74" t="s">
        <v>7497</v>
      </c>
      <c r="C23775" s="74" t="s">
        <v>434</v>
      </c>
    </row>
    <row r="23776" spans="1:3">
      <c r="A23776" s="250">
        <v>55415</v>
      </c>
      <c r="B23776" s="74" t="s">
        <v>7497</v>
      </c>
      <c r="C23776" s="74" t="s">
        <v>434</v>
      </c>
    </row>
    <row r="23777" spans="1:3">
      <c r="A23777" s="250">
        <v>55416</v>
      </c>
      <c r="B23777" s="74" t="s">
        <v>7497</v>
      </c>
      <c r="C23777" s="74" t="s">
        <v>434</v>
      </c>
    </row>
    <row r="23778" spans="1:3">
      <c r="A23778" s="250">
        <v>55417</v>
      </c>
      <c r="B23778" s="74" t="s">
        <v>7497</v>
      </c>
      <c r="C23778" s="74" t="s">
        <v>434</v>
      </c>
    </row>
    <row r="23779" spans="1:3">
      <c r="A23779" s="250">
        <v>55418</v>
      </c>
      <c r="B23779" s="74" t="s">
        <v>7497</v>
      </c>
      <c r="C23779" s="74" t="s">
        <v>434</v>
      </c>
    </row>
    <row r="23780" spans="1:3">
      <c r="A23780" s="250">
        <v>55419</v>
      </c>
      <c r="B23780" s="74" t="s">
        <v>7497</v>
      </c>
      <c r="C23780" s="74" t="s">
        <v>434</v>
      </c>
    </row>
    <row r="23781" spans="1:3">
      <c r="A23781" s="250">
        <v>55420</v>
      </c>
      <c r="B23781" s="74" t="s">
        <v>7497</v>
      </c>
      <c r="C23781" s="74" t="s">
        <v>434</v>
      </c>
    </row>
    <row r="23782" spans="1:3">
      <c r="A23782" s="250">
        <v>55421</v>
      </c>
      <c r="B23782" s="74" t="s">
        <v>7497</v>
      </c>
      <c r="C23782" s="74" t="s">
        <v>434</v>
      </c>
    </row>
    <row r="23783" spans="1:3">
      <c r="A23783" s="250">
        <v>55422</v>
      </c>
      <c r="B23783" s="74" t="s">
        <v>7497</v>
      </c>
      <c r="C23783" s="74" t="s">
        <v>434</v>
      </c>
    </row>
    <row r="23784" spans="1:3">
      <c r="A23784" s="250">
        <v>55423</v>
      </c>
      <c r="B23784" s="74" t="s">
        <v>7497</v>
      </c>
      <c r="C23784" s="74" t="s">
        <v>434</v>
      </c>
    </row>
    <row r="23785" spans="1:3">
      <c r="A23785" s="250">
        <v>55424</v>
      </c>
      <c r="B23785" s="74" t="s">
        <v>7497</v>
      </c>
      <c r="C23785" s="74" t="s">
        <v>434</v>
      </c>
    </row>
    <row r="23786" spans="1:3">
      <c r="A23786" s="250">
        <v>55425</v>
      </c>
      <c r="B23786" s="74" t="s">
        <v>7497</v>
      </c>
      <c r="C23786" s="74" t="s">
        <v>434</v>
      </c>
    </row>
    <row r="23787" spans="1:3">
      <c r="A23787" s="250">
        <v>55426</v>
      </c>
      <c r="B23787" s="74" t="s">
        <v>7497</v>
      </c>
      <c r="C23787" s="74" t="s">
        <v>434</v>
      </c>
    </row>
    <row r="23788" spans="1:3">
      <c r="A23788" s="250">
        <v>55427</v>
      </c>
      <c r="B23788" s="74" t="s">
        <v>7497</v>
      </c>
      <c r="C23788" s="74" t="s">
        <v>434</v>
      </c>
    </row>
    <row r="23789" spans="1:3">
      <c r="A23789" s="250">
        <v>55428</v>
      </c>
      <c r="B23789" s="74" t="s">
        <v>7497</v>
      </c>
      <c r="C23789" s="74" t="s">
        <v>434</v>
      </c>
    </row>
    <row r="23790" spans="1:3">
      <c r="A23790" s="250">
        <v>55429</v>
      </c>
      <c r="B23790" s="74" t="s">
        <v>7497</v>
      </c>
      <c r="C23790" s="74" t="s">
        <v>434</v>
      </c>
    </row>
    <row r="23791" spans="1:3">
      <c r="A23791" s="250">
        <v>55430</v>
      </c>
      <c r="B23791" s="74" t="s">
        <v>7497</v>
      </c>
      <c r="C23791" s="74" t="s">
        <v>434</v>
      </c>
    </row>
    <row r="23792" spans="1:3">
      <c r="A23792" s="250">
        <v>55431</v>
      </c>
      <c r="B23792" s="74" t="s">
        <v>7497</v>
      </c>
      <c r="C23792" s="74" t="s">
        <v>434</v>
      </c>
    </row>
    <row r="23793" spans="1:3">
      <c r="A23793" s="250">
        <v>55432</v>
      </c>
      <c r="B23793" s="74" t="s">
        <v>7497</v>
      </c>
      <c r="C23793" s="74" t="s">
        <v>434</v>
      </c>
    </row>
    <row r="23794" spans="1:3">
      <c r="A23794" s="250">
        <v>55433</v>
      </c>
      <c r="B23794" s="74" t="s">
        <v>7497</v>
      </c>
      <c r="C23794" s="74" t="s">
        <v>434</v>
      </c>
    </row>
    <row r="23795" spans="1:3">
      <c r="A23795" s="250">
        <v>55434</v>
      </c>
      <c r="B23795" s="74" t="s">
        <v>7497</v>
      </c>
      <c r="C23795" s="74" t="s">
        <v>434</v>
      </c>
    </row>
    <row r="23796" spans="1:3">
      <c r="A23796" s="250">
        <v>55435</v>
      </c>
      <c r="B23796" s="74" t="s">
        <v>7497</v>
      </c>
      <c r="C23796" s="74" t="s">
        <v>434</v>
      </c>
    </row>
    <row r="23797" spans="1:3">
      <c r="A23797" s="250">
        <v>55436</v>
      </c>
      <c r="B23797" s="74" t="s">
        <v>7497</v>
      </c>
      <c r="C23797" s="74" t="s">
        <v>434</v>
      </c>
    </row>
    <row r="23798" spans="1:3">
      <c r="A23798" s="250">
        <v>55437</v>
      </c>
      <c r="B23798" s="74" t="s">
        <v>7497</v>
      </c>
      <c r="C23798" s="74" t="s">
        <v>434</v>
      </c>
    </row>
    <row r="23799" spans="1:3">
      <c r="A23799" s="250">
        <v>55438</v>
      </c>
      <c r="B23799" s="74" t="s">
        <v>7497</v>
      </c>
      <c r="C23799" s="74" t="s">
        <v>434</v>
      </c>
    </row>
    <row r="23800" spans="1:3">
      <c r="A23800" s="250">
        <v>55439</v>
      </c>
      <c r="B23800" s="74" t="s">
        <v>7497</v>
      </c>
      <c r="C23800" s="74" t="s">
        <v>434</v>
      </c>
    </row>
    <row r="23801" spans="1:3">
      <c r="A23801" s="250">
        <v>55440</v>
      </c>
      <c r="B23801" s="74" t="s">
        <v>7497</v>
      </c>
      <c r="C23801" s="74" t="s">
        <v>434</v>
      </c>
    </row>
    <row r="23802" spans="1:3">
      <c r="A23802" s="250">
        <v>55441</v>
      </c>
      <c r="B23802" s="74" t="s">
        <v>7497</v>
      </c>
      <c r="C23802" s="74" t="s">
        <v>434</v>
      </c>
    </row>
    <row r="23803" spans="1:3">
      <c r="A23803" s="250">
        <v>55442</v>
      </c>
      <c r="B23803" s="74" t="s">
        <v>7497</v>
      </c>
      <c r="C23803" s="74" t="s">
        <v>434</v>
      </c>
    </row>
    <row r="23804" spans="1:3">
      <c r="A23804" s="250">
        <v>55443</v>
      </c>
      <c r="B23804" s="74" t="s">
        <v>7497</v>
      </c>
      <c r="C23804" s="74" t="s">
        <v>434</v>
      </c>
    </row>
    <row r="23805" spans="1:3">
      <c r="A23805" s="250">
        <v>55444</v>
      </c>
      <c r="B23805" s="74" t="s">
        <v>7497</v>
      </c>
      <c r="C23805" s="74" t="s">
        <v>434</v>
      </c>
    </row>
    <row r="23806" spans="1:3">
      <c r="A23806" s="250">
        <v>55445</v>
      </c>
      <c r="B23806" s="74" t="s">
        <v>7497</v>
      </c>
      <c r="C23806" s="74" t="s">
        <v>434</v>
      </c>
    </row>
    <row r="23807" spans="1:3">
      <c r="A23807" s="250">
        <v>55446</v>
      </c>
      <c r="B23807" s="74" t="s">
        <v>7497</v>
      </c>
      <c r="C23807" s="74" t="s">
        <v>434</v>
      </c>
    </row>
    <row r="23808" spans="1:3">
      <c r="A23808" s="250">
        <v>55447</v>
      </c>
      <c r="B23808" s="74" t="s">
        <v>7497</v>
      </c>
      <c r="C23808" s="74" t="s">
        <v>434</v>
      </c>
    </row>
    <row r="23809" spans="1:3">
      <c r="A23809" s="250">
        <v>55448</v>
      </c>
      <c r="B23809" s="74" t="s">
        <v>7497</v>
      </c>
      <c r="C23809" s="74" t="s">
        <v>434</v>
      </c>
    </row>
    <row r="23810" spans="1:3">
      <c r="A23810" s="250">
        <v>55449</v>
      </c>
      <c r="B23810" s="74" t="s">
        <v>7497</v>
      </c>
      <c r="C23810" s="74" t="s">
        <v>434</v>
      </c>
    </row>
    <row r="23811" spans="1:3">
      <c r="A23811" s="250">
        <v>55450</v>
      </c>
      <c r="B23811" s="74" t="s">
        <v>7497</v>
      </c>
      <c r="C23811" s="74" t="s">
        <v>434</v>
      </c>
    </row>
    <row r="23812" spans="1:3">
      <c r="A23812" s="250">
        <v>55454</v>
      </c>
      <c r="B23812" s="74" t="s">
        <v>7497</v>
      </c>
      <c r="C23812" s="74" t="s">
        <v>434</v>
      </c>
    </row>
    <row r="23813" spans="1:3">
      <c r="A23813" s="250">
        <v>55455</v>
      </c>
      <c r="B23813" s="74" t="s">
        <v>7497</v>
      </c>
      <c r="C23813" s="74" t="s">
        <v>434</v>
      </c>
    </row>
    <row r="23814" spans="1:3">
      <c r="A23814" s="250">
        <v>55458</v>
      </c>
      <c r="B23814" s="74" t="s">
        <v>7497</v>
      </c>
      <c r="C23814" s="74" t="s">
        <v>434</v>
      </c>
    </row>
    <row r="23815" spans="1:3">
      <c r="A23815" s="250">
        <v>55459</v>
      </c>
      <c r="B23815" s="74" t="s">
        <v>7497</v>
      </c>
      <c r="C23815" s="74" t="s">
        <v>434</v>
      </c>
    </row>
    <row r="23816" spans="1:3">
      <c r="A23816" s="250">
        <v>55460</v>
      </c>
      <c r="B23816" s="74" t="s">
        <v>7497</v>
      </c>
      <c r="C23816" s="74" t="s">
        <v>434</v>
      </c>
    </row>
    <row r="23817" spans="1:3">
      <c r="A23817" s="250">
        <v>55467</v>
      </c>
      <c r="B23817" s="74" t="s">
        <v>7497</v>
      </c>
      <c r="C23817" s="74" t="s">
        <v>434</v>
      </c>
    </row>
    <row r="23818" spans="1:3">
      <c r="A23818" s="250">
        <v>55468</v>
      </c>
      <c r="B23818" s="74" t="s">
        <v>7497</v>
      </c>
      <c r="C23818" s="74" t="s">
        <v>434</v>
      </c>
    </row>
    <row r="23819" spans="1:3">
      <c r="A23819" s="250">
        <v>55470</v>
      </c>
      <c r="B23819" s="74" t="s">
        <v>7497</v>
      </c>
      <c r="C23819" s="74" t="s">
        <v>434</v>
      </c>
    </row>
    <row r="23820" spans="1:3">
      <c r="A23820" s="250">
        <v>55472</v>
      </c>
      <c r="B23820" s="74" t="s">
        <v>7497</v>
      </c>
      <c r="C23820" s="74" t="s">
        <v>434</v>
      </c>
    </row>
    <row r="23821" spans="1:3">
      <c r="A23821" s="250">
        <v>55473</v>
      </c>
      <c r="B23821" s="74" t="s">
        <v>7497</v>
      </c>
      <c r="C23821" s="74" t="s">
        <v>434</v>
      </c>
    </row>
    <row r="23822" spans="1:3">
      <c r="A23822" s="250">
        <v>55474</v>
      </c>
      <c r="B23822" s="74" t="s">
        <v>7497</v>
      </c>
      <c r="C23822" s="74" t="s">
        <v>434</v>
      </c>
    </row>
    <row r="23823" spans="1:3">
      <c r="A23823" s="250">
        <v>55478</v>
      </c>
      <c r="B23823" s="74" t="s">
        <v>7497</v>
      </c>
      <c r="C23823" s="74" t="s">
        <v>434</v>
      </c>
    </row>
    <row r="23824" spans="1:3">
      <c r="A23824" s="250">
        <v>55479</v>
      </c>
      <c r="B23824" s="74" t="s">
        <v>7497</v>
      </c>
      <c r="C23824" s="74" t="s">
        <v>434</v>
      </c>
    </row>
    <row r="23825" spans="1:3">
      <c r="A23825" s="250">
        <v>55480</v>
      </c>
      <c r="B23825" s="74" t="s">
        <v>7497</v>
      </c>
      <c r="C23825" s="74" t="s">
        <v>434</v>
      </c>
    </row>
    <row r="23826" spans="1:3">
      <c r="A23826" s="250">
        <v>55483</v>
      </c>
      <c r="B23826" s="74" t="s">
        <v>7497</v>
      </c>
      <c r="C23826" s="74" t="s">
        <v>434</v>
      </c>
    </row>
    <row r="23827" spans="1:3">
      <c r="A23827" s="250">
        <v>55484</v>
      </c>
      <c r="B23827" s="74" t="s">
        <v>7497</v>
      </c>
      <c r="C23827" s="74" t="s">
        <v>434</v>
      </c>
    </row>
    <row r="23828" spans="1:3">
      <c r="A23828" s="250">
        <v>55485</v>
      </c>
      <c r="B23828" s="74" t="s">
        <v>7497</v>
      </c>
      <c r="C23828" s="74" t="s">
        <v>434</v>
      </c>
    </row>
    <row r="23829" spans="1:3">
      <c r="A23829" s="250">
        <v>55486</v>
      </c>
      <c r="B23829" s="74" t="s">
        <v>7497</v>
      </c>
      <c r="C23829" s="74" t="s">
        <v>434</v>
      </c>
    </row>
    <row r="23830" spans="1:3">
      <c r="A23830" s="250">
        <v>55487</v>
      </c>
      <c r="B23830" s="74" t="s">
        <v>7497</v>
      </c>
      <c r="C23830" s="74" t="s">
        <v>434</v>
      </c>
    </row>
    <row r="23831" spans="1:3">
      <c r="A23831" s="250">
        <v>55488</v>
      </c>
      <c r="B23831" s="74" t="s">
        <v>7497</v>
      </c>
      <c r="C23831" s="74" t="s">
        <v>434</v>
      </c>
    </row>
    <row r="23832" spans="1:3">
      <c r="A23832" s="250">
        <v>55550</v>
      </c>
      <c r="B23832" s="74" t="s">
        <v>10797</v>
      </c>
      <c r="C23832" s="74" t="s">
        <v>434</v>
      </c>
    </row>
    <row r="23833" spans="1:3">
      <c r="A23833" s="250">
        <v>55551</v>
      </c>
      <c r="B23833" s="74" t="s">
        <v>10797</v>
      </c>
      <c r="C23833" s="74" t="s">
        <v>434</v>
      </c>
    </row>
    <row r="23834" spans="1:3">
      <c r="A23834" s="250">
        <v>55552</v>
      </c>
      <c r="B23834" s="74" t="s">
        <v>10797</v>
      </c>
      <c r="C23834" s="74" t="s">
        <v>434</v>
      </c>
    </row>
    <row r="23835" spans="1:3">
      <c r="A23835" s="250">
        <v>55553</v>
      </c>
      <c r="B23835" s="74" t="s">
        <v>10797</v>
      </c>
      <c r="C23835" s="74" t="s">
        <v>434</v>
      </c>
    </row>
    <row r="23836" spans="1:3">
      <c r="A23836" s="250">
        <v>55554</v>
      </c>
      <c r="B23836" s="74" t="s">
        <v>890</v>
      </c>
      <c r="C23836" s="74" t="s">
        <v>434</v>
      </c>
    </row>
    <row r="23837" spans="1:3">
      <c r="A23837" s="250">
        <v>55555</v>
      </c>
      <c r="B23837" s="74" t="s">
        <v>10797</v>
      </c>
      <c r="C23837" s="74" t="s">
        <v>434</v>
      </c>
    </row>
    <row r="23838" spans="1:3">
      <c r="A23838" s="250">
        <v>55556</v>
      </c>
      <c r="B23838" s="74" t="s">
        <v>10797</v>
      </c>
      <c r="C23838" s="74" t="s">
        <v>434</v>
      </c>
    </row>
    <row r="23839" spans="1:3">
      <c r="A23839" s="250">
        <v>55557</v>
      </c>
      <c r="B23839" s="74" t="s">
        <v>10797</v>
      </c>
      <c r="C23839" s="74" t="s">
        <v>434</v>
      </c>
    </row>
    <row r="23840" spans="1:3">
      <c r="A23840" s="250">
        <v>55558</v>
      </c>
      <c r="B23840" s="74" t="s">
        <v>10797</v>
      </c>
      <c r="C23840" s="74" t="s">
        <v>434</v>
      </c>
    </row>
    <row r="23841" spans="1:3">
      <c r="A23841" s="250">
        <v>55559</v>
      </c>
      <c r="B23841" s="74" t="s">
        <v>10797</v>
      </c>
      <c r="C23841" s="74" t="s">
        <v>434</v>
      </c>
    </row>
    <row r="23842" spans="1:3">
      <c r="A23842" s="250">
        <v>55560</v>
      </c>
      <c r="B23842" s="74" t="s">
        <v>10797</v>
      </c>
      <c r="C23842" s="74" t="s">
        <v>434</v>
      </c>
    </row>
    <row r="23843" spans="1:3">
      <c r="A23843" s="250">
        <v>55561</v>
      </c>
      <c r="B23843" s="74" t="s">
        <v>1639</v>
      </c>
      <c r="C23843" s="74" t="s">
        <v>434</v>
      </c>
    </row>
    <row r="23844" spans="1:3">
      <c r="A23844" s="250">
        <v>55562</v>
      </c>
      <c r="B23844" s="74" t="s">
        <v>10797</v>
      </c>
      <c r="C23844" s="74" t="s">
        <v>434</v>
      </c>
    </row>
    <row r="23845" spans="1:3">
      <c r="A23845" s="250">
        <v>55563</v>
      </c>
      <c r="B23845" s="74" t="s">
        <v>1639</v>
      </c>
      <c r="C23845" s="74" t="s">
        <v>434</v>
      </c>
    </row>
    <row r="23846" spans="1:3">
      <c r="A23846" s="250">
        <v>55564</v>
      </c>
      <c r="B23846" s="74" t="s">
        <v>10797</v>
      </c>
      <c r="C23846" s="74" t="s">
        <v>434</v>
      </c>
    </row>
    <row r="23847" spans="1:3">
      <c r="A23847" s="250">
        <v>55565</v>
      </c>
      <c r="B23847" s="74" t="s">
        <v>1639</v>
      </c>
      <c r="C23847" s="74" t="s">
        <v>434</v>
      </c>
    </row>
    <row r="23848" spans="1:3">
      <c r="A23848" s="250">
        <v>55566</v>
      </c>
      <c r="B23848" s="74" t="s">
        <v>10797</v>
      </c>
      <c r="C23848" s="74" t="s">
        <v>434</v>
      </c>
    </row>
    <row r="23849" spans="1:3">
      <c r="A23849" s="250">
        <v>55567</v>
      </c>
      <c r="B23849" s="74" t="s">
        <v>10797</v>
      </c>
      <c r="C23849" s="74" t="s">
        <v>434</v>
      </c>
    </row>
    <row r="23850" spans="1:3">
      <c r="A23850" s="250">
        <v>55568</v>
      </c>
      <c r="B23850" s="74" t="s">
        <v>10797</v>
      </c>
      <c r="C23850" s="74" t="s">
        <v>434</v>
      </c>
    </row>
    <row r="23851" spans="1:3">
      <c r="A23851" s="250">
        <v>55569</v>
      </c>
      <c r="B23851" s="74" t="s">
        <v>11240</v>
      </c>
      <c r="C23851" s="74" t="s">
        <v>434</v>
      </c>
    </row>
    <row r="23852" spans="1:3">
      <c r="A23852" s="250">
        <v>55570</v>
      </c>
      <c r="B23852" s="74" t="s">
        <v>12413</v>
      </c>
      <c r="C23852" s="74" t="s">
        <v>434</v>
      </c>
    </row>
    <row r="23853" spans="1:3">
      <c r="A23853" s="250">
        <v>55571</v>
      </c>
      <c r="B23853" s="74" t="s">
        <v>12413</v>
      </c>
      <c r="C23853" s="74" t="s">
        <v>434</v>
      </c>
    </row>
    <row r="23854" spans="1:3">
      <c r="A23854" s="250">
        <v>55572</v>
      </c>
      <c r="B23854" s="74" t="s">
        <v>8662</v>
      </c>
      <c r="C23854" s="74" t="s">
        <v>434</v>
      </c>
    </row>
    <row r="23855" spans="1:3">
      <c r="A23855" s="250">
        <v>55573</v>
      </c>
      <c r="B23855" s="74" t="s">
        <v>10797</v>
      </c>
      <c r="C23855" s="74" t="s">
        <v>434</v>
      </c>
    </row>
    <row r="23856" spans="1:3">
      <c r="A23856" s="250">
        <v>55574</v>
      </c>
      <c r="B23856" s="74" t="s">
        <v>12413</v>
      </c>
      <c r="C23856" s="74" t="s">
        <v>434</v>
      </c>
    </row>
    <row r="23857" spans="1:3">
      <c r="A23857" s="250">
        <v>55575</v>
      </c>
      <c r="B23857" s="74" t="s">
        <v>12414</v>
      </c>
      <c r="C23857" s="74" t="s">
        <v>434</v>
      </c>
    </row>
    <row r="23858" spans="1:3">
      <c r="A23858" s="250">
        <v>55576</v>
      </c>
      <c r="B23858" s="74" t="s">
        <v>12413</v>
      </c>
      <c r="C23858" s="74" t="s">
        <v>434</v>
      </c>
    </row>
    <row r="23859" spans="1:3">
      <c r="A23859" s="250">
        <v>55577</v>
      </c>
      <c r="B23859" s="74" t="s">
        <v>8662</v>
      </c>
      <c r="C23859" s="74" t="s">
        <v>434</v>
      </c>
    </row>
    <row r="23860" spans="1:3">
      <c r="A23860" s="250">
        <v>55578</v>
      </c>
      <c r="B23860" s="74" t="s">
        <v>12413</v>
      </c>
      <c r="C23860" s="74" t="s">
        <v>434</v>
      </c>
    </row>
    <row r="23861" spans="1:3">
      <c r="A23861" s="250">
        <v>55579</v>
      </c>
      <c r="B23861" s="74" t="s">
        <v>12413</v>
      </c>
      <c r="C23861" s="74" t="s">
        <v>434</v>
      </c>
    </row>
    <row r="23862" spans="1:3">
      <c r="A23862" s="250">
        <v>55580</v>
      </c>
      <c r="B23862" s="74" t="s">
        <v>1639</v>
      </c>
      <c r="C23862" s="74" t="s">
        <v>434</v>
      </c>
    </row>
    <row r="23863" spans="1:3">
      <c r="A23863" s="250">
        <v>55581</v>
      </c>
      <c r="B23863" s="74" t="s">
        <v>1639</v>
      </c>
      <c r="C23863" s="74" t="s">
        <v>434</v>
      </c>
    </row>
    <row r="23864" spans="1:3">
      <c r="A23864" s="250">
        <v>55582</v>
      </c>
      <c r="B23864" s="74" t="s">
        <v>1639</v>
      </c>
      <c r="C23864" s="74" t="s">
        <v>434</v>
      </c>
    </row>
    <row r="23865" spans="1:3">
      <c r="A23865" s="250">
        <v>55583</v>
      </c>
      <c r="B23865" s="74" t="s">
        <v>890</v>
      </c>
      <c r="C23865" s="74" t="s">
        <v>434</v>
      </c>
    </row>
    <row r="23866" spans="1:3">
      <c r="A23866" s="250">
        <v>55584</v>
      </c>
      <c r="B23866" s="74" t="s">
        <v>1639</v>
      </c>
      <c r="C23866" s="74" t="s">
        <v>434</v>
      </c>
    </row>
    <row r="23867" spans="1:3">
      <c r="A23867" s="250">
        <v>55585</v>
      </c>
      <c r="B23867" s="74" t="s">
        <v>1639</v>
      </c>
      <c r="C23867" s="74" t="s">
        <v>434</v>
      </c>
    </row>
    <row r="23868" spans="1:3">
      <c r="A23868" s="250">
        <v>55586</v>
      </c>
      <c r="B23868" s="74" t="s">
        <v>1639</v>
      </c>
      <c r="C23868" s="74" t="s">
        <v>434</v>
      </c>
    </row>
    <row r="23869" spans="1:3">
      <c r="A23869" s="250">
        <v>55587</v>
      </c>
      <c r="B23869" s="74" t="s">
        <v>1639</v>
      </c>
      <c r="C23869" s="74" t="s">
        <v>434</v>
      </c>
    </row>
    <row r="23870" spans="1:3">
      <c r="A23870" s="250">
        <v>55588</v>
      </c>
      <c r="B23870" s="74" t="s">
        <v>1639</v>
      </c>
      <c r="C23870" s="74" t="s">
        <v>434</v>
      </c>
    </row>
    <row r="23871" spans="1:3">
      <c r="A23871" s="250">
        <v>55589</v>
      </c>
      <c r="B23871" s="74" t="s">
        <v>1639</v>
      </c>
      <c r="C23871" s="74" t="s">
        <v>434</v>
      </c>
    </row>
    <row r="23872" spans="1:3">
      <c r="A23872" s="250">
        <v>55590</v>
      </c>
      <c r="B23872" s="74" t="s">
        <v>1639</v>
      </c>
      <c r="C23872" s="74" t="s">
        <v>434</v>
      </c>
    </row>
    <row r="23873" spans="1:3">
      <c r="A23873" s="250">
        <v>55591</v>
      </c>
      <c r="B23873" s="74" t="s">
        <v>1639</v>
      </c>
      <c r="C23873" s="74" t="s">
        <v>434</v>
      </c>
    </row>
    <row r="23874" spans="1:3">
      <c r="A23874" s="250">
        <v>55592</v>
      </c>
      <c r="B23874" s="74" t="s">
        <v>12413</v>
      </c>
      <c r="C23874" s="74" t="s">
        <v>434</v>
      </c>
    </row>
    <row r="23875" spans="1:3">
      <c r="A23875" s="250">
        <v>55593</v>
      </c>
      <c r="B23875" s="74" t="s">
        <v>12413</v>
      </c>
      <c r="C23875" s="74" t="s">
        <v>434</v>
      </c>
    </row>
    <row r="23876" spans="1:3">
      <c r="A23876" s="250">
        <v>55594</v>
      </c>
      <c r="B23876" s="74" t="s">
        <v>10797</v>
      </c>
      <c r="C23876" s="74" t="s">
        <v>434</v>
      </c>
    </row>
    <row r="23877" spans="1:3">
      <c r="A23877" s="250">
        <v>55595</v>
      </c>
      <c r="B23877" s="74" t="s">
        <v>4358</v>
      </c>
      <c r="C23877" s="74" t="s">
        <v>434</v>
      </c>
    </row>
    <row r="23878" spans="1:3">
      <c r="A23878" s="250">
        <v>55596</v>
      </c>
      <c r="B23878" s="74" t="s">
        <v>4358</v>
      </c>
      <c r="C23878" s="74" t="s">
        <v>434</v>
      </c>
    </row>
    <row r="23879" spans="1:3">
      <c r="A23879" s="250">
        <v>55597</v>
      </c>
      <c r="B23879" s="74" t="s">
        <v>4358</v>
      </c>
      <c r="C23879" s="74" t="s">
        <v>434</v>
      </c>
    </row>
    <row r="23880" spans="1:3">
      <c r="A23880" s="250">
        <v>55598</v>
      </c>
      <c r="B23880" s="74" t="s">
        <v>4358</v>
      </c>
      <c r="C23880" s="74" t="s">
        <v>434</v>
      </c>
    </row>
    <row r="23881" spans="1:3">
      <c r="A23881" s="250">
        <v>55599</v>
      </c>
      <c r="B23881" s="74" t="s">
        <v>4358</v>
      </c>
      <c r="C23881" s="74" t="s">
        <v>434</v>
      </c>
    </row>
    <row r="23882" spans="1:3">
      <c r="A23882" s="250">
        <v>55601</v>
      </c>
      <c r="B23882" s="74" t="s">
        <v>12431</v>
      </c>
      <c r="C23882" s="74" t="s">
        <v>434</v>
      </c>
    </row>
    <row r="23883" spans="1:3">
      <c r="A23883" s="250">
        <v>55602</v>
      </c>
      <c r="B23883" s="74" t="s">
        <v>12432</v>
      </c>
      <c r="C23883" s="74" t="s">
        <v>434</v>
      </c>
    </row>
    <row r="23884" spans="1:3">
      <c r="A23884" s="250">
        <v>55603</v>
      </c>
      <c r="B23884" s="74" t="s">
        <v>12433</v>
      </c>
      <c r="C23884" s="74" t="s">
        <v>434</v>
      </c>
    </row>
    <row r="23885" spans="1:3">
      <c r="A23885" s="250">
        <v>55604</v>
      </c>
      <c r="B23885" s="74" t="s">
        <v>11419</v>
      </c>
      <c r="C23885" s="74" t="s">
        <v>434</v>
      </c>
    </row>
    <row r="23886" spans="1:3">
      <c r="A23886" s="250">
        <v>55605</v>
      </c>
      <c r="B23886" s="74" t="s">
        <v>12434</v>
      </c>
      <c r="C23886" s="74" t="s">
        <v>434</v>
      </c>
    </row>
    <row r="23887" spans="1:3">
      <c r="A23887" s="250">
        <v>55606</v>
      </c>
      <c r="B23887" s="74" t="s">
        <v>12435</v>
      </c>
      <c r="C23887" s="74" t="s">
        <v>434</v>
      </c>
    </row>
    <row r="23888" spans="1:3">
      <c r="A23888" s="250">
        <v>55607</v>
      </c>
      <c r="B23888" s="74" t="s">
        <v>4118</v>
      </c>
      <c r="C23888" s="74" t="s">
        <v>434</v>
      </c>
    </row>
    <row r="23889" spans="1:3">
      <c r="A23889" s="250">
        <v>55609</v>
      </c>
      <c r="B23889" s="74" t="s">
        <v>12436</v>
      </c>
      <c r="C23889" s="74" t="s">
        <v>434</v>
      </c>
    </row>
    <row r="23890" spans="1:3">
      <c r="A23890" s="250">
        <v>55612</v>
      </c>
      <c r="B23890" s="74" t="s">
        <v>12437</v>
      </c>
      <c r="C23890" s="74" t="s">
        <v>434</v>
      </c>
    </row>
    <row r="23891" spans="1:3">
      <c r="A23891" s="250">
        <v>55613</v>
      </c>
      <c r="B23891" s="74" t="s">
        <v>12438</v>
      </c>
      <c r="C23891" s="74" t="s">
        <v>434</v>
      </c>
    </row>
    <row r="23892" spans="1:3">
      <c r="A23892" s="250">
        <v>55614</v>
      </c>
      <c r="B23892" s="74" t="s">
        <v>3267</v>
      </c>
      <c r="C23892" s="74" t="s">
        <v>434</v>
      </c>
    </row>
    <row r="23893" spans="1:3">
      <c r="A23893" s="250">
        <v>55615</v>
      </c>
      <c r="B23893" s="74" t="s">
        <v>12439</v>
      </c>
      <c r="C23893" s="74" t="s">
        <v>434</v>
      </c>
    </row>
    <row r="23894" spans="1:3">
      <c r="A23894" s="250">
        <v>55616</v>
      </c>
      <c r="B23894" s="74" t="s">
        <v>12440</v>
      </c>
      <c r="C23894" s="74" t="s">
        <v>434</v>
      </c>
    </row>
    <row r="23895" spans="1:3">
      <c r="A23895" s="250">
        <v>55701</v>
      </c>
      <c r="B23895" s="74" t="s">
        <v>12441</v>
      </c>
      <c r="C23895" s="74" t="s">
        <v>434</v>
      </c>
    </row>
    <row r="23896" spans="1:3">
      <c r="A23896" s="250">
        <v>55702</v>
      </c>
      <c r="B23896" s="74" t="s">
        <v>12442</v>
      </c>
      <c r="C23896" s="74" t="s">
        <v>434</v>
      </c>
    </row>
    <row r="23897" spans="1:3">
      <c r="A23897" s="250">
        <v>55703</v>
      </c>
      <c r="B23897" s="74" t="s">
        <v>12443</v>
      </c>
      <c r="C23897" s="74" t="s">
        <v>434</v>
      </c>
    </row>
    <row r="23898" spans="1:3">
      <c r="A23898" s="250">
        <v>55704</v>
      </c>
      <c r="B23898" s="74" t="s">
        <v>12444</v>
      </c>
      <c r="C23898" s="74" t="s">
        <v>434</v>
      </c>
    </row>
    <row r="23899" spans="1:3">
      <c r="A23899" s="250">
        <v>55705</v>
      </c>
      <c r="B23899" s="74" t="s">
        <v>1489</v>
      </c>
      <c r="C23899" s="74" t="s">
        <v>434</v>
      </c>
    </row>
    <row r="23900" spans="1:3">
      <c r="A23900" s="250">
        <v>55706</v>
      </c>
      <c r="B23900" s="74" t="s">
        <v>12445</v>
      </c>
      <c r="C23900" s="74" t="s">
        <v>434</v>
      </c>
    </row>
    <row r="23901" spans="1:3">
      <c r="A23901" s="250">
        <v>55707</v>
      </c>
      <c r="B23901" s="74" t="s">
        <v>11609</v>
      </c>
      <c r="C23901" s="74" t="s">
        <v>434</v>
      </c>
    </row>
    <row r="23902" spans="1:3">
      <c r="A23902" s="250">
        <v>55708</v>
      </c>
      <c r="B23902" s="74" t="s">
        <v>12446</v>
      </c>
      <c r="C23902" s="74" t="s">
        <v>434</v>
      </c>
    </row>
    <row r="23903" spans="1:3">
      <c r="A23903" s="250">
        <v>55709</v>
      </c>
      <c r="B23903" s="74" t="s">
        <v>12447</v>
      </c>
      <c r="C23903" s="74" t="s">
        <v>434</v>
      </c>
    </row>
    <row r="23904" spans="1:3">
      <c r="A23904" s="250">
        <v>55710</v>
      </c>
      <c r="B23904" s="74" t="s">
        <v>11568</v>
      </c>
      <c r="C23904" s="74" t="s">
        <v>434</v>
      </c>
    </row>
    <row r="23905" spans="1:3">
      <c r="A23905" s="250">
        <v>55711</v>
      </c>
      <c r="B23905" s="74" t="s">
        <v>10957</v>
      </c>
      <c r="C23905" s="74" t="s">
        <v>434</v>
      </c>
    </row>
    <row r="23906" spans="1:3">
      <c r="A23906" s="250">
        <v>55712</v>
      </c>
      <c r="B23906" s="74" t="s">
        <v>6740</v>
      </c>
      <c r="C23906" s="74" t="s">
        <v>434</v>
      </c>
    </row>
    <row r="23907" spans="1:3">
      <c r="A23907" s="250">
        <v>55713</v>
      </c>
      <c r="B23907" s="74" t="s">
        <v>8684</v>
      </c>
      <c r="C23907" s="74" t="s">
        <v>434</v>
      </c>
    </row>
    <row r="23908" spans="1:3">
      <c r="A23908" s="250">
        <v>55716</v>
      </c>
      <c r="B23908" s="74" t="s">
        <v>4196</v>
      </c>
      <c r="C23908" s="74" t="s">
        <v>434</v>
      </c>
    </row>
    <row r="23909" spans="1:3">
      <c r="A23909" s="250">
        <v>55717</v>
      </c>
      <c r="B23909" s="74" t="s">
        <v>12448</v>
      </c>
      <c r="C23909" s="74" t="s">
        <v>434</v>
      </c>
    </row>
    <row r="23910" spans="1:3">
      <c r="A23910" s="250">
        <v>55718</v>
      </c>
      <c r="B23910" s="74" t="s">
        <v>4474</v>
      </c>
      <c r="C23910" s="74" t="s">
        <v>434</v>
      </c>
    </row>
    <row r="23911" spans="1:3">
      <c r="A23911" s="250">
        <v>55719</v>
      </c>
      <c r="B23911" s="74" t="s">
        <v>12449</v>
      </c>
      <c r="C23911" s="74" t="s">
        <v>434</v>
      </c>
    </row>
    <row r="23912" spans="1:3">
      <c r="A23912" s="250">
        <v>55720</v>
      </c>
      <c r="B23912" s="74" t="s">
        <v>12450</v>
      </c>
      <c r="C23912" s="74" t="s">
        <v>434</v>
      </c>
    </row>
    <row r="23913" spans="1:3">
      <c r="A23913" s="250">
        <v>55721</v>
      </c>
      <c r="B23913" s="74" t="s">
        <v>867</v>
      </c>
      <c r="C23913" s="74" t="s">
        <v>434</v>
      </c>
    </row>
    <row r="23914" spans="1:3">
      <c r="A23914" s="250">
        <v>55722</v>
      </c>
      <c r="B23914" s="74" t="s">
        <v>12451</v>
      </c>
      <c r="C23914" s="74" t="s">
        <v>434</v>
      </c>
    </row>
    <row r="23915" spans="1:3">
      <c r="A23915" s="250">
        <v>55723</v>
      </c>
      <c r="B23915" s="74" t="s">
        <v>12452</v>
      </c>
      <c r="C23915" s="74" t="s">
        <v>434</v>
      </c>
    </row>
    <row r="23916" spans="1:3">
      <c r="A23916" s="250">
        <v>55724</v>
      </c>
      <c r="B23916" s="74" t="s">
        <v>8170</v>
      </c>
      <c r="C23916" s="74" t="s">
        <v>434</v>
      </c>
    </row>
    <row r="23917" spans="1:3">
      <c r="A23917" s="250">
        <v>55725</v>
      </c>
      <c r="B23917" s="74" t="s">
        <v>12453</v>
      </c>
      <c r="C23917" s="74" t="s">
        <v>434</v>
      </c>
    </row>
    <row r="23918" spans="1:3">
      <c r="A23918" s="250">
        <v>55726</v>
      </c>
      <c r="B23918" s="74" t="s">
        <v>2045</v>
      </c>
      <c r="C23918" s="74" t="s">
        <v>434</v>
      </c>
    </row>
    <row r="23919" spans="1:3">
      <c r="A23919" s="250">
        <v>55730</v>
      </c>
      <c r="B23919" s="74" t="s">
        <v>10191</v>
      </c>
      <c r="C23919" s="74" t="s">
        <v>434</v>
      </c>
    </row>
    <row r="23920" spans="1:3">
      <c r="A23920" s="250">
        <v>55731</v>
      </c>
      <c r="B23920" s="74" t="s">
        <v>11847</v>
      </c>
      <c r="C23920" s="74" t="s">
        <v>434</v>
      </c>
    </row>
    <row r="23921" spans="1:3">
      <c r="A23921" s="250">
        <v>55732</v>
      </c>
      <c r="B23921" s="74" t="s">
        <v>12329</v>
      </c>
      <c r="C23921" s="74" t="s">
        <v>434</v>
      </c>
    </row>
    <row r="23922" spans="1:3">
      <c r="A23922" s="250">
        <v>55733</v>
      </c>
      <c r="B23922" s="74" t="s">
        <v>12454</v>
      </c>
      <c r="C23922" s="74" t="s">
        <v>434</v>
      </c>
    </row>
    <row r="23923" spans="1:3">
      <c r="A23923" s="250">
        <v>55734</v>
      </c>
      <c r="B23923" s="74" t="s">
        <v>12455</v>
      </c>
      <c r="C23923" s="74" t="s">
        <v>434</v>
      </c>
    </row>
    <row r="23924" spans="1:3">
      <c r="A23924" s="250">
        <v>55735</v>
      </c>
      <c r="B23924" s="74" t="s">
        <v>12456</v>
      </c>
      <c r="C23924" s="74" t="s">
        <v>434</v>
      </c>
    </row>
    <row r="23925" spans="1:3">
      <c r="A23925" s="250">
        <v>55736</v>
      </c>
      <c r="B23925" s="74" t="s">
        <v>12457</v>
      </c>
      <c r="C23925" s="74" t="s">
        <v>434</v>
      </c>
    </row>
    <row r="23926" spans="1:3">
      <c r="A23926" s="250">
        <v>55738</v>
      </c>
      <c r="B23926" s="74" t="s">
        <v>12458</v>
      </c>
      <c r="C23926" s="74" t="s">
        <v>434</v>
      </c>
    </row>
    <row r="23927" spans="1:3">
      <c r="A23927" s="250">
        <v>55741</v>
      </c>
      <c r="B23927" s="74" t="s">
        <v>5122</v>
      </c>
      <c r="C23927" s="74" t="s">
        <v>434</v>
      </c>
    </row>
    <row r="23928" spans="1:3">
      <c r="A23928" s="250">
        <v>55742</v>
      </c>
      <c r="B23928" s="74" t="s">
        <v>8543</v>
      </c>
      <c r="C23928" s="74" t="s">
        <v>434</v>
      </c>
    </row>
    <row r="23929" spans="1:3">
      <c r="A23929" s="250">
        <v>55744</v>
      </c>
      <c r="B23929" s="74" t="s">
        <v>10191</v>
      </c>
      <c r="C23929" s="74" t="s">
        <v>434</v>
      </c>
    </row>
    <row r="23930" spans="1:3">
      <c r="A23930" s="250">
        <v>55745</v>
      </c>
      <c r="B23930" s="74" t="s">
        <v>10191</v>
      </c>
      <c r="C23930" s="74" t="s">
        <v>434</v>
      </c>
    </row>
    <row r="23931" spans="1:3">
      <c r="A23931" s="250">
        <v>55746</v>
      </c>
      <c r="B23931" s="74" t="s">
        <v>12459</v>
      </c>
      <c r="C23931" s="74" t="s">
        <v>434</v>
      </c>
    </row>
    <row r="23932" spans="1:3">
      <c r="A23932" s="250">
        <v>55747</v>
      </c>
      <c r="B23932" s="74" t="s">
        <v>12459</v>
      </c>
      <c r="C23932" s="74" t="s">
        <v>434</v>
      </c>
    </row>
    <row r="23933" spans="1:3">
      <c r="A23933" s="250">
        <v>55748</v>
      </c>
      <c r="B23933" s="74" t="s">
        <v>12460</v>
      </c>
      <c r="C23933" s="74" t="s">
        <v>434</v>
      </c>
    </row>
    <row r="23934" spans="1:3">
      <c r="A23934" s="250">
        <v>55749</v>
      </c>
      <c r="B23934" s="74" t="s">
        <v>600</v>
      </c>
      <c r="C23934" s="74" t="s">
        <v>434</v>
      </c>
    </row>
    <row r="23935" spans="1:3">
      <c r="A23935" s="250">
        <v>55750</v>
      </c>
      <c r="B23935" s="74" t="s">
        <v>12461</v>
      </c>
      <c r="C23935" s="74" t="s">
        <v>434</v>
      </c>
    </row>
    <row r="23936" spans="1:3">
      <c r="A23936" s="250">
        <v>55751</v>
      </c>
      <c r="B23936" s="74" t="s">
        <v>12462</v>
      </c>
      <c r="C23936" s="74" t="s">
        <v>434</v>
      </c>
    </row>
    <row r="23937" spans="1:3">
      <c r="A23937" s="250">
        <v>55752</v>
      </c>
      <c r="B23937" s="74" t="s">
        <v>12463</v>
      </c>
      <c r="C23937" s="74" t="s">
        <v>434</v>
      </c>
    </row>
    <row r="23938" spans="1:3">
      <c r="A23938" s="250">
        <v>55753</v>
      </c>
      <c r="B23938" s="74" t="s">
        <v>12464</v>
      </c>
      <c r="C23938" s="74" t="s">
        <v>434</v>
      </c>
    </row>
    <row r="23939" spans="1:3">
      <c r="A23939" s="250">
        <v>55756</v>
      </c>
      <c r="B23939" s="74" t="s">
        <v>12465</v>
      </c>
      <c r="C23939" s="74" t="s">
        <v>434</v>
      </c>
    </row>
    <row r="23940" spans="1:3">
      <c r="A23940" s="250">
        <v>55757</v>
      </c>
      <c r="B23940" s="74" t="s">
        <v>12466</v>
      </c>
      <c r="C23940" s="74" t="s">
        <v>434</v>
      </c>
    </row>
    <row r="23941" spans="1:3">
      <c r="A23941" s="250">
        <v>55758</v>
      </c>
      <c r="B23941" s="74" t="s">
        <v>12467</v>
      </c>
      <c r="C23941" s="74" t="s">
        <v>434</v>
      </c>
    </row>
    <row r="23942" spans="1:3">
      <c r="A23942" s="250">
        <v>55760</v>
      </c>
      <c r="B23942" s="74" t="s">
        <v>12468</v>
      </c>
      <c r="C23942" s="74" t="s">
        <v>434</v>
      </c>
    </row>
    <row r="23943" spans="1:3">
      <c r="A23943" s="250">
        <v>55763</v>
      </c>
      <c r="B23943" s="74" t="s">
        <v>12469</v>
      </c>
      <c r="C23943" s="74" t="s">
        <v>434</v>
      </c>
    </row>
    <row r="23944" spans="1:3">
      <c r="A23944" s="250">
        <v>55764</v>
      </c>
      <c r="B23944" s="74" t="s">
        <v>4487</v>
      </c>
      <c r="C23944" s="74" t="s">
        <v>434</v>
      </c>
    </row>
    <row r="23945" spans="1:3">
      <c r="A23945" s="250">
        <v>55765</v>
      </c>
      <c r="B23945" s="74" t="s">
        <v>12470</v>
      </c>
      <c r="C23945" s="74" t="s">
        <v>434</v>
      </c>
    </row>
    <row r="23946" spans="1:3">
      <c r="A23946" s="250">
        <v>55766</v>
      </c>
      <c r="B23946" s="74" t="s">
        <v>12471</v>
      </c>
      <c r="C23946" s="74" t="s">
        <v>434</v>
      </c>
    </row>
    <row r="23947" spans="1:3">
      <c r="A23947" s="250">
        <v>55767</v>
      </c>
      <c r="B23947" s="74" t="s">
        <v>12472</v>
      </c>
      <c r="C23947" s="74" t="s">
        <v>434</v>
      </c>
    </row>
    <row r="23948" spans="1:3">
      <c r="A23948" s="250">
        <v>55768</v>
      </c>
      <c r="B23948" s="74" t="s">
        <v>12473</v>
      </c>
      <c r="C23948" s="74" t="s">
        <v>434</v>
      </c>
    </row>
    <row r="23949" spans="1:3">
      <c r="A23949" s="250">
        <v>55769</v>
      </c>
      <c r="B23949" s="74" t="s">
        <v>12474</v>
      </c>
      <c r="C23949" s="74" t="s">
        <v>434</v>
      </c>
    </row>
    <row r="23950" spans="1:3">
      <c r="A23950" s="250">
        <v>55771</v>
      </c>
      <c r="B23950" s="74" t="s">
        <v>12475</v>
      </c>
      <c r="C23950" s="74" t="s">
        <v>434</v>
      </c>
    </row>
    <row r="23951" spans="1:3">
      <c r="A23951" s="250">
        <v>55772</v>
      </c>
      <c r="B23951" s="74" t="s">
        <v>12476</v>
      </c>
      <c r="C23951" s="74" t="s">
        <v>434</v>
      </c>
    </row>
    <row r="23952" spans="1:3">
      <c r="A23952" s="250">
        <v>55775</v>
      </c>
      <c r="B23952" s="74" t="s">
        <v>12477</v>
      </c>
      <c r="C23952" s="74" t="s">
        <v>434</v>
      </c>
    </row>
    <row r="23953" spans="1:3">
      <c r="A23953" s="250">
        <v>55777</v>
      </c>
      <c r="B23953" s="74" t="s">
        <v>12478</v>
      </c>
      <c r="C23953" s="74" t="s">
        <v>434</v>
      </c>
    </row>
    <row r="23954" spans="1:3">
      <c r="A23954" s="250">
        <v>55779</v>
      </c>
      <c r="B23954" s="74" t="s">
        <v>8663</v>
      </c>
      <c r="C23954" s="74" t="s">
        <v>434</v>
      </c>
    </row>
    <row r="23955" spans="1:3">
      <c r="A23955" s="250">
        <v>55780</v>
      </c>
      <c r="B23955" s="74" t="s">
        <v>11224</v>
      </c>
      <c r="C23955" s="74" t="s">
        <v>434</v>
      </c>
    </row>
    <row r="23956" spans="1:3">
      <c r="A23956" s="250">
        <v>55781</v>
      </c>
      <c r="B23956" s="74" t="s">
        <v>12479</v>
      </c>
      <c r="C23956" s="74" t="s">
        <v>434</v>
      </c>
    </row>
    <row r="23957" spans="1:3">
      <c r="A23957" s="250">
        <v>55782</v>
      </c>
      <c r="B23957" s="74" t="s">
        <v>12480</v>
      </c>
      <c r="C23957" s="74" t="s">
        <v>434</v>
      </c>
    </row>
    <row r="23958" spans="1:3">
      <c r="A23958" s="250">
        <v>55783</v>
      </c>
      <c r="B23958" s="74" t="s">
        <v>12481</v>
      </c>
      <c r="C23958" s="74" t="s">
        <v>434</v>
      </c>
    </row>
    <row r="23959" spans="1:3">
      <c r="A23959" s="250">
        <v>55784</v>
      </c>
      <c r="B23959" s="74" t="s">
        <v>12482</v>
      </c>
      <c r="C23959" s="74" t="s">
        <v>434</v>
      </c>
    </row>
    <row r="23960" spans="1:3">
      <c r="A23960" s="250">
        <v>55785</v>
      </c>
      <c r="B23960" s="74" t="s">
        <v>12483</v>
      </c>
      <c r="C23960" s="74" t="s">
        <v>434</v>
      </c>
    </row>
    <row r="23961" spans="1:3">
      <c r="A23961" s="250">
        <v>55786</v>
      </c>
      <c r="B23961" s="74" t="s">
        <v>12484</v>
      </c>
      <c r="C23961" s="74" t="s">
        <v>434</v>
      </c>
    </row>
    <row r="23962" spans="1:3">
      <c r="A23962" s="250">
        <v>55787</v>
      </c>
      <c r="B23962" s="74" t="s">
        <v>12485</v>
      </c>
      <c r="C23962" s="74" t="s">
        <v>434</v>
      </c>
    </row>
    <row r="23963" spans="1:3">
      <c r="A23963" s="250">
        <v>55790</v>
      </c>
      <c r="B23963" s="74" t="s">
        <v>11391</v>
      </c>
      <c r="C23963" s="74" t="s">
        <v>434</v>
      </c>
    </row>
    <row r="23964" spans="1:3">
      <c r="A23964" s="250">
        <v>55791</v>
      </c>
      <c r="B23964" s="74" t="s">
        <v>12486</v>
      </c>
      <c r="C23964" s="74" t="s">
        <v>434</v>
      </c>
    </row>
    <row r="23965" spans="1:3">
      <c r="A23965" s="250">
        <v>55792</v>
      </c>
      <c r="B23965" s="74" t="s">
        <v>12478</v>
      </c>
      <c r="C23965" s="74" t="s">
        <v>434</v>
      </c>
    </row>
    <row r="23966" spans="1:3">
      <c r="A23966" s="250">
        <v>55793</v>
      </c>
      <c r="B23966" s="74" t="s">
        <v>12487</v>
      </c>
      <c r="C23966" s="74" t="s">
        <v>434</v>
      </c>
    </row>
    <row r="23967" spans="1:3">
      <c r="A23967" s="250">
        <v>55795</v>
      </c>
      <c r="B23967" s="74" t="s">
        <v>12488</v>
      </c>
      <c r="C23967" s="74" t="s">
        <v>434</v>
      </c>
    </row>
    <row r="23968" spans="1:3">
      <c r="A23968" s="250">
        <v>55796</v>
      </c>
      <c r="B23968" s="74" t="s">
        <v>7284</v>
      </c>
      <c r="C23968" s="74" t="s">
        <v>434</v>
      </c>
    </row>
    <row r="23969" spans="1:3">
      <c r="A23969" s="250">
        <v>55797</v>
      </c>
      <c r="B23969" s="74" t="s">
        <v>12489</v>
      </c>
      <c r="C23969" s="74" t="s">
        <v>434</v>
      </c>
    </row>
    <row r="23970" spans="1:3">
      <c r="A23970" s="250">
        <v>55798</v>
      </c>
      <c r="B23970" s="74" t="s">
        <v>12490</v>
      </c>
      <c r="C23970" s="74" t="s">
        <v>434</v>
      </c>
    </row>
    <row r="23971" spans="1:3">
      <c r="A23971" s="250">
        <v>55801</v>
      </c>
      <c r="B23971" s="74" t="s">
        <v>7873</v>
      </c>
      <c r="C23971" s="74" t="s">
        <v>434</v>
      </c>
    </row>
    <row r="23972" spans="1:3">
      <c r="A23972" s="250">
        <v>55802</v>
      </c>
      <c r="B23972" s="74" t="s">
        <v>7873</v>
      </c>
      <c r="C23972" s="74" t="s">
        <v>434</v>
      </c>
    </row>
    <row r="23973" spans="1:3">
      <c r="A23973" s="250">
        <v>55803</v>
      </c>
      <c r="B23973" s="74" t="s">
        <v>7873</v>
      </c>
      <c r="C23973" s="74" t="s">
        <v>434</v>
      </c>
    </row>
    <row r="23974" spans="1:3">
      <c r="A23974" s="250">
        <v>55804</v>
      </c>
      <c r="B23974" s="74" t="s">
        <v>7873</v>
      </c>
      <c r="C23974" s="74" t="s">
        <v>434</v>
      </c>
    </row>
    <row r="23975" spans="1:3">
      <c r="A23975" s="250">
        <v>55805</v>
      </c>
      <c r="B23975" s="74" t="s">
        <v>7873</v>
      </c>
      <c r="C23975" s="74" t="s">
        <v>434</v>
      </c>
    </row>
    <row r="23976" spans="1:3">
      <c r="A23976" s="250">
        <v>55806</v>
      </c>
      <c r="B23976" s="74" t="s">
        <v>7873</v>
      </c>
      <c r="C23976" s="74" t="s">
        <v>434</v>
      </c>
    </row>
    <row r="23977" spans="1:3">
      <c r="A23977" s="250">
        <v>55807</v>
      </c>
      <c r="B23977" s="74" t="s">
        <v>7873</v>
      </c>
      <c r="C23977" s="74" t="s">
        <v>434</v>
      </c>
    </row>
    <row r="23978" spans="1:3">
      <c r="A23978" s="250">
        <v>55808</v>
      </c>
      <c r="B23978" s="74" t="s">
        <v>7873</v>
      </c>
      <c r="C23978" s="74" t="s">
        <v>434</v>
      </c>
    </row>
    <row r="23979" spans="1:3">
      <c r="A23979" s="250">
        <v>55810</v>
      </c>
      <c r="B23979" s="74" t="s">
        <v>7873</v>
      </c>
      <c r="C23979" s="74" t="s">
        <v>434</v>
      </c>
    </row>
    <row r="23980" spans="1:3">
      <c r="A23980" s="250">
        <v>55811</v>
      </c>
      <c r="B23980" s="74" t="s">
        <v>7873</v>
      </c>
      <c r="C23980" s="74" t="s">
        <v>434</v>
      </c>
    </row>
    <row r="23981" spans="1:3">
      <c r="A23981" s="250">
        <v>55812</v>
      </c>
      <c r="B23981" s="74" t="s">
        <v>7873</v>
      </c>
      <c r="C23981" s="74" t="s">
        <v>434</v>
      </c>
    </row>
    <row r="23982" spans="1:3">
      <c r="A23982" s="250">
        <v>55814</v>
      </c>
      <c r="B23982" s="74" t="s">
        <v>7873</v>
      </c>
      <c r="C23982" s="74" t="s">
        <v>434</v>
      </c>
    </row>
    <row r="23983" spans="1:3">
      <c r="A23983" s="250">
        <v>55815</v>
      </c>
      <c r="B23983" s="74" t="s">
        <v>7873</v>
      </c>
      <c r="C23983" s="74" t="s">
        <v>434</v>
      </c>
    </row>
    <row r="23984" spans="1:3">
      <c r="A23984" s="250">
        <v>55816</v>
      </c>
      <c r="B23984" s="74" t="s">
        <v>7873</v>
      </c>
      <c r="C23984" s="74" t="s">
        <v>434</v>
      </c>
    </row>
    <row r="23985" spans="1:3">
      <c r="A23985" s="250">
        <v>55901</v>
      </c>
      <c r="B23985" s="74" t="s">
        <v>1085</v>
      </c>
      <c r="C23985" s="74" t="s">
        <v>434</v>
      </c>
    </row>
    <row r="23986" spans="1:3">
      <c r="A23986" s="250">
        <v>55902</v>
      </c>
      <c r="B23986" s="74" t="s">
        <v>1085</v>
      </c>
      <c r="C23986" s="74" t="s">
        <v>434</v>
      </c>
    </row>
    <row r="23987" spans="1:3">
      <c r="A23987" s="250">
        <v>55903</v>
      </c>
      <c r="B23987" s="74" t="s">
        <v>1085</v>
      </c>
      <c r="C23987" s="74" t="s">
        <v>434</v>
      </c>
    </row>
    <row r="23988" spans="1:3">
      <c r="A23988" s="250">
        <v>55904</v>
      </c>
      <c r="B23988" s="74" t="s">
        <v>1085</v>
      </c>
      <c r="C23988" s="74" t="s">
        <v>434</v>
      </c>
    </row>
    <row r="23989" spans="1:3">
      <c r="A23989" s="250">
        <v>55905</v>
      </c>
      <c r="B23989" s="74" t="s">
        <v>1085</v>
      </c>
      <c r="C23989" s="74" t="s">
        <v>434</v>
      </c>
    </row>
    <row r="23990" spans="1:3">
      <c r="A23990" s="250">
        <v>55906</v>
      </c>
      <c r="B23990" s="74" t="s">
        <v>1085</v>
      </c>
      <c r="C23990" s="74" t="s">
        <v>434</v>
      </c>
    </row>
    <row r="23991" spans="1:3">
      <c r="A23991" s="250">
        <v>55909</v>
      </c>
      <c r="B23991" s="74" t="s">
        <v>638</v>
      </c>
      <c r="C23991" s="74" t="s">
        <v>434</v>
      </c>
    </row>
    <row r="23992" spans="1:3">
      <c r="A23992" s="250">
        <v>55910</v>
      </c>
      <c r="B23992" s="74" t="s">
        <v>12491</v>
      </c>
      <c r="C23992" s="74" t="s">
        <v>434</v>
      </c>
    </row>
    <row r="23993" spans="1:3">
      <c r="A23993" s="250">
        <v>55912</v>
      </c>
      <c r="B23993" s="74" t="s">
        <v>4587</v>
      </c>
      <c r="C23993" s="74" t="s">
        <v>434</v>
      </c>
    </row>
    <row r="23994" spans="1:3">
      <c r="A23994" s="250">
        <v>55917</v>
      </c>
      <c r="B23994" s="74" t="s">
        <v>12492</v>
      </c>
      <c r="C23994" s="74" t="s">
        <v>434</v>
      </c>
    </row>
    <row r="23995" spans="1:3">
      <c r="A23995" s="250">
        <v>55918</v>
      </c>
      <c r="B23995" s="74" t="s">
        <v>12493</v>
      </c>
      <c r="C23995" s="74" t="s">
        <v>434</v>
      </c>
    </row>
    <row r="23996" spans="1:3">
      <c r="A23996" s="250">
        <v>55919</v>
      </c>
      <c r="B23996" s="74" t="s">
        <v>1731</v>
      </c>
      <c r="C23996" s="74" t="s">
        <v>434</v>
      </c>
    </row>
    <row r="23997" spans="1:3">
      <c r="A23997" s="250">
        <v>55920</v>
      </c>
      <c r="B23997" s="74" t="s">
        <v>3758</v>
      </c>
      <c r="C23997" s="74" t="s">
        <v>434</v>
      </c>
    </row>
    <row r="23998" spans="1:3">
      <c r="A23998" s="250">
        <v>55921</v>
      </c>
      <c r="B23998" s="74" t="s">
        <v>3759</v>
      </c>
      <c r="C23998" s="74" t="s">
        <v>434</v>
      </c>
    </row>
    <row r="23999" spans="1:3">
      <c r="A23999" s="250">
        <v>55922</v>
      </c>
      <c r="B23999" s="74" t="s">
        <v>866</v>
      </c>
      <c r="C23999" s="74" t="s">
        <v>434</v>
      </c>
    </row>
    <row r="24000" spans="1:3">
      <c r="A24000" s="250">
        <v>55923</v>
      </c>
      <c r="B24000" s="74" t="s">
        <v>10427</v>
      </c>
      <c r="C24000" s="74" t="s">
        <v>434</v>
      </c>
    </row>
    <row r="24001" spans="1:3">
      <c r="A24001" s="250">
        <v>55924</v>
      </c>
      <c r="B24001" s="74" t="s">
        <v>1271</v>
      </c>
      <c r="C24001" s="74" t="s">
        <v>434</v>
      </c>
    </row>
    <row r="24002" spans="1:3">
      <c r="A24002" s="250">
        <v>55925</v>
      </c>
      <c r="B24002" s="74" t="s">
        <v>12494</v>
      </c>
      <c r="C24002" s="74" t="s">
        <v>434</v>
      </c>
    </row>
    <row r="24003" spans="1:3">
      <c r="A24003" s="250">
        <v>55926</v>
      </c>
      <c r="B24003" s="74" t="s">
        <v>1689</v>
      </c>
      <c r="C24003" s="74" t="s">
        <v>434</v>
      </c>
    </row>
    <row r="24004" spans="1:3">
      <c r="A24004" s="250">
        <v>55927</v>
      </c>
      <c r="B24004" s="74" t="s">
        <v>12495</v>
      </c>
      <c r="C24004" s="74" t="s">
        <v>434</v>
      </c>
    </row>
    <row r="24005" spans="1:3">
      <c r="A24005" s="250">
        <v>55929</v>
      </c>
      <c r="B24005" s="74" t="s">
        <v>869</v>
      </c>
      <c r="C24005" s="74" t="s">
        <v>434</v>
      </c>
    </row>
    <row r="24006" spans="1:3">
      <c r="A24006" s="250">
        <v>55931</v>
      </c>
      <c r="B24006" s="74" t="s">
        <v>12496</v>
      </c>
      <c r="C24006" s="74" t="s">
        <v>434</v>
      </c>
    </row>
    <row r="24007" spans="1:3">
      <c r="A24007" s="250">
        <v>55932</v>
      </c>
      <c r="B24007" s="74" t="s">
        <v>4511</v>
      </c>
      <c r="C24007" s="74" t="s">
        <v>434</v>
      </c>
    </row>
    <row r="24008" spans="1:3">
      <c r="A24008" s="250">
        <v>55933</v>
      </c>
      <c r="B24008" s="74" t="s">
        <v>5864</v>
      </c>
      <c r="C24008" s="74" t="s">
        <v>434</v>
      </c>
    </row>
    <row r="24009" spans="1:3">
      <c r="A24009" s="250">
        <v>55934</v>
      </c>
      <c r="B24009" s="74" t="s">
        <v>12497</v>
      </c>
      <c r="C24009" s="74" t="s">
        <v>434</v>
      </c>
    </row>
    <row r="24010" spans="1:3">
      <c r="A24010" s="250">
        <v>55935</v>
      </c>
      <c r="B24010" s="74" t="s">
        <v>7192</v>
      </c>
      <c r="C24010" s="74" t="s">
        <v>434</v>
      </c>
    </row>
    <row r="24011" spans="1:3">
      <c r="A24011" s="250">
        <v>55936</v>
      </c>
      <c r="B24011" s="74" t="s">
        <v>12498</v>
      </c>
      <c r="C24011" s="74" t="s">
        <v>434</v>
      </c>
    </row>
    <row r="24012" spans="1:3">
      <c r="A24012" s="250">
        <v>55939</v>
      </c>
      <c r="B24012" s="74" t="s">
        <v>1109</v>
      </c>
      <c r="C24012" s="74" t="s">
        <v>434</v>
      </c>
    </row>
    <row r="24013" spans="1:3">
      <c r="A24013" s="250">
        <v>55940</v>
      </c>
      <c r="B24013" s="74" t="s">
        <v>12499</v>
      </c>
      <c r="C24013" s="74" t="s">
        <v>434</v>
      </c>
    </row>
    <row r="24014" spans="1:3">
      <c r="A24014" s="250">
        <v>55941</v>
      </c>
      <c r="B24014" s="74" t="s">
        <v>12500</v>
      </c>
      <c r="C24014" s="74" t="s">
        <v>434</v>
      </c>
    </row>
    <row r="24015" spans="1:3">
      <c r="A24015" s="250">
        <v>55942</v>
      </c>
      <c r="B24015" s="74" t="s">
        <v>3369</v>
      </c>
      <c r="C24015" s="74" t="s">
        <v>434</v>
      </c>
    </row>
    <row r="24016" spans="1:3">
      <c r="A24016" s="250">
        <v>55943</v>
      </c>
      <c r="B24016" s="74" t="s">
        <v>4063</v>
      </c>
      <c r="C24016" s="74" t="s">
        <v>434</v>
      </c>
    </row>
    <row r="24017" spans="1:3">
      <c r="A24017" s="250">
        <v>55944</v>
      </c>
      <c r="B24017" s="74" t="s">
        <v>12501</v>
      </c>
      <c r="C24017" s="74" t="s">
        <v>434</v>
      </c>
    </row>
    <row r="24018" spans="1:3">
      <c r="A24018" s="250">
        <v>55945</v>
      </c>
      <c r="B24018" s="74" t="s">
        <v>11519</v>
      </c>
      <c r="C24018" s="74" t="s">
        <v>434</v>
      </c>
    </row>
    <row r="24019" spans="1:3">
      <c r="A24019" s="250">
        <v>55946</v>
      </c>
      <c r="B24019" s="74" t="s">
        <v>1114</v>
      </c>
      <c r="C24019" s="74" t="s">
        <v>434</v>
      </c>
    </row>
    <row r="24020" spans="1:3">
      <c r="A24020" s="250">
        <v>55947</v>
      </c>
      <c r="B24020" s="74" t="s">
        <v>12502</v>
      </c>
      <c r="C24020" s="74" t="s">
        <v>434</v>
      </c>
    </row>
    <row r="24021" spans="1:3">
      <c r="A24021" s="250">
        <v>55949</v>
      </c>
      <c r="B24021" s="74" t="s">
        <v>648</v>
      </c>
      <c r="C24021" s="74" t="s">
        <v>434</v>
      </c>
    </row>
    <row r="24022" spans="1:3">
      <c r="A24022" s="250">
        <v>55950</v>
      </c>
      <c r="B24022" s="74" t="s">
        <v>3943</v>
      </c>
      <c r="C24022" s="74" t="s">
        <v>434</v>
      </c>
    </row>
    <row r="24023" spans="1:3">
      <c r="A24023" s="250">
        <v>55951</v>
      </c>
      <c r="B24023" s="74" t="s">
        <v>3789</v>
      </c>
      <c r="C24023" s="74" t="s">
        <v>434</v>
      </c>
    </row>
    <row r="24024" spans="1:3">
      <c r="A24024" s="250">
        <v>55952</v>
      </c>
      <c r="B24024" s="74" t="s">
        <v>1444</v>
      </c>
      <c r="C24024" s="74" t="s">
        <v>434</v>
      </c>
    </row>
    <row r="24025" spans="1:3">
      <c r="A24025" s="250">
        <v>55953</v>
      </c>
      <c r="B24025" s="74" t="s">
        <v>12503</v>
      </c>
      <c r="C24025" s="74" t="s">
        <v>434</v>
      </c>
    </row>
    <row r="24026" spans="1:3">
      <c r="A24026" s="250">
        <v>55954</v>
      </c>
      <c r="B24026" s="74" t="s">
        <v>12504</v>
      </c>
      <c r="C24026" s="74" t="s">
        <v>434</v>
      </c>
    </row>
    <row r="24027" spans="1:3">
      <c r="A24027" s="250">
        <v>55955</v>
      </c>
      <c r="B24027" s="74" t="s">
        <v>12505</v>
      </c>
      <c r="C24027" s="74" t="s">
        <v>434</v>
      </c>
    </row>
    <row r="24028" spans="1:3">
      <c r="A24028" s="250">
        <v>55956</v>
      </c>
      <c r="B24028" s="74" t="s">
        <v>12506</v>
      </c>
      <c r="C24028" s="74" t="s">
        <v>434</v>
      </c>
    </row>
    <row r="24029" spans="1:3">
      <c r="A24029" s="250">
        <v>55957</v>
      </c>
      <c r="B24029" s="74" t="s">
        <v>746</v>
      </c>
      <c r="C24029" s="74" t="s">
        <v>434</v>
      </c>
    </row>
    <row r="24030" spans="1:3">
      <c r="A24030" s="250">
        <v>55959</v>
      </c>
      <c r="B24030" s="74" t="s">
        <v>12507</v>
      </c>
      <c r="C24030" s="74" t="s">
        <v>434</v>
      </c>
    </row>
    <row r="24031" spans="1:3">
      <c r="A24031" s="250">
        <v>55960</v>
      </c>
      <c r="B24031" s="74" t="s">
        <v>12508</v>
      </c>
      <c r="C24031" s="74" t="s">
        <v>434</v>
      </c>
    </row>
    <row r="24032" spans="1:3">
      <c r="A24032" s="250">
        <v>55961</v>
      </c>
      <c r="B24032" s="74" t="s">
        <v>10097</v>
      </c>
      <c r="C24032" s="74" t="s">
        <v>434</v>
      </c>
    </row>
    <row r="24033" spans="1:3">
      <c r="A24033" s="250">
        <v>55962</v>
      </c>
      <c r="B24033" s="74" t="s">
        <v>8700</v>
      </c>
      <c r="C24033" s="74" t="s">
        <v>434</v>
      </c>
    </row>
    <row r="24034" spans="1:3">
      <c r="A24034" s="250">
        <v>55963</v>
      </c>
      <c r="B24034" s="74" t="s">
        <v>2701</v>
      </c>
      <c r="C24034" s="74" t="s">
        <v>434</v>
      </c>
    </row>
    <row r="24035" spans="1:3">
      <c r="A24035" s="250">
        <v>55964</v>
      </c>
      <c r="B24035" s="74" t="s">
        <v>2867</v>
      </c>
      <c r="C24035" s="74" t="s">
        <v>434</v>
      </c>
    </row>
    <row r="24036" spans="1:3">
      <c r="A24036" s="250">
        <v>55965</v>
      </c>
      <c r="B24036" s="74" t="s">
        <v>2023</v>
      </c>
      <c r="C24036" s="74" t="s">
        <v>434</v>
      </c>
    </row>
    <row r="24037" spans="1:3">
      <c r="A24037" s="250">
        <v>55967</v>
      </c>
      <c r="B24037" s="74" t="s">
        <v>6643</v>
      </c>
      <c r="C24037" s="74" t="s">
        <v>434</v>
      </c>
    </row>
    <row r="24038" spans="1:3">
      <c r="A24038" s="250">
        <v>55968</v>
      </c>
      <c r="B24038" s="74" t="s">
        <v>12509</v>
      </c>
      <c r="C24038" s="74" t="s">
        <v>434</v>
      </c>
    </row>
    <row r="24039" spans="1:3">
      <c r="A24039" s="250">
        <v>55969</v>
      </c>
      <c r="B24039" s="74" t="s">
        <v>12510</v>
      </c>
      <c r="C24039" s="74" t="s">
        <v>434</v>
      </c>
    </row>
    <row r="24040" spans="1:3">
      <c r="A24040" s="250">
        <v>55970</v>
      </c>
      <c r="B24040" s="74" t="s">
        <v>12511</v>
      </c>
      <c r="C24040" s="74" t="s">
        <v>434</v>
      </c>
    </row>
    <row r="24041" spans="1:3">
      <c r="A24041" s="250">
        <v>55971</v>
      </c>
      <c r="B24041" s="74" t="s">
        <v>3885</v>
      </c>
      <c r="C24041" s="74" t="s">
        <v>434</v>
      </c>
    </row>
    <row r="24042" spans="1:3">
      <c r="A24042" s="250">
        <v>55972</v>
      </c>
      <c r="B24042" s="74" t="s">
        <v>6340</v>
      </c>
      <c r="C24042" s="74" t="s">
        <v>434</v>
      </c>
    </row>
    <row r="24043" spans="1:3">
      <c r="A24043" s="250">
        <v>55973</v>
      </c>
      <c r="B24043" s="74" t="s">
        <v>12512</v>
      </c>
      <c r="C24043" s="74" t="s">
        <v>434</v>
      </c>
    </row>
    <row r="24044" spans="1:3">
      <c r="A24044" s="250">
        <v>55974</v>
      </c>
      <c r="B24044" s="74" t="s">
        <v>4839</v>
      </c>
      <c r="C24044" s="74" t="s">
        <v>434</v>
      </c>
    </row>
    <row r="24045" spans="1:3">
      <c r="A24045" s="250">
        <v>55975</v>
      </c>
      <c r="B24045" s="74" t="s">
        <v>2706</v>
      </c>
      <c r="C24045" s="74" t="s">
        <v>434</v>
      </c>
    </row>
    <row r="24046" spans="1:3">
      <c r="A24046" s="250">
        <v>55976</v>
      </c>
      <c r="B24046" s="74" t="s">
        <v>12513</v>
      </c>
      <c r="C24046" s="74" t="s">
        <v>434</v>
      </c>
    </row>
    <row r="24047" spans="1:3">
      <c r="A24047" s="250">
        <v>55977</v>
      </c>
      <c r="B24047" s="74" t="s">
        <v>12514</v>
      </c>
      <c r="C24047" s="74" t="s">
        <v>434</v>
      </c>
    </row>
    <row r="24048" spans="1:3">
      <c r="A24048" s="250">
        <v>55979</v>
      </c>
      <c r="B24048" s="74" t="s">
        <v>3521</v>
      </c>
      <c r="C24048" s="74" t="s">
        <v>434</v>
      </c>
    </row>
    <row r="24049" spans="1:3">
      <c r="A24049" s="250">
        <v>55981</v>
      </c>
      <c r="B24049" s="74" t="s">
        <v>12515</v>
      </c>
      <c r="C24049" s="74" t="s">
        <v>434</v>
      </c>
    </row>
    <row r="24050" spans="1:3">
      <c r="A24050" s="250">
        <v>55982</v>
      </c>
      <c r="B24050" s="74" t="s">
        <v>969</v>
      </c>
      <c r="C24050" s="74" t="s">
        <v>434</v>
      </c>
    </row>
    <row r="24051" spans="1:3">
      <c r="A24051" s="250">
        <v>55983</v>
      </c>
      <c r="B24051" s="74" t="s">
        <v>12516</v>
      </c>
      <c r="C24051" s="74" t="s">
        <v>434</v>
      </c>
    </row>
    <row r="24052" spans="1:3">
      <c r="A24052" s="250">
        <v>55985</v>
      </c>
      <c r="B24052" s="74" t="s">
        <v>12517</v>
      </c>
      <c r="C24052" s="74" t="s">
        <v>434</v>
      </c>
    </row>
    <row r="24053" spans="1:3">
      <c r="A24053" s="250">
        <v>55987</v>
      </c>
      <c r="B24053" s="74" t="s">
        <v>6832</v>
      </c>
      <c r="C24053" s="74" t="s">
        <v>434</v>
      </c>
    </row>
    <row r="24054" spans="1:3">
      <c r="A24054" s="250">
        <v>55988</v>
      </c>
      <c r="B24054" s="74" t="s">
        <v>2529</v>
      </c>
      <c r="C24054" s="74" t="s">
        <v>434</v>
      </c>
    </row>
    <row r="24055" spans="1:3">
      <c r="A24055" s="250">
        <v>55990</v>
      </c>
      <c r="B24055" s="74" t="s">
        <v>12518</v>
      </c>
      <c r="C24055" s="74" t="s">
        <v>434</v>
      </c>
    </row>
    <row r="24056" spans="1:3">
      <c r="A24056" s="250">
        <v>55991</v>
      </c>
      <c r="B24056" s="74" t="s">
        <v>12519</v>
      </c>
      <c r="C24056" s="74" t="s">
        <v>434</v>
      </c>
    </row>
    <row r="24057" spans="1:3">
      <c r="A24057" s="250">
        <v>55992</v>
      </c>
      <c r="B24057" s="74" t="s">
        <v>12520</v>
      </c>
      <c r="C24057" s="74" t="s">
        <v>434</v>
      </c>
    </row>
    <row r="24058" spans="1:3">
      <c r="A24058" s="250">
        <v>56001</v>
      </c>
      <c r="B24058" s="74" t="s">
        <v>12521</v>
      </c>
      <c r="C24058" s="74" t="s">
        <v>434</v>
      </c>
    </row>
    <row r="24059" spans="1:3">
      <c r="A24059" s="250">
        <v>56002</v>
      </c>
      <c r="B24059" s="74" t="s">
        <v>12521</v>
      </c>
      <c r="C24059" s="74" t="s">
        <v>434</v>
      </c>
    </row>
    <row r="24060" spans="1:3">
      <c r="A24060" s="250">
        <v>56003</v>
      </c>
      <c r="B24060" s="74" t="s">
        <v>12521</v>
      </c>
      <c r="C24060" s="74" t="s">
        <v>434</v>
      </c>
    </row>
    <row r="24061" spans="1:3">
      <c r="A24061" s="250">
        <v>56006</v>
      </c>
      <c r="B24061" s="74" t="s">
        <v>12521</v>
      </c>
      <c r="C24061" s="74" t="s">
        <v>434</v>
      </c>
    </row>
    <row r="24062" spans="1:3">
      <c r="A24062" s="250">
        <v>56007</v>
      </c>
      <c r="B24062" s="74" t="s">
        <v>12522</v>
      </c>
      <c r="C24062" s="74" t="s">
        <v>434</v>
      </c>
    </row>
    <row r="24063" spans="1:3">
      <c r="A24063" s="250">
        <v>56009</v>
      </c>
      <c r="B24063" s="74" t="s">
        <v>3668</v>
      </c>
      <c r="C24063" s="74" t="s">
        <v>434</v>
      </c>
    </row>
    <row r="24064" spans="1:3">
      <c r="A24064" s="250">
        <v>56010</v>
      </c>
      <c r="B24064" s="74" t="s">
        <v>10759</v>
      </c>
      <c r="C24064" s="74" t="s">
        <v>434</v>
      </c>
    </row>
    <row r="24065" spans="1:3">
      <c r="A24065" s="250">
        <v>56011</v>
      </c>
      <c r="B24065" s="74" t="s">
        <v>11840</v>
      </c>
      <c r="C24065" s="74" t="s">
        <v>434</v>
      </c>
    </row>
    <row r="24066" spans="1:3">
      <c r="A24066" s="250">
        <v>56013</v>
      </c>
      <c r="B24066" s="74" t="s">
        <v>12523</v>
      </c>
      <c r="C24066" s="74" t="s">
        <v>434</v>
      </c>
    </row>
    <row r="24067" spans="1:3">
      <c r="A24067" s="250">
        <v>56014</v>
      </c>
      <c r="B24067" s="74" t="s">
        <v>12524</v>
      </c>
      <c r="C24067" s="74" t="s">
        <v>434</v>
      </c>
    </row>
    <row r="24068" spans="1:3">
      <c r="A24068" s="250">
        <v>56016</v>
      </c>
      <c r="B24068" s="74" t="s">
        <v>12525</v>
      </c>
      <c r="C24068" s="74" t="s">
        <v>434</v>
      </c>
    </row>
    <row r="24069" spans="1:3">
      <c r="A24069" s="250">
        <v>56017</v>
      </c>
      <c r="B24069" s="74" t="s">
        <v>3350</v>
      </c>
      <c r="C24069" s="74" t="s">
        <v>434</v>
      </c>
    </row>
    <row r="24070" spans="1:3">
      <c r="A24070" s="250">
        <v>56019</v>
      </c>
      <c r="B24070" s="74" t="s">
        <v>12526</v>
      </c>
      <c r="C24070" s="74" t="s">
        <v>434</v>
      </c>
    </row>
    <row r="24071" spans="1:3">
      <c r="A24071" s="250">
        <v>56020</v>
      </c>
      <c r="B24071" s="74" t="s">
        <v>12527</v>
      </c>
      <c r="C24071" s="74" t="s">
        <v>434</v>
      </c>
    </row>
    <row r="24072" spans="1:3">
      <c r="A24072" s="250">
        <v>56021</v>
      </c>
      <c r="B24072" s="74" t="s">
        <v>6193</v>
      </c>
      <c r="C24072" s="74" t="s">
        <v>434</v>
      </c>
    </row>
    <row r="24073" spans="1:3">
      <c r="A24073" s="250">
        <v>56022</v>
      </c>
      <c r="B24073" s="74" t="s">
        <v>12528</v>
      </c>
      <c r="C24073" s="74" t="s">
        <v>434</v>
      </c>
    </row>
    <row r="24074" spans="1:3">
      <c r="A24074" s="250">
        <v>56023</v>
      </c>
      <c r="B24074" s="74" t="s">
        <v>11976</v>
      </c>
      <c r="C24074" s="74" t="s">
        <v>434</v>
      </c>
    </row>
    <row r="24075" spans="1:3">
      <c r="A24075" s="250">
        <v>56024</v>
      </c>
      <c r="B24075" s="74" t="s">
        <v>1627</v>
      </c>
      <c r="C24075" s="74" t="s">
        <v>434</v>
      </c>
    </row>
    <row r="24076" spans="1:3">
      <c r="A24076" s="250">
        <v>56025</v>
      </c>
      <c r="B24076" s="74" t="s">
        <v>941</v>
      </c>
      <c r="C24076" s="74" t="s">
        <v>434</v>
      </c>
    </row>
    <row r="24077" spans="1:3">
      <c r="A24077" s="250">
        <v>56026</v>
      </c>
      <c r="B24077" s="74" t="s">
        <v>5498</v>
      </c>
      <c r="C24077" s="74" t="s">
        <v>434</v>
      </c>
    </row>
    <row r="24078" spans="1:3">
      <c r="A24078" s="250">
        <v>56027</v>
      </c>
      <c r="B24078" s="74" t="s">
        <v>8792</v>
      </c>
      <c r="C24078" s="74" t="s">
        <v>434</v>
      </c>
    </row>
    <row r="24079" spans="1:3">
      <c r="A24079" s="250">
        <v>56028</v>
      </c>
      <c r="B24079" s="74" t="s">
        <v>12529</v>
      </c>
      <c r="C24079" s="74" t="s">
        <v>434</v>
      </c>
    </row>
    <row r="24080" spans="1:3">
      <c r="A24080" s="250">
        <v>56029</v>
      </c>
      <c r="B24080" s="74" t="s">
        <v>12530</v>
      </c>
      <c r="C24080" s="74" t="s">
        <v>434</v>
      </c>
    </row>
    <row r="24081" spans="1:3">
      <c r="A24081" s="250">
        <v>56030</v>
      </c>
      <c r="B24081" s="74" t="s">
        <v>12531</v>
      </c>
      <c r="C24081" s="74" t="s">
        <v>434</v>
      </c>
    </row>
    <row r="24082" spans="1:3">
      <c r="A24082" s="250">
        <v>56031</v>
      </c>
      <c r="B24082" s="74" t="s">
        <v>6976</v>
      </c>
      <c r="C24082" s="74" t="s">
        <v>434</v>
      </c>
    </row>
    <row r="24083" spans="1:3">
      <c r="A24083" s="250">
        <v>56032</v>
      </c>
      <c r="B24083" s="74" t="s">
        <v>12532</v>
      </c>
      <c r="C24083" s="74" t="s">
        <v>434</v>
      </c>
    </row>
    <row r="24084" spans="1:3">
      <c r="A24084" s="250">
        <v>56033</v>
      </c>
      <c r="B24084" s="74" t="s">
        <v>12533</v>
      </c>
      <c r="C24084" s="74" t="s">
        <v>434</v>
      </c>
    </row>
    <row r="24085" spans="1:3">
      <c r="A24085" s="250">
        <v>56034</v>
      </c>
      <c r="B24085" s="74" t="s">
        <v>2769</v>
      </c>
      <c r="C24085" s="74" t="s">
        <v>434</v>
      </c>
    </row>
    <row r="24086" spans="1:3">
      <c r="A24086" s="250">
        <v>56035</v>
      </c>
      <c r="B24086" s="74" t="s">
        <v>3776</v>
      </c>
      <c r="C24086" s="74" t="s">
        <v>434</v>
      </c>
    </row>
    <row r="24087" spans="1:3">
      <c r="A24087" s="250">
        <v>56036</v>
      </c>
      <c r="B24087" s="74" t="s">
        <v>4822</v>
      </c>
      <c r="C24087" s="74" t="s">
        <v>434</v>
      </c>
    </row>
    <row r="24088" spans="1:3">
      <c r="A24088" s="250">
        <v>56037</v>
      </c>
      <c r="B24088" s="74" t="s">
        <v>12534</v>
      </c>
      <c r="C24088" s="74" t="s">
        <v>434</v>
      </c>
    </row>
    <row r="24089" spans="1:3">
      <c r="A24089" s="250">
        <v>56039</v>
      </c>
      <c r="B24089" s="74" t="s">
        <v>12535</v>
      </c>
      <c r="C24089" s="74" t="s">
        <v>434</v>
      </c>
    </row>
    <row r="24090" spans="1:3">
      <c r="A24090" s="250">
        <v>56041</v>
      </c>
      <c r="B24090" s="74" t="s">
        <v>12536</v>
      </c>
      <c r="C24090" s="74" t="s">
        <v>434</v>
      </c>
    </row>
    <row r="24091" spans="1:3">
      <c r="A24091" s="250">
        <v>56042</v>
      </c>
      <c r="B24091" s="74" t="s">
        <v>1697</v>
      </c>
      <c r="C24091" s="74" t="s">
        <v>434</v>
      </c>
    </row>
    <row r="24092" spans="1:3">
      <c r="A24092" s="250">
        <v>56043</v>
      </c>
      <c r="B24092" s="74" t="s">
        <v>12301</v>
      </c>
      <c r="C24092" s="74" t="s">
        <v>434</v>
      </c>
    </row>
    <row r="24093" spans="1:3">
      <c r="A24093" s="250">
        <v>56044</v>
      </c>
      <c r="B24093" s="74" t="s">
        <v>3556</v>
      </c>
      <c r="C24093" s="74" t="s">
        <v>434</v>
      </c>
    </row>
    <row r="24094" spans="1:3">
      <c r="A24094" s="250">
        <v>56045</v>
      </c>
      <c r="B24094" s="74" t="s">
        <v>9338</v>
      </c>
      <c r="C24094" s="74" t="s">
        <v>434</v>
      </c>
    </row>
    <row r="24095" spans="1:3">
      <c r="A24095" s="250">
        <v>56046</v>
      </c>
      <c r="B24095" s="74" t="s">
        <v>1111</v>
      </c>
      <c r="C24095" s="74" t="s">
        <v>434</v>
      </c>
    </row>
    <row r="24096" spans="1:3">
      <c r="A24096" s="250">
        <v>56047</v>
      </c>
      <c r="B24096" s="74" t="s">
        <v>12537</v>
      </c>
      <c r="C24096" s="74" t="s">
        <v>434</v>
      </c>
    </row>
    <row r="24097" spans="1:3">
      <c r="A24097" s="250">
        <v>56048</v>
      </c>
      <c r="B24097" s="74" t="s">
        <v>11668</v>
      </c>
      <c r="C24097" s="74" t="s">
        <v>434</v>
      </c>
    </row>
    <row r="24098" spans="1:3">
      <c r="A24098" s="250">
        <v>56050</v>
      </c>
      <c r="B24098" s="74" t="s">
        <v>12538</v>
      </c>
      <c r="C24098" s="74" t="s">
        <v>434</v>
      </c>
    </row>
    <row r="24099" spans="1:3">
      <c r="A24099" s="250">
        <v>56051</v>
      </c>
      <c r="B24099" s="74" t="s">
        <v>12539</v>
      </c>
      <c r="C24099" s="74" t="s">
        <v>434</v>
      </c>
    </row>
    <row r="24100" spans="1:3">
      <c r="A24100" s="250">
        <v>56052</v>
      </c>
      <c r="B24100" s="74" t="s">
        <v>12540</v>
      </c>
      <c r="C24100" s="74" t="s">
        <v>434</v>
      </c>
    </row>
    <row r="24101" spans="1:3">
      <c r="A24101" s="250">
        <v>56054</v>
      </c>
      <c r="B24101" s="74" t="s">
        <v>2315</v>
      </c>
      <c r="C24101" s="74" t="s">
        <v>434</v>
      </c>
    </row>
    <row r="24102" spans="1:3">
      <c r="A24102" s="250">
        <v>56055</v>
      </c>
      <c r="B24102" s="74" t="s">
        <v>12541</v>
      </c>
      <c r="C24102" s="74" t="s">
        <v>434</v>
      </c>
    </row>
    <row r="24103" spans="1:3">
      <c r="A24103" s="250">
        <v>56056</v>
      </c>
      <c r="B24103" s="74" t="s">
        <v>11020</v>
      </c>
      <c r="C24103" s="74" t="s">
        <v>434</v>
      </c>
    </row>
    <row r="24104" spans="1:3">
      <c r="A24104" s="250">
        <v>56057</v>
      </c>
      <c r="B24104" s="74" t="s">
        <v>12542</v>
      </c>
      <c r="C24104" s="74" t="s">
        <v>434</v>
      </c>
    </row>
    <row r="24105" spans="1:3">
      <c r="A24105" s="250">
        <v>56058</v>
      </c>
      <c r="B24105" s="74" t="s">
        <v>12543</v>
      </c>
      <c r="C24105" s="74" t="s">
        <v>434</v>
      </c>
    </row>
    <row r="24106" spans="1:3">
      <c r="A24106" s="250">
        <v>56060</v>
      </c>
      <c r="B24106" s="74" t="s">
        <v>5387</v>
      </c>
      <c r="C24106" s="74" t="s">
        <v>434</v>
      </c>
    </row>
    <row r="24107" spans="1:3">
      <c r="A24107" s="250">
        <v>56062</v>
      </c>
      <c r="B24107" s="74" t="s">
        <v>12544</v>
      </c>
      <c r="C24107" s="74" t="s">
        <v>434</v>
      </c>
    </row>
    <row r="24108" spans="1:3">
      <c r="A24108" s="250">
        <v>56063</v>
      </c>
      <c r="B24108" s="74" t="s">
        <v>12545</v>
      </c>
      <c r="C24108" s="74" t="s">
        <v>434</v>
      </c>
    </row>
    <row r="24109" spans="1:3">
      <c r="A24109" s="250">
        <v>56065</v>
      </c>
      <c r="B24109" s="74" t="s">
        <v>1637</v>
      </c>
      <c r="C24109" s="74" t="s">
        <v>434</v>
      </c>
    </row>
    <row r="24110" spans="1:3">
      <c r="A24110" s="250">
        <v>56068</v>
      </c>
      <c r="B24110" s="74" t="s">
        <v>12546</v>
      </c>
      <c r="C24110" s="74" t="s">
        <v>434</v>
      </c>
    </row>
    <row r="24111" spans="1:3">
      <c r="A24111" s="250">
        <v>56069</v>
      </c>
      <c r="B24111" s="74" t="s">
        <v>1821</v>
      </c>
      <c r="C24111" s="74" t="s">
        <v>434</v>
      </c>
    </row>
    <row r="24112" spans="1:3">
      <c r="A24112" s="250">
        <v>56071</v>
      </c>
      <c r="B24112" s="74" t="s">
        <v>12547</v>
      </c>
      <c r="C24112" s="74" t="s">
        <v>434</v>
      </c>
    </row>
    <row r="24113" spans="1:3">
      <c r="A24113" s="250">
        <v>56072</v>
      </c>
      <c r="B24113" s="74" t="s">
        <v>12548</v>
      </c>
      <c r="C24113" s="74" t="s">
        <v>434</v>
      </c>
    </row>
    <row r="24114" spans="1:3">
      <c r="A24114" s="250">
        <v>56073</v>
      </c>
      <c r="B24114" s="74" t="s">
        <v>12549</v>
      </c>
      <c r="C24114" s="74" t="s">
        <v>434</v>
      </c>
    </row>
    <row r="24115" spans="1:3">
      <c r="A24115" s="250">
        <v>56074</v>
      </c>
      <c r="B24115" s="74" t="s">
        <v>12550</v>
      </c>
      <c r="C24115" s="74" t="s">
        <v>434</v>
      </c>
    </row>
    <row r="24116" spans="1:3">
      <c r="A24116" s="250">
        <v>56075</v>
      </c>
      <c r="B24116" s="74" t="s">
        <v>12551</v>
      </c>
      <c r="C24116" s="74" t="s">
        <v>434</v>
      </c>
    </row>
    <row r="24117" spans="1:3">
      <c r="A24117" s="250">
        <v>56078</v>
      </c>
      <c r="B24117" s="74" t="s">
        <v>2413</v>
      </c>
      <c r="C24117" s="74" t="s">
        <v>434</v>
      </c>
    </row>
    <row r="24118" spans="1:3">
      <c r="A24118" s="250">
        <v>56080</v>
      </c>
      <c r="B24118" s="74" t="s">
        <v>5017</v>
      </c>
      <c r="C24118" s="74" t="s">
        <v>434</v>
      </c>
    </row>
    <row r="24119" spans="1:3">
      <c r="A24119" s="250">
        <v>56081</v>
      </c>
      <c r="B24119" s="74" t="s">
        <v>2853</v>
      </c>
      <c r="C24119" s="74" t="s">
        <v>434</v>
      </c>
    </row>
    <row r="24120" spans="1:3">
      <c r="A24120" s="250">
        <v>56082</v>
      </c>
      <c r="B24120" s="74" t="s">
        <v>12552</v>
      </c>
      <c r="C24120" s="74" t="s">
        <v>434</v>
      </c>
    </row>
    <row r="24121" spans="1:3">
      <c r="A24121" s="250">
        <v>56083</v>
      </c>
      <c r="B24121" s="74" t="s">
        <v>3732</v>
      </c>
      <c r="C24121" s="74" t="s">
        <v>434</v>
      </c>
    </row>
    <row r="24122" spans="1:3">
      <c r="A24122" s="250">
        <v>56084</v>
      </c>
      <c r="B24122" s="74" t="s">
        <v>12553</v>
      </c>
      <c r="C24122" s="74" t="s">
        <v>434</v>
      </c>
    </row>
    <row r="24123" spans="1:3">
      <c r="A24123" s="250">
        <v>56085</v>
      </c>
      <c r="B24123" s="74" t="s">
        <v>12554</v>
      </c>
      <c r="C24123" s="74" t="s">
        <v>434</v>
      </c>
    </row>
    <row r="24124" spans="1:3">
      <c r="A24124" s="250">
        <v>56087</v>
      </c>
      <c r="B24124" s="74" t="s">
        <v>634</v>
      </c>
      <c r="C24124" s="74" t="s">
        <v>434</v>
      </c>
    </row>
    <row r="24125" spans="1:3">
      <c r="A24125" s="250">
        <v>56088</v>
      </c>
      <c r="B24125" s="74" t="s">
        <v>12555</v>
      </c>
      <c r="C24125" s="74" t="s">
        <v>434</v>
      </c>
    </row>
    <row r="24126" spans="1:3">
      <c r="A24126" s="250">
        <v>56089</v>
      </c>
      <c r="B24126" s="74" t="s">
        <v>12000</v>
      </c>
      <c r="C24126" s="74" t="s">
        <v>434</v>
      </c>
    </row>
    <row r="24127" spans="1:3">
      <c r="A24127" s="250">
        <v>56090</v>
      </c>
      <c r="B24127" s="74" t="s">
        <v>3510</v>
      </c>
      <c r="C24127" s="74" t="s">
        <v>434</v>
      </c>
    </row>
    <row r="24128" spans="1:3">
      <c r="A24128" s="250">
        <v>56091</v>
      </c>
      <c r="B24128" s="74" t="s">
        <v>5543</v>
      </c>
      <c r="C24128" s="74" t="s">
        <v>434</v>
      </c>
    </row>
    <row r="24129" spans="1:3">
      <c r="A24129" s="250">
        <v>56093</v>
      </c>
      <c r="B24129" s="74" t="s">
        <v>12556</v>
      </c>
      <c r="C24129" s="74" t="s">
        <v>434</v>
      </c>
    </row>
    <row r="24130" spans="1:3">
      <c r="A24130" s="250">
        <v>56096</v>
      </c>
      <c r="B24130" s="74" t="s">
        <v>1676</v>
      </c>
      <c r="C24130" s="74" t="s">
        <v>434</v>
      </c>
    </row>
    <row r="24131" spans="1:3">
      <c r="A24131" s="250">
        <v>56097</v>
      </c>
      <c r="B24131" s="74" t="s">
        <v>1421</v>
      </c>
      <c r="C24131" s="74" t="s">
        <v>434</v>
      </c>
    </row>
    <row r="24132" spans="1:3">
      <c r="A24132" s="250">
        <v>56098</v>
      </c>
      <c r="B24132" s="74" t="s">
        <v>12354</v>
      </c>
      <c r="C24132" s="74" t="s">
        <v>434</v>
      </c>
    </row>
    <row r="24133" spans="1:3">
      <c r="A24133" s="250">
        <v>56101</v>
      </c>
      <c r="B24133" s="74" t="s">
        <v>12557</v>
      </c>
      <c r="C24133" s="74" t="s">
        <v>434</v>
      </c>
    </row>
    <row r="24134" spans="1:3">
      <c r="A24134" s="250">
        <v>56110</v>
      </c>
      <c r="B24134" s="74" t="s">
        <v>4439</v>
      </c>
      <c r="C24134" s="74" t="s">
        <v>434</v>
      </c>
    </row>
    <row r="24135" spans="1:3">
      <c r="A24135" s="250">
        <v>56111</v>
      </c>
      <c r="B24135" s="74" t="s">
        <v>10047</v>
      </c>
      <c r="C24135" s="74" t="s">
        <v>434</v>
      </c>
    </row>
    <row r="24136" spans="1:3">
      <c r="A24136" s="250">
        <v>56113</v>
      </c>
      <c r="B24136" s="74" t="s">
        <v>12558</v>
      </c>
      <c r="C24136" s="74" t="s">
        <v>434</v>
      </c>
    </row>
    <row r="24137" spans="1:3">
      <c r="A24137" s="250">
        <v>56114</v>
      </c>
      <c r="B24137" s="74" t="s">
        <v>3896</v>
      </c>
      <c r="C24137" s="74" t="s">
        <v>434</v>
      </c>
    </row>
    <row r="24138" spans="1:3">
      <c r="A24138" s="250">
        <v>56115</v>
      </c>
      <c r="B24138" s="74" t="s">
        <v>12559</v>
      </c>
      <c r="C24138" s="74" t="s">
        <v>434</v>
      </c>
    </row>
    <row r="24139" spans="1:3">
      <c r="A24139" s="250">
        <v>56116</v>
      </c>
      <c r="B24139" s="74" t="s">
        <v>12560</v>
      </c>
      <c r="C24139" s="74" t="s">
        <v>434</v>
      </c>
    </row>
    <row r="24140" spans="1:3">
      <c r="A24140" s="250">
        <v>56117</v>
      </c>
      <c r="B24140" s="74" t="s">
        <v>12561</v>
      </c>
      <c r="C24140" s="74" t="s">
        <v>434</v>
      </c>
    </row>
    <row r="24141" spans="1:3">
      <c r="A24141" s="250">
        <v>56118</v>
      </c>
      <c r="B24141" s="74" t="s">
        <v>12562</v>
      </c>
      <c r="C24141" s="74" t="s">
        <v>434</v>
      </c>
    </row>
    <row r="24142" spans="1:3">
      <c r="A24142" s="250">
        <v>56119</v>
      </c>
      <c r="B24142" s="74" t="s">
        <v>1023</v>
      </c>
      <c r="C24142" s="74" t="s">
        <v>434</v>
      </c>
    </row>
    <row r="24143" spans="1:3">
      <c r="A24143" s="250">
        <v>56120</v>
      </c>
      <c r="B24143" s="74" t="s">
        <v>12563</v>
      </c>
      <c r="C24143" s="74" t="s">
        <v>434</v>
      </c>
    </row>
    <row r="24144" spans="1:3">
      <c r="A24144" s="250">
        <v>56121</v>
      </c>
      <c r="B24144" s="74" t="s">
        <v>12564</v>
      </c>
      <c r="C24144" s="74" t="s">
        <v>434</v>
      </c>
    </row>
    <row r="24145" spans="1:3">
      <c r="A24145" s="250">
        <v>56122</v>
      </c>
      <c r="B24145" s="74" t="s">
        <v>10910</v>
      </c>
      <c r="C24145" s="74" t="s">
        <v>434</v>
      </c>
    </row>
    <row r="24146" spans="1:3">
      <c r="A24146" s="250">
        <v>56123</v>
      </c>
      <c r="B24146" s="74" t="s">
        <v>7397</v>
      </c>
      <c r="C24146" s="74" t="s">
        <v>434</v>
      </c>
    </row>
    <row r="24147" spans="1:3">
      <c r="A24147" s="250">
        <v>56125</v>
      </c>
      <c r="B24147" s="74" t="s">
        <v>12565</v>
      </c>
      <c r="C24147" s="74" t="s">
        <v>434</v>
      </c>
    </row>
    <row r="24148" spans="1:3">
      <c r="A24148" s="250">
        <v>56127</v>
      </c>
      <c r="B24148" s="74" t="s">
        <v>12566</v>
      </c>
      <c r="C24148" s="74" t="s">
        <v>434</v>
      </c>
    </row>
    <row r="24149" spans="1:3">
      <c r="A24149" s="250">
        <v>56128</v>
      </c>
      <c r="B24149" s="74" t="s">
        <v>10187</v>
      </c>
      <c r="C24149" s="74" t="s">
        <v>434</v>
      </c>
    </row>
    <row r="24150" spans="1:3">
      <c r="A24150" s="250">
        <v>56129</v>
      </c>
      <c r="B24150" s="74" t="s">
        <v>1563</v>
      </c>
      <c r="C24150" s="74" t="s">
        <v>434</v>
      </c>
    </row>
    <row r="24151" spans="1:3">
      <c r="A24151" s="250">
        <v>56131</v>
      </c>
      <c r="B24151" s="74" t="s">
        <v>10886</v>
      </c>
      <c r="C24151" s="74" t="s">
        <v>434</v>
      </c>
    </row>
    <row r="24152" spans="1:3">
      <c r="A24152" s="250">
        <v>56132</v>
      </c>
      <c r="B24152" s="74" t="s">
        <v>12567</v>
      </c>
      <c r="C24152" s="74" t="s">
        <v>434</v>
      </c>
    </row>
    <row r="24153" spans="1:3">
      <c r="A24153" s="250">
        <v>56134</v>
      </c>
      <c r="B24153" s="74" t="s">
        <v>597</v>
      </c>
      <c r="C24153" s="74" t="s">
        <v>434</v>
      </c>
    </row>
    <row r="24154" spans="1:3">
      <c r="A24154" s="250">
        <v>56136</v>
      </c>
      <c r="B24154" s="74" t="s">
        <v>6915</v>
      </c>
      <c r="C24154" s="74" t="s">
        <v>434</v>
      </c>
    </row>
    <row r="24155" spans="1:3">
      <c r="A24155" s="250">
        <v>56137</v>
      </c>
      <c r="B24155" s="74" t="s">
        <v>12568</v>
      </c>
      <c r="C24155" s="74" t="s">
        <v>434</v>
      </c>
    </row>
    <row r="24156" spans="1:3">
      <c r="A24156" s="250">
        <v>56138</v>
      </c>
      <c r="B24156" s="74" t="s">
        <v>11848</v>
      </c>
      <c r="C24156" s="74" t="s">
        <v>434</v>
      </c>
    </row>
    <row r="24157" spans="1:3">
      <c r="A24157" s="250">
        <v>56139</v>
      </c>
      <c r="B24157" s="74" t="s">
        <v>739</v>
      </c>
      <c r="C24157" s="74" t="s">
        <v>434</v>
      </c>
    </row>
    <row r="24158" spans="1:3">
      <c r="A24158" s="250">
        <v>56140</v>
      </c>
      <c r="B24158" s="74" t="s">
        <v>12569</v>
      </c>
      <c r="C24158" s="74" t="s">
        <v>434</v>
      </c>
    </row>
    <row r="24159" spans="1:3">
      <c r="A24159" s="250">
        <v>56141</v>
      </c>
      <c r="B24159" s="74" t="s">
        <v>12570</v>
      </c>
      <c r="C24159" s="74" t="s">
        <v>434</v>
      </c>
    </row>
    <row r="24160" spans="1:3">
      <c r="A24160" s="250">
        <v>56142</v>
      </c>
      <c r="B24160" s="74" t="s">
        <v>6365</v>
      </c>
      <c r="C24160" s="74" t="s">
        <v>434</v>
      </c>
    </row>
    <row r="24161" spans="1:3">
      <c r="A24161" s="250">
        <v>56143</v>
      </c>
      <c r="B24161" s="74" t="s">
        <v>1318</v>
      </c>
      <c r="C24161" s="74" t="s">
        <v>434</v>
      </c>
    </row>
    <row r="24162" spans="1:3">
      <c r="A24162" s="250">
        <v>56144</v>
      </c>
      <c r="B24162" s="74" t="s">
        <v>3922</v>
      </c>
      <c r="C24162" s="74" t="s">
        <v>434</v>
      </c>
    </row>
    <row r="24163" spans="1:3">
      <c r="A24163" s="250">
        <v>56145</v>
      </c>
      <c r="B24163" s="74" t="s">
        <v>12571</v>
      </c>
      <c r="C24163" s="74" t="s">
        <v>434</v>
      </c>
    </row>
    <row r="24164" spans="1:3">
      <c r="A24164" s="250">
        <v>56146</v>
      </c>
      <c r="B24164" s="74" t="s">
        <v>12572</v>
      </c>
      <c r="C24164" s="74" t="s">
        <v>434</v>
      </c>
    </row>
    <row r="24165" spans="1:3">
      <c r="A24165" s="250">
        <v>56147</v>
      </c>
      <c r="B24165" s="74" t="s">
        <v>12573</v>
      </c>
      <c r="C24165" s="74" t="s">
        <v>434</v>
      </c>
    </row>
    <row r="24166" spans="1:3">
      <c r="A24166" s="250">
        <v>56149</v>
      </c>
      <c r="B24166" s="74" t="s">
        <v>12574</v>
      </c>
      <c r="C24166" s="74" t="s">
        <v>434</v>
      </c>
    </row>
    <row r="24167" spans="1:3">
      <c r="A24167" s="250">
        <v>56150</v>
      </c>
      <c r="B24167" s="74" t="s">
        <v>12575</v>
      </c>
      <c r="C24167" s="74" t="s">
        <v>434</v>
      </c>
    </row>
    <row r="24168" spans="1:3">
      <c r="A24168" s="250">
        <v>56151</v>
      </c>
      <c r="B24168" s="74" t="s">
        <v>12576</v>
      </c>
      <c r="C24168" s="74" t="s">
        <v>434</v>
      </c>
    </row>
    <row r="24169" spans="1:3">
      <c r="A24169" s="250">
        <v>56152</v>
      </c>
      <c r="B24169" s="74" t="s">
        <v>12577</v>
      </c>
      <c r="C24169" s="74" t="s">
        <v>434</v>
      </c>
    </row>
    <row r="24170" spans="1:3">
      <c r="A24170" s="250">
        <v>56153</v>
      </c>
      <c r="B24170" s="74" t="s">
        <v>12578</v>
      </c>
      <c r="C24170" s="74" t="s">
        <v>434</v>
      </c>
    </row>
    <row r="24171" spans="1:3">
      <c r="A24171" s="250">
        <v>56155</v>
      </c>
      <c r="B24171" s="74" t="s">
        <v>12579</v>
      </c>
      <c r="C24171" s="74" t="s">
        <v>434</v>
      </c>
    </row>
    <row r="24172" spans="1:3">
      <c r="A24172" s="250">
        <v>56156</v>
      </c>
      <c r="B24172" s="74" t="s">
        <v>8810</v>
      </c>
      <c r="C24172" s="74" t="s">
        <v>434</v>
      </c>
    </row>
    <row r="24173" spans="1:3">
      <c r="A24173" s="250">
        <v>56157</v>
      </c>
      <c r="B24173" s="74" t="s">
        <v>12580</v>
      </c>
      <c r="C24173" s="74" t="s">
        <v>434</v>
      </c>
    </row>
    <row r="24174" spans="1:3">
      <c r="A24174" s="250">
        <v>56158</v>
      </c>
      <c r="B24174" s="74" t="s">
        <v>2398</v>
      </c>
      <c r="C24174" s="74" t="s">
        <v>434</v>
      </c>
    </row>
    <row r="24175" spans="1:3">
      <c r="A24175" s="250">
        <v>56159</v>
      </c>
      <c r="B24175" s="74" t="s">
        <v>12581</v>
      </c>
      <c r="C24175" s="74" t="s">
        <v>434</v>
      </c>
    </row>
    <row r="24176" spans="1:3">
      <c r="A24176" s="250">
        <v>56160</v>
      </c>
      <c r="B24176" s="74" t="s">
        <v>12582</v>
      </c>
      <c r="C24176" s="74" t="s">
        <v>434</v>
      </c>
    </row>
    <row r="24177" spans="1:3">
      <c r="A24177" s="250">
        <v>56161</v>
      </c>
      <c r="B24177" s="74" t="s">
        <v>12583</v>
      </c>
      <c r="C24177" s="74" t="s">
        <v>434</v>
      </c>
    </row>
    <row r="24178" spans="1:3">
      <c r="A24178" s="250">
        <v>56162</v>
      </c>
      <c r="B24178" s="74" t="s">
        <v>12584</v>
      </c>
      <c r="C24178" s="74" t="s">
        <v>434</v>
      </c>
    </row>
    <row r="24179" spans="1:3">
      <c r="A24179" s="250">
        <v>56164</v>
      </c>
      <c r="B24179" s="74" t="s">
        <v>12585</v>
      </c>
      <c r="C24179" s="74" t="s">
        <v>434</v>
      </c>
    </row>
    <row r="24180" spans="1:3">
      <c r="A24180" s="250">
        <v>56165</v>
      </c>
      <c r="B24180" s="74" t="s">
        <v>825</v>
      </c>
      <c r="C24180" s="74" t="s">
        <v>434</v>
      </c>
    </row>
    <row r="24181" spans="1:3">
      <c r="A24181" s="250">
        <v>56166</v>
      </c>
      <c r="B24181" s="74" t="s">
        <v>919</v>
      </c>
      <c r="C24181" s="74" t="s">
        <v>434</v>
      </c>
    </row>
    <row r="24182" spans="1:3">
      <c r="A24182" s="250">
        <v>56167</v>
      </c>
      <c r="B24182" s="74" t="s">
        <v>2998</v>
      </c>
      <c r="C24182" s="74" t="s">
        <v>434</v>
      </c>
    </row>
    <row r="24183" spans="1:3">
      <c r="A24183" s="250">
        <v>56168</v>
      </c>
      <c r="B24183" s="74" t="s">
        <v>12586</v>
      </c>
      <c r="C24183" s="74" t="s">
        <v>434</v>
      </c>
    </row>
    <row r="24184" spans="1:3">
      <c r="A24184" s="250">
        <v>56169</v>
      </c>
      <c r="B24184" s="74" t="s">
        <v>612</v>
      </c>
      <c r="C24184" s="74" t="s">
        <v>434</v>
      </c>
    </row>
    <row r="24185" spans="1:3">
      <c r="A24185" s="250">
        <v>56170</v>
      </c>
      <c r="B24185" s="74" t="s">
        <v>12587</v>
      </c>
      <c r="C24185" s="74" t="s">
        <v>434</v>
      </c>
    </row>
    <row r="24186" spans="1:3">
      <c r="A24186" s="250">
        <v>56171</v>
      </c>
      <c r="B24186" s="74" t="s">
        <v>12588</v>
      </c>
      <c r="C24186" s="74" t="s">
        <v>434</v>
      </c>
    </row>
    <row r="24187" spans="1:3">
      <c r="A24187" s="250">
        <v>56172</v>
      </c>
      <c r="B24187" s="74" t="s">
        <v>12589</v>
      </c>
      <c r="C24187" s="74" t="s">
        <v>434</v>
      </c>
    </row>
    <row r="24188" spans="1:3">
      <c r="A24188" s="250">
        <v>56173</v>
      </c>
      <c r="B24188" s="74" t="s">
        <v>12590</v>
      </c>
      <c r="C24188" s="74" t="s">
        <v>434</v>
      </c>
    </row>
    <row r="24189" spans="1:3">
      <c r="A24189" s="250">
        <v>56174</v>
      </c>
      <c r="B24189" s="74" t="s">
        <v>12591</v>
      </c>
      <c r="C24189" s="74" t="s">
        <v>434</v>
      </c>
    </row>
    <row r="24190" spans="1:3">
      <c r="A24190" s="250">
        <v>56175</v>
      </c>
      <c r="B24190" s="74" t="s">
        <v>11554</v>
      </c>
      <c r="C24190" s="74" t="s">
        <v>434</v>
      </c>
    </row>
    <row r="24191" spans="1:3">
      <c r="A24191" s="250">
        <v>56176</v>
      </c>
      <c r="B24191" s="74" t="s">
        <v>12592</v>
      </c>
      <c r="C24191" s="74" t="s">
        <v>434</v>
      </c>
    </row>
    <row r="24192" spans="1:3">
      <c r="A24192" s="250">
        <v>56177</v>
      </c>
      <c r="B24192" s="74" t="s">
        <v>12593</v>
      </c>
      <c r="C24192" s="74" t="s">
        <v>434</v>
      </c>
    </row>
    <row r="24193" spans="1:3">
      <c r="A24193" s="250">
        <v>56178</v>
      </c>
      <c r="B24193" s="74" t="s">
        <v>8957</v>
      </c>
      <c r="C24193" s="74" t="s">
        <v>434</v>
      </c>
    </row>
    <row r="24194" spans="1:3">
      <c r="A24194" s="250">
        <v>56180</v>
      </c>
      <c r="B24194" s="74" t="s">
        <v>8780</v>
      </c>
      <c r="C24194" s="74" t="s">
        <v>434</v>
      </c>
    </row>
    <row r="24195" spans="1:3">
      <c r="A24195" s="250">
        <v>56181</v>
      </c>
      <c r="B24195" s="74" t="s">
        <v>5593</v>
      </c>
      <c r="C24195" s="74" t="s">
        <v>434</v>
      </c>
    </row>
    <row r="24196" spans="1:3">
      <c r="A24196" s="250">
        <v>56183</v>
      </c>
      <c r="B24196" s="74" t="s">
        <v>1423</v>
      </c>
      <c r="C24196" s="74" t="s">
        <v>434</v>
      </c>
    </row>
    <row r="24197" spans="1:3">
      <c r="A24197" s="250">
        <v>56185</v>
      </c>
      <c r="B24197" s="74" t="s">
        <v>12594</v>
      </c>
      <c r="C24197" s="74" t="s">
        <v>434</v>
      </c>
    </row>
    <row r="24198" spans="1:3">
      <c r="A24198" s="250">
        <v>56186</v>
      </c>
      <c r="B24198" s="74" t="s">
        <v>1223</v>
      </c>
      <c r="C24198" s="74" t="s">
        <v>434</v>
      </c>
    </row>
    <row r="24199" spans="1:3">
      <c r="A24199" s="250">
        <v>56187</v>
      </c>
      <c r="B24199" s="74" t="s">
        <v>633</v>
      </c>
      <c r="C24199" s="74" t="s">
        <v>434</v>
      </c>
    </row>
    <row r="24200" spans="1:3">
      <c r="A24200" s="250">
        <v>56201</v>
      </c>
      <c r="B24200" s="74" t="s">
        <v>12595</v>
      </c>
      <c r="C24200" s="74" t="s">
        <v>434</v>
      </c>
    </row>
    <row r="24201" spans="1:3">
      <c r="A24201" s="250">
        <v>56207</v>
      </c>
      <c r="B24201" s="74" t="s">
        <v>6186</v>
      </c>
      <c r="C24201" s="74" t="s">
        <v>434</v>
      </c>
    </row>
    <row r="24202" spans="1:3">
      <c r="A24202" s="250">
        <v>56208</v>
      </c>
      <c r="B24202" s="74" t="s">
        <v>3671</v>
      </c>
      <c r="C24202" s="74" t="s">
        <v>434</v>
      </c>
    </row>
    <row r="24203" spans="1:3">
      <c r="A24203" s="250">
        <v>56209</v>
      </c>
      <c r="B24203" s="74" t="s">
        <v>10332</v>
      </c>
      <c r="C24203" s="74" t="s">
        <v>434</v>
      </c>
    </row>
    <row r="24204" spans="1:3">
      <c r="A24204" s="250">
        <v>56210</v>
      </c>
      <c r="B24204" s="74" t="s">
        <v>12596</v>
      </c>
      <c r="C24204" s="74" t="s">
        <v>434</v>
      </c>
    </row>
    <row r="24205" spans="1:3">
      <c r="A24205" s="250">
        <v>56211</v>
      </c>
      <c r="B24205" s="74" t="s">
        <v>12597</v>
      </c>
      <c r="C24205" s="74" t="s">
        <v>434</v>
      </c>
    </row>
    <row r="24206" spans="1:3">
      <c r="A24206" s="250">
        <v>56212</v>
      </c>
      <c r="B24206" s="74" t="s">
        <v>864</v>
      </c>
      <c r="C24206" s="74" t="s">
        <v>434</v>
      </c>
    </row>
    <row r="24207" spans="1:3">
      <c r="A24207" s="250">
        <v>56214</v>
      </c>
      <c r="B24207" s="74" t="s">
        <v>12598</v>
      </c>
      <c r="C24207" s="74" t="s">
        <v>434</v>
      </c>
    </row>
    <row r="24208" spans="1:3">
      <c r="A24208" s="250">
        <v>56215</v>
      </c>
      <c r="B24208" s="74" t="s">
        <v>1862</v>
      </c>
      <c r="C24208" s="74" t="s">
        <v>434</v>
      </c>
    </row>
    <row r="24209" spans="1:3">
      <c r="A24209" s="250">
        <v>56216</v>
      </c>
      <c r="B24209" s="74" t="s">
        <v>12599</v>
      </c>
      <c r="C24209" s="74" t="s">
        <v>434</v>
      </c>
    </row>
    <row r="24210" spans="1:3">
      <c r="A24210" s="250">
        <v>56218</v>
      </c>
      <c r="B24210" s="74" t="s">
        <v>12260</v>
      </c>
      <c r="C24210" s="74" t="s">
        <v>434</v>
      </c>
    </row>
    <row r="24211" spans="1:3">
      <c r="A24211" s="250">
        <v>56219</v>
      </c>
      <c r="B24211" s="74" t="s">
        <v>12600</v>
      </c>
      <c r="C24211" s="74" t="s">
        <v>434</v>
      </c>
    </row>
    <row r="24212" spans="1:3">
      <c r="A24212" s="250">
        <v>56220</v>
      </c>
      <c r="B24212" s="74" t="s">
        <v>12601</v>
      </c>
      <c r="C24212" s="74" t="s">
        <v>434</v>
      </c>
    </row>
    <row r="24213" spans="1:3">
      <c r="A24213" s="250">
        <v>56221</v>
      </c>
      <c r="B24213" s="74" t="s">
        <v>12602</v>
      </c>
      <c r="C24213" s="74" t="s">
        <v>434</v>
      </c>
    </row>
    <row r="24214" spans="1:3">
      <c r="A24214" s="250">
        <v>56222</v>
      </c>
      <c r="B24214" s="74" t="s">
        <v>12603</v>
      </c>
      <c r="C24214" s="74" t="s">
        <v>434</v>
      </c>
    </row>
    <row r="24215" spans="1:3">
      <c r="A24215" s="250">
        <v>56223</v>
      </c>
      <c r="B24215" s="74" t="s">
        <v>12604</v>
      </c>
      <c r="C24215" s="74" t="s">
        <v>434</v>
      </c>
    </row>
    <row r="24216" spans="1:3">
      <c r="A24216" s="250">
        <v>56224</v>
      </c>
      <c r="B24216" s="74" t="s">
        <v>5559</v>
      </c>
      <c r="C24216" s="74" t="s">
        <v>434</v>
      </c>
    </row>
    <row r="24217" spans="1:3">
      <c r="A24217" s="250">
        <v>56225</v>
      </c>
      <c r="B24217" s="74" t="s">
        <v>732</v>
      </c>
      <c r="C24217" s="74" t="s">
        <v>434</v>
      </c>
    </row>
    <row r="24218" spans="1:3">
      <c r="A24218" s="250">
        <v>56226</v>
      </c>
      <c r="B24218" s="74" t="s">
        <v>12605</v>
      </c>
      <c r="C24218" s="74" t="s">
        <v>434</v>
      </c>
    </row>
    <row r="24219" spans="1:3">
      <c r="A24219" s="250">
        <v>56227</v>
      </c>
      <c r="B24219" s="74" t="s">
        <v>12606</v>
      </c>
      <c r="C24219" s="74" t="s">
        <v>434</v>
      </c>
    </row>
    <row r="24220" spans="1:3">
      <c r="A24220" s="250">
        <v>56228</v>
      </c>
      <c r="B24220" s="74" t="s">
        <v>12607</v>
      </c>
      <c r="C24220" s="74" t="s">
        <v>434</v>
      </c>
    </row>
    <row r="24221" spans="1:3">
      <c r="A24221" s="250">
        <v>56229</v>
      </c>
      <c r="B24221" s="74" t="s">
        <v>8846</v>
      </c>
      <c r="C24221" s="74" t="s">
        <v>434</v>
      </c>
    </row>
    <row r="24222" spans="1:3">
      <c r="A24222" s="250">
        <v>56230</v>
      </c>
      <c r="B24222" s="74" t="s">
        <v>12608</v>
      </c>
      <c r="C24222" s="74" t="s">
        <v>434</v>
      </c>
    </row>
    <row r="24223" spans="1:3">
      <c r="A24223" s="250">
        <v>56231</v>
      </c>
      <c r="B24223" s="74" t="s">
        <v>841</v>
      </c>
      <c r="C24223" s="74" t="s">
        <v>434</v>
      </c>
    </row>
    <row r="24224" spans="1:3">
      <c r="A24224" s="250">
        <v>56232</v>
      </c>
      <c r="B24224" s="74" t="s">
        <v>4101</v>
      </c>
      <c r="C24224" s="74" t="s">
        <v>434</v>
      </c>
    </row>
    <row r="24225" spans="1:3">
      <c r="A24225" s="250">
        <v>56235</v>
      </c>
      <c r="B24225" s="74" t="s">
        <v>12609</v>
      </c>
      <c r="C24225" s="74" t="s">
        <v>434</v>
      </c>
    </row>
    <row r="24226" spans="1:3">
      <c r="A24226" s="250">
        <v>56236</v>
      </c>
      <c r="B24226" s="74" t="s">
        <v>2230</v>
      </c>
      <c r="C24226" s="74" t="s">
        <v>434</v>
      </c>
    </row>
    <row r="24227" spans="1:3">
      <c r="A24227" s="250">
        <v>56237</v>
      </c>
      <c r="B24227" s="74" t="s">
        <v>12610</v>
      </c>
      <c r="C24227" s="74" t="s">
        <v>434</v>
      </c>
    </row>
    <row r="24228" spans="1:3">
      <c r="A24228" s="250">
        <v>56239</v>
      </c>
      <c r="B24228" s="74" t="s">
        <v>2957</v>
      </c>
      <c r="C24228" s="74" t="s">
        <v>434</v>
      </c>
    </row>
    <row r="24229" spans="1:3">
      <c r="A24229" s="250">
        <v>56240</v>
      </c>
      <c r="B24229" s="74" t="s">
        <v>8307</v>
      </c>
      <c r="C24229" s="74" t="s">
        <v>434</v>
      </c>
    </row>
    <row r="24230" spans="1:3">
      <c r="A24230" s="250">
        <v>56241</v>
      </c>
      <c r="B24230" s="74" t="s">
        <v>7485</v>
      </c>
      <c r="C24230" s="74" t="s">
        <v>434</v>
      </c>
    </row>
    <row r="24231" spans="1:3">
      <c r="A24231" s="250">
        <v>56243</v>
      </c>
      <c r="B24231" s="74" t="s">
        <v>4418</v>
      </c>
      <c r="C24231" s="74" t="s">
        <v>434</v>
      </c>
    </row>
    <row r="24232" spans="1:3">
      <c r="A24232" s="250">
        <v>56244</v>
      </c>
      <c r="B24232" s="74" t="s">
        <v>1235</v>
      </c>
      <c r="C24232" s="74" t="s">
        <v>434</v>
      </c>
    </row>
    <row r="24233" spans="1:3">
      <c r="A24233" s="250">
        <v>56245</v>
      </c>
      <c r="B24233" s="74" t="s">
        <v>12611</v>
      </c>
      <c r="C24233" s="74" t="s">
        <v>434</v>
      </c>
    </row>
    <row r="24234" spans="1:3">
      <c r="A24234" s="250">
        <v>56248</v>
      </c>
      <c r="B24234" s="74" t="s">
        <v>4390</v>
      </c>
      <c r="C24234" s="74" t="s">
        <v>434</v>
      </c>
    </row>
    <row r="24235" spans="1:3">
      <c r="A24235" s="250">
        <v>56249</v>
      </c>
      <c r="B24235" s="74" t="s">
        <v>10289</v>
      </c>
      <c r="C24235" s="74" t="s">
        <v>434</v>
      </c>
    </row>
    <row r="24236" spans="1:3">
      <c r="A24236" s="250">
        <v>56251</v>
      </c>
      <c r="B24236" s="74" t="s">
        <v>12612</v>
      </c>
      <c r="C24236" s="74" t="s">
        <v>434</v>
      </c>
    </row>
    <row r="24237" spans="1:3">
      <c r="A24237" s="250">
        <v>56252</v>
      </c>
      <c r="B24237" s="74" t="s">
        <v>12613</v>
      </c>
      <c r="C24237" s="74" t="s">
        <v>434</v>
      </c>
    </row>
    <row r="24238" spans="1:3">
      <c r="A24238" s="250">
        <v>56253</v>
      </c>
      <c r="B24238" s="74" t="s">
        <v>12614</v>
      </c>
      <c r="C24238" s="74" t="s">
        <v>434</v>
      </c>
    </row>
    <row r="24239" spans="1:3">
      <c r="A24239" s="250">
        <v>56255</v>
      </c>
      <c r="B24239" s="74" t="s">
        <v>12615</v>
      </c>
      <c r="C24239" s="74" t="s">
        <v>434</v>
      </c>
    </row>
    <row r="24240" spans="1:3">
      <c r="A24240" s="250">
        <v>56256</v>
      </c>
      <c r="B24240" s="74" t="s">
        <v>1320</v>
      </c>
      <c r="C24240" s="74" t="s">
        <v>434</v>
      </c>
    </row>
    <row r="24241" spans="1:3">
      <c r="A24241" s="250">
        <v>56257</v>
      </c>
      <c r="B24241" s="74" t="s">
        <v>3385</v>
      </c>
      <c r="C24241" s="74" t="s">
        <v>434</v>
      </c>
    </row>
    <row r="24242" spans="1:3">
      <c r="A24242" s="250">
        <v>56258</v>
      </c>
      <c r="B24242" s="74" t="s">
        <v>5516</v>
      </c>
      <c r="C24242" s="74" t="s">
        <v>434</v>
      </c>
    </row>
    <row r="24243" spans="1:3">
      <c r="A24243" s="250">
        <v>56260</v>
      </c>
      <c r="B24243" s="74" t="s">
        <v>794</v>
      </c>
      <c r="C24243" s="74" t="s">
        <v>434</v>
      </c>
    </row>
    <row r="24244" spans="1:3">
      <c r="A24244" s="250">
        <v>56262</v>
      </c>
      <c r="B24244" s="74" t="s">
        <v>1256</v>
      </c>
      <c r="C24244" s="74" t="s">
        <v>434</v>
      </c>
    </row>
    <row r="24245" spans="1:3">
      <c r="A24245" s="250">
        <v>56263</v>
      </c>
      <c r="B24245" s="74" t="s">
        <v>4731</v>
      </c>
      <c r="C24245" s="74" t="s">
        <v>434</v>
      </c>
    </row>
    <row r="24246" spans="1:3">
      <c r="A24246" s="250">
        <v>56264</v>
      </c>
      <c r="B24246" s="74" t="s">
        <v>12616</v>
      </c>
      <c r="C24246" s="74" t="s">
        <v>434</v>
      </c>
    </row>
    <row r="24247" spans="1:3">
      <c r="A24247" s="250">
        <v>56265</v>
      </c>
      <c r="B24247" s="74" t="s">
        <v>12617</v>
      </c>
      <c r="C24247" s="74" t="s">
        <v>434</v>
      </c>
    </row>
    <row r="24248" spans="1:3">
      <c r="A24248" s="250">
        <v>56266</v>
      </c>
      <c r="B24248" s="74" t="s">
        <v>1918</v>
      </c>
      <c r="C24248" s="74" t="s">
        <v>434</v>
      </c>
    </row>
    <row r="24249" spans="1:3">
      <c r="A24249" s="250">
        <v>56267</v>
      </c>
      <c r="B24249" s="74" t="s">
        <v>2086</v>
      </c>
      <c r="C24249" s="74" t="s">
        <v>434</v>
      </c>
    </row>
    <row r="24250" spans="1:3">
      <c r="A24250" s="250">
        <v>56270</v>
      </c>
      <c r="B24250" s="74" t="s">
        <v>3794</v>
      </c>
      <c r="C24250" s="74" t="s">
        <v>434</v>
      </c>
    </row>
    <row r="24251" spans="1:3">
      <c r="A24251" s="250">
        <v>56271</v>
      </c>
      <c r="B24251" s="74" t="s">
        <v>8531</v>
      </c>
      <c r="C24251" s="74" t="s">
        <v>434</v>
      </c>
    </row>
    <row r="24252" spans="1:3">
      <c r="A24252" s="250">
        <v>56273</v>
      </c>
      <c r="B24252" s="74" t="s">
        <v>1201</v>
      </c>
      <c r="C24252" s="74" t="s">
        <v>434</v>
      </c>
    </row>
    <row r="24253" spans="1:3">
      <c r="A24253" s="250">
        <v>56274</v>
      </c>
      <c r="B24253" s="74" t="s">
        <v>7852</v>
      </c>
      <c r="C24253" s="74" t="s">
        <v>434</v>
      </c>
    </row>
    <row r="24254" spans="1:3">
      <c r="A24254" s="250">
        <v>56276</v>
      </c>
      <c r="B24254" s="74" t="s">
        <v>3931</v>
      </c>
      <c r="C24254" s="74" t="s">
        <v>434</v>
      </c>
    </row>
    <row r="24255" spans="1:3">
      <c r="A24255" s="250">
        <v>56277</v>
      </c>
      <c r="B24255" s="74" t="s">
        <v>7369</v>
      </c>
      <c r="C24255" s="74" t="s">
        <v>434</v>
      </c>
    </row>
    <row r="24256" spans="1:3">
      <c r="A24256" s="250">
        <v>56278</v>
      </c>
      <c r="B24256" s="74" t="s">
        <v>11078</v>
      </c>
      <c r="C24256" s="74" t="s">
        <v>434</v>
      </c>
    </row>
    <row r="24257" spans="1:3">
      <c r="A24257" s="250">
        <v>56279</v>
      </c>
      <c r="B24257" s="74" t="s">
        <v>12618</v>
      </c>
      <c r="C24257" s="74" t="s">
        <v>434</v>
      </c>
    </row>
    <row r="24258" spans="1:3">
      <c r="A24258" s="250">
        <v>56280</v>
      </c>
      <c r="B24258" s="74" t="s">
        <v>1404</v>
      </c>
      <c r="C24258" s="74" t="s">
        <v>434</v>
      </c>
    </row>
    <row r="24259" spans="1:3">
      <c r="A24259" s="250">
        <v>56281</v>
      </c>
      <c r="B24259" s="74" t="s">
        <v>12619</v>
      </c>
      <c r="C24259" s="74" t="s">
        <v>434</v>
      </c>
    </row>
    <row r="24260" spans="1:3">
      <c r="A24260" s="250">
        <v>56282</v>
      </c>
      <c r="B24260" s="74" t="s">
        <v>1170</v>
      </c>
      <c r="C24260" s="74" t="s">
        <v>434</v>
      </c>
    </row>
    <row r="24261" spans="1:3">
      <c r="A24261" s="250">
        <v>56283</v>
      </c>
      <c r="B24261" s="74" t="s">
        <v>12620</v>
      </c>
      <c r="C24261" s="74" t="s">
        <v>434</v>
      </c>
    </row>
    <row r="24262" spans="1:3">
      <c r="A24262" s="250">
        <v>56284</v>
      </c>
      <c r="B24262" s="74" t="s">
        <v>12621</v>
      </c>
      <c r="C24262" s="74" t="s">
        <v>434</v>
      </c>
    </row>
    <row r="24263" spans="1:3">
      <c r="A24263" s="250">
        <v>56285</v>
      </c>
      <c r="B24263" s="74" t="s">
        <v>12622</v>
      </c>
      <c r="C24263" s="74" t="s">
        <v>434</v>
      </c>
    </row>
    <row r="24264" spans="1:3">
      <c r="A24264" s="250">
        <v>56287</v>
      </c>
      <c r="B24264" s="74" t="s">
        <v>12623</v>
      </c>
      <c r="C24264" s="74" t="s">
        <v>434</v>
      </c>
    </row>
    <row r="24265" spans="1:3">
      <c r="A24265" s="250">
        <v>56288</v>
      </c>
      <c r="B24265" s="74" t="s">
        <v>12624</v>
      </c>
      <c r="C24265" s="74" t="s">
        <v>434</v>
      </c>
    </row>
    <row r="24266" spans="1:3">
      <c r="A24266" s="250">
        <v>56289</v>
      </c>
      <c r="B24266" s="74" t="s">
        <v>12625</v>
      </c>
      <c r="C24266" s="74" t="s">
        <v>434</v>
      </c>
    </row>
    <row r="24267" spans="1:3">
      <c r="A24267" s="250">
        <v>56291</v>
      </c>
      <c r="B24267" s="74" t="s">
        <v>1089</v>
      </c>
      <c r="C24267" s="74" t="s">
        <v>434</v>
      </c>
    </row>
    <row r="24268" spans="1:3">
      <c r="A24268" s="250">
        <v>56292</v>
      </c>
      <c r="B24268" s="74" t="s">
        <v>6308</v>
      </c>
      <c r="C24268" s="74" t="s">
        <v>434</v>
      </c>
    </row>
    <row r="24269" spans="1:3">
      <c r="A24269" s="250">
        <v>56293</v>
      </c>
      <c r="B24269" s="74" t="s">
        <v>8409</v>
      </c>
      <c r="C24269" s="74" t="s">
        <v>434</v>
      </c>
    </row>
    <row r="24270" spans="1:3">
      <c r="A24270" s="250">
        <v>56294</v>
      </c>
      <c r="B24270" s="74" t="s">
        <v>12626</v>
      </c>
      <c r="C24270" s="74" t="s">
        <v>434</v>
      </c>
    </row>
    <row r="24271" spans="1:3">
      <c r="A24271" s="250">
        <v>56295</v>
      </c>
      <c r="B24271" s="74" t="s">
        <v>8675</v>
      </c>
      <c r="C24271" s="74" t="s">
        <v>434</v>
      </c>
    </row>
    <row r="24272" spans="1:3">
      <c r="A24272" s="250">
        <v>56296</v>
      </c>
      <c r="B24272" s="74" t="s">
        <v>12627</v>
      </c>
      <c r="C24272" s="74" t="s">
        <v>434</v>
      </c>
    </row>
    <row r="24273" spans="1:3">
      <c r="A24273" s="250">
        <v>56297</v>
      </c>
      <c r="B24273" s="74" t="s">
        <v>12628</v>
      </c>
      <c r="C24273" s="74" t="s">
        <v>434</v>
      </c>
    </row>
    <row r="24274" spans="1:3">
      <c r="A24274" s="250">
        <v>56301</v>
      </c>
      <c r="B24274" s="74" t="s">
        <v>8605</v>
      </c>
      <c r="C24274" s="74" t="s">
        <v>434</v>
      </c>
    </row>
    <row r="24275" spans="1:3">
      <c r="A24275" s="250">
        <v>56302</v>
      </c>
      <c r="B24275" s="74" t="s">
        <v>8605</v>
      </c>
      <c r="C24275" s="74" t="s">
        <v>434</v>
      </c>
    </row>
    <row r="24276" spans="1:3">
      <c r="A24276" s="250">
        <v>56303</v>
      </c>
      <c r="B24276" s="74" t="s">
        <v>8605</v>
      </c>
      <c r="C24276" s="74" t="s">
        <v>434</v>
      </c>
    </row>
    <row r="24277" spans="1:3">
      <c r="A24277" s="250">
        <v>56304</v>
      </c>
      <c r="B24277" s="74" t="s">
        <v>8605</v>
      </c>
      <c r="C24277" s="74" t="s">
        <v>434</v>
      </c>
    </row>
    <row r="24278" spans="1:3">
      <c r="A24278" s="250">
        <v>56307</v>
      </c>
      <c r="B24278" s="74" t="s">
        <v>1896</v>
      </c>
      <c r="C24278" s="74" t="s">
        <v>434</v>
      </c>
    </row>
    <row r="24279" spans="1:3">
      <c r="A24279" s="250">
        <v>56308</v>
      </c>
      <c r="B24279" s="74" t="s">
        <v>4530</v>
      </c>
      <c r="C24279" s="74" t="s">
        <v>434</v>
      </c>
    </row>
    <row r="24280" spans="1:3">
      <c r="A24280" s="250">
        <v>56309</v>
      </c>
      <c r="B24280" s="74" t="s">
        <v>702</v>
      </c>
      <c r="C24280" s="74" t="s">
        <v>434</v>
      </c>
    </row>
    <row r="24281" spans="1:3">
      <c r="A24281" s="250">
        <v>56310</v>
      </c>
      <c r="B24281" s="74" t="s">
        <v>935</v>
      </c>
      <c r="C24281" s="74" t="s">
        <v>434</v>
      </c>
    </row>
    <row r="24282" spans="1:3">
      <c r="A24282" s="250">
        <v>56311</v>
      </c>
      <c r="B24282" s="74" t="s">
        <v>12629</v>
      </c>
      <c r="C24282" s="74" t="s">
        <v>434</v>
      </c>
    </row>
    <row r="24283" spans="1:3">
      <c r="A24283" s="250">
        <v>56312</v>
      </c>
      <c r="B24283" s="74" t="s">
        <v>1680</v>
      </c>
      <c r="C24283" s="74" t="s">
        <v>434</v>
      </c>
    </row>
    <row r="24284" spans="1:3">
      <c r="A24284" s="250">
        <v>56313</v>
      </c>
      <c r="B24284" s="74" t="s">
        <v>12630</v>
      </c>
      <c r="C24284" s="74" t="s">
        <v>434</v>
      </c>
    </row>
    <row r="24285" spans="1:3">
      <c r="A24285" s="250">
        <v>56314</v>
      </c>
      <c r="B24285" s="74" t="s">
        <v>12631</v>
      </c>
      <c r="C24285" s="74" t="s">
        <v>434</v>
      </c>
    </row>
    <row r="24286" spans="1:3">
      <c r="A24286" s="250">
        <v>56315</v>
      </c>
      <c r="B24286" s="74" t="s">
        <v>1864</v>
      </c>
      <c r="C24286" s="74" t="s">
        <v>434</v>
      </c>
    </row>
    <row r="24287" spans="1:3">
      <c r="A24287" s="250">
        <v>56316</v>
      </c>
      <c r="B24287" s="74" t="s">
        <v>12632</v>
      </c>
      <c r="C24287" s="74" t="s">
        <v>434</v>
      </c>
    </row>
    <row r="24288" spans="1:3">
      <c r="A24288" s="250">
        <v>56317</v>
      </c>
      <c r="B24288" s="74" t="s">
        <v>12633</v>
      </c>
      <c r="C24288" s="74" t="s">
        <v>434</v>
      </c>
    </row>
    <row r="24289" spans="1:3">
      <c r="A24289" s="250">
        <v>56318</v>
      </c>
      <c r="B24289" s="74" t="s">
        <v>12634</v>
      </c>
      <c r="C24289" s="74" t="s">
        <v>434</v>
      </c>
    </row>
    <row r="24290" spans="1:3">
      <c r="A24290" s="250">
        <v>56319</v>
      </c>
      <c r="B24290" s="74" t="s">
        <v>12635</v>
      </c>
      <c r="C24290" s="74" t="s">
        <v>434</v>
      </c>
    </row>
    <row r="24291" spans="1:3">
      <c r="A24291" s="250">
        <v>56320</v>
      </c>
      <c r="B24291" s="74" t="s">
        <v>2623</v>
      </c>
      <c r="C24291" s="74" t="s">
        <v>434</v>
      </c>
    </row>
    <row r="24292" spans="1:3">
      <c r="A24292" s="250">
        <v>56321</v>
      </c>
      <c r="B24292" s="74" t="s">
        <v>5413</v>
      </c>
      <c r="C24292" s="74" t="s">
        <v>434</v>
      </c>
    </row>
    <row r="24293" spans="1:3">
      <c r="A24293" s="250">
        <v>56323</v>
      </c>
      <c r="B24293" s="74" t="s">
        <v>12636</v>
      </c>
      <c r="C24293" s="74" t="s">
        <v>434</v>
      </c>
    </row>
    <row r="24294" spans="1:3">
      <c r="A24294" s="250">
        <v>56324</v>
      </c>
      <c r="B24294" s="74" t="s">
        <v>643</v>
      </c>
      <c r="C24294" s="74" t="s">
        <v>434</v>
      </c>
    </row>
    <row r="24295" spans="1:3">
      <c r="A24295" s="250">
        <v>56325</v>
      </c>
      <c r="B24295" s="74" t="s">
        <v>12637</v>
      </c>
      <c r="C24295" s="74" t="s">
        <v>434</v>
      </c>
    </row>
    <row r="24296" spans="1:3">
      <c r="A24296" s="250">
        <v>56326</v>
      </c>
      <c r="B24296" s="74" t="s">
        <v>10926</v>
      </c>
      <c r="C24296" s="74" t="s">
        <v>434</v>
      </c>
    </row>
    <row r="24297" spans="1:3">
      <c r="A24297" s="250">
        <v>56327</v>
      </c>
      <c r="B24297" s="74" t="s">
        <v>11095</v>
      </c>
      <c r="C24297" s="74" t="s">
        <v>434</v>
      </c>
    </row>
    <row r="24298" spans="1:3">
      <c r="A24298" s="250">
        <v>56328</v>
      </c>
      <c r="B24298" s="74" t="s">
        <v>12638</v>
      </c>
      <c r="C24298" s="74" t="s">
        <v>434</v>
      </c>
    </row>
    <row r="24299" spans="1:3">
      <c r="A24299" s="250">
        <v>56329</v>
      </c>
      <c r="B24299" s="74" t="s">
        <v>8904</v>
      </c>
      <c r="C24299" s="74" t="s">
        <v>434</v>
      </c>
    </row>
    <row r="24300" spans="1:3">
      <c r="A24300" s="250">
        <v>56330</v>
      </c>
      <c r="B24300" s="74" t="s">
        <v>12639</v>
      </c>
      <c r="C24300" s="74" t="s">
        <v>434</v>
      </c>
    </row>
    <row r="24301" spans="1:3">
      <c r="A24301" s="250">
        <v>56331</v>
      </c>
      <c r="B24301" s="74" t="s">
        <v>1383</v>
      </c>
      <c r="C24301" s="74" t="s">
        <v>434</v>
      </c>
    </row>
    <row r="24302" spans="1:3">
      <c r="A24302" s="250">
        <v>56332</v>
      </c>
      <c r="B24302" s="74" t="s">
        <v>2125</v>
      </c>
      <c r="C24302" s="74" t="s">
        <v>434</v>
      </c>
    </row>
    <row r="24303" spans="1:3">
      <c r="A24303" s="250">
        <v>56333</v>
      </c>
      <c r="B24303" s="74" t="s">
        <v>1931</v>
      </c>
      <c r="C24303" s="74" t="s">
        <v>434</v>
      </c>
    </row>
    <row r="24304" spans="1:3">
      <c r="A24304" s="250">
        <v>56334</v>
      </c>
      <c r="B24304" s="74" t="s">
        <v>2187</v>
      </c>
      <c r="C24304" s="74" t="s">
        <v>434</v>
      </c>
    </row>
    <row r="24305" spans="1:3">
      <c r="A24305" s="250">
        <v>56335</v>
      </c>
      <c r="B24305" s="74" t="s">
        <v>12640</v>
      </c>
      <c r="C24305" s="74" t="s">
        <v>434</v>
      </c>
    </row>
    <row r="24306" spans="1:3">
      <c r="A24306" s="250">
        <v>56336</v>
      </c>
      <c r="B24306" s="74" t="s">
        <v>12641</v>
      </c>
      <c r="C24306" s="74" t="s">
        <v>434</v>
      </c>
    </row>
    <row r="24307" spans="1:3">
      <c r="A24307" s="250">
        <v>56338</v>
      </c>
      <c r="B24307" s="74" t="s">
        <v>11364</v>
      </c>
      <c r="C24307" s="74" t="s">
        <v>434</v>
      </c>
    </row>
    <row r="24308" spans="1:3">
      <c r="A24308" s="250">
        <v>56339</v>
      </c>
      <c r="B24308" s="74" t="s">
        <v>7357</v>
      </c>
      <c r="C24308" s="74" t="s">
        <v>434</v>
      </c>
    </row>
    <row r="24309" spans="1:3">
      <c r="A24309" s="250">
        <v>56340</v>
      </c>
      <c r="B24309" s="74" t="s">
        <v>12642</v>
      </c>
      <c r="C24309" s="74" t="s">
        <v>434</v>
      </c>
    </row>
    <row r="24310" spans="1:3">
      <c r="A24310" s="250">
        <v>56341</v>
      </c>
      <c r="B24310" s="74" t="s">
        <v>12643</v>
      </c>
      <c r="C24310" s="74" t="s">
        <v>434</v>
      </c>
    </row>
    <row r="24311" spans="1:3">
      <c r="A24311" s="250">
        <v>56342</v>
      </c>
      <c r="B24311" s="74" t="s">
        <v>12644</v>
      </c>
      <c r="C24311" s="74" t="s">
        <v>434</v>
      </c>
    </row>
    <row r="24312" spans="1:3">
      <c r="A24312" s="250">
        <v>56343</v>
      </c>
      <c r="B24312" s="74" t="s">
        <v>5644</v>
      </c>
      <c r="C24312" s="74" t="s">
        <v>434</v>
      </c>
    </row>
    <row r="24313" spans="1:3">
      <c r="A24313" s="250">
        <v>56344</v>
      </c>
      <c r="B24313" s="74" t="s">
        <v>12645</v>
      </c>
      <c r="C24313" s="74" t="s">
        <v>434</v>
      </c>
    </row>
    <row r="24314" spans="1:3">
      <c r="A24314" s="250">
        <v>56345</v>
      </c>
      <c r="B24314" s="74" t="s">
        <v>2193</v>
      </c>
      <c r="C24314" s="74" t="s">
        <v>434</v>
      </c>
    </row>
    <row r="24315" spans="1:3">
      <c r="A24315" s="250">
        <v>56347</v>
      </c>
      <c r="B24315" s="74" t="s">
        <v>12646</v>
      </c>
      <c r="C24315" s="74" t="s">
        <v>434</v>
      </c>
    </row>
    <row r="24316" spans="1:3">
      <c r="A24316" s="250">
        <v>56349</v>
      </c>
      <c r="B24316" s="74" t="s">
        <v>6434</v>
      </c>
      <c r="C24316" s="74" t="s">
        <v>434</v>
      </c>
    </row>
    <row r="24317" spans="1:3">
      <c r="A24317" s="250">
        <v>56350</v>
      </c>
      <c r="B24317" s="74" t="s">
        <v>12647</v>
      </c>
      <c r="C24317" s="74" t="s">
        <v>434</v>
      </c>
    </row>
    <row r="24318" spans="1:3">
      <c r="A24318" s="250">
        <v>56352</v>
      </c>
      <c r="B24318" s="74" t="s">
        <v>924</v>
      </c>
      <c r="C24318" s="74" t="s">
        <v>434</v>
      </c>
    </row>
    <row r="24319" spans="1:3">
      <c r="A24319" s="250">
        <v>56353</v>
      </c>
      <c r="B24319" s="74" t="s">
        <v>12648</v>
      </c>
      <c r="C24319" s="74" t="s">
        <v>434</v>
      </c>
    </row>
    <row r="24320" spans="1:3">
      <c r="A24320" s="250">
        <v>56354</v>
      </c>
      <c r="B24320" s="74" t="s">
        <v>12649</v>
      </c>
      <c r="C24320" s="74" t="s">
        <v>434</v>
      </c>
    </row>
    <row r="24321" spans="1:3">
      <c r="A24321" s="250">
        <v>56355</v>
      </c>
      <c r="B24321" s="74" t="s">
        <v>1238</v>
      </c>
      <c r="C24321" s="74" t="s">
        <v>434</v>
      </c>
    </row>
    <row r="24322" spans="1:3">
      <c r="A24322" s="250">
        <v>56356</v>
      </c>
      <c r="B24322" s="74" t="s">
        <v>12650</v>
      </c>
      <c r="C24322" s="74" t="s">
        <v>434</v>
      </c>
    </row>
    <row r="24323" spans="1:3">
      <c r="A24323" s="250">
        <v>56357</v>
      </c>
      <c r="B24323" s="74" t="s">
        <v>11040</v>
      </c>
      <c r="C24323" s="74" t="s">
        <v>434</v>
      </c>
    </row>
    <row r="24324" spans="1:3">
      <c r="A24324" s="250">
        <v>56358</v>
      </c>
      <c r="B24324" s="74" t="s">
        <v>12651</v>
      </c>
      <c r="C24324" s="74" t="s">
        <v>434</v>
      </c>
    </row>
    <row r="24325" spans="1:3">
      <c r="A24325" s="250">
        <v>56359</v>
      </c>
      <c r="B24325" s="74" t="s">
        <v>12652</v>
      </c>
      <c r="C24325" s="74" t="s">
        <v>434</v>
      </c>
    </row>
    <row r="24326" spans="1:3">
      <c r="A24326" s="250">
        <v>56360</v>
      </c>
      <c r="B24326" s="74" t="s">
        <v>12653</v>
      </c>
      <c r="C24326" s="74" t="s">
        <v>434</v>
      </c>
    </row>
    <row r="24327" spans="1:3">
      <c r="A24327" s="250">
        <v>56361</v>
      </c>
      <c r="B24327" s="74" t="s">
        <v>12654</v>
      </c>
      <c r="C24327" s="74" t="s">
        <v>434</v>
      </c>
    </row>
    <row r="24328" spans="1:3">
      <c r="A24328" s="250">
        <v>56362</v>
      </c>
      <c r="B24328" s="74" t="s">
        <v>6531</v>
      </c>
      <c r="C24328" s="74" t="s">
        <v>434</v>
      </c>
    </row>
    <row r="24329" spans="1:3">
      <c r="A24329" s="250">
        <v>56363</v>
      </c>
      <c r="B24329" s="74" t="s">
        <v>12655</v>
      </c>
      <c r="C24329" s="74" t="s">
        <v>434</v>
      </c>
    </row>
    <row r="24330" spans="1:3">
      <c r="A24330" s="250">
        <v>56364</v>
      </c>
      <c r="B24330" s="74" t="s">
        <v>12656</v>
      </c>
      <c r="C24330" s="74" t="s">
        <v>434</v>
      </c>
    </row>
    <row r="24331" spans="1:3">
      <c r="A24331" s="250">
        <v>56367</v>
      </c>
      <c r="B24331" s="74" t="s">
        <v>6246</v>
      </c>
      <c r="C24331" s="74" t="s">
        <v>434</v>
      </c>
    </row>
    <row r="24332" spans="1:3">
      <c r="A24332" s="250">
        <v>56368</v>
      </c>
      <c r="B24332" s="74" t="s">
        <v>658</v>
      </c>
      <c r="C24332" s="74" t="s">
        <v>434</v>
      </c>
    </row>
    <row r="24333" spans="1:3">
      <c r="A24333" s="250">
        <v>56369</v>
      </c>
      <c r="B24333" s="74" t="s">
        <v>1128</v>
      </c>
      <c r="C24333" s="74" t="s">
        <v>434</v>
      </c>
    </row>
    <row r="24334" spans="1:3">
      <c r="A24334" s="250">
        <v>56371</v>
      </c>
      <c r="B24334" s="74" t="s">
        <v>3202</v>
      </c>
      <c r="C24334" s="74" t="s">
        <v>434</v>
      </c>
    </row>
    <row r="24335" spans="1:3">
      <c r="A24335" s="250">
        <v>56372</v>
      </c>
      <c r="B24335" s="74" t="s">
        <v>8605</v>
      </c>
      <c r="C24335" s="74" t="s">
        <v>434</v>
      </c>
    </row>
    <row r="24336" spans="1:3">
      <c r="A24336" s="250">
        <v>56373</v>
      </c>
      <c r="B24336" s="74" t="s">
        <v>9805</v>
      </c>
      <c r="C24336" s="74" t="s">
        <v>434</v>
      </c>
    </row>
    <row r="24337" spans="1:3">
      <c r="A24337" s="250">
        <v>56374</v>
      </c>
      <c r="B24337" s="74" t="s">
        <v>9258</v>
      </c>
      <c r="C24337" s="74" t="s">
        <v>434</v>
      </c>
    </row>
    <row r="24338" spans="1:3">
      <c r="A24338" s="250">
        <v>56375</v>
      </c>
      <c r="B24338" s="74" t="s">
        <v>7720</v>
      </c>
      <c r="C24338" s="74" t="s">
        <v>434</v>
      </c>
    </row>
    <row r="24339" spans="1:3">
      <c r="A24339" s="250">
        <v>56376</v>
      </c>
      <c r="B24339" s="74" t="s">
        <v>12657</v>
      </c>
      <c r="C24339" s="74" t="s">
        <v>434</v>
      </c>
    </row>
    <row r="24340" spans="1:3">
      <c r="A24340" s="250">
        <v>56377</v>
      </c>
      <c r="B24340" s="74" t="s">
        <v>12658</v>
      </c>
      <c r="C24340" s="74" t="s">
        <v>434</v>
      </c>
    </row>
    <row r="24341" spans="1:3">
      <c r="A24341" s="250">
        <v>56378</v>
      </c>
      <c r="B24341" s="74" t="s">
        <v>12659</v>
      </c>
      <c r="C24341" s="74" t="s">
        <v>434</v>
      </c>
    </row>
    <row r="24342" spans="1:3">
      <c r="A24342" s="250">
        <v>56379</v>
      </c>
      <c r="B24342" s="74" t="s">
        <v>12660</v>
      </c>
      <c r="C24342" s="74" t="s">
        <v>434</v>
      </c>
    </row>
    <row r="24343" spans="1:3">
      <c r="A24343" s="250">
        <v>56381</v>
      </c>
      <c r="B24343" s="74" t="s">
        <v>12661</v>
      </c>
      <c r="C24343" s="74" t="s">
        <v>434</v>
      </c>
    </row>
    <row r="24344" spans="1:3">
      <c r="A24344" s="250">
        <v>56382</v>
      </c>
      <c r="B24344" s="74" t="s">
        <v>12662</v>
      </c>
      <c r="C24344" s="74" t="s">
        <v>434</v>
      </c>
    </row>
    <row r="24345" spans="1:3">
      <c r="A24345" s="250">
        <v>56384</v>
      </c>
      <c r="B24345" s="74" t="s">
        <v>12663</v>
      </c>
      <c r="C24345" s="74" t="s">
        <v>434</v>
      </c>
    </row>
    <row r="24346" spans="1:3">
      <c r="A24346" s="250">
        <v>56385</v>
      </c>
      <c r="B24346" s="74" t="s">
        <v>12664</v>
      </c>
      <c r="C24346" s="74" t="s">
        <v>434</v>
      </c>
    </row>
    <row r="24347" spans="1:3">
      <c r="A24347" s="250">
        <v>56386</v>
      </c>
      <c r="B24347" s="74" t="s">
        <v>12665</v>
      </c>
      <c r="C24347" s="74" t="s">
        <v>434</v>
      </c>
    </row>
    <row r="24348" spans="1:3">
      <c r="A24348" s="250">
        <v>56387</v>
      </c>
      <c r="B24348" s="74" t="s">
        <v>12666</v>
      </c>
      <c r="C24348" s="74" t="s">
        <v>434</v>
      </c>
    </row>
    <row r="24349" spans="1:3">
      <c r="A24349" s="250">
        <v>56388</v>
      </c>
      <c r="B24349" s="74" t="s">
        <v>12666</v>
      </c>
      <c r="C24349" s="74" t="s">
        <v>434</v>
      </c>
    </row>
    <row r="24350" spans="1:3">
      <c r="A24350" s="250">
        <v>56389</v>
      </c>
      <c r="B24350" s="74" t="s">
        <v>6962</v>
      </c>
      <c r="C24350" s="74" t="s">
        <v>434</v>
      </c>
    </row>
    <row r="24351" spans="1:3">
      <c r="A24351" s="250">
        <v>56393</v>
      </c>
      <c r="B24351" s="74" t="s">
        <v>8605</v>
      </c>
      <c r="C24351" s="74" t="s">
        <v>434</v>
      </c>
    </row>
    <row r="24352" spans="1:3">
      <c r="A24352" s="250">
        <v>56395</v>
      </c>
      <c r="B24352" s="74" t="s">
        <v>8605</v>
      </c>
      <c r="C24352" s="74" t="s">
        <v>434</v>
      </c>
    </row>
    <row r="24353" spans="1:3">
      <c r="A24353" s="250">
        <v>56396</v>
      </c>
      <c r="B24353" s="74" t="s">
        <v>8605</v>
      </c>
      <c r="C24353" s="74" t="s">
        <v>434</v>
      </c>
    </row>
    <row r="24354" spans="1:3">
      <c r="A24354" s="250">
        <v>56397</v>
      </c>
      <c r="B24354" s="74" t="s">
        <v>8605</v>
      </c>
      <c r="C24354" s="74" t="s">
        <v>434</v>
      </c>
    </row>
    <row r="24355" spans="1:3">
      <c r="A24355" s="250">
        <v>56398</v>
      </c>
      <c r="B24355" s="74" t="s">
        <v>8605</v>
      </c>
      <c r="C24355" s="74" t="s">
        <v>434</v>
      </c>
    </row>
    <row r="24356" spans="1:3">
      <c r="A24356" s="250">
        <v>56399</v>
      </c>
      <c r="B24356" s="74" t="s">
        <v>8605</v>
      </c>
      <c r="C24356" s="74" t="s">
        <v>434</v>
      </c>
    </row>
    <row r="24357" spans="1:3">
      <c r="A24357" s="250">
        <v>56401</v>
      </c>
      <c r="B24357" s="74" t="s">
        <v>12667</v>
      </c>
      <c r="C24357" s="74" t="s">
        <v>434</v>
      </c>
    </row>
    <row r="24358" spans="1:3">
      <c r="A24358" s="250">
        <v>56425</v>
      </c>
      <c r="B24358" s="74" t="s">
        <v>6978</v>
      </c>
      <c r="C24358" s="74" t="s">
        <v>434</v>
      </c>
    </row>
    <row r="24359" spans="1:3">
      <c r="A24359" s="250">
        <v>56430</v>
      </c>
      <c r="B24359" s="74" t="s">
        <v>12668</v>
      </c>
      <c r="C24359" s="74" t="s">
        <v>434</v>
      </c>
    </row>
    <row r="24360" spans="1:3">
      <c r="A24360" s="250">
        <v>56431</v>
      </c>
      <c r="B24360" s="74" t="s">
        <v>12669</v>
      </c>
      <c r="C24360" s="74" t="s">
        <v>434</v>
      </c>
    </row>
    <row r="24361" spans="1:3">
      <c r="A24361" s="250">
        <v>56433</v>
      </c>
      <c r="B24361" s="74" t="s">
        <v>12670</v>
      </c>
      <c r="C24361" s="74" t="s">
        <v>434</v>
      </c>
    </row>
    <row r="24362" spans="1:3">
      <c r="A24362" s="250">
        <v>56434</v>
      </c>
      <c r="B24362" s="74" t="s">
        <v>12671</v>
      </c>
      <c r="C24362" s="74" t="s">
        <v>434</v>
      </c>
    </row>
    <row r="24363" spans="1:3">
      <c r="A24363" s="250">
        <v>56435</v>
      </c>
      <c r="B24363" s="74" t="s">
        <v>12672</v>
      </c>
      <c r="C24363" s="74" t="s">
        <v>434</v>
      </c>
    </row>
    <row r="24364" spans="1:3">
      <c r="A24364" s="250">
        <v>56436</v>
      </c>
      <c r="B24364" s="74" t="s">
        <v>5550</v>
      </c>
      <c r="C24364" s="74" t="s">
        <v>434</v>
      </c>
    </row>
    <row r="24365" spans="1:3">
      <c r="A24365" s="250">
        <v>56437</v>
      </c>
      <c r="B24365" s="74" t="s">
        <v>12673</v>
      </c>
      <c r="C24365" s="74" t="s">
        <v>434</v>
      </c>
    </row>
    <row r="24366" spans="1:3">
      <c r="A24366" s="250">
        <v>56438</v>
      </c>
      <c r="B24366" s="74" t="s">
        <v>12674</v>
      </c>
      <c r="C24366" s="74" t="s">
        <v>434</v>
      </c>
    </row>
    <row r="24367" spans="1:3">
      <c r="A24367" s="250">
        <v>56440</v>
      </c>
      <c r="B24367" s="74" t="s">
        <v>12675</v>
      </c>
      <c r="C24367" s="74" t="s">
        <v>434</v>
      </c>
    </row>
    <row r="24368" spans="1:3">
      <c r="A24368" s="250">
        <v>56441</v>
      </c>
      <c r="B24368" s="74" t="s">
        <v>4588</v>
      </c>
      <c r="C24368" s="74" t="s">
        <v>434</v>
      </c>
    </row>
    <row r="24369" spans="1:3">
      <c r="A24369" s="250">
        <v>56442</v>
      </c>
      <c r="B24369" s="74" t="s">
        <v>12676</v>
      </c>
      <c r="C24369" s="74" t="s">
        <v>434</v>
      </c>
    </row>
    <row r="24370" spans="1:3">
      <c r="A24370" s="250">
        <v>56443</v>
      </c>
      <c r="B24370" s="74" t="s">
        <v>1552</v>
      </c>
      <c r="C24370" s="74" t="s">
        <v>434</v>
      </c>
    </row>
    <row r="24371" spans="1:3">
      <c r="A24371" s="250">
        <v>56444</v>
      </c>
      <c r="B24371" s="74" t="s">
        <v>12677</v>
      </c>
      <c r="C24371" s="74" t="s">
        <v>434</v>
      </c>
    </row>
    <row r="24372" spans="1:3">
      <c r="A24372" s="250">
        <v>56446</v>
      </c>
      <c r="B24372" s="74" t="s">
        <v>12678</v>
      </c>
      <c r="C24372" s="74" t="s">
        <v>434</v>
      </c>
    </row>
    <row r="24373" spans="1:3">
      <c r="A24373" s="250">
        <v>56447</v>
      </c>
      <c r="B24373" s="74" t="s">
        <v>12679</v>
      </c>
      <c r="C24373" s="74" t="s">
        <v>434</v>
      </c>
    </row>
    <row r="24374" spans="1:3">
      <c r="A24374" s="250">
        <v>56448</v>
      </c>
      <c r="B24374" s="74" t="s">
        <v>12680</v>
      </c>
      <c r="C24374" s="74" t="s">
        <v>434</v>
      </c>
    </row>
    <row r="24375" spans="1:3">
      <c r="A24375" s="250">
        <v>56449</v>
      </c>
      <c r="B24375" s="74" t="s">
        <v>12681</v>
      </c>
      <c r="C24375" s="74" t="s">
        <v>434</v>
      </c>
    </row>
    <row r="24376" spans="1:3">
      <c r="A24376" s="250">
        <v>56450</v>
      </c>
      <c r="B24376" s="74" t="s">
        <v>2630</v>
      </c>
      <c r="C24376" s="74" t="s">
        <v>434</v>
      </c>
    </row>
    <row r="24377" spans="1:3">
      <c r="A24377" s="250">
        <v>56452</v>
      </c>
      <c r="B24377" s="74" t="s">
        <v>2218</v>
      </c>
      <c r="C24377" s="74" t="s">
        <v>434</v>
      </c>
    </row>
    <row r="24378" spans="1:3">
      <c r="A24378" s="250">
        <v>56453</v>
      </c>
      <c r="B24378" s="74" t="s">
        <v>2190</v>
      </c>
      <c r="C24378" s="74" t="s">
        <v>434</v>
      </c>
    </row>
    <row r="24379" spans="1:3">
      <c r="A24379" s="250">
        <v>56455</v>
      </c>
      <c r="B24379" s="74" t="s">
        <v>10534</v>
      </c>
      <c r="C24379" s="74" t="s">
        <v>434</v>
      </c>
    </row>
    <row r="24380" spans="1:3">
      <c r="A24380" s="250">
        <v>56456</v>
      </c>
      <c r="B24380" s="74" t="s">
        <v>9821</v>
      </c>
      <c r="C24380" s="74" t="s">
        <v>434</v>
      </c>
    </row>
    <row r="24381" spans="1:3">
      <c r="A24381" s="250">
        <v>56458</v>
      </c>
      <c r="B24381" s="74" t="s">
        <v>3243</v>
      </c>
      <c r="C24381" s="74" t="s">
        <v>434</v>
      </c>
    </row>
    <row r="24382" spans="1:3">
      <c r="A24382" s="250">
        <v>56459</v>
      </c>
      <c r="B24382" s="74" t="s">
        <v>12682</v>
      </c>
      <c r="C24382" s="74" t="s">
        <v>434</v>
      </c>
    </row>
    <row r="24383" spans="1:3">
      <c r="A24383" s="250">
        <v>56461</v>
      </c>
      <c r="B24383" s="74" t="s">
        <v>5211</v>
      </c>
      <c r="C24383" s="74" t="s">
        <v>434</v>
      </c>
    </row>
    <row r="24384" spans="1:3">
      <c r="A24384" s="250">
        <v>56464</v>
      </c>
      <c r="B24384" s="74" t="s">
        <v>12683</v>
      </c>
      <c r="C24384" s="74" t="s">
        <v>434</v>
      </c>
    </row>
    <row r="24385" spans="1:3">
      <c r="A24385" s="250">
        <v>56465</v>
      </c>
      <c r="B24385" s="74" t="s">
        <v>5873</v>
      </c>
      <c r="C24385" s="74" t="s">
        <v>434</v>
      </c>
    </row>
    <row r="24386" spans="1:3">
      <c r="A24386" s="250">
        <v>56466</v>
      </c>
      <c r="B24386" s="74" t="s">
        <v>12684</v>
      </c>
      <c r="C24386" s="74" t="s">
        <v>434</v>
      </c>
    </row>
    <row r="24387" spans="1:3">
      <c r="A24387" s="250">
        <v>56467</v>
      </c>
      <c r="B24387" s="74" t="s">
        <v>12685</v>
      </c>
      <c r="C24387" s="74" t="s">
        <v>434</v>
      </c>
    </row>
    <row r="24388" spans="1:3">
      <c r="A24388" s="250">
        <v>56468</v>
      </c>
      <c r="B24388" s="74" t="s">
        <v>12686</v>
      </c>
      <c r="C24388" s="74" t="s">
        <v>434</v>
      </c>
    </row>
    <row r="24389" spans="1:3">
      <c r="A24389" s="250">
        <v>56469</v>
      </c>
      <c r="B24389" s="74" t="s">
        <v>12687</v>
      </c>
      <c r="C24389" s="74" t="s">
        <v>434</v>
      </c>
    </row>
    <row r="24390" spans="1:3">
      <c r="A24390" s="250">
        <v>56470</v>
      </c>
      <c r="B24390" s="74" t="s">
        <v>12688</v>
      </c>
      <c r="C24390" s="74" t="s">
        <v>434</v>
      </c>
    </row>
    <row r="24391" spans="1:3">
      <c r="A24391" s="250">
        <v>56472</v>
      </c>
      <c r="B24391" s="74" t="s">
        <v>12689</v>
      </c>
      <c r="C24391" s="74" t="s">
        <v>434</v>
      </c>
    </row>
    <row r="24392" spans="1:3">
      <c r="A24392" s="250">
        <v>56473</v>
      </c>
      <c r="B24392" s="74" t="s">
        <v>12690</v>
      </c>
      <c r="C24392" s="74" t="s">
        <v>434</v>
      </c>
    </row>
    <row r="24393" spans="1:3">
      <c r="A24393" s="250">
        <v>56474</v>
      </c>
      <c r="B24393" s="74" t="s">
        <v>12341</v>
      </c>
      <c r="C24393" s="74" t="s">
        <v>434</v>
      </c>
    </row>
    <row r="24394" spans="1:3">
      <c r="A24394" s="250">
        <v>56475</v>
      </c>
      <c r="B24394" s="74" t="s">
        <v>11543</v>
      </c>
      <c r="C24394" s="74" t="s">
        <v>434</v>
      </c>
    </row>
    <row r="24395" spans="1:3">
      <c r="A24395" s="250">
        <v>56477</v>
      </c>
      <c r="B24395" s="74" t="s">
        <v>12691</v>
      </c>
      <c r="C24395" s="74" t="s">
        <v>434</v>
      </c>
    </row>
    <row r="24396" spans="1:3">
      <c r="A24396" s="250">
        <v>56478</v>
      </c>
      <c r="B24396" s="74" t="s">
        <v>12692</v>
      </c>
      <c r="C24396" s="74" t="s">
        <v>434</v>
      </c>
    </row>
    <row r="24397" spans="1:3">
      <c r="A24397" s="250">
        <v>56479</v>
      </c>
      <c r="B24397" s="74" t="s">
        <v>12693</v>
      </c>
      <c r="C24397" s="74" t="s">
        <v>434</v>
      </c>
    </row>
    <row r="24398" spans="1:3">
      <c r="A24398" s="250">
        <v>56481</v>
      </c>
      <c r="B24398" s="74" t="s">
        <v>12694</v>
      </c>
      <c r="C24398" s="74" t="s">
        <v>434</v>
      </c>
    </row>
    <row r="24399" spans="1:3">
      <c r="A24399" s="250">
        <v>56482</v>
      </c>
      <c r="B24399" s="74" t="s">
        <v>11833</v>
      </c>
      <c r="C24399" s="74" t="s">
        <v>434</v>
      </c>
    </row>
    <row r="24400" spans="1:3">
      <c r="A24400" s="250">
        <v>56484</v>
      </c>
      <c r="B24400" s="74" t="s">
        <v>6885</v>
      </c>
      <c r="C24400" s="74" t="s">
        <v>434</v>
      </c>
    </row>
    <row r="24401" spans="1:3">
      <c r="A24401" s="250">
        <v>56501</v>
      </c>
      <c r="B24401" s="74" t="s">
        <v>12695</v>
      </c>
      <c r="C24401" s="74" t="s">
        <v>434</v>
      </c>
    </row>
    <row r="24402" spans="1:3">
      <c r="A24402" s="250">
        <v>56502</v>
      </c>
      <c r="B24402" s="74" t="s">
        <v>12695</v>
      </c>
      <c r="C24402" s="74" t="s">
        <v>434</v>
      </c>
    </row>
    <row r="24403" spans="1:3">
      <c r="A24403" s="250">
        <v>56510</v>
      </c>
      <c r="B24403" s="74" t="s">
        <v>10588</v>
      </c>
      <c r="C24403" s="74" t="s">
        <v>434</v>
      </c>
    </row>
    <row r="24404" spans="1:3">
      <c r="A24404" s="250">
        <v>56511</v>
      </c>
      <c r="B24404" s="74" t="s">
        <v>2437</v>
      </c>
      <c r="C24404" s="74" t="s">
        <v>434</v>
      </c>
    </row>
    <row r="24405" spans="1:3">
      <c r="A24405" s="250">
        <v>56514</v>
      </c>
      <c r="B24405" s="74" t="s">
        <v>5080</v>
      </c>
      <c r="C24405" s="74" t="s">
        <v>434</v>
      </c>
    </row>
    <row r="24406" spans="1:3">
      <c r="A24406" s="250">
        <v>56515</v>
      </c>
      <c r="B24406" s="74" t="s">
        <v>12696</v>
      </c>
      <c r="C24406" s="74" t="s">
        <v>434</v>
      </c>
    </row>
    <row r="24407" spans="1:3">
      <c r="A24407" s="250">
        <v>56516</v>
      </c>
      <c r="B24407" s="74" t="s">
        <v>12697</v>
      </c>
      <c r="C24407" s="74" t="s">
        <v>434</v>
      </c>
    </row>
    <row r="24408" spans="1:3">
      <c r="A24408" s="250">
        <v>56517</v>
      </c>
      <c r="B24408" s="74" t="s">
        <v>12698</v>
      </c>
      <c r="C24408" s="74" t="s">
        <v>434</v>
      </c>
    </row>
    <row r="24409" spans="1:3">
      <c r="A24409" s="250">
        <v>56518</v>
      </c>
      <c r="B24409" s="74" t="s">
        <v>7830</v>
      </c>
      <c r="C24409" s="74" t="s">
        <v>434</v>
      </c>
    </row>
    <row r="24410" spans="1:3">
      <c r="A24410" s="250">
        <v>56519</v>
      </c>
      <c r="B24410" s="74" t="s">
        <v>12699</v>
      </c>
      <c r="C24410" s="74" t="s">
        <v>434</v>
      </c>
    </row>
    <row r="24411" spans="1:3">
      <c r="A24411" s="250">
        <v>56520</v>
      </c>
      <c r="B24411" s="74" t="s">
        <v>11090</v>
      </c>
      <c r="C24411" s="74" t="s">
        <v>434</v>
      </c>
    </row>
    <row r="24412" spans="1:3">
      <c r="A24412" s="250">
        <v>56521</v>
      </c>
      <c r="B24412" s="74" t="s">
        <v>5556</v>
      </c>
      <c r="C24412" s="74" t="s">
        <v>434</v>
      </c>
    </row>
    <row r="24413" spans="1:3">
      <c r="A24413" s="250">
        <v>56522</v>
      </c>
      <c r="B24413" s="74" t="s">
        <v>3904</v>
      </c>
      <c r="C24413" s="74" t="s">
        <v>434</v>
      </c>
    </row>
    <row r="24414" spans="1:3">
      <c r="A24414" s="250">
        <v>56523</v>
      </c>
      <c r="B24414" s="74" t="s">
        <v>2927</v>
      </c>
      <c r="C24414" s="74" t="s">
        <v>434</v>
      </c>
    </row>
    <row r="24415" spans="1:3">
      <c r="A24415" s="250">
        <v>56524</v>
      </c>
      <c r="B24415" s="74" t="s">
        <v>12700</v>
      </c>
      <c r="C24415" s="74" t="s">
        <v>434</v>
      </c>
    </row>
    <row r="24416" spans="1:3">
      <c r="A24416" s="250">
        <v>56525</v>
      </c>
      <c r="B24416" s="74" t="s">
        <v>3230</v>
      </c>
      <c r="C24416" s="74" t="s">
        <v>434</v>
      </c>
    </row>
    <row r="24417" spans="1:3">
      <c r="A24417" s="250">
        <v>56527</v>
      </c>
      <c r="B24417" s="74" t="s">
        <v>12701</v>
      </c>
      <c r="C24417" s="74" t="s">
        <v>434</v>
      </c>
    </row>
    <row r="24418" spans="1:3">
      <c r="A24418" s="250">
        <v>56528</v>
      </c>
      <c r="B24418" s="74" t="s">
        <v>12702</v>
      </c>
      <c r="C24418" s="74" t="s">
        <v>434</v>
      </c>
    </row>
    <row r="24419" spans="1:3">
      <c r="A24419" s="250">
        <v>56529</v>
      </c>
      <c r="B24419" s="74" t="s">
        <v>12703</v>
      </c>
      <c r="C24419" s="74" t="s">
        <v>434</v>
      </c>
    </row>
    <row r="24420" spans="1:3">
      <c r="A24420" s="250">
        <v>56531</v>
      </c>
      <c r="B24420" s="74" t="s">
        <v>12704</v>
      </c>
      <c r="C24420" s="74" t="s">
        <v>434</v>
      </c>
    </row>
    <row r="24421" spans="1:3">
      <c r="A24421" s="250">
        <v>56533</v>
      </c>
      <c r="B24421" s="74" t="s">
        <v>2176</v>
      </c>
      <c r="C24421" s="74" t="s">
        <v>434</v>
      </c>
    </row>
    <row r="24422" spans="1:3">
      <c r="A24422" s="250">
        <v>56534</v>
      </c>
      <c r="B24422" s="74" t="s">
        <v>12705</v>
      </c>
      <c r="C24422" s="74" t="s">
        <v>434</v>
      </c>
    </row>
    <row r="24423" spans="1:3">
      <c r="A24423" s="250">
        <v>56535</v>
      </c>
      <c r="B24423" s="74" t="s">
        <v>12706</v>
      </c>
      <c r="C24423" s="74" t="s">
        <v>434</v>
      </c>
    </row>
    <row r="24424" spans="1:3">
      <c r="A24424" s="250">
        <v>56536</v>
      </c>
      <c r="B24424" s="74" t="s">
        <v>4818</v>
      </c>
      <c r="C24424" s="74" t="s">
        <v>434</v>
      </c>
    </row>
    <row r="24425" spans="1:3">
      <c r="A24425" s="250">
        <v>56537</v>
      </c>
      <c r="B24425" s="74" t="s">
        <v>12707</v>
      </c>
      <c r="C24425" s="74" t="s">
        <v>434</v>
      </c>
    </row>
    <row r="24426" spans="1:3">
      <c r="A24426" s="250">
        <v>56538</v>
      </c>
      <c r="B24426" s="74" t="s">
        <v>12707</v>
      </c>
      <c r="C24426" s="74" t="s">
        <v>434</v>
      </c>
    </row>
    <row r="24427" spans="1:3">
      <c r="A24427" s="250">
        <v>56540</v>
      </c>
      <c r="B24427" s="74" t="s">
        <v>11576</v>
      </c>
      <c r="C24427" s="74" t="s">
        <v>434</v>
      </c>
    </row>
    <row r="24428" spans="1:3">
      <c r="A24428" s="250">
        <v>56541</v>
      </c>
      <c r="B24428" s="74" t="s">
        <v>12708</v>
      </c>
      <c r="C24428" s="74" t="s">
        <v>434</v>
      </c>
    </row>
    <row r="24429" spans="1:3">
      <c r="A24429" s="250">
        <v>56542</v>
      </c>
      <c r="B24429" s="74" t="s">
        <v>12709</v>
      </c>
      <c r="C24429" s="74" t="s">
        <v>434</v>
      </c>
    </row>
    <row r="24430" spans="1:3">
      <c r="A24430" s="250">
        <v>56543</v>
      </c>
      <c r="B24430" s="74" t="s">
        <v>12710</v>
      </c>
      <c r="C24430" s="74" t="s">
        <v>434</v>
      </c>
    </row>
    <row r="24431" spans="1:3">
      <c r="A24431" s="250">
        <v>56544</v>
      </c>
      <c r="B24431" s="74" t="s">
        <v>12711</v>
      </c>
      <c r="C24431" s="74" t="s">
        <v>434</v>
      </c>
    </row>
    <row r="24432" spans="1:3">
      <c r="A24432" s="250">
        <v>56545</v>
      </c>
      <c r="B24432" s="74" t="s">
        <v>6507</v>
      </c>
      <c r="C24432" s="74" t="s">
        <v>434</v>
      </c>
    </row>
    <row r="24433" spans="1:3">
      <c r="A24433" s="250">
        <v>56546</v>
      </c>
      <c r="B24433" s="74" t="s">
        <v>813</v>
      </c>
      <c r="C24433" s="74" t="s">
        <v>434</v>
      </c>
    </row>
    <row r="24434" spans="1:3">
      <c r="A24434" s="250">
        <v>56547</v>
      </c>
      <c r="B24434" s="74" t="s">
        <v>5673</v>
      </c>
      <c r="C24434" s="74" t="s">
        <v>434</v>
      </c>
    </row>
    <row r="24435" spans="1:3">
      <c r="A24435" s="250">
        <v>56548</v>
      </c>
      <c r="B24435" s="74" t="s">
        <v>12712</v>
      </c>
      <c r="C24435" s="74" t="s">
        <v>434</v>
      </c>
    </row>
    <row r="24436" spans="1:3">
      <c r="A24436" s="250">
        <v>56549</v>
      </c>
      <c r="B24436" s="74" t="s">
        <v>5161</v>
      </c>
      <c r="C24436" s="74" t="s">
        <v>434</v>
      </c>
    </row>
    <row r="24437" spans="1:3">
      <c r="A24437" s="250">
        <v>56550</v>
      </c>
      <c r="B24437" s="74" t="s">
        <v>12713</v>
      </c>
      <c r="C24437" s="74" t="s">
        <v>434</v>
      </c>
    </row>
    <row r="24438" spans="1:3">
      <c r="A24438" s="250">
        <v>56551</v>
      </c>
      <c r="B24438" s="74" t="s">
        <v>9183</v>
      </c>
      <c r="C24438" s="74" t="s">
        <v>434</v>
      </c>
    </row>
    <row r="24439" spans="1:3">
      <c r="A24439" s="250">
        <v>56552</v>
      </c>
      <c r="B24439" s="74" t="s">
        <v>12714</v>
      </c>
      <c r="C24439" s="74" t="s">
        <v>434</v>
      </c>
    </row>
    <row r="24440" spans="1:3">
      <c r="A24440" s="250">
        <v>56553</v>
      </c>
      <c r="B24440" s="74" t="s">
        <v>2084</v>
      </c>
      <c r="C24440" s="74" t="s">
        <v>434</v>
      </c>
    </row>
    <row r="24441" spans="1:3">
      <c r="A24441" s="250">
        <v>56554</v>
      </c>
      <c r="B24441" s="74" t="s">
        <v>8152</v>
      </c>
      <c r="C24441" s="74" t="s">
        <v>434</v>
      </c>
    </row>
    <row r="24442" spans="1:3">
      <c r="A24442" s="250">
        <v>56556</v>
      </c>
      <c r="B24442" s="74" t="s">
        <v>12715</v>
      </c>
      <c r="C24442" s="74" t="s">
        <v>434</v>
      </c>
    </row>
    <row r="24443" spans="1:3">
      <c r="A24443" s="250">
        <v>56557</v>
      </c>
      <c r="B24443" s="74" t="s">
        <v>12716</v>
      </c>
      <c r="C24443" s="74" t="s">
        <v>434</v>
      </c>
    </row>
    <row r="24444" spans="1:3">
      <c r="A24444" s="250">
        <v>56560</v>
      </c>
      <c r="B24444" s="74" t="s">
        <v>9342</v>
      </c>
      <c r="C24444" s="74" t="s">
        <v>434</v>
      </c>
    </row>
    <row r="24445" spans="1:3">
      <c r="A24445" s="250">
        <v>56561</v>
      </c>
      <c r="B24445" s="74" t="s">
        <v>9342</v>
      </c>
      <c r="C24445" s="74" t="s">
        <v>434</v>
      </c>
    </row>
    <row r="24446" spans="1:3">
      <c r="A24446" s="250">
        <v>56562</v>
      </c>
      <c r="B24446" s="74" t="s">
        <v>9342</v>
      </c>
      <c r="C24446" s="74" t="s">
        <v>434</v>
      </c>
    </row>
    <row r="24447" spans="1:3">
      <c r="A24447" s="250">
        <v>56563</v>
      </c>
      <c r="B24447" s="74" t="s">
        <v>9342</v>
      </c>
      <c r="C24447" s="74" t="s">
        <v>434</v>
      </c>
    </row>
    <row r="24448" spans="1:3">
      <c r="A24448" s="250">
        <v>56565</v>
      </c>
      <c r="B24448" s="74" t="s">
        <v>1165</v>
      </c>
      <c r="C24448" s="74" t="s">
        <v>434</v>
      </c>
    </row>
    <row r="24449" spans="1:3">
      <c r="A24449" s="250">
        <v>56566</v>
      </c>
      <c r="B24449" s="74" t="s">
        <v>12717</v>
      </c>
      <c r="C24449" s="74" t="s">
        <v>434</v>
      </c>
    </row>
    <row r="24450" spans="1:3">
      <c r="A24450" s="250">
        <v>56567</v>
      </c>
      <c r="B24450" s="74" t="s">
        <v>3481</v>
      </c>
      <c r="C24450" s="74" t="s">
        <v>434</v>
      </c>
    </row>
    <row r="24451" spans="1:3">
      <c r="A24451" s="250">
        <v>56568</v>
      </c>
      <c r="B24451" s="74" t="s">
        <v>12718</v>
      </c>
      <c r="C24451" s="74" t="s">
        <v>434</v>
      </c>
    </row>
    <row r="24452" spans="1:3">
      <c r="A24452" s="250">
        <v>56569</v>
      </c>
      <c r="B24452" s="74" t="s">
        <v>12174</v>
      </c>
      <c r="C24452" s="74" t="s">
        <v>434</v>
      </c>
    </row>
    <row r="24453" spans="1:3">
      <c r="A24453" s="250">
        <v>56570</v>
      </c>
      <c r="B24453" s="74" t="s">
        <v>6973</v>
      </c>
      <c r="C24453" s="74" t="s">
        <v>434</v>
      </c>
    </row>
    <row r="24454" spans="1:3">
      <c r="A24454" s="250">
        <v>56571</v>
      </c>
      <c r="B24454" s="74" t="s">
        <v>12719</v>
      </c>
      <c r="C24454" s="74" t="s">
        <v>434</v>
      </c>
    </row>
    <row r="24455" spans="1:3">
      <c r="A24455" s="250">
        <v>56572</v>
      </c>
      <c r="B24455" s="74" t="s">
        <v>12720</v>
      </c>
      <c r="C24455" s="74" t="s">
        <v>434</v>
      </c>
    </row>
    <row r="24456" spans="1:3">
      <c r="A24456" s="250">
        <v>56573</v>
      </c>
      <c r="B24456" s="74" t="s">
        <v>1645</v>
      </c>
      <c r="C24456" s="74" t="s">
        <v>434</v>
      </c>
    </row>
    <row r="24457" spans="1:3">
      <c r="A24457" s="250">
        <v>56574</v>
      </c>
      <c r="B24457" s="74" t="s">
        <v>12721</v>
      </c>
      <c r="C24457" s="74" t="s">
        <v>434</v>
      </c>
    </row>
    <row r="24458" spans="1:3">
      <c r="A24458" s="250">
        <v>56575</v>
      </c>
      <c r="B24458" s="74" t="s">
        <v>12722</v>
      </c>
      <c r="C24458" s="74" t="s">
        <v>434</v>
      </c>
    </row>
    <row r="24459" spans="1:3">
      <c r="A24459" s="250">
        <v>56576</v>
      </c>
      <c r="B24459" s="74" t="s">
        <v>3578</v>
      </c>
      <c r="C24459" s="74" t="s">
        <v>434</v>
      </c>
    </row>
    <row r="24460" spans="1:3">
      <c r="A24460" s="250">
        <v>56577</v>
      </c>
      <c r="B24460" s="74" t="s">
        <v>2419</v>
      </c>
      <c r="C24460" s="74" t="s">
        <v>434</v>
      </c>
    </row>
    <row r="24461" spans="1:3">
      <c r="A24461" s="250">
        <v>56578</v>
      </c>
      <c r="B24461" s="74" t="s">
        <v>12723</v>
      </c>
      <c r="C24461" s="74" t="s">
        <v>434</v>
      </c>
    </row>
    <row r="24462" spans="1:3">
      <c r="A24462" s="250">
        <v>56579</v>
      </c>
      <c r="B24462" s="74" t="s">
        <v>12724</v>
      </c>
      <c r="C24462" s="74" t="s">
        <v>434</v>
      </c>
    </row>
    <row r="24463" spans="1:3">
      <c r="A24463" s="250">
        <v>56580</v>
      </c>
      <c r="B24463" s="74" t="s">
        <v>12725</v>
      </c>
      <c r="C24463" s="74" t="s">
        <v>434</v>
      </c>
    </row>
    <row r="24464" spans="1:3">
      <c r="A24464" s="250">
        <v>56581</v>
      </c>
      <c r="B24464" s="74" t="s">
        <v>12726</v>
      </c>
      <c r="C24464" s="74" t="s">
        <v>434</v>
      </c>
    </row>
    <row r="24465" spans="1:3">
      <c r="A24465" s="250">
        <v>56583</v>
      </c>
      <c r="B24465" s="74" t="s">
        <v>12727</v>
      </c>
      <c r="C24465" s="74" t="s">
        <v>434</v>
      </c>
    </row>
    <row r="24466" spans="1:3">
      <c r="A24466" s="250">
        <v>56584</v>
      </c>
      <c r="B24466" s="74" t="s">
        <v>12728</v>
      </c>
      <c r="C24466" s="74" t="s">
        <v>434</v>
      </c>
    </row>
    <row r="24467" spans="1:3">
      <c r="A24467" s="250">
        <v>56585</v>
      </c>
      <c r="B24467" s="74" t="s">
        <v>12729</v>
      </c>
      <c r="C24467" s="74" t="s">
        <v>434</v>
      </c>
    </row>
    <row r="24468" spans="1:3">
      <c r="A24468" s="250">
        <v>56586</v>
      </c>
      <c r="B24468" s="74" t="s">
        <v>10822</v>
      </c>
      <c r="C24468" s="74" t="s">
        <v>434</v>
      </c>
    </row>
    <row r="24469" spans="1:3">
      <c r="A24469" s="250">
        <v>56587</v>
      </c>
      <c r="B24469" s="74" t="s">
        <v>12730</v>
      </c>
      <c r="C24469" s="74" t="s">
        <v>434</v>
      </c>
    </row>
    <row r="24470" spans="1:3">
      <c r="A24470" s="250">
        <v>56588</v>
      </c>
      <c r="B24470" s="74" t="s">
        <v>11874</v>
      </c>
      <c r="C24470" s="74" t="s">
        <v>434</v>
      </c>
    </row>
    <row r="24471" spans="1:3">
      <c r="A24471" s="250">
        <v>56589</v>
      </c>
      <c r="B24471" s="74" t="s">
        <v>12731</v>
      </c>
      <c r="C24471" s="74" t="s">
        <v>434</v>
      </c>
    </row>
    <row r="24472" spans="1:3">
      <c r="A24472" s="250">
        <v>56590</v>
      </c>
      <c r="B24472" s="74" t="s">
        <v>698</v>
      </c>
      <c r="C24472" s="74" t="s">
        <v>434</v>
      </c>
    </row>
    <row r="24473" spans="1:3">
      <c r="A24473" s="250">
        <v>56591</v>
      </c>
      <c r="B24473" s="74" t="s">
        <v>12732</v>
      </c>
      <c r="C24473" s="74" t="s">
        <v>434</v>
      </c>
    </row>
    <row r="24474" spans="1:3">
      <c r="A24474" s="250">
        <v>56592</v>
      </c>
      <c r="B24474" s="74" t="s">
        <v>12733</v>
      </c>
      <c r="C24474" s="74" t="s">
        <v>434</v>
      </c>
    </row>
    <row r="24475" spans="1:3">
      <c r="A24475" s="250">
        <v>56593</v>
      </c>
      <c r="B24475" s="74" t="s">
        <v>12734</v>
      </c>
      <c r="C24475" s="74" t="s">
        <v>434</v>
      </c>
    </row>
    <row r="24476" spans="1:3">
      <c r="A24476" s="250">
        <v>56594</v>
      </c>
      <c r="B24476" s="74" t="s">
        <v>12735</v>
      </c>
      <c r="C24476" s="74" t="s">
        <v>434</v>
      </c>
    </row>
    <row r="24477" spans="1:3">
      <c r="A24477" s="250">
        <v>56601</v>
      </c>
      <c r="B24477" s="74" t="s">
        <v>12736</v>
      </c>
      <c r="C24477" s="74" t="s">
        <v>434</v>
      </c>
    </row>
    <row r="24478" spans="1:3">
      <c r="A24478" s="250">
        <v>56619</v>
      </c>
      <c r="B24478" s="74" t="s">
        <v>12736</v>
      </c>
      <c r="C24478" s="74" t="s">
        <v>434</v>
      </c>
    </row>
    <row r="24479" spans="1:3">
      <c r="A24479" s="250">
        <v>56621</v>
      </c>
      <c r="B24479" s="74" t="s">
        <v>11484</v>
      </c>
      <c r="C24479" s="74" t="s">
        <v>434</v>
      </c>
    </row>
    <row r="24480" spans="1:3">
      <c r="A24480" s="250">
        <v>56623</v>
      </c>
      <c r="B24480" s="74" t="s">
        <v>12737</v>
      </c>
      <c r="C24480" s="74" t="s">
        <v>434</v>
      </c>
    </row>
    <row r="24481" spans="1:3">
      <c r="A24481" s="250">
        <v>56626</v>
      </c>
      <c r="B24481" s="74" t="s">
        <v>6038</v>
      </c>
      <c r="C24481" s="74" t="s">
        <v>434</v>
      </c>
    </row>
    <row r="24482" spans="1:3">
      <c r="A24482" s="250">
        <v>56627</v>
      </c>
      <c r="B24482" s="74" t="s">
        <v>12326</v>
      </c>
      <c r="C24482" s="74" t="s">
        <v>434</v>
      </c>
    </row>
    <row r="24483" spans="1:3">
      <c r="A24483" s="250">
        <v>56628</v>
      </c>
      <c r="B24483" s="74" t="s">
        <v>12738</v>
      </c>
      <c r="C24483" s="74" t="s">
        <v>434</v>
      </c>
    </row>
    <row r="24484" spans="1:3">
      <c r="A24484" s="250">
        <v>56629</v>
      </c>
      <c r="B24484" s="74" t="s">
        <v>12739</v>
      </c>
      <c r="C24484" s="74" t="s">
        <v>434</v>
      </c>
    </row>
    <row r="24485" spans="1:3">
      <c r="A24485" s="250">
        <v>56630</v>
      </c>
      <c r="B24485" s="74" t="s">
        <v>12740</v>
      </c>
      <c r="C24485" s="74" t="s">
        <v>434</v>
      </c>
    </row>
    <row r="24486" spans="1:3">
      <c r="A24486" s="250">
        <v>56631</v>
      </c>
      <c r="B24486" s="74" t="s">
        <v>12741</v>
      </c>
      <c r="C24486" s="74" t="s">
        <v>434</v>
      </c>
    </row>
    <row r="24487" spans="1:3">
      <c r="A24487" s="250">
        <v>56633</v>
      </c>
      <c r="B24487" s="74" t="s">
        <v>12742</v>
      </c>
      <c r="C24487" s="74" t="s">
        <v>434</v>
      </c>
    </row>
    <row r="24488" spans="1:3">
      <c r="A24488" s="250">
        <v>56634</v>
      </c>
      <c r="B24488" s="74" t="s">
        <v>12743</v>
      </c>
      <c r="C24488" s="74" t="s">
        <v>434</v>
      </c>
    </row>
    <row r="24489" spans="1:3">
      <c r="A24489" s="250">
        <v>56636</v>
      </c>
      <c r="B24489" s="74" t="s">
        <v>3538</v>
      </c>
      <c r="C24489" s="74" t="s">
        <v>434</v>
      </c>
    </row>
    <row r="24490" spans="1:3">
      <c r="A24490" s="250">
        <v>56637</v>
      </c>
      <c r="B24490" s="74" t="s">
        <v>12744</v>
      </c>
      <c r="C24490" s="74" t="s">
        <v>434</v>
      </c>
    </row>
    <row r="24491" spans="1:3">
      <c r="A24491" s="250">
        <v>56639</v>
      </c>
      <c r="B24491" s="74" t="s">
        <v>12745</v>
      </c>
      <c r="C24491" s="74" t="s">
        <v>434</v>
      </c>
    </row>
    <row r="24492" spans="1:3">
      <c r="A24492" s="250">
        <v>56641</v>
      </c>
      <c r="B24492" s="74" t="s">
        <v>12746</v>
      </c>
      <c r="C24492" s="74" t="s">
        <v>434</v>
      </c>
    </row>
    <row r="24493" spans="1:3">
      <c r="A24493" s="250">
        <v>56644</v>
      </c>
      <c r="B24493" s="74" t="s">
        <v>12747</v>
      </c>
      <c r="C24493" s="74" t="s">
        <v>434</v>
      </c>
    </row>
    <row r="24494" spans="1:3">
      <c r="A24494" s="250">
        <v>56646</v>
      </c>
      <c r="B24494" s="74" t="s">
        <v>12748</v>
      </c>
      <c r="C24494" s="74" t="s">
        <v>434</v>
      </c>
    </row>
    <row r="24495" spans="1:3">
      <c r="A24495" s="250">
        <v>56647</v>
      </c>
      <c r="B24495" s="74" t="s">
        <v>12749</v>
      </c>
      <c r="C24495" s="74" t="s">
        <v>434</v>
      </c>
    </row>
    <row r="24496" spans="1:3">
      <c r="A24496" s="250">
        <v>56649</v>
      </c>
      <c r="B24496" s="74" t="s">
        <v>12750</v>
      </c>
      <c r="C24496" s="74" t="s">
        <v>434</v>
      </c>
    </row>
    <row r="24497" spans="1:3">
      <c r="A24497" s="250">
        <v>56650</v>
      </c>
      <c r="B24497" s="74" t="s">
        <v>12751</v>
      </c>
      <c r="C24497" s="74" t="s">
        <v>434</v>
      </c>
    </row>
    <row r="24498" spans="1:3">
      <c r="A24498" s="250">
        <v>56651</v>
      </c>
      <c r="B24498" s="74" t="s">
        <v>12752</v>
      </c>
      <c r="C24498" s="74" t="s">
        <v>434</v>
      </c>
    </row>
    <row r="24499" spans="1:3">
      <c r="A24499" s="250">
        <v>56652</v>
      </c>
      <c r="B24499" s="74" t="s">
        <v>11049</v>
      </c>
      <c r="C24499" s="74" t="s">
        <v>434</v>
      </c>
    </row>
    <row r="24500" spans="1:3">
      <c r="A24500" s="250">
        <v>56653</v>
      </c>
      <c r="B24500" s="74" t="s">
        <v>12753</v>
      </c>
      <c r="C24500" s="74" t="s">
        <v>434</v>
      </c>
    </row>
    <row r="24501" spans="1:3">
      <c r="A24501" s="250">
        <v>56654</v>
      </c>
      <c r="B24501" s="74" t="s">
        <v>12754</v>
      </c>
      <c r="C24501" s="74" t="s">
        <v>434</v>
      </c>
    </row>
    <row r="24502" spans="1:3">
      <c r="A24502" s="250">
        <v>56655</v>
      </c>
      <c r="B24502" s="74" t="s">
        <v>12755</v>
      </c>
      <c r="C24502" s="74" t="s">
        <v>434</v>
      </c>
    </row>
    <row r="24503" spans="1:3">
      <c r="A24503" s="250">
        <v>56657</v>
      </c>
      <c r="B24503" s="74" t="s">
        <v>12756</v>
      </c>
      <c r="C24503" s="74" t="s">
        <v>434</v>
      </c>
    </row>
    <row r="24504" spans="1:3">
      <c r="A24504" s="250">
        <v>56658</v>
      </c>
      <c r="B24504" s="74" t="s">
        <v>12757</v>
      </c>
      <c r="C24504" s="74" t="s">
        <v>434</v>
      </c>
    </row>
    <row r="24505" spans="1:3">
      <c r="A24505" s="250">
        <v>56659</v>
      </c>
      <c r="B24505" s="74" t="s">
        <v>12758</v>
      </c>
      <c r="C24505" s="74" t="s">
        <v>434</v>
      </c>
    </row>
    <row r="24506" spans="1:3">
      <c r="A24506" s="250">
        <v>56660</v>
      </c>
      <c r="B24506" s="74" t="s">
        <v>2494</v>
      </c>
      <c r="C24506" s="74" t="s">
        <v>434</v>
      </c>
    </row>
    <row r="24507" spans="1:3">
      <c r="A24507" s="250">
        <v>56661</v>
      </c>
      <c r="B24507" s="74" t="s">
        <v>12759</v>
      </c>
      <c r="C24507" s="74" t="s">
        <v>434</v>
      </c>
    </row>
    <row r="24508" spans="1:3">
      <c r="A24508" s="250">
        <v>56662</v>
      </c>
      <c r="B24508" s="74" t="s">
        <v>12760</v>
      </c>
      <c r="C24508" s="74" t="s">
        <v>434</v>
      </c>
    </row>
    <row r="24509" spans="1:3">
      <c r="A24509" s="250">
        <v>56663</v>
      </c>
      <c r="B24509" s="74" t="s">
        <v>2520</v>
      </c>
      <c r="C24509" s="74" t="s">
        <v>434</v>
      </c>
    </row>
    <row r="24510" spans="1:3">
      <c r="A24510" s="250">
        <v>56666</v>
      </c>
      <c r="B24510" s="74" t="s">
        <v>12761</v>
      </c>
      <c r="C24510" s="74" t="s">
        <v>434</v>
      </c>
    </row>
    <row r="24511" spans="1:3">
      <c r="A24511" s="250">
        <v>56667</v>
      </c>
      <c r="B24511" s="74" t="s">
        <v>12762</v>
      </c>
      <c r="C24511" s="74" t="s">
        <v>434</v>
      </c>
    </row>
    <row r="24512" spans="1:3">
      <c r="A24512" s="250">
        <v>56668</v>
      </c>
      <c r="B24512" s="74" t="s">
        <v>12763</v>
      </c>
      <c r="C24512" s="74" t="s">
        <v>434</v>
      </c>
    </row>
    <row r="24513" spans="1:3">
      <c r="A24513" s="250">
        <v>56669</v>
      </c>
      <c r="B24513" s="74" t="s">
        <v>12764</v>
      </c>
      <c r="C24513" s="74" t="s">
        <v>434</v>
      </c>
    </row>
    <row r="24514" spans="1:3">
      <c r="A24514" s="250">
        <v>56670</v>
      </c>
      <c r="B24514" s="74" t="s">
        <v>12765</v>
      </c>
      <c r="C24514" s="74" t="s">
        <v>434</v>
      </c>
    </row>
    <row r="24515" spans="1:3">
      <c r="A24515" s="250">
        <v>56671</v>
      </c>
      <c r="B24515" s="74" t="s">
        <v>12766</v>
      </c>
      <c r="C24515" s="74" t="s">
        <v>434</v>
      </c>
    </row>
    <row r="24516" spans="1:3">
      <c r="A24516" s="250">
        <v>56672</v>
      </c>
      <c r="B24516" s="74" t="s">
        <v>12767</v>
      </c>
      <c r="C24516" s="74" t="s">
        <v>434</v>
      </c>
    </row>
    <row r="24517" spans="1:3">
      <c r="A24517" s="250">
        <v>56673</v>
      </c>
      <c r="B24517" s="74" t="s">
        <v>2525</v>
      </c>
      <c r="C24517" s="74" t="s">
        <v>434</v>
      </c>
    </row>
    <row r="24518" spans="1:3">
      <c r="A24518" s="250">
        <v>56676</v>
      </c>
      <c r="B24518" s="74" t="s">
        <v>12768</v>
      </c>
      <c r="C24518" s="74" t="s">
        <v>434</v>
      </c>
    </row>
    <row r="24519" spans="1:3">
      <c r="A24519" s="250">
        <v>56678</v>
      </c>
      <c r="B24519" s="74" t="s">
        <v>12769</v>
      </c>
      <c r="C24519" s="74" t="s">
        <v>434</v>
      </c>
    </row>
    <row r="24520" spans="1:3">
      <c r="A24520" s="250">
        <v>56679</v>
      </c>
      <c r="B24520" s="74" t="s">
        <v>12770</v>
      </c>
      <c r="C24520" s="74" t="s">
        <v>434</v>
      </c>
    </row>
    <row r="24521" spans="1:3">
      <c r="A24521" s="250">
        <v>56680</v>
      </c>
      <c r="B24521" s="74" t="s">
        <v>2289</v>
      </c>
      <c r="C24521" s="74" t="s">
        <v>434</v>
      </c>
    </row>
    <row r="24522" spans="1:3">
      <c r="A24522" s="250">
        <v>56681</v>
      </c>
      <c r="B24522" s="74" t="s">
        <v>12771</v>
      </c>
      <c r="C24522" s="74" t="s">
        <v>434</v>
      </c>
    </row>
    <row r="24523" spans="1:3">
      <c r="A24523" s="250">
        <v>56682</v>
      </c>
      <c r="B24523" s="74" t="s">
        <v>12772</v>
      </c>
      <c r="C24523" s="74" t="s">
        <v>434</v>
      </c>
    </row>
    <row r="24524" spans="1:3">
      <c r="A24524" s="250">
        <v>56683</v>
      </c>
      <c r="B24524" s="74" t="s">
        <v>12773</v>
      </c>
      <c r="C24524" s="74" t="s">
        <v>434</v>
      </c>
    </row>
    <row r="24525" spans="1:3">
      <c r="A24525" s="250">
        <v>56684</v>
      </c>
      <c r="B24525" s="74" t="s">
        <v>12774</v>
      </c>
      <c r="C24525" s="74" t="s">
        <v>434</v>
      </c>
    </row>
    <row r="24526" spans="1:3">
      <c r="A24526" s="250">
        <v>56685</v>
      </c>
      <c r="B24526" s="74" t="s">
        <v>12775</v>
      </c>
      <c r="C24526" s="74" t="s">
        <v>434</v>
      </c>
    </row>
    <row r="24527" spans="1:3">
      <c r="A24527" s="250">
        <v>56686</v>
      </c>
      <c r="B24527" s="74" t="s">
        <v>7725</v>
      </c>
      <c r="C24527" s="74" t="s">
        <v>434</v>
      </c>
    </row>
    <row r="24528" spans="1:3">
      <c r="A24528" s="250">
        <v>56687</v>
      </c>
      <c r="B24528" s="74" t="s">
        <v>1173</v>
      </c>
      <c r="C24528" s="74" t="s">
        <v>434</v>
      </c>
    </row>
    <row r="24529" spans="1:3">
      <c r="A24529" s="250">
        <v>56688</v>
      </c>
      <c r="B24529" s="74" t="s">
        <v>12776</v>
      </c>
      <c r="C24529" s="74" t="s">
        <v>434</v>
      </c>
    </row>
    <row r="24530" spans="1:3">
      <c r="A24530" s="250">
        <v>56701</v>
      </c>
      <c r="B24530" s="74" t="s">
        <v>12777</v>
      </c>
      <c r="C24530" s="74" t="s">
        <v>434</v>
      </c>
    </row>
    <row r="24531" spans="1:3">
      <c r="A24531" s="250">
        <v>56710</v>
      </c>
      <c r="B24531" s="74" t="s">
        <v>12778</v>
      </c>
      <c r="C24531" s="74" t="s">
        <v>434</v>
      </c>
    </row>
    <row r="24532" spans="1:3">
      <c r="A24532" s="250">
        <v>56711</v>
      </c>
      <c r="B24532" s="74" t="s">
        <v>12779</v>
      </c>
      <c r="C24532" s="74" t="s">
        <v>434</v>
      </c>
    </row>
    <row r="24533" spans="1:3">
      <c r="A24533" s="250">
        <v>56713</v>
      </c>
      <c r="B24533" s="74" t="s">
        <v>3222</v>
      </c>
      <c r="C24533" s="74" t="s">
        <v>434</v>
      </c>
    </row>
    <row r="24534" spans="1:3">
      <c r="A24534" s="250">
        <v>56714</v>
      </c>
      <c r="B24534" s="74" t="s">
        <v>11608</v>
      </c>
      <c r="C24534" s="74" t="s">
        <v>434</v>
      </c>
    </row>
    <row r="24535" spans="1:3">
      <c r="A24535" s="250">
        <v>56715</v>
      </c>
      <c r="B24535" s="74" t="s">
        <v>1683</v>
      </c>
      <c r="C24535" s="74" t="s">
        <v>434</v>
      </c>
    </row>
    <row r="24536" spans="1:3">
      <c r="A24536" s="250">
        <v>56716</v>
      </c>
      <c r="B24536" s="74" t="s">
        <v>12780</v>
      </c>
      <c r="C24536" s="74" t="s">
        <v>434</v>
      </c>
    </row>
    <row r="24537" spans="1:3">
      <c r="A24537" s="250">
        <v>56720</v>
      </c>
      <c r="B24537" s="74" t="s">
        <v>10710</v>
      </c>
      <c r="C24537" s="74" t="s">
        <v>434</v>
      </c>
    </row>
    <row r="24538" spans="1:3">
      <c r="A24538" s="250">
        <v>56721</v>
      </c>
      <c r="B24538" s="74" t="s">
        <v>12781</v>
      </c>
      <c r="C24538" s="74" t="s">
        <v>434</v>
      </c>
    </row>
    <row r="24539" spans="1:3">
      <c r="A24539" s="250">
        <v>56722</v>
      </c>
      <c r="B24539" s="74" t="s">
        <v>10322</v>
      </c>
      <c r="C24539" s="74" t="s">
        <v>434</v>
      </c>
    </row>
    <row r="24540" spans="1:3">
      <c r="A24540" s="250">
        <v>56723</v>
      </c>
      <c r="B24540" s="74" t="s">
        <v>4450</v>
      </c>
      <c r="C24540" s="74" t="s">
        <v>434</v>
      </c>
    </row>
    <row r="24541" spans="1:3">
      <c r="A24541" s="250">
        <v>56724</v>
      </c>
      <c r="B24541" s="74" t="s">
        <v>12782</v>
      </c>
      <c r="C24541" s="74" t="s">
        <v>434</v>
      </c>
    </row>
    <row r="24542" spans="1:3">
      <c r="A24542" s="250">
        <v>56725</v>
      </c>
      <c r="B24542" s="74" t="s">
        <v>12783</v>
      </c>
      <c r="C24542" s="74" t="s">
        <v>434</v>
      </c>
    </row>
    <row r="24543" spans="1:3">
      <c r="A24543" s="250">
        <v>56726</v>
      </c>
      <c r="B24543" s="74" t="s">
        <v>874</v>
      </c>
      <c r="C24543" s="74" t="s">
        <v>434</v>
      </c>
    </row>
    <row r="24544" spans="1:3">
      <c r="A24544" s="250">
        <v>56727</v>
      </c>
      <c r="B24544" s="74" t="s">
        <v>12784</v>
      </c>
      <c r="C24544" s="74" t="s">
        <v>434</v>
      </c>
    </row>
    <row r="24545" spans="1:3">
      <c r="A24545" s="250">
        <v>56728</v>
      </c>
      <c r="B24545" s="74" t="s">
        <v>12785</v>
      </c>
      <c r="C24545" s="74" t="s">
        <v>434</v>
      </c>
    </row>
    <row r="24546" spans="1:3">
      <c r="A24546" s="250">
        <v>56729</v>
      </c>
      <c r="B24546" s="74" t="s">
        <v>12786</v>
      </c>
      <c r="C24546" s="74" t="s">
        <v>434</v>
      </c>
    </row>
    <row r="24547" spans="1:3">
      <c r="A24547" s="250">
        <v>56731</v>
      </c>
      <c r="B24547" s="74" t="s">
        <v>9221</v>
      </c>
      <c r="C24547" s="74" t="s">
        <v>434</v>
      </c>
    </row>
    <row r="24548" spans="1:3">
      <c r="A24548" s="250">
        <v>56732</v>
      </c>
      <c r="B24548" s="74" t="s">
        <v>12787</v>
      </c>
      <c r="C24548" s="74" t="s">
        <v>434</v>
      </c>
    </row>
    <row r="24549" spans="1:3">
      <c r="A24549" s="250">
        <v>56733</v>
      </c>
      <c r="B24549" s="74" t="s">
        <v>3870</v>
      </c>
      <c r="C24549" s="74" t="s">
        <v>434</v>
      </c>
    </row>
    <row r="24550" spans="1:3">
      <c r="A24550" s="250">
        <v>56734</v>
      </c>
      <c r="B24550" s="74" t="s">
        <v>12788</v>
      </c>
      <c r="C24550" s="74" t="s">
        <v>434</v>
      </c>
    </row>
    <row r="24551" spans="1:3">
      <c r="A24551" s="250">
        <v>56735</v>
      </c>
      <c r="B24551" s="74" t="s">
        <v>741</v>
      </c>
      <c r="C24551" s="74" t="s">
        <v>434</v>
      </c>
    </row>
    <row r="24552" spans="1:3">
      <c r="A24552" s="250">
        <v>56736</v>
      </c>
      <c r="B24552" s="74" t="s">
        <v>10308</v>
      </c>
      <c r="C24552" s="74" t="s">
        <v>434</v>
      </c>
    </row>
    <row r="24553" spans="1:3">
      <c r="A24553" s="250">
        <v>56737</v>
      </c>
      <c r="B24553" s="74" t="s">
        <v>5715</v>
      </c>
      <c r="C24553" s="74" t="s">
        <v>434</v>
      </c>
    </row>
    <row r="24554" spans="1:3">
      <c r="A24554" s="250">
        <v>56738</v>
      </c>
      <c r="B24554" s="74" t="s">
        <v>12789</v>
      </c>
      <c r="C24554" s="74" t="s">
        <v>434</v>
      </c>
    </row>
    <row r="24555" spans="1:3">
      <c r="A24555" s="250">
        <v>56740</v>
      </c>
      <c r="B24555" s="74" t="s">
        <v>12790</v>
      </c>
      <c r="C24555" s="74" t="s">
        <v>434</v>
      </c>
    </row>
    <row r="24556" spans="1:3">
      <c r="A24556" s="250">
        <v>56741</v>
      </c>
      <c r="B24556" s="74" t="s">
        <v>7416</v>
      </c>
      <c r="C24556" s="74" t="s">
        <v>434</v>
      </c>
    </row>
    <row r="24557" spans="1:3">
      <c r="A24557" s="250">
        <v>56742</v>
      </c>
      <c r="B24557" s="74" t="s">
        <v>12791</v>
      </c>
      <c r="C24557" s="74" t="s">
        <v>434</v>
      </c>
    </row>
    <row r="24558" spans="1:3">
      <c r="A24558" s="250">
        <v>56744</v>
      </c>
      <c r="B24558" s="74" t="s">
        <v>12792</v>
      </c>
      <c r="C24558" s="74" t="s">
        <v>434</v>
      </c>
    </row>
    <row r="24559" spans="1:3">
      <c r="A24559" s="250">
        <v>56748</v>
      </c>
      <c r="B24559" s="74" t="s">
        <v>12793</v>
      </c>
      <c r="C24559" s="74" t="s">
        <v>434</v>
      </c>
    </row>
    <row r="24560" spans="1:3">
      <c r="A24560" s="250">
        <v>56750</v>
      </c>
      <c r="B24560" s="74" t="s">
        <v>12794</v>
      </c>
      <c r="C24560" s="74" t="s">
        <v>434</v>
      </c>
    </row>
    <row r="24561" spans="1:3">
      <c r="A24561" s="250">
        <v>56751</v>
      </c>
      <c r="B24561" s="74" t="s">
        <v>12795</v>
      </c>
      <c r="C24561" s="74" t="s">
        <v>434</v>
      </c>
    </row>
    <row r="24562" spans="1:3">
      <c r="A24562" s="250">
        <v>56754</v>
      </c>
      <c r="B24562" s="74" t="s">
        <v>12796</v>
      </c>
      <c r="C24562" s="74" t="s">
        <v>434</v>
      </c>
    </row>
    <row r="24563" spans="1:3">
      <c r="A24563" s="250">
        <v>56755</v>
      </c>
      <c r="B24563" s="74" t="s">
        <v>12797</v>
      </c>
      <c r="C24563" s="74" t="s">
        <v>434</v>
      </c>
    </row>
    <row r="24564" spans="1:3">
      <c r="A24564" s="250">
        <v>56756</v>
      </c>
      <c r="B24564" s="74" t="s">
        <v>12798</v>
      </c>
      <c r="C24564" s="74" t="s">
        <v>434</v>
      </c>
    </row>
    <row r="24565" spans="1:3">
      <c r="A24565" s="250">
        <v>56757</v>
      </c>
      <c r="B24565" s="74" t="s">
        <v>12799</v>
      </c>
      <c r="C24565" s="74" t="s">
        <v>434</v>
      </c>
    </row>
    <row r="24566" spans="1:3">
      <c r="A24566" s="250">
        <v>56758</v>
      </c>
      <c r="B24566" s="74" t="s">
        <v>12800</v>
      </c>
      <c r="C24566" s="74" t="s">
        <v>434</v>
      </c>
    </row>
    <row r="24567" spans="1:3">
      <c r="A24567" s="250">
        <v>56759</v>
      </c>
      <c r="B24567" s="74" t="s">
        <v>12801</v>
      </c>
      <c r="C24567" s="74" t="s">
        <v>434</v>
      </c>
    </row>
    <row r="24568" spans="1:3">
      <c r="A24568" s="250">
        <v>56760</v>
      </c>
      <c r="B24568" s="74" t="s">
        <v>12802</v>
      </c>
      <c r="C24568" s="74" t="s">
        <v>434</v>
      </c>
    </row>
    <row r="24569" spans="1:3">
      <c r="A24569" s="250">
        <v>56761</v>
      </c>
      <c r="B24569" s="74" t="s">
        <v>12803</v>
      </c>
      <c r="C24569" s="74" t="s">
        <v>434</v>
      </c>
    </row>
    <row r="24570" spans="1:3">
      <c r="A24570" s="250">
        <v>56762</v>
      </c>
      <c r="B24570" s="74" t="s">
        <v>622</v>
      </c>
      <c r="C24570" s="74" t="s">
        <v>434</v>
      </c>
    </row>
    <row r="24571" spans="1:3">
      <c r="A24571" s="250">
        <v>56763</v>
      </c>
      <c r="B24571" s="74" t="s">
        <v>12804</v>
      </c>
      <c r="C24571" s="74" t="s">
        <v>434</v>
      </c>
    </row>
    <row r="24572" spans="1:3">
      <c r="A24572" s="250">
        <v>56901</v>
      </c>
      <c r="B24572" s="74" t="s">
        <v>12805</v>
      </c>
      <c r="C24572" s="74" t="s">
        <v>5511</v>
      </c>
    </row>
    <row r="24573" spans="1:3">
      <c r="A24573" s="250">
        <v>56902</v>
      </c>
      <c r="B24573" s="74" t="s">
        <v>12805</v>
      </c>
      <c r="C24573" s="74" t="s">
        <v>5511</v>
      </c>
    </row>
    <row r="24574" spans="1:3">
      <c r="A24574" s="250">
        <v>56904</v>
      </c>
      <c r="B24574" s="74" t="s">
        <v>12805</v>
      </c>
      <c r="C24574" s="74" t="s">
        <v>5511</v>
      </c>
    </row>
    <row r="24575" spans="1:3">
      <c r="A24575" s="250">
        <v>56915</v>
      </c>
      <c r="B24575" s="74" t="s">
        <v>12805</v>
      </c>
      <c r="C24575" s="74" t="s">
        <v>5511</v>
      </c>
    </row>
    <row r="24576" spans="1:3">
      <c r="A24576" s="250">
        <v>56920</v>
      </c>
      <c r="B24576" s="74" t="s">
        <v>12805</v>
      </c>
      <c r="C24576" s="74" t="s">
        <v>5511</v>
      </c>
    </row>
    <row r="24577" spans="1:3">
      <c r="A24577" s="250">
        <v>56933</v>
      </c>
      <c r="B24577" s="74" t="s">
        <v>12805</v>
      </c>
      <c r="C24577" s="74" t="s">
        <v>5511</v>
      </c>
    </row>
    <row r="24578" spans="1:3">
      <c r="A24578" s="250">
        <v>56944</v>
      </c>
      <c r="B24578" s="74" t="s">
        <v>12805</v>
      </c>
      <c r="C24578" s="74" t="s">
        <v>5511</v>
      </c>
    </row>
    <row r="24579" spans="1:3">
      <c r="A24579" s="250">
        <v>56945</v>
      </c>
      <c r="B24579" s="74" t="s">
        <v>12805</v>
      </c>
      <c r="C24579" s="74" t="s">
        <v>5511</v>
      </c>
    </row>
    <row r="24580" spans="1:3">
      <c r="A24580" s="250">
        <v>56950</v>
      </c>
      <c r="B24580" s="74" t="s">
        <v>12805</v>
      </c>
      <c r="C24580" s="74" t="s">
        <v>5511</v>
      </c>
    </row>
    <row r="24581" spans="1:3">
      <c r="A24581" s="250">
        <v>56965</v>
      </c>
      <c r="B24581" s="74" t="s">
        <v>12805</v>
      </c>
      <c r="C24581" s="74" t="s">
        <v>5511</v>
      </c>
    </row>
    <row r="24582" spans="1:3">
      <c r="A24582" s="250">
        <v>56972</v>
      </c>
      <c r="B24582" s="74" t="s">
        <v>12805</v>
      </c>
      <c r="C24582" s="74" t="s">
        <v>5511</v>
      </c>
    </row>
    <row r="24583" spans="1:3">
      <c r="A24583" s="250">
        <v>57001</v>
      </c>
      <c r="B24583" s="74" t="s">
        <v>12806</v>
      </c>
      <c r="C24583" s="74" t="s">
        <v>451</v>
      </c>
    </row>
    <row r="24584" spans="1:3">
      <c r="A24584" s="250">
        <v>57002</v>
      </c>
      <c r="B24584" s="74" t="s">
        <v>1489</v>
      </c>
      <c r="C24584" s="74" t="s">
        <v>451</v>
      </c>
    </row>
    <row r="24585" spans="1:3">
      <c r="A24585" s="250">
        <v>57003</v>
      </c>
      <c r="B24585" s="74" t="s">
        <v>2010</v>
      </c>
      <c r="C24585" s="74" t="s">
        <v>451</v>
      </c>
    </row>
    <row r="24586" spans="1:3">
      <c r="A24586" s="250">
        <v>57004</v>
      </c>
      <c r="B24586" s="74" t="s">
        <v>12807</v>
      </c>
      <c r="C24586" s="74" t="s">
        <v>451</v>
      </c>
    </row>
    <row r="24587" spans="1:3">
      <c r="A24587" s="250">
        <v>57005</v>
      </c>
      <c r="B24587" s="74" t="s">
        <v>1864</v>
      </c>
      <c r="C24587" s="74" t="s">
        <v>451</v>
      </c>
    </row>
    <row r="24588" spans="1:3">
      <c r="A24588" s="250">
        <v>57006</v>
      </c>
      <c r="B24588" s="74" t="s">
        <v>12808</v>
      </c>
      <c r="C24588" s="74" t="s">
        <v>451</v>
      </c>
    </row>
    <row r="24589" spans="1:3">
      <c r="A24589" s="250">
        <v>57007</v>
      </c>
      <c r="B24589" s="74" t="s">
        <v>12808</v>
      </c>
      <c r="C24589" s="74" t="s">
        <v>451</v>
      </c>
    </row>
    <row r="24590" spans="1:3">
      <c r="A24590" s="250">
        <v>57010</v>
      </c>
      <c r="B24590" s="74" t="s">
        <v>10335</v>
      </c>
      <c r="C24590" s="74" t="s">
        <v>451</v>
      </c>
    </row>
    <row r="24591" spans="1:3">
      <c r="A24591" s="250">
        <v>57012</v>
      </c>
      <c r="B24591" s="74" t="s">
        <v>12809</v>
      </c>
      <c r="C24591" s="74" t="s">
        <v>451</v>
      </c>
    </row>
    <row r="24592" spans="1:3">
      <c r="A24592" s="250">
        <v>57013</v>
      </c>
      <c r="B24592" s="74" t="s">
        <v>866</v>
      </c>
      <c r="C24592" s="74" t="s">
        <v>451</v>
      </c>
    </row>
    <row r="24593" spans="1:3">
      <c r="A24593" s="250">
        <v>57014</v>
      </c>
      <c r="B24593" s="74" t="s">
        <v>1024</v>
      </c>
      <c r="C24593" s="74" t="s">
        <v>451</v>
      </c>
    </row>
    <row r="24594" spans="1:3">
      <c r="A24594" s="250">
        <v>57015</v>
      </c>
      <c r="B24594" s="74" t="s">
        <v>8843</v>
      </c>
      <c r="C24594" s="74" t="s">
        <v>451</v>
      </c>
    </row>
    <row r="24595" spans="1:3">
      <c r="A24595" s="250">
        <v>57016</v>
      </c>
      <c r="B24595" s="74" t="s">
        <v>583</v>
      </c>
      <c r="C24595" s="74" t="s">
        <v>451</v>
      </c>
    </row>
    <row r="24596" spans="1:3">
      <c r="A24596" s="250">
        <v>57017</v>
      </c>
      <c r="B24596" s="74" t="s">
        <v>12810</v>
      </c>
      <c r="C24596" s="74" t="s">
        <v>451</v>
      </c>
    </row>
    <row r="24597" spans="1:3">
      <c r="A24597" s="250">
        <v>57018</v>
      </c>
      <c r="B24597" s="74" t="s">
        <v>3536</v>
      </c>
      <c r="C24597" s="74" t="s">
        <v>451</v>
      </c>
    </row>
    <row r="24598" spans="1:3">
      <c r="A24598" s="250">
        <v>57020</v>
      </c>
      <c r="B24598" s="74" t="s">
        <v>12811</v>
      </c>
      <c r="C24598" s="74" t="s">
        <v>451</v>
      </c>
    </row>
    <row r="24599" spans="1:3">
      <c r="A24599" s="250">
        <v>57021</v>
      </c>
      <c r="B24599" s="74" t="s">
        <v>6907</v>
      </c>
      <c r="C24599" s="74" t="s">
        <v>451</v>
      </c>
    </row>
    <row r="24600" spans="1:3">
      <c r="A24600" s="250">
        <v>57022</v>
      </c>
      <c r="B24600" s="74" t="s">
        <v>12812</v>
      </c>
      <c r="C24600" s="74" t="s">
        <v>451</v>
      </c>
    </row>
    <row r="24601" spans="1:3">
      <c r="A24601" s="250">
        <v>57024</v>
      </c>
      <c r="B24601" s="74" t="s">
        <v>12813</v>
      </c>
      <c r="C24601" s="74" t="s">
        <v>451</v>
      </c>
    </row>
    <row r="24602" spans="1:3">
      <c r="A24602" s="250">
        <v>57025</v>
      </c>
      <c r="B24602" s="74" t="s">
        <v>12814</v>
      </c>
      <c r="C24602" s="74" t="s">
        <v>451</v>
      </c>
    </row>
    <row r="24603" spans="1:3">
      <c r="A24603" s="250">
        <v>57026</v>
      </c>
      <c r="B24603" s="74" t="s">
        <v>5864</v>
      </c>
      <c r="C24603" s="74" t="s">
        <v>451</v>
      </c>
    </row>
    <row r="24604" spans="1:3">
      <c r="A24604" s="250">
        <v>57027</v>
      </c>
      <c r="B24604" s="74" t="s">
        <v>2122</v>
      </c>
      <c r="C24604" s="74" t="s">
        <v>451</v>
      </c>
    </row>
    <row r="24605" spans="1:3">
      <c r="A24605" s="250">
        <v>57028</v>
      </c>
      <c r="B24605" s="74" t="s">
        <v>12815</v>
      </c>
      <c r="C24605" s="74" t="s">
        <v>451</v>
      </c>
    </row>
    <row r="24606" spans="1:3">
      <c r="A24606" s="250">
        <v>57029</v>
      </c>
      <c r="B24606" s="74" t="s">
        <v>6204</v>
      </c>
      <c r="C24606" s="74" t="s">
        <v>451</v>
      </c>
    </row>
    <row r="24607" spans="1:3">
      <c r="A24607" s="250">
        <v>57030</v>
      </c>
      <c r="B24607" s="74" t="s">
        <v>12816</v>
      </c>
      <c r="C24607" s="74" t="s">
        <v>451</v>
      </c>
    </row>
    <row r="24608" spans="1:3">
      <c r="A24608" s="250">
        <v>57031</v>
      </c>
      <c r="B24608" s="74" t="s">
        <v>12817</v>
      </c>
      <c r="C24608" s="74" t="s">
        <v>451</v>
      </c>
    </row>
    <row r="24609" spans="1:3">
      <c r="A24609" s="250">
        <v>57032</v>
      </c>
      <c r="B24609" s="74" t="s">
        <v>4757</v>
      </c>
      <c r="C24609" s="74" t="s">
        <v>451</v>
      </c>
    </row>
    <row r="24610" spans="1:3">
      <c r="A24610" s="250">
        <v>57033</v>
      </c>
      <c r="B24610" s="74" t="s">
        <v>1737</v>
      </c>
      <c r="C24610" s="74" t="s">
        <v>451</v>
      </c>
    </row>
    <row r="24611" spans="1:3">
      <c r="A24611" s="250">
        <v>57034</v>
      </c>
      <c r="B24611" s="74" t="s">
        <v>792</v>
      </c>
      <c r="C24611" s="74" t="s">
        <v>451</v>
      </c>
    </row>
    <row r="24612" spans="1:3">
      <c r="A24612" s="250">
        <v>57035</v>
      </c>
      <c r="B24612" s="74" t="s">
        <v>9221</v>
      </c>
      <c r="C24612" s="74" t="s">
        <v>451</v>
      </c>
    </row>
    <row r="24613" spans="1:3">
      <c r="A24613" s="250">
        <v>57036</v>
      </c>
      <c r="B24613" s="74" t="s">
        <v>3057</v>
      </c>
      <c r="C24613" s="74" t="s">
        <v>451</v>
      </c>
    </row>
    <row r="24614" spans="1:3">
      <c r="A24614" s="250">
        <v>57037</v>
      </c>
      <c r="B24614" s="74" t="s">
        <v>12818</v>
      </c>
      <c r="C24614" s="74" t="s">
        <v>451</v>
      </c>
    </row>
    <row r="24615" spans="1:3">
      <c r="A24615" s="250">
        <v>57038</v>
      </c>
      <c r="B24615" s="74" t="s">
        <v>740</v>
      </c>
      <c r="C24615" s="74" t="s">
        <v>451</v>
      </c>
    </row>
    <row r="24616" spans="1:3">
      <c r="A24616" s="250">
        <v>57039</v>
      </c>
      <c r="B24616" s="74" t="s">
        <v>12819</v>
      </c>
      <c r="C24616" s="74" t="s">
        <v>451</v>
      </c>
    </row>
    <row r="24617" spans="1:3">
      <c r="A24617" s="250">
        <v>57040</v>
      </c>
      <c r="B24617" s="74" t="s">
        <v>12820</v>
      </c>
      <c r="C24617" s="74" t="s">
        <v>451</v>
      </c>
    </row>
    <row r="24618" spans="1:3">
      <c r="A24618" s="250">
        <v>57041</v>
      </c>
      <c r="B24618" s="74" t="s">
        <v>2349</v>
      </c>
      <c r="C24618" s="74" t="s">
        <v>451</v>
      </c>
    </row>
    <row r="24619" spans="1:3">
      <c r="A24619" s="250">
        <v>57042</v>
      </c>
      <c r="B24619" s="74" t="s">
        <v>1320</v>
      </c>
      <c r="C24619" s="74" t="s">
        <v>451</v>
      </c>
    </row>
    <row r="24620" spans="1:3">
      <c r="A24620" s="250">
        <v>57043</v>
      </c>
      <c r="B24620" s="74" t="s">
        <v>1071</v>
      </c>
      <c r="C24620" s="74" t="s">
        <v>451</v>
      </c>
    </row>
    <row r="24621" spans="1:3">
      <c r="A24621" s="250">
        <v>57045</v>
      </c>
      <c r="B24621" s="74" t="s">
        <v>12821</v>
      </c>
      <c r="C24621" s="74" t="s">
        <v>451</v>
      </c>
    </row>
    <row r="24622" spans="1:3">
      <c r="A24622" s="250">
        <v>57046</v>
      </c>
      <c r="B24622" s="74" t="s">
        <v>12822</v>
      </c>
      <c r="C24622" s="74" t="s">
        <v>451</v>
      </c>
    </row>
    <row r="24623" spans="1:3">
      <c r="A24623" s="250">
        <v>57047</v>
      </c>
      <c r="B24623" s="74" t="s">
        <v>1284</v>
      </c>
      <c r="C24623" s="74" t="s">
        <v>451</v>
      </c>
    </row>
    <row r="24624" spans="1:3">
      <c r="A24624" s="250">
        <v>57048</v>
      </c>
      <c r="B24624" s="74" t="s">
        <v>2645</v>
      </c>
      <c r="C24624" s="74" t="s">
        <v>451</v>
      </c>
    </row>
    <row r="24625" spans="1:3">
      <c r="A24625" s="250">
        <v>57049</v>
      </c>
      <c r="B24625" s="74" t="s">
        <v>12823</v>
      </c>
      <c r="C24625" s="74" t="s">
        <v>451</v>
      </c>
    </row>
    <row r="24626" spans="1:3">
      <c r="A24626" s="250">
        <v>57050</v>
      </c>
      <c r="B24626" s="74" t="s">
        <v>3800</v>
      </c>
      <c r="C24626" s="74" t="s">
        <v>451</v>
      </c>
    </row>
    <row r="24627" spans="1:3">
      <c r="A24627" s="250">
        <v>57051</v>
      </c>
      <c r="B24627" s="74" t="s">
        <v>12824</v>
      </c>
      <c r="C24627" s="74" t="s">
        <v>451</v>
      </c>
    </row>
    <row r="24628" spans="1:3">
      <c r="A24628" s="250">
        <v>57052</v>
      </c>
      <c r="B24628" s="74" t="s">
        <v>11208</v>
      </c>
      <c r="C24628" s="74" t="s">
        <v>451</v>
      </c>
    </row>
    <row r="24629" spans="1:3">
      <c r="A24629" s="250">
        <v>57053</v>
      </c>
      <c r="B24629" s="74" t="s">
        <v>4396</v>
      </c>
      <c r="C24629" s="74" t="s">
        <v>451</v>
      </c>
    </row>
    <row r="24630" spans="1:3">
      <c r="A24630" s="250">
        <v>57054</v>
      </c>
      <c r="B24630" s="74" t="s">
        <v>12825</v>
      </c>
      <c r="C24630" s="74" t="s">
        <v>451</v>
      </c>
    </row>
    <row r="24631" spans="1:3">
      <c r="A24631" s="250">
        <v>57055</v>
      </c>
      <c r="B24631" s="74" t="s">
        <v>12826</v>
      </c>
      <c r="C24631" s="74" t="s">
        <v>451</v>
      </c>
    </row>
    <row r="24632" spans="1:3">
      <c r="A24632" s="250">
        <v>57056</v>
      </c>
      <c r="B24632" s="74" t="s">
        <v>12827</v>
      </c>
      <c r="C24632" s="74" t="s">
        <v>451</v>
      </c>
    </row>
    <row r="24633" spans="1:3">
      <c r="A24633" s="250">
        <v>57057</v>
      </c>
      <c r="B24633" s="74" t="s">
        <v>757</v>
      </c>
      <c r="C24633" s="74" t="s">
        <v>451</v>
      </c>
    </row>
    <row r="24634" spans="1:3">
      <c r="A24634" s="250">
        <v>57058</v>
      </c>
      <c r="B24634" s="74" t="s">
        <v>858</v>
      </c>
      <c r="C24634" s="74" t="s">
        <v>451</v>
      </c>
    </row>
    <row r="24635" spans="1:3">
      <c r="A24635" s="250">
        <v>57059</v>
      </c>
      <c r="B24635" s="74" t="s">
        <v>2003</v>
      </c>
      <c r="C24635" s="74" t="s">
        <v>451</v>
      </c>
    </row>
    <row r="24636" spans="1:3">
      <c r="A24636" s="250">
        <v>57061</v>
      </c>
      <c r="B24636" s="74" t="s">
        <v>12828</v>
      </c>
      <c r="C24636" s="74" t="s">
        <v>451</v>
      </c>
    </row>
    <row r="24637" spans="1:3">
      <c r="A24637" s="250">
        <v>57062</v>
      </c>
      <c r="B24637" s="74" t="s">
        <v>634</v>
      </c>
      <c r="C24637" s="74" t="s">
        <v>451</v>
      </c>
    </row>
    <row r="24638" spans="1:3">
      <c r="A24638" s="250">
        <v>57063</v>
      </c>
      <c r="B24638" s="74" t="s">
        <v>11791</v>
      </c>
      <c r="C24638" s="74" t="s">
        <v>451</v>
      </c>
    </row>
    <row r="24639" spans="1:3">
      <c r="A24639" s="250">
        <v>57064</v>
      </c>
      <c r="B24639" s="74" t="s">
        <v>12829</v>
      </c>
      <c r="C24639" s="74" t="s">
        <v>451</v>
      </c>
    </row>
    <row r="24640" spans="1:3">
      <c r="A24640" s="250">
        <v>57065</v>
      </c>
      <c r="B24640" s="74" t="s">
        <v>12830</v>
      </c>
      <c r="C24640" s="74" t="s">
        <v>451</v>
      </c>
    </row>
    <row r="24641" spans="1:3">
      <c r="A24641" s="250">
        <v>57066</v>
      </c>
      <c r="B24641" s="74" t="s">
        <v>12831</v>
      </c>
      <c r="C24641" s="74" t="s">
        <v>451</v>
      </c>
    </row>
    <row r="24642" spans="1:3">
      <c r="A24642" s="250">
        <v>57067</v>
      </c>
      <c r="B24642" s="74" t="s">
        <v>3521</v>
      </c>
      <c r="C24642" s="74" t="s">
        <v>451</v>
      </c>
    </row>
    <row r="24643" spans="1:3">
      <c r="A24643" s="250">
        <v>57068</v>
      </c>
      <c r="B24643" s="74" t="s">
        <v>12832</v>
      </c>
      <c r="C24643" s="74" t="s">
        <v>451</v>
      </c>
    </row>
    <row r="24644" spans="1:3">
      <c r="A24644" s="250">
        <v>57069</v>
      </c>
      <c r="B24644" s="74" t="s">
        <v>12391</v>
      </c>
      <c r="C24644" s="74" t="s">
        <v>451</v>
      </c>
    </row>
    <row r="24645" spans="1:3">
      <c r="A24645" s="250">
        <v>57070</v>
      </c>
      <c r="B24645" s="74" t="s">
        <v>12833</v>
      </c>
      <c r="C24645" s="74" t="s">
        <v>451</v>
      </c>
    </row>
    <row r="24646" spans="1:3">
      <c r="A24646" s="250">
        <v>57071</v>
      </c>
      <c r="B24646" s="74" t="s">
        <v>6902</v>
      </c>
      <c r="C24646" s="74" t="s">
        <v>451</v>
      </c>
    </row>
    <row r="24647" spans="1:3">
      <c r="A24647" s="250">
        <v>57072</v>
      </c>
      <c r="B24647" s="74" t="s">
        <v>12834</v>
      </c>
      <c r="C24647" s="74" t="s">
        <v>451</v>
      </c>
    </row>
    <row r="24648" spans="1:3">
      <c r="A24648" s="250">
        <v>57073</v>
      </c>
      <c r="B24648" s="74" t="s">
        <v>12835</v>
      </c>
      <c r="C24648" s="74" t="s">
        <v>451</v>
      </c>
    </row>
    <row r="24649" spans="1:3">
      <c r="A24649" s="250">
        <v>57075</v>
      </c>
      <c r="B24649" s="74" t="s">
        <v>1217</v>
      </c>
      <c r="C24649" s="74" t="s">
        <v>451</v>
      </c>
    </row>
    <row r="24650" spans="1:3">
      <c r="A24650" s="250">
        <v>57076</v>
      </c>
      <c r="B24650" s="74" t="s">
        <v>12836</v>
      </c>
      <c r="C24650" s="74" t="s">
        <v>451</v>
      </c>
    </row>
    <row r="24651" spans="1:3">
      <c r="A24651" s="250">
        <v>57077</v>
      </c>
      <c r="B24651" s="74" t="s">
        <v>12837</v>
      </c>
      <c r="C24651" s="74" t="s">
        <v>451</v>
      </c>
    </row>
    <row r="24652" spans="1:3">
      <c r="A24652" s="250">
        <v>57078</v>
      </c>
      <c r="B24652" s="74" t="s">
        <v>12838</v>
      </c>
      <c r="C24652" s="74" t="s">
        <v>451</v>
      </c>
    </row>
    <row r="24653" spans="1:3">
      <c r="A24653" s="250">
        <v>57079</v>
      </c>
      <c r="B24653" s="74" t="s">
        <v>12838</v>
      </c>
      <c r="C24653" s="74" t="s">
        <v>451</v>
      </c>
    </row>
    <row r="24654" spans="1:3">
      <c r="A24654" s="250">
        <v>57101</v>
      </c>
      <c r="B24654" s="74" t="s">
        <v>12839</v>
      </c>
      <c r="C24654" s="74" t="s">
        <v>451</v>
      </c>
    </row>
    <row r="24655" spans="1:3">
      <c r="A24655" s="250">
        <v>57103</v>
      </c>
      <c r="B24655" s="74" t="s">
        <v>12839</v>
      </c>
      <c r="C24655" s="74" t="s">
        <v>451</v>
      </c>
    </row>
    <row r="24656" spans="1:3">
      <c r="A24656" s="250">
        <v>57104</v>
      </c>
      <c r="B24656" s="74" t="s">
        <v>12839</v>
      </c>
      <c r="C24656" s="74" t="s">
        <v>451</v>
      </c>
    </row>
    <row r="24657" spans="1:3">
      <c r="A24657" s="250">
        <v>57105</v>
      </c>
      <c r="B24657" s="74" t="s">
        <v>12839</v>
      </c>
      <c r="C24657" s="74" t="s">
        <v>451</v>
      </c>
    </row>
    <row r="24658" spans="1:3">
      <c r="A24658" s="250">
        <v>57106</v>
      </c>
      <c r="B24658" s="74" t="s">
        <v>12839</v>
      </c>
      <c r="C24658" s="74" t="s">
        <v>451</v>
      </c>
    </row>
    <row r="24659" spans="1:3">
      <c r="A24659" s="250">
        <v>57107</v>
      </c>
      <c r="B24659" s="74" t="s">
        <v>12839</v>
      </c>
      <c r="C24659" s="74" t="s">
        <v>451</v>
      </c>
    </row>
    <row r="24660" spans="1:3">
      <c r="A24660" s="250">
        <v>57108</v>
      </c>
      <c r="B24660" s="74" t="s">
        <v>12839</v>
      </c>
      <c r="C24660" s="74" t="s">
        <v>451</v>
      </c>
    </row>
    <row r="24661" spans="1:3">
      <c r="A24661" s="250">
        <v>57109</v>
      </c>
      <c r="B24661" s="74" t="s">
        <v>12839</v>
      </c>
      <c r="C24661" s="74" t="s">
        <v>451</v>
      </c>
    </row>
    <row r="24662" spans="1:3">
      <c r="A24662" s="250">
        <v>57110</v>
      </c>
      <c r="B24662" s="74" t="s">
        <v>12839</v>
      </c>
      <c r="C24662" s="74" t="s">
        <v>451</v>
      </c>
    </row>
    <row r="24663" spans="1:3">
      <c r="A24663" s="250">
        <v>57117</v>
      </c>
      <c r="B24663" s="74" t="s">
        <v>12839</v>
      </c>
      <c r="C24663" s="74" t="s">
        <v>451</v>
      </c>
    </row>
    <row r="24664" spans="1:3">
      <c r="A24664" s="250">
        <v>57118</v>
      </c>
      <c r="B24664" s="74" t="s">
        <v>12839</v>
      </c>
      <c r="C24664" s="74" t="s">
        <v>451</v>
      </c>
    </row>
    <row r="24665" spans="1:3">
      <c r="A24665" s="250">
        <v>57186</v>
      </c>
      <c r="B24665" s="74" t="s">
        <v>12839</v>
      </c>
      <c r="C24665" s="74" t="s">
        <v>451</v>
      </c>
    </row>
    <row r="24666" spans="1:3">
      <c r="A24666" s="250">
        <v>57188</v>
      </c>
      <c r="B24666" s="74" t="s">
        <v>12839</v>
      </c>
      <c r="C24666" s="74" t="s">
        <v>451</v>
      </c>
    </row>
    <row r="24667" spans="1:3">
      <c r="A24667" s="250">
        <v>57189</v>
      </c>
      <c r="B24667" s="74" t="s">
        <v>12839</v>
      </c>
      <c r="C24667" s="74" t="s">
        <v>451</v>
      </c>
    </row>
    <row r="24668" spans="1:3">
      <c r="A24668" s="250">
        <v>57192</v>
      </c>
      <c r="B24668" s="74" t="s">
        <v>12839</v>
      </c>
      <c r="C24668" s="74" t="s">
        <v>451</v>
      </c>
    </row>
    <row r="24669" spans="1:3">
      <c r="A24669" s="250">
        <v>57193</v>
      </c>
      <c r="B24669" s="74" t="s">
        <v>12839</v>
      </c>
      <c r="C24669" s="74" t="s">
        <v>451</v>
      </c>
    </row>
    <row r="24670" spans="1:3">
      <c r="A24670" s="250">
        <v>57194</v>
      </c>
      <c r="B24670" s="74" t="s">
        <v>12839</v>
      </c>
      <c r="C24670" s="74" t="s">
        <v>451</v>
      </c>
    </row>
    <row r="24671" spans="1:3">
      <c r="A24671" s="250">
        <v>57195</v>
      </c>
      <c r="B24671" s="74" t="s">
        <v>12839</v>
      </c>
      <c r="C24671" s="74" t="s">
        <v>451</v>
      </c>
    </row>
    <row r="24672" spans="1:3">
      <c r="A24672" s="250">
        <v>57196</v>
      </c>
      <c r="B24672" s="74" t="s">
        <v>12839</v>
      </c>
      <c r="C24672" s="74" t="s">
        <v>451</v>
      </c>
    </row>
    <row r="24673" spans="1:3">
      <c r="A24673" s="250">
        <v>57197</v>
      </c>
      <c r="B24673" s="74" t="s">
        <v>12839</v>
      </c>
      <c r="C24673" s="74" t="s">
        <v>451</v>
      </c>
    </row>
    <row r="24674" spans="1:3">
      <c r="A24674" s="250">
        <v>57198</v>
      </c>
      <c r="B24674" s="74" t="s">
        <v>12839</v>
      </c>
      <c r="C24674" s="74" t="s">
        <v>451</v>
      </c>
    </row>
    <row r="24675" spans="1:3">
      <c r="A24675" s="250">
        <v>57201</v>
      </c>
      <c r="B24675" s="74" t="s">
        <v>983</v>
      </c>
      <c r="C24675" s="74" t="s">
        <v>451</v>
      </c>
    </row>
    <row r="24676" spans="1:3">
      <c r="A24676" s="250">
        <v>57212</v>
      </c>
      <c r="B24676" s="74" t="s">
        <v>984</v>
      </c>
      <c r="C24676" s="74" t="s">
        <v>451</v>
      </c>
    </row>
    <row r="24677" spans="1:3">
      <c r="A24677" s="250">
        <v>57213</v>
      </c>
      <c r="B24677" s="74" t="s">
        <v>2732</v>
      </c>
      <c r="C24677" s="74" t="s">
        <v>451</v>
      </c>
    </row>
    <row r="24678" spans="1:3">
      <c r="A24678" s="250">
        <v>57214</v>
      </c>
      <c r="B24678" s="74" t="s">
        <v>11608</v>
      </c>
      <c r="C24678" s="74" t="s">
        <v>451</v>
      </c>
    </row>
    <row r="24679" spans="1:3">
      <c r="A24679" s="250">
        <v>57216</v>
      </c>
      <c r="B24679" s="74" t="s">
        <v>12840</v>
      </c>
      <c r="C24679" s="74" t="s">
        <v>451</v>
      </c>
    </row>
    <row r="24680" spans="1:3">
      <c r="A24680" s="250">
        <v>57217</v>
      </c>
      <c r="B24680" s="74" t="s">
        <v>1490</v>
      </c>
      <c r="C24680" s="74" t="s">
        <v>451</v>
      </c>
    </row>
    <row r="24681" spans="1:3">
      <c r="A24681" s="250">
        <v>57218</v>
      </c>
      <c r="B24681" s="74" t="s">
        <v>12841</v>
      </c>
      <c r="C24681" s="74" t="s">
        <v>451</v>
      </c>
    </row>
    <row r="24682" spans="1:3">
      <c r="A24682" s="250">
        <v>57219</v>
      </c>
      <c r="B24682" s="74" t="s">
        <v>1098</v>
      </c>
      <c r="C24682" s="74" t="s">
        <v>451</v>
      </c>
    </row>
    <row r="24683" spans="1:3">
      <c r="A24683" s="250">
        <v>57220</v>
      </c>
      <c r="B24683" s="74" t="s">
        <v>9382</v>
      </c>
      <c r="C24683" s="74" t="s">
        <v>451</v>
      </c>
    </row>
    <row r="24684" spans="1:3">
      <c r="A24684" s="250">
        <v>57221</v>
      </c>
      <c r="B24684" s="74" t="s">
        <v>8763</v>
      </c>
      <c r="C24684" s="74" t="s">
        <v>451</v>
      </c>
    </row>
    <row r="24685" spans="1:3">
      <c r="A24685" s="250">
        <v>57223</v>
      </c>
      <c r="B24685" s="74" t="s">
        <v>6319</v>
      </c>
      <c r="C24685" s="74" t="s">
        <v>451</v>
      </c>
    </row>
    <row r="24686" spans="1:3">
      <c r="A24686" s="250">
        <v>57224</v>
      </c>
      <c r="B24686" s="74" t="s">
        <v>12842</v>
      </c>
      <c r="C24686" s="74" t="s">
        <v>451</v>
      </c>
    </row>
    <row r="24687" spans="1:3">
      <c r="A24687" s="250">
        <v>57225</v>
      </c>
      <c r="B24687" s="74" t="s">
        <v>2149</v>
      </c>
      <c r="C24687" s="74" t="s">
        <v>451</v>
      </c>
    </row>
    <row r="24688" spans="1:3">
      <c r="A24688" s="250">
        <v>57226</v>
      </c>
      <c r="B24688" s="74" t="s">
        <v>11571</v>
      </c>
      <c r="C24688" s="74" t="s">
        <v>451</v>
      </c>
    </row>
    <row r="24689" spans="1:3">
      <c r="A24689" s="250">
        <v>57227</v>
      </c>
      <c r="B24689" s="74" t="s">
        <v>2741</v>
      </c>
      <c r="C24689" s="74" t="s">
        <v>451</v>
      </c>
    </row>
    <row r="24690" spans="1:3">
      <c r="A24690" s="250">
        <v>57231</v>
      </c>
      <c r="B24690" s="74" t="s">
        <v>12843</v>
      </c>
      <c r="C24690" s="74" t="s">
        <v>451</v>
      </c>
    </row>
    <row r="24691" spans="1:3">
      <c r="A24691" s="250">
        <v>57232</v>
      </c>
      <c r="B24691" s="74" t="s">
        <v>1844</v>
      </c>
      <c r="C24691" s="74" t="s">
        <v>451</v>
      </c>
    </row>
    <row r="24692" spans="1:3">
      <c r="A24692" s="250">
        <v>57233</v>
      </c>
      <c r="B24692" s="74" t="s">
        <v>7352</v>
      </c>
      <c r="C24692" s="74" t="s">
        <v>451</v>
      </c>
    </row>
    <row r="24693" spans="1:3">
      <c r="A24693" s="250">
        <v>57234</v>
      </c>
      <c r="B24693" s="74" t="s">
        <v>12844</v>
      </c>
      <c r="C24693" s="74" t="s">
        <v>451</v>
      </c>
    </row>
    <row r="24694" spans="1:3">
      <c r="A24694" s="250">
        <v>57235</v>
      </c>
      <c r="B24694" s="74" t="s">
        <v>608</v>
      </c>
      <c r="C24694" s="74" t="s">
        <v>451</v>
      </c>
    </row>
    <row r="24695" spans="1:3">
      <c r="A24695" s="250">
        <v>57236</v>
      </c>
      <c r="B24695" s="74" t="s">
        <v>2769</v>
      </c>
      <c r="C24695" s="74" t="s">
        <v>451</v>
      </c>
    </row>
    <row r="24696" spans="1:3">
      <c r="A24696" s="250">
        <v>57237</v>
      </c>
      <c r="B24696" s="74" t="s">
        <v>6507</v>
      </c>
      <c r="C24696" s="74" t="s">
        <v>451</v>
      </c>
    </row>
    <row r="24697" spans="1:3">
      <c r="A24697" s="250">
        <v>57238</v>
      </c>
      <c r="B24697" s="74" t="s">
        <v>12845</v>
      </c>
      <c r="C24697" s="74" t="s">
        <v>451</v>
      </c>
    </row>
    <row r="24698" spans="1:3">
      <c r="A24698" s="250">
        <v>57239</v>
      </c>
      <c r="B24698" s="74" t="s">
        <v>12846</v>
      </c>
      <c r="C24698" s="74" t="s">
        <v>451</v>
      </c>
    </row>
    <row r="24699" spans="1:3">
      <c r="A24699" s="250">
        <v>57241</v>
      </c>
      <c r="B24699" s="74" t="s">
        <v>12847</v>
      </c>
      <c r="C24699" s="74" t="s">
        <v>451</v>
      </c>
    </row>
    <row r="24700" spans="1:3">
      <c r="A24700" s="250">
        <v>57242</v>
      </c>
      <c r="B24700" s="74" t="s">
        <v>9937</v>
      </c>
      <c r="C24700" s="74" t="s">
        <v>451</v>
      </c>
    </row>
    <row r="24701" spans="1:3">
      <c r="A24701" s="250">
        <v>57243</v>
      </c>
      <c r="B24701" s="74" t="s">
        <v>6280</v>
      </c>
      <c r="C24701" s="74" t="s">
        <v>451</v>
      </c>
    </row>
    <row r="24702" spans="1:3">
      <c r="A24702" s="250">
        <v>57245</v>
      </c>
      <c r="B24702" s="74" t="s">
        <v>12848</v>
      </c>
      <c r="C24702" s="74" t="s">
        <v>451</v>
      </c>
    </row>
    <row r="24703" spans="1:3">
      <c r="A24703" s="250">
        <v>57246</v>
      </c>
      <c r="B24703" s="74" t="s">
        <v>12849</v>
      </c>
      <c r="C24703" s="74" t="s">
        <v>451</v>
      </c>
    </row>
    <row r="24704" spans="1:3">
      <c r="A24704" s="250">
        <v>57247</v>
      </c>
      <c r="B24704" s="74" t="s">
        <v>4516</v>
      </c>
      <c r="C24704" s="74" t="s">
        <v>451</v>
      </c>
    </row>
    <row r="24705" spans="1:3">
      <c r="A24705" s="250">
        <v>57248</v>
      </c>
      <c r="B24705" s="74" t="s">
        <v>12850</v>
      </c>
      <c r="C24705" s="74" t="s">
        <v>451</v>
      </c>
    </row>
    <row r="24706" spans="1:3">
      <c r="A24706" s="250">
        <v>57249</v>
      </c>
      <c r="B24706" s="74" t="s">
        <v>12851</v>
      </c>
      <c r="C24706" s="74" t="s">
        <v>451</v>
      </c>
    </row>
    <row r="24707" spans="1:3">
      <c r="A24707" s="250">
        <v>57251</v>
      </c>
      <c r="B24707" s="74" t="s">
        <v>12852</v>
      </c>
      <c r="C24707" s="74" t="s">
        <v>451</v>
      </c>
    </row>
    <row r="24708" spans="1:3">
      <c r="A24708" s="250">
        <v>57252</v>
      </c>
      <c r="B24708" s="74" t="s">
        <v>12853</v>
      </c>
      <c r="C24708" s="74" t="s">
        <v>451</v>
      </c>
    </row>
    <row r="24709" spans="1:3">
      <c r="A24709" s="250">
        <v>57253</v>
      </c>
      <c r="B24709" s="74" t="s">
        <v>12853</v>
      </c>
      <c r="C24709" s="74" t="s">
        <v>451</v>
      </c>
    </row>
    <row r="24710" spans="1:3">
      <c r="A24710" s="250">
        <v>57255</v>
      </c>
      <c r="B24710" s="74" t="s">
        <v>12854</v>
      </c>
      <c r="C24710" s="74" t="s">
        <v>451</v>
      </c>
    </row>
    <row r="24711" spans="1:3">
      <c r="A24711" s="250">
        <v>57256</v>
      </c>
      <c r="B24711" s="74" t="s">
        <v>12855</v>
      </c>
      <c r="C24711" s="74" t="s">
        <v>451</v>
      </c>
    </row>
    <row r="24712" spans="1:3">
      <c r="A24712" s="250">
        <v>57257</v>
      </c>
      <c r="B24712" s="74" t="s">
        <v>12856</v>
      </c>
      <c r="C24712" s="74" t="s">
        <v>451</v>
      </c>
    </row>
    <row r="24713" spans="1:3">
      <c r="A24713" s="250">
        <v>57258</v>
      </c>
      <c r="B24713" s="74" t="s">
        <v>1170</v>
      </c>
      <c r="C24713" s="74" t="s">
        <v>451</v>
      </c>
    </row>
    <row r="24714" spans="1:3">
      <c r="A24714" s="250">
        <v>57259</v>
      </c>
      <c r="B24714" s="74" t="s">
        <v>12857</v>
      </c>
      <c r="C24714" s="74" t="s">
        <v>451</v>
      </c>
    </row>
    <row r="24715" spans="1:3">
      <c r="A24715" s="250">
        <v>57260</v>
      </c>
      <c r="B24715" s="74" t="s">
        <v>12182</v>
      </c>
      <c r="C24715" s="74" t="s">
        <v>451</v>
      </c>
    </row>
    <row r="24716" spans="1:3">
      <c r="A24716" s="250">
        <v>57261</v>
      </c>
      <c r="B24716" s="74" t="s">
        <v>2788</v>
      </c>
      <c r="C24716" s="74" t="s">
        <v>451</v>
      </c>
    </row>
    <row r="24717" spans="1:3">
      <c r="A24717" s="250">
        <v>57262</v>
      </c>
      <c r="B24717" s="74" t="s">
        <v>12858</v>
      </c>
      <c r="C24717" s="74" t="s">
        <v>451</v>
      </c>
    </row>
    <row r="24718" spans="1:3">
      <c r="A24718" s="250">
        <v>57263</v>
      </c>
      <c r="B24718" s="74" t="s">
        <v>9758</v>
      </c>
      <c r="C24718" s="74" t="s">
        <v>451</v>
      </c>
    </row>
    <row r="24719" spans="1:3">
      <c r="A24719" s="250">
        <v>57264</v>
      </c>
      <c r="B24719" s="74" t="s">
        <v>1657</v>
      </c>
      <c r="C24719" s="74" t="s">
        <v>451</v>
      </c>
    </row>
    <row r="24720" spans="1:3">
      <c r="A24720" s="250">
        <v>57265</v>
      </c>
      <c r="B24720" s="74" t="s">
        <v>12859</v>
      </c>
      <c r="C24720" s="74" t="s">
        <v>451</v>
      </c>
    </row>
    <row r="24721" spans="1:3">
      <c r="A24721" s="250">
        <v>57266</v>
      </c>
      <c r="B24721" s="74" t="s">
        <v>2335</v>
      </c>
      <c r="C24721" s="74" t="s">
        <v>451</v>
      </c>
    </row>
    <row r="24722" spans="1:3">
      <c r="A24722" s="250">
        <v>57268</v>
      </c>
      <c r="B24722" s="74" t="s">
        <v>10283</v>
      </c>
      <c r="C24722" s="74" t="s">
        <v>451</v>
      </c>
    </row>
    <row r="24723" spans="1:3">
      <c r="A24723" s="250">
        <v>57269</v>
      </c>
      <c r="B24723" s="74" t="s">
        <v>12860</v>
      </c>
      <c r="C24723" s="74" t="s">
        <v>451</v>
      </c>
    </row>
    <row r="24724" spans="1:3">
      <c r="A24724" s="250">
        <v>57270</v>
      </c>
      <c r="B24724" s="74" t="s">
        <v>12861</v>
      </c>
      <c r="C24724" s="74" t="s">
        <v>451</v>
      </c>
    </row>
    <row r="24725" spans="1:3">
      <c r="A24725" s="250">
        <v>57271</v>
      </c>
      <c r="B24725" s="74" t="s">
        <v>1486</v>
      </c>
      <c r="C24725" s="74" t="s">
        <v>451</v>
      </c>
    </row>
    <row r="24726" spans="1:3">
      <c r="A24726" s="250">
        <v>57272</v>
      </c>
      <c r="B24726" s="74" t="s">
        <v>6961</v>
      </c>
      <c r="C24726" s="74" t="s">
        <v>451</v>
      </c>
    </row>
    <row r="24727" spans="1:3">
      <c r="A24727" s="250">
        <v>57273</v>
      </c>
      <c r="B24727" s="74" t="s">
        <v>12862</v>
      </c>
      <c r="C24727" s="74" t="s">
        <v>451</v>
      </c>
    </row>
    <row r="24728" spans="1:3">
      <c r="A24728" s="250">
        <v>57274</v>
      </c>
      <c r="B24728" s="74" t="s">
        <v>767</v>
      </c>
      <c r="C24728" s="74" t="s">
        <v>451</v>
      </c>
    </row>
    <row r="24729" spans="1:3">
      <c r="A24729" s="250">
        <v>57276</v>
      </c>
      <c r="B24729" s="74" t="s">
        <v>4152</v>
      </c>
      <c r="C24729" s="74" t="s">
        <v>451</v>
      </c>
    </row>
    <row r="24730" spans="1:3">
      <c r="A24730" s="250">
        <v>57278</v>
      </c>
      <c r="B24730" s="74" t="s">
        <v>12863</v>
      </c>
      <c r="C24730" s="74" t="s">
        <v>451</v>
      </c>
    </row>
    <row r="24731" spans="1:3">
      <c r="A24731" s="250">
        <v>57279</v>
      </c>
      <c r="B24731" s="74" t="s">
        <v>1219</v>
      </c>
      <c r="C24731" s="74" t="s">
        <v>451</v>
      </c>
    </row>
    <row r="24732" spans="1:3">
      <c r="A24732" s="250">
        <v>57301</v>
      </c>
      <c r="B24732" s="74" t="s">
        <v>8057</v>
      </c>
      <c r="C24732" s="74" t="s">
        <v>451</v>
      </c>
    </row>
    <row r="24733" spans="1:3">
      <c r="A24733" s="250">
        <v>57311</v>
      </c>
      <c r="B24733" s="74" t="s">
        <v>4530</v>
      </c>
      <c r="C24733" s="74" t="s">
        <v>451</v>
      </c>
    </row>
    <row r="24734" spans="1:3">
      <c r="A24734" s="250">
        <v>57312</v>
      </c>
      <c r="B24734" s="74" t="s">
        <v>11339</v>
      </c>
      <c r="C24734" s="74" t="s">
        <v>451</v>
      </c>
    </row>
    <row r="24735" spans="1:3">
      <c r="A24735" s="250">
        <v>57313</v>
      </c>
      <c r="B24735" s="74" t="s">
        <v>12864</v>
      </c>
      <c r="C24735" s="74" t="s">
        <v>451</v>
      </c>
    </row>
    <row r="24736" spans="1:3">
      <c r="A24736" s="250">
        <v>57314</v>
      </c>
      <c r="B24736" s="74" t="s">
        <v>12865</v>
      </c>
      <c r="C24736" s="74" t="s">
        <v>451</v>
      </c>
    </row>
    <row r="24737" spans="1:3">
      <c r="A24737" s="250">
        <v>57315</v>
      </c>
      <c r="B24737" s="74" t="s">
        <v>935</v>
      </c>
      <c r="C24737" s="74" t="s">
        <v>451</v>
      </c>
    </row>
    <row r="24738" spans="1:3">
      <c r="A24738" s="250">
        <v>57317</v>
      </c>
      <c r="B24738" s="74" t="s">
        <v>12866</v>
      </c>
      <c r="C24738" s="74" t="s">
        <v>451</v>
      </c>
    </row>
    <row r="24739" spans="1:3">
      <c r="A24739" s="250">
        <v>57319</v>
      </c>
      <c r="B24739" s="74" t="s">
        <v>936</v>
      </c>
      <c r="C24739" s="74" t="s">
        <v>451</v>
      </c>
    </row>
    <row r="24740" spans="1:3">
      <c r="A24740" s="250">
        <v>57321</v>
      </c>
      <c r="B24740" s="74" t="s">
        <v>12867</v>
      </c>
      <c r="C24740" s="74" t="s">
        <v>451</v>
      </c>
    </row>
    <row r="24741" spans="1:3">
      <c r="A24741" s="250">
        <v>57322</v>
      </c>
      <c r="B24741" s="74" t="s">
        <v>11570</v>
      </c>
      <c r="C24741" s="74" t="s">
        <v>451</v>
      </c>
    </row>
    <row r="24742" spans="1:3">
      <c r="A24742" s="250">
        <v>57323</v>
      </c>
      <c r="B24742" s="74" t="s">
        <v>3531</v>
      </c>
      <c r="C24742" s="74" t="s">
        <v>451</v>
      </c>
    </row>
    <row r="24743" spans="1:3">
      <c r="A24743" s="250">
        <v>57324</v>
      </c>
      <c r="B24743" s="74" t="s">
        <v>12868</v>
      </c>
      <c r="C24743" s="74" t="s">
        <v>451</v>
      </c>
    </row>
    <row r="24744" spans="1:3">
      <c r="A24744" s="250">
        <v>57325</v>
      </c>
      <c r="B24744" s="74" t="s">
        <v>1540</v>
      </c>
      <c r="C24744" s="74" t="s">
        <v>451</v>
      </c>
    </row>
    <row r="24745" spans="1:3">
      <c r="A24745" s="250">
        <v>57326</v>
      </c>
      <c r="B24745" s="74" t="s">
        <v>1540</v>
      </c>
      <c r="C24745" s="74" t="s">
        <v>451</v>
      </c>
    </row>
    <row r="24746" spans="1:3">
      <c r="A24746" s="250">
        <v>57328</v>
      </c>
      <c r="B24746" s="74" t="s">
        <v>4321</v>
      </c>
      <c r="C24746" s="74" t="s">
        <v>451</v>
      </c>
    </row>
    <row r="24747" spans="1:3">
      <c r="A24747" s="250">
        <v>57329</v>
      </c>
      <c r="B24747" s="74" t="s">
        <v>6323</v>
      </c>
      <c r="C24747" s="74" t="s">
        <v>451</v>
      </c>
    </row>
    <row r="24748" spans="1:3">
      <c r="A24748" s="250">
        <v>57330</v>
      </c>
      <c r="B24748" s="74" t="s">
        <v>2478</v>
      </c>
      <c r="C24748" s="74" t="s">
        <v>451</v>
      </c>
    </row>
    <row r="24749" spans="1:3">
      <c r="A24749" s="250">
        <v>57331</v>
      </c>
      <c r="B24749" s="74" t="s">
        <v>5236</v>
      </c>
      <c r="C24749" s="74" t="s">
        <v>451</v>
      </c>
    </row>
    <row r="24750" spans="1:3">
      <c r="A24750" s="250">
        <v>57332</v>
      </c>
      <c r="B24750" s="74" t="s">
        <v>12869</v>
      </c>
      <c r="C24750" s="74" t="s">
        <v>451</v>
      </c>
    </row>
    <row r="24751" spans="1:3">
      <c r="A24751" s="250">
        <v>57334</v>
      </c>
      <c r="B24751" s="74" t="s">
        <v>12870</v>
      </c>
      <c r="C24751" s="74" t="s">
        <v>451</v>
      </c>
    </row>
    <row r="24752" spans="1:3">
      <c r="A24752" s="250">
        <v>57335</v>
      </c>
      <c r="B24752" s="74" t="s">
        <v>1811</v>
      </c>
      <c r="C24752" s="74" t="s">
        <v>451</v>
      </c>
    </row>
    <row r="24753" spans="1:3">
      <c r="A24753" s="250">
        <v>57337</v>
      </c>
      <c r="B24753" s="74" t="s">
        <v>12871</v>
      </c>
      <c r="C24753" s="74" t="s">
        <v>451</v>
      </c>
    </row>
    <row r="24754" spans="1:3">
      <c r="A24754" s="250">
        <v>57339</v>
      </c>
      <c r="B24754" s="74" t="s">
        <v>12872</v>
      </c>
      <c r="C24754" s="74" t="s">
        <v>451</v>
      </c>
    </row>
    <row r="24755" spans="1:3">
      <c r="A24755" s="250">
        <v>57340</v>
      </c>
      <c r="B24755" s="74" t="s">
        <v>3365</v>
      </c>
      <c r="C24755" s="74" t="s">
        <v>451</v>
      </c>
    </row>
    <row r="24756" spans="1:3">
      <c r="A24756" s="250">
        <v>57341</v>
      </c>
      <c r="B24756" s="74" t="s">
        <v>12873</v>
      </c>
      <c r="C24756" s="74" t="s">
        <v>451</v>
      </c>
    </row>
    <row r="24757" spans="1:3">
      <c r="A24757" s="250">
        <v>57342</v>
      </c>
      <c r="B24757" s="74" t="s">
        <v>12874</v>
      </c>
      <c r="C24757" s="74" t="s">
        <v>451</v>
      </c>
    </row>
    <row r="24758" spans="1:3">
      <c r="A24758" s="250">
        <v>57344</v>
      </c>
      <c r="B24758" s="74" t="s">
        <v>1386</v>
      </c>
      <c r="C24758" s="74" t="s">
        <v>451</v>
      </c>
    </row>
    <row r="24759" spans="1:3">
      <c r="A24759" s="250">
        <v>57345</v>
      </c>
      <c r="B24759" s="74" t="s">
        <v>12875</v>
      </c>
      <c r="C24759" s="74" t="s">
        <v>451</v>
      </c>
    </row>
    <row r="24760" spans="1:3">
      <c r="A24760" s="250">
        <v>57346</v>
      </c>
      <c r="B24760" s="74" t="s">
        <v>12876</v>
      </c>
      <c r="C24760" s="74" t="s">
        <v>451</v>
      </c>
    </row>
    <row r="24761" spans="1:3">
      <c r="A24761" s="250">
        <v>57348</v>
      </c>
      <c r="B24761" s="74" t="s">
        <v>12877</v>
      </c>
      <c r="C24761" s="74" t="s">
        <v>451</v>
      </c>
    </row>
    <row r="24762" spans="1:3">
      <c r="A24762" s="250">
        <v>57349</v>
      </c>
      <c r="B24762" s="74" t="s">
        <v>4627</v>
      </c>
      <c r="C24762" s="74" t="s">
        <v>451</v>
      </c>
    </row>
    <row r="24763" spans="1:3">
      <c r="A24763" s="250">
        <v>57350</v>
      </c>
      <c r="B24763" s="74" t="s">
        <v>9222</v>
      </c>
      <c r="C24763" s="74" t="s">
        <v>451</v>
      </c>
    </row>
    <row r="24764" spans="1:3">
      <c r="A24764" s="250">
        <v>57353</v>
      </c>
      <c r="B24764" s="74" t="s">
        <v>12878</v>
      </c>
      <c r="C24764" s="74" t="s">
        <v>451</v>
      </c>
    </row>
    <row r="24765" spans="1:3">
      <c r="A24765" s="250">
        <v>57354</v>
      </c>
      <c r="B24765" s="74" t="s">
        <v>12879</v>
      </c>
      <c r="C24765" s="74" t="s">
        <v>451</v>
      </c>
    </row>
    <row r="24766" spans="1:3">
      <c r="A24766" s="250">
        <v>57355</v>
      </c>
      <c r="B24766" s="74" t="s">
        <v>6518</v>
      </c>
      <c r="C24766" s="74" t="s">
        <v>451</v>
      </c>
    </row>
    <row r="24767" spans="1:3">
      <c r="A24767" s="250">
        <v>57356</v>
      </c>
      <c r="B24767" s="74" t="s">
        <v>12880</v>
      </c>
      <c r="C24767" s="74" t="s">
        <v>451</v>
      </c>
    </row>
    <row r="24768" spans="1:3">
      <c r="A24768" s="250">
        <v>57358</v>
      </c>
      <c r="B24768" s="74" t="s">
        <v>7742</v>
      </c>
      <c r="C24768" s="74" t="s">
        <v>451</v>
      </c>
    </row>
    <row r="24769" spans="1:3">
      <c r="A24769" s="250">
        <v>57359</v>
      </c>
      <c r="B24769" s="74" t="s">
        <v>9908</v>
      </c>
      <c r="C24769" s="74" t="s">
        <v>451</v>
      </c>
    </row>
    <row r="24770" spans="1:3">
      <c r="A24770" s="250">
        <v>57361</v>
      </c>
      <c r="B24770" s="74" t="s">
        <v>12881</v>
      </c>
      <c r="C24770" s="74" t="s">
        <v>451</v>
      </c>
    </row>
    <row r="24771" spans="1:3">
      <c r="A24771" s="250">
        <v>57362</v>
      </c>
      <c r="B24771" s="74" t="s">
        <v>12882</v>
      </c>
      <c r="C24771" s="74" t="s">
        <v>451</v>
      </c>
    </row>
    <row r="24772" spans="1:3">
      <c r="A24772" s="250">
        <v>57363</v>
      </c>
      <c r="B24772" s="74" t="s">
        <v>1481</v>
      </c>
      <c r="C24772" s="74" t="s">
        <v>451</v>
      </c>
    </row>
    <row r="24773" spans="1:3">
      <c r="A24773" s="250">
        <v>57364</v>
      </c>
      <c r="B24773" s="74" t="s">
        <v>4876</v>
      </c>
      <c r="C24773" s="74" t="s">
        <v>451</v>
      </c>
    </row>
    <row r="24774" spans="1:3">
      <c r="A24774" s="250">
        <v>57365</v>
      </c>
      <c r="B24774" s="74" t="s">
        <v>12883</v>
      </c>
      <c r="C24774" s="74" t="s">
        <v>451</v>
      </c>
    </row>
    <row r="24775" spans="1:3">
      <c r="A24775" s="250">
        <v>57366</v>
      </c>
      <c r="B24775" s="74" t="s">
        <v>12884</v>
      </c>
      <c r="C24775" s="74" t="s">
        <v>451</v>
      </c>
    </row>
    <row r="24776" spans="1:3">
      <c r="A24776" s="250">
        <v>57367</v>
      </c>
      <c r="B24776" s="74" t="s">
        <v>12885</v>
      </c>
      <c r="C24776" s="74" t="s">
        <v>451</v>
      </c>
    </row>
    <row r="24777" spans="1:3">
      <c r="A24777" s="250">
        <v>57368</v>
      </c>
      <c r="B24777" s="74" t="s">
        <v>12886</v>
      </c>
      <c r="C24777" s="74" t="s">
        <v>451</v>
      </c>
    </row>
    <row r="24778" spans="1:3">
      <c r="A24778" s="250">
        <v>57369</v>
      </c>
      <c r="B24778" s="74" t="s">
        <v>12887</v>
      </c>
      <c r="C24778" s="74" t="s">
        <v>451</v>
      </c>
    </row>
    <row r="24779" spans="1:3">
      <c r="A24779" s="250">
        <v>57370</v>
      </c>
      <c r="B24779" s="74" t="s">
        <v>12888</v>
      </c>
      <c r="C24779" s="74" t="s">
        <v>451</v>
      </c>
    </row>
    <row r="24780" spans="1:3">
      <c r="A24780" s="250">
        <v>57371</v>
      </c>
      <c r="B24780" s="74" t="s">
        <v>12889</v>
      </c>
      <c r="C24780" s="74" t="s">
        <v>451</v>
      </c>
    </row>
    <row r="24781" spans="1:3">
      <c r="A24781" s="250">
        <v>57373</v>
      </c>
      <c r="B24781" s="74" t="s">
        <v>12890</v>
      </c>
      <c r="C24781" s="74" t="s">
        <v>451</v>
      </c>
    </row>
    <row r="24782" spans="1:3">
      <c r="A24782" s="250">
        <v>57374</v>
      </c>
      <c r="B24782" s="74" t="s">
        <v>762</v>
      </c>
      <c r="C24782" s="74" t="s">
        <v>451</v>
      </c>
    </row>
    <row r="24783" spans="1:3">
      <c r="A24783" s="250">
        <v>57375</v>
      </c>
      <c r="B24783" s="74" t="s">
        <v>12891</v>
      </c>
      <c r="C24783" s="74" t="s">
        <v>451</v>
      </c>
    </row>
    <row r="24784" spans="1:3">
      <c r="A24784" s="250">
        <v>57376</v>
      </c>
      <c r="B24784" s="74" t="s">
        <v>12892</v>
      </c>
      <c r="C24784" s="74" t="s">
        <v>451</v>
      </c>
    </row>
    <row r="24785" spans="1:3">
      <c r="A24785" s="250">
        <v>57379</v>
      </c>
      <c r="B24785" s="74" t="s">
        <v>12893</v>
      </c>
      <c r="C24785" s="74" t="s">
        <v>451</v>
      </c>
    </row>
    <row r="24786" spans="1:3">
      <c r="A24786" s="250">
        <v>57380</v>
      </c>
      <c r="B24786" s="74" t="s">
        <v>12894</v>
      </c>
      <c r="C24786" s="74" t="s">
        <v>451</v>
      </c>
    </row>
    <row r="24787" spans="1:3">
      <c r="A24787" s="250">
        <v>57381</v>
      </c>
      <c r="B24787" s="74" t="s">
        <v>12895</v>
      </c>
      <c r="C24787" s="74" t="s">
        <v>451</v>
      </c>
    </row>
    <row r="24788" spans="1:3">
      <c r="A24788" s="250">
        <v>57382</v>
      </c>
      <c r="B24788" s="74" t="s">
        <v>12896</v>
      </c>
      <c r="C24788" s="74" t="s">
        <v>451</v>
      </c>
    </row>
    <row r="24789" spans="1:3">
      <c r="A24789" s="250">
        <v>57383</v>
      </c>
      <c r="B24789" s="74" t="s">
        <v>3211</v>
      </c>
      <c r="C24789" s="74" t="s">
        <v>451</v>
      </c>
    </row>
    <row r="24790" spans="1:3">
      <c r="A24790" s="250">
        <v>57384</v>
      </c>
      <c r="B24790" s="74" t="s">
        <v>12897</v>
      </c>
      <c r="C24790" s="74" t="s">
        <v>451</v>
      </c>
    </row>
    <row r="24791" spans="1:3">
      <c r="A24791" s="250">
        <v>57385</v>
      </c>
      <c r="B24791" s="74" t="s">
        <v>1140</v>
      </c>
      <c r="C24791" s="74" t="s">
        <v>451</v>
      </c>
    </row>
    <row r="24792" spans="1:3">
      <c r="A24792" s="250">
        <v>57386</v>
      </c>
      <c r="B24792" s="74" t="s">
        <v>6218</v>
      </c>
      <c r="C24792" s="74" t="s">
        <v>451</v>
      </c>
    </row>
    <row r="24793" spans="1:3">
      <c r="A24793" s="250">
        <v>57399</v>
      </c>
      <c r="B24793" s="74" t="s">
        <v>9222</v>
      </c>
      <c r="C24793" s="74" t="s">
        <v>451</v>
      </c>
    </row>
    <row r="24794" spans="1:3">
      <c r="A24794" s="250">
        <v>57401</v>
      </c>
      <c r="B24794" s="74" t="s">
        <v>5648</v>
      </c>
      <c r="C24794" s="74" t="s">
        <v>451</v>
      </c>
    </row>
    <row r="24795" spans="1:3">
      <c r="A24795" s="250">
        <v>57402</v>
      </c>
      <c r="B24795" s="74" t="s">
        <v>5648</v>
      </c>
      <c r="C24795" s="74" t="s">
        <v>451</v>
      </c>
    </row>
    <row r="24796" spans="1:3">
      <c r="A24796" s="250">
        <v>57420</v>
      </c>
      <c r="B24796" s="74" t="s">
        <v>12898</v>
      </c>
      <c r="C24796" s="74" t="s">
        <v>451</v>
      </c>
    </row>
    <row r="24797" spans="1:3">
      <c r="A24797" s="250">
        <v>57421</v>
      </c>
      <c r="B24797" s="74" t="s">
        <v>577</v>
      </c>
      <c r="C24797" s="74" t="s">
        <v>451</v>
      </c>
    </row>
    <row r="24798" spans="1:3">
      <c r="A24798" s="250">
        <v>57422</v>
      </c>
      <c r="B24798" s="74" t="s">
        <v>807</v>
      </c>
      <c r="C24798" s="74" t="s">
        <v>451</v>
      </c>
    </row>
    <row r="24799" spans="1:3">
      <c r="A24799" s="250">
        <v>57424</v>
      </c>
      <c r="B24799" s="74" t="s">
        <v>5637</v>
      </c>
      <c r="C24799" s="74" t="s">
        <v>451</v>
      </c>
    </row>
    <row r="24800" spans="1:3">
      <c r="A24800" s="250">
        <v>57426</v>
      </c>
      <c r="B24800" s="74" t="s">
        <v>1729</v>
      </c>
      <c r="C24800" s="74" t="s">
        <v>451</v>
      </c>
    </row>
    <row r="24801" spans="1:3">
      <c r="A24801" s="250">
        <v>57427</v>
      </c>
      <c r="B24801" s="74" t="s">
        <v>1269</v>
      </c>
      <c r="C24801" s="74" t="s">
        <v>451</v>
      </c>
    </row>
    <row r="24802" spans="1:3">
      <c r="A24802" s="250">
        <v>57428</v>
      </c>
      <c r="B24802" s="74" t="s">
        <v>12899</v>
      </c>
      <c r="C24802" s="74" t="s">
        <v>451</v>
      </c>
    </row>
    <row r="24803" spans="1:3">
      <c r="A24803" s="250">
        <v>57429</v>
      </c>
      <c r="B24803" s="74" t="s">
        <v>12900</v>
      </c>
      <c r="C24803" s="74" t="s">
        <v>451</v>
      </c>
    </row>
    <row r="24804" spans="1:3">
      <c r="A24804" s="250">
        <v>57430</v>
      </c>
      <c r="B24804" s="74" t="s">
        <v>11227</v>
      </c>
      <c r="C24804" s="74" t="s">
        <v>451</v>
      </c>
    </row>
    <row r="24805" spans="1:3">
      <c r="A24805" s="250">
        <v>57432</v>
      </c>
      <c r="B24805" s="74" t="s">
        <v>1271</v>
      </c>
      <c r="C24805" s="74" t="s">
        <v>451</v>
      </c>
    </row>
    <row r="24806" spans="1:3">
      <c r="A24806" s="250">
        <v>57433</v>
      </c>
      <c r="B24806" s="74" t="s">
        <v>1985</v>
      </c>
      <c r="C24806" s="74" t="s">
        <v>451</v>
      </c>
    </row>
    <row r="24807" spans="1:3">
      <c r="A24807" s="250">
        <v>57434</v>
      </c>
      <c r="B24807" s="74" t="s">
        <v>12901</v>
      </c>
      <c r="C24807" s="74" t="s">
        <v>451</v>
      </c>
    </row>
    <row r="24808" spans="1:3">
      <c r="A24808" s="250">
        <v>57435</v>
      </c>
      <c r="B24808" s="74" t="s">
        <v>12902</v>
      </c>
      <c r="C24808" s="74" t="s">
        <v>451</v>
      </c>
    </row>
    <row r="24809" spans="1:3">
      <c r="A24809" s="250">
        <v>57436</v>
      </c>
      <c r="B24809" s="74" t="s">
        <v>12903</v>
      </c>
      <c r="C24809" s="74" t="s">
        <v>451</v>
      </c>
    </row>
    <row r="24810" spans="1:3">
      <c r="A24810" s="250">
        <v>57437</v>
      </c>
      <c r="B24810" s="74" t="s">
        <v>11160</v>
      </c>
      <c r="C24810" s="74" t="s">
        <v>451</v>
      </c>
    </row>
    <row r="24811" spans="1:3">
      <c r="A24811" s="250">
        <v>57438</v>
      </c>
      <c r="B24811" s="74" t="s">
        <v>12904</v>
      </c>
      <c r="C24811" s="74" t="s">
        <v>451</v>
      </c>
    </row>
    <row r="24812" spans="1:3">
      <c r="A24812" s="250">
        <v>57439</v>
      </c>
      <c r="B24812" s="74" t="s">
        <v>12905</v>
      </c>
      <c r="C24812" s="74" t="s">
        <v>451</v>
      </c>
    </row>
    <row r="24813" spans="1:3">
      <c r="A24813" s="250">
        <v>57440</v>
      </c>
      <c r="B24813" s="74" t="s">
        <v>1505</v>
      </c>
      <c r="C24813" s="74" t="s">
        <v>451</v>
      </c>
    </row>
    <row r="24814" spans="1:3">
      <c r="A24814" s="250">
        <v>57441</v>
      </c>
      <c r="B24814" s="74" t="s">
        <v>5417</v>
      </c>
      <c r="C24814" s="74" t="s">
        <v>451</v>
      </c>
    </row>
    <row r="24815" spans="1:3">
      <c r="A24815" s="250">
        <v>57442</v>
      </c>
      <c r="B24815" s="74" t="s">
        <v>4821</v>
      </c>
      <c r="C24815" s="74" t="s">
        <v>451</v>
      </c>
    </row>
    <row r="24816" spans="1:3">
      <c r="A24816" s="250">
        <v>57445</v>
      </c>
      <c r="B24816" s="74" t="s">
        <v>709</v>
      </c>
      <c r="C24816" s="74" t="s">
        <v>451</v>
      </c>
    </row>
    <row r="24817" spans="1:3">
      <c r="A24817" s="250">
        <v>57446</v>
      </c>
      <c r="B24817" s="74" t="s">
        <v>12906</v>
      </c>
      <c r="C24817" s="74" t="s">
        <v>451</v>
      </c>
    </row>
    <row r="24818" spans="1:3">
      <c r="A24818" s="250">
        <v>57448</v>
      </c>
      <c r="B24818" s="74" t="s">
        <v>12907</v>
      </c>
      <c r="C24818" s="74" t="s">
        <v>451</v>
      </c>
    </row>
    <row r="24819" spans="1:3">
      <c r="A24819" s="250">
        <v>57449</v>
      </c>
      <c r="B24819" s="74" t="s">
        <v>3868</v>
      </c>
      <c r="C24819" s="74" t="s">
        <v>451</v>
      </c>
    </row>
    <row r="24820" spans="1:3">
      <c r="A24820" s="250">
        <v>57450</v>
      </c>
      <c r="B24820" s="74" t="s">
        <v>12908</v>
      </c>
      <c r="C24820" s="74" t="s">
        <v>451</v>
      </c>
    </row>
    <row r="24821" spans="1:3">
      <c r="A24821" s="250">
        <v>57451</v>
      </c>
      <c r="B24821" s="74" t="s">
        <v>846</v>
      </c>
      <c r="C24821" s="74" t="s">
        <v>451</v>
      </c>
    </row>
    <row r="24822" spans="1:3">
      <c r="A24822" s="250">
        <v>57452</v>
      </c>
      <c r="B24822" s="74" t="s">
        <v>6432</v>
      </c>
      <c r="C24822" s="74" t="s">
        <v>451</v>
      </c>
    </row>
    <row r="24823" spans="1:3">
      <c r="A24823" s="250">
        <v>57454</v>
      </c>
      <c r="B24823" s="74" t="s">
        <v>12909</v>
      </c>
      <c r="C24823" s="74" t="s">
        <v>451</v>
      </c>
    </row>
    <row r="24824" spans="1:3">
      <c r="A24824" s="250">
        <v>57455</v>
      </c>
      <c r="B24824" s="74" t="s">
        <v>1280</v>
      </c>
      <c r="C24824" s="74" t="s">
        <v>451</v>
      </c>
    </row>
    <row r="24825" spans="1:3">
      <c r="A24825" s="250">
        <v>57456</v>
      </c>
      <c r="B24825" s="74" t="s">
        <v>4867</v>
      </c>
      <c r="C24825" s="74" t="s">
        <v>451</v>
      </c>
    </row>
    <row r="24826" spans="1:3">
      <c r="A24826" s="250">
        <v>57457</v>
      </c>
      <c r="B24826" s="74" t="s">
        <v>3245</v>
      </c>
      <c r="C24826" s="74" t="s">
        <v>451</v>
      </c>
    </row>
    <row r="24827" spans="1:3">
      <c r="A24827" s="250">
        <v>57460</v>
      </c>
      <c r="B24827" s="74" t="s">
        <v>879</v>
      </c>
      <c r="C24827" s="74" t="s">
        <v>451</v>
      </c>
    </row>
    <row r="24828" spans="1:3">
      <c r="A24828" s="250">
        <v>57461</v>
      </c>
      <c r="B24828" s="74" t="s">
        <v>12910</v>
      </c>
      <c r="C24828" s="74" t="s">
        <v>451</v>
      </c>
    </row>
    <row r="24829" spans="1:3">
      <c r="A24829" s="250">
        <v>57465</v>
      </c>
      <c r="B24829" s="74" t="s">
        <v>2985</v>
      </c>
      <c r="C24829" s="74" t="s">
        <v>451</v>
      </c>
    </row>
    <row r="24830" spans="1:3">
      <c r="A24830" s="250">
        <v>57466</v>
      </c>
      <c r="B24830" s="74" t="s">
        <v>12911</v>
      </c>
      <c r="C24830" s="74" t="s">
        <v>451</v>
      </c>
    </row>
    <row r="24831" spans="1:3">
      <c r="A24831" s="250">
        <v>57467</v>
      </c>
      <c r="B24831" s="74" t="s">
        <v>1520</v>
      </c>
      <c r="C24831" s="74" t="s">
        <v>451</v>
      </c>
    </row>
    <row r="24832" spans="1:3">
      <c r="A24832" s="250">
        <v>57468</v>
      </c>
      <c r="B24832" s="74" t="s">
        <v>10315</v>
      </c>
      <c r="C24832" s="74" t="s">
        <v>451</v>
      </c>
    </row>
    <row r="24833" spans="1:3">
      <c r="A24833" s="250">
        <v>57469</v>
      </c>
      <c r="B24833" s="74" t="s">
        <v>3489</v>
      </c>
      <c r="C24833" s="74" t="s">
        <v>451</v>
      </c>
    </row>
    <row r="24834" spans="1:3">
      <c r="A24834" s="250">
        <v>57470</v>
      </c>
      <c r="B24834" s="74" t="s">
        <v>12912</v>
      </c>
      <c r="C24834" s="74" t="s">
        <v>451</v>
      </c>
    </row>
    <row r="24835" spans="1:3">
      <c r="A24835" s="250">
        <v>57471</v>
      </c>
      <c r="B24835" s="74" t="s">
        <v>3202</v>
      </c>
      <c r="C24835" s="74" t="s">
        <v>451</v>
      </c>
    </row>
    <row r="24836" spans="1:3">
      <c r="A24836" s="250">
        <v>57472</v>
      </c>
      <c r="B24836" s="74" t="s">
        <v>12913</v>
      </c>
      <c r="C24836" s="74" t="s">
        <v>451</v>
      </c>
    </row>
    <row r="24837" spans="1:3">
      <c r="A24837" s="250">
        <v>57473</v>
      </c>
      <c r="B24837" s="74" t="s">
        <v>4492</v>
      </c>
      <c r="C24837" s="74" t="s">
        <v>451</v>
      </c>
    </row>
    <row r="24838" spans="1:3">
      <c r="A24838" s="250">
        <v>57474</v>
      </c>
      <c r="B24838" s="74" t="s">
        <v>2072</v>
      </c>
      <c r="C24838" s="74" t="s">
        <v>451</v>
      </c>
    </row>
    <row r="24839" spans="1:3">
      <c r="A24839" s="250">
        <v>57475</v>
      </c>
      <c r="B24839" s="74" t="s">
        <v>12914</v>
      </c>
      <c r="C24839" s="74" t="s">
        <v>451</v>
      </c>
    </row>
    <row r="24840" spans="1:3">
      <c r="A24840" s="250">
        <v>57476</v>
      </c>
      <c r="B24840" s="74" t="s">
        <v>12915</v>
      </c>
      <c r="C24840" s="74" t="s">
        <v>451</v>
      </c>
    </row>
    <row r="24841" spans="1:3">
      <c r="A24841" s="250">
        <v>57477</v>
      </c>
      <c r="B24841" s="74" t="s">
        <v>12916</v>
      </c>
      <c r="C24841" s="74" t="s">
        <v>451</v>
      </c>
    </row>
    <row r="24842" spans="1:3">
      <c r="A24842" s="250">
        <v>57479</v>
      </c>
      <c r="B24842" s="74" t="s">
        <v>1214</v>
      </c>
      <c r="C24842" s="74" t="s">
        <v>451</v>
      </c>
    </row>
    <row r="24843" spans="1:3">
      <c r="A24843" s="250">
        <v>57481</v>
      </c>
      <c r="B24843" s="74" t="s">
        <v>1090</v>
      </c>
      <c r="C24843" s="74" t="s">
        <v>451</v>
      </c>
    </row>
    <row r="24844" spans="1:3">
      <c r="A24844" s="250">
        <v>57501</v>
      </c>
      <c r="B24844" s="74" t="s">
        <v>12917</v>
      </c>
      <c r="C24844" s="74" t="s">
        <v>451</v>
      </c>
    </row>
    <row r="24845" spans="1:3">
      <c r="A24845" s="250">
        <v>57520</v>
      </c>
      <c r="B24845" s="74" t="s">
        <v>12918</v>
      </c>
      <c r="C24845" s="74" t="s">
        <v>451</v>
      </c>
    </row>
    <row r="24846" spans="1:3">
      <c r="A24846" s="250">
        <v>57521</v>
      </c>
      <c r="B24846" s="74" t="s">
        <v>2296</v>
      </c>
      <c r="C24846" s="74" t="s">
        <v>451</v>
      </c>
    </row>
    <row r="24847" spans="1:3">
      <c r="A24847" s="250">
        <v>57522</v>
      </c>
      <c r="B24847" s="74" t="s">
        <v>12919</v>
      </c>
      <c r="C24847" s="74" t="s">
        <v>451</v>
      </c>
    </row>
    <row r="24848" spans="1:3">
      <c r="A24848" s="250">
        <v>57523</v>
      </c>
      <c r="B24848" s="74" t="s">
        <v>3281</v>
      </c>
      <c r="C24848" s="74" t="s">
        <v>451</v>
      </c>
    </row>
    <row r="24849" spans="1:3">
      <c r="A24849" s="250">
        <v>57528</v>
      </c>
      <c r="B24849" s="74" t="s">
        <v>12920</v>
      </c>
      <c r="C24849" s="74" t="s">
        <v>451</v>
      </c>
    </row>
    <row r="24850" spans="1:3">
      <c r="A24850" s="250">
        <v>57529</v>
      </c>
      <c r="B24850" s="74" t="s">
        <v>5199</v>
      </c>
      <c r="C24850" s="74" t="s">
        <v>451</v>
      </c>
    </row>
    <row r="24851" spans="1:3">
      <c r="A24851" s="250">
        <v>57531</v>
      </c>
      <c r="B24851" s="74" t="s">
        <v>6355</v>
      </c>
      <c r="C24851" s="74" t="s">
        <v>451</v>
      </c>
    </row>
    <row r="24852" spans="1:3">
      <c r="A24852" s="250">
        <v>57532</v>
      </c>
      <c r="B24852" s="74" t="s">
        <v>12921</v>
      </c>
      <c r="C24852" s="74" t="s">
        <v>451</v>
      </c>
    </row>
    <row r="24853" spans="1:3">
      <c r="A24853" s="250">
        <v>57533</v>
      </c>
      <c r="B24853" s="74" t="s">
        <v>11016</v>
      </c>
      <c r="C24853" s="74" t="s">
        <v>451</v>
      </c>
    </row>
    <row r="24854" spans="1:3">
      <c r="A24854" s="250">
        <v>57534</v>
      </c>
      <c r="B24854" s="74" t="s">
        <v>12922</v>
      </c>
      <c r="C24854" s="74" t="s">
        <v>451</v>
      </c>
    </row>
    <row r="24855" spans="1:3">
      <c r="A24855" s="250">
        <v>57536</v>
      </c>
      <c r="B24855" s="74" t="s">
        <v>12923</v>
      </c>
      <c r="C24855" s="74" t="s">
        <v>451</v>
      </c>
    </row>
    <row r="24856" spans="1:3">
      <c r="A24856" s="250">
        <v>57537</v>
      </c>
      <c r="B24856" s="74" t="s">
        <v>6065</v>
      </c>
      <c r="C24856" s="74" t="s">
        <v>451</v>
      </c>
    </row>
    <row r="24857" spans="1:3">
      <c r="A24857" s="250">
        <v>57538</v>
      </c>
      <c r="B24857" s="74" t="s">
        <v>12924</v>
      </c>
      <c r="C24857" s="74" t="s">
        <v>451</v>
      </c>
    </row>
    <row r="24858" spans="1:3">
      <c r="A24858" s="250">
        <v>57540</v>
      </c>
      <c r="B24858" s="74" t="s">
        <v>12925</v>
      </c>
      <c r="C24858" s="74" t="s">
        <v>451</v>
      </c>
    </row>
    <row r="24859" spans="1:3">
      <c r="A24859" s="250">
        <v>57541</v>
      </c>
      <c r="B24859" s="74" t="s">
        <v>8077</v>
      </c>
      <c r="C24859" s="74" t="s">
        <v>451</v>
      </c>
    </row>
    <row r="24860" spans="1:3">
      <c r="A24860" s="250">
        <v>57543</v>
      </c>
      <c r="B24860" s="74" t="s">
        <v>12926</v>
      </c>
      <c r="C24860" s="74" t="s">
        <v>451</v>
      </c>
    </row>
    <row r="24861" spans="1:3">
      <c r="A24861" s="250">
        <v>57544</v>
      </c>
      <c r="B24861" s="74" t="s">
        <v>12927</v>
      </c>
      <c r="C24861" s="74" t="s">
        <v>451</v>
      </c>
    </row>
    <row r="24862" spans="1:3">
      <c r="A24862" s="250">
        <v>57547</v>
      </c>
      <c r="B24862" s="74" t="s">
        <v>2320</v>
      </c>
      <c r="C24862" s="74" t="s">
        <v>451</v>
      </c>
    </row>
    <row r="24863" spans="1:3">
      <c r="A24863" s="250">
        <v>57548</v>
      </c>
      <c r="B24863" s="74" t="s">
        <v>12928</v>
      </c>
      <c r="C24863" s="74" t="s">
        <v>451</v>
      </c>
    </row>
    <row r="24864" spans="1:3">
      <c r="A24864" s="250">
        <v>57551</v>
      </c>
      <c r="B24864" s="74" t="s">
        <v>4128</v>
      </c>
      <c r="C24864" s="74" t="s">
        <v>451</v>
      </c>
    </row>
    <row r="24865" spans="1:3">
      <c r="A24865" s="250">
        <v>57552</v>
      </c>
      <c r="B24865" s="74" t="s">
        <v>3994</v>
      </c>
      <c r="C24865" s="74" t="s">
        <v>451</v>
      </c>
    </row>
    <row r="24866" spans="1:3">
      <c r="A24866" s="250">
        <v>57553</v>
      </c>
      <c r="B24866" s="74" t="s">
        <v>12929</v>
      </c>
      <c r="C24866" s="74" t="s">
        <v>451</v>
      </c>
    </row>
    <row r="24867" spans="1:3">
      <c r="A24867" s="250">
        <v>57555</v>
      </c>
      <c r="B24867" s="74" t="s">
        <v>12930</v>
      </c>
      <c r="C24867" s="74" t="s">
        <v>451</v>
      </c>
    </row>
    <row r="24868" spans="1:3">
      <c r="A24868" s="250">
        <v>57559</v>
      </c>
      <c r="B24868" s="74" t="s">
        <v>12931</v>
      </c>
      <c r="C24868" s="74" t="s">
        <v>451</v>
      </c>
    </row>
    <row r="24869" spans="1:3">
      <c r="A24869" s="250">
        <v>57560</v>
      </c>
      <c r="B24869" s="74" t="s">
        <v>7786</v>
      </c>
      <c r="C24869" s="74" t="s">
        <v>451</v>
      </c>
    </row>
    <row r="24870" spans="1:3">
      <c r="A24870" s="250">
        <v>57562</v>
      </c>
      <c r="B24870" s="74" t="s">
        <v>12932</v>
      </c>
      <c r="C24870" s="74" t="s">
        <v>451</v>
      </c>
    </row>
    <row r="24871" spans="1:3">
      <c r="A24871" s="250">
        <v>57563</v>
      </c>
      <c r="B24871" s="74" t="s">
        <v>12933</v>
      </c>
      <c r="C24871" s="74" t="s">
        <v>451</v>
      </c>
    </row>
    <row r="24872" spans="1:3">
      <c r="A24872" s="250">
        <v>57564</v>
      </c>
      <c r="B24872" s="74" t="s">
        <v>12934</v>
      </c>
      <c r="C24872" s="74" t="s">
        <v>451</v>
      </c>
    </row>
    <row r="24873" spans="1:3">
      <c r="A24873" s="250">
        <v>57566</v>
      </c>
      <c r="B24873" s="74" t="s">
        <v>12935</v>
      </c>
      <c r="C24873" s="74" t="s">
        <v>451</v>
      </c>
    </row>
    <row r="24874" spans="1:3">
      <c r="A24874" s="250">
        <v>57567</v>
      </c>
      <c r="B24874" s="74" t="s">
        <v>12936</v>
      </c>
      <c r="C24874" s="74" t="s">
        <v>451</v>
      </c>
    </row>
    <row r="24875" spans="1:3">
      <c r="A24875" s="250">
        <v>57568</v>
      </c>
      <c r="B24875" s="74" t="s">
        <v>12937</v>
      </c>
      <c r="C24875" s="74" t="s">
        <v>451</v>
      </c>
    </row>
    <row r="24876" spans="1:3">
      <c r="A24876" s="250">
        <v>57569</v>
      </c>
      <c r="B24876" s="74" t="s">
        <v>9076</v>
      </c>
      <c r="C24876" s="74" t="s">
        <v>451</v>
      </c>
    </row>
    <row r="24877" spans="1:3">
      <c r="A24877" s="250">
        <v>57570</v>
      </c>
      <c r="B24877" s="74" t="s">
        <v>12938</v>
      </c>
      <c r="C24877" s="74" t="s">
        <v>451</v>
      </c>
    </row>
    <row r="24878" spans="1:3">
      <c r="A24878" s="250">
        <v>57571</v>
      </c>
      <c r="B24878" s="74" t="s">
        <v>6340</v>
      </c>
      <c r="C24878" s="74" t="s">
        <v>451</v>
      </c>
    </row>
    <row r="24879" spans="1:3">
      <c r="A24879" s="250">
        <v>57572</v>
      </c>
      <c r="B24879" s="74" t="s">
        <v>1650</v>
      </c>
      <c r="C24879" s="74" t="s">
        <v>451</v>
      </c>
    </row>
    <row r="24880" spans="1:3">
      <c r="A24880" s="250">
        <v>57574</v>
      </c>
      <c r="B24880" s="74" t="s">
        <v>12939</v>
      </c>
      <c r="C24880" s="74" t="s">
        <v>451</v>
      </c>
    </row>
    <row r="24881" spans="1:3">
      <c r="A24881" s="250">
        <v>57576</v>
      </c>
      <c r="B24881" s="74" t="s">
        <v>12940</v>
      </c>
      <c r="C24881" s="74" t="s">
        <v>451</v>
      </c>
    </row>
    <row r="24882" spans="1:3">
      <c r="A24882" s="250">
        <v>57577</v>
      </c>
      <c r="B24882" s="74" t="s">
        <v>12941</v>
      </c>
      <c r="C24882" s="74" t="s">
        <v>451</v>
      </c>
    </row>
    <row r="24883" spans="1:3">
      <c r="A24883" s="250">
        <v>57579</v>
      </c>
      <c r="B24883" s="74" t="s">
        <v>12942</v>
      </c>
      <c r="C24883" s="74" t="s">
        <v>451</v>
      </c>
    </row>
    <row r="24884" spans="1:3">
      <c r="A24884" s="250">
        <v>57580</v>
      </c>
      <c r="B24884" s="74" t="s">
        <v>12943</v>
      </c>
      <c r="C24884" s="74" t="s">
        <v>451</v>
      </c>
    </row>
    <row r="24885" spans="1:3">
      <c r="A24885" s="250">
        <v>57584</v>
      </c>
      <c r="B24885" s="74" t="s">
        <v>12944</v>
      </c>
      <c r="C24885" s="74" t="s">
        <v>451</v>
      </c>
    </row>
    <row r="24886" spans="1:3">
      <c r="A24886" s="250">
        <v>57585</v>
      </c>
      <c r="B24886" s="74" t="s">
        <v>4586</v>
      </c>
      <c r="C24886" s="74" t="s">
        <v>451</v>
      </c>
    </row>
    <row r="24887" spans="1:3">
      <c r="A24887" s="250">
        <v>57601</v>
      </c>
      <c r="B24887" s="74" t="s">
        <v>12945</v>
      </c>
      <c r="C24887" s="74" t="s">
        <v>451</v>
      </c>
    </row>
    <row r="24888" spans="1:3">
      <c r="A24888" s="250">
        <v>57620</v>
      </c>
      <c r="B24888" s="74" t="s">
        <v>12946</v>
      </c>
      <c r="C24888" s="74" t="s">
        <v>451</v>
      </c>
    </row>
    <row r="24889" spans="1:3">
      <c r="A24889" s="250">
        <v>57621</v>
      </c>
      <c r="B24889" s="74" t="s">
        <v>12947</v>
      </c>
      <c r="C24889" s="74" t="s">
        <v>451</v>
      </c>
    </row>
    <row r="24890" spans="1:3">
      <c r="A24890" s="250">
        <v>57622</v>
      </c>
      <c r="B24890" s="74" t="s">
        <v>3854</v>
      </c>
      <c r="C24890" s="74" t="s">
        <v>451</v>
      </c>
    </row>
    <row r="24891" spans="1:3">
      <c r="A24891" s="250">
        <v>57623</v>
      </c>
      <c r="B24891" s="74" t="s">
        <v>12948</v>
      </c>
      <c r="C24891" s="74" t="s">
        <v>451</v>
      </c>
    </row>
    <row r="24892" spans="1:3">
      <c r="A24892" s="250">
        <v>57625</v>
      </c>
      <c r="B24892" s="74" t="s">
        <v>12949</v>
      </c>
      <c r="C24892" s="74" t="s">
        <v>451</v>
      </c>
    </row>
    <row r="24893" spans="1:3">
      <c r="A24893" s="250">
        <v>57626</v>
      </c>
      <c r="B24893" s="74" t="s">
        <v>7302</v>
      </c>
      <c r="C24893" s="74" t="s">
        <v>451</v>
      </c>
    </row>
    <row r="24894" spans="1:3">
      <c r="A24894" s="250">
        <v>57630</v>
      </c>
      <c r="B24894" s="74" t="s">
        <v>12950</v>
      </c>
      <c r="C24894" s="74" t="s">
        <v>451</v>
      </c>
    </row>
    <row r="24895" spans="1:3">
      <c r="A24895" s="250">
        <v>57631</v>
      </c>
      <c r="B24895" s="74" t="s">
        <v>3119</v>
      </c>
      <c r="C24895" s="74" t="s">
        <v>451</v>
      </c>
    </row>
    <row r="24896" spans="1:3">
      <c r="A24896" s="250">
        <v>57632</v>
      </c>
      <c r="B24896" s="74" t="s">
        <v>12951</v>
      </c>
      <c r="C24896" s="74" t="s">
        <v>451</v>
      </c>
    </row>
    <row r="24897" spans="1:3">
      <c r="A24897" s="250">
        <v>57633</v>
      </c>
      <c r="B24897" s="74" t="s">
        <v>12952</v>
      </c>
      <c r="C24897" s="74" t="s">
        <v>451</v>
      </c>
    </row>
    <row r="24898" spans="1:3">
      <c r="A24898" s="250">
        <v>57634</v>
      </c>
      <c r="B24898" s="74" t="s">
        <v>12953</v>
      </c>
      <c r="C24898" s="74" t="s">
        <v>451</v>
      </c>
    </row>
    <row r="24899" spans="1:3">
      <c r="A24899" s="250">
        <v>57636</v>
      </c>
      <c r="B24899" s="74" t="s">
        <v>12954</v>
      </c>
      <c r="C24899" s="74" t="s">
        <v>451</v>
      </c>
    </row>
    <row r="24900" spans="1:3">
      <c r="A24900" s="250">
        <v>57638</v>
      </c>
      <c r="B24900" s="74" t="s">
        <v>12955</v>
      </c>
      <c r="C24900" s="74" t="s">
        <v>451</v>
      </c>
    </row>
    <row r="24901" spans="1:3">
      <c r="A24901" s="250">
        <v>57639</v>
      </c>
      <c r="B24901" s="74" t="s">
        <v>12956</v>
      </c>
      <c r="C24901" s="74" t="s">
        <v>451</v>
      </c>
    </row>
    <row r="24902" spans="1:3">
      <c r="A24902" s="250">
        <v>57640</v>
      </c>
      <c r="B24902" s="74" t="s">
        <v>12957</v>
      </c>
      <c r="C24902" s="74" t="s">
        <v>451</v>
      </c>
    </row>
    <row r="24903" spans="1:3">
      <c r="A24903" s="250">
        <v>57641</v>
      </c>
      <c r="B24903" s="74" t="s">
        <v>8357</v>
      </c>
      <c r="C24903" s="74" t="s">
        <v>451</v>
      </c>
    </row>
    <row r="24904" spans="1:3">
      <c r="A24904" s="250">
        <v>57642</v>
      </c>
      <c r="B24904" s="74" t="s">
        <v>12958</v>
      </c>
      <c r="C24904" s="74" t="s">
        <v>451</v>
      </c>
    </row>
    <row r="24905" spans="1:3">
      <c r="A24905" s="250">
        <v>57644</v>
      </c>
      <c r="B24905" s="74" t="s">
        <v>12959</v>
      </c>
      <c r="C24905" s="74" t="s">
        <v>451</v>
      </c>
    </row>
    <row r="24906" spans="1:3">
      <c r="A24906" s="250">
        <v>57645</v>
      </c>
      <c r="B24906" s="74" t="s">
        <v>2353</v>
      </c>
      <c r="C24906" s="74" t="s">
        <v>451</v>
      </c>
    </row>
    <row r="24907" spans="1:3">
      <c r="A24907" s="250">
        <v>57646</v>
      </c>
      <c r="B24907" s="74" t="s">
        <v>12960</v>
      </c>
      <c r="C24907" s="74" t="s">
        <v>451</v>
      </c>
    </row>
    <row r="24908" spans="1:3">
      <c r="A24908" s="250">
        <v>57648</v>
      </c>
      <c r="B24908" s="74" t="s">
        <v>12961</v>
      </c>
      <c r="C24908" s="74" t="s">
        <v>451</v>
      </c>
    </row>
    <row r="24909" spans="1:3">
      <c r="A24909" s="250">
        <v>57649</v>
      </c>
      <c r="B24909" s="74" t="s">
        <v>11540</v>
      </c>
      <c r="C24909" s="74" t="s">
        <v>451</v>
      </c>
    </row>
    <row r="24910" spans="1:3">
      <c r="A24910" s="250">
        <v>57650</v>
      </c>
      <c r="B24910" s="74" t="s">
        <v>8701</v>
      </c>
      <c r="C24910" s="74" t="s">
        <v>451</v>
      </c>
    </row>
    <row r="24911" spans="1:3">
      <c r="A24911" s="250">
        <v>57651</v>
      </c>
      <c r="B24911" s="74" t="s">
        <v>5973</v>
      </c>
      <c r="C24911" s="74" t="s">
        <v>451</v>
      </c>
    </row>
    <row r="24912" spans="1:3">
      <c r="A24912" s="250">
        <v>57652</v>
      </c>
      <c r="B24912" s="74" t="s">
        <v>6644</v>
      </c>
      <c r="C24912" s="74" t="s">
        <v>451</v>
      </c>
    </row>
    <row r="24913" spans="1:3">
      <c r="A24913" s="250">
        <v>57656</v>
      </c>
      <c r="B24913" s="74" t="s">
        <v>12962</v>
      </c>
      <c r="C24913" s="74" t="s">
        <v>451</v>
      </c>
    </row>
    <row r="24914" spans="1:3">
      <c r="A24914" s="250">
        <v>57657</v>
      </c>
      <c r="B24914" s="74" t="s">
        <v>12963</v>
      </c>
      <c r="C24914" s="74" t="s">
        <v>451</v>
      </c>
    </row>
    <row r="24915" spans="1:3">
      <c r="A24915" s="250">
        <v>57658</v>
      </c>
      <c r="B24915" s="74" t="s">
        <v>12964</v>
      </c>
      <c r="C24915" s="74" t="s">
        <v>451</v>
      </c>
    </row>
    <row r="24916" spans="1:3">
      <c r="A24916" s="250">
        <v>57659</v>
      </c>
      <c r="B24916" s="74" t="s">
        <v>6885</v>
      </c>
      <c r="C24916" s="74" t="s">
        <v>451</v>
      </c>
    </row>
    <row r="24917" spans="1:3">
      <c r="A24917" s="250">
        <v>57660</v>
      </c>
      <c r="B24917" s="74" t="s">
        <v>9107</v>
      </c>
      <c r="C24917" s="74" t="s">
        <v>451</v>
      </c>
    </row>
    <row r="24918" spans="1:3">
      <c r="A24918" s="250">
        <v>57661</v>
      </c>
      <c r="B24918" s="74" t="s">
        <v>12965</v>
      </c>
      <c r="C24918" s="74" t="s">
        <v>451</v>
      </c>
    </row>
    <row r="24919" spans="1:3">
      <c r="A24919" s="250">
        <v>57701</v>
      </c>
      <c r="B24919" s="74" t="s">
        <v>11330</v>
      </c>
      <c r="C24919" s="74" t="s">
        <v>451</v>
      </c>
    </row>
    <row r="24920" spans="1:3">
      <c r="A24920" s="250">
        <v>57702</v>
      </c>
      <c r="B24920" s="74" t="s">
        <v>11330</v>
      </c>
      <c r="C24920" s="74" t="s">
        <v>451</v>
      </c>
    </row>
    <row r="24921" spans="1:3">
      <c r="A24921" s="250">
        <v>57703</v>
      </c>
      <c r="B24921" s="74" t="s">
        <v>11330</v>
      </c>
      <c r="C24921" s="74" t="s">
        <v>451</v>
      </c>
    </row>
    <row r="24922" spans="1:3">
      <c r="A24922" s="250">
        <v>57706</v>
      </c>
      <c r="B24922" s="74" t="s">
        <v>12966</v>
      </c>
      <c r="C24922" s="74" t="s">
        <v>451</v>
      </c>
    </row>
    <row r="24923" spans="1:3">
      <c r="A24923" s="250">
        <v>57709</v>
      </c>
      <c r="B24923" s="74" t="s">
        <v>11330</v>
      </c>
      <c r="C24923" s="74" t="s">
        <v>451</v>
      </c>
    </row>
    <row r="24924" spans="1:3">
      <c r="A24924" s="250">
        <v>57714</v>
      </c>
      <c r="B24924" s="74" t="s">
        <v>5826</v>
      </c>
      <c r="C24924" s="74" t="s">
        <v>451</v>
      </c>
    </row>
    <row r="24925" spans="1:3">
      <c r="A24925" s="250">
        <v>57716</v>
      </c>
      <c r="B24925" s="74" t="s">
        <v>12967</v>
      </c>
      <c r="C24925" s="74" t="s">
        <v>451</v>
      </c>
    </row>
    <row r="24926" spans="1:3">
      <c r="A24926" s="250">
        <v>57717</v>
      </c>
      <c r="B24926" s="74" t="s">
        <v>12968</v>
      </c>
      <c r="C24926" s="74" t="s">
        <v>451</v>
      </c>
    </row>
    <row r="24927" spans="1:3">
      <c r="A24927" s="250">
        <v>57718</v>
      </c>
      <c r="B24927" s="74" t="s">
        <v>12969</v>
      </c>
      <c r="C24927" s="74" t="s">
        <v>451</v>
      </c>
    </row>
    <row r="24928" spans="1:3">
      <c r="A24928" s="250">
        <v>57719</v>
      </c>
      <c r="B24928" s="74" t="s">
        <v>12970</v>
      </c>
      <c r="C24928" s="74" t="s">
        <v>451</v>
      </c>
    </row>
    <row r="24929" spans="1:3">
      <c r="A24929" s="250">
        <v>57720</v>
      </c>
      <c r="B24929" s="74" t="s">
        <v>3751</v>
      </c>
      <c r="C24929" s="74" t="s">
        <v>451</v>
      </c>
    </row>
    <row r="24930" spans="1:3">
      <c r="A24930" s="250">
        <v>57722</v>
      </c>
      <c r="B24930" s="74" t="s">
        <v>12971</v>
      </c>
      <c r="C24930" s="74" t="s">
        <v>451</v>
      </c>
    </row>
    <row r="24931" spans="1:3">
      <c r="A24931" s="250">
        <v>57724</v>
      </c>
      <c r="B24931" s="74" t="s">
        <v>12972</v>
      </c>
      <c r="C24931" s="74" t="s">
        <v>451</v>
      </c>
    </row>
    <row r="24932" spans="1:3">
      <c r="A24932" s="250">
        <v>57725</v>
      </c>
      <c r="B24932" s="74" t="s">
        <v>12973</v>
      </c>
      <c r="C24932" s="74" t="s">
        <v>451</v>
      </c>
    </row>
    <row r="24933" spans="1:3">
      <c r="A24933" s="250">
        <v>57730</v>
      </c>
      <c r="B24933" s="74" t="s">
        <v>9599</v>
      </c>
      <c r="C24933" s="74" t="s">
        <v>451</v>
      </c>
    </row>
    <row r="24934" spans="1:3">
      <c r="A24934" s="250">
        <v>57732</v>
      </c>
      <c r="B24934" s="74" t="s">
        <v>12974</v>
      </c>
      <c r="C24934" s="74" t="s">
        <v>451</v>
      </c>
    </row>
    <row r="24935" spans="1:3">
      <c r="A24935" s="250">
        <v>57735</v>
      </c>
      <c r="B24935" s="74" t="s">
        <v>5328</v>
      </c>
      <c r="C24935" s="74" t="s">
        <v>451</v>
      </c>
    </row>
    <row r="24936" spans="1:3">
      <c r="A24936" s="250">
        <v>57737</v>
      </c>
      <c r="B24936" s="74" t="s">
        <v>12975</v>
      </c>
      <c r="C24936" s="74" t="s">
        <v>451</v>
      </c>
    </row>
    <row r="24937" spans="1:3">
      <c r="A24937" s="250">
        <v>57738</v>
      </c>
      <c r="B24937" s="74" t="s">
        <v>7906</v>
      </c>
      <c r="C24937" s="74" t="s">
        <v>451</v>
      </c>
    </row>
    <row r="24938" spans="1:3">
      <c r="A24938" s="250">
        <v>57741</v>
      </c>
      <c r="B24938" s="74" t="s">
        <v>8497</v>
      </c>
      <c r="C24938" s="74" t="s">
        <v>451</v>
      </c>
    </row>
    <row r="24939" spans="1:3">
      <c r="A24939" s="250">
        <v>57744</v>
      </c>
      <c r="B24939" s="74" t="s">
        <v>12976</v>
      </c>
      <c r="C24939" s="74" t="s">
        <v>451</v>
      </c>
    </row>
    <row r="24940" spans="1:3">
      <c r="A24940" s="250">
        <v>57745</v>
      </c>
      <c r="B24940" s="74" t="s">
        <v>12460</v>
      </c>
      <c r="C24940" s="74" t="s">
        <v>451</v>
      </c>
    </row>
    <row r="24941" spans="1:3">
      <c r="A24941" s="250">
        <v>57747</v>
      </c>
      <c r="B24941" s="74" t="s">
        <v>6392</v>
      </c>
      <c r="C24941" s="74" t="s">
        <v>451</v>
      </c>
    </row>
    <row r="24942" spans="1:3">
      <c r="A24942" s="250">
        <v>57748</v>
      </c>
      <c r="B24942" s="74" t="s">
        <v>12977</v>
      </c>
      <c r="C24942" s="74" t="s">
        <v>451</v>
      </c>
    </row>
    <row r="24943" spans="1:3">
      <c r="A24943" s="250">
        <v>57750</v>
      </c>
      <c r="B24943" s="74" t="s">
        <v>94</v>
      </c>
      <c r="C24943" s="74" t="s">
        <v>451</v>
      </c>
    </row>
    <row r="24944" spans="1:3">
      <c r="A24944" s="250">
        <v>57751</v>
      </c>
      <c r="B24944" s="74" t="s">
        <v>10737</v>
      </c>
      <c r="C24944" s="74" t="s">
        <v>451</v>
      </c>
    </row>
    <row r="24945" spans="1:3">
      <c r="A24945" s="250">
        <v>57752</v>
      </c>
      <c r="B24945" s="74" t="s">
        <v>6520</v>
      </c>
      <c r="C24945" s="74" t="s">
        <v>451</v>
      </c>
    </row>
    <row r="24946" spans="1:3">
      <c r="A24946" s="250">
        <v>57754</v>
      </c>
      <c r="B24946" s="74" t="s">
        <v>12978</v>
      </c>
      <c r="C24946" s="74" t="s">
        <v>451</v>
      </c>
    </row>
    <row r="24947" spans="1:3">
      <c r="A24947" s="250">
        <v>57755</v>
      </c>
      <c r="B24947" s="74" t="s">
        <v>604</v>
      </c>
      <c r="C24947" s="74" t="s">
        <v>451</v>
      </c>
    </row>
    <row r="24948" spans="1:3">
      <c r="A24948" s="250">
        <v>57756</v>
      </c>
      <c r="B24948" s="74" t="s">
        <v>12979</v>
      </c>
      <c r="C24948" s="74" t="s">
        <v>451</v>
      </c>
    </row>
    <row r="24949" spans="1:3">
      <c r="A24949" s="250">
        <v>57758</v>
      </c>
      <c r="B24949" s="74" t="s">
        <v>12980</v>
      </c>
      <c r="C24949" s="74" t="s">
        <v>451</v>
      </c>
    </row>
    <row r="24950" spans="1:3">
      <c r="A24950" s="250">
        <v>57759</v>
      </c>
      <c r="B24950" s="74" t="s">
        <v>12981</v>
      </c>
      <c r="C24950" s="74" t="s">
        <v>451</v>
      </c>
    </row>
    <row r="24951" spans="1:3">
      <c r="A24951" s="250">
        <v>57760</v>
      </c>
      <c r="B24951" s="74" t="s">
        <v>4134</v>
      </c>
      <c r="C24951" s="74" t="s">
        <v>451</v>
      </c>
    </row>
    <row r="24952" spans="1:3">
      <c r="A24952" s="250">
        <v>57761</v>
      </c>
      <c r="B24952" s="74" t="s">
        <v>12982</v>
      </c>
      <c r="C24952" s="74" t="s">
        <v>451</v>
      </c>
    </row>
    <row r="24953" spans="1:3">
      <c r="A24953" s="250">
        <v>57762</v>
      </c>
      <c r="B24953" s="74" t="s">
        <v>12983</v>
      </c>
      <c r="C24953" s="74" t="s">
        <v>451</v>
      </c>
    </row>
    <row r="24954" spans="1:3">
      <c r="A24954" s="250">
        <v>57763</v>
      </c>
      <c r="B24954" s="74" t="s">
        <v>12984</v>
      </c>
      <c r="C24954" s="74" t="s">
        <v>451</v>
      </c>
    </row>
    <row r="24955" spans="1:3">
      <c r="A24955" s="250">
        <v>57764</v>
      </c>
      <c r="B24955" s="74" t="s">
        <v>12985</v>
      </c>
      <c r="C24955" s="74" t="s">
        <v>451</v>
      </c>
    </row>
    <row r="24956" spans="1:3">
      <c r="A24956" s="250">
        <v>57766</v>
      </c>
      <c r="B24956" s="74" t="s">
        <v>12986</v>
      </c>
      <c r="C24956" s="74" t="s">
        <v>451</v>
      </c>
    </row>
    <row r="24957" spans="1:3">
      <c r="A24957" s="250">
        <v>57767</v>
      </c>
      <c r="B24957" s="74" t="s">
        <v>12987</v>
      </c>
      <c r="C24957" s="74" t="s">
        <v>451</v>
      </c>
    </row>
    <row r="24958" spans="1:3">
      <c r="A24958" s="250">
        <v>57769</v>
      </c>
      <c r="B24958" s="74" t="s">
        <v>7028</v>
      </c>
      <c r="C24958" s="74" t="s">
        <v>451</v>
      </c>
    </row>
    <row r="24959" spans="1:3">
      <c r="A24959" s="250">
        <v>57770</v>
      </c>
      <c r="B24959" s="74" t="s">
        <v>9791</v>
      </c>
      <c r="C24959" s="74" t="s">
        <v>451</v>
      </c>
    </row>
    <row r="24960" spans="1:3">
      <c r="A24960" s="250">
        <v>57772</v>
      </c>
      <c r="B24960" s="74" t="s">
        <v>12988</v>
      </c>
      <c r="C24960" s="74" t="s">
        <v>451</v>
      </c>
    </row>
    <row r="24961" spans="1:3">
      <c r="A24961" s="250">
        <v>57773</v>
      </c>
      <c r="B24961" s="74" t="s">
        <v>12989</v>
      </c>
      <c r="C24961" s="74" t="s">
        <v>451</v>
      </c>
    </row>
    <row r="24962" spans="1:3">
      <c r="A24962" s="250">
        <v>57775</v>
      </c>
      <c r="B24962" s="74" t="s">
        <v>12990</v>
      </c>
      <c r="C24962" s="74" t="s">
        <v>451</v>
      </c>
    </row>
    <row r="24963" spans="1:3">
      <c r="A24963" s="250">
        <v>57776</v>
      </c>
      <c r="B24963" s="74" t="s">
        <v>12991</v>
      </c>
      <c r="C24963" s="74" t="s">
        <v>451</v>
      </c>
    </row>
    <row r="24964" spans="1:3">
      <c r="A24964" s="250">
        <v>57779</v>
      </c>
      <c r="B24964" s="74" t="s">
        <v>12992</v>
      </c>
      <c r="C24964" s="74" t="s">
        <v>451</v>
      </c>
    </row>
    <row r="24965" spans="1:3">
      <c r="A24965" s="250">
        <v>57780</v>
      </c>
      <c r="B24965" s="74" t="s">
        <v>12993</v>
      </c>
      <c r="C24965" s="74" t="s">
        <v>451</v>
      </c>
    </row>
    <row r="24966" spans="1:3">
      <c r="A24966" s="250">
        <v>57782</v>
      </c>
      <c r="B24966" s="74" t="s">
        <v>12994</v>
      </c>
      <c r="C24966" s="74" t="s">
        <v>451</v>
      </c>
    </row>
    <row r="24967" spans="1:3">
      <c r="A24967" s="250">
        <v>57783</v>
      </c>
      <c r="B24967" s="74" t="s">
        <v>12995</v>
      </c>
      <c r="C24967" s="74" t="s">
        <v>451</v>
      </c>
    </row>
    <row r="24968" spans="1:3">
      <c r="A24968" s="250">
        <v>57785</v>
      </c>
      <c r="B24968" s="74" t="s">
        <v>9552</v>
      </c>
      <c r="C24968" s="74" t="s">
        <v>451</v>
      </c>
    </row>
    <row r="24969" spans="1:3">
      <c r="A24969" s="250">
        <v>57787</v>
      </c>
      <c r="B24969" s="74" t="s">
        <v>12075</v>
      </c>
      <c r="C24969" s="74" t="s">
        <v>451</v>
      </c>
    </row>
    <row r="24970" spans="1:3">
      <c r="A24970" s="250">
        <v>57788</v>
      </c>
      <c r="B24970" s="74" t="s">
        <v>7340</v>
      </c>
      <c r="C24970" s="74" t="s">
        <v>451</v>
      </c>
    </row>
    <row r="24971" spans="1:3">
      <c r="A24971" s="250">
        <v>57790</v>
      </c>
      <c r="B24971" s="74" t="s">
        <v>12996</v>
      </c>
      <c r="C24971" s="74" t="s">
        <v>451</v>
      </c>
    </row>
    <row r="24972" spans="1:3">
      <c r="A24972" s="250">
        <v>57791</v>
      </c>
      <c r="B24972" s="74" t="s">
        <v>12997</v>
      </c>
      <c r="C24972" s="74" t="s">
        <v>451</v>
      </c>
    </row>
    <row r="24973" spans="1:3">
      <c r="A24973" s="250">
        <v>57792</v>
      </c>
      <c r="B24973" s="74" t="s">
        <v>12998</v>
      </c>
      <c r="C24973" s="74" t="s">
        <v>451</v>
      </c>
    </row>
    <row r="24974" spans="1:3">
      <c r="A24974" s="250">
        <v>57793</v>
      </c>
      <c r="B24974" s="74" t="s">
        <v>6477</v>
      </c>
      <c r="C24974" s="74" t="s">
        <v>451</v>
      </c>
    </row>
    <row r="24975" spans="1:3">
      <c r="A24975" s="250">
        <v>57794</v>
      </c>
      <c r="B24975" s="74" t="s">
        <v>12999</v>
      </c>
      <c r="C24975" s="74" t="s">
        <v>451</v>
      </c>
    </row>
    <row r="24976" spans="1:3">
      <c r="A24976" s="250">
        <v>57799</v>
      </c>
      <c r="B24976" s="74" t="s">
        <v>12995</v>
      </c>
      <c r="C24976" s="74" t="s">
        <v>451</v>
      </c>
    </row>
    <row r="24977" spans="1:3">
      <c r="A24977" s="250">
        <v>58001</v>
      </c>
      <c r="B24977" s="74" t="s">
        <v>13000</v>
      </c>
      <c r="C24977" s="74" t="s">
        <v>445</v>
      </c>
    </row>
    <row r="24978" spans="1:3">
      <c r="A24978" s="250">
        <v>58002</v>
      </c>
      <c r="B24978" s="74" t="s">
        <v>13001</v>
      </c>
      <c r="C24978" s="74" t="s">
        <v>445</v>
      </c>
    </row>
    <row r="24979" spans="1:3">
      <c r="A24979" s="250">
        <v>58004</v>
      </c>
      <c r="B24979" s="74" t="s">
        <v>3099</v>
      </c>
      <c r="C24979" s="74" t="s">
        <v>445</v>
      </c>
    </row>
    <row r="24980" spans="1:3">
      <c r="A24980" s="250">
        <v>58005</v>
      </c>
      <c r="B24980" s="74" t="s">
        <v>13002</v>
      </c>
      <c r="C24980" s="74" t="s">
        <v>445</v>
      </c>
    </row>
    <row r="24981" spans="1:3">
      <c r="A24981" s="250">
        <v>58006</v>
      </c>
      <c r="B24981" s="74" t="s">
        <v>9109</v>
      </c>
      <c r="C24981" s="74" t="s">
        <v>445</v>
      </c>
    </row>
    <row r="24982" spans="1:3">
      <c r="A24982" s="250">
        <v>58007</v>
      </c>
      <c r="B24982" s="74" t="s">
        <v>13003</v>
      </c>
      <c r="C24982" s="74" t="s">
        <v>445</v>
      </c>
    </row>
    <row r="24983" spans="1:3">
      <c r="A24983" s="250">
        <v>58008</v>
      </c>
      <c r="B24983" s="74" t="s">
        <v>8146</v>
      </c>
      <c r="C24983" s="74" t="s">
        <v>445</v>
      </c>
    </row>
    <row r="24984" spans="1:3">
      <c r="A24984" s="250">
        <v>58009</v>
      </c>
      <c r="B24984" s="74" t="s">
        <v>4615</v>
      </c>
      <c r="C24984" s="74" t="s">
        <v>445</v>
      </c>
    </row>
    <row r="24985" spans="1:3">
      <c r="A24985" s="250">
        <v>58011</v>
      </c>
      <c r="B24985" s="74" t="s">
        <v>3751</v>
      </c>
      <c r="C24985" s="74" t="s">
        <v>445</v>
      </c>
    </row>
    <row r="24986" spans="1:3">
      <c r="A24986" s="250">
        <v>58012</v>
      </c>
      <c r="B24986" s="74" t="s">
        <v>13004</v>
      </c>
      <c r="C24986" s="74" t="s">
        <v>445</v>
      </c>
    </row>
    <row r="24987" spans="1:3">
      <c r="A24987" s="250">
        <v>58013</v>
      </c>
      <c r="B24987" s="74" t="s">
        <v>3343</v>
      </c>
      <c r="C24987" s="74" t="s">
        <v>445</v>
      </c>
    </row>
    <row r="24988" spans="1:3">
      <c r="A24988" s="250">
        <v>58015</v>
      </c>
      <c r="B24988" s="74" t="s">
        <v>13005</v>
      </c>
      <c r="C24988" s="74" t="s">
        <v>445</v>
      </c>
    </row>
    <row r="24989" spans="1:3">
      <c r="A24989" s="250">
        <v>58016</v>
      </c>
      <c r="B24989" s="74" t="s">
        <v>5153</v>
      </c>
      <c r="C24989" s="74" t="s">
        <v>445</v>
      </c>
    </row>
    <row r="24990" spans="1:3">
      <c r="A24990" s="250">
        <v>58017</v>
      </c>
      <c r="B24990" s="74" t="s">
        <v>13006</v>
      </c>
      <c r="C24990" s="74" t="s">
        <v>445</v>
      </c>
    </row>
    <row r="24991" spans="1:3">
      <c r="A24991" s="250">
        <v>58018</v>
      </c>
      <c r="B24991" s="74" t="s">
        <v>6980</v>
      </c>
      <c r="C24991" s="74" t="s">
        <v>445</v>
      </c>
    </row>
    <row r="24992" spans="1:3">
      <c r="A24992" s="250">
        <v>58021</v>
      </c>
      <c r="B24992" s="74" t="s">
        <v>3605</v>
      </c>
      <c r="C24992" s="74" t="s">
        <v>445</v>
      </c>
    </row>
    <row r="24993" spans="1:3">
      <c r="A24993" s="250">
        <v>58027</v>
      </c>
      <c r="B24993" s="74" t="s">
        <v>13007</v>
      </c>
      <c r="C24993" s="74" t="s">
        <v>445</v>
      </c>
    </row>
    <row r="24994" spans="1:3">
      <c r="A24994" s="250">
        <v>58029</v>
      </c>
      <c r="B24994" s="74" t="s">
        <v>4528</v>
      </c>
      <c r="C24994" s="74" t="s">
        <v>445</v>
      </c>
    </row>
    <row r="24995" spans="1:3">
      <c r="A24995" s="250">
        <v>58030</v>
      </c>
      <c r="B24995" s="74" t="s">
        <v>7890</v>
      </c>
      <c r="C24995" s="74" t="s">
        <v>445</v>
      </c>
    </row>
    <row r="24996" spans="1:3">
      <c r="A24996" s="250">
        <v>58031</v>
      </c>
      <c r="B24996" s="74" t="s">
        <v>13008</v>
      </c>
      <c r="C24996" s="74" t="s">
        <v>445</v>
      </c>
    </row>
    <row r="24997" spans="1:3">
      <c r="A24997" s="250">
        <v>58032</v>
      </c>
      <c r="B24997" s="74" t="s">
        <v>13009</v>
      </c>
      <c r="C24997" s="74" t="s">
        <v>445</v>
      </c>
    </row>
    <row r="24998" spans="1:3">
      <c r="A24998" s="250">
        <v>58033</v>
      </c>
      <c r="B24998" s="74" t="s">
        <v>13010</v>
      </c>
      <c r="C24998" s="74" t="s">
        <v>445</v>
      </c>
    </row>
    <row r="24999" spans="1:3">
      <c r="A24999" s="250">
        <v>58035</v>
      </c>
      <c r="B24999" s="74" t="s">
        <v>11201</v>
      </c>
      <c r="C24999" s="74" t="s">
        <v>445</v>
      </c>
    </row>
    <row r="25000" spans="1:3">
      <c r="A25000" s="250">
        <v>58036</v>
      </c>
      <c r="B25000" s="74" t="s">
        <v>707</v>
      </c>
      <c r="C25000" s="74" t="s">
        <v>445</v>
      </c>
    </row>
    <row r="25001" spans="1:3">
      <c r="A25001" s="250">
        <v>58038</v>
      </c>
      <c r="B25001" s="74" t="s">
        <v>8251</v>
      </c>
      <c r="C25001" s="74" t="s">
        <v>445</v>
      </c>
    </row>
    <row r="25002" spans="1:3">
      <c r="A25002" s="250">
        <v>58040</v>
      </c>
      <c r="B25002" s="74" t="s">
        <v>13011</v>
      </c>
      <c r="C25002" s="74" t="s">
        <v>445</v>
      </c>
    </row>
    <row r="25003" spans="1:3">
      <c r="A25003" s="250">
        <v>58041</v>
      </c>
      <c r="B25003" s="74" t="s">
        <v>13012</v>
      </c>
      <c r="C25003" s="74" t="s">
        <v>445</v>
      </c>
    </row>
    <row r="25004" spans="1:3">
      <c r="A25004" s="250">
        <v>58042</v>
      </c>
      <c r="B25004" s="74" t="s">
        <v>5621</v>
      </c>
      <c r="C25004" s="74" t="s">
        <v>445</v>
      </c>
    </row>
    <row r="25005" spans="1:3">
      <c r="A25005" s="250">
        <v>58043</v>
      </c>
      <c r="B25005" s="74" t="s">
        <v>8279</v>
      </c>
      <c r="C25005" s="74" t="s">
        <v>445</v>
      </c>
    </row>
    <row r="25006" spans="1:3">
      <c r="A25006" s="250">
        <v>58045</v>
      </c>
      <c r="B25006" s="74" t="s">
        <v>5758</v>
      </c>
      <c r="C25006" s="74" t="s">
        <v>445</v>
      </c>
    </row>
    <row r="25007" spans="1:3">
      <c r="A25007" s="250">
        <v>58046</v>
      </c>
      <c r="B25007" s="74" t="s">
        <v>1111</v>
      </c>
      <c r="C25007" s="74" t="s">
        <v>445</v>
      </c>
    </row>
    <row r="25008" spans="1:3">
      <c r="A25008" s="250">
        <v>58047</v>
      </c>
      <c r="B25008" s="74" t="s">
        <v>13013</v>
      </c>
      <c r="C25008" s="74" t="s">
        <v>445</v>
      </c>
    </row>
    <row r="25009" spans="1:3">
      <c r="A25009" s="250">
        <v>58048</v>
      </c>
      <c r="B25009" s="74" t="s">
        <v>3056</v>
      </c>
      <c r="C25009" s="74" t="s">
        <v>445</v>
      </c>
    </row>
    <row r="25010" spans="1:3">
      <c r="A25010" s="250">
        <v>58049</v>
      </c>
      <c r="B25010" s="74" t="s">
        <v>13014</v>
      </c>
      <c r="C25010" s="74" t="s">
        <v>445</v>
      </c>
    </row>
    <row r="25011" spans="1:3">
      <c r="A25011" s="250">
        <v>58051</v>
      </c>
      <c r="B25011" s="74" t="s">
        <v>13015</v>
      </c>
      <c r="C25011" s="74" t="s">
        <v>445</v>
      </c>
    </row>
    <row r="25012" spans="1:3">
      <c r="A25012" s="250">
        <v>58052</v>
      </c>
      <c r="B25012" s="74" t="s">
        <v>11049</v>
      </c>
      <c r="C25012" s="74" t="s">
        <v>445</v>
      </c>
    </row>
    <row r="25013" spans="1:3">
      <c r="A25013" s="250">
        <v>58053</v>
      </c>
      <c r="B25013" s="74" t="s">
        <v>13016</v>
      </c>
      <c r="C25013" s="74" t="s">
        <v>445</v>
      </c>
    </row>
    <row r="25014" spans="1:3">
      <c r="A25014" s="250">
        <v>58054</v>
      </c>
      <c r="B25014" s="74" t="s">
        <v>1254</v>
      </c>
      <c r="C25014" s="74" t="s">
        <v>445</v>
      </c>
    </row>
    <row r="25015" spans="1:3">
      <c r="A25015" s="250">
        <v>58056</v>
      </c>
      <c r="B25015" s="74" t="s">
        <v>8810</v>
      </c>
      <c r="C25015" s="74" t="s">
        <v>445</v>
      </c>
    </row>
    <row r="25016" spans="1:3">
      <c r="A25016" s="250">
        <v>58057</v>
      </c>
      <c r="B25016" s="74" t="s">
        <v>13017</v>
      </c>
      <c r="C25016" s="74" t="s">
        <v>445</v>
      </c>
    </row>
    <row r="25017" spans="1:3">
      <c r="A25017" s="250">
        <v>58058</v>
      </c>
      <c r="B25017" s="74" t="s">
        <v>13018</v>
      </c>
      <c r="C25017" s="74" t="s">
        <v>445</v>
      </c>
    </row>
    <row r="25018" spans="1:3">
      <c r="A25018" s="250">
        <v>58059</v>
      </c>
      <c r="B25018" s="74" t="s">
        <v>1637</v>
      </c>
      <c r="C25018" s="74" t="s">
        <v>445</v>
      </c>
    </row>
    <row r="25019" spans="1:3">
      <c r="A25019" s="250">
        <v>58060</v>
      </c>
      <c r="B25019" s="74" t="s">
        <v>13019</v>
      </c>
      <c r="C25019" s="74" t="s">
        <v>445</v>
      </c>
    </row>
    <row r="25020" spans="1:3">
      <c r="A25020" s="250">
        <v>58061</v>
      </c>
      <c r="B25020" s="74" t="s">
        <v>13020</v>
      </c>
      <c r="C25020" s="74" t="s">
        <v>445</v>
      </c>
    </row>
    <row r="25021" spans="1:3">
      <c r="A25021" s="250">
        <v>58062</v>
      </c>
      <c r="B25021" s="74" t="s">
        <v>13021</v>
      </c>
      <c r="C25021" s="74" t="s">
        <v>445</v>
      </c>
    </row>
    <row r="25022" spans="1:3">
      <c r="A25022" s="250">
        <v>58063</v>
      </c>
      <c r="B25022" s="74" t="s">
        <v>13022</v>
      </c>
      <c r="C25022" s="74" t="s">
        <v>445</v>
      </c>
    </row>
    <row r="25023" spans="1:3">
      <c r="A25023" s="250">
        <v>58064</v>
      </c>
      <c r="B25023" s="74" t="s">
        <v>6635</v>
      </c>
      <c r="C25023" s="74" t="s">
        <v>445</v>
      </c>
    </row>
    <row r="25024" spans="1:3">
      <c r="A25024" s="250">
        <v>58065</v>
      </c>
      <c r="B25024" s="74" t="s">
        <v>13023</v>
      </c>
      <c r="C25024" s="74" t="s">
        <v>445</v>
      </c>
    </row>
    <row r="25025" spans="1:3">
      <c r="A25025" s="250">
        <v>58067</v>
      </c>
      <c r="B25025" s="74" t="s">
        <v>757</v>
      </c>
      <c r="C25025" s="74" t="s">
        <v>445</v>
      </c>
    </row>
    <row r="25026" spans="1:3">
      <c r="A25026" s="250">
        <v>58068</v>
      </c>
      <c r="B25026" s="74" t="s">
        <v>1829</v>
      </c>
      <c r="C25026" s="74" t="s">
        <v>445</v>
      </c>
    </row>
    <row r="25027" spans="1:3">
      <c r="A25027" s="250">
        <v>58069</v>
      </c>
      <c r="B25027" s="74" t="s">
        <v>13024</v>
      </c>
      <c r="C25027" s="74" t="s">
        <v>445</v>
      </c>
    </row>
    <row r="25028" spans="1:3">
      <c r="A25028" s="250">
        <v>58071</v>
      </c>
      <c r="B25028" s="74" t="s">
        <v>5022</v>
      </c>
      <c r="C25028" s="74" t="s">
        <v>445</v>
      </c>
    </row>
    <row r="25029" spans="1:3">
      <c r="A25029" s="250">
        <v>58072</v>
      </c>
      <c r="B25029" s="74" t="s">
        <v>10350</v>
      </c>
      <c r="C25029" s="74" t="s">
        <v>445</v>
      </c>
    </row>
    <row r="25030" spans="1:3">
      <c r="A25030" s="250">
        <v>58074</v>
      </c>
      <c r="B25030" s="74" t="s">
        <v>13025</v>
      </c>
      <c r="C25030" s="74" t="s">
        <v>445</v>
      </c>
    </row>
    <row r="25031" spans="1:3">
      <c r="A25031" s="250">
        <v>58075</v>
      </c>
      <c r="B25031" s="74" t="s">
        <v>13025</v>
      </c>
      <c r="C25031" s="74" t="s">
        <v>445</v>
      </c>
    </row>
    <row r="25032" spans="1:3">
      <c r="A25032" s="250">
        <v>58076</v>
      </c>
      <c r="B25032" s="74" t="s">
        <v>13025</v>
      </c>
      <c r="C25032" s="74" t="s">
        <v>445</v>
      </c>
    </row>
    <row r="25033" spans="1:3">
      <c r="A25033" s="250">
        <v>58077</v>
      </c>
      <c r="B25033" s="74" t="s">
        <v>11929</v>
      </c>
      <c r="C25033" s="74" t="s">
        <v>445</v>
      </c>
    </row>
    <row r="25034" spans="1:3">
      <c r="A25034" s="250">
        <v>58078</v>
      </c>
      <c r="B25034" s="74" t="s">
        <v>13026</v>
      </c>
      <c r="C25034" s="74" t="s">
        <v>445</v>
      </c>
    </row>
    <row r="25035" spans="1:3">
      <c r="A25035" s="250">
        <v>58079</v>
      </c>
      <c r="B25035" s="74" t="s">
        <v>4437</v>
      </c>
      <c r="C25035" s="74" t="s">
        <v>445</v>
      </c>
    </row>
    <row r="25036" spans="1:3">
      <c r="A25036" s="250">
        <v>58081</v>
      </c>
      <c r="B25036" s="74" t="s">
        <v>13027</v>
      </c>
      <c r="C25036" s="74" t="s">
        <v>445</v>
      </c>
    </row>
    <row r="25037" spans="1:3">
      <c r="A25037" s="250">
        <v>58102</v>
      </c>
      <c r="B25037" s="74" t="s">
        <v>8148</v>
      </c>
      <c r="C25037" s="74" t="s">
        <v>445</v>
      </c>
    </row>
    <row r="25038" spans="1:3">
      <c r="A25038" s="250">
        <v>58103</v>
      </c>
      <c r="B25038" s="74" t="s">
        <v>8148</v>
      </c>
      <c r="C25038" s="74" t="s">
        <v>445</v>
      </c>
    </row>
    <row r="25039" spans="1:3">
      <c r="A25039" s="250">
        <v>58104</v>
      </c>
      <c r="B25039" s="74" t="s">
        <v>8148</v>
      </c>
      <c r="C25039" s="74" t="s">
        <v>445</v>
      </c>
    </row>
    <row r="25040" spans="1:3">
      <c r="A25040" s="250">
        <v>58105</v>
      </c>
      <c r="B25040" s="74" t="s">
        <v>8148</v>
      </c>
      <c r="C25040" s="74" t="s">
        <v>445</v>
      </c>
    </row>
    <row r="25041" spans="1:3">
      <c r="A25041" s="250">
        <v>58106</v>
      </c>
      <c r="B25041" s="74" t="s">
        <v>8148</v>
      </c>
      <c r="C25041" s="74" t="s">
        <v>445</v>
      </c>
    </row>
    <row r="25042" spans="1:3">
      <c r="A25042" s="250">
        <v>58107</v>
      </c>
      <c r="B25042" s="74" t="s">
        <v>8148</v>
      </c>
      <c r="C25042" s="74" t="s">
        <v>445</v>
      </c>
    </row>
    <row r="25043" spans="1:3">
      <c r="A25043" s="250">
        <v>58108</v>
      </c>
      <c r="B25043" s="74" t="s">
        <v>8148</v>
      </c>
      <c r="C25043" s="74" t="s">
        <v>445</v>
      </c>
    </row>
    <row r="25044" spans="1:3">
      <c r="A25044" s="250">
        <v>58109</v>
      </c>
      <c r="B25044" s="74" t="s">
        <v>8148</v>
      </c>
      <c r="C25044" s="74" t="s">
        <v>445</v>
      </c>
    </row>
    <row r="25045" spans="1:3">
      <c r="A25045" s="250">
        <v>58121</v>
      </c>
      <c r="B25045" s="74" t="s">
        <v>8148</v>
      </c>
      <c r="C25045" s="74" t="s">
        <v>445</v>
      </c>
    </row>
    <row r="25046" spans="1:3">
      <c r="A25046" s="250">
        <v>58122</v>
      </c>
      <c r="B25046" s="74" t="s">
        <v>8148</v>
      </c>
      <c r="C25046" s="74" t="s">
        <v>445</v>
      </c>
    </row>
    <row r="25047" spans="1:3">
      <c r="A25047" s="250">
        <v>58124</v>
      </c>
      <c r="B25047" s="74" t="s">
        <v>8148</v>
      </c>
      <c r="C25047" s="74" t="s">
        <v>445</v>
      </c>
    </row>
    <row r="25048" spans="1:3">
      <c r="A25048" s="250">
        <v>58125</v>
      </c>
      <c r="B25048" s="74" t="s">
        <v>8148</v>
      </c>
      <c r="C25048" s="74" t="s">
        <v>445</v>
      </c>
    </row>
    <row r="25049" spans="1:3">
      <c r="A25049" s="250">
        <v>58126</v>
      </c>
      <c r="B25049" s="74" t="s">
        <v>8148</v>
      </c>
      <c r="C25049" s="74" t="s">
        <v>445</v>
      </c>
    </row>
    <row r="25050" spans="1:3">
      <c r="A25050" s="250">
        <v>58201</v>
      </c>
      <c r="B25050" s="74" t="s">
        <v>13028</v>
      </c>
      <c r="C25050" s="74" t="s">
        <v>445</v>
      </c>
    </row>
    <row r="25051" spans="1:3">
      <c r="A25051" s="250">
        <v>58202</v>
      </c>
      <c r="B25051" s="74" t="s">
        <v>13028</v>
      </c>
      <c r="C25051" s="74" t="s">
        <v>445</v>
      </c>
    </row>
    <row r="25052" spans="1:3">
      <c r="A25052" s="250">
        <v>58203</v>
      </c>
      <c r="B25052" s="74" t="s">
        <v>13028</v>
      </c>
      <c r="C25052" s="74" t="s">
        <v>445</v>
      </c>
    </row>
    <row r="25053" spans="1:3">
      <c r="A25053" s="250">
        <v>58204</v>
      </c>
      <c r="B25053" s="74" t="s">
        <v>13029</v>
      </c>
      <c r="C25053" s="74" t="s">
        <v>445</v>
      </c>
    </row>
    <row r="25054" spans="1:3">
      <c r="A25054" s="250">
        <v>58205</v>
      </c>
      <c r="B25054" s="74" t="s">
        <v>13029</v>
      </c>
      <c r="C25054" s="74" t="s">
        <v>445</v>
      </c>
    </row>
    <row r="25055" spans="1:3">
      <c r="A25055" s="250">
        <v>58206</v>
      </c>
      <c r="B25055" s="74" t="s">
        <v>13028</v>
      </c>
      <c r="C25055" s="74" t="s">
        <v>445</v>
      </c>
    </row>
    <row r="25056" spans="1:3">
      <c r="A25056" s="250">
        <v>58207</v>
      </c>
      <c r="B25056" s="74" t="s">
        <v>13028</v>
      </c>
      <c r="C25056" s="74" t="s">
        <v>445</v>
      </c>
    </row>
    <row r="25057" spans="1:3">
      <c r="A25057" s="250">
        <v>58208</v>
      </c>
      <c r="B25057" s="74" t="s">
        <v>13028</v>
      </c>
      <c r="C25057" s="74" t="s">
        <v>445</v>
      </c>
    </row>
    <row r="25058" spans="1:3">
      <c r="A25058" s="250">
        <v>58210</v>
      </c>
      <c r="B25058" s="74" t="s">
        <v>638</v>
      </c>
      <c r="C25058" s="74" t="s">
        <v>445</v>
      </c>
    </row>
    <row r="25059" spans="1:3">
      <c r="A25059" s="250">
        <v>58212</v>
      </c>
      <c r="B25059" s="74" t="s">
        <v>13030</v>
      </c>
      <c r="C25059" s="74" t="s">
        <v>445</v>
      </c>
    </row>
    <row r="25060" spans="1:3">
      <c r="A25060" s="250">
        <v>58214</v>
      </c>
      <c r="B25060" s="74" t="s">
        <v>13031</v>
      </c>
      <c r="C25060" s="74" t="s">
        <v>445</v>
      </c>
    </row>
    <row r="25061" spans="1:3">
      <c r="A25061" s="250">
        <v>58216</v>
      </c>
      <c r="B25061" s="74" t="s">
        <v>13032</v>
      </c>
      <c r="C25061" s="74" t="s">
        <v>445</v>
      </c>
    </row>
    <row r="25062" spans="1:3">
      <c r="A25062" s="250">
        <v>58218</v>
      </c>
      <c r="B25062" s="74" t="s">
        <v>1424</v>
      </c>
      <c r="C25062" s="74" t="s">
        <v>445</v>
      </c>
    </row>
    <row r="25063" spans="1:3">
      <c r="A25063" s="250">
        <v>58219</v>
      </c>
      <c r="B25063" s="74" t="s">
        <v>3759</v>
      </c>
      <c r="C25063" s="74" t="s">
        <v>445</v>
      </c>
    </row>
    <row r="25064" spans="1:3">
      <c r="A25064" s="250">
        <v>58220</v>
      </c>
      <c r="B25064" s="74" t="s">
        <v>13033</v>
      </c>
      <c r="C25064" s="74" t="s">
        <v>445</v>
      </c>
    </row>
    <row r="25065" spans="1:3">
      <c r="A25065" s="250">
        <v>58222</v>
      </c>
      <c r="B25065" s="74" t="s">
        <v>11151</v>
      </c>
      <c r="C25065" s="74" t="s">
        <v>445</v>
      </c>
    </row>
    <row r="25066" spans="1:3">
      <c r="A25066" s="250">
        <v>58223</v>
      </c>
      <c r="B25066" s="74" t="s">
        <v>13034</v>
      </c>
      <c r="C25066" s="74" t="s">
        <v>445</v>
      </c>
    </row>
    <row r="25067" spans="1:3">
      <c r="A25067" s="250">
        <v>58224</v>
      </c>
      <c r="B25067" s="74" t="s">
        <v>13035</v>
      </c>
      <c r="C25067" s="74" t="s">
        <v>445</v>
      </c>
    </row>
    <row r="25068" spans="1:3">
      <c r="A25068" s="250">
        <v>58225</v>
      </c>
      <c r="B25068" s="74" t="s">
        <v>7668</v>
      </c>
      <c r="C25068" s="74" t="s">
        <v>445</v>
      </c>
    </row>
    <row r="25069" spans="1:3">
      <c r="A25069" s="250">
        <v>58227</v>
      </c>
      <c r="B25069" s="74" t="s">
        <v>4413</v>
      </c>
      <c r="C25069" s="74" t="s">
        <v>445</v>
      </c>
    </row>
    <row r="25070" spans="1:3">
      <c r="A25070" s="250">
        <v>58228</v>
      </c>
      <c r="B25070" s="74" t="s">
        <v>13036</v>
      </c>
      <c r="C25070" s="74" t="s">
        <v>445</v>
      </c>
    </row>
    <row r="25071" spans="1:3">
      <c r="A25071" s="250">
        <v>58229</v>
      </c>
      <c r="B25071" s="74" t="s">
        <v>6791</v>
      </c>
      <c r="C25071" s="74" t="s">
        <v>445</v>
      </c>
    </row>
    <row r="25072" spans="1:3">
      <c r="A25072" s="250">
        <v>58230</v>
      </c>
      <c r="B25072" s="74" t="s">
        <v>9179</v>
      </c>
      <c r="C25072" s="74" t="s">
        <v>445</v>
      </c>
    </row>
    <row r="25073" spans="1:3">
      <c r="A25073" s="250">
        <v>58231</v>
      </c>
      <c r="B25073" s="74" t="s">
        <v>13037</v>
      </c>
      <c r="C25073" s="74" t="s">
        <v>445</v>
      </c>
    </row>
    <row r="25074" spans="1:3">
      <c r="A25074" s="250">
        <v>58233</v>
      </c>
      <c r="B25074" s="74" t="s">
        <v>13038</v>
      </c>
      <c r="C25074" s="74" t="s">
        <v>445</v>
      </c>
    </row>
    <row r="25075" spans="1:3">
      <c r="A25075" s="250">
        <v>58235</v>
      </c>
      <c r="B25075" s="74" t="s">
        <v>13039</v>
      </c>
      <c r="C25075" s="74" t="s">
        <v>445</v>
      </c>
    </row>
    <row r="25076" spans="1:3">
      <c r="A25076" s="250">
        <v>58236</v>
      </c>
      <c r="B25076" s="74" t="s">
        <v>13040</v>
      </c>
      <c r="C25076" s="74" t="s">
        <v>445</v>
      </c>
    </row>
    <row r="25077" spans="1:3">
      <c r="A25077" s="250">
        <v>58237</v>
      </c>
      <c r="B25077" s="74" t="s">
        <v>737</v>
      </c>
      <c r="C25077" s="74" t="s">
        <v>445</v>
      </c>
    </row>
    <row r="25078" spans="1:3">
      <c r="A25078" s="250">
        <v>58238</v>
      </c>
      <c r="B25078" s="74" t="s">
        <v>844</v>
      </c>
      <c r="C25078" s="74" t="s">
        <v>445</v>
      </c>
    </row>
    <row r="25079" spans="1:3">
      <c r="A25079" s="250">
        <v>58239</v>
      </c>
      <c r="B25079" s="74" t="s">
        <v>13041</v>
      </c>
      <c r="C25079" s="74" t="s">
        <v>445</v>
      </c>
    </row>
    <row r="25080" spans="1:3">
      <c r="A25080" s="250">
        <v>58240</v>
      </c>
      <c r="B25080" s="74" t="s">
        <v>13042</v>
      </c>
      <c r="C25080" s="74" t="s">
        <v>445</v>
      </c>
    </row>
    <row r="25081" spans="1:3">
      <c r="A25081" s="250">
        <v>58241</v>
      </c>
      <c r="B25081" s="74" t="s">
        <v>13043</v>
      </c>
      <c r="C25081" s="74" t="s">
        <v>445</v>
      </c>
    </row>
    <row r="25082" spans="1:3">
      <c r="A25082" s="250">
        <v>58243</v>
      </c>
      <c r="B25082" s="74" t="s">
        <v>13044</v>
      </c>
      <c r="C25082" s="74" t="s">
        <v>445</v>
      </c>
    </row>
    <row r="25083" spans="1:3">
      <c r="A25083" s="250">
        <v>58244</v>
      </c>
      <c r="B25083" s="74" t="s">
        <v>11019</v>
      </c>
      <c r="C25083" s="74" t="s">
        <v>445</v>
      </c>
    </row>
    <row r="25084" spans="1:3">
      <c r="A25084" s="250">
        <v>58249</v>
      </c>
      <c r="B25084" s="74" t="s">
        <v>13045</v>
      </c>
      <c r="C25084" s="74" t="s">
        <v>445</v>
      </c>
    </row>
    <row r="25085" spans="1:3">
      <c r="A25085" s="250">
        <v>58250</v>
      </c>
      <c r="B25085" s="74" t="s">
        <v>13046</v>
      </c>
      <c r="C25085" s="74" t="s">
        <v>445</v>
      </c>
    </row>
    <row r="25086" spans="1:3">
      <c r="A25086" s="250">
        <v>58251</v>
      </c>
      <c r="B25086" s="74" t="s">
        <v>13047</v>
      </c>
      <c r="C25086" s="74" t="s">
        <v>445</v>
      </c>
    </row>
    <row r="25087" spans="1:3">
      <c r="A25087" s="250">
        <v>58254</v>
      </c>
      <c r="B25087" s="74" t="s">
        <v>13048</v>
      </c>
      <c r="C25087" s="74" t="s">
        <v>445</v>
      </c>
    </row>
    <row r="25088" spans="1:3">
      <c r="A25088" s="250">
        <v>58255</v>
      </c>
      <c r="B25088" s="74" t="s">
        <v>13049</v>
      </c>
      <c r="C25088" s="74" t="s">
        <v>445</v>
      </c>
    </row>
    <row r="25089" spans="1:3">
      <c r="A25089" s="250">
        <v>58256</v>
      </c>
      <c r="B25089" s="74" t="s">
        <v>13050</v>
      </c>
      <c r="C25089" s="74" t="s">
        <v>445</v>
      </c>
    </row>
    <row r="25090" spans="1:3">
      <c r="A25090" s="250">
        <v>58257</v>
      </c>
      <c r="B25090" s="74" t="s">
        <v>3877</v>
      </c>
      <c r="C25090" s="74" t="s">
        <v>445</v>
      </c>
    </row>
    <row r="25091" spans="1:3">
      <c r="A25091" s="250">
        <v>58258</v>
      </c>
      <c r="B25091" s="74" t="s">
        <v>13051</v>
      </c>
      <c r="C25091" s="74" t="s">
        <v>445</v>
      </c>
    </row>
    <row r="25092" spans="1:3">
      <c r="A25092" s="250">
        <v>58259</v>
      </c>
      <c r="B25092" s="74" t="s">
        <v>13052</v>
      </c>
      <c r="C25092" s="74" t="s">
        <v>445</v>
      </c>
    </row>
    <row r="25093" spans="1:3">
      <c r="A25093" s="250">
        <v>58260</v>
      </c>
      <c r="B25093" s="74" t="s">
        <v>927</v>
      </c>
      <c r="C25093" s="74" t="s">
        <v>445</v>
      </c>
    </row>
    <row r="25094" spans="1:3">
      <c r="A25094" s="250">
        <v>58261</v>
      </c>
      <c r="B25094" s="74" t="s">
        <v>13053</v>
      </c>
      <c r="C25094" s="74" t="s">
        <v>445</v>
      </c>
    </row>
    <row r="25095" spans="1:3">
      <c r="A25095" s="250">
        <v>58262</v>
      </c>
      <c r="B25095" s="74" t="s">
        <v>12109</v>
      </c>
      <c r="C25095" s="74" t="s">
        <v>445</v>
      </c>
    </row>
    <row r="25096" spans="1:3">
      <c r="A25096" s="250">
        <v>58265</v>
      </c>
      <c r="B25096" s="74" t="s">
        <v>13054</v>
      </c>
      <c r="C25096" s="74" t="s">
        <v>445</v>
      </c>
    </row>
    <row r="25097" spans="1:3">
      <c r="A25097" s="250">
        <v>58266</v>
      </c>
      <c r="B25097" s="74" t="s">
        <v>12111</v>
      </c>
      <c r="C25097" s="74" t="s">
        <v>445</v>
      </c>
    </row>
    <row r="25098" spans="1:3">
      <c r="A25098" s="250">
        <v>58267</v>
      </c>
      <c r="B25098" s="74" t="s">
        <v>1205</v>
      </c>
      <c r="C25098" s="74" t="s">
        <v>445</v>
      </c>
    </row>
    <row r="25099" spans="1:3">
      <c r="A25099" s="250">
        <v>58269</v>
      </c>
      <c r="B25099" s="74" t="s">
        <v>13055</v>
      </c>
      <c r="C25099" s="74" t="s">
        <v>445</v>
      </c>
    </row>
    <row r="25100" spans="1:3">
      <c r="A25100" s="250">
        <v>58270</v>
      </c>
      <c r="B25100" s="74" t="s">
        <v>13056</v>
      </c>
      <c r="C25100" s="74" t="s">
        <v>445</v>
      </c>
    </row>
    <row r="25101" spans="1:3">
      <c r="A25101" s="250">
        <v>58271</v>
      </c>
      <c r="B25101" s="74" t="s">
        <v>13057</v>
      </c>
      <c r="C25101" s="74" t="s">
        <v>445</v>
      </c>
    </row>
    <row r="25102" spans="1:3">
      <c r="A25102" s="250">
        <v>58272</v>
      </c>
      <c r="B25102" s="74" t="s">
        <v>2988</v>
      </c>
      <c r="C25102" s="74" t="s">
        <v>445</v>
      </c>
    </row>
    <row r="25103" spans="1:3">
      <c r="A25103" s="250">
        <v>58273</v>
      </c>
      <c r="B25103" s="74" t="s">
        <v>13058</v>
      </c>
      <c r="C25103" s="74" t="s">
        <v>445</v>
      </c>
    </row>
    <row r="25104" spans="1:3">
      <c r="A25104" s="250">
        <v>58274</v>
      </c>
      <c r="B25104" s="74" t="s">
        <v>1429</v>
      </c>
      <c r="C25104" s="74" t="s">
        <v>445</v>
      </c>
    </row>
    <row r="25105" spans="1:3">
      <c r="A25105" s="250">
        <v>58275</v>
      </c>
      <c r="B25105" s="74" t="s">
        <v>8094</v>
      </c>
      <c r="C25105" s="74" t="s">
        <v>445</v>
      </c>
    </row>
    <row r="25106" spans="1:3">
      <c r="A25106" s="250">
        <v>58276</v>
      </c>
      <c r="B25106" s="74" t="s">
        <v>4786</v>
      </c>
      <c r="C25106" s="74" t="s">
        <v>445</v>
      </c>
    </row>
    <row r="25107" spans="1:3">
      <c r="A25107" s="250">
        <v>58277</v>
      </c>
      <c r="B25107" s="74" t="s">
        <v>893</v>
      </c>
      <c r="C25107" s="74" t="s">
        <v>445</v>
      </c>
    </row>
    <row r="25108" spans="1:3">
      <c r="A25108" s="250">
        <v>58278</v>
      </c>
      <c r="B25108" s="74" t="s">
        <v>2006</v>
      </c>
      <c r="C25108" s="74" t="s">
        <v>445</v>
      </c>
    </row>
    <row r="25109" spans="1:3">
      <c r="A25109" s="250">
        <v>58281</v>
      </c>
      <c r="B25109" s="74" t="s">
        <v>620</v>
      </c>
      <c r="C25109" s="74" t="s">
        <v>445</v>
      </c>
    </row>
    <row r="25110" spans="1:3">
      <c r="A25110" s="250">
        <v>58282</v>
      </c>
      <c r="B25110" s="74" t="s">
        <v>7796</v>
      </c>
      <c r="C25110" s="74" t="s">
        <v>445</v>
      </c>
    </row>
    <row r="25111" spans="1:3">
      <c r="A25111" s="250">
        <v>58301</v>
      </c>
      <c r="B25111" s="74" t="s">
        <v>13059</v>
      </c>
      <c r="C25111" s="74" t="s">
        <v>445</v>
      </c>
    </row>
    <row r="25112" spans="1:3">
      <c r="A25112" s="250">
        <v>58310</v>
      </c>
      <c r="B25112" s="74" t="s">
        <v>13060</v>
      </c>
      <c r="C25112" s="74" t="s">
        <v>445</v>
      </c>
    </row>
    <row r="25113" spans="1:3">
      <c r="A25113" s="250">
        <v>58311</v>
      </c>
      <c r="B25113" s="74" t="s">
        <v>13061</v>
      </c>
      <c r="C25113" s="74" t="s">
        <v>445</v>
      </c>
    </row>
    <row r="25114" spans="1:3">
      <c r="A25114" s="250">
        <v>58313</v>
      </c>
      <c r="B25114" s="74" t="s">
        <v>13062</v>
      </c>
      <c r="C25114" s="74" t="s">
        <v>445</v>
      </c>
    </row>
    <row r="25115" spans="1:3">
      <c r="A25115" s="250">
        <v>58316</v>
      </c>
      <c r="B25115" s="74" t="s">
        <v>13063</v>
      </c>
      <c r="C25115" s="74" t="s">
        <v>445</v>
      </c>
    </row>
    <row r="25116" spans="1:3">
      <c r="A25116" s="250">
        <v>58317</v>
      </c>
      <c r="B25116" s="74" t="s">
        <v>13064</v>
      </c>
      <c r="C25116" s="74" t="s">
        <v>445</v>
      </c>
    </row>
    <row r="25117" spans="1:3">
      <c r="A25117" s="250">
        <v>58318</v>
      </c>
      <c r="B25117" s="74" t="s">
        <v>13065</v>
      </c>
      <c r="C25117" s="74" t="s">
        <v>445</v>
      </c>
    </row>
    <row r="25118" spans="1:3">
      <c r="A25118" s="250">
        <v>58319</v>
      </c>
      <c r="B25118" s="74" t="s">
        <v>1545</v>
      </c>
      <c r="C25118" s="74" t="s">
        <v>445</v>
      </c>
    </row>
    <row r="25119" spans="1:3">
      <c r="A25119" s="250">
        <v>58321</v>
      </c>
      <c r="B25119" s="74" t="s">
        <v>13066</v>
      </c>
      <c r="C25119" s="74" t="s">
        <v>445</v>
      </c>
    </row>
    <row r="25120" spans="1:3">
      <c r="A25120" s="250">
        <v>58323</v>
      </c>
      <c r="B25120" s="74" t="s">
        <v>4536</v>
      </c>
      <c r="C25120" s="74" t="s">
        <v>445</v>
      </c>
    </row>
    <row r="25121" spans="1:3">
      <c r="A25121" s="250">
        <v>58324</v>
      </c>
      <c r="B25121" s="74" t="s">
        <v>13067</v>
      </c>
      <c r="C25121" s="74" t="s">
        <v>445</v>
      </c>
    </row>
    <row r="25122" spans="1:3">
      <c r="A25122" s="250">
        <v>58325</v>
      </c>
      <c r="B25122" s="74" t="s">
        <v>13068</v>
      </c>
      <c r="C25122" s="74" t="s">
        <v>445</v>
      </c>
    </row>
    <row r="25123" spans="1:3">
      <c r="A25123" s="250">
        <v>58327</v>
      </c>
      <c r="B25123" s="74" t="s">
        <v>13069</v>
      </c>
      <c r="C25123" s="74" t="s">
        <v>445</v>
      </c>
    </row>
    <row r="25124" spans="1:3">
      <c r="A25124" s="250">
        <v>58329</v>
      </c>
      <c r="B25124" s="74" t="s">
        <v>13070</v>
      </c>
      <c r="C25124" s="74" t="s">
        <v>445</v>
      </c>
    </row>
    <row r="25125" spans="1:3">
      <c r="A25125" s="250">
        <v>58330</v>
      </c>
      <c r="B25125" s="74" t="s">
        <v>11156</v>
      </c>
      <c r="C25125" s="74" t="s">
        <v>445</v>
      </c>
    </row>
    <row r="25126" spans="1:3">
      <c r="A25126" s="250">
        <v>58331</v>
      </c>
      <c r="B25126" s="74" t="s">
        <v>13071</v>
      </c>
      <c r="C25126" s="74" t="s">
        <v>445</v>
      </c>
    </row>
    <row r="25127" spans="1:3">
      <c r="A25127" s="250">
        <v>58332</v>
      </c>
      <c r="B25127" s="74" t="s">
        <v>13072</v>
      </c>
      <c r="C25127" s="74" t="s">
        <v>445</v>
      </c>
    </row>
    <row r="25128" spans="1:3">
      <c r="A25128" s="250">
        <v>58335</v>
      </c>
      <c r="B25128" s="74" t="s">
        <v>13073</v>
      </c>
      <c r="C25128" s="74" t="s">
        <v>445</v>
      </c>
    </row>
    <row r="25129" spans="1:3">
      <c r="A25129" s="250">
        <v>58338</v>
      </c>
      <c r="B25129" s="74" t="s">
        <v>596</v>
      </c>
      <c r="C25129" s="74" t="s">
        <v>445</v>
      </c>
    </row>
    <row r="25130" spans="1:3">
      <c r="A25130" s="250">
        <v>58339</v>
      </c>
      <c r="B25130" s="74" t="s">
        <v>13074</v>
      </c>
      <c r="C25130" s="74" t="s">
        <v>445</v>
      </c>
    </row>
    <row r="25131" spans="1:3">
      <c r="A25131" s="250">
        <v>58341</v>
      </c>
      <c r="B25131" s="74" t="s">
        <v>11511</v>
      </c>
      <c r="C25131" s="74" t="s">
        <v>445</v>
      </c>
    </row>
    <row r="25132" spans="1:3">
      <c r="A25132" s="250">
        <v>58343</v>
      </c>
      <c r="B25132" s="74" t="s">
        <v>2971</v>
      </c>
      <c r="C25132" s="74" t="s">
        <v>445</v>
      </c>
    </row>
    <row r="25133" spans="1:3">
      <c r="A25133" s="250">
        <v>58344</v>
      </c>
      <c r="B25133" s="74" t="s">
        <v>11584</v>
      </c>
      <c r="C25133" s="74" t="s">
        <v>445</v>
      </c>
    </row>
    <row r="25134" spans="1:3">
      <c r="A25134" s="250">
        <v>58345</v>
      </c>
      <c r="B25134" s="74" t="s">
        <v>5243</v>
      </c>
      <c r="C25134" s="74" t="s">
        <v>445</v>
      </c>
    </row>
    <row r="25135" spans="1:3">
      <c r="A25135" s="250">
        <v>58346</v>
      </c>
      <c r="B25135" s="74" t="s">
        <v>602</v>
      </c>
      <c r="C25135" s="74" t="s">
        <v>445</v>
      </c>
    </row>
    <row r="25136" spans="1:3">
      <c r="A25136" s="250">
        <v>58348</v>
      </c>
      <c r="B25136" s="74" t="s">
        <v>13075</v>
      </c>
      <c r="C25136" s="74" t="s">
        <v>445</v>
      </c>
    </row>
    <row r="25137" spans="1:3">
      <c r="A25137" s="250">
        <v>58351</v>
      </c>
      <c r="B25137" s="74" t="s">
        <v>13076</v>
      </c>
      <c r="C25137" s="74" t="s">
        <v>445</v>
      </c>
    </row>
    <row r="25138" spans="1:3">
      <c r="A25138" s="250">
        <v>58352</v>
      </c>
      <c r="B25138" s="74" t="s">
        <v>13077</v>
      </c>
      <c r="C25138" s="74" t="s">
        <v>445</v>
      </c>
    </row>
    <row r="25139" spans="1:3">
      <c r="A25139" s="250">
        <v>58353</v>
      </c>
      <c r="B25139" s="74" t="s">
        <v>13078</v>
      </c>
      <c r="C25139" s="74" t="s">
        <v>445</v>
      </c>
    </row>
    <row r="25140" spans="1:3">
      <c r="A25140" s="250">
        <v>58355</v>
      </c>
      <c r="B25140" s="74" t="s">
        <v>13079</v>
      </c>
      <c r="C25140" s="74" t="s">
        <v>445</v>
      </c>
    </row>
    <row r="25141" spans="1:3">
      <c r="A25141" s="250">
        <v>58356</v>
      </c>
      <c r="B25141" s="74" t="s">
        <v>13080</v>
      </c>
      <c r="C25141" s="74" t="s">
        <v>445</v>
      </c>
    </row>
    <row r="25142" spans="1:3">
      <c r="A25142" s="250">
        <v>58357</v>
      </c>
      <c r="B25142" s="74" t="s">
        <v>13081</v>
      </c>
      <c r="C25142" s="74" t="s">
        <v>445</v>
      </c>
    </row>
    <row r="25143" spans="1:3">
      <c r="A25143" s="250">
        <v>58361</v>
      </c>
      <c r="B25143" s="74" t="s">
        <v>10819</v>
      </c>
      <c r="C25143" s="74" t="s">
        <v>445</v>
      </c>
    </row>
    <row r="25144" spans="1:3">
      <c r="A25144" s="250">
        <v>58362</v>
      </c>
      <c r="B25144" s="74" t="s">
        <v>4233</v>
      </c>
      <c r="C25144" s="74" t="s">
        <v>445</v>
      </c>
    </row>
    <row r="25145" spans="1:3">
      <c r="A25145" s="250">
        <v>58363</v>
      </c>
      <c r="B25145" s="74" t="s">
        <v>13082</v>
      </c>
      <c r="C25145" s="74" t="s">
        <v>445</v>
      </c>
    </row>
    <row r="25146" spans="1:3">
      <c r="A25146" s="250">
        <v>58365</v>
      </c>
      <c r="B25146" s="74" t="s">
        <v>13083</v>
      </c>
      <c r="C25146" s="74" t="s">
        <v>445</v>
      </c>
    </row>
    <row r="25147" spans="1:3">
      <c r="A25147" s="250">
        <v>58366</v>
      </c>
      <c r="B25147" s="74" t="s">
        <v>13084</v>
      </c>
      <c r="C25147" s="74" t="s">
        <v>445</v>
      </c>
    </row>
    <row r="25148" spans="1:3">
      <c r="A25148" s="250">
        <v>58367</v>
      </c>
      <c r="B25148" s="74" t="s">
        <v>13085</v>
      </c>
      <c r="C25148" s="74" t="s">
        <v>445</v>
      </c>
    </row>
    <row r="25149" spans="1:3">
      <c r="A25149" s="250">
        <v>58368</v>
      </c>
      <c r="B25149" s="74" t="s">
        <v>9125</v>
      </c>
      <c r="C25149" s="74" t="s">
        <v>445</v>
      </c>
    </row>
    <row r="25150" spans="1:3">
      <c r="A25150" s="250">
        <v>58369</v>
      </c>
      <c r="B25150" s="74" t="s">
        <v>10694</v>
      </c>
      <c r="C25150" s="74" t="s">
        <v>445</v>
      </c>
    </row>
    <row r="25151" spans="1:3">
      <c r="A25151" s="250">
        <v>58370</v>
      </c>
      <c r="B25151" s="74" t="s">
        <v>4365</v>
      </c>
      <c r="C25151" s="74" t="s">
        <v>445</v>
      </c>
    </row>
    <row r="25152" spans="1:3">
      <c r="A25152" s="250">
        <v>58372</v>
      </c>
      <c r="B25152" s="74" t="s">
        <v>13086</v>
      </c>
      <c r="C25152" s="74" t="s">
        <v>445</v>
      </c>
    </row>
    <row r="25153" spans="1:3">
      <c r="A25153" s="250">
        <v>58374</v>
      </c>
      <c r="B25153" s="74" t="s">
        <v>13087</v>
      </c>
      <c r="C25153" s="74" t="s">
        <v>445</v>
      </c>
    </row>
    <row r="25154" spans="1:3">
      <c r="A25154" s="250">
        <v>58377</v>
      </c>
      <c r="B25154" s="74" t="s">
        <v>13088</v>
      </c>
      <c r="C25154" s="74" t="s">
        <v>445</v>
      </c>
    </row>
    <row r="25155" spans="1:3">
      <c r="A25155" s="250">
        <v>58379</v>
      </c>
      <c r="B25155" s="74" t="s">
        <v>13089</v>
      </c>
      <c r="C25155" s="74" t="s">
        <v>445</v>
      </c>
    </row>
    <row r="25156" spans="1:3">
      <c r="A25156" s="250">
        <v>58380</v>
      </c>
      <c r="B25156" s="74" t="s">
        <v>13090</v>
      </c>
      <c r="C25156" s="74" t="s">
        <v>445</v>
      </c>
    </row>
    <row r="25157" spans="1:3">
      <c r="A25157" s="250">
        <v>58381</v>
      </c>
      <c r="B25157" s="74" t="s">
        <v>697</v>
      </c>
      <c r="C25157" s="74" t="s">
        <v>445</v>
      </c>
    </row>
    <row r="25158" spans="1:3">
      <c r="A25158" s="250">
        <v>58382</v>
      </c>
      <c r="B25158" s="74" t="s">
        <v>767</v>
      </c>
      <c r="C25158" s="74" t="s">
        <v>445</v>
      </c>
    </row>
    <row r="25159" spans="1:3">
      <c r="A25159" s="250">
        <v>58384</v>
      </c>
      <c r="B25159" s="74" t="s">
        <v>13091</v>
      </c>
      <c r="C25159" s="74" t="s">
        <v>445</v>
      </c>
    </row>
    <row r="25160" spans="1:3">
      <c r="A25160" s="250">
        <v>58385</v>
      </c>
      <c r="B25160" s="74" t="s">
        <v>6478</v>
      </c>
      <c r="C25160" s="74" t="s">
        <v>445</v>
      </c>
    </row>
    <row r="25161" spans="1:3">
      <c r="A25161" s="250">
        <v>58386</v>
      </c>
      <c r="B25161" s="74" t="s">
        <v>1359</v>
      </c>
      <c r="C25161" s="74" t="s">
        <v>445</v>
      </c>
    </row>
    <row r="25162" spans="1:3">
      <c r="A25162" s="250">
        <v>58401</v>
      </c>
      <c r="B25162" s="74" t="s">
        <v>1113</v>
      </c>
      <c r="C25162" s="74" t="s">
        <v>445</v>
      </c>
    </row>
    <row r="25163" spans="1:3">
      <c r="A25163" s="250">
        <v>58402</v>
      </c>
      <c r="B25163" s="74" t="s">
        <v>1113</v>
      </c>
      <c r="C25163" s="74" t="s">
        <v>445</v>
      </c>
    </row>
    <row r="25164" spans="1:3">
      <c r="A25164" s="250">
        <v>58405</v>
      </c>
      <c r="B25164" s="74" t="s">
        <v>1113</v>
      </c>
      <c r="C25164" s="74" t="s">
        <v>445</v>
      </c>
    </row>
    <row r="25165" spans="1:3">
      <c r="A25165" s="250">
        <v>58413</v>
      </c>
      <c r="B25165" s="74" t="s">
        <v>10079</v>
      </c>
      <c r="C25165" s="74" t="s">
        <v>445</v>
      </c>
    </row>
    <row r="25166" spans="1:3">
      <c r="A25166" s="250">
        <v>58415</v>
      </c>
      <c r="B25166" s="74" t="s">
        <v>725</v>
      </c>
      <c r="C25166" s="74" t="s">
        <v>445</v>
      </c>
    </row>
    <row r="25167" spans="1:3">
      <c r="A25167" s="250">
        <v>58416</v>
      </c>
      <c r="B25167" s="74" t="s">
        <v>13092</v>
      </c>
      <c r="C25167" s="74" t="s">
        <v>445</v>
      </c>
    </row>
    <row r="25168" spans="1:3">
      <c r="A25168" s="250">
        <v>58418</v>
      </c>
      <c r="B25168" s="74" t="s">
        <v>7879</v>
      </c>
      <c r="C25168" s="74" t="s">
        <v>445</v>
      </c>
    </row>
    <row r="25169" spans="1:3">
      <c r="A25169" s="250">
        <v>58420</v>
      </c>
      <c r="B25169" s="74" t="s">
        <v>2621</v>
      </c>
      <c r="C25169" s="74" t="s">
        <v>445</v>
      </c>
    </row>
    <row r="25170" spans="1:3">
      <c r="A25170" s="250">
        <v>58421</v>
      </c>
      <c r="B25170" s="74" t="s">
        <v>13093</v>
      </c>
      <c r="C25170" s="74" t="s">
        <v>445</v>
      </c>
    </row>
    <row r="25171" spans="1:3">
      <c r="A25171" s="250">
        <v>58422</v>
      </c>
      <c r="B25171" s="74" t="s">
        <v>13094</v>
      </c>
      <c r="C25171" s="74" t="s">
        <v>445</v>
      </c>
    </row>
    <row r="25172" spans="1:3">
      <c r="A25172" s="250">
        <v>58423</v>
      </c>
      <c r="B25172" s="74" t="s">
        <v>13095</v>
      </c>
      <c r="C25172" s="74" t="s">
        <v>445</v>
      </c>
    </row>
    <row r="25173" spans="1:3">
      <c r="A25173" s="250">
        <v>58424</v>
      </c>
      <c r="B25173" s="74" t="s">
        <v>3350</v>
      </c>
      <c r="C25173" s="74" t="s">
        <v>445</v>
      </c>
    </row>
    <row r="25174" spans="1:3">
      <c r="A25174" s="250">
        <v>58425</v>
      </c>
      <c r="B25174" s="74" t="s">
        <v>3445</v>
      </c>
      <c r="C25174" s="74" t="s">
        <v>445</v>
      </c>
    </row>
    <row r="25175" spans="1:3">
      <c r="A25175" s="250">
        <v>58426</v>
      </c>
      <c r="B25175" s="74" t="s">
        <v>13096</v>
      </c>
      <c r="C25175" s="74" t="s">
        <v>445</v>
      </c>
    </row>
    <row r="25176" spans="1:3">
      <c r="A25176" s="250">
        <v>58428</v>
      </c>
      <c r="B25176" s="74" t="s">
        <v>4101</v>
      </c>
      <c r="C25176" s="74" t="s">
        <v>445</v>
      </c>
    </row>
    <row r="25177" spans="1:3">
      <c r="A25177" s="250">
        <v>58429</v>
      </c>
      <c r="B25177" s="74" t="s">
        <v>13097</v>
      </c>
      <c r="C25177" s="74" t="s">
        <v>445</v>
      </c>
    </row>
    <row r="25178" spans="1:3">
      <c r="A25178" s="250">
        <v>58430</v>
      </c>
      <c r="B25178" s="74" t="s">
        <v>13098</v>
      </c>
      <c r="C25178" s="74" t="s">
        <v>445</v>
      </c>
    </row>
    <row r="25179" spans="1:3">
      <c r="A25179" s="250">
        <v>58431</v>
      </c>
      <c r="B25179" s="74" t="s">
        <v>13099</v>
      </c>
      <c r="C25179" s="74" t="s">
        <v>445</v>
      </c>
    </row>
    <row r="25180" spans="1:3">
      <c r="A25180" s="250">
        <v>58433</v>
      </c>
      <c r="B25180" s="74" t="s">
        <v>13100</v>
      </c>
      <c r="C25180" s="74" t="s">
        <v>445</v>
      </c>
    </row>
    <row r="25181" spans="1:3">
      <c r="A25181" s="250">
        <v>58436</v>
      </c>
      <c r="B25181" s="74" t="s">
        <v>5498</v>
      </c>
      <c r="C25181" s="74" t="s">
        <v>445</v>
      </c>
    </row>
    <row r="25182" spans="1:3">
      <c r="A25182" s="250">
        <v>58438</v>
      </c>
      <c r="B25182" s="74" t="s">
        <v>13101</v>
      </c>
      <c r="C25182" s="74" t="s">
        <v>445</v>
      </c>
    </row>
    <row r="25183" spans="1:3">
      <c r="A25183" s="250">
        <v>58439</v>
      </c>
      <c r="B25183" s="74" t="s">
        <v>12458</v>
      </c>
      <c r="C25183" s="74" t="s">
        <v>445</v>
      </c>
    </row>
    <row r="25184" spans="1:3">
      <c r="A25184" s="250">
        <v>58440</v>
      </c>
      <c r="B25184" s="74" t="s">
        <v>3706</v>
      </c>
      <c r="C25184" s="74" t="s">
        <v>445</v>
      </c>
    </row>
    <row r="25185" spans="1:3">
      <c r="A25185" s="250">
        <v>58441</v>
      </c>
      <c r="B25185" s="74" t="s">
        <v>13102</v>
      </c>
      <c r="C25185" s="74" t="s">
        <v>445</v>
      </c>
    </row>
    <row r="25186" spans="1:3">
      <c r="A25186" s="250">
        <v>58442</v>
      </c>
      <c r="B25186" s="74" t="s">
        <v>13103</v>
      </c>
      <c r="C25186" s="74" t="s">
        <v>445</v>
      </c>
    </row>
    <row r="25187" spans="1:3">
      <c r="A25187" s="250">
        <v>58443</v>
      </c>
      <c r="B25187" s="74" t="s">
        <v>3459</v>
      </c>
      <c r="C25187" s="74" t="s">
        <v>445</v>
      </c>
    </row>
    <row r="25188" spans="1:3">
      <c r="A25188" s="250">
        <v>58444</v>
      </c>
      <c r="B25188" s="74" t="s">
        <v>11067</v>
      </c>
      <c r="C25188" s="74" t="s">
        <v>445</v>
      </c>
    </row>
    <row r="25189" spans="1:3">
      <c r="A25189" s="250">
        <v>58445</v>
      </c>
      <c r="B25189" s="74" t="s">
        <v>13104</v>
      </c>
      <c r="C25189" s="74" t="s">
        <v>445</v>
      </c>
    </row>
    <row r="25190" spans="1:3">
      <c r="A25190" s="250">
        <v>58448</v>
      </c>
      <c r="B25190" s="74" t="s">
        <v>13105</v>
      </c>
      <c r="C25190" s="74" t="s">
        <v>445</v>
      </c>
    </row>
    <row r="25191" spans="1:3">
      <c r="A25191" s="250">
        <v>58451</v>
      </c>
      <c r="B25191" s="74" t="s">
        <v>13106</v>
      </c>
      <c r="C25191" s="74" t="s">
        <v>445</v>
      </c>
    </row>
    <row r="25192" spans="1:3">
      <c r="A25192" s="250">
        <v>58452</v>
      </c>
      <c r="B25192" s="74" t="s">
        <v>13107</v>
      </c>
      <c r="C25192" s="74" t="s">
        <v>445</v>
      </c>
    </row>
    <row r="25193" spans="1:3">
      <c r="A25193" s="250">
        <v>58454</v>
      </c>
      <c r="B25193" s="74" t="s">
        <v>13108</v>
      </c>
      <c r="C25193" s="74" t="s">
        <v>445</v>
      </c>
    </row>
    <row r="25194" spans="1:3">
      <c r="A25194" s="250">
        <v>58455</v>
      </c>
      <c r="B25194" s="74" t="s">
        <v>13109</v>
      </c>
      <c r="C25194" s="74" t="s">
        <v>445</v>
      </c>
    </row>
    <row r="25195" spans="1:3">
      <c r="A25195" s="250">
        <v>58456</v>
      </c>
      <c r="B25195" s="74" t="s">
        <v>13110</v>
      </c>
      <c r="C25195" s="74" t="s">
        <v>445</v>
      </c>
    </row>
    <row r="25196" spans="1:3">
      <c r="A25196" s="250">
        <v>58458</v>
      </c>
      <c r="B25196" s="74" t="s">
        <v>13111</v>
      </c>
      <c r="C25196" s="74" t="s">
        <v>445</v>
      </c>
    </row>
    <row r="25197" spans="1:3">
      <c r="A25197" s="250">
        <v>58460</v>
      </c>
      <c r="B25197" s="74" t="s">
        <v>13112</v>
      </c>
      <c r="C25197" s="74" t="s">
        <v>445</v>
      </c>
    </row>
    <row r="25198" spans="1:3">
      <c r="A25198" s="250">
        <v>58461</v>
      </c>
      <c r="B25198" s="74" t="s">
        <v>13113</v>
      </c>
      <c r="C25198" s="74" t="s">
        <v>445</v>
      </c>
    </row>
    <row r="25199" spans="1:3">
      <c r="A25199" s="250">
        <v>58463</v>
      </c>
      <c r="B25199" s="74" t="s">
        <v>13114</v>
      </c>
      <c r="C25199" s="74" t="s">
        <v>445</v>
      </c>
    </row>
    <row r="25200" spans="1:3">
      <c r="A25200" s="250">
        <v>58464</v>
      </c>
      <c r="B25200" s="74" t="s">
        <v>13115</v>
      </c>
      <c r="C25200" s="74" t="s">
        <v>445</v>
      </c>
    </row>
    <row r="25201" spans="1:3">
      <c r="A25201" s="250">
        <v>58466</v>
      </c>
      <c r="B25201" s="74" t="s">
        <v>1071</v>
      </c>
      <c r="C25201" s="74" t="s">
        <v>445</v>
      </c>
    </row>
    <row r="25202" spans="1:3">
      <c r="A25202" s="250">
        <v>58467</v>
      </c>
      <c r="B25202" s="74" t="s">
        <v>3719</v>
      </c>
      <c r="C25202" s="74" t="s">
        <v>445</v>
      </c>
    </row>
    <row r="25203" spans="1:3">
      <c r="A25203" s="250">
        <v>58472</v>
      </c>
      <c r="B25203" s="74" t="s">
        <v>1838</v>
      </c>
      <c r="C25203" s="74" t="s">
        <v>445</v>
      </c>
    </row>
    <row r="25204" spans="1:3">
      <c r="A25204" s="250">
        <v>58474</v>
      </c>
      <c r="B25204" s="74" t="s">
        <v>13116</v>
      </c>
      <c r="C25204" s="74" t="s">
        <v>445</v>
      </c>
    </row>
    <row r="25205" spans="1:3">
      <c r="A25205" s="250">
        <v>58475</v>
      </c>
      <c r="B25205" s="74" t="s">
        <v>13117</v>
      </c>
      <c r="C25205" s="74" t="s">
        <v>445</v>
      </c>
    </row>
    <row r="25206" spans="1:3">
      <c r="A25206" s="250">
        <v>58476</v>
      </c>
      <c r="B25206" s="74" t="s">
        <v>13118</v>
      </c>
      <c r="C25206" s="74" t="s">
        <v>445</v>
      </c>
    </row>
    <row r="25207" spans="1:3">
      <c r="A25207" s="250">
        <v>58477</v>
      </c>
      <c r="B25207" s="74" t="s">
        <v>13119</v>
      </c>
      <c r="C25207" s="74" t="s">
        <v>445</v>
      </c>
    </row>
    <row r="25208" spans="1:3">
      <c r="A25208" s="250">
        <v>58478</v>
      </c>
      <c r="B25208" s="74" t="s">
        <v>4364</v>
      </c>
      <c r="C25208" s="74" t="s">
        <v>445</v>
      </c>
    </row>
    <row r="25209" spans="1:3">
      <c r="A25209" s="250">
        <v>58479</v>
      </c>
      <c r="B25209" s="74" t="s">
        <v>2002</v>
      </c>
      <c r="C25209" s="74" t="s">
        <v>445</v>
      </c>
    </row>
    <row r="25210" spans="1:3">
      <c r="A25210" s="250">
        <v>58480</v>
      </c>
      <c r="B25210" s="74" t="s">
        <v>3732</v>
      </c>
      <c r="C25210" s="74" t="s">
        <v>445</v>
      </c>
    </row>
    <row r="25211" spans="1:3">
      <c r="A25211" s="250">
        <v>58481</v>
      </c>
      <c r="B25211" s="74" t="s">
        <v>13120</v>
      </c>
      <c r="C25211" s="74" t="s">
        <v>445</v>
      </c>
    </row>
    <row r="25212" spans="1:3">
      <c r="A25212" s="250">
        <v>58482</v>
      </c>
      <c r="B25212" s="74" t="s">
        <v>8779</v>
      </c>
      <c r="C25212" s="74" t="s">
        <v>445</v>
      </c>
    </row>
    <row r="25213" spans="1:3">
      <c r="A25213" s="250">
        <v>58483</v>
      </c>
      <c r="B25213" s="74" t="s">
        <v>13121</v>
      </c>
      <c r="C25213" s="74" t="s">
        <v>445</v>
      </c>
    </row>
    <row r="25214" spans="1:3">
      <c r="A25214" s="250">
        <v>58484</v>
      </c>
      <c r="B25214" s="74" t="s">
        <v>774</v>
      </c>
      <c r="C25214" s="74" t="s">
        <v>445</v>
      </c>
    </row>
    <row r="25215" spans="1:3">
      <c r="A25215" s="250">
        <v>58486</v>
      </c>
      <c r="B25215" s="74" t="s">
        <v>13122</v>
      </c>
      <c r="C25215" s="74" t="s">
        <v>445</v>
      </c>
    </row>
    <row r="25216" spans="1:3">
      <c r="A25216" s="250">
        <v>58487</v>
      </c>
      <c r="B25216" s="74" t="s">
        <v>13123</v>
      </c>
      <c r="C25216" s="74" t="s">
        <v>445</v>
      </c>
    </row>
    <row r="25217" spans="1:3">
      <c r="A25217" s="250">
        <v>58488</v>
      </c>
      <c r="B25217" s="74" t="s">
        <v>13124</v>
      </c>
      <c r="C25217" s="74" t="s">
        <v>445</v>
      </c>
    </row>
    <row r="25218" spans="1:3">
      <c r="A25218" s="250">
        <v>58490</v>
      </c>
      <c r="B25218" s="74" t="s">
        <v>2139</v>
      </c>
      <c r="C25218" s="74" t="s">
        <v>445</v>
      </c>
    </row>
    <row r="25219" spans="1:3">
      <c r="A25219" s="250">
        <v>58492</v>
      </c>
      <c r="B25219" s="74" t="s">
        <v>13125</v>
      </c>
      <c r="C25219" s="74" t="s">
        <v>445</v>
      </c>
    </row>
    <row r="25220" spans="1:3">
      <c r="A25220" s="250">
        <v>58494</v>
      </c>
      <c r="B25220" s="74" t="s">
        <v>8886</v>
      </c>
      <c r="C25220" s="74" t="s">
        <v>445</v>
      </c>
    </row>
    <row r="25221" spans="1:3">
      <c r="A25221" s="250">
        <v>58495</v>
      </c>
      <c r="B25221" s="74" t="s">
        <v>13126</v>
      </c>
      <c r="C25221" s="74" t="s">
        <v>445</v>
      </c>
    </row>
    <row r="25222" spans="1:3">
      <c r="A25222" s="250">
        <v>58496</v>
      </c>
      <c r="B25222" s="74" t="s">
        <v>12004</v>
      </c>
      <c r="C25222" s="74" t="s">
        <v>445</v>
      </c>
    </row>
    <row r="25223" spans="1:3">
      <c r="A25223" s="250">
        <v>58497</v>
      </c>
      <c r="B25223" s="74" t="s">
        <v>11034</v>
      </c>
      <c r="C25223" s="74" t="s">
        <v>445</v>
      </c>
    </row>
    <row r="25224" spans="1:3">
      <c r="A25224" s="250">
        <v>58501</v>
      </c>
      <c r="B25224" s="74" t="s">
        <v>13127</v>
      </c>
      <c r="C25224" s="74" t="s">
        <v>445</v>
      </c>
    </row>
    <row r="25225" spans="1:3">
      <c r="A25225" s="250">
        <v>58502</v>
      </c>
      <c r="B25225" s="74" t="s">
        <v>13127</v>
      </c>
      <c r="C25225" s="74" t="s">
        <v>445</v>
      </c>
    </row>
    <row r="25226" spans="1:3">
      <c r="A25226" s="250">
        <v>58503</v>
      </c>
      <c r="B25226" s="74" t="s">
        <v>13127</v>
      </c>
      <c r="C25226" s="74" t="s">
        <v>445</v>
      </c>
    </row>
    <row r="25227" spans="1:3">
      <c r="A25227" s="250">
        <v>58504</v>
      </c>
      <c r="B25227" s="74" t="s">
        <v>13127</v>
      </c>
      <c r="C25227" s="74" t="s">
        <v>445</v>
      </c>
    </row>
    <row r="25228" spans="1:3">
      <c r="A25228" s="250">
        <v>58505</v>
      </c>
      <c r="B25228" s="74" t="s">
        <v>13127</v>
      </c>
      <c r="C25228" s="74" t="s">
        <v>445</v>
      </c>
    </row>
    <row r="25229" spans="1:3">
      <c r="A25229" s="250">
        <v>58506</v>
      </c>
      <c r="B25229" s="74" t="s">
        <v>13127</v>
      </c>
      <c r="C25229" s="74" t="s">
        <v>445</v>
      </c>
    </row>
    <row r="25230" spans="1:3">
      <c r="A25230" s="250">
        <v>58507</v>
      </c>
      <c r="B25230" s="74" t="s">
        <v>13127</v>
      </c>
      <c r="C25230" s="74" t="s">
        <v>445</v>
      </c>
    </row>
    <row r="25231" spans="1:3">
      <c r="A25231" s="250">
        <v>58520</v>
      </c>
      <c r="B25231" s="74" t="s">
        <v>10982</v>
      </c>
      <c r="C25231" s="74" t="s">
        <v>445</v>
      </c>
    </row>
    <row r="25232" spans="1:3">
      <c r="A25232" s="250">
        <v>58521</v>
      </c>
      <c r="B25232" s="74" t="s">
        <v>2765</v>
      </c>
      <c r="C25232" s="74" t="s">
        <v>445</v>
      </c>
    </row>
    <row r="25233" spans="1:3">
      <c r="A25233" s="250">
        <v>58523</v>
      </c>
      <c r="B25233" s="74" t="s">
        <v>9330</v>
      </c>
      <c r="C25233" s="74" t="s">
        <v>445</v>
      </c>
    </row>
    <row r="25234" spans="1:3">
      <c r="A25234" s="250">
        <v>58524</v>
      </c>
      <c r="B25234" s="74" t="s">
        <v>4018</v>
      </c>
      <c r="C25234" s="74" t="s">
        <v>445</v>
      </c>
    </row>
    <row r="25235" spans="1:3">
      <c r="A25235" s="250">
        <v>58528</v>
      </c>
      <c r="B25235" s="74" t="s">
        <v>13128</v>
      </c>
      <c r="C25235" s="74" t="s">
        <v>445</v>
      </c>
    </row>
    <row r="25236" spans="1:3">
      <c r="A25236" s="250">
        <v>58529</v>
      </c>
      <c r="B25236" s="74" t="s">
        <v>6190</v>
      </c>
      <c r="C25236" s="74" t="s">
        <v>445</v>
      </c>
    </row>
    <row r="25237" spans="1:3">
      <c r="A25237" s="250">
        <v>58530</v>
      </c>
      <c r="B25237" s="74" t="s">
        <v>9978</v>
      </c>
      <c r="C25237" s="74" t="s">
        <v>445</v>
      </c>
    </row>
    <row r="25238" spans="1:3">
      <c r="A25238" s="250">
        <v>58531</v>
      </c>
      <c r="B25238" s="74" t="s">
        <v>13129</v>
      </c>
      <c r="C25238" s="74" t="s">
        <v>445</v>
      </c>
    </row>
    <row r="25239" spans="1:3">
      <c r="A25239" s="250">
        <v>58532</v>
      </c>
      <c r="B25239" s="74" t="s">
        <v>13130</v>
      </c>
      <c r="C25239" s="74" t="s">
        <v>445</v>
      </c>
    </row>
    <row r="25240" spans="1:3">
      <c r="A25240" s="250">
        <v>58533</v>
      </c>
      <c r="B25240" s="74" t="s">
        <v>4511</v>
      </c>
      <c r="C25240" s="74" t="s">
        <v>445</v>
      </c>
    </row>
    <row r="25241" spans="1:3">
      <c r="A25241" s="250">
        <v>58535</v>
      </c>
      <c r="B25241" s="74" t="s">
        <v>13131</v>
      </c>
      <c r="C25241" s="74" t="s">
        <v>445</v>
      </c>
    </row>
    <row r="25242" spans="1:3">
      <c r="A25242" s="250">
        <v>58538</v>
      </c>
      <c r="B25242" s="74" t="s">
        <v>13132</v>
      </c>
      <c r="C25242" s="74" t="s">
        <v>445</v>
      </c>
    </row>
    <row r="25243" spans="1:3">
      <c r="A25243" s="250">
        <v>58540</v>
      </c>
      <c r="B25243" s="74" t="s">
        <v>2630</v>
      </c>
      <c r="C25243" s="74" t="s">
        <v>445</v>
      </c>
    </row>
    <row r="25244" spans="1:3">
      <c r="A25244" s="250">
        <v>58541</v>
      </c>
      <c r="B25244" s="74" t="s">
        <v>13133</v>
      </c>
      <c r="C25244" s="74" t="s">
        <v>445</v>
      </c>
    </row>
    <row r="25245" spans="1:3">
      <c r="A25245" s="250">
        <v>58542</v>
      </c>
      <c r="B25245" s="74" t="s">
        <v>3237</v>
      </c>
      <c r="C25245" s="74" t="s">
        <v>445</v>
      </c>
    </row>
    <row r="25246" spans="1:3">
      <c r="A25246" s="250">
        <v>58544</v>
      </c>
      <c r="B25246" s="74" t="s">
        <v>13134</v>
      </c>
      <c r="C25246" s="74" t="s">
        <v>445</v>
      </c>
    </row>
    <row r="25247" spans="1:3">
      <c r="A25247" s="250">
        <v>58545</v>
      </c>
      <c r="B25247" s="74" t="s">
        <v>13135</v>
      </c>
      <c r="C25247" s="74" t="s">
        <v>445</v>
      </c>
    </row>
    <row r="25248" spans="1:3">
      <c r="A25248" s="250">
        <v>58549</v>
      </c>
      <c r="B25248" s="74" t="s">
        <v>13136</v>
      </c>
      <c r="C25248" s="74" t="s">
        <v>445</v>
      </c>
    </row>
    <row r="25249" spans="1:3">
      <c r="A25249" s="250">
        <v>58552</v>
      </c>
      <c r="B25249" s="74" t="s">
        <v>10865</v>
      </c>
      <c r="C25249" s="74" t="s">
        <v>445</v>
      </c>
    </row>
    <row r="25250" spans="1:3">
      <c r="A25250" s="250">
        <v>58554</v>
      </c>
      <c r="B25250" s="74" t="s">
        <v>13137</v>
      </c>
      <c r="C25250" s="74" t="s">
        <v>445</v>
      </c>
    </row>
    <row r="25251" spans="1:3">
      <c r="A25251" s="250">
        <v>58558</v>
      </c>
      <c r="B25251" s="74" t="s">
        <v>13138</v>
      </c>
      <c r="C25251" s="74" t="s">
        <v>445</v>
      </c>
    </row>
    <row r="25252" spans="1:3">
      <c r="A25252" s="250">
        <v>58559</v>
      </c>
      <c r="B25252" s="74" t="s">
        <v>4423</v>
      </c>
      <c r="C25252" s="74" t="s">
        <v>445</v>
      </c>
    </row>
    <row r="25253" spans="1:3">
      <c r="A25253" s="250">
        <v>58560</v>
      </c>
      <c r="B25253" s="74" t="s">
        <v>13139</v>
      </c>
      <c r="C25253" s="74" t="s">
        <v>445</v>
      </c>
    </row>
    <row r="25254" spans="1:3">
      <c r="A25254" s="250">
        <v>58561</v>
      </c>
      <c r="B25254" s="74" t="s">
        <v>10205</v>
      </c>
      <c r="C25254" s="74" t="s">
        <v>445</v>
      </c>
    </row>
    <row r="25255" spans="1:3">
      <c r="A25255" s="250">
        <v>58562</v>
      </c>
      <c r="B25255" s="74" t="s">
        <v>13140</v>
      </c>
      <c r="C25255" s="74" t="s">
        <v>445</v>
      </c>
    </row>
    <row r="25256" spans="1:3">
      <c r="A25256" s="250">
        <v>58563</v>
      </c>
      <c r="B25256" s="74" t="s">
        <v>687</v>
      </c>
      <c r="C25256" s="74" t="s">
        <v>445</v>
      </c>
    </row>
    <row r="25257" spans="1:3">
      <c r="A25257" s="250">
        <v>58564</v>
      </c>
      <c r="B25257" s="74" t="s">
        <v>6819</v>
      </c>
      <c r="C25257" s="74" t="s">
        <v>445</v>
      </c>
    </row>
    <row r="25258" spans="1:3">
      <c r="A25258" s="250">
        <v>58565</v>
      </c>
      <c r="B25258" s="74" t="s">
        <v>2207</v>
      </c>
      <c r="C25258" s="74" t="s">
        <v>445</v>
      </c>
    </row>
    <row r="25259" spans="1:3">
      <c r="A25259" s="250">
        <v>58566</v>
      </c>
      <c r="B25259" s="74" t="s">
        <v>10898</v>
      </c>
      <c r="C25259" s="74" t="s">
        <v>445</v>
      </c>
    </row>
    <row r="25260" spans="1:3">
      <c r="A25260" s="250">
        <v>58568</v>
      </c>
      <c r="B25260" s="74" t="s">
        <v>13141</v>
      </c>
      <c r="C25260" s="74" t="s">
        <v>445</v>
      </c>
    </row>
    <row r="25261" spans="1:3">
      <c r="A25261" s="250">
        <v>58569</v>
      </c>
      <c r="B25261" s="74" t="s">
        <v>13142</v>
      </c>
      <c r="C25261" s="74" t="s">
        <v>445</v>
      </c>
    </row>
    <row r="25262" spans="1:3">
      <c r="A25262" s="250">
        <v>58570</v>
      </c>
      <c r="B25262" s="74" t="s">
        <v>13143</v>
      </c>
      <c r="C25262" s="74" t="s">
        <v>445</v>
      </c>
    </row>
    <row r="25263" spans="1:3">
      <c r="A25263" s="250">
        <v>58571</v>
      </c>
      <c r="B25263" s="74" t="s">
        <v>2602</v>
      </c>
      <c r="C25263" s="74" t="s">
        <v>445</v>
      </c>
    </row>
    <row r="25264" spans="1:3">
      <c r="A25264" s="250">
        <v>58572</v>
      </c>
      <c r="B25264" s="74" t="s">
        <v>763</v>
      </c>
      <c r="C25264" s="74" t="s">
        <v>445</v>
      </c>
    </row>
    <row r="25265" spans="1:3">
      <c r="A25265" s="250">
        <v>58573</v>
      </c>
      <c r="B25265" s="74" t="s">
        <v>4890</v>
      </c>
      <c r="C25265" s="74" t="s">
        <v>445</v>
      </c>
    </row>
    <row r="25266" spans="1:3">
      <c r="A25266" s="250">
        <v>58575</v>
      </c>
      <c r="B25266" s="74" t="s">
        <v>12321</v>
      </c>
      <c r="C25266" s="74" t="s">
        <v>445</v>
      </c>
    </row>
    <row r="25267" spans="1:3">
      <c r="A25267" s="250">
        <v>58576</v>
      </c>
      <c r="B25267" s="74" t="s">
        <v>10822</v>
      </c>
      <c r="C25267" s="74" t="s">
        <v>445</v>
      </c>
    </row>
    <row r="25268" spans="1:3">
      <c r="A25268" s="250">
        <v>58577</v>
      </c>
      <c r="B25268" s="74" t="s">
        <v>1659</v>
      </c>
      <c r="C25268" s="74" t="s">
        <v>445</v>
      </c>
    </row>
    <row r="25269" spans="1:3">
      <c r="A25269" s="250">
        <v>58579</v>
      </c>
      <c r="B25269" s="74" t="s">
        <v>1173</v>
      </c>
      <c r="C25269" s="74" t="s">
        <v>445</v>
      </c>
    </row>
    <row r="25270" spans="1:3">
      <c r="A25270" s="250">
        <v>58580</v>
      </c>
      <c r="B25270" s="74" t="s">
        <v>13144</v>
      </c>
      <c r="C25270" s="74" t="s">
        <v>445</v>
      </c>
    </row>
    <row r="25271" spans="1:3">
      <c r="A25271" s="250">
        <v>58581</v>
      </c>
      <c r="B25271" s="74" t="s">
        <v>11295</v>
      </c>
      <c r="C25271" s="74" t="s">
        <v>445</v>
      </c>
    </row>
    <row r="25272" spans="1:3">
      <c r="A25272" s="250">
        <v>58601</v>
      </c>
      <c r="B25272" s="74" t="s">
        <v>8865</v>
      </c>
      <c r="C25272" s="74" t="s">
        <v>445</v>
      </c>
    </row>
    <row r="25273" spans="1:3">
      <c r="A25273" s="250">
        <v>58602</v>
      </c>
      <c r="B25273" s="74" t="s">
        <v>8865</v>
      </c>
      <c r="C25273" s="74" t="s">
        <v>445</v>
      </c>
    </row>
    <row r="25274" spans="1:3">
      <c r="A25274" s="250">
        <v>58620</v>
      </c>
      <c r="B25274" s="74" t="s">
        <v>13145</v>
      </c>
      <c r="C25274" s="74" t="s">
        <v>445</v>
      </c>
    </row>
    <row r="25275" spans="1:3">
      <c r="A25275" s="250">
        <v>58621</v>
      </c>
      <c r="B25275" s="74" t="s">
        <v>13146</v>
      </c>
      <c r="C25275" s="74" t="s">
        <v>445</v>
      </c>
    </row>
    <row r="25276" spans="1:3">
      <c r="A25276" s="250">
        <v>58622</v>
      </c>
      <c r="B25276" s="74" t="s">
        <v>13147</v>
      </c>
      <c r="C25276" s="74" t="s">
        <v>445</v>
      </c>
    </row>
    <row r="25277" spans="1:3">
      <c r="A25277" s="250">
        <v>58623</v>
      </c>
      <c r="B25277" s="74" t="s">
        <v>7600</v>
      </c>
      <c r="C25277" s="74" t="s">
        <v>445</v>
      </c>
    </row>
    <row r="25278" spans="1:3">
      <c r="A25278" s="250">
        <v>58625</v>
      </c>
      <c r="B25278" s="74" t="s">
        <v>12236</v>
      </c>
      <c r="C25278" s="74" t="s">
        <v>445</v>
      </c>
    </row>
    <row r="25279" spans="1:3">
      <c r="A25279" s="250">
        <v>58626</v>
      </c>
      <c r="B25279" s="74" t="s">
        <v>13148</v>
      </c>
      <c r="C25279" s="74" t="s">
        <v>445</v>
      </c>
    </row>
    <row r="25280" spans="1:3">
      <c r="A25280" s="250">
        <v>58627</v>
      </c>
      <c r="B25280" s="74" t="s">
        <v>1694</v>
      </c>
      <c r="C25280" s="74" t="s">
        <v>445</v>
      </c>
    </row>
    <row r="25281" spans="1:3">
      <c r="A25281" s="250">
        <v>58630</v>
      </c>
      <c r="B25281" s="74" t="s">
        <v>2345</v>
      </c>
      <c r="C25281" s="74" t="s">
        <v>445</v>
      </c>
    </row>
    <row r="25282" spans="1:3">
      <c r="A25282" s="250">
        <v>58631</v>
      </c>
      <c r="B25282" s="74" t="s">
        <v>13149</v>
      </c>
      <c r="C25282" s="74" t="s">
        <v>445</v>
      </c>
    </row>
    <row r="25283" spans="1:3">
      <c r="A25283" s="250">
        <v>58632</v>
      </c>
      <c r="B25283" s="74" t="s">
        <v>13150</v>
      </c>
      <c r="C25283" s="74" t="s">
        <v>445</v>
      </c>
    </row>
    <row r="25284" spans="1:3">
      <c r="A25284" s="250">
        <v>58634</v>
      </c>
      <c r="B25284" s="74" t="s">
        <v>13151</v>
      </c>
      <c r="C25284" s="74" t="s">
        <v>445</v>
      </c>
    </row>
    <row r="25285" spans="1:3">
      <c r="A25285" s="250">
        <v>58636</v>
      </c>
      <c r="B25285" s="74" t="s">
        <v>13152</v>
      </c>
      <c r="C25285" s="74" t="s">
        <v>445</v>
      </c>
    </row>
    <row r="25286" spans="1:3">
      <c r="A25286" s="250">
        <v>58638</v>
      </c>
      <c r="B25286" s="74" t="s">
        <v>1190</v>
      </c>
      <c r="C25286" s="74" t="s">
        <v>445</v>
      </c>
    </row>
    <row r="25287" spans="1:3">
      <c r="A25287" s="250">
        <v>58639</v>
      </c>
      <c r="B25287" s="74" t="s">
        <v>13153</v>
      </c>
      <c r="C25287" s="74" t="s">
        <v>445</v>
      </c>
    </row>
    <row r="25288" spans="1:3">
      <c r="A25288" s="250">
        <v>58640</v>
      </c>
      <c r="B25288" s="74" t="s">
        <v>13154</v>
      </c>
      <c r="C25288" s="74" t="s">
        <v>445</v>
      </c>
    </row>
    <row r="25289" spans="1:3">
      <c r="A25289" s="250">
        <v>58641</v>
      </c>
      <c r="B25289" s="74" t="s">
        <v>13155</v>
      </c>
      <c r="C25289" s="74" t="s">
        <v>445</v>
      </c>
    </row>
    <row r="25290" spans="1:3">
      <c r="A25290" s="250">
        <v>58642</v>
      </c>
      <c r="B25290" s="74" t="s">
        <v>7630</v>
      </c>
      <c r="C25290" s="74" t="s">
        <v>445</v>
      </c>
    </row>
    <row r="25291" spans="1:3">
      <c r="A25291" s="250">
        <v>58643</v>
      </c>
      <c r="B25291" s="74" t="s">
        <v>13156</v>
      </c>
      <c r="C25291" s="74" t="s">
        <v>445</v>
      </c>
    </row>
    <row r="25292" spans="1:3">
      <c r="A25292" s="250">
        <v>58644</v>
      </c>
      <c r="B25292" s="74" t="s">
        <v>5516</v>
      </c>
      <c r="C25292" s="74" t="s">
        <v>445</v>
      </c>
    </row>
    <row r="25293" spans="1:3">
      <c r="A25293" s="250">
        <v>58645</v>
      </c>
      <c r="B25293" s="74" t="s">
        <v>10830</v>
      </c>
      <c r="C25293" s="74" t="s">
        <v>445</v>
      </c>
    </row>
    <row r="25294" spans="1:3">
      <c r="A25294" s="250">
        <v>58646</v>
      </c>
      <c r="B25294" s="74" t="s">
        <v>13157</v>
      </c>
      <c r="C25294" s="74" t="s">
        <v>445</v>
      </c>
    </row>
    <row r="25295" spans="1:3">
      <c r="A25295" s="250">
        <v>58647</v>
      </c>
      <c r="B25295" s="74" t="s">
        <v>13158</v>
      </c>
      <c r="C25295" s="74" t="s">
        <v>445</v>
      </c>
    </row>
    <row r="25296" spans="1:3">
      <c r="A25296" s="250">
        <v>58649</v>
      </c>
      <c r="B25296" s="74" t="s">
        <v>13159</v>
      </c>
      <c r="C25296" s="74" t="s">
        <v>445</v>
      </c>
    </row>
    <row r="25297" spans="1:3">
      <c r="A25297" s="250">
        <v>58650</v>
      </c>
      <c r="B25297" s="74" t="s">
        <v>13160</v>
      </c>
      <c r="C25297" s="74" t="s">
        <v>445</v>
      </c>
    </row>
    <row r="25298" spans="1:3">
      <c r="A25298" s="250">
        <v>58651</v>
      </c>
      <c r="B25298" s="74" t="s">
        <v>13161</v>
      </c>
      <c r="C25298" s="74" t="s">
        <v>445</v>
      </c>
    </row>
    <row r="25299" spans="1:3">
      <c r="A25299" s="250">
        <v>58652</v>
      </c>
      <c r="B25299" s="74" t="s">
        <v>13162</v>
      </c>
      <c r="C25299" s="74" t="s">
        <v>445</v>
      </c>
    </row>
    <row r="25300" spans="1:3">
      <c r="A25300" s="250">
        <v>58653</v>
      </c>
      <c r="B25300" s="74" t="s">
        <v>5193</v>
      </c>
      <c r="C25300" s="74" t="s">
        <v>445</v>
      </c>
    </row>
    <row r="25301" spans="1:3">
      <c r="A25301" s="250">
        <v>58654</v>
      </c>
      <c r="B25301" s="74" t="s">
        <v>13163</v>
      </c>
      <c r="C25301" s="74" t="s">
        <v>445</v>
      </c>
    </row>
    <row r="25302" spans="1:3">
      <c r="A25302" s="250">
        <v>58655</v>
      </c>
      <c r="B25302" s="74" t="s">
        <v>13164</v>
      </c>
      <c r="C25302" s="74" t="s">
        <v>445</v>
      </c>
    </row>
    <row r="25303" spans="1:3">
      <c r="A25303" s="250">
        <v>58656</v>
      </c>
      <c r="B25303" s="74" t="s">
        <v>5195</v>
      </c>
      <c r="C25303" s="74" t="s">
        <v>445</v>
      </c>
    </row>
    <row r="25304" spans="1:3">
      <c r="A25304" s="250">
        <v>58701</v>
      </c>
      <c r="B25304" s="74" t="s">
        <v>885</v>
      </c>
      <c r="C25304" s="74" t="s">
        <v>445</v>
      </c>
    </row>
    <row r="25305" spans="1:3">
      <c r="A25305" s="250">
        <v>58702</v>
      </c>
      <c r="B25305" s="74" t="s">
        <v>885</v>
      </c>
      <c r="C25305" s="74" t="s">
        <v>445</v>
      </c>
    </row>
    <row r="25306" spans="1:3">
      <c r="A25306" s="250">
        <v>58703</v>
      </c>
      <c r="B25306" s="74" t="s">
        <v>885</v>
      </c>
      <c r="C25306" s="74" t="s">
        <v>445</v>
      </c>
    </row>
    <row r="25307" spans="1:3">
      <c r="A25307" s="250">
        <v>58704</v>
      </c>
      <c r="B25307" s="74" t="s">
        <v>13165</v>
      </c>
      <c r="C25307" s="74" t="s">
        <v>445</v>
      </c>
    </row>
    <row r="25308" spans="1:3">
      <c r="A25308" s="250">
        <v>58705</v>
      </c>
      <c r="B25308" s="74" t="s">
        <v>13165</v>
      </c>
      <c r="C25308" s="74" t="s">
        <v>445</v>
      </c>
    </row>
    <row r="25309" spans="1:3">
      <c r="A25309" s="250">
        <v>58707</v>
      </c>
      <c r="B25309" s="74" t="s">
        <v>885</v>
      </c>
      <c r="C25309" s="74" t="s">
        <v>445</v>
      </c>
    </row>
    <row r="25310" spans="1:3">
      <c r="A25310" s="250">
        <v>58710</v>
      </c>
      <c r="B25310" s="74" t="s">
        <v>13166</v>
      </c>
      <c r="C25310" s="74" t="s">
        <v>445</v>
      </c>
    </row>
    <row r="25311" spans="1:3">
      <c r="A25311" s="250">
        <v>58711</v>
      </c>
      <c r="B25311" s="74" t="s">
        <v>13167</v>
      </c>
      <c r="C25311" s="74" t="s">
        <v>445</v>
      </c>
    </row>
    <row r="25312" spans="1:3">
      <c r="A25312" s="250">
        <v>58712</v>
      </c>
      <c r="B25312" s="74" t="s">
        <v>13168</v>
      </c>
      <c r="C25312" s="74" t="s">
        <v>445</v>
      </c>
    </row>
    <row r="25313" spans="1:3">
      <c r="A25313" s="250">
        <v>58713</v>
      </c>
      <c r="B25313" s="74" t="s">
        <v>13169</v>
      </c>
      <c r="C25313" s="74" t="s">
        <v>445</v>
      </c>
    </row>
    <row r="25314" spans="1:3">
      <c r="A25314" s="250">
        <v>58716</v>
      </c>
      <c r="B25314" s="74" t="s">
        <v>5550</v>
      </c>
      <c r="C25314" s="74" t="s">
        <v>445</v>
      </c>
    </row>
    <row r="25315" spans="1:3">
      <c r="A25315" s="250">
        <v>58718</v>
      </c>
      <c r="B25315" s="74" t="s">
        <v>13170</v>
      </c>
      <c r="C25315" s="74" t="s">
        <v>445</v>
      </c>
    </row>
    <row r="25316" spans="1:3">
      <c r="A25316" s="250">
        <v>58721</v>
      </c>
      <c r="B25316" s="74" t="s">
        <v>13171</v>
      </c>
      <c r="C25316" s="74" t="s">
        <v>445</v>
      </c>
    </row>
    <row r="25317" spans="1:3">
      <c r="A25317" s="250">
        <v>58722</v>
      </c>
      <c r="B25317" s="74" t="s">
        <v>806</v>
      </c>
      <c r="C25317" s="74" t="s">
        <v>445</v>
      </c>
    </row>
    <row r="25318" spans="1:3">
      <c r="A25318" s="250">
        <v>58723</v>
      </c>
      <c r="B25318" s="74" t="s">
        <v>13172</v>
      </c>
      <c r="C25318" s="74" t="s">
        <v>445</v>
      </c>
    </row>
    <row r="25319" spans="1:3">
      <c r="A25319" s="250">
        <v>58725</v>
      </c>
      <c r="B25319" s="74" t="s">
        <v>13173</v>
      </c>
      <c r="C25319" s="74" t="s">
        <v>445</v>
      </c>
    </row>
    <row r="25320" spans="1:3">
      <c r="A25320" s="250">
        <v>58727</v>
      </c>
      <c r="B25320" s="74" t="s">
        <v>2376</v>
      </c>
      <c r="C25320" s="74" t="s">
        <v>445</v>
      </c>
    </row>
    <row r="25321" spans="1:3">
      <c r="A25321" s="250">
        <v>58730</v>
      </c>
      <c r="B25321" s="74" t="s">
        <v>4588</v>
      </c>
      <c r="C25321" s="74" t="s">
        <v>445</v>
      </c>
    </row>
    <row r="25322" spans="1:3">
      <c r="A25322" s="250">
        <v>58731</v>
      </c>
      <c r="B25322" s="74" t="s">
        <v>13174</v>
      </c>
      <c r="C25322" s="74" t="s">
        <v>445</v>
      </c>
    </row>
    <row r="25323" spans="1:3">
      <c r="A25323" s="250">
        <v>58733</v>
      </c>
      <c r="B25323" s="74" t="s">
        <v>13175</v>
      </c>
      <c r="C25323" s="74" t="s">
        <v>445</v>
      </c>
    </row>
    <row r="25324" spans="1:3">
      <c r="A25324" s="250">
        <v>58734</v>
      </c>
      <c r="B25324" s="74" t="s">
        <v>13176</v>
      </c>
      <c r="C25324" s="74" t="s">
        <v>445</v>
      </c>
    </row>
    <row r="25325" spans="1:3">
      <c r="A25325" s="250">
        <v>58735</v>
      </c>
      <c r="B25325" s="74" t="s">
        <v>734</v>
      </c>
      <c r="C25325" s="74" t="s">
        <v>445</v>
      </c>
    </row>
    <row r="25326" spans="1:3">
      <c r="A25326" s="250">
        <v>58736</v>
      </c>
      <c r="B25326" s="74" t="s">
        <v>9959</v>
      </c>
      <c r="C25326" s="74" t="s">
        <v>445</v>
      </c>
    </row>
    <row r="25327" spans="1:3">
      <c r="A25327" s="250">
        <v>58737</v>
      </c>
      <c r="B25327" s="74" t="s">
        <v>13177</v>
      </c>
      <c r="C25327" s="74" t="s">
        <v>445</v>
      </c>
    </row>
    <row r="25328" spans="1:3">
      <c r="A25328" s="250">
        <v>58740</v>
      </c>
      <c r="B25328" s="74" t="s">
        <v>13178</v>
      </c>
      <c r="C25328" s="74" t="s">
        <v>445</v>
      </c>
    </row>
    <row r="25329" spans="1:3">
      <c r="A25329" s="250">
        <v>58741</v>
      </c>
      <c r="B25329" s="74" t="s">
        <v>594</v>
      </c>
      <c r="C25329" s="74" t="s">
        <v>445</v>
      </c>
    </row>
    <row r="25330" spans="1:3">
      <c r="A25330" s="250">
        <v>58744</v>
      </c>
      <c r="B25330" s="74" t="s">
        <v>13179</v>
      </c>
      <c r="C25330" s="74" t="s">
        <v>445</v>
      </c>
    </row>
    <row r="25331" spans="1:3">
      <c r="A25331" s="250">
        <v>58746</v>
      </c>
      <c r="B25331" s="74" t="s">
        <v>13180</v>
      </c>
      <c r="C25331" s="74" t="s">
        <v>445</v>
      </c>
    </row>
    <row r="25332" spans="1:3">
      <c r="A25332" s="250">
        <v>58748</v>
      </c>
      <c r="B25332" s="74" t="s">
        <v>13181</v>
      </c>
      <c r="C25332" s="74" t="s">
        <v>445</v>
      </c>
    </row>
    <row r="25333" spans="1:3">
      <c r="A25333" s="250">
        <v>58750</v>
      </c>
      <c r="B25333" s="74" t="s">
        <v>5093</v>
      </c>
      <c r="C25333" s="74" t="s">
        <v>445</v>
      </c>
    </row>
    <row r="25334" spans="1:3">
      <c r="A25334" s="250">
        <v>58752</v>
      </c>
      <c r="B25334" s="74" t="s">
        <v>13182</v>
      </c>
      <c r="C25334" s="74" t="s">
        <v>445</v>
      </c>
    </row>
    <row r="25335" spans="1:3">
      <c r="A25335" s="250">
        <v>58755</v>
      </c>
      <c r="B25335" s="74" t="s">
        <v>12468</v>
      </c>
      <c r="C25335" s="74" t="s">
        <v>445</v>
      </c>
    </row>
    <row r="25336" spans="1:3">
      <c r="A25336" s="250">
        <v>58756</v>
      </c>
      <c r="B25336" s="74" t="s">
        <v>13183</v>
      </c>
      <c r="C25336" s="74" t="s">
        <v>445</v>
      </c>
    </row>
    <row r="25337" spans="1:3">
      <c r="A25337" s="250">
        <v>58757</v>
      </c>
      <c r="B25337" s="74" t="s">
        <v>13184</v>
      </c>
      <c r="C25337" s="74" t="s">
        <v>445</v>
      </c>
    </row>
    <row r="25338" spans="1:3">
      <c r="A25338" s="250">
        <v>58758</v>
      </c>
      <c r="B25338" s="74" t="s">
        <v>4128</v>
      </c>
      <c r="C25338" s="74" t="s">
        <v>445</v>
      </c>
    </row>
    <row r="25339" spans="1:3">
      <c r="A25339" s="250">
        <v>58759</v>
      </c>
      <c r="B25339" s="74" t="s">
        <v>12758</v>
      </c>
      <c r="C25339" s="74" t="s">
        <v>445</v>
      </c>
    </row>
    <row r="25340" spans="1:3">
      <c r="A25340" s="250">
        <v>58760</v>
      </c>
      <c r="B25340" s="74" t="s">
        <v>13185</v>
      </c>
      <c r="C25340" s="74" t="s">
        <v>445</v>
      </c>
    </row>
    <row r="25341" spans="1:3">
      <c r="A25341" s="250">
        <v>58761</v>
      </c>
      <c r="B25341" s="74" t="s">
        <v>13186</v>
      </c>
      <c r="C25341" s="74" t="s">
        <v>445</v>
      </c>
    </row>
    <row r="25342" spans="1:3">
      <c r="A25342" s="250">
        <v>58762</v>
      </c>
      <c r="B25342" s="74" t="s">
        <v>4779</v>
      </c>
      <c r="C25342" s="74" t="s">
        <v>445</v>
      </c>
    </row>
    <row r="25343" spans="1:3">
      <c r="A25343" s="250">
        <v>58763</v>
      </c>
      <c r="B25343" s="74" t="s">
        <v>971</v>
      </c>
      <c r="C25343" s="74" t="s">
        <v>445</v>
      </c>
    </row>
    <row r="25344" spans="1:3">
      <c r="A25344" s="250">
        <v>58765</v>
      </c>
      <c r="B25344" s="74" t="s">
        <v>13187</v>
      </c>
      <c r="C25344" s="74" t="s">
        <v>445</v>
      </c>
    </row>
    <row r="25345" spans="1:3">
      <c r="A25345" s="250">
        <v>58768</v>
      </c>
      <c r="B25345" s="74" t="s">
        <v>1743</v>
      </c>
      <c r="C25345" s="74" t="s">
        <v>445</v>
      </c>
    </row>
    <row r="25346" spans="1:3">
      <c r="A25346" s="250">
        <v>58769</v>
      </c>
      <c r="B25346" s="74" t="s">
        <v>1482</v>
      </c>
      <c r="C25346" s="74" t="s">
        <v>445</v>
      </c>
    </row>
    <row r="25347" spans="1:3">
      <c r="A25347" s="250">
        <v>58770</v>
      </c>
      <c r="B25347" s="74" t="s">
        <v>13188</v>
      </c>
      <c r="C25347" s="74" t="s">
        <v>445</v>
      </c>
    </row>
    <row r="25348" spans="1:3">
      <c r="A25348" s="250">
        <v>58771</v>
      </c>
      <c r="B25348" s="74" t="s">
        <v>13189</v>
      </c>
      <c r="C25348" s="74" t="s">
        <v>445</v>
      </c>
    </row>
    <row r="25349" spans="1:3">
      <c r="A25349" s="250">
        <v>58772</v>
      </c>
      <c r="B25349" s="74" t="s">
        <v>7948</v>
      </c>
      <c r="C25349" s="74" t="s">
        <v>445</v>
      </c>
    </row>
    <row r="25350" spans="1:3">
      <c r="A25350" s="250">
        <v>58773</v>
      </c>
      <c r="B25350" s="74" t="s">
        <v>11996</v>
      </c>
      <c r="C25350" s="74" t="s">
        <v>445</v>
      </c>
    </row>
    <row r="25351" spans="1:3">
      <c r="A25351" s="250">
        <v>58775</v>
      </c>
      <c r="B25351" s="74" t="s">
        <v>13190</v>
      </c>
      <c r="C25351" s="74" t="s">
        <v>445</v>
      </c>
    </row>
    <row r="25352" spans="1:3">
      <c r="A25352" s="250">
        <v>58776</v>
      </c>
      <c r="B25352" s="74" t="s">
        <v>10461</v>
      </c>
      <c r="C25352" s="74" t="s">
        <v>445</v>
      </c>
    </row>
    <row r="25353" spans="1:3">
      <c r="A25353" s="250">
        <v>58778</v>
      </c>
      <c r="B25353" s="74" t="s">
        <v>13191</v>
      </c>
      <c r="C25353" s="74" t="s">
        <v>445</v>
      </c>
    </row>
    <row r="25354" spans="1:3">
      <c r="A25354" s="250">
        <v>58779</v>
      </c>
      <c r="B25354" s="74" t="s">
        <v>13192</v>
      </c>
      <c r="C25354" s="74" t="s">
        <v>445</v>
      </c>
    </row>
    <row r="25355" spans="1:3">
      <c r="A25355" s="250">
        <v>58781</v>
      </c>
      <c r="B25355" s="74" t="s">
        <v>11224</v>
      </c>
      <c r="C25355" s="74" t="s">
        <v>445</v>
      </c>
    </row>
    <row r="25356" spans="1:3">
      <c r="A25356" s="250">
        <v>58782</v>
      </c>
      <c r="B25356" s="74" t="s">
        <v>5774</v>
      </c>
      <c r="C25356" s="74" t="s">
        <v>445</v>
      </c>
    </row>
    <row r="25357" spans="1:3">
      <c r="A25357" s="250">
        <v>58783</v>
      </c>
      <c r="B25357" s="74" t="s">
        <v>13193</v>
      </c>
      <c r="C25357" s="74" t="s">
        <v>445</v>
      </c>
    </row>
    <row r="25358" spans="1:3">
      <c r="A25358" s="250">
        <v>58784</v>
      </c>
      <c r="B25358" s="74" t="s">
        <v>3830</v>
      </c>
      <c r="C25358" s="74" t="s">
        <v>445</v>
      </c>
    </row>
    <row r="25359" spans="1:3">
      <c r="A25359" s="250">
        <v>58785</v>
      </c>
      <c r="B25359" s="74" t="s">
        <v>13194</v>
      </c>
      <c r="C25359" s="74" t="s">
        <v>445</v>
      </c>
    </row>
    <row r="25360" spans="1:3">
      <c r="A25360" s="250">
        <v>58787</v>
      </c>
      <c r="B25360" s="74" t="s">
        <v>13195</v>
      </c>
      <c r="C25360" s="74" t="s">
        <v>445</v>
      </c>
    </row>
    <row r="25361" spans="1:3">
      <c r="A25361" s="250">
        <v>58788</v>
      </c>
      <c r="B25361" s="74" t="s">
        <v>13196</v>
      </c>
      <c r="C25361" s="74" t="s">
        <v>445</v>
      </c>
    </row>
    <row r="25362" spans="1:3">
      <c r="A25362" s="250">
        <v>58789</v>
      </c>
      <c r="B25362" s="74" t="s">
        <v>13197</v>
      </c>
      <c r="C25362" s="74" t="s">
        <v>445</v>
      </c>
    </row>
    <row r="25363" spans="1:3">
      <c r="A25363" s="250">
        <v>58790</v>
      </c>
      <c r="B25363" s="74" t="s">
        <v>13198</v>
      </c>
      <c r="C25363" s="74" t="s">
        <v>445</v>
      </c>
    </row>
    <row r="25364" spans="1:3">
      <c r="A25364" s="250">
        <v>58792</v>
      </c>
      <c r="B25364" s="74" t="s">
        <v>13199</v>
      </c>
      <c r="C25364" s="74" t="s">
        <v>445</v>
      </c>
    </row>
    <row r="25365" spans="1:3">
      <c r="A25365" s="250">
        <v>58793</v>
      </c>
      <c r="B25365" s="74" t="s">
        <v>13200</v>
      </c>
      <c r="C25365" s="74" t="s">
        <v>445</v>
      </c>
    </row>
    <row r="25366" spans="1:3">
      <c r="A25366" s="250">
        <v>58794</v>
      </c>
      <c r="B25366" s="74" t="s">
        <v>12732</v>
      </c>
      <c r="C25366" s="74" t="s">
        <v>445</v>
      </c>
    </row>
    <row r="25367" spans="1:3">
      <c r="A25367" s="250">
        <v>58795</v>
      </c>
      <c r="B25367" s="74" t="s">
        <v>13201</v>
      </c>
      <c r="C25367" s="74" t="s">
        <v>445</v>
      </c>
    </row>
    <row r="25368" spans="1:3">
      <c r="A25368" s="250">
        <v>58801</v>
      </c>
      <c r="B25368" s="74" t="s">
        <v>1837</v>
      </c>
      <c r="C25368" s="74" t="s">
        <v>445</v>
      </c>
    </row>
    <row r="25369" spans="1:3">
      <c r="A25369" s="250">
        <v>58802</v>
      </c>
      <c r="B25369" s="74" t="s">
        <v>1837</v>
      </c>
      <c r="C25369" s="74" t="s">
        <v>445</v>
      </c>
    </row>
    <row r="25370" spans="1:3">
      <c r="A25370" s="250">
        <v>58830</v>
      </c>
      <c r="B25370" s="74" t="s">
        <v>7934</v>
      </c>
      <c r="C25370" s="74" t="s">
        <v>445</v>
      </c>
    </row>
    <row r="25371" spans="1:3">
      <c r="A25371" s="250">
        <v>58831</v>
      </c>
      <c r="B25371" s="74" t="s">
        <v>3669</v>
      </c>
      <c r="C25371" s="74" t="s">
        <v>445</v>
      </c>
    </row>
    <row r="25372" spans="1:3">
      <c r="A25372" s="250">
        <v>58833</v>
      </c>
      <c r="B25372" s="74" t="s">
        <v>8119</v>
      </c>
      <c r="C25372" s="74" t="s">
        <v>445</v>
      </c>
    </row>
    <row r="25373" spans="1:3">
      <c r="A25373" s="250">
        <v>58835</v>
      </c>
      <c r="B25373" s="74" t="s">
        <v>13202</v>
      </c>
      <c r="C25373" s="74" t="s">
        <v>445</v>
      </c>
    </row>
    <row r="25374" spans="1:3">
      <c r="A25374" s="250">
        <v>58838</v>
      </c>
      <c r="B25374" s="74" t="s">
        <v>13203</v>
      </c>
      <c r="C25374" s="74" t="s">
        <v>445</v>
      </c>
    </row>
    <row r="25375" spans="1:3">
      <c r="A25375" s="250">
        <v>58843</v>
      </c>
      <c r="B25375" s="74" t="s">
        <v>1155</v>
      </c>
      <c r="C25375" s="74" t="s">
        <v>445</v>
      </c>
    </row>
    <row r="25376" spans="1:3">
      <c r="A25376" s="250">
        <v>58844</v>
      </c>
      <c r="B25376" s="74" t="s">
        <v>13204</v>
      </c>
      <c r="C25376" s="74" t="s">
        <v>445</v>
      </c>
    </row>
    <row r="25377" spans="1:3">
      <c r="A25377" s="250">
        <v>58845</v>
      </c>
      <c r="B25377" s="74" t="s">
        <v>13205</v>
      </c>
      <c r="C25377" s="74" t="s">
        <v>445</v>
      </c>
    </row>
    <row r="25378" spans="1:3">
      <c r="A25378" s="250">
        <v>58847</v>
      </c>
      <c r="B25378" s="74" t="s">
        <v>1226</v>
      </c>
      <c r="C25378" s="74" t="s">
        <v>445</v>
      </c>
    </row>
    <row r="25379" spans="1:3">
      <c r="A25379" s="250">
        <v>58849</v>
      </c>
      <c r="B25379" s="74" t="s">
        <v>10550</v>
      </c>
      <c r="C25379" s="74" t="s">
        <v>445</v>
      </c>
    </row>
    <row r="25380" spans="1:3">
      <c r="A25380" s="250">
        <v>58852</v>
      </c>
      <c r="B25380" s="74" t="s">
        <v>4685</v>
      </c>
      <c r="C25380" s="74" t="s">
        <v>445</v>
      </c>
    </row>
    <row r="25381" spans="1:3">
      <c r="A25381" s="250">
        <v>58853</v>
      </c>
      <c r="B25381" s="74" t="s">
        <v>2532</v>
      </c>
      <c r="C25381" s="74" t="s">
        <v>445</v>
      </c>
    </row>
    <row r="25382" spans="1:3">
      <c r="A25382" s="250">
        <v>58854</v>
      </c>
      <c r="B25382" s="74" t="s">
        <v>13206</v>
      </c>
      <c r="C25382" s="74" t="s">
        <v>445</v>
      </c>
    </row>
    <row r="25383" spans="1:3">
      <c r="A25383" s="250">
        <v>58856</v>
      </c>
      <c r="B25383" s="74" t="s">
        <v>13207</v>
      </c>
      <c r="C25383" s="74" t="s">
        <v>445</v>
      </c>
    </row>
    <row r="25384" spans="1:3">
      <c r="A25384" s="250">
        <v>59001</v>
      </c>
      <c r="B25384" s="74" t="s">
        <v>13208</v>
      </c>
      <c r="C25384" s="74" t="s">
        <v>437</v>
      </c>
    </row>
    <row r="25385" spans="1:3">
      <c r="A25385" s="250">
        <v>59002</v>
      </c>
      <c r="B25385" s="74" t="s">
        <v>781</v>
      </c>
      <c r="C25385" s="74" t="s">
        <v>437</v>
      </c>
    </row>
    <row r="25386" spans="1:3">
      <c r="A25386" s="250">
        <v>59003</v>
      </c>
      <c r="B25386" s="74" t="s">
        <v>782</v>
      </c>
      <c r="C25386" s="74" t="s">
        <v>437</v>
      </c>
    </row>
    <row r="25387" spans="1:3">
      <c r="A25387" s="250">
        <v>59004</v>
      </c>
      <c r="B25387" s="74" t="s">
        <v>782</v>
      </c>
      <c r="C25387" s="74" t="s">
        <v>437</v>
      </c>
    </row>
    <row r="25388" spans="1:3">
      <c r="A25388" s="250">
        <v>59006</v>
      </c>
      <c r="B25388" s="74" t="s">
        <v>13209</v>
      </c>
      <c r="C25388" s="74" t="s">
        <v>437</v>
      </c>
    </row>
    <row r="25389" spans="1:3">
      <c r="A25389" s="250">
        <v>59007</v>
      </c>
      <c r="B25389" s="74" t="s">
        <v>13210</v>
      </c>
      <c r="C25389" s="74" t="s">
        <v>437</v>
      </c>
    </row>
    <row r="25390" spans="1:3">
      <c r="A25390" s="250">
        <v>59008</v>
      </c>
      <c r="B25390" s="74" t="s">
        <v>9811</v>
      </c>
      <c r="C25390" s="74" t="s">
        <v>437</v>
      </c>
    </row>
    <row r="25391" spans="1:3">
      <c r="A25391" s="250">
        <v>59010</v>
      </c>
      <c r="B25391" s="74" t="s">
        <v>13211</v>
      </c>
      <c r="C25391" s="74" t="s">
        <v>437</v>
      </c>
    </row>
    <row r="25392" spans="1:3">
      <c r="A25392" s="250">
        <v>59011</v>
      </c>
      <c r="B25392" s="74" t="s">
        <v>13212</v>
      </c>
      <c r="C25392" s="74" t="s">
        <v>437</v>
      </c>
    </row>
    <row r="25393" spans="1:3">
      <c r="A25393" s="250">
        <v>59012</v>
      </c>
      <c r="B25393" s="74" t="s">
        <v>13213</v>
      </c>
      <c r="C25393" s="74" t="s">
        <v>437</v>
      </c>
    </row>
    <row r="25394" spans="1:3">
      <c r="A25394" s="250">
        <v>59013</v>
      </c>
      <c r="B25394" s="74" t="s">
        <v>12260</v>
      </c>
      <c r="C25394" s="74" t="s">
        <v>437</v>
      </c>
    </row>
    <row r="25395" spans="1:3">
      <c r="A25395" s="250">
        <v>59014</v>
      </c>
      <c r="B25395" s="74" t="s">
        <v>13214</v>
      </c>
      <c r="C25395" s="74" t="s">
        <v>437</v>
      </c>
    </row>
    <row r="25396" spans="1:3">
      <c r="A25396" s="250">
        <v>59015</v>
      </c>
      <c r="B25396" s="74" t="s">
        <v>13215</v>
      </c>
      <c r="C25396" s="74" t="s">
        <v>437</v>
      </c>
    </row>
    <row r="25397" spans="1:3">
      <c r="A25397" s="250">
        <v>59016</v>
      </c>
      <c r="B25397" s="74" t="s">
        <v>13216</v>
      </c>
      <c r="C25397" s="74" t="s">
        <v>437</v>
      </c>
    </row>
    <row r="25398" spans="1:3">
      <c r="A25398" s="250">
        <v>59018</v>
      </c>
      <c r="B25398" s="74" t="s">
        <v>13217</v>
      </c>
      <c r="C25398" s="74" t="s">
        <v>437</v>
      </c>
    </row>
    <row r="25399" spans="1:3">
      <c r="A25399" s="250">
        <v>59019</v>
      </c>
      <c r="B25399" s="74" t="s">
        <v>2376</v>
      </c>
      <c r="C25399" s="74" t="s">
        <v>437</v>
      </c>
    </row>
    <row r="25400" spans="1:3">
      <c r="A25400" s="250">
        <v>59020</v>
      </c>
      <c r="B25400" s="74" t="s">
        <v>13218</v>
      </c>
      <c r="C25400" s="74" t="s">
        <v>437</v>
      </c>
    </row>
    <row r="25401" spans="1:3">
      <c r="A25401" s="250">
        <v>59022</v>
      </c>
      <c r="B25401" s="74" t="s">
        <v>13219</v>
      </c>
      <c r="C25401" s="74" t="s">
        <v>437</v>
      </c>
    </row>
    <row r="25402" spans="1:3">
      <c r="A25402" s="250">
        <v>59024</v>
      </c>
      <c r="B25402" s="74" t="s">
        <v>9599</v>
      </c>
      <c r="C25402" s="74" t="s">
        <v>437</v>
      </c>
    </row>
    <row r="25403" spans="1:3">
      <c r="A25403" s="250">
        <v>59025</v>
      </c>
      <c r="B25403" s="74" t="s">
        <v>10879</v>
      </c>
      <c r="C25403" s="74" t="s">
        <v>437</v>
      </c>
    </row>
    <row r="25404" spans="1:3">
      <c r="A25404" s="250">
        <v>59026</v>
      </c>
      <c r="B25404" s="74" t="s">
        <v>8254</v>
      </c>
      <c r="C25404" s="74" t="s">
        <v>437</v>
      </c>
    </row>
    <row r="25405" spans="1:3">
      <c r="A25405" s="250">
        <v>59027</v>
      </c>
      <c r="B25405" s="74" t="s">
        <v>13220</v>
      </c>
      <c r="C25405" s="74" t="s">
        <v>437</v>
      </c>
    </row>
    <row r="25406" spans="1:3">
      <c r="A25406" s="250">
        <v>59028</v>
      </c>
      <c r="B25406" s="74" t="s">
        <v>13221</v>
      </c>
      <c r="C25406" s="74" t="s">
        <v>437</v>
      </c>
    </row>
    <row r="25407" spans="1:3">
      <c r="A25407" s="250">
        <v>59029</v>
      </c>
      <c r="B25407" s="74" t="s">
        <v>13222</v>
      </c>
      <c r="C25407" s="74" t="s">
        <v>437</v>
      </c>
    </row>
    <row r="25408" spans="1:3">
      <c r="A25408" s="250">
        <v>59030</v>
      </c>
      <c r="B25408" s="74" t="s">
        <v>1478</v>
      </c>
      <c r="C25408" s="74" t="s">
        <v>437</v>
      </c>
    </row>
    <row r="25409" spans="1:3">
      <c r="A25409" s="250">
        <v>59031</v>
      </c>
      <c r="B25409" s="74" t="s">
        <v>13223</v>
      </c>
      <c r="C25409" s="74" t="s">
        <v>437</v>
      </c>
    </row>
    <row r="25410" spans="1:3">
      <c r="A25410" s="250">
        <v>59032</v>
      </c>
      <c r="B25410" s="74" t="s">
        <v>13224</v>
      </c>
      <c r="C25410" s="74" t="s">
        <v>437</v>
      </c>
    </row>
    <row r="25411" spans="1:3">
      <c r="A25411" s="250">
        <v>59033</v>
      </c>
      <c r="B25411" s="74" t="s">
        <v>13225</v>
      </c>
      <c r="C25411" s="74" t="s">
        <v>437</v>
      </c>
    </row>
    <row r="25412" spans="1:3">
      <c r="A25412" s="250">
        <v>59034</v>
      </c>
      <c r="B25412" s="74" t="s">
        <v>9936</v>
      </c>
      <c r="C25412" s="74" t="s">
        <v>437</v>
      </c>
    </row>
    <row r="25413" spans="1:3">
      <c r="A25413" s="250">
        <v>59035</v>
      </c>
      <c r="B25413" s="74" t="s">
        <v>13226</v>
      </c>
      <c r="C25413" s="74" t="s">
        <v>437</v>
      </c>
    </row>
    <row r="25414" spans="1:3">
      <c r="A25414" s="250">
        <v>59036</v>
      </c>
      <c r="B25414" s="74" t="s">
        <v>13227</v>
      </c>
      <c r="C25414" s="74" t="s">
        <v>437</v>
      </c>
    </row>
    <row r="25415" spans="1:3">
      <c r="A25415" s="250">
        <v>59037</v>
      </c>
      <c r="B25415" s="74" t="s">
        <v>12537</v>
      </c>
      <c r="C25415" s="74" t="s">
        <v>437</v>
      </c>
    </row>
    <row r="25416" spans="1:3">
      <c r="A25416" s="250">
        <v>59038</v>
      </c>
      <c r="B25416" s="74" t="s">
        <v>13228</v>
      </c>
      <c r="C25416" s="74" t="s">
        <v>437</v>
      </c>
    </row>
    <row r="25417" spans="1:3">
      <c r="A25417" s="250">
        <v>59039</v>
      </c>
      <c r="B25417" s="74" t="s">
        <v>4027</v>
      </c>
      <c r="C25417" s="74" t="s">
        <v>437</v>
      </c>
    </row>
    <row r="25418" spans="1:3">
      <c r="A25418" s="250">
        <v>59041</v>
      </c>
      <c r="B25418" s="74" t="s">
        <v>13229</v>
      </c>
      <c r="C25418" s="74" t="s">
        <v>437</v>
      </c>
    </row>
    <row r="25419" spans="1:3">
      <c r="A25419" s="250">
        <v>59043</v>
      </c>
      <c r="B25419" s="74" t="s">
        <v>13230</v>
      </c>
      <c r="C25419" s="74" t="s">
        <v>437</v>
      </c>
    </row>
    <row r="25420" spans="1:3">
      <c r="A25420" s="250">
        <v>59044</v>
      </c>
      <c r="B25420" s="74" t="s">
        <v>2882</v>
      </c>
      <c r="C25420" s="74" t="s">
        <v>437</v>
      </c>
    </row>
    <row r="25421" spans="1:3">
      <c r="A25421" s="250">
        <v>59046</v>
      </c>
      <c r="B25421" s="74" t="s">
        <v>13231</v>
      </c>
      <c r="C25421" s="74" t="s">
        <v>437</v>
      </c>
    </row>
    <row r="25422" spans="1:3">
      <c r="A25422" s="250">
        <v>59047</v>
      </c>
      <c r="B25422" s="74" t="s">
        <v>2135</v>
      </c>
      <c r="C25422" s="74" t="s">
        <v>437</v>
      </c>
    </row>
    <row r="25423" spans="1:3">
      <c r="A25423" s="250">
        <v>59050</v>
      </c>
      <c r="B25423" s="74" t="s">
        <v>13232</v>
      </c>
      <c r="C25423" s="74" t="s">
        <v>437</v>
      </c>
    </row>
    <row r="25424" spans="1:3">
      <c r="A25424" s="250">
        <v>59052</v>
      </c>
      <c r="B25424" s="74" t="s">
        <v>13233</v>
      </c>
      <c r="C25424" s="74" t="s">
        <v>437</v>
      </c>
    </row>
    <row r="25425" spans="1:3">
      <c r="A25425" s="250">
        <v>59053</v>
      </c>
      <c r="B25425" s="74" t="s">
        <v>13234</v>
      </c>
      <c r="C25425" s="74" t="s">
        <v>437</v>
      </c>
    </row>
    <row r="25426" spans="1:3">
      <c r="A25426" s="250">
        <v>59054</v>
      </c>
      <c r="B25426" s="74" t="s">
        <v>13235</v>
      </c>
      <c r="C25426" s="74" t="s">
        <v>437</v>
      </c>
    </row>
    <row r="25427" spans="1:3">
      <c r="A25427" s="250">
        <v>59055</v>
      </c>
      <c r="B25427" s="74" t="s">
        <v>2830</v>
      </c>
      <c r="C25427" s="74" t="s">
        <v>437</v>
      </c>
    </row>
    <row r="25428" spans="1:3">
      <c r="A25428" s="250">
        <v>59057</v>
      </c>
      <c r="B25428" s="74" t="s">
        <v>13236</v>
      </c>
      <c r="C25428" s="74" t="s">
        <v>437</v>
      </c>
    </row>
    <row r="25429" spans="1:3">
      <c r="A25429" s="250">
        <v>59058</v>
      </c>
      <c r="B25429" s="74" t="s">
        <v>13237</v>
      </c>
      <c r="C25429" s="74" t="s">
        <v>437</v>
      </c>
    </row>
    <row r="25430" spans="1:3">
      <c r="A25430" s="250">
        <v>59059</v>
      </c>
      <c r="B25430" s="74" t="s">
        <v>13238</v>
      </c>
      <c r="C25430" s="74" t="s">
        <v>437</v>
      </c>
    </row>
    <row r="25431" spans="1:3">
      <c r="A25431" s="250">
        <v>59061</v>
      </c>
      <c r="B25431" s="74" t="s">
        <v>13239</v>
      </c>
      <c r="C25431" s="74" t="s">
        <v>437</v>
      </c>
    </row>
    <row r="25432" spans="1:3">
      <c r="A25432" s="250">
        <v>59062</v>
      </c>
      <c r="B25432" s="74" t="s">
        <v>13240</v>
      </c>
      <c r="C25432" s="74" t="s">
        <v>437</v>
      </c>
    </row>
    <row r="25433" spans="1:3">
      <c r="A25433" s="250">
        <v>59063</v>
      </c>
      <c r="B25433" s="74" t="s">
        <v>9970</v>
      </c>
      <c r="C25433" s="74" t="s">
        <v>437</v>
      </c>
    </row>
    <row r="25434" spans="1:3">
      <c r="A25434" s="250">
        <v>59064</v>
      </c>
      <c r="B25434" s="74" t="s">
        <v>13241</v>
      </c>
      <c r="C25434" s="74" t="s">
        <v>437</v>
      </c>
    </row>
    <row r="25435" spans="1:3">
      <c r="A25435" s="250">
        <v>59065</v>
      </c>
      <c r="B25435" s="74" t="s">
        <v>13242</v>
      </c>
      <c r="C25435" s="74" t="s">
        <v>437</v>
      </c>
    </row>
    <row r="25436" spans="1:3">
      <c r="A25436" s="250">
        <v>59066</v>
      </c>
      <c r="B25436" s="74" t="s">
        <v>13243</v>
      </c>
      <c r="C25436" s="74" t="s">
        <v>437</v>
      </c>
    </row>
    <row r="25437" spans="1:3">
      <c r="A25437" s="250">
        <v>59067</v>
      </c>
      <c r="B25437" s="74" t="s">
        <v>13244</v>
      </c>
      <c r="C25437" s="74" t="s">
        <v>437</v>
      </c>
    </row>
    <row r="25438" spans="1:3">
      <c r="A25438" s="250">
        <v>59068</v>
      </c>
      <c r="B25438" s="74" t="s">
        <v>13245</v>
      </c>
      <c r="C25438" s="74" t="s">
        <v>437</v>
      </c>
    </row>
    <row r="25439" spans="1:3">
      <c r="A25439" s="250">
        <v>59069</v>
      </c>
      <c r="B25439" s="74" t="s">
        <v>13246</v>
      </c>
      <c r="C25439" s="74" t="s">
        <v>437</v>
      </c>
    </row>
    <row r="25440" spans="1:3">
      <c r="A25440" s="250">
        <v>59070</v>
      </c>
      <c r="B25440" s="74" t="s">
        <v>12086</v>
      </c>
      <c r="C25440" s="74" t="s">
        <v>437</v>
      </c>
    </row>
    <row r="25441" spans="1:3">
      <c r="A25441" s="250">
        <v>59071</v>
      </c>
      <c r="B25441" s="74" t="s">
        <v>3202</v>
      </c>
      <c r="C25441" s="74" t="s">
        <v>437</v>
      </c>
    </row>
    <row r="25442" spans="1:3">
      <c r="A25442" s="250">
        <v>59072</v>
      </c>
      <c r="B25442" s="74" t="s">
        <v>13247</v>
      </c>
      <c r="C25442" s="74" t="s">
        <v>437</v>
      </c>
    </row>
    <row r="25443" spans="1:3">
      <c r="A25443" s="250">
        <v>59073</v>
      </c>
      <c r="B25443" s="74" t="s">
        <v>13247</v>
      </c>
      <c r="C25443" s="74" t="s">
        <v>437</v>
      </c>
    </row>
    <row r="25444" spans="1:3">
      <c r="A25444" s="250">
        <v>59074</v>
      </c>
      <c r="B25444" s="74" t="s">
        <v>13248</v>
      </c>
      <c r="C25444" s="74" t="s">
        <v>437</v>
      </c>
    </row>
    <row r="25445" spans="1:3">
      <c r="A25445" s="250">
        <v>59075</v>
      </c>
      <c r="B25445" s="74" t="s">
        <v>13249</v>
      </c>
      <c r="C25445" s="74" t="s">
        <v>437</v>
      </c>
    </row>
    <row r="25446" spans="1:3">
      <c r="A25446" s="250">
        <v>59076</v>
      </c>
      <c r="B25446" s="74" t="s">
        <v>9744</v>
      </c>
      <c r="C25446" s="74" t="s">
        <v>437</v>
      </c>
    </row>
    <row r="25447" spans="1:3">
      <c r="A25447" s="250">
        <v>59077</v>
      </c>
      <c r="B25447" s="74" t="s">
        <v>13250</v>
      </c>
      <c r="C25447" s="74" t="s">
        <v>437</v>
      </c>
    </row>
    <row r="25448" spans="1:3">
      <c r="A25448" s="250">
        <v>59078</v>
      </c>
      <c r="B25448" s="74" t="s">
        <v>1717</v>
      </c>
      <c r="C25448" s="74" t="s">
        <v>437</v>
      </c>
    </row>
    <row r="25449" spans="1:3">
      <c r="A25449" s="250">
        <v>59079</v>
      </c>
      <c r="B25449" s="74" t="s">
        <v>11179</v>
      </c>
      <c r="C25449" s="74" t="s">
        <v>437</v>
      </c>
    </row>
    <row r="25450" spans="1:3">
      <c r="A25450" s="250">
        <v>59081</v>
      </c>
      <c r="B25450" s="74" t="s">
        <v>13251</v>
      </c>
      <c r="C25450" s="74" t="s">
        <v>437</v>
      </c>
    </row>
    <row r="25451" spans="1:3">
      <c r="A25451" s="250">
        <v>59082</v>
      </c>
      <c r="B25451" s="74" t="s">
        <v>4036</v>
      </c>
      <c r="C25451" s="74" t="s">
        <v>437</v>
      </c>
    </row>
    <row r="25452" spans="1:3">
      <c r="A25452" s="250">
        <v>59083</v>
      </c>
      <c r="B25452" s="74" t="s">
        <v>8281</v>
      </c>
      <c r="C25452" s="74" t="s">
        <v>437</v>
      </c>
    </row>
    <row r="25453" spans="1:3">
      <c r="A25453" s="250">
        <v>59084</v>
      </c>
      <c r="B25453" s="74" t="s">
        <v>13252</v>
      </c>
      <c r="C25453" s="74" t="s">
        <v>437</v>
      </c>
    </row>
    <row r="25454" spans="1:3">
      <c r="A25454" s="250">
        <v>59085</v>
      </c>
      <c r="B25454" s="74" t="s">
        <v>13253</v>
      </c>
      <c r="C25454" s="74" t="s">
        <v>437</v>
      </c>
    </row>
    <row r="25455" spans="1:3">
      <c r="A25455" s="250">
        <v>59086</v>
      </c>
      <c r="B25455" s="74" t="s">
        <v>13254</v>
      </c>
      <c r="C25455" s="74" t="s">
        <v>437</v>
      </c>
    </row>
    <row r="25456" spans="1:3">
      <c r="A25456" s="250">
        <v>59087</v>
      </c>
      <c r="B25456" s="74" t="s">
        <v>13255</v>
      </c>
      <c r="C25456" s="74" t="s">
        <v>437</v>
      </c>
    </row>
    <row r="25457" spans="1:3">
      <c r="A25457" s="250">
        <v>59088</v>
      </c>
      <c r="B25457" s="74" t="s">
        <v>13256</v>
      </c>
      <c r="C25457" s="74" t="s">
        <v>437</v>
      </c>
    </row>
    <row r="25458" spans="1:3">
      <c r="A25458" s="250">
        <v>59089</v>
      </c>
      <c r="B25458" s="74" t="s">
        <v>13257</v>
      </c>
      <c r="C25458" s="74" t="s">
        <v>437</v>
      </c>
    </row>
    <row r="25459" spans="1:3">
      <c r="A25459" s="250">
        <v>59101</v>
      </c>
      <c r="B25459" s="74" t="s">
        <v>3106</v>
      </c>
      <c r="C25459" s="74" t="s">
        <v>437</v>
      </c>
    </row>
    <row r="25460" spans="1:3">
      <c r="A25460" s="250">
        <v>59102</v>
      </c>
      <c r="B25460" s="74" t="s">
        <v>3106</v>
      </c>
      <c r="C25460" s="74" t="s">
        <v>437</v>
      </c>
    </row>
    <row r="25461" spans="1:3">
      <c r="A25461" s="250">
        <v>59103</v>
      </c>
      <c r="B25461" s="74" t="s">
        <v>3106</v>
      </c>
      <c r="C25461" s="74" t="s">
        <v>437</v>
      </c>
    </row>
    <row r="25462" spans="1:3">
      <c r="A25462" s="250">
        <v>59104</v>
      </c>
      <c r="B25462" s="74" t="s">
        <v>3106</v>
      </c>
      <c r="C25462" s="74" t="s">
        <v>437</v>
      </c>
    </row>
    <row r="25463" spans="1:3">
      <c r="A25463" s="250">
        <v>59105</v>
      </c>
      <c r="B25463" s="74" t="s">
        <v>3106</v>
      </c>
      <c r="C25463" s="74" t="s">
        <v>437</v>
      </c>
    </row>
    <row r="25464" spans="1:3">
      <c r="A25464" s="250">
        <v>59106</v>
      </c>
      <c r="B25464" s="74" t="s">
        <v>3106</v>
      </c>
      <c r="C25464" s="74" t="s">
        <v>437</v>
      </c>
    </row>
    <row r="25465" spans="1:3">
      <c r="A25465" s="250">
        <v>59107</v>
      </c>
      <c r="B25465" s="74" t="s">
        <v>3106</v>
      </c>
      <c r="C25465" s="74" t="s">
        <v>437</v>
      </c>
    </row>
    <row r="25466" spans="1:3">
      <c r="A25466" s="250">
        <v>59108</v>
      </c>
      <c r="B25466" s="74" t="s">
        <v>3106</v>
      </c>
      <c r="C25466" s="74" t="s">
        <v>437</v>
      </c>
    </row>
    <row r="25467" spans="1:3">
      <c r="A25467" s="250">
        <v>59111</v>
      </c>
      <c r="B25467" s="74" t="s">
        <v>3106</v>
      </c>
      <c r="C25467" s="74" t="s">
        <v>437</v>
      </c>
    </row>
    <row r="25468" spans="1:3">
      <c r="A25468" s="250">
        <v>59112</v>
      </c>
      <c r="B25468" s="74" t="s">
        <v>3106</v>
      </c>
      <c r="C25468" s="74" t="s">
        <v>437</v>
      </c>
    </row>
    <row r="25469" spans="1:3">
      <c r="A25469" s="250">
        <v>59114</v>
      </c>
      <c r="B25469" s="74" t="s">
        <v>3106</v>
      </c>
      <c r="C25469" s="74" t="s">
        <v>437</v>
      </c>
    </row>
    <row r="25470" spans="1:3">
      <c r="A25470" s="250">
        <v>59115</v>
      </c>
      <c r="B25470" s="74" t="s">
        <v>3106</v>
      </c>
      <c r="C25470" s="74" t="s">
        <v>437</v>
      </c>
    </row>
    <row r="25471" spans="1:3">
      <c r="A25471" s="250">
        <v>59116</v>
      </c>
      <c r="B25471" s="74" t="s">
        <v>3106</v>
      </c>
      <c r="C25471" s="74" t="s">
        <v>437</v>
      </c>
    </row>
    <row r="25472" spans="1:3">
      <c r="A25472" s="250">
        <v>59117</v>
      </c>
      <c r="B25472" s="74" t="s">
        <v>3106</v>
      </c>
      <c r="C25472" s="74" t="s">
        <v>437</v>
      </c>
    </row>
    <row r="25473" spans="1:3">
      <c r="A25473" s="250">
        <v>59201</v>
      </c>
      <c r="B25473" s="74" t="s">
        <v>13258</v>
      </c>
      <c r="C25473" s="74" t="s">
        <v>437</v>
      </c>
    </row>
    <row r="25474" spans="1:3">
      <c r="A25474" s="250">
        <v>59211</v>
      </c>
      <c r="B25474" s="74" t="s">
        <v>13259</v>
      </c>
      <c r="C25474" s="74" t="s">
        <v>437</v>
      </c>
    </row>
    <row r="25475" spans="1:3">
      <c r="A25475" s="250">
        <v>59212</v>
      </c>
      <c r="B25475" s="74" t="s">
        <v>13260</v>
      </c>
      <c r="C25475" s="74" t="s">
        <v>437</v>
      </c>
    </row>
    <row r="25476" spans="1:3">
      <c r="A25476" s="250">
        <v>59213</v>
      </c>
      <c r="B25476" s="74" t="s">
        <v>934</v>
      </c>
      <c r="C25476" s="74" t="s">
        <v>437</v>
      </c>
    </row>
    <row r="25477" spans="1:3">
      <c r="A25477" s="250">
        <v>59214</v>
      </c>
      <c r="B25477" s="74" t="s">
        <v>4317</v>
      </c>
      <c r="C25477" s="74" t="s">
        <v>437</v>
      </c>
    </row>
    <row r="25478" spans="1:3">
      <c r="A25478" s="250">
        <v>59215</v>
      </c>
      <c r="B25478" s="74" t="s">
        <v>13261</v>
      </c>
      <c r="C25478" s="74" t="s">
        <v>437</v>
      </c>
    </row>
    <row r="25479" spans="1:3">
      <c r="A25479" s="250">
        <v>59217</v>
      </c>
      <c r="B25479" s="74" t="s">
        <v>10878</v>
      </c>
      <c r="C25479" s="74" t="s">
        <v>437</v>
      </c>
    </row>
    <row r="25480" spans="1:3">
      <c r="A25480" s="250">
        <v>59218</v>
      </c>
      <c r="B25480" s="74" t="s">
        <v>13262</v>
      </c>
      <c r="C25480" s="74" t="s">
        <v>437</v>
      </c>
    </row>
    <row r="25481" spans="1:3">
      <c r="A25481" s="250">
        <v>59219</v>
      </c>
      <c r="B25481" s="74" t="s">
        <v>13263</v>
      </c>
      <c r="C25481" s="74" t="s">
        <v>437</v>
      </c>
    </row>
    <row r="25482" spans="1:3">
      <c r="A25482" s="250">
        <v>59221</v>
      </c>
      <c r="B25482" s="74" t="s">
        <v>2122</v>
      </c>
      <c r="C25482" s="74" t="s">
        <v>437</v>
      </c>
    </row>
    <row r="25483" spans="1:3">
      <c r="A25483" s="250">
        <v>59222</v>
      </c>
      <c r="B25483" s="74" t="s">
        <v>13264</v>
      </c>
      <c r="C25483" s="74" t="s">
        <v>437</v>
      </c>
    </row>
    <row r="25484" spans="1:3">
      <c r="A25484" s="250">
        <v>59223</v>
      </c>
      <c r="B25484" s="74" t="s">
        <v>13265</v>
      </c>
      <c r="C25484" s="74" t="s">
        <v>437</v>
      </c>
    </row>
    <row r="25485" spans="1:3">
      <c r="A25485" s="250">
        <v>59225</v>
      </c>
      <c r="B25485" s="74" t="s">
        <v>13266</v>
      </c>
      <c r="C25485" s="74" t="s">
        <v>437</v>
      </c>
    </row>
    <row r="25486" spans="1:3">
      <c r="A25486" s="250">
        <v>59226</v>
      </c>
      <c r="B25486" s="74" t="s">
        <v>13267</v>
      </c>
      <c r="C25486" s="74" t="s">
        <v>437</v>
      </c>
    </row>
    <row r="25487" spans="1:3">
      <c r="A25487" s="250">
        <v>59230</v>
      </c>
      <c r="B25487" s="74" t="s">
        <v>4551</v>
      </c>
      <c r="C25487" s="74" t="s">
        <v>437</v>
      </c>
    </row>
    <row r="25488" spans="1:3">
      <c r="A25488" s="250">
        <v>59231</v>
      </c>
      <c r="B25488" s="74" t="s">
        <v>13268</v>
      </c>
      <c r="C25488" s="74" t="s">
        <v>437</v>
      </c>
    </row>
    <row r="25489" spans="1:3">
      <c r="A25489" s="250">
        <v>59240</v>
      </c>
      <c r="B25489" s="74" t="s">
        <v>13269</v>
      </c>
      <c r="C25489" s="74" t="s">
        <v>437</v>
      </c>
    </row>
    <row r="25490" spans="1:3">
      <c r="A25490" s="250">
        <v>59241</v>
      </c>
      <c r="B25490" s="74" t="s">
        <v>646</v>
      </c>
      <c r="C25490" s="74" t="s">
        <v>437</v>
      </c>
    </row>
    <row r="25491" spans="1:3">
      <c r="A25491" s="250">
        <v>59242</v>
      </c>
      <c r="B25491" s="74" t="s">
        <v>4024</v>
      </c>
      <c r="C25491" s="74" t="s">
        <v>437</v>
      </c>
    </row>
    <row r="25492" spans="1:3">
      <c r="A25492" s="250">
        <v>59243</v>
      </c>
      <c r="B25492" s="74" t="s">
        <v>9305</v>
      </c>
      <c r="C25492" s="74" t="s">
        <v>437</v>
      </c>
    </row>
    <row r="25493" spans="1:3">
      <c r="A25493" s="250">
        <v>59244</v>
      </c>
      <c r="B25493" s="74" t="s">
        <v>13270</v>
      </c>
      <c r="C25493" s="74" t="s">
        <v>437</v>
      </c>
    </row>
    <row r="25494" spans="1:3">
      <c r="A25494" s="250">
        <v>59247</v>
      </c>
      <c r="B25494" s="74" t="s">
        <v>13271</v>
      </c>
      <c r="C25494" s="74" t="s">
        <v>437</v>
      </c>
    </row>
    <row r="25495" spans="1:3">
      <c r="A25495" s="250">
        <v>59248</v>
      </c>
      <c r="B25495" s="74" t="s">
        <v>1165</v>
      </c>
      <c r="C25495" s="74" t="s">
        <v>437</v>
      </c>
    </row>
    <row r="25496" spans="1:3">
      <c r="A25496" s="250">
        <v>59250</v>
      </c>
      <c r="B25496" s="74" t="s">
        <v>13272</v>
      </c>
      <c r="C25496" s="74" t="s">
        <v>437</v>
      </c>
    </row>
    <row r="25497" spans="1:3">
      <c r="A25497" s="250">
        <v>59252</v>
      </c>
      <c r="B25497" s="74" t="s">
        <v>13273</v>
      </c>
      <c r="C25497" s="74" t="s">
        <v>437</v>
      </c>
    </row>
    <row r="25498" spans="1:3">
      <c r="A25498" s="250">
        <v>59253</v>
      </c>
      <c r="B25498" s="74" t="s">
        <v>13274</v>
      </c>
      <c r="C25498" s="74" t="s">
        <v>437</v>
      </c>
    </row>
    <row r="25499" spans="1:3">
      <c r="A25499" s="250">
        <v>59254</v>
      </c>
      <c r="B25499" s="74" t="s">
        <v>13275</v>
      </c>
      <c r="C25499" s="74" t="s">
        <v>437</v>
      </c>
    </row>
    <row r="25500" spans="1:3">
      <c r="A25500" s="250">
        <v>59255</v>
      </c>
      <c r="B25500" s="74" t="s">
        <v>12311</v>
      </c>
      <c r="C25500" s="74" t="s">
        <v>437</v>
      </c>
    </row>
    <row r="25501" spans="1:3">
      <c r="A25501" s="250">
        <v>59256</v>
      </c>
      <c r="B25501" s="74" t="s">
        <v>1170</v>
      </c>
      <c r="C25501" s="74" t="s">
        <v>437</v>
      </c>
    </row>
    <row r="25502" spans="1:3">
      <c r="A25502" s="250">
        <v>59257</v>
      </c>
      <c r="B25502" s="74" t="s">
        <v>13276</v>
      </c>
      <c r="C25502" s="74" t="s">
        <v>437</v>
      </c>
    </row>
    <row r="25503" spans="1:3">
      <c r="A25503" s="250">
        <v>59258</v>
      </c>
      <c r="B25503" s="74" t="s">
        <v>13277</v>
      </c>
      <c r="C25503" s="74" t="s">
        <v>437</v>
      </c>
    </row>
    <row r="25504" spans="1:3">
      <c r="A25504" s="250">
        <v>59259</v>
      </c>
      <c r="B25504" s="74" t="s">
        <v>13278</v>
      </c>
      <c r="C25504" s="74" t="s">
        <v>437</v>
      </c>
    </row>
    <row r="25505" spans="1:3">
      <c r="A25505" s="250">
        <v>59260</v>
      </c>
      <c r="B25505" s="74" t="s">
        <v>2499</v>
      </c>
      <c r="C25505" s="74" t="s">
        <v>437</v>
      </c>
    </row>
    <row r="25506" spans="1:3">
      <c r="A25506" s="250">
        <v>59261</v>
      </c>
      <c r="B25506" s="74" t="s">
        <v>1407</v>
      </c>
      <c r="C25506" s="74" t="s">
        <v>437</v>
      </c>
    </row>
    <row r="25507" spans="1:3">
      <c r="A25507" s="250">
        <v>59262</v>
      </c>
      <c r="B25507" s="74" t="s">
        <v>5615</v>
      </c>
      <c r="C25507" s="74" t="s">
        <v>437</v>
      </c>
    </row>
    <row r="25508" spans="1:3">
      <c r="A25508" s="250">
        <v>59263</v>
      </c>
      <c r="B25508" s="74" t="s">
        <v>9399</v>
      </c>
      <c r="C25508" s="74" t="s">
        <v>437</v>
      </c>
    </row>
    <row r="25509" spans="1:3">
      <c r="A25509" s="250">
        <v>59270</v>
      </c>
      <c r="B25509" s="74" t="s">
        <v>3646</v>
      </c>
      <c r="C25509" s="74" t="s">
        <v>437</v>
      </c>
    </row>
    <row r="25510" spans="1:3">
      <c r="A25510" s="250">
        <v>59273</v>
      </c>
      <c r="B25510" s="74" t="s">
        <v>10520</v>
      </c>
      <c r="C25510" s="74" t="s">
        <v>437</v>
      </c>
    </row>
    <row r="25511" spans="1:3">
      <c r="A25511" s="250">
        <v>59274</v>
      </c>
      <c r="B25511" s="74" t="s">
        <v>13279</v>
      </c>
      <c r="C25511" s="74" t="s">
        <v>437</v>
      </c>
    </row>
    <row r="25512" spans="1:3">
      <c r="A25512" s="250">
        <v>59275</v>
      </c>
      <c r="B25512" s="74" t="s">
        <v>12256</v>
      </c>
      <c r="C25512" s="74" t="s">
        <v>437</v>
      </c>
    </row>
    <row r="25513" spans="1:3">
      <c r="A25513" s="250">
        <v>59276</v>
      </c>
      <c r="B25513" s="74" t="s">
        <v>13280</v>
      </c>
      <c r="C25513" s="74" t="s">
        <v>437</v>
      </c>
    </row>
    <row r="25514" spans="1:3">
      <c r="A25514" s="250">
        <v>59301</v>
      </c>
      <c r="B25514" s="74" t="s">
        <v>13281</v>
      </c>
      <c r="C25514" s="74" t="s">
        <v>437</v>
      </c>
    </row>
    <row r="25515" spans="1:3">
      <c r="A25515" s="250">
        <v>59311</v>
      </c>
      <c r="B25515" s="74" t="s">
        <v>13282</v>
      </c>
      <c r="C25515" s="74" t="s">
        <v>437</v>
      </c>
    </row>
    <row r="25516" spans="1:3">
      <c r="A25516" s="250">
        <v>59312</v>
      </c>
      <c r="B25516" s="74" t="s">
        <v>13283</v>
      </c>
      <c r="C25516" s="74" t="s">
        <v>437</v>
      </c>
    </row>
    <row r="25517" spans="1:3">
      <c r="A25517" s="250">
        <v>59313</v>
      </c>
      <c r="B25517" s="74" t="s">
        <v>7035</v>
      </c>
      <c r="C25517" s="74" t="s">
        <v>437</v>
      </c>
    </row>
    <row r="25518" spans="1:3">
      <c r="A25518" s="250">
        <v>59314</v>
      </c>
      <c r="B25518" s="74" t="s">
        <v>13284</v>
      </c>
      <c r="C25518" s="74" t="s">
        <v>437</v>
      </c>
    </row>
    <row r="25519" spans="1:3">
      <c r="A25519" s="250">
        <v>59315</v>
      </c>
      <c r="B25519" s="74" t="s">
        <v>1933</v>
      </c>
      <c r="C25519" s="74" t="s">
        <v>437</v>
      </c>
    </row>
    <row r="25520" spans="1:3">
      <c r="A25520" s="250">
        <v>59316</v>
      </c>
      <c r="B25520" s="74" t="s">
        <v>13285</v>
      </c>
      <c r="C25520" s="74" t="s">
        <v>437</v>
      </c>
    </row>
    <row r="25521" spans="1:3">
      <c r="A25521" s="250">
        <v>59317</v>
      </c>
      <c r="B25521" s="74" t="s">
        <v>13286</v>
      </c>
      <c r="C25521" s="74" t="s">
        <v>437</v>
      </c>
    </row>
    <row r="25522" spans="1:3">
      <c r="A25522" s="250">
        <v>59318</v>
      </c>
      <c r="B25522" s="74" t="s">
        <v>13287</v>
      </c>
      <c r="C25522" s="74" t="s">
        <v>437</v>
      </c>
    </row>
    <row r="25523" spans="1:3">
      <c r="A25523" s="250">
        <v>59319</v>
      </c>
      <c r="B25523" s="74" t="s">
        <v>13288</v>
      </c>
      <c r="C25523" s="74" t="s">
        <v>437</v>
      </c>
    </row>
    <row r="25524" spans="1:3">
      <c r="A25524" s="250">
        <v>59322</v>
      </c>
      <c r="B25524" s="74" t="s">
        <v>13289</v>
      </c>
      <c r="C25524" s="74" t="s">
        <v>437</v>
      </c>
    </row>
    <row r="25525" spans="1:3">
      <c r="A25525" s="250">
        <v>59323</v>
      </c>
      <c r="B25525" s="74" t="s">
        <v>13290</v>
      </c>
      <c r="C25525" s="74" t="s">
        <v>437</v>
      </c>
    </row>
    <row r="25526" spans="1:3">
      <c r="A25526" s="250">
        <v>59324</v>
      </c>
      <c r="B25526" s="74" t="s">
        <v>13291</v>
      </c>
      <c r="C25526" s="74" t="s">
        <v>437</v>
      </c>
    </row>
    <row r="25527" spans="1:3">
      <c r="A25527" s="250">
        <v>59326</v>
      </c>
      <c r="B25527" s="74" t="s">
        <v>13292</v>
      </c>
      <c r="C25527" s="74" t="s">
        <v>437</v>
      </c>
    </row>
    <row r="25528" spans="1:3">
      <c r="A25528" s="250">
        <v>59327</v>
      </c>
      <c r="B25528" s="74" t="s">
        <v>8074</v>
      </c>
      <c r="C25528" s="74" t="s">
        <v>437</v>
      </c>
    </row>
    <row r="25529" spans="1:3">
      <c r="A25529" s="250">
        <v>59330</v>
      </c>
      <c r="B25529" s="74" t="s">
        <v>13293</v>
      </c>
      <c r="C25529" s="74" t="s">
        <v>437</v>
      </c>
    </row>
    <row r="25530" spans="1:3">
      <c r="A25530" s="250">
        <v>59332</v>
      </c>
      <c r="B25530" s="74" t="s">
        <v>3553</v>
      </c>
      <c r="C25530" s="74" t="s">
        <v>437</v>
      </c>
    </row>
    <row r="25531" spans="1:3">
      <c r="A25531" s="250">
        <v>59333</v>
      </c>
      <c r="B25531" s="74" t="s">
        <v>13294</v>
      </c>
      <c r="C25531" s="74" t="s">
        <v>437</v>
      </c>
    </row>
    <row r="25532" spans="1:3">
      <c r="A25532" s="250">
        <v>59336</v>
      </c>
      <c r="B25532" s="74" t="s">
        <v>13295</v>
      </c>
      <c r="C25532" s="74" t="s">
        <v>437</v>
      </c>
    </row>
    <row r="25533" spans="1:3">
      <c r="A25533" s="250">
        <v>59337</v>
      </c>
      <c r="B25533" s="74" t="s">
        <v>3371</v>
      </c>
      <c r="C25533" s="74" t="s">
        <v>437</v>
      </c>
    </row>
    <row r="25534" spans="1:3">
      <c r="A25534" s="250">
        <v>59338</v>
      </c>
      <c r="B25534" s="74" t="s">
        <v>13296</v>
      </c>
      <c r="C25534" s="74" t="s">
        <v>437</v>
      </c>
    </row>
    <row r="25535" spans="1:3">
      <c r="A25535" s="250">
        <v>59339</v>
      </c>
      <c r="B25535" s="74" t="s">
        <v>13297</v>
      </c>
      <c r="C25535" s="74" t="s">
        <v>437</v>
      </c>
    </row>
    <row r="25536" spans="1:3">
      <c r="A25536" s="250">
        <v>59341</v>
      </c>
      <c r="B25536" s="74" t="s">
        <v>5217</v>
      </c>
      <c r="C25536" s="74" t="s">
        <v>437</v>
      </c>
    </row>
    <row r="25537" spans="1:3">
      <c r="A25537" s="250">
        <v>59343</v>
      </c>
      <c r="B25537" s="74" t="s">
        <v>13298</v>
      </c>
      <c r="C25537" s="74" t="s">
        <v>437</v>
      </c>
    </row>
    <row r="25538" spans="1:3">
      <c r="A25538" s="250">
        <v>59344</v>
      </c>
      <c r="B25538" s="74" t="s">
        <v>13299</v>
      </c>
      <c r="C25538" s="74" t="s">
        <v>437</v>
      </c>
    </row>
    <row r="25539" spans="1:3">
      <c r="A25539" s="250">
        <v>59345</v>
      </c>
      <c r="B25539" s="74" t="s">
        <v>13300</v>
      </c>
      <c r="C25539" s="74" t="s">
        <v>437</v>
      </c>
    </row>
    <row r="25540" spans="1:3">
      <c r="A25540" s="250">
        <v>59347</v>
      </c>
      <c r="B25540" s="74" t="s">
        <v>12938</v>
      </c>
      <c r="C25540" s="74" t="s">
        <v>437</v>
      </c>
    </row>
    <row r="25541" spans="1:3">
      <c r="A25541" s="250">
        <v>59349</v>
      </c>
      <c r="B25541" s="74" t="s">
        <v>9446</v>
      </c>
      <c r="C25541" s="74" t="s">
        <v>437</v>
      </c>
    </row>
    <row r="25542" spans="1:3">
      <c r="A25542" s="250">
        <v>59351</v>
      </c>
      <c r="B25542" s="74" t="s">
        <v>13301</v>
      </c>
      <c r="C25542" s="74" t="s">
        <v>437</v>
      </c>
    </row>
    <row r="25543" spans="1:3">
      <c r="A25543" s="250">
        <v>59353</v>
      </c>
      <c r="B25543" s="74" t="s">
        <v>13302</v>
      </c>
      <c r="C25543" s="74" t="s">
        <v>437</v>
      </c>
    </row>
    <row r="25544" spans="1:3">
      <c r="A25544" s="250">
        <v>59354</v>
      </c>
      <c r="B25544" s="74" t="s">
        <v>3838</v>
      </c>
      <c r="C25544" s="74" t="s">
        <v>437</v>
      </c>
    </row>
    <row r="25545" spans="1:3">
      <c r="A25545" s="250">
        <v>59401</v>
      </c>
      <c r="B25545" s="74" t="s">
        <v>5870</v>
      </c>
      <c r="C25545" s="74" t="s">
        <v>437</v>
      </c>
    </row>
    <row r="25546" spans="1:3">
      <c r="A25546" s="250">
        <v>59402</v>
      </c>
      <c r="B25546" s="74" t="s">
        <v>13303</v>
      </c>
      <c r="C25546" s="74" t="s">
        <v>437</v>
      </c>
    </row>
    <row r="25547" spans="1:3">
      <c r="A25547" s="250">
        <v>59403</v>
      </c>
      <c r="B25547" s="74" t="s">
        <v>5870</v>
      </c>
      <c r="C25547" s="74" t="s">
        <v>437</v>
      </c>
    </row>
    <row r="25548" spans="1:3">
      <c r="A25548" s="250">
        <v>59404</v>
      </c>
      <c r="B25548" s="74" t="s">
        <v>5870</v>
      </c>
      <c r="C25548" s="74" t="s">
        <v>437</v>
      </c>
    </row>
    <row r="25549" spans="1:3">
      <c r="A25549" s="250">
        <v>59405</v>
      </c>
      <c r="B25549" s="74" t="s">
        <v>5870</v>
      </c>
      <c r="C25549" s="74" t="s">
        <v>437</v>
      </c>
    </row>
    <row r="25550" spans="1:3">
      <c r="A25550" s="250">
        <v>59406</v>
      </c>
      <c r="B25550" s="74" t="s">
        <v>5870</v>
      </c>
      <c r="C25550" s="74" t="s">
        <v>437</v>
      </c>
    </row>
    <row r="25551" spans="1:3">
      <c r="A25551" s="250">
        <v>59410</v>
      </c>
      <c r="B25551" s="74" t="s">
        <v>1473</v>
      </c>
      <c r="C25551" s="74" t="s">
        <v>437</v>
      </c>
    </row>
    <row r="25552" spans="1:3">
      <c r="A25552" s="250">
        <v>59411</v>
      </c>
      <c r="B25552" s="74" t="s">
        <v>13304</v>
      </c>
      <c r="C25552" s="74" t="s">
        <v>437</v>
      </c>
    </row>
    <row r="25553" spans="1:3">
      <c r="A25553" s="250">
        <v>59412</v>
      </c>
      <c r="B25553" s="74" t="s">
        <v>13305</v>
      </c>
      <c r="C25553" s="74" t="s">
        <v>437</v>
      </c>
    </row>
    <row r="25554" spans="1:3">
      <c r="A25554" s="250">
        <v>59414</v>
      </c>
      <c r="B25554" s="74" t="s">
        <v>13306</v>
      </c>
      <c r="C25554" s="74" t="s">
        <v>437</v>
      </c>
    </row>
    <row r="25555" spans="1:3">
      <c r="A25555" s="250">
        <v>59416</v>
      </c>
      <c r="B25555" s="74" t="s">
        <v>13307</v>
      </c>
      <c r="C25555" s="74" t="s">
        <v>437</v>
      </c>
    </row>
    <row r="25556" spans="1:3">
      <c r="A25556" s="250">
        <v>59417</v>
      </c>
      <c r="B25556" s="74" t="s">
        <v>13308</v>
      </c>
      <c r="C25556" s="74" t="s">
        <v>437</v>
      </c>
    </row>
    <row r="25557" spans="1:3">
      <c r="A25557" s="250">
        <v>59418</v>
      </c>
      <c r="B25557" s="74" t="s">
        <v>3751</v>
      </c>
      <c r="C25557" s="74" t="s">
        <v>437</v>
      </c>
    </row>
    <row r="25558" spans="1:3">
      <c r="A25558" s="250">
        <v>59419</v>
      </c>
      <c r="B25558" s="74" t="s">
        <v>7089</v>
      </c>
      <c r="C25558" s="74" t="s">
        <v>437</v>
      </c>
    </row>
    <row r="25559" spans="1:3">
      <c r="A25559" s="250">
        <v>59420</v>
      </c>
      <c r="B25559" s="74" t="s">
        <v>9747</v>
      </c>
      <c r="C25559" s="74" t="s">
        <v>437</v>
      </c>
    </row>
    <row r="25560" spans="1:3">
      <c r="A25560" s="250">
        <v>59421</v>
      </c>
      <c r="B25560" s="74" t="s">
        <v>5792</v>
      </c>
      <c r="C25560" s="74" t="s">
        <v>437</v>
      </c>
    </row>
    <row r="25561" spans="1:3">
      <c r="A25561" s="250">
        <v>59422</v>
      </c>
      <c r="B25561" s="74" t="s">
        <v>13309</v>
      </c>
      <c r="C25561" s="74" t="s">
        <v>437</v>
      </c>
    </row>
    <row r="25562" spans="1:3">
      <c r="A25562" s="250">
        <v>59424</v>
      </c>
      <c r="B25562" s="74" t="s">
        <v>13310</v>
      </c>
      <c r="C25562" s="74" t="s">
        <v>437</v>
      </c>
    </row>
    <row r="25563" spans="1:3">
      <c r="A25563" s="250">
        <v>59425</v>
      </c>
      <c r="B25563" s="74" t="s">
        <v>11659</v>
      </c>
      <c r="C25563" s="74" t="s">
        <v>437</v>
      </c>
    </row>
    <row r="25564" spans="1:3">
      <c r="A25564" s="250">
        <v>59427</v>
      </c>
      <c r="B25564" s="74" t="s">
        <v>13311</v>
      </c>
      <c r="C25564" s="74" t="s">
        <v>437</v>
      </c>
    </row>
    <row r="25565" spans="1:3">
      <c r="A25565" s="250">
        <v>59430</v>
      </c>
      <c r="B25565" s="74" t="s">
        <v>5751</v>
      </c>
      <c r="C25565" s="74" t="s">
        <v>437</v>
      </c>
    </row>
    <row r="25566" spans="1:3">
      <c r="A25566" s="250">
        <v>59432</v>
      </c>
      <c r="B25566" s="74" t="s">
        <v>13312</v>
      </c>
      <c r="C25566" s="74" t="s">
        <v>437</v>
      </c>
    </row>
    <row r="25567" spans="1:3">
      <c r="A25567" s="250">
        <v>59433</v>
      </c>
      <c r="B25567" s="74" t="s">
        <v>6053</v>
      </c>
      <c r="C25567" s="74" t="s">
        <v>437</v>
      </c>
    </row>
    <row r="25568" spans="1:3">
      <c r="A25568" s="250">
        <v>59434</v>
      </c>
      <c r="B25568" s="74" t="s">
        <v>13313</v>
      </c>
      <c r="C25568" s="74" t="s">
        <v>437</v>
      </c>
    </row>
    <row r="25569" spans="1:3">
      <c r="A25569" s="250">
        <v>59435</v>
      </c>
      <c r="B25569" s="74" t="s">
        <v>9245</v>
      </c>
      <c r="C25569" s="74" t="s">
        <v>437</v>
      </c>
    </row>
    <row r="25570" spans="1:3">
      <c r="A25570" s="250">
        <v>59436</v>
      </c>
      <c r="B25570" s="74" t="s">
        <v>1694</v>
      </c>
      <c r="C25570" s="74" t="s">
        <v>437</v>
      </c>
    </row>
    <row r="25571" spans="1:3">
      <c r="A25571" s="250">
        <v>59440</v>
      </c>
      <c r="B25571" s="74" t="s">
        <v>13314</v>
      </c>
      <c r="C25571" s="74" t="s">
        <v>437</v>
      </c>
    </row>
    <row r="25572" spans="1:3">
      <c r="A25572" s="250">
        <v>59441</v>
      </c>
      <c r="B25572" s="74" t="s">
        <v>5268</v>
      </c>
      <c r="C25572" s="74" t="s">
        <v>437</v>
      </c>
    </row>
    <row r="25573" spans="1:3">
      <c r="A25573" s="250">
        <v>59442</v>
      </c>
      <c r="B25573" s="74" t="s">
        <v>13315</v>
      </c>
      <c r="C25573" s="74" t="s">
        <v>437</v>
      </c>
    </row>
    <row r="25574" spans="1:3">
      <c r="A25574" s="250">
        <v>59443</v>
      </c>
      <c r="B25574" s="74" t="s">
        <v>13316</v>
      </c>
      <c r="C25574" s="74" t="s">
        <v>437</v>
      </c>
    </row>
    <row r="25575" spans="1:3">
      <c r="A25575" s="250">
        <v>59444</v>
      </c>
      <c r="B25575" s="74" t="s">
        <v>13317</v>
      </c>
      <c r="C25575" s="74" t="s">
        <v>437</v>
      </c>
    </row>
    <row r="25576" spans="1:3">
      <c r="A25576" s="250">
        <v>59446</v>
      </c>
      <c r="B25576" s="74" t="s">
        <v>8770</v>
      </c>
      <c r="C25576" s="74" t="s">
        <v>437</v>
      </c>
    </row>
    <row r="25577" spans="1:3">
      <c r="A25577" s="250">
        <v>59447</v>
      </c>
      <c r="B25577" s="74" t="s">
        <v>13318</v>
      </c>
      <c r="C25577" s="74" t="s">
        <v>437</v>
      </c>
    </row>
    <row r="25578" spans="1:3">
      <c r="A25578" s="250">
        <v>59448</v>
      </c>
      <c r="B25578" s="74" t="s">
        <v>13319</v>
      </c>
      <c r="C25578" s="74" t="s">
        <v>437</v>
      </c>
    </row>
    <row r="25579" spans="1:3">
      <c r="A25579" s="250">
        <v>59450</v>
      </c>
      <c r="B25579" s="74" t="s">
        <v>13320</v>
      </c>
      <c r="C25579" s="74" t="s">
        <v>437</v>
      </c>
    </row>
    <row r="25580" spans="1:3">
      <c r="A25580" s="250">
        <v>59451</v>
      </c>
      <c r="B25580" s="74" t="s">
        <v>13321</v>
      </c>
      <c r="C25580" s="74" t="s">
        <v>437</v>
      </c>
    </row>
    <row r="25581" spans="1:3">
      <c r="A25581" s="250">
        <v>59452</v>
      </c>
      <c r="B25581" s="74" t="s">
        <v>13322</v>
      </c>
      <c r="C25581" s="74" t="s">
        <v>437</v>
      </c>
    </row>
    <row r="25582" spans="1:3">
      <c r="A25582" s="250">
        <v>59453</v>
      </c>
      <c r="B25582" s="74" t="s">
        <v>13323</v>
      </c>
      <c r="C25582" s="74" t="s">
        <v>437</v>
      </c>
    </row>
    <row r="25583" spans="1:3">
      <c r="A25583" s="250">
        <v>59454</v>
      </c>
      <c r="B25583" s="74" t="s">
        <v>13324</v>
      </c>
      <c r="C25583" s="74" t="s">
        <v>437</v>
      </c>
    </row>
    <row r="25584" spans="1:3">
      <c r="A25584" s="250">
        <v>59456</v>
      </c>
      <c r="B25584" s="74" t="s">
        <v>13325</v>
      </c>
      <c r="C25584" s="74" t="s">
        <v>437</v>
      </c>
    </row>
    <row r="25585" spans="1:3">
      <c r="A25585" s="250">
        <v>59457</v>
      </c>
      <c r="B25585" s="74" t="s">
        <v>4717</v>
      </c>
      <c r="C25585" s="74" t="s">
        <v>437</v>
      </c>
    </row>
    <row r="25586" spans="1:3">
      <c r="A25586" s="250">
        <v>59460</v>
      </c>
      <c r="B25586" s="74" t="s">
        <v>13326</v>
      </c>
      <c r="C25586" s="74" t="s">
        <v>437</v>
      </c>
    </row>
    <row r="25587" spans="1:3">
      <c r="A25587" s="250">
        <v>59461</v>
      </c>
      <c r="B25587" s="74" t="s">
        <v>13327</v>
      </c>
      <c r="C25587" s="74" t="s">
        <v>437</v>
      </c>
    </row>
    <row r="25588" spans="1:3">
      <c r="A25588" s="250">
        <v>59462</v>
      </c>
      <c r="B25588" s="74" t="s">
        <v>13328</v>
      </c>
      <c r="C25588" s="74" t="s">
        <v>437</v>
      </c>
    </row>
    <row r="25589" spans="1:3">
      <c r="A25589" s="250">
        <v>59463</v>
      </c>
      <c r="B25589" s="74" t="s">
        <v>13329</v>
      </c>
      <c r="C25589" s="74" t="s">
        <v>437</v>
      </c>
    </row>
    <row r="25590" spans="1:3">
      <c r="A25590" s="250">
        <v>59464</v>
      </c>
      <c r="B25590" s="74" t="s">
        <v>7681</v>
      </c>
      <c r="C25590" s="74" t="s">
        <v>437</v>
      </c>
    </row>
    <row r="25591" spans="1:3">
      <c r="A25591" s="250">
        <v>59465</v>
      </c>
      <c r="B25591" s="74" t="s">
        <v>13330</v>
      </c>
      <c r="C25591" s="74" t="s">
        <v>437</v>
      </c>
    </row>
    <row r="25592" spans="1:3">
      <c r="A25592" s="250">
        <v>59466</v>
      </c>
      <c r="B25592" s="74" t="s">
        <v>13331</v>
      </c>
      <c r="C25592" s="74" t="s">
        <v>437</v>
      </c>
    </row>
    <row r="25593" spans="1:3">
      <c r="A25593" s="250">
        <v>59467</v>
      </c>
      <c r="B25593" s="74" t="s">
        <v>13332</v>
      </c>
      <c r="C25593" s="74" t="s">
        <v>437</v>
      </c>
    </row>
    <row r="25594" spans="1:3">
      <c r="A25594" s="250">
        <v>59468</v>
      </c>
      <c r="B25594" s="74" t="s">
        <v>13333</v>
      </c>
      <c r="C25594" s="74" t="s">
        <v>437</v>
      </c>
    </row>
    <row r="25595" spans="1:3">
      <c r="A25595" s="250">
        <v>59469</v>
      </c>
      <c r="B25595" s="74" t="s">
        <v>13334</v>
      </c>
      <c r="C25595" s="74" t="s">
        <v>437</v>
      </c>
    </row>
    <row r="25596" spans="1:3">
      <c r="A25596" s="250">
        <v>59471</v>
      </c>
      <c r="B25596" s="74" t="s">
        <v>13335</v>
      </c>
      <c r="C25596" s="74" t="s">
        <v>437</v>
      </c>
    </row>
    <row r="25597" spans="1:3">
      <c r="A25597" s="250">
        <v>59472</v>
      </c>
      <c r="B25597" s="74" t="s">
        <v>13336</v>
      </c>
      <c r="C25597" s="74" t="s">
        <v>437</v>
      </c>
    </row>
    <row r="25598" spans="1:3">
      <c r="A25598" s="250">
        <v>59474</v>
      </c>
      <c r="B25598" s="74" t="s">
        <v>7335</v>
      </c>
      <c r="C25598" s="74" t="s">
        <v>437</v>
      </c>
    </row>
    <row r="25599" spans="1:3">
      <c r="A25599" s="250">
        <v>59477</v>
      </c>
      <c r="B25599" s="74" t="s">
        <v>13337</v>
      </c>
      <c r="C25599" s="74" t="s">
        <v>437</v>
      </c>
    </row>
    <row r="25600" spans="1:3">
      <c r="A25600" s="250">
        <v>59479</v>
      </c>
      <c r="B25600" s="74" t="s">
        <v>9655</v>
      </c>
      <c r="C25600" s="74" t="s">
        <v>437</v>
      </c>
    </row>
    <row r="25601" spans="1:3">
      <c r="A25601" s="250">
        <v>59480</v>
      </c>
      <c r="B25601" s="74" t="s">
        <v>13338</v>
      </c>
      <c r="C25601" s="74" t="s">
        <v>437</v>
      </c>
    </row>
    <row r="25602" spans="1:3">
      <c r="A25602" s="250">
        <v>59482</v>
      </c>
      <c r="B25602" s="74" t="s">
        <v>13339</v>
      </c>
      <c r="C25602" s="74" t="s">
        <v>437</v>
      </c>
    </row>
    <row r="25603" spans="1:3">
      <c r="A25603" s="250">
        <v>59483</v>
      </c>
      <c r="B25603" s="74" t="s">
        <v>13340</v>
      </c>
      <c r="C25603" s="74" t="s">
        <v>437</v>
      </c>
    </row>
    <row r="25604" spans="1:3">
      <c r="A25604" s="250">
        <v>59484</v>
      </c>
      <c r="B25604" s="74" t="s">
        <v>13341</v>
      </c>
      <c r="C25604" s="74" t="s">
        <v>437</v>
      </c>
    </row>
    <row r="25605" spans="1:3">
      <c r="A25605" s="250">
        <v>59485</v>
      </c>
      <c r="B25605" s="74" t="s">
        <v>13342</v>
      </c>
      <c r="C25605" s="74" t="s">
        <v>437</v>
      </c>
    </row>
    <row r="25606" spans="1:3">
      <c r="A25606" s="250">
        <v>59486</v>
      </c>
      <c r="B25606" s="74" t="s">
        <v>4311</v>
      </c>
      <c r="C25606" s="74" t="s">
        <v>437</v>
      </c>
    </row>
    <row r="25607" spans="1:3">
      <c r="A25607" s="250">
        <v>59487</v>
      </c>
      <c r="B25607" s="74" t="s">
        <v>13343</v>
      </c>
      <c r="C25607" s="74" t="s">
        <v>437</v>
      </c>
    </row>
    <row r="25608" spans="1:3">
      <c r="A25608" s="250">
        <v>59489</v>
      </c>
      <c r="B25608" s="74" t="s">
        <v>13344</v>
      </c>
      <c r="C25608" s="74" t="s">
        <v>437</v>
      </c>
    </row>
    <row r="25609" spans="1:3">
      <c r="A25609" s="250">
        <v>59501</v>
      </c>
      <c r="B25609" s="74" t="s">
        <v>13345</v>
      </c>
      <c r="C25609" s="74" t="s">
        <v>437</v>
      </c>
    </row>
    <row r="25610" spans="1:3">
      <c r="A25610" s="250">
        <v>59520</v>
      </c>
      <c r="B25610" s="74" t="s">
        <v>6496</v>
      </c>
      <c r="C25610" s="74" t="s">
        <v>437</v>
      </c>
    </row>
    <row r="25611" spans="1:3">
      <c r="A25611" s="250">
        <v>59521</v>
      </c>
      <c r="B25611" s="74" t="s">
        <v>12970</v>
      </c>
      <c r="C25611" s="74" t="s">
        <v>437</v>
      </c>
    </row>
    <row r="25612" spans="1:3">
      <c r="A25612" s="250">
        <v>59522</v>
      </c>
      <c r="B25612" s="74" t="s">
        <v>583</v>
      </c>
      <c r="C25612" s="74" t="s">
        <v>437</v>
      </c>
    </row>
    <row r="25613" spans="1:3">
      <c r="A25613" s="250">
        <v>59523</v>
      </c>
      <c r="B25613" s="74" t="s">
        <v>13346</v>
      </c>
      <c r="C25613" s="74" t="s">
        <v>437</v>
      </c>
    </row>
    <row r="25614" spans="1:3">
      <c r="A25614" s="250">
        <v>59524</v>
      </c>
      <c r="B25614" s="74" t="s">
        <v>13347</v>
      </c>
      <c r="C25614" s="74" t="s">
        <v>437</v>
      </c>
    </row>
    <row r="25615" spans="1:3">
      <c r="A25615" s="250">
        <v>59525</v>
      </c>
      <c r="B25615" s="74" t="s">
        <v>13348</v>
      </c>
      <c r="C25615" s="74" t="s">
        <v>437</v>
      </c>
    </row>
    <row r="25616" spans="1:3">
      <c r="A25616" s="250">
        <v>59526</v>
      </c>
      <c r="B25616" s="74" t="s">
        <v>8054</v>
      </c>
      <c r="C25616" s="74" t="s">
        <v>437</v>
      </c>
    </row>
    <row r="25617" spans="1:3">
      <c r="A25617" s="250">
        <v>59527</v>
      </c>
      <c r="B25617" s="74" t="s">
        <v>7488</v>
      </c>
      <c r="C25617" s="74" t="s">
        <v>437</v>
      </c>
    </row>
    <row r="25618" spans="1:3">
      <c r="A25618" s="250">
        <v>59528</v>
      </c>
      <c r="B25618" s="74" t="s">
        <v>876</v>
      </c>
      <c r="C25618" s="74" t="s">
        <v>437</v>
      </c>
    </row>
    <row r="25619" spans="1:3">
      <c r="A25619" s="250">
        <v>59529</v>
      </c>
      <c r="B25619" s="74" t="s">
        <v>13349</v>
      </c>
      <c r="C25619" s="74" t="s">
        <v>437</v>
      </c>
    </row>
    <row r="25620" spans="1:3">
      <c r="A25620" s="250">
        <v>59530</v>
      </c>
      <c r="B25620" s="74" t="s">
        <v>8573</v>
      </c>
      <c r="C25620" s="74" t="s">
        <v>437</v>
      </c>
    </row>
    <row r="25621" spans="1:3">
      <c r="A25621" s="250">
        <v>59531</v>
      </c>
      <c r="B25621" s="74" t="s">
        <v>13350</v>
      </c>
      <c r="C25621" s="74" t="s">
        <v>437</v>
      </c>
    </row>
    <row r="25622" spans="1:3">
      <c r="A25622" s="250">
        <v>59532</v>
      </c>
      <c r="B25622" s="74" t="s">
        <v>13351</v>
      </c>
      <c r="C25622" s="74" t="s">
        <v>437</v>
      </c>
    </row>
    <row r="25623" spans="1:3">
      <c r="A25623" s="250">
        <v>59535</v>
      </c>
      <c r="B25623" s="74" t="s">
        <v>8283</v>
      </c>
      <c r="C25623" s="74" t="s">
        <v>437</v>
      </c>
    </row>
    <row r="25624" spans="1:3">
      <c r="A25624" s="250">
        <v>59537</v>
      </c>
      <c r="B25624" s="74" t="s">
        <v>13352</v>
      </c>
      <c r="C25624" s="74" t="s">
        <v>437</v>
      </c>
    </row>
    <row r="25625" spans="1:3">
      <c r="A25625" s="250">
        <v>59538</v>
      </c>
      <c r="B25625" s="74" t="s">
        <v>10233</v>
      </c>
      <c r="C25625" s="74" t="s">
        <v>437</v>
      </c>
    </row>
    <row r="25626" spans="1:3">
      <c r="A25626" s="250">
        <v>59540</v>
      </c>
      <c r="B25626" s="74" t="s">
        <v>11385</v>
      </c>
      <c r="C25626" s="74" t="s">
        <v>437</v>
      </c>
    </row>
    <row r="25627" spans="1:3">
      <c r="A25627" s="250">
        <v>59542</v>
      </c>
      <c r="B25627" s="74" t="s">
        <v>1463</v>
      </c>
      <c r="C25627" s="74" t="s">
        <v>437</v>
      </c>
    </row>
    <row r="25628" spans="1:3">
      <c r="A25628" s="250">
        <v>59544</v>
      </c>
      <c r="B25628" s="74" t="s">
        <v>12002</v>
      </c>
      <c r="C25628" s="74" t="s">
        <v>437</v>
      </c>
    </row>
    <row r="25629" spans="1:3">
      <c r="A25629" s="250">
        <v>59545</v>
      </c>
      <c r="B25629" s="74" t="s">
        <v>13353</v>
      </c>
      <c r="C25629" s="74" t="s">
        <v>437</v>
      </c>
    </row>
    <row r="25630" spans="1:3">
      <c r="A25630" s="250">
        <v>59546</v>
      </c>
      <c r="B25630" s="74" t="s">
        <v>13354</v>
      </c>
      <c r="C25630" s="74" t="s">
        <v>437</v>
      </c>
    </row>
    <row r="25631" spans="1:3">
      <c r="A25631" s="250">
        <v>59547</v>
      </c>
      <c r="B25631" s="74" t="s">
        <v>13355</v>
      </c>
      <c r="C25631" s="74" t="s">
        <v>437</v>
      </c>
    </row>
    <row r="25632" spans="1:3">
      <c r="A25632" s="250">
        <v>59601</v>
      </c>
      <c r="B25632" s="74" t="s">
        <v>3555</v>
      </c>
      <c r="C25632" s="74" t="s">
        <v>437</v>
      </c>
    </row>
    <row r="25633" spans="1:3">
      <c r="A25633" s="250">
        <v>59602</v>
      </c>
      <c r="B25633" s="74" t="s">
        <v>3555</v>
      </c>
      <c r="C25633" s="74" t="s">
        <v>437</v>
      </c>
    </row>
    <row r="25634" spans="1:3">
      <c r="A25634" s="250">
        <v>59604</v>
      </c>
      <c r="B25634" s="74" t="s">
        <v>3555</v>
      </c>
      <c r="C25634" s="74" t="s">
        <v>437</v>
      </c>
    </row>
    <row r="25635" spans="1:3">
      <c r="A25635" s="250">
        <v>59620</v>
      </c>
      <c r="B25635" s="74" t="s">
        <v>3555</v>
      </c>
      <c r="C25635" s="74" t="s">
        <v>437</v>
      </c>
    </row>
    <row r="25636" spans="1:3">
      <c r="A25636" s="250">
        <v>59623</v>
      </c>
      <c r="B25636" s="74" t="s">
        <v>3555</v>
      </c>
      <c r="C25636" s="74" t="s">
        <v>437</v>
      </c>
    </row>
    <row r="25637" spans="1:3">
      <c r="A25637" s="250">
        <v>59624</v>
      </c>
      <c r="B25637" s="74" t="s">
        <v>3555</v>
      </c>
      <c r="C25637" s="74" t="s">
        <v>437</v>
      </c>
    </row>
    <row r="25638" spans="1:3">
      <c r="A25638" s="250">
        <v>59625</v>
      </c>
      <c r="B25638" s="74" t="s">
        <v>3555</v>
      </c>
      <c r="C25638" s="74" t="s">
        <v>437</v>
      </c>
    </row>
    <row r="25639" spans="1:3">
      <c r="A25639" s="250">
        <v>59626</v>
      </c>
      <c r="B25639" s="74" t="s">
        <v>3555</v>
      </c>
      <c r="C25639" s="74" t="s">
        <v>437</v>
      </c>
    </row>
    <row r="25640" spans="1:3">
      <c r="A25640" s="250">
        <v>59631</v>
      </c>
      <c r="B25640" s="74" t="s">
        <v>13356</v>
      </c>
      <c r="C25640" s="74" t="s">
        <v>437</v>
      </c>
    </row>
    <row r="25641" spans="1:3">
      <c r="A25641" s="250">
        <v>59632</v>
      </c>
      <c r="B25641" s="74" t="s">
        <v>13357</v>
      </c>
      <c r="C25641" s="74" t="s">
        <v>437</v>
      </c>
    </row>
    <row r="25642" spans="1:3">
      <c r="A25642" s="250">
        <v>59633</v>
      </c>
      <c r="B25642" s="74" t="s">
        <v>13358</v>
      </c>
      <c r="C25642" s="74" t="s">
        <v>437</v>
      </c>
    </row>
    <row r="25643" spans="1:3">
      <c r="A25643" s="250">
        <v>59634</v>
      </c>
      <c r="B25643" s="74" t="s">
        <v>13359</v>
      </c>
      <c r="C25643" s="74" t="s">
        <v>437</v>
      </c>
    </row>
    <row r="25644" spans="1:3">
      <c r="A25644" s="250">
        <v>59635</v>
      </c>
      <c r="B25644" s="74" t="s">
        <v>13360</v>
      </c>
      <c r="C25644" s="74" t="s">
        <v>437</v>
      </c>
    </row>
    <row r="25645" spans="1:3">
      <c r="A25645" s="250">
        <v>59636</v>
      </c>
      <c r="B25645" s="74" t="s">
        <v>13361</v>
      </c>
      <c r="C25645" s="74" t="s">
        <v>437</v>
      </c>
    </row>
    <row r="25646" spans="1:3">
      <c r="A25646" s="250">
        <v>59638</v>
      </c>
      <c r="B25646" s="74" t="s">
        <v>9133</v>
      </c>
      <c r="C25646" s="74" t="s">
        <v>437</v>
      </c>
    </row>
    <row r="25647" spans="1:3">
      <c r="A25647" s="250">
        <v>59639</v>
      </c>
      <c r="B25647" s="74" t="s">
        <v>800</v>
      </c>
      <c r="C25647" s="74" t="s">
        <v>437</v>
      </c>
    </row>
    <row r="25648" spans="1:3">
      <c r="A25648" s="250">
        <v>59640</v>
      </c>
      <c r="B25648" s="74" t="s">
        <v>4724</v>
      </c>
      <c r="C25648" s="74" t="s">
        <v>437</v>
      </c>
    </row>
    <row r="25649" spans="1:3">
      <c r="A25649" s="250">
        <v>59641</v>
      </c>
      <c r="B25649" s="74" t="s">
        <v>13362</v>
      </c>
      <c r="C25649" s="74" t="s">
        <v>437</v>
      </c>
    </row>
    <row r="25650" spans="1:3">
      <c r="A25650" s="250">
        <v>59642</v>
      </c>
      <c r="B25650" s="74" t="s">
        <v>13363</v>
      </c>
      <c r="C25650" s="74" t="s">
        <v>437</v>
      </c>
    </row>
    <row r="25651" spans="1:3">
      <c r="A25651" s="250">
        <v>59643</v>
      </c>
      <c r="B25651" s="74" t="s">
        <v>13364</v>
      </c>
      <c r="C25651" s="74" t="s">
        <v>437</v>
      </c>
    </row>
    <row r="25652" spans="1:3">
      <c r="A25652" s="250">
        <v>59644</v>
      </c>
      <c r="B25652" s="74" t="s">
        <v>719</v>
      </c>
      <c r="C25652" s="74" t="s">
        <v>437</v>
      </c>
    </row>
    <row r="25653" spans="1:3">
      <c r="A25653" s="250">
        <v>59645</v>
      </c>
      <c r="B25653" s="74" t="s">
        <v>3212</v>
      </c>
      <c r="C25653" s="74" t="s">
        <v>437</v>
      </c>
    </row>
    <row r="25654" spans="1:3">
      <c r="A25654" s="250">
        <v>59647</v>
      </c>
      <c r="B25654" s="74" t="s">
        <v>7904</v>
      </c>
      <c r="C25654" s="74" t="s">
        <v>437</v>
      </c>
    </row>
    <row r="25655" spans="1:3">
      <c r="A25655" s="250">
        <v>59648</v>
      </c>
      <c r="B25655" s="74" t="s">
        <v>13365</v>
      </c>
      <c r="C25655" s="74" t="s">
        <v>437</v>
      </c>
    </row>
    <row r="25656" spans="1:3">
      <c r="A25656" s="250">
        <v>59701</v>
      </c>
      <c r="B25656" s="74" t="s">
        <v>13172</v>
      </c>
      <c r="C25656" s="74" t="s">
        <v>437</v>
      </c>
    </row>
    <row r="25657" spans="1:3">
      <c r="A25657" s="250">
        <v>59702</v>
      </c>
      <c r="B25657" s="74" t="s">
        <v>13172</v>
      </c>
      <c r="C25657" s="74" t="s">
        <v>437</v>
      </c>
    </row>
    <row r="25658" spans="1:3">
      <c r="A25658" s="250">
        <v>59703</v>
      </c>
      <c r="B25658" s="74" t="s">
        <v>13172</v>
      </c>
      <c r="C25658" s="74" t="s">
        <v>437</v>
      </c>
    </row>
    <row r="25659" spans="1:3">
      <c r="A25659" s="250">
        <v>59707</v>
      </c>
      <c r="B25659" s="74" t="s">
        <v>13172</v>
      </c>
      <c r="C25659" s="74" t="s">
        <v>437</v>
      </c>
    </row>
    <row r="25660" spans="1:3">
      <c r="A25660" s="250">
        <v>59710</v>
      </c>
      <c r="B25660" s="74" t="s">
        <v>13366</v>
      </c>
      <c r="C25660" s="74" t="s">
        <v>437</v>
      </c>
    </row>
    <row r="25661" spans="1:3">
      <c r="A25661" s="250">
        <v>59711</v>
      </c>
      <c r="B25661" s="74" t="s">
        <v>13367</v>
      </c>
      <c r="C25661" s="74" t="s">
        <v>437</v>
      </c>
    </row>
    <row r="25662" spans="1:3">
      <c r="A25662" s="250">
        <v>59713</v>
      </c>
      <c r="B25662" s="74" t="s">
        <v>935</v>
      </c>
      <c r="C25662" s="74" t="s">
        <v>437</v>
      </c>
    </row>
    <row r="25663" spans="1:3">
      <c r="A25663" s="250">
        <v>59714</v>
      </c>
      <c r="B25663" s="74" t="s">
        <v>1680</v>
      </c>
      <c r="C25663" s="74" t="s">
        <v>437</v>
      </c>
    </row>
    <row r="25664" spans="1:3">
      <c r="A25664" s="250">
        <v>59715</v>
      </c>
      <c r="B25664" s="74" t="s">
        <v>13368</v>
      </c>
      <c r="C25664" s="74" t="s">
        <v>437</v>
      </c>
    </row>
    <row r="25665" spans="1:3">
      <c r="A25665" s="250">
        <v>59716</v>
      </c>
      <c r="B25665" s="74" t="s">
        <v>13369</v>
      </c>
      <c r="C25665" s="74" t="s">
        <v>437</v>
      </c>
    </row>
    <row r="25666" spans="1:3">
      <c r="A25666" s="250">
        <v>59717</v>
      </c>
      <c r="B25666" s="74" t="s">
        <v>13368</v>
      </c>
      <c r="C25666" s="74" t="s">
        <v>437</v>
      </c>
    </row>
    <row r="25667" spans="1:3">
      <c r="A25667" s="250">
        <v>59718</v>
      </c>
      <c r="B25667" s="74" t="s">
        <v>13368</v>
      </c>
      <c r="C25667" s="74" t="s">
        <v>437</v>
      </c>
    </row>
    <row r="25668" spans="1:3">
      <c r="A25668" s="250">
        <v>59719</v>
      </c>
      <c r="B25668" s="74" t="s">
        <v>13368</v>
      </c>
      <c r="C25668" s="74" t="s">
        <v>437</v>
      </c>
    </row>
    <row r="25669" spans="1:3">
      <c r="A25669" s="250">
        <v>59720</v>
      </c>
      <c r="B25669" s="74" t="s">
        <v>3902</v>
      </c>
      <c r="C25669" s="74" t="s">
        <v>437</v>
      </c>
    </row>
    <row r="25670" spans="1:3">
      <c r="A25670" s="250">
        <v>59721</v>
      </c>
      <c r="B25670" s="74" t="s">
        <v>13370</v>
      </c>
      <c r="C25670" s="74" t="s">
        <v>437</v>
      </c>
    </row>
    <row r="25671" spans="1:3">
      <c r="A25671" s="250">
        <v>59722</v>
      </c>
      <c r="B25671" s="74" t="s">
        <v>9120</v>
      </c>
      <c r="C25671" s="74" t="s">
        <v>437</v>
      </c>
    </row>
    <row r="25672" spans="1:3">
      <c r="A25672" s="250">
        <v>59724</v>
      </c>
      <c r="B25672" s="74" t="s">
        <v>13371</v>
      </c>
      <c r="C25672" s="74" t="s">
        <v>437</v>
      </c>
    </row>
    <row r="25673" spans="1:3">
      <c r="A25673" s="250">
        <v>59725</v>
      </c>
      <c r="B25673" s="74" t="s">
        <v>7734</v>
      </c>
      <c r="C25673" s="74" t="s">
        <v>437</v>
      </c>
    </row>
    <row r="25674" spans="1:3">
      <c r="A25674" s="250">
        <v>59727</v>
      </c>
      <c r="B25674" s="74" t="s">
        <v>13372</v>
      </c>
      <c r="C25674" s="74" t="s">
        <v>437</v>
      </c>
    </row>
    <row r="25675" spans="1:3">
      <c r="A25675" s="250">
        <v>59728</v>
      </c>
      <c r="B25675" s="74" t="s">
        <v>6271</v>
      </c>
      <c r="C25675" s="74" t="s">
        <v>437</v>
      </c>
    </row>
    <row r="25676" spans="1:3">
      <c r="A25676" s="250">
        <v>59729</v>
      </c>
      <c r="B25676" s="74" t="s">
        <v>13373</v>
      </c>
      <c r="C25676" s="74" t="s">
        <v>437</v>
      </c>
    </row>
    <row r="25677" spans="1:3">
      <c r="A25677" s="250">
        <v>59730</v>
      </c>
      <c r="B25677" s="74" t="s">
        <v>13374</v>
      </c>
      <c r="C25677" s="74" t="s">
        <v>437</v>
      </c>
    </row>
    <row r="25678" spans="1:3">
      <c r="A25678" s="250">
        <v>59731</v>
      </c>
      <c r="B25678" s="74" t="s">
        <v>2630</v>
      </c>
      <c r="C25678" s="74" t="s">
        <v>437</v>
      </c>
    </row>
    <row r="25679" spans="1:3">
      <c r="A25679" s="250">
        <v>59732</v>
      </c>
      <c r="B25679" s="74" t="s">
        <v>1312</v>
      </c>
      <c r="C25679" s="74" t="s">
        <v>437</v>
      </c>
    </row>
    <row r="25680" spans="1:3">
      <c r="A25680" s="250">
        <v>59733</v>
      </c>
      <c r="B25680" s="74" t="s">
        <v>13375</v>
      </c>
      <c r="C25680" s="74" t="s">
        <v>437</v>
      </c>
    </row>
    <row r="25681" spans="1:3">
      <c r="A25681" s="250">
        <v>59735</v>
      </c>
      <c r="B25681" s="74" t="s">
        <v>1386</v>
      </c>
      <c r="C25681" s="74" t="s">
        <v>437</v>
      </c>
    </row>
    <row r="25682" spans="1:3">
      <c r="A25682" s="250">
        <v>59736</v>
      </c>
      <c r="B25682" s="74" t="s">
        <v>1318</v>
      </c>
      <c r="C25682" s="74" t="s">
        <v>437</v>
      </c>
    </row>
    <row r="25683" spans="1:3">
      <c r="A25683" s="250">
        <v>59739</v>
      </c>
      <c r="B25683" s="74" t="s">
        <v>3790</v>
      </c>
      <c r="C25683" s="74" t="s">
        <v>437</v>
      </c>
    </row>
    <row r="25684" spans="1:3">
      <c r="A25684" s="250">
        <v>59740</v>
      </c>
      <c r="B25684" s="74" t="s">
        <v>13376</v>
      </c>
      <c r="C25684" s="74" t="s">
        <v>437</v>
      </c>
    </row>
    <row r="25685" spans="1:3">
      <c r="A25685" s="250">
        <v>59741</v>
      </c>
      <c r="B25685" s="74" t="s">
        <v>13377</v>
      </c>
      <c r="C25685" s="74" t="s">
        <v>437</v>
      </c>
    </row>
    <row r="25686" spans="1:3">
      <c r="A25686" s="250">
        <v>59743</v>
      </c>
      <c r="B25686" s="74" t="s">
        <v>924</v>
      </c>
      <c r="C25686" s="74" t="s">
        <v>437</v>
      </c>
    </row>
    <row r="25687" spans="1:3">
      <c r="A25687" s="250">
        <v>59745</v>
      </c>
      <c r="B25687" s="74" t="s">
        <v>7786</v>
      </c>
      <c r="C25687" s="74" t="s">
        <v>437</v>
      </c>
    </row>
    <row r="25688" spans="1:3">
      <c r="A25688" s="250">
        <v>59746</v>
      </c>
      <c r="B25688" s="74" t="s">
        <v>13378</v>
      </c>
      <c r="C25688" s="74" t="s">
        <v>437</v>
      </c>
    </row>
    <row r="25689" spans="1:3">
      <c r="A25689" s="250">
        <v>59747</v>
      </c>
      <c r="B25689" s="74" t="s">
        <v>13379</v>
      </c>
      <c r="C25689" s="74" t="s">
        <v>437</v>
      </c>
    </row>
    <row r="25690" spans="1:3">
      <c r="A25690" s="250">
        <v>59748</v>
      </c>
      <c r="B25690" s="74" t="s">
        <v>11471</v>
      </c>
      <c r="C25690" s="74" t="s">
        <v>437</v>
      </c>
    </row>
    <row r="25691" spans="1:3">
      <c r="A25691" s="250">
        <v>59749</v>
      </c>
      <c r="B25691" s="74" t="s">
        <v>1651</v>
      </c>
      <c r="C25691" s="74" t="s">
        <v>437</v>
      </c>
    </row>
    <row r="25692" spans="1:3">
      <c r="A25692" s="250">
        <v>59750</v>
      </c>
      <c r="B25692" s="74" t="s">
        <v>13172</v>
      </c>
      <c r="C25692" s="74" t="s">
        <v>437</v>
      </c>
    </row>
    <row r="25693" spans="1:3">
      <c r="A25693" s="250">
        <v>59751</v>
      </c>
      <c r="B25693" s="74" t="s">
        <v>13380</v>
      </c>
      <c r="C25693" s="74" t="s">
        <v>437</v>
      </c>
    </row>
    <row r="25694" spans="1:3">
      <c r="A25694" s="250">
        <v>59752</v>
      </c>
      <c r="B25694" s="74" t="s">
        <v>13381</v>
      </c>
      <c r="C25694" s="74" t="s">
        <v>437</v>
      </c>
    </row>
    <row r="25695" spans="1:3">
      <c r="A25695" s="250">
        <v>59754</v>
      </c>
      <c r="B25695" s="74" t="s">
        <v>13382</v>
      </c>
      <c r="C25695" s="74" t="s">
        <v>437</v>
      </c>
    </row>
    <row r="25696" spans="1:3">
      <c r="A25696" s="250">
        <v>59755</v>
      </c>
      <c r="B25696" s="74" t="s">
        <v>13383</v>
      </c>
      <c r="C25696" s="74" t="s">
        <v>437</v>
      </c>
    </row>
    <row r="25697" spans="1:3">
      <c r="A25697" s="250">
        <v>59756</v>
      </c>
      <c r="B25697" s="74" t="s">
        <v>6409</v>
      </c>
      <c r="C25697" s="74" t="s">
        <v>437</v>
      </c>
    </row>
    <row r="25698" spans="1:3">
      <c r="A25698" s="250">
        <v>59758</v>
      </c>
      <c r="B25698" s="74" t="s">
        <v>13384</v>
      </c>
      <c r="C25698" s="74" t="s">
        <v>437</v>
      </c>
    </row>
    <row r="25699" spans="1:3">
      <c r="A25699" s="250">
        <v>59759</v>
      </c>
      <c r="B25699" s="74" t="s">
        <v>3273</v>
      </c>
      <c r="C25699" s="74" t="s">
        <v>437</v>
      </c>
    </row>
    <row r="25700" spans="1:3">
      <c r="A25700" s="250">
        <v>59760</v>
      </c>
      <c r="B25700" s="74" t="s">
        <v>13385</v>
      </c>
      <c r="C25700" s="74" t="s">
        <v>437</v>
      </c>
    </row>
    <row r="25701" spans="1:3">
      <c r="A25701" s="250">
        <v>59761</v>
      </c>
      <c r="B25701" s="74" t="s">
        <v>13386</v>
      </c>
      <c r="C25701" s="74" t="s">
        <v>437</v>
      </c>
    </row>
    <row r="25702" spans="1:3">
      <c r="A25702" s="250">
        <v>59762</v>
      </c>
      <c r="B25702" s="74" t="s">
        <v>13387</v>
      </c>
      <c r="C25702" s="74" t="s">
        <v>437</v>
      </c>
    </row>
    <row r="25703" spans="1:3">
      <c r="A25703" s="250">
        <v>59771</v>
      </c>
      <c r="B25703" s="74" t="s">
        <v>13368</v>
      </c>
      <c r="C25703" s="74" t="s">
        <v>437</v>
      </c>
    </row>
    <row r="25704" spans="1:3">
      <c r="A25704" s="250">
        <v>59772</v>
      </c>
      <c r="B25704" s="74" t="s">
        <v>13368</v>
      </c>
      <c r="C25704" s="74" t="s">
        <v>437</v>
      </c>
    </row>
    <row r="25705" spans="1:3">
      <c r="A25705" s="250">
        <v>59773</v>
      </c>
      <c r="B25705" s="74" t="s">
        <v>13368</v>
      </c>
      <c r="C25705" s="74" t="s">
        <v>437</v>
      </c>
    </row>
    <row r="25706" spans="1:3">
      <c r="A25706" s="250">
        <v>59801</v>
      </c>
      <c r="B25706" s="74" t="s">
        <v>13388</v>
      </c>
      <c r="C25706" s="74" t="s">
        <v>437</v>
      </c>
    </row>
    <row r="25707" spans="1:3">
      <c r="A25707" s="250">
        <v>59802</v>
      </c>
      <c r="B25707" s="74" t="s">
        <v>13388</v>
      </c>
      <c r="C25707" s="74" t="s">
        <v>437</v>
      </c>
    </row>
    <row r="25708" spans="1:3">
      <c r="A25708" s="250">
        <v>59803</v>
      </c>
      <c r="B25708" s="74" t="s">
        <v>13388</v>
      </c>
      <c r="C25708" s="74" t="s">
        <v>437</v>
      </c>
    </row>
    <row r="25709" spans="1:3">
      <c r="A25709" s="250">
        <v>59804</v>
      </c>
      <c r="B25709" s="74" t="s">
        <v>13388</v>
      </c>
      <c r="C25709" s="74" t="s">
        <v>437</v>
      </c>
    </row>
    <row r="25710" spans="1:3">
      <c r="A25710" s="250">
        <v>59806</v>
      </c>
      <c r="B25710" s="74" t="s">
        <v>13388</v>
      </c>
      <c r="C25710" s="74" t="s">
        <v>437</v>
      </c>
    </row>
    <row r="25711" spans="1:3">
      <c r="A25711" s="250">
        <v>59807</v>
      </c>
      <c r="B25711" s="74" t="s">
        <v>13388</v>
      </c>
      <c r="C25711" s="74" t="s">
        <v>437</v>
      </c>
    </row>
    <row r="25712" spans="1:3">
      <c r="A25712" s="250">
        <v>59808</v>
      </c>
      <c r="B25712" s="74" t="s">
        <v>13388</v>
      </c>
      <c r="C25712" s="74" t="s">
        <v>437</v>
      </c>
    </row>
    <row r="25713" spans="1:3">
      <c r="A25713" s="250">
        <v>59812</v>
      </c>
      <c r="B25713" s="74" t="s">
        <v>13388</v>
      </c>
      <c r="C25713" s="74" t="s">
        <v>437</v>
      </c>
    </row>
    <row r="25714" spans="1:3">
      <c r="A25714" s="250">
        <v>59820</v>
      </c>
      <c r="B25714" s="74" t="s">
        <v>13389</v>
      </c>
      <c r="C25714" s="74" t="s">
        <v>437</v>
      </c>
    </row>
    <row r="25715" spans="1:3">
      <c r="A25715" s="250">
        <v>59821</v>
      </c>
      <c r="B25715" s="74" t="s">
        <v>13390</v>
      </c>
      <c r="C25715" s="74" t="s">
        <v>437</v>
      </c>
    </row>
    <row r="25716" spans="1:3">
      <c r="A25716" s="250">
        <v>59823</v>
      </c>
      <c r="B25716" s="74" t="s">
        <v>13391</v>
      </c>
      <c r="C25716" s="74" t="s">
        <v>437</v>
      </c>
    </row>
    <row r="25717" spans="1:3">
      <c r="A25717" s="250">
        <v>59824</v>
      </c>
      <c r="B25717" s="74" t="s">
        <v>13392</v>
      </c>
      <c r="C25717" s="74" t="s">
        <v>437</v>
      </c>
    </row>
    <row r="25718" spans="1:3">
      <c r="A25718" s="250">
        <v>59825</v>
      </c>
      <c r="B25718" s="74" t="s">
        <v>732</v>
      </c>
      <c r="C25718" s="74" t="s">
        <v>437</v>
      </c>
    </row>
    <row r="25719" spans="1:3">
      <c r="A25719" s="250">
        <v>59826</v>
      </c>
      <c r="B25719" s="74" t="s">
        <v>13393</v>
      </c>
      <c r="C25719" s="74" t="s">
        <v>437</v>
      </c>
    </row>
    <row r="25720" spans="1:3">
      <c r="A25720" s="250">
        <v>59827</v>
      </c>
      <c r="B25720" s="74" t="s">
        <v>13394</v>
      </c>
      <c r="C25720" s="74" t="s">
        <v>437</v>
      </c>
    </row>
    <row r="25721" spans="1:3">
      <c r="A25721" s="250">
        <v>59828</v>
      </c>
      <c r="B25721" s="74" t="s">
        <v>13395</v>
      </c>
      <c r="C25721" s="74" t="s">
        <v>437</v>
      </c>
    </row>
    <row r="25722" spans="1:3">
      <c r="A25722" s="250">
        <v>59829</v>
      </c>
      <c r="B25722" s="74" t="s">
        <v>5324</v>
      </c>
      <c r="C25722" s="74" t="s">
        <v>437</v>
      </c>
    </row>
    <row r="25723" spans="1:3">
      <c r="A25723" s="250">
        <v>59830</v>
      </c>
      <c r="B25723" s="74" t="s">
        <v>13396</v>
      </c>
      <c r="C25723" s="74" t="s">
        <v>437</v>
      </c>
    </row>
    <row r="25724" spans="1:3">
      <c r="A25724" s="250">
        <v>59831</v>
      </c>
      <c r="B25724" s="74" t="s">
        <v>10025</v>
      </c>
      <c r="C25724" s="74" t="s">
        <v>437</v>
      </c>
    </row>
    <row r="25725" spans="1:3">
      <c r="A25725" s="250">
        <v>59832</v>
      </c>
      <c r="B25725" s="74" t="s">
        <v>12297</v>
      </c>
      <c r="C25725" s="74" t="s">
        <v>437</v>
      </c>
    </row>
    <row r="25726" spans="1:3">
      <c r="A25726" s="250">
        <v>59833</v>
      </c>
      <c r="B25726" s="74" t="s">
        <v>608</v>
      </c>
      <c r="C25726" s="74" t="s">
        <v>437</v>
      </c>
    </row>
    <row r="25727" spans="1:3">
      <c r="A25727" s="250">
        <v>59834</v>
      </c>
      <c r="B25727" s="74" t="s">
        <v>2572</v>
      </c>
      <c r="C25727" s="74" t="s">
        <v>437</v>
      </c>
    </row>
    <row r="25728" spans="1:3">
      <c r="A25728" s="250">
        <v>59835</v>
      </c>
      <c r="B25728" s="74" t="s">
        <v>13397</v>
      </c>
      <c r="C25728" s="74" t="s">
        <v>437</v>
      </c>
    </row>
    <row r="25729" spans="1:3">
      <c r="A25729" s="250">
        <v>59837</v>
      </c>
      <c r="B25729" s="74" t="s">
        <v>3777</v>
      </c>
      <c r="C25729" s="74" t="s">
        <v>437</v>
      </c>
    </row>
    <row r="25730" spans="1:3">
      <c r="A25730" s="250">
        <v>59840</v>
      </c>
      <c r="B25730" s="74" t="s">
        <v>844</v>
      </c>
      <c r="C25730" s="74" t="s">
        <v>437</v>
      </c>
    </row>
    <row r="25731" spans="1:3">
      <c r="A25731" s="250">
        <v>59841</v>
      </c>
      <c r="B25731" s="74" t="s">
        <v>13398</v>
      </c>
      <c r="C25731" s="74" t="s">
        <v>437</v>
      </c>
    </row>
    <row r="25732" spans="1:3">
      <c r="A25732" s="250">
        <v>59842</v>
      </c>
      <c r="B25732" s="74" t="s">
        <v>13399</v>
      </c>
      <c r="C25732" s="74" t="s">
        <v>437</v>
      </c>
    </row>
    <row r="25733" spans="1:3">
      <c r="A25733" s="250">
        <v>59843</v>
      </c>
      <c r="B25733" s="74" t="s">
        <v>13400</v>
      </c>
      <c r="C25733" s="74" t="s">
        <v>437</v>
      </c>
    </row>
    <row r="25734" spans="1:3">
      <c r="A25734" s="250">
        <v>59844</v>
      </c>
      <c r="B25734" s="74" t="s">
        <v>13401</v>
      </c>
      <c r="C25734" s="74" t="s">
        <v>437</v>
      </c>
    </row>
    <row r="25735" spans="1:3">
      <c r="A25735" s="250">
        <v>59845</v>
      </c>
      <c r="B25735" s="74" t="s">
        <v>6392</v>
      </c>
      <c r="C25735" s="74" t="s">
        <v>437</v>
      </c>
    </row>
    <row r="25736" spans="1:3">
      <c r="A25736" s="250">
        <v>59846</v>
      </c>
      <c r="B25736" s="74" t="s">
        <v>13402</v>
      </c>
      <c r="C25736" s="74" t="s">
        <v>437</v>
      </c>
    </row>
    <row r="25737" spans="1:3">
      <c r="A25737" s="250">
        <v>59847</v>
      </c>
      <c r="B25737" s="74" t="s">
        <v>13403</v>
      </c>
      <c r="C25737" s="74" t="s">
        <v>437</v>
      </c>
    </row>
    <row r="25738" spans="1:3">
      <c r="A25738" s="250">
        <v>59848</v>
      </c>
      <c r="B25738" s="74" t="s">
        <v>13404</v>
      </c>
      <c r="C25738" s="74" t="s">
        <v>437</v>
      </c>
    </row>
    <row r="25739" spans="1:3">
      <c r="A25739" s="250">
        <v>59851</v>
      </c>
      <c r="B25739" s="74" t="s">
        <v>2583</v>
      </c>
      <c r="C25739" s="74" t="s">
        <v>437</v>
      </c>
    </row>
    <row r="25740" spans="1:3">
      <c r="A25740" s="250">
        <v>59853</v>
      </c>
      <c r="B25740" s="74" t="s">
        <v>13405</v>
      </c>
      <c r="C25740" s="74" t="s">
        <v>437</v>
      </c>
    </row>
    <row r="25741" spans="1:3">
      <c r="A25741" s="250">
        <v>59854</v>
      </c>
      <c r="B25741" s="74" t="s">
        <v>13406</v>
      </c>
      <c r="C25741" s="74" t="s">
        <v>437</v>
      </c>
    </row>
    <row r="25742" spans="1:3">
      <c r="A25742" s="250">
        <v>59855</v>
      </c>
      <c r="B25742" s="74" t="s">
        <v>13407</v>
      </c>
      <c r="C25742" s="74" t="s">
        <v>437</v>
      </c>
    </row>
    <row r="25743" spans="1:3">
      <c r="A25743" s="250">
        <v>59856</v>
      </c>
      <c r="B25743" s="74" t="s">
        <v>4877</v>
      </c>
      <c r="C25743" s="74" t="s">
        <v>437</v>
      </c>
    </row>
    <row r="25744" spans="1:3">
      <c r="A25744" s="250">
        <v>59858</v>
      </c>
      <c r="B25744" s="74" t="s">
        <v>4648</v>
      </c>
      <c r="C25744" s="74" t="s">
        <v>437</v>
      </c>
    </row>
    <row r="25745" spans="1:3">
      <c r="A25745" s="250">
        <v>59859</v>
      </c>
      <c r="B25745" s="74" t="s">
        <v>8186</v>
      </c>
      <c r="C25745" s="74" t="s">
        <v>437</v>
      </c>
    </row>
    <row r="25746" spans="1:3">
      <c r="A25746" s="250">
        <v>59860</v>
      </c>
      <c r="B25746" s="74" t="s">
        <v>13408</v>
      </c>
      <c r="C25746" s="74" t="s">
        <v>437</v>
      </c>
    </row>
    <row r="25747" spans="1:3">
      <c r="A25747" s="250">
        <v>59863</v>
      </c>
      <c r="B25747" s="74" t="s">
        <v>13409</v>
      </c>
      <c r="C25747" s="74" t="s">
        <v>437</v>
      </c>
    </row>
    <row r="25748" spans="1:3">
      <c r="A25748" s="250">
        <v>59864</v>
      </c>
      <c r="B25748" s="74" t="s">
        <v>13410</v>
      </c>
      <c r="C25748" s="74" t="s">
        <v>437</v>
      </c>
    </row>
    <row r="25749" spans="1:3">
      <c r="A25749" s="250">
        <v>59865</v>
      </c>
      <c r="B25749" s="74" t="s">
        <v>13411</v>
      </c>
      <c r="C25749" s="74" t="s">
        <v>437</v>
      </c>
    </row>
    <row r="25750" spans="1:3">
      <c r="A25750" s="250">
        <v>59866</v>
      </c>
      <c r="B25750" s="74" t="s">
        <v>13412</v>
      </c>
      <c r="C25750" s="74" t="s">
        <v>437</v>
      </c>
    </row>
    <row r="25751" spans="1:3">
      <c r="A25751" s="250">
        <v>59867</v>
      </c>
      <c r="B25751" s="74" t="s">
        <v>13413</v>
      </c>
      <c r="C25751" s="74" t="s">
        <v>437</v>
      </c>
    </row>
    <row r="25752" spans="1:3">
      <c r="A25752" s="250">
        <v>59868</v>
      </c>
      <c r="B25752" s="74" t="s">
        <v>13414</v>
      </c>
      <c r="C25752" s="74" t="s">
        <v>437</v>
      </c>
    </row>
    <row r="25753" spans="1:3">
      <c r="A25753" s="250">
        <v>59870</v>
      </c>
      <c r="B25753" s="74" t="s">
        <v>5251</v>
      </c>
      <c r="C25753" s="74" t="s">
        <v>437</v>
      </c>
    </row>
    <row r="25754" spans="1:3">
      <c r="A25754" s="250">
        <v>59871</v>
      </c>
      <c r="B25754" s="74" t="s">
        <v>13415</v>
      </c>
      <c r="C25754" s="74" t="s">
        <v>437</v>
      </c>
    </row>
    <row r="25755" spans="1:3">
      <c r="A25755" s="250">
        <v>59872</v>
      </c>
      <c r="B25755" s="74" t="s">
        <v>11744</v>
      </c>
      <c r="C25755" s="74" t="s">
        <v>437</v>
      </c>
    </row>
    <row r="25756" spans="1:3">
      <c r="A25756" s="250">
        <v>59873</v>
      </c>
      <c r="B25756" s="74" t="s">
        <v>13416</v>
      </c>
      <c r="C25756" s="74" t="s">
        <v>437</v>
      </c>
    </row>
    <row r="25757" spans="1:3">
      <c r="A25757" s="250">
        <v>59874</v>
      </c>
      <c r="B25757" s="74" t="s">
        <v>3655</v>
      </c>
      <c r="C25757" s="74" t="s">
        <v>437</v>
      </c>
    </row>
    <row r="25758" spans="1:3">
      <c r="A25758" s="250">
        <v>59875</v>
      </c>
      <c r="B25758" s="74" t="s">
        <v>3832</v>
      </c>
      <c r="C25758" s="74" t="s">
        <v>437</v>
      </c>
    </row>
    <row r="25759" spans="1:3">
      <c r="A25759" s="250">
        <v>59901</v>
      </c>
      <c r="B25759" s="74" t="s">
        <v>13417</v>
      </c>
      <c r="C25759" s="74" t="s">
        <v>437</v>
      </c>
    </row>
    <row r="25760" spans="1:3">
      <c r="A25760" s="250">
        <v>59903</v>
      </c>
      <c r="B25760" s="74" t="s">
        <v>13417</v>
      </c>
      <c r="C25760" s="74" t="s">
        <v>437</v>
      </c>
    </row>
    <row r="25761" spans="1:3">
      <c r="A25761" s="250">
        <v>59904</v>
      </c>
      <c r="B25761" s="74" t="s">
        <v>13417</v>
      </c>
      <c r="C25761" s="74" t="s">
        <v>437</v>
      </c>
    </row>
    <row r="25762" spans="1:3">
      <c r="A25762" s="250">
        <v>59910</v>
      </c>
      <c r="B25762" s="74" t="s">
        <v>13418</v>
      </c>
      <c r="C25762" s="74" t="s">
        <v>437</v>
      </c>
    </row>
    <row r="25763" spans="1:3">
      <c r="A25763" s="250">
        <v>59911</v>
      </c>
      <c r="B25763" s="74" t="s">
        <v>12738</v>
      </c>
      <c r="C25763" s="74" t="s">
        <v>437</v>
      </c>
    </row>
    <row r="25764" spans="1:3">
      <c r="A25764" s="250">
        <v>59912</v>
      </c>
      <c r="B25764" s="74" t="s">
        <v>1575</v>
      </c>
      <c r="C25764" s="74" t="s">
        <v>437</v>
      </c>
    </row>
    <row r="25765" spans="1:3">
      <c r="A25765" s="250">
        <v>59913</v>
      </c>
      <c r="B25765" s="74" t="s">
        <v>2820</v>
      </c>
      <c r="C25765" s="74" t="s">
        <v>437</v>
      </c>
    </row>
    <row r="25766" spans="1:3">
      <c r="A25766" s="250">
        <v>59914</v>
      </c>
      <c r="B25766" s="74" t="s">
        <v>2564</v>
      </c>
      <c r="C25766" s="74" t="s">
        <v>437</v>
      </c>
    </row>
    <row r="25767" spans="1:3">
      <c r="A25767" s="250">
        <v>59915</v>
      </c>
      <c r="B25767" s="74" t="s">
        <v>13419</v>
      </c>
      <c r="C25767" s="74" t="s">
        <v>437</v>
      </c>
    </row>
    <row r="25768" spans="1:3">
      <c r="A25768" s="250">
        <v>59916</v>
      </c>
      <c r="B25768" s="74" t="s">
        <v>842</v>
      </c>
      <c r="C25768" s="74" t="s">
        <v>437</v>
      </c>
    </row>
    <row r="25769" spans="1:3">
      <c r="A25769" s="250">
        <v>59917</v>
      </c>
      <c r="B25769" s="74" t="s">
        <v>11160</v>
      </c>
      <c r="C25769" s="74" t="s">
        <v>437</v>
      </c>
    </row>
    <row r="25770" spans="1:3">
      <c r="A25770" s="250">
        <v>59918</v>
      </c>
      <c r="B25770" s="74" t="s">
        <v>13420</v>
      </c>
      <c r="C25770" s="74" t="s">
        <v>437</v>
      </c>
    </row>
    <row r="25771" spans="1:3">
      <c r="A25771" s="250">
        <v>59919</v>
      </c>
      <c r="B25771" s="74" t="s">
        <v>13421</v>
      </c>
      <c r="C25771" s="74" t="s">
        <v>437</v>
      </c>
    </row>
    <row r="25772" spans="1:3">
      <c r="A25772" s="250">
        <v>59920</v>
      </c>
      <c r="B25772" s="74" t="s">
        <v>13422</v>
      </c>
      <c r="C25772" s="74" t="s">
        <v>437</v>
      </c>
    </row>
    <row r="25773" spans="1:3">
      <c r="A25773" s="250">
        <v>59921</v>
      </c>
      <c r="B25773" s="74" t="s">
        <v>13423</v>
      </c>
      <c r="C25773" s="74" t="s">
        <v>437</v>
      </c>
    </row>
    <row r="25774" spans="1:3">
      <c r="A25774" s="250">
        <v>59922</v>
      </c>
      <c r="B25774" s="74" t="s">
        <v>2085</v>
      </c>
      <c r="C25774" s="74" t="s">
        <v>437</v>
      </c>
    </row>
    <row r="25775" spans="1:3">
      <c r="A25775" s="250">
        <v>59923</v>
      </c>
      <c r="B25775" s="74" t="s">
        <v>13424</v>
      </c>
      <c r="C25775" s="74" t="s">
        <v>437</v>
      </c>
    </row>
    <row r="25776" spans="1:3">
      <c r="A25776" s="250">
        <v>59925</v>
      </c>
      <c r="B25776" s="74" t="s">
        <v>1071</v>
      </c>
      <c r="C25776" s="74" t="s">
        <v>437</v>
      </c>
    </row>
    <row r="25777" spans="1:3">
      <c r="A25777" s="250">
        <v>59926</v>
      </c>
      <c r="B25777" s="74" t="s">
        <v>13425</v>
      </c>
      <c r="C25777" s="74" t="s">
        <v>437</v>
      </c>
    </row>
    <row r="25778" spans="1:3">
      <c r="A25778" s="250">
        <v>59927</v>
      </c>
      <c r="B25778" s="74" t="s">
        <v>5629</v>
      </c>
      <c r="C25778" s="74" t="s">
        <v>437</v>
      </c>
    </row>
    <row r="25779" spans="1:3">
      <c r="A25779" s="250">
        <v>59928</v>
      </c>
      <c r="B25779" s="74" t="s">
        <v>13426</v>
      </c>
      <c r="C25779" s="74" t="s">
        <v>437</v>
      </c>
    </row>
    <row r="25780" spans="1:3">
      <c r="A25780" s="250">
        <v>59929</v>
      </c>
      <c r="B25780" s="74" t="s">
        <v>1887</v>
      </c>
      <c r="C25780" s="74" t="s">
        <v>437</v>
      </c>
    </row>
    <row r="25781" spans="1:3">
      <c r="A25781" s="250">
        <v>59930</v>
      </c>
      <c r="B25781" s="74" t="s">
        <v>2995</v>
      </c>
      <c r="C25781" s="74" t="s">
        <v>437</v>
      </c>
    </row>
    <row r="25782" spans="1:3">
      <c r="A25782" s="250">
        <v>59931</v>
      </c>
      <c r="B25782" s="74" t="s">
        <v>13427</v>
      </c>
      <c r="C25782" s="74" t="s">
        <v>437</v>
      </c>
    </row>
    <row r="25783" spans="1:3">
      <c r="A25783" s="250">
        <v>59932</v>
      </c>
      <c r="B25783" s="74" t="s">
        <v>1957</v>
      </c>
      <c r="C25783" s="74" t="s">
        <v>437</v>
      </c>
    </row>
    <row r="25784" spans="1:3">
      <c r="A25784" s="250">
        <v>59933</v>
      </c>
      <c r="B25784" s="74" t="s">
        <v>10211</v>
      </c>
      <c r="C25784" s="74" t="s">
        <v>437</v>
      </c>
    </row>
    <row r="25785" spans="1:3">
      <c r="A25785" s="250">
        <v>59934</v>
      </c>
      <c r="B25785" s="74" t="s">
        <v>12320</v>
      </c>
      <c r="C25785" s="74" t="s">
        <v>437</v>
      </c>
    </row>
    <row r="25786" spans="1:3">
      <c r="A25786" s="250">
        <v>59935</v>
      </c>
      <c r="B25786" s="74" t="s">
        <v>1243</v>
      </c>
      <c r="C25786" s="74" t="s">
        <v>437</v>
      </c>
    </row>
    <row r="25787" spans="1:3">
      <c r="A25787" s="250">
        <v>59936</v>
      </c>
      <c r="B25787" s="74" t="s">
        <v>13428</v>
      </c>
      <c r="C25787" s="74" t="s">
        <v>437</v>
      </c>
    </row>
    <row r="25788" spans="1:3">
      <c r="A25788" s="250">
        <v>59937</v>
      </c>
      <c r="B25788" s="74" t="s">
        <v>13429</v>
      </c>
      <c r="C25788" s="74" t="s">
        <v>437</v>
      </c>
    </row>
    <row r="25789" spans="1:3">
      <c r="A25789" s="250">
        <v>60001</v>
      </c>
      <c r="B25789" s="74" t="s">
        <v>3668</v>
      </c>
      <c r="C25789" s="74" t="s">
        <v>424</v>
      </c>
    </row>
    <row r="25790" spans="1:3">
      <c r="A25790" s="250">
        <v>60002</v>
      </c>
      <c r="B25790" s="74" t="s">
        <v>8983</v>
      </c>
      <c r="C25790" s="74" t="s">
        <v>424</v>
      </c>
    </row>
    <row r="25791" spans="1:3">
      <c r="A25791" s="250">
        <v>60004</v>
      </c>
      <c r="B25791" s="74" t="s">
        <v>985</v>
      </c>
      <c r="C25791" s="74" t="s">
        <v>424</v>
      </c>
    </row>
    <row r="25792" spans="1:3">
      <c r="A25792" s="250">
        <v>60005</v>
      </c>
      <c r="B25792" s="74" t="s">
        <v>985</v>
      </c>
      <c r="C25792" s="74" t="s">
        <v>424</v>
      </c>
    </row>
    <row r="25793" spans="1:3">
      <c r="A25793" s="250">
        <v>60006</v>
      </c>
      <c r="B25793" s="74" t="s">
        <v>985</v>
      </c>
      <c r="C25793" s="74" t="s">
        <v>424</v>
      </c>
    </row>
    <row r="25794" spans="1:3">
      <c r="A25794" s="250">
        <v>60007</v>
      </c>
      <c r="B25794" s="74" t="s">
        <v>13430</v>
      </c>
      <c r="C25794" s="74" t="s">
        <v>424</v>
      </c>
    </row>
    <row r="25795" spans="1:3">
      <c r="A25795" s="250">
        <v>60008</v>
      </c>
      <c r="B25795" s="74" t="s">
        <v>13431</v>
      </c>
      <c r="C25795" s="74" t="s">
        <v>424</v>
      </c>
    </row>
    <row r="25796" spans="1:3">
      <c r="A25796" s="250">
        <v>60009</v>
      </c>
      <c r="B25796" s="74" t="s">
        <v>13430</v>
      </c>
      <c r="C25796" s="74" t="s">
        <v>424</v>
      </c>
    </row>
    <row r="25797" spans="1:3">
      <c r="A25797" s="250">
        <v>60010</v>
      </c>
      <c r="B25797" s="74" t="s">
        <v>1095</v>
      </c>
      <c r="C25797" s="74" t="s">
        <v>424</v>
      </c>
    </row>
    <row r="25798" spans="1:3">
      <c r="A25798" s="250">
        <v>60011</v>
      </c>
      <c r="B25798" s="74" t="s">
        <v>1095</v>
      </c>
      <c r="C25798" s="74" t="s">
        <v>424</v>
      </c>
    </row>
    <row r="25799" spans="1:3">
      <c r="A25799" s="250">
        <v>60012</v>
      </c>
      <c r="B25799" s="74" t="s">
        <v>11574</v>
      </c>
      <c r="C25799" s="74" t="s">
        <v>424</v>
      </c>
    </row>
    <row r="25800" spans="1:3">
      <c r="A25800" s="250">
        <v>60013</v>
      </c>
      <c r="B25800" s="74" t="s">
        <v>7142</v>
      </c>
      <c r="C25800" s="74" t="s">
        <v>424</v>
      </c>
    </row>
    <row r="25801" spans="1:3">
      <c r="A25801" s="250">
        <v>60014</v>
      </c>
      <c r="B25801" s="74" t="s">
        <v>11574</v>
      </c>
      <c r="C25801" s="74" t="s">
        <v>424</v>
      </c>
    </row>
    <row r="25802" spans="1:3">
      <c r="A25802" s="250">
        <v>60015</v>
      </c>
      <c r="B25802" s="74" t="s">
        <v>678</v>
      </c>
      <c r="C25802" s="74" t="s">
        <v>424</v>
      </c>
    </row>
    <row r="25803" spans="1:3">
      <c r="A25803" s="250">
        <v>60016</v>
      </c>
      <c r="B25803" s="74" t="s">
        <v>13432</v>
      </c>
      <c r="C25803" s="74" t="s">
        <v>424</v>
      </c>
    </row>
    <row r="25804" spans="1:3">
      <c r="A25804" s="250">
        <v>60017</v>
      </c>
      <c r="B25804" s="74" t="s">
        <v>13432</v>
      </c>
      <c r="C25804" s="74" t="s">
        <v>424</v>
      </c>
    </row>
    <row r="25805" spans="1:3">
      <c r="A25805" s="250">
        <v>60018</v>
      </c>
      <c r="B25805" s="74" t="s">
        <v>13432</v>
      </c>
      <c r="C25805" s="74" t="s">
        <v>424</v>
      </c>
    </row>
    <row r="25806" spans="1:3">
      <c r="A25806" s="250">
        <v>60019</v>
      </c>
      <c r="B25806" s="74" t="s">
        <v>13432</v>
      </c>
      <c r="C25806" s="74" t="s">
        <v>424</v>
      </c>
    </row>
    <row r="25807" spans="1:3">
      <c r="A25807" s="250">
        <v>60020</v>
      </c>
      <c r="B25807" s="74" t="s">
        <v>12058</v>
      </c>
      <c r="C25807" s="74" t="s">
        <v>424</v>
      </c>
    </row>
    <row r="25808" spans="1:3">
      <c r="A25808" s="250">
        <v>60021</v>
      </c>
      <c r="B25808" s="74" t="s">
        <v>13433</v>
      </c>
      <c r="C25808" s="74" t="s">
        <v>424</v>
      </c>
    </row>
    <row r="25809" spans="1:3">
      <c r="A25809" s="250">
        <v>60022</v>
      </c>
      <c r="B25809" s="74" t="s">
        <v>9736</v>
      </c>
      <c r="C25809" s="74" t="s">
        <v>424</v>
      </c>
    </row>
    <row r="25810" spans="1:3">
      <c r="A25810" s="250">
        <v>60025</v>
      </c>
      <c r="B25810" s="74" t="s">
        <v>9581</v>
      </c>
      <c r="C25810" s="74" t="s">
        <v>424</v>
      </c>
    </row>
    <row r="25811" spans="1:3">
      <c r="A25811" s="250">
        <v>60026</v>
      </c>
      <c r="B25811" s="74" t="s">
        <v>9581</v>
      </c>
      <c r="C25811" s="74" t="s">
        <v>424</v>
      </c>
    </row>
    <row r="25812" spans="1:3">
      <c r="A25812" s="250">
        <v>60029</v>
      </c>
      <c r="B25812" s="74" t="s">
        <v>13434</v>
      </c>
      <c r="C25812" s="74" t="s">
        <v>424</v>
      </c>
    </row>
    <row r="25813" spans="1:3">
      <c r="A25813" s="250">
        <v>60030</v>
      </c>
      <c r="B25813" s="74" t="s">
        <v>13435</v>
      </c>
      <c r="C25813" s="74" t="s">
        <v>424</v>
      </c>
    </row>
    <row r="25814" spans="1:3">
      <c r="A25814" s="250">
        <v>60031</v>
      </c>
      <c r="B25814" s="74" t="s">
        <v>13436</v>
      </c>
      <c r="C25814" s="74" t="s">
        <v>424</v>
      </c>
    </row>
    <row r="25815" spans="1:3">
      <c r="A25815" s="250">
        <v>60033</v>
      </c>
      <c r="B25815" s="74" t="s">
        <v>710</v>
      </c>
      <c r="C25815" s="74" t="s">
        <v>424</v>
      </c>
    </row>
    <row r="25816" spans="1:3">
      <c r="A25816" s="250">
        <v>60034</v>
      </c>
      <c r="B25816" s="74" t="s">
        <v>1190</v>
      </c>
      <c r="C25816" s="74" t="s">
        <v>424</v>
      </c>
    </row>
    <row r="25817" spans="1:3">
      <c r="A25817" s="250">
        <v>60035</v>
      </c>
      <c r="B25817" s="74" t="s">
        <v>2610</v>
      </c>
      <c r="C25817" s="74" t="s">
        <v>424</v>
      </c>
    </row>
    <row r="25818" spans="1:3">
      <c r="A25818" s="250">
        <v>60037</v>
      </c>
      <c r="B25818" s="74" t="s">
        <v>13437</v>
      </c>
      <c r="C25818" s="74" t="s">
        <v>424</v>
      </c>
    </row>
    <row r="25819" spans="1:3">
      <c r="A25819" s="250">
        <v>60038</v>
      </c>
      <c r="B25819" s="74" t="s">
        <v>13438</v>
      </c>
      <c r="C25819" s="74" t="s">
        <v>424</v>
      </c>
    </row>
    <row r="25820" spans="1:3">
      <c r="A25820" s="250">
        <v>60039</v>
      </c>
      <c r="B25820" s="74" t="s">
        <v>11574</v>
      </c>
      <c r="C25820" s="74" t="s">
        <v>424</v>
      </c>
    </row>
    <row r="25821" spans="1:3">
      <c r="A25821" s="250">
        <v>60040</v>
      </c>
      <c r="B25821" s="74" t="s">
        <v>13320</v>
      </c>
      <c r="C25821" s="74" t="s">
        <v>424</v>
      </c>
    </row>
    <row r="25822" spans="1:3">
      <c r="A25822" s="250">
        <v>60041</v>
      </c>
      <c r="B25822" s="74" t="s">
        <v>5760</v>
      </c>
      <c r="C25822" s="74" t="s">
        <v>424</v>
      </c>
    </row>
    <row r="25823" spans="1:3">
      <c r="A25823" s="250">
        <v>60042</v>
      </c>
      <c r="B25823" s="74" t="s">
        <v>13439</v>
      </c>
      <c r="C25823" s="74" t="s">
        <v>424</v>
      </c>
    </row>
    <row r="25824" spans="1:3">
      <c r="A25824" s="250">
        <v>60043</v>
      </c>
      <c r="B25824" s="74" t="s">
        <v>2131</v>
      </c>
      <c r="C25824" s="74" t="s">
        <v>424</v>
      </c>
    </row>
    <row r="25825" spans="1:3">
      <c r="A25825" s="250">
        <v>60044</v>
      </c>
      <c r="B25825" s="74" t="s">
        <v>13440</v>
      </c>
      <c r="C25825" s="74" t="s">
        <v>424</v>
      </c>
    </row>
    <row r="25826" spans="1:3">
      <c r="A25826" s="250">
        <v>60045</v>
      </c>
      <c r="B25826" s="74" t="s">
        <v>13441</v>
      </c>
      <c r="C25826" s="74" t="s">
        <v>424</v>
      </c>
    </row>
    <row r="25827" spans="1:3">
      <c r="A25827" s="250">
        <v>60046</v>
      </c>
      <c r="B25827" s="74" t="s">
        <v>13442</v>
      </c>
      <c r="C25827" s="74" t="s">
        <v>424</v>
      </c>
    </row>
    <row r="25828" spans="1:3">
      <c r="A25828" s="250">
        <v>60047</v>
      </c>
      <c r="B25828" s="74" t="s">
        <v>13443</v>
      </c>
      <c r="C25828" s="74" t="s">
        <v>424</v>
      </c>
    </row>
    <row r="25829" spans="1:3">
      <c r="A25829" s="250">
        <v>60048</v>
      </c>
      <c r="B25829" s="74" t="s">
        <v>11891</v>
      </c>
      <c r="C25829" s="74" t="s">
        <v>424</v>
      </c>
    </row>
    <row r="25830" spans="1:3">
      <c r="A25830" s="250">
        <v>60049</v>
      </c>
      <c r="B25830" s="74" t="s">
        <v>13443</v>
      </c>
      <c r="C25830" s="74" t="s">
        <v>424</v>
      </c>
    </row>
    <row r="25831" spans="1:3">
      <c r="A25831" s="250">
        <v>60050</v>
      </c>
      <c r="B25831" s="74" t="s">
        <v>13115</v>
      </c>
      <c r="C25831" s="74" t="s">
        <v>424</v>
      </c>
    </row>
    <row r="25832" spans="1:3">
      <c r="A25832" s="250">
        <v>60051</v>
      </c>
      <c r="B25832" s="74" t="s">
        <v>13115</v>
      </c>
      <c r="C25832" s="74" t="s">
        <v>424</v>
      </c>
    </row>
    <row r="25833" spans="1:3">
      <c r="A25833" s="250">
        <v>60053</v>
      </c>
      <c r="B25833" s="74" t="s">
        <v>13444</v>
      </c>
      <c r="C25833" s="74" t="s">
        <v>424</v>
      </c>
    </row>
    <row r="25834" spans="1:3">
      <c r="A25834" s="250">
        <v>60055</v>
      </c>
      <c r="B25834" s="74" t="s">
        <v>13438</v>
      </c>
      <c r="C25834" s="74" t="s">
        <v>424</v>
      </c>
    </row>
    <row r="25835" spans="1:3">
      <c r="A25835" s="250">
        <v>60056</v>
      </c>
      <c r="B25835" s="74" t="s">
        <v>13445</v>
      </c>
      <c r="C25835" s="74" t="s">
        <v>424</v>
      </c>
    </row>
    <row r="25836" spans="1:3">
      <c r="A25836" s="250">
        <v>60060</v>
      </c>
      <c r="B25836" s="74" t="s">
        <v>13446</v>
      </c>
      <c r="C25836" s="74" t="s">
        <v>424</v>
      </c>
    </row>
    <row r="25837" spans="1:3">
      <c r="A25837" s="250">
        <v>60061</v>
      </c>
      <c r="B25837" s="74" t="s">
        <v>13447</v>
      </c>
      <c r="C25837" s="74" t="s">
        <v>424</v>
      </c>
    </row>
    <row r="25838" spans="1:3">
      <c r="A25838" s="250">
        <v>60062</v>
      </c>
      <c r="B25838" s="74" t="s">
        <v>13448</v>
      </c>
      <c r="C25838" s="74" t="s">
        <v>424</v>
      </c>
    </row>
    <row r="25839" spans="1:3">
      <c r="A25839" s="250">
        <v>60064</v>
      </c>
      <c r="B25839" s="74" t="s">
        <v>13449</v>
      </c>
      <c r="C25839" s="74" t="s">
        <v>424</v>
      </c>
    </row>
    <row r="25840" spans="1:3">
      <c r="A25840" s="250">
        <v>60065</v>
      </c>
      <c r="B25840" s="74" t="s">
        <v>13448</v>
      </c>
      <c r="C25840" s="74" t="s">
        <v>424</v>
      </c>
    </row>
    <row r="25841" spans="1:3">
      <c r="A25841" s="250">
        <v>60067</v>
      </c>
      <c r="B25841" s="74" t="s">
        <v>13438</v>
      </c>
      <c r="C25841" s="74" t="s">
        <v>424</v>
      </c>
    </row>
    <row r="25842" spans="1:3">
      <c r="A25842" s="250">
        <v>60068</v>
      </c>
      <c r="B25842" s="74" t="s">
        <v>2244</v>
      </c>
      <c r="C25842" s="74" t="s">
        <v>424</v>
      </c>
    </row>
    <row r="25843" spans="1:3">
      <c r="A25843" s="250">
        <v>60069</v>
      </c>
      <c r="B25843" s="74" t="s">
        <v>13450</v>
      </c>
      <c r="C25843" s="74" t="s">
        <v>424</v>
      </c>
    </row>
    <row r="25844" spans="1:3">
      <c r="A25844" s="250">
        <v>60070</v>
      </c>
      <c r="B25844" s="74" t="s">
        <v>13451</v>
      </c>
      <c r="C25844" s="74" t="s">
        <v>424</v>
      </c>
    </row>
    <row r="25845" spans="1:3">
      <c r="A25845" s="250">
        <v>60071</v>
      </c>
      <c r="B25845" s="74" t="s">
        <v>658</v>
      </c>
      <c r="C25845" s="74" t="s">
        <v>424</v>
      </c>
    </row>
    <row r="25846" spans="1:3">
      <c r="A25846" s="250">
        <v>60072</v>
      </c>
      <c r="B25846" s="74" t="s">
        <v>2206</v>
      </c>
      <c r="C25846" s="74" t="s">
        <v>424</v>
      </c>
    </row>
    <row r="25847" spans="1:3">
      <c r="A25847" s="250">
        <v>60073</v>
      </c>
      <c r="B25847" s="74" t="s">
        <v>2998</v>
      </c>
      <c r="C25847" s="74" t="s">
        <v>424</v>
      </c>
    </row>
    <row r="25848" spans="1:3">
      <c r="A25848" s="250">
        <v>60074</v>
      </c>
      <c r="B25848" s="74" t="s">
        <v>13438</v>
      </c>
      <c r="C25848" s="74" t="s">
        <v>424</v>
      </c>
    </row>
    <row r="25849" spans="1:3">
      <c r="A25849" s="250">
        <v>60075</v>
      </c>
      <c r="B25849" s="74" t="s">
        <v>612</v>
      </c>
      <c r="C25849" s="74" t="s">
        <v>424</v>
      </c>
    </row>
    <row r="25850" spans="1:3">
      <c r="A25850" s="250">
        <v>60076</v>
      </c>
      <c r="B25850" s="74" t="s">
        <v>13452</v>
      </c>
      <c r="C25850" s="74" t="s">
        <v>424</v>
      </c>
    </row>
    <row r="25851" spans="1:3">
      <c r="A25851" s="250">
        <v>60077</v>
      </c>
      <c r="B25851" s="74" t="s">
        <v>13452</v>
      </c>
      <c r="C25851" s="74" t="s">
        <v>424</v>
      </c>
    </row>
    <row r="25852" spans="1:3">
      <c r="A25852" s="250">
        <v>60078</v>
      </c>
      <c r="B25852" s="74" t="s">
        <v>13438</v>
      </c>
      <c r="C25852" s="74" t="s">
        <v>424</v>
      </c>
    </row>
    <row r="25853" spans="1:3">
      <c r="A25853" s="250">
        <v>60079</v>
      </c>
      <c r="B25853" s="74" t="s">
        <v>13453</v>
      </c>
      <c r="C25853" s="74" t="s">
        <v>424</v>
      </c>
    </row>
    <row r="25854" spans="1:3">
      <c r="A25854" s="250">
        <v>60081</v>
      </c>
      <c r="B25854" s="74" t="s">
        <v>4839</v>
      </c>
      <c r="C25854" s="74" t="s">
        <v>424</v>
      </c>
    </row>
    <row r="25855" spans="1:3">
      <c r="A25855" s="250">
        <v>60082</v>
      </c>
      <c r="B25855" s="74" t="s">
        <v>13454</v>
      </c>
      <c r="C25855" s="74" t="s">
        <v>424</v>
      </c>
    </row>
    <row r="25856" spans="1:3">
      <c r="A25856" s="250">
        <v>60083</v>
      </c>
      <c r="B25856" s="74" t="s">
        <v>10351</v>
      </c>
      <c r="C25856" s="74" t="s">
        <v>424</v>
      </c>
    </row>
    <row r="25857" spans="1:3">
      <c r="A25857" s="250">
        <v>60084</v>
      </c>
      <c r="B25857" s="74" t="s">
        <v>13455</v>
      </c>
      <c r="C25857" s="74" t="s">
        <v>424</v>
      </c>
    </row>
    <row r="25858" spans="1:3">
      <c r="A25858" s="250">
        <v>60085</v>
      </c>
      <c r="B25858" s="74" t="s">
        <v>13453</v>
      </c>
      <c r="C25858" s="74" t="s">
        <v>424</v>
      </c>
    </row>
    <row r="25859" spans="1:3">
      <c r="A25859" s="250">
        <v>60086</v>
      </c>
      <c r="B25859" s="74" t="s">
        <v>13449</v>
      </c>
      <c r="C25859" s="74" t="s">
        <v>424</v>
      </c>
    </row>
    <row r="25860" spans="1:3">
      <c r="A25860" s="250">
        <v>60087</v>
      </c>
      <c r="B25860" s="74" t="s">
        <v>13453</v>
      </c>
      <c r="C25860" s="74" t="s">
        <v>424</v>
      </c>
    </row>
    <row r="25861" spans="1:3">
      <c r="A25861" s="250">
        <v>60088</v>
      </c>
      <c r="B25861" s="74" t="s">
        <v>13456</v>
      </c>
      <c r="C25861" s="74" t="s">
        <v>424</v>
      </c>
    </row>
    <row r="25862" spans="1:3">
      <c r="A25862" s="250">
        <v>60089</v>
      </c>
      <c r="B25862" s="74" t="s">
        <v>13457</v>
      </c>
      <c r="C25862" s="74" t="s">
        <v>424</v>
      </c>
    </row>
    <row r="25863" spans="1:3">
      <c r="A25863" s="250">
        <v>60090</v>
      </c>
      <c r="B25863" s="74" t="s">
        <v>6848</v>
      </c>
      <c r="C25863" s="74" t="s">
        <v>424</v>
      </c>
    </row>
    <row r="25864" spans="1:3">
      <c r="A25864" s="250">
        <v>60091</v>
      </c>
      <c r="B25864" s="74" t="s">
        <v>13458</v>
      </c>
      <c r="C25864" s="74" t="s">
        <v>424</v>
      </c>
    </row>
    <row r="25865" spans="1:3">
      <c r="A25865" s="250">
        <v>60092</v>
      </c>
      <c r="B25865" s="74" t="s">
        <v>11891</v>
      </c>
      <c r="C25865" s="74" t="s">
        <v>424</v>
      </c>
    </row>
    <row r="25866" spans="1:3">
      <c r="A25866" s="250">
        <v>60093</v>
      </c>
      <c r="B25866" s="74" t="s">
        <v>13459</v>
      </c>
      <c r="C25866" s="74" t="s">
        <v>424</v>
      </c>
    </row>
    <row r="25867" spans="1:3">
      <c r="A25867" s="250">
        <v>60094</v>
      </c>
      <c r="B25867" s="74" t="s">
        <v>13438</v>
      </c>
      <c r="C25867" s="74" t="s">
        <v>424</v>
      </c>
    </row>
    <row r="25868" spans="1:3">
      <c r="A25868" s="250">
        <v>60095</v>
      </c>
      <c r="B25868" s="74" t="s">
        <v>13438</v>
      </c>
      <c r="C25868" s="74" t="s">
        <v>424</v>
      </c>
    </row>
    <row r="25869" spans="1:3">
      <c r="A25869" s="250">
        <v>60096</v>
      </c>
      <c r="B25869" s="74" t="s">
        <v>13460</v>
      </c>
      <c r="C25869" s="74" t="s">
        <v>424</v>
      </c>
    </row>
    <row r="25870" spans="1:3">
      <c r="A25870" s="250">
        <v>60097</v>
      </c>
      <c r="B25870" s="74" t="s">
        <v>13461</v>
      </c>
      <c r="C25870" s="74" t="s">
        <v>424</v>
      </c>
    </row>
    <row r="25871" spans="1:3">
      <c r="A25871" s="250">
        <v>60098</v>
      </c>
      <c r="B25871" s="74" t="s">
        <v>1223</v>
      </c>
      <c r="C25871" s="74" t="s">
        <v>424</v>
      </c>
    </row>
    <row r="25872" spans="1:3">
      <c r="A25872" s="250">
        <v>60099</v>
      </c>
      <c r="B25872" s="74" t="s">
        <v>13462</v>
      </c>
      <c r="C25872" s="74" t="s">
        <v>424</v>
      </c>
    </row>
    <row r="25873" spans="1:3">
      <c r="A25873" s="250">
        <v>60101</v>
      </c>
      <c r="B25873" s="74" t="s">
        <v>1564</v>
      </c>
      <c r="C25873" s="74" t="s">
        <v>424</v>
      </c>
    </row>
    <row r="25874" spans="1:3">
      <c r="A25874" s="250">
        <v>60102</v>
      </c>
      <c r="B25874" s="74" t="s">
        <v>13463</v>
      </c>
      <c r="C25874" s="74" t="s">
        <v>424</v>
      </c>
    </row>
    <row r="25875" spans="1:3">
      <c r="A25875" s="250">
        <v>60103</v>
      </c>
      <c r="B25875" s="74" t="s">
        <v>1296</v>
      </c>
      <c r="C25875" s="74" t="s">
        <v>424</v>
      </c>
    </row>
    <row r="25876" spans="1:3">
      <c r="A25876" s="250">
        <v>60104</v>
      </c>
      <c r="B25876" s="74" t="s">
        <v>4532</v>
      </c>
      <c r="C25876" s="74" t="s">
        <v>424</v>
      </c>
    </row>
    <row r="25877" spans="1:3">
      <c r="A25877" s="250">
        <v>60105</v>
      </c>
      <c r="B25877" s="74" t="s">
        <v>13464</v>
      </c>
      <c r="C25877" s="74" t="s">
        <v>424</v>
      </c>
    </row>
    <row r="25878" spans="1:3">
      <c r="A25878" s="250">
        <v>60106</v>
      </c>
      <c r="B25878" s="74" t="s">
        <v>13464</v>
      </c>
      <c r="C25878" s="74" t="s">
        <v>424</v>
      </c>
    </row>
    <row r="25879" spans="1:3">
      <c r="A25879" s="250">
        <v>60107</v>
      </c>
      <c r="B25879" s="74" t="s">
        <v>13465</v>
      </c>
      <c r="C25879" s="74" t="s">
        <v>424</v>
      </c>
    </row>
    <row r="25880" spans="1:3">
      <c r="A25880" s="250">
        <v>60108</v>
      </c>
      <c r="B25880" s="74" t="s">
        <v>2182</v>
      </c>
      <c r="C25880" s="74" t="s">
        <v>424</v>
      </c>
    </row>
    <row r="25881" spans="1:3">
      <c r="A25881" s="250">
        <v>60109</v>
      </c>
      <c r="B25881" s="74" t="s">
        <v>806</v>
      </c>
      <c r="C25881" s="74" t="s">
        <v>424</v>
      </c>
    </row>
    <row r="25882" spans="1:3">
      <c r="A25882" s="250">
        <v>60110</v>
      </c>
      <c r="B25882" s="74" t="s">
        <v>13466</v>
      </c>
      <c r="C25882" s="74" t="s">
        <v>424</v>
      </c>
    </row>
    <row r="25883" spans="1:3">
      <c r="A25883" s="250">
        <v>60111</v>
      </c>
      <c r="B25883" s="74" t="s">
        <v>11092</v>
      </c>
      <c r="C25883" s="74" t="s">
        <v>424</v>
      </c>
    </row>
    <row r="25884" spans="1:3">
      <c r="A25884" s="250">
        <v>60112</v>
      </c>
      <c r="B25884" s="74" t="s">
        <v>3353</v>
      </c>
      <c r="C25884" s="74" t="s">
        <v>424</v>
      </c>
    </row>
    <row r="25885" spans="1:3">
      <c r="A25885" s="250">
        <v>60113</v>
      </c>
      <c r="B25885" s="74" t="s">
        <v>6869</v>
      </c>
      <c r="C25885" s="74" t="s">
        <v>424</v>
      </c>
    </row>
    <row r="25886" spans="1:3">
      <c r="A25886" s="250">
        <v>60115</v>
      </c>
      <c r="B25886" s="74" t="s">
        <v>13467</v>
      </c>
      <c r="C25886" s="74" t="s">
        <v>424</v>
      </c>
    </row>
    <row r="25887" spans="1:3">
      <c r="A25887" s="250">
        <v>60116</v>
      </c>
      <c r="B25887" s="74" t="s">
        <v>13468</v>
      </c>
      <c r="C25887" s="74" t="s">
        <v>424</v>
      </c>
    </row>
    <row r="25888" spans="1:3">
      <c r="A25888" s="250">
        <v>60117</v>
      </c>
      <c r="B25888" s="74" t="s">
        <v>2182</v>
      </c>
      <c r="C25888" s="74" t="s">
        <v>424</v>
      </c>
    </row>
    <row r="25889" spans="1:3">
      <c r="A25889" s="250">
        <v>60118</v>
      </c>
      <c r="B25889" s="74" t="s">
        <v>3912</v>
      </c>
      <c r="C25889" s="74" t="s">
        <v>424</v>
      </c>
    </row>
    <row r="25890" spans="1:3">
      <c r="A25890" s="250">
        <v>60119</v>
      </c>
      <c r="B25890" s="74" t="s">
        <v>13469</v>
      </c>
      <c r="C25890" s="74" t="s">
        <v>424</v>
      </c>
    </row>
    <row r="25891" spans="1:3">
      <c r="A25891" s="250">
        <v>60120</v>
      </c>
      <c r="B25891" s="74" t="s">
        <v>4511</v>
      </c>
      <c r="C25891" s="74" t="s">
        <v>424</v>
      </c>
    </row>
    <row r="25892" spans="1:3">
      <c r="A25892" s="250">
        <v>60121</v>
      </c>
      <c r="B25892" s="74" t="s">
        <v>4511</v>
      </c>
      <c r="C25892" s="74" t="s">
        <v>424</v>
      </c>
    </row>
    <row r="25893" spans="1:3">
      <c r="A25893" s="250">
        <v>60122</v>
      </c>
      <c r="B25893" s="74" t="s">
        <v>13468</v>
      </c>
      <c r="C25893" s="74" t="s">
        <v>424</v>
      </c>
    </row>
    <row r="25894" spans="1:3">
      <c r="A25894" s="250">
        <v>60123</v>
      </c>
      <c r="B25894" s="74" t="s">
        <v>4511</v>
      </c>
      <c r="C25894" s="74" t="s">
        <v>424</v>
      </c>
    </row>
    <row r="25895" spans="1:3">
      <c r="A25895" s="250">
        <v>60124</v>
      </c>
      <c r="B25895" s="74" t="s">
        <v>4511</v>
      </c>
      <c r="C25895" s="74" t="s">
        <v>424</v>
      </c>
    </row>
    <row r="25896" spans="1:3">
      <c r="A25896" s="250">
        <v>60125</v>
      </c>
      <c r="B25896" s="74" t="s">
        <v>13468</v>
      </c>
      <c r="C25896" s="74" t="s">
        <v>424</v>
      </c>
    </row>
    <row r="25897" spans="1:3">
      <c r="A25897" s="250">
        <v>60126</v>
      </c>
      <c r="B25897" s="74" t="s">
        <v>2744</v>
      </c>
      <c r="C25897" s="74" t="s">
        <v>424</v>
      </c>
    </row>
    <row r="25898" spans="1:3">
      <c r="A25898" s="250">
        <v>60128</v>
      </c>
      <c r="B25898" s="74" t="s">
        <v>13468</v>
      </c>
      <c r="C25898" s="74" t="s">
        <v>424</v>
      </c>
    </row>
    <row r="25899" spans="1:3">
      <c r="A25899" s="250">
        <v>60129</v>
      </c>
      <c r="B25899" s="74" t="s">
        <v>13072</v>
      </c>
      <c r="C25899" s="74" t="s">
        <v>424</v>
      </c>
    </row>
    <row r="25900" spans="1:3">
      <c r="A25900" s="250">
        <v>60130</v>
      </c>
      <c r="B25900" s="74" t="s">
        <v>7931</v>
      </c>
      <c r="C25900" s="74" t="s">
        <v>424</v>
      </c>
    </row>
    <row r="25901" spans="1:3">
      <c r="A25901" s="250">
        <v>60131</v>
      </c>
      <c r="B25901" s="74" t="s">
        <v>2570</v>
      </c>
      <c r="C25901" s="74" t="s">
        <v>424</v>
      </c>
    </row>
    <row r="25902" spans="1:3">
      <c r="A25902" s="250">
        <v>60132</v>
      </c>
      <c r="B25902" s="74" t="s">
        <v>13468</v>
      </c>
      <c r="C25902" s="74" t="s">
        <v>424</v>
      </c>
    </row>
    <row r="25903" spans="1:3">
      <c r="A25903" s="250">
        <v>60133</v>
      </c>
      <c r="B25903" s="74" t="s">
        <v>13470</v>
      </c>
      <c r="C25903" s="74" t="s">
        <v>424</v>
      </c>
    </row>
    <row r="25904" spans="1:3">
      <c r="A25904" s="250">
        <v>60134</v>
      </c>
      <c r="B25904" s="74" t="s">
        <v>3776</v>
      </c>
      <c r="C25904" s="74" t="s">
        <v>424</v>
      </c>
    </row>
    <row r="25905" spans="1:3">
      <c r="A25905" s="250">
        <v>60135</v>
      </c>
      <c r="B25905" s="74" t="s">
        <v>3366</v>
      </c>
      <c r="C25905" s="74" t="s">
        <v>424</v>
      </c>
    </row>
    <row r="25906" spans="1:3">
      <c r="A25906" s="250">
        <v>60136</v>
      </c>
      <c r="B25906" s="74" t="s">
        <v>13471</v>
      </c>
      <c r="C25906" s="74" t="s">
        <v>424</v>
      </c>
    </row>
    <row r="25907" spans="1:3">
      <c r="A25907" s="250">
        <v>60137</v>
      </c>
      <c r="B25907" s="74" t="s">
        <v>13472</v>
      </c>
      <c r="C25907" s="74" t="s">
        <v>424</v>
      </c>
    </row>
    <row r="25908" spans="1:3">
      <c r="A25908" s="250">
        <v>60138</v>
      </c>
      <c r="B25908" s="74" t="s">
        <v>13472</v>
      </c>
      <c r="C25908" s="74" t="s">
        <v>424</v>
      </c>
    </row>
    <row r="25909" spans="1:3">
      <c r="A25909" s="250">
        <v>60139</v>
      </c>
      <c r="B25909" s="74" t="s">
        <v>13473</v>
      </c>
      <c r="C25909" s="74" t="s">
        <v>424</v>
      </c>
    </row>
    <row r="25910" spans="1:3">
      <c r="A25910" s="250">
        <v>60140</v>
      </c>
      <c r="B25910" s="74" t="s">
        <v>9248</v>
      </c>
      <c r="C25910" s="74" t="s">
        <v>424</v>
      </c>
    </row>
    <row r="25911" spans="1:3">
      <c r="A25911" s="250">
        <v>60141</v>
      </c>
      <c r="B25911" s="74" t="s">
        <v>12749</v>
      </c>
      <c r="C25911" s="74" t="s">
        <v>424</v>
      </c>
    </row>
    <row r="25912" spans="1:3">
      <c r="A25912" s="250">
        <v>60142</v>
      </c>
      <c r="B25912" s="74" t="s">
        <v>12537</v>
      </c>
      <c r="C25912" s="74" t="s">
        <v>424</v>
      </c>
    </row>
    <row r="25913" spans="1:3">
      <c r="A25913" s="250">
        <v>60143</v>
      </c>
      <c r="B25913" s="74" t="s">
        <v>13474</v>
      </c>
      <c r="C25913" s="74" t="s">
        <v>424</v>
      </c>
    </row>
    <row r="25914" spans="1:3">
      <c r="A25914" s="250">
        <v>60144</v>
      </c>
      <c r="B25914" s="74" t="s">
        <v>13475</v>
      </c>
      <c r="C25914" s="74" t="s">
        <v>424</v>
      </c>
    </row>
    <row r="25915" spans="1:3">
      <c r="A25915" s="250">
        <v>60145</v>
      </c>
      <c r="B25915" s="74" t="s">
        <v>957</v>
      </c>
      <c r="C25915" s="74" t="s">
        <v>424</v>
      </c>
    </row>
    <row r="25916" spans="1:3">
      <c r="A25916" s="250">
        <v>60146</v>
      </c>
      <c r="B25916" s="74" t="s">
        <v>13476</v>
      </c>
      <c r="C25916" s="74" t="s">
        <v>424</v>
      </c>
    </row>
    <row r="25917" spans="1:3">
      <c r="A25917" s="250">
        <v>60147</v>
      </c>
      <c r="B25917" s="74" t="s">
        <v>13477</v>
      </c>
      <c r="C25917" s="74" t="s">
        <v>424</v>
      </c>
    </row>
    <row r="25918" spans="1:3">
      <c r="A25918" s="250">
        <v>60148</v>
      </c>
      <c r="B25918" s="74" t="s">
        <v>13478</v>
      </c>
      <c r="C25918" s="74" t="s">
        <v>424</v>
      </c>
    </row>
    <row r="25919" spans="1:3">
      <c r="A25919" s="250">
        <v>60150</v>
      </c>
      <c r="B25919" s="74" t="s">
        <v>10233</v>
      </c>
      <c r="C25919" s="74" t="s">
        <v>424</v>
      </c>
    </row>
    <row r="25920" spans="1:3">
      <c r="A25920" s="250">
        <v>60151</v>
      </c>
      <c r="B25920" s="74" t="s">
        <v>13479</v>
      </c>
      <c r="C25920" s="74" t="s">
        <v>424</v>
      </c>
    </row>
    <row r="25921" spans="1:3">
      <c r="A25921" s="250">
        <v>60152</v>
      </c>
      <c r="B25921" s="74" t="s">
        <v>10141</v>
      </c>
      <c r="C25921" s="74" t="s">
        <v>424</v>
      </c>
    </row>
    <row r="25922" spans="1:3">
      <c r="A25922" s="250">
        <v>60153</v>
      </c>
      <c r="B25922" s="74" t="s">
        <v>2223</v>
      </c>
      <c r="C25922" s="74" t="s">
        <v>424</v>
      </c>
    </row>
    <row r="25923" spans="1:3">
      <c r="A25923" s="250">
        <v>60154</v>
      </c>
      <c r="B25923" s="74" t="s">
        <v>13480</v>
      </c>
      <c r="C25923" s="74" t="s">
        <v>424</v>
      </c>
    </row>
    <row r="25924" spans="1:3">
      <c r="A25924" s="250">
        <v>60155</v>
      </c>
      <c r="B25924" s="74" t="s">
        <v>13215</v>
      </c>
      <c r="C25924" s="74" t="s">
        <v>424</v>
      </c>
    </row>
    <row r="25925" spans="1:3">
      <c r="A25925" s="250">
        <v>60156</v>
      </c>
      <c r="B25925" s="74" t="s">
        <v>13481</v>
      </c>
      <c r="C25925" s="74" t="s">
        <v>424</v>
      </c>
    </row>
    <row r="25926" spans="1:3">
      <c r="A25926" s="250">
        <v>60157</v>
      </c>
      <c r="B25926" s="74" t="s">
        <v>13482</v>
      </c>
      <c r="C25926" s="74" t="s">
        <v>424</v>
      </c>
    </row>
    <row r="25927" spans="1:3">
      <c r="A25927" s="250">
        <v>60159</v>
      </c>
      <c r="B25927" s="74" t="s">
        <v>13483</v>
      </c>
      <c r="C25927" s="74" t="s">
        <v>424</v>
      </c>
    </row>
    <row r="25928" spans="1:3">
      <c r="A25928" s="250">
        <v>60160</v>
      </c>
      <c r="B25928" s="74" t="s">
        <v>13484</v>
      </c>
      <c r="C25928" s="74" t="s">
        <v>424</v>
      </c>
    </row>
    <row r="25929" spans="1:3">
      <c r="A25929" s="250">
        <v>60161</v>
      </c>
      <c r="B25929" s="74" t="s">
        <v>13484</v>
      </c>
      <c r="C25929" s="74" t="s">
        <v>424</v>
      </c>
    </row>
    <row r="25930" spans="1:3">
      <c r="A25930" s="250">
        <v>60162</v>
      </c>
      <c r="B25930" s="74" t="s">
        <v>2179</v>
      </c>
      <c r="C25930" s="74" t="s">
        <v>424</v>
      </c>
    </row>
    <row r="25931" spans="1:3">
      <c r="A25931" s="250">
        <v>60163</v>
      </c>
      <c r="B25931" s="74" t="s">
        <v>13485</v>
      </c>
      <c r="C25931" s="74" t="s">
        <v>424</v>
      </c>
    </row>
    <row r="25932" spans="1:3">
      <c r="A25932" s="250">
        <v>60164</v>
      </c>
      <c r="B25932" s="74" t="s">
        <v>13484</v>
      </c>
      <c r="C25932" s="74" t="s">
        <v>424</v>
      </c>
    </row>
    <row r="25933" spans="1:3">
      <c r="A25933" s="250">
        <v>60165</v>
      </c>
      <c r="B25933" s="74" t="s">
        <v>13486</v>
      </c>
      <c r="C25933" s="74" t="s">
        <v>424</v>
      </c>
    </row>
    <row r="25934" spans="1:3">
      <c r="A25934" s="250">
        <v>60168</v>
      </c>
      <c r="B25934" s="74" t="s">
        <v>13483</v>
      </c>
      <c r="C25934" s="74" t="s">
        <v>424</v>
      </c>
    </row>
    <row r="25935" spans="1:3">
      <c r="A25935" s="250">
        <v>60169</v>
      </c>
      <c r="B25935" s="74" t="s">
        <v>13487</v>
      </c>
      <c r="C25935" s="74" t="s">
        <v>424</v>
      </c>
    </row>
    <row r="25936" spans="1:3">
      <c r="A25936" s="250">
        <v>60170</v>
      </c>
      <c r="B25936" s="74" t="s">
        <v>13488</v>
      </c>
      <c r="C25936" s="74" t="s">
        <v>424</v>
      </c>
    </row>
    <row r="25937" spans="1:3">
      <c r="A25937" s="250">
        <v>60171</v>
      </c>
      <c r="B25937" s="74" t="s">
        <v>13489</v>
      </c>
      <c r="C25937" s="74" t="s">
        <v>424</v>
      </c>
    </row>
    <row r="25938" spans="1:3">
      <c r="A25938" s="250">
        <v>60172</v>
      </c>
      <c r="B25938" s="74" t="s">
        <v>2177</v>
      </c>
      <c r="C25938" s="74" t="s">
        <v>424</v>
      </c>
    </row>
    <row r="25939" spans="1:3">
      <c r="A25939" s="250">
        <v>60173</v>
      </c>
      <c r="B25939" s="74" t="s">
        <v>13483</v>
      </c>
      <c r="C25939" s="74" t="s">
        <v>424</v>
      </c>
    </row>
    <row r="25940" spans="1:3">
      <c r="A25940" s="250">
        <v>60174</v>
      </c>
      <c r="B25940" s="74" t="s">
        <v>6340</v>
      </c>
      <c r="C25940" s="74" t="s">
        <v>424</v>
      </c>
    </row>
    <row r="25941" spans="1:3">
      <c r="A25941" s="250">
        <v>60175</v>
      </c>
      <c r="B25941" s="74" t="s">
        <v>6340</v>
      </c>
      <c r="C25941" s="74" t="s">
        <v>424</v>
      </c>
    </row>
    <row r="25942" spans="1:3">
      <c r="A25942" s="250">
        <v>60176</v>
      </c>
      <c r="B25942" s="74" t="s">
        <v>13490</v>
      </c>
      <c r="C25942" s="74" t="s">
        <v>424</v>
      </c>
    </row>
    <row r="25943" spans="1:3">
      <c r="A25943" s="250">
        <v>60177</v>
      </c>
      <c r="B25943" s="74" t="s">
        <v>13491</v>
      </c>
      <c r="C25943" s="74" t="s">
        <v>424</v>
      </c>
    </row>
    <row r="25944" spans="1:3">
      <c r="A25944" s="250">
        <v>60178</v>
      </c>
      <c r="B25944" s="74" t="s">
        <v>4078</v>
      </c>
      <c r="C25944" s="74" t="s">
        <v>424</v>
      </c>
    </row>
    <row r="25945" spans="1:3">
      <c r="A25945" s="250">
        <v>60179</v>
      </c>
      <c r="B25945" s="74" t="s">
        <v>13487</v>
      </c>
      <c r="C25945" s="74" t="s">
        <v>424</v>
      </c>
    </row>
    <row r="25946" spans="1:3">
      <c r="A25946" s="250">
        <v>60180</v>
      </c>
      <c r="B25946" s="74" t="s">
        <v>1346</v>
      </c>
      <c r="C25946" s="74" t="s">
        <v>424</v>
      </c>
    </row>
    <row r="25947" spans="1:3">
      <c r="A25947" s="250">
        <v>60181</v>
      </c>
      <c r="B25947" s="74" t="s">
        <v>13492</v>
      </c>
      <c r="C25947" s="74" t="s">
        <v>424</v>
      </c>
    </row>
    <row r="25948" spans="1:3">
      <c r="A25948" s="250">
        <v>60183</v>
      </c>
      <c r="B25948" s="74" t="s">
        <v>13493</v>
      </c>
      <c r="C25948" s="74" t="s">
        <v>424</v>
      </c>
    </row>
    <row r="25949" spans="1:3">
      <c r="A25949" s="250">
        <v>60184</v>
      </c>
      <c r="B25949" s="74" t="s">
        <v>1464</v>
      </c>
      <c r="C25949" s="74" t="s">
        <v>424</v>
      </c>
    </row>
    <row r="25950" spans="1:3">
      <c r="A25950" s="250">
        <v>60185</v>
      </c>
      <c r="B25950" s="74" t="s">
        <v>13494</v>
      </c>
      <c r="C25950" s="74" t="s">
        <v>424</v>
      </c>
    </row>
    <row r="25951" spans="1:3">
      <c r="A25951" s="250">
        <v>60186</v>
      </c>
      <c r="B25951" s="74" t="s">
        <v>13494</v>
      </c>
      <c r="C25951" s="74" t="s">
        <v>424</v>
      </c>
    </row>
    <row r="25952" spans="1:3">
      <c r="A25952" s="250">
        <v>60187</v>
      </c>
      <c r="B25952" s="74" t="s">
        <v>12627</v>
      </c>
      <c r="C25952" s="74" t="s">
        <v>424</v>
      </c>
    </row>
    <row r="25953" spans="1:3">
      <c r="A25953" s="250">
        <v>60188</v>
      </c>
      <c r="B25953" s="74" t="s">
        <v>13468</v>
      </c>
      <c r="C25953" s="74" t="s">
        <v>424</v>
      </c>
    </row>
    <row r="25954" spans="1:3">
      <c r="A25954" s="250">
        <v>60189</v>
      </c>
      <c r="B25954" s="74" t="s">
        <v>12627</v>
      </c>
      <c r="C25954" s="74" t="s">
        <v>424</v>
      </c>
    </row>
    <row r="25955" spans="1:3">
      <c r="A25955" s="250">
        <v>60190</v>
      </c>
      <c r="B25955" s="74" t="s">
        <v>4985</v>
      </c>
      <c r="C25955" s="74" t="s">
        <v>424</v>
      </c>
    </row>
    <row r="25956" spans="1:3">
      <c r="A25956" s="250">
        <v>60191</v>
      </c>
      <c r="B25956" s="74" t="s">
        <v>13495</v>
      </c>
      <c r="C25956" s="74" t="s">
        <v>424</v>
      </c>
    </row>
    <row r="25957" spans="1:3">
      <c r="A25957" s="250">
        <v>60192</v>
      </c>
      <c r="B25957" s="74" t="s">
        <v>13487</v>
      </c>
      <c r="C25957" s="74" t="s">
        <v>424</v>
      </c>
    </row>
    <row r="25958" spans="1:3">
      <c r="A25958" s="250">
        <v>60193</v>
      </c>
      <c r="B25958" s="74" t="s">
        <v>13483</v>
      </c>
      <c r="C25958" s="74" t="s">
        <v>424</v>
      </c>
    </row>
    <row r="25959" spans="1:3">
      <c r="A25959" s="250">
        <v>60194</v>
      </c>
      <c r="B25959" s="74" t="s">
        <v>13483</v>
      </c>
      <c r="C25959" s="74" t="s">
        <v>424</v>
      </c>
    </row>
    <row r="25960" spans="1:3">
      <c r="A25960" s="250">
        <v>60195</v>
      </c>
      <c r="B25960" s="74" t="s">
        <v>13483</v>
      </c>
      <c r="C25960" s="74" t="s">
        <v>424</v>
      </c>
    </row>
    <row r="25961" spans="1:3">
      <c r="A25961" s="250">
        <v>60196</v>
      </c>
      <c r="B25961" s="74" t="s">
        <v>13483</v>
      </c>
      <c r="C25961" s="74" t="s">
        <v>424</v>
      </c>
    </row>
    <row r="25962" spans="1:3">
      <c r="A25962" s="250">
        <v>60197</v>
      </c>
      <c r="B25962" s="74" t="s">
        <v>13468</v>
      </c>
      <c r="C25962" s="74" t="s">
        <v>424</v>
      </c>
    </row>
    <row r="25963" spans="1:3">
      <c r="A25963" s="250">
        <v>60199</v>
      </c>
      <c r="B25963" s="74" t="s">
        <v>13468</v>
      </c>
      <c r="C25963" s="74" t="s">
        <v>424</v>
      </c>
    </row>
    <row r="25964" spans="1:3">
      <c r="A25964" s="250">
        <v>60201</v>
      </c>
      <c r="B25964" s="74" t="s">
        <v>10883</v>
      </c>
      <c r="C25964" s="74" t="s">
        <v>424</v>
      </c>
    </row>
    <row r="25965" spans="1:3">
      <c r="A25965" s="250">
        <v>60202</v>
      </c>
      <c r="B25965" s="74" t="s">
        <v>10883</v>
      </c>
      <c r="C25965" s="74" t="s">
        <v>424</v>
      </c>
    </row>
    <row r="25966" spans="1:3">
      <c r="A25966" s="250">
        <v>60203</v>
      </c>
      <c r="B25966" s="74" t="s">
        <v>10883</v>
      </c>
      <c r="C25966" s="74" t="s">
        <v>424</v>
      </c>
    </row>
    <row r="25967" spans="1:3">
      <c r="A25967" s="250">
        <v>60204</v>
      </c>
      <c r="B25967" s="74" t="s">
        <v>10883</v>
      </c>
      <c r="C25967" s="74" t="s">
        <v>424</v>
      </c>
    </row>
    <row r="25968" spans="1:3">
      <c r="A25968" s="250">
        <v>60208</v>
      </c>
      <c r="B25968" s="74" t="s">
        <v>10883</v>
      </c>
      <c r="C25968" s="74" t="s">
        <v>424</v>
      </c>
    </row>
    <row r="25969" spans="1:3">
      <c r="A25969" s="250">
        <v>60209</v>
      </c>
      <c r="B25969" s="74" t="s">
        <v>10883</v>
      </c>
      <c r="C25969" s="74" t="s">
        <v>424</v>
      </c>
    </row>
    <row r="25970" spans="1:3">
      <c r="A25970" s="250">
        <v>60290</v>
      </c>
      <c r="B25970" s="74" t="s">
        <v>13496</v>
      </c>
      <c r="C25970" s="74" t="s">
        <v>424</v>
      </c>
    </row>
    <row r="25971" spans="1:3">
      <c r="A25971" s="250">
        <v>60301</v>
      </c>
      <c r="B25971" s="74" t="s">
        <v>11040</v>
      </c>
      <c r="C25971" s="74" t="s">
        <v>424</v>
      </c>
    </row>
    <row r="25972" spans="1:3">
      <c r="A25972" s="250">
        <v>60302</v>
      </c>
      <c r="B25972" s="74" t="s">
        <v>11040</v>
      </c>
      <c r="C25972" s="74" t="s">
        <v>424</v>
      </c>
    </row>
    <row r="25973" spans="1:3">
      <c r="A25973" s="250">
        <v>60303</v>
      </c>
      <c r="B25973" s="74" t="s">
        <v>11040</v>
      </c>
      <c r="C25973" s="74" t="s">
        <v>424</v>
      </c>
    </row>
    <row r="25974" spans="1:3">
      <c r="A25974" s="250">
        <v>60304</v>
      </c>
      <c r="B25974" s="74" t="s">
        <v>11040</v>
      </c>
      <c r="C25974" s="74" t="s">
        <v>424</v>
      </c>
    </row>
    <row r="25975" spans="1:3">
      <c r="A25975" s="250">
        <v>60305</v>
      </c>
      <c r="B25975" s="74" t="s">
        <v>13497</v>
      </c>
      <c r="C25975" s="74" t="s">
        <v>424</v>
      </c>
    </row>
    <row r="25976" spans="1:3">
      <c r="A25976" s="250">
        <v>60399</v>
      </c>
      <c r="B25976" s="74" t="s">
        <v>13495</v>
      </c>
      <c r="C25976" s="74" t="s">
        <v>424</v>
      </c>
    </row>
    <row r="25977" spans="1:3">
      <c r="A25977" s="250">
        <v>60401</v>
      </c>
      <c r="B25977" s="74" t="s">
        <v>13498</v>
      </c>
      <c r="C25977" s="74" t="s">
        <v>424</v>
      </c>
    </row>
    <row r="25978" spans="1:3">
      <c r="A25978" s="250">
        <v>60402</v>
      </c>
      <c r="B25978" s="74" t="s">
        <v>5369</v>
      </c>
      <c r="C25978" s="74" t="s">
        <v>424</v>
      </c>
    </row>
    <row r="25979" spans="1:3">
      <c r="A25979" s="250">
        <v>60403</v>
      </c>
      <c r="B25979" s="74" t="s">
        <v>13499</v>
      </c>
      <c r="C25979" s="74" t="s">
        <v>424</v>
      </c>
    </row>
    <row r="25980" spans="1:3">
      <c r="A25980" s="250">
        <v>60404</v>
      </c>
      <c r="B25980" s="74" t="s">
        <v>13500</v>
      </c>
      <c r="C25980" s="74" t="s">
        <v>424</v>
      </c>
    </row>
    <row r="25981" spans="1:3">
      <c r="A25981" s="250">
        <v>60406</v>
      </c>
      <c r="B25981" s="74" t="s">
        <v>13501</v>
      </c>
      <c r="C25981" s="74" t="s">
        <v>424</v>
      </c>
    </row>
    <row r="25982" spans="1:3">
      <c r="A25982" s="250">
        <v>60407</v>
      </c>
      <c r="B25982" s="74" t="s">
        <v>13502</v>
      </c>
      <c r="C25982" s="74" t="s">
        <v>424</v>
      </c>
    </row>
    <row r="25983" spans="1:3">
      <c r="A25983" s="250">
        <v>60408</v>
      </c>
      <c r="B25983" s="74" t="s">
        <v>13503</v>
      </c>
      <c r="C25983" s="74" t="s">
        <v>424</v>
      </c>
    </row>
    <row r="25984" spans="1:3">
      <c r="A25984" s="250">
        <v>60409</v>
      </c>
      <c r="B25984" s="74" t="s">
        <v>13504</v>
      </c>
      <c r="C25984" s="74" t="s">
        <v>424</v>
      </c>
    </row>
    <row r="25985" spans="1:3">
      <c r="A25985" s="250">
        <v>60410</v>
      </c>
      <c r="B25985" s="74" t="s">
        <v>13505</v>
      </c>
      <c r="C25985" s="74" t="s">
        <v>424</v>
      </c>
    </row>
    <row r="25986" spans="1:3">
      <c r="A25986" s="250">
        <v>60411</v>
      </c>
      <c r="B25986" s="74" t="s">
        <v>13506</v>
      </c>
      <c r="C25986" s="74" t="s">
        <v>424</v>
      </c>
    </row>
    <row r="25987" spans="1:3">
      <c r="A25987" s="250">
        <v>60412</v>
      </c>
      <c r="B25987" s="74" t="s">
        <v>13506</v>
      </c>
      <c r="C25987" s="74" t="s">
        <v>424</v>
      </c>
    </row>
    <row r="25988" spans="1:3">
      <c r="A25988" s="250">
        <v>60415</v>
      </c>
      <c r="B25988" s="74" t="s">
        <v>13507</v>
      </c>
      <c r="C25988" s="74" t="s">
        <v>424</v>
      </c>
    </row>
    <row r="25989" spans="1:3">
      <c r="A25989" s="250">
        <v>60416</v>
      </c>
      <c r="B25989" s="74" t="s">
        <v>6782</v>
      </c>
      <c r="C25989" s="74" t="s">
        <v>424</v>
      </c>
    </row>
    <row r="25990" spans="1:3">
      <c r="A25990" s="250">
        <v>60417</v>
      </c>
      <c r="B25990" s="74" t="s">
        <v>13508</v>
      </c>
      <c r="C25990" s="74" t="s">
        <v>424</v>
      </c>
    </row>
    <row r="25991" spans="1:3">
      <c r="A25991" s="250">
        <v>60419</v>
      </c>
      <c r="B25991" s="74" t="s">
        <v>13509</v>
      </c>
      <c r="C25991" s="74" t="s">
        <v>424</v>
      </c>
    </row>
    <row r="25992" spans="1:3">
      <c r="A25992" s="250">
        <v>60420</v>
      </c>
      <c r="B25992" s="74" t="s">
        <v>13510</v>
      </c>
      <c r="C25992" s="74" t="s">
        <v>424</v>
      </c>
    </row>
    <row r="25993" spans="1:3">
      <c r="A25993" s="250">
        <v>60421</v>
      </c>
      <c r="B25993" s="74" t="s">
        <v>2451</v>
      </c>
      <c r="C25993" s="74" t="s">
        <v>424</v>
      </c>
    </row>
    <row r="25994" spans="1:3">
      <c r="A25994" s="250">
        <v>60422</v>
      </c>
      <c r="B25994" s="74" t="s">
        <v>13511</v>
      </c>
      <c r="C25994" s="74" t="s">
        <v>424</v>
      </c>
    </row>
    <row r="25995" spans="1:3">
      <c r="A25995" s="250">
        <v>60423</v>
      </c>
      <c r="B25995" s="74" t="s">
        <v>1505</v>
      </c>
      <c r="C25995" s="74" t="s">
        <v>424</v>
      </c>
    </row>
    <row r="25996" spans="1:3">
      <c r="A25996" s="250">
        <v>60424</v>
      </c>
      <c r="B25996" s="74" t="s">
        <v>707</v>
      </c>
      <c r="C25996" s="74" t="s">
        <v>424</v>
      </c>
    </row>
    <row r="25997" spans="1:3">
      <c r="A25997" s="250">
        <v>60425</v>
      </c>
      <c r="B25997" s="74" t="s">
        <v>2187</v>
      </c>
      <c r="C25997" s="74" t="s">
        <v>424</v>
      </c>
    </row>
    <row r="25998" spans="1:3">
      <c r="A25998" s="250">
        <v>60426</v>
      </c>
      <c r="B25998" s="74" t="s">
        <v>11511</v>
      </c>
      <c r="C25998" s="74" t="s">
        <v>424</v>
      </c>
    </row>
    <row r="25999" spans="1:3">
      <c r="A25999" s="250">
        <v>60428</v>
      </c>
      <c r="B25999" s="74" t="s">
        <v>5944</v>
      </c>
      <c r="C25999" s="74" t="s">
        <v>424</v>
      </c>
    </row>
    <row r="26000" spans="1:3">
      <c r="A26000" s="250">
        <v>60429</v>
      </c>
      <c r="B26000" s="74" t="s">
        <v>13512</v>
      </c>
      <c r="C26000" s="74" t="s">
        <v>424</v>
      </c>
    </row>
    <row r="26001" spans="1:3">
      <c r="A26001" s="250">
        <v>60430</v>
      </c>
      <c r="B26001" s="74" t="s">
        <v>13513</v>
      </c>
      <c r="C26001" s="74" t="s">
        <v>424</v>
      </c>
    </row>
    <row r="26002" spans="1:3">
      <c r="A26002" s="250">
        <v>60431</v>
      </c>
      <c r="B26002" s="74" t="s">
        <v>13229</v>
      </c>
      <c r="C26002" s="74" t="s">
        <v>424</v>
      </c>
    </row>
    <row r="26003" spans="1:3">
      <c r="A26003" s="250">
        <v>60432</v>
      </c>
      <c r="B26003" s="74" t="s">
        <v>13229</v>
      </c>
      <c r="C26003" s="74" t="s">
        <v>424</v>
      </c>
    </row>
    <row r="26004" spans="1:3">
      <c r="A26004" s="250">
        <v>60433</v>
      </c>
      <c r="B26004" s="74" t="s">
        <v>13229</v>
      </c>
      <c r="C26004" s="74" t="s">
        <v>424</v>
      </c>
    </row>
    <row r="26005" spans="1:3">
      <c r="A26005" s="250">
        <v>60434</v>
      </c>
      <c r="B26005" s="74" t="s">
        <v>13229</v>
      </c>
      <c r="C26005" s="74" t="s">
        <v>424</v>
      </c>
    </row>
    <row r="26006" spans="1:3">
      <c r="A26006" s="250">
        <v>60435</v>
      </c>
      <c r="B26006" s="74" t="s">
        <v>13229</v>
      </c>
      <c r="C26006" s="74" t="s">
        <v>424</v>
      </c>
    </row>
    <row r="26007" spans="1:3">
      <c r="A26007" s="250">
        <v>60436</v>
      </c>
      <c r="B26007" s="74" t="s">
        <v>13229</v>
      </c>
      <c r="C26007" s="74" t="s">
        <v>424</v>
      </c>
    </row>
    <row r="26008" spans="1:3">
      <c r="A26008" s="250">
        <v>60437</v>
      </c>
      <c r="B26008" s="74" t="s">
        <v>10365</v>
      </c>
      <c r="C26008" s="74" t="s">
        <v>424</v>
      </c>
    </row>
    <row r="26009" spans="1:3">
      <c r="A26009" s="250">
        <v>60438</v>
      </c>
      <c r="B26009" s="74" t="s">
        <v>3943</v>
      </c>
      <c r="C26009" s="74" t="s">
        <v>424</v>
      </c>
    </row>
    <row r="26010" spans="1:3">
      <c r="A26010" s="250">
        <v>60439</v>
      </c>
      <c r="B26010" s="74" t="s">
        <v>4635</v>
      </c>
      <c r="C26010" s="74" t="s">
        <v>424</v>
      </c>
    </row>
    <row r="26011" spans="1:3">
      <c r="A26011" s="250">
        <v>60440</v>
      </c>
      <c r="B26011" s="74" t="s">
        <v>13514</v>
      </c>
      <c r="C26011" s="74" t="s">
        <v>424</v>
      </c>
    </row>
    <row r="26012" spans="1:3">
      <c r="A26012" s="250">
        <v>60441</v>
      </c>
      <c r="B26012" s="74" t="s">
        <v>3717</v>
      </c>
      <c r="C26012" s="74" t="s">
        <v>424</v>
      </c>
    </row>
    <row r="26013" spans="1:3">
      <c r="A26013" s="250">
        <v>60442</v>
      </c>
      <c r="B26013" s="74" t="s">
        <v>13377</v>
      </c>
      <c r="C26013" s="74" t="s">
        <v>424</v>
      </c>
    </row>
    <row r="26014" spans="1:3">
      <c r="A26014" s="250">
        <v>60443</v>
      </c>
      <c r="B26014" s="74" t="s">
        <v>13515</v>
      </c>
      <c r="C26014" s="74" t="s">
        <v>424</v>
      </c>
    </row>
    <row r="26015" spans="1:3">
      <c r="A26015" s="250">
        <v>60444</v>
      </c>
      <c r="B26015" s="74" t="s">
        <v>13516</v>
      </c>
      <c r="C26015" s="74" t="s">
        <v>424</v>
      </c>
    </row>
    <row r="26016" spans="1:3">
      <c r="A26016" s="250">
        <v>60445</v>
      </c>
      <c r="B26016" s="74" t="s">
        <v>5734</v>
      </c>
      <c r="C26016" s="74" t="s">
        <v>424</v>
      </c>
    </row>
    <row r="26017" spans="1:3">
      <c r="A26017" s="250">
        <v>60446</v>
      </c>
      <c r="B26017" s="74" t="s">
        <v>13517</v>
      </c>
      <c r="C26017" s="74" t="s">
        <v>424</v>
      </c>
    </row>
    <row r="26018" spans="1:3">
      <c r="A26018" s="250">
        <v>60447</v>
      </c>
      <c r="B26018" s="74" t="s">
        <v>13518</v>
      </c>
      <c r="C26018" s="74" t="s">
        <v>424</v>
      </c>
    </row>
    <row r="26019" spans="1:3">
      <c r="A26019" s="250">
        <v>60448</v>
      </c>
      <c r="B26019" s="74" t="s">
        <v>13519</v>
      </c>
      <c r="C26019" s="74" t="s">
        <v>424</v>
      </c>
    </row>
    <row r="26020" spans="1:3">
      <c r="A26020" s="250">
        <v>60449</v>
      </c>
      <c r="B26020" s="74" t="s">
        <v>13520</v>
      </c>
      <c r="C26020" s="74" t="s">
        <v>424</v>
      </c>
    </row>
    <row r="26021" spans="1:3">
      <c r="A26021" s="250">
        <v>60450</v>
      </c>
      <c r="B26021" s="74" t="s">
        <v>2086</v>
      </c>
      <c r="C26021" s="74" t="s">
        <v>424</v>
      </c>
    </row>
    <row r="26022" spans="1:3">
      <c r="A26022" s="250">
        <v>60451</v>
      </c>
      <c r="B26022" s="74" t="s">
        <v>13521</v>
      </c>
      <c r="C26022" s="74" t="s">
        <v>424</v>
      </c>
    </row>
    <row r="26023" spans="1:3">
      <c r="A26023" s="250">
        <v>60452</v>
      </c>
      <c r="B26023" s="74" t="s">
        <v>13522</v>
      </c>
      <c r="C26023" s="74" t="s">
        <v>424</v>
      </c>
    </row>
    <row r="26024" spans="1:3">
      <c r="A26024" s="250">
        <v>60453</v>
      </c>
      <c r="B26024" s="74" t="s">
        <v>13523</v>
      </c>
      <c r="C26024" s="74" t="s">
        <v>424</v>
      </c>
    </row>
    <row r="26025" spans="1:3">
      <c r="A26025" s="250">
        <v>60454</v>
      </c>
      <c r="B26025" s="74" t="s">
        <v>13523</v>
      </c>
      <c r="C26025" s="74" t="s">
        <v>424</v>
      </c>
    </row>
    <row r="26026" spans="1:3">
      <c r="A26026" s="250">
        <v>60455</v>
      </c>
      <c r="B26026" s="74" t="s">
        <v>13524</v>
      </c>
      <c r="C26026" s="74" t="s">
        <v>424</v>
      </c>
    </row>
    <row r="26027" spans="1:3">
      <c r="A26027" s="250">
        <v>60456</v>
      </c>
      <c r="B26027" s="74" t="s">
        <v>6614</v>
      </c>
      <c r="C26027" s="74" t="s">
        <v>424</v>
      </c>
    </row>
    <row r="26028" spans="1:3">
      <c r="A26028" s="250">
        <v>60457</v>
      </c>
      <c r="B26028" s="74" t="s">
        <v>13525</v>
      </c>
      <c r="C26028" s="74" t="s">
        <v>424</v>
      </c>
    </row>
    <row r="26029" spans="1:3">
      <c r="A26029" s="250">
        <v>60458</v>
      </c>
      <c r="B26029" s="74" t="s">
        <v>6517</v>
      </c>
      <c r="C26029" s="74" t="s">
        <v>424</v>
      </c>
    </row>
    <row r="26030" spans="1:3">
      <c r="A26030" s="250">
        <v>60459</v>
      </c>
      <c r="B26030" s="74" t="s">
        <v>10335</v>
      </c>
      <c r="C26030" s="74" t="s">
        <v>424</v>
      </c>
    </row>
    <row r="26031" spans="1:3">
      <c r="A26031" s="250">
        <v>60460</v>
      </c>
      <c r="B26031" s="74" t="s">
        <v>13526</v>
      </c>
      <c r="C26031" s="74" t="s">
        <v>424</v>
      </c>
    </row>
    <row r="26032" spans="1:3">
      <c r="A26032" s="250">
        <v>60461</v>
      </c>
      <c r="B26032" s="74" t="s">
        <v>13527</v>
      </c>
      <c r="C26032" s="74" t="s">
        <v>424</v>
      </c>
    </row>
    <row r="26033" spans="1:3">
      <c r="A26033" s="250">
        <v>60462</v>
      </c>
      <c r="B26033" s="74" t="s">
        <v>13528</v>
      </c>
      <c r="C26033" s="74" t="s">
        <v>424</v>
      </c>
    </row>
    <row r="26034" spans="1:3">
      <c r="A26034" s="250">
        <v>60463</v>
      </c>
      <c r="B26034" s="74" t="s">
        <v>13529</v>
      </c>
      <c r="C26034" s="74" t="s">
        <v>424</v>
      </c>
    </row>
    <row r="26035" spans="1:3">
      <c r="A26035" s="250">
        <v>60464</v>
      </c>
      <c r="B26035" s="74" t="s">
        <v>13530</v>
      </c>
      <c r="C26035" s="74" t="s">
        <v>424</v>
      </c>
    </row>
    <row r="26036" spans="1:3">
      <c r="A26036" s="250">
        <v>60465</v>
      </c>
      <c r="B26036" s="74" t="s">
        <v>13531</v>
      </c>
      <c r="C26036" s="74" t="s">
        <v>424</v>
      </c>
    </row>
    <row r="26037" spans="1:3">
      <c r="A26037" s="250">
        <v>60466</v>
      </c>
      <c r="B26037" s="74" t="s">
        <v>13532</v>
      </c>
      <c r="C26037" s="74" t="s">
        <v>424</v>
      </c>
    </row>
    <row r="26038" spans="1:3">
      <c r="A26038" s="250">
        <v>60467</v>
      </c>
      <c r="B26038" s="74" t="s">
        <v>13528</v>
      </c>
      <c r="C26038" s="74" t="s">
        <v>424</v>
      </c>
    </row>
    <row r="26039" spans="1:3">
      <c r="A26039" s="250">
        <v>60468</v>
      </c>
      <c r="B26039" s="74" t="s">
        <v>13533</v>
      </c>
      <c r="C26039" s="74" t="s">
        <v>424</v>
      </c>
    </row>
    <row r="26040" spans="1:3">
      <c r="A26040" s="250">
        <v>60469</v>
      </c>
      <c r="B26040" s="74" t="s">
        <v>11383</v>
      </c>
      <c r="C26040" s="74" t="s">
        <v>424</v>
      </c>
    </row>
    <row r="26041" spans="1:3">
      <c r="A26041" s="250">
        <v>60470</v>
      </c>
      <c r="B26041" s="74" t="s">
        <v>5223</v>
      </c>
      <c r="C26041" s="74" t="s">
        <v>424</v>
      </c>
    </row>
    <row r="26042" spans="1:3">
      <c r="A26042" s="250">
        <v>60471</v>
      </c>
      <c r="B26042" s="74" t="s">
        <v>13534</v>
      </c>
      <c r="C26042" s="74" t="s">
        <v>424</v>
      </c>
    </row>
    <row r="26043" spans="1:3">
      <c r="A26043" s="250">
        <v>60472</v>
      </c>
      <c r="B26043" s="74" t="s">
        <v>7115</v>
      </c>
      <c r="C26043" s="74" t="s">
        <v>424</v>
      </c>
    </row>
    <row r="26044" spans="1:3">
      <c r="A26044" s="250">
        <v>60473</v>
      </c>
      <c r="B26044" s="74" t="s">
        <v>13535</v>
      </c>
      <c r="C26044" s="74" t="s">
        <v>424</v>
      </c>
    </row>
    <row r="26045" spans="1:3">
      <c r="A26045" s="250">
        <v>60474</v>
      </c>
      <c r="B26045" s="74" t="s">
        <v>13536</v>
      </c>
      <c r="C26045" s="74" t="s">
        <v>424</v>
      </c>
    </row>
    <row r="26046" spans="1:3">
      <c r="A26046" s="250">
        <v>60475</v>
      </c>
      <c r="B26046" s="74" t="s">
        <v>13537</v>
      </c>
      <c r="C26046" s="74" t="s">
        <v>424</v>
      </c>
    </row>
    <row r="26047" spans="1:3">
      <c r="A26047" s="250">
        <v>60476</v>
      </c>
      <c r="B26047" s="74" t="s">
        <v>1218</v>
      </c>
      <c r="C26047" s="74" t="s">
        <v>424</v>
      </c>
    </row>
    <row r="26048" spans="1:3">
      <c r="A26048" s="250">
        <v>60477</v>
      </c>
      <c r="B26048" s="74" t="s">
        <v>13538</v>
      </c>
      <c r="C26048" s="74" t="s">
        <v>424</v>
      </c>
    </row>
    <row r="26049" spans="1:3">
      <c r="A26049" s="250">
        <v>60478</v>
      </c>
      <c r="B26049" s="74" t="s">
        <v>13539</v>
      </c>
      <c r="C26049" s="74" t="s">
        <v>424</v>
      </c>
    </row>
    <row r="26050" spans="1:3">
      <c r="A26050" s="250">
        <v>60479</v>
      </c>
      <c r="B26050" s="74" t="s">
        <v>2139</v>
      </c>
      <c r="C26050" s="74" t="s">
        <v>424</v>
      </c>
    </row>
    <row r="26051" spans="1:3">
      <c r="A26051" s="250">
        <v>60480</v>
      </c>
      <c r="B26051" s="74" t="s">
        <v>13540</v>
      </c>
      <c r="C26051" s="74" t="s">
        <v>424</v>
      </c>
    </row>
    <row r="26052" spans="1:3">
      <c r="A26052" s="250">
        <v>60481</v>
      </c>
      <c r="B26052" s="74" t="s">
        <v>831</v>
      </c>
      <c r="C26052" s="74" t="s">
        <v>424</v>
      </c>
    </row>
    <row r="26053" spans="1:3">
      <c r="A26053" s="250">
        <v>60482</v>
      </c>
      <c r="B26053" s="74" t="s">
        <v>13541</v>
      </c>
      <c r="C26053" s="74" t="s">
        <v>424</v>
      </c>
    </row>
    <row r="26054" spans="1:3">
      <c r="A26054" s="250">
        <v>60484</v>
      </c>
      <c r="B26054" s="74" t="s">
        <v>4609</v>
      </c>
      <c r="C26054" s="74" t="s">
        <v>424</v>
      </c>
    </row>
    <row r="26055" spans="1:3">
      <c r="A26055" s="250">
        <v>60487</v>
      </c>
      <c r="B26055" s="74" t="s">
        <v>13538</v>
      </c>
      <c r="C26055" s="74" t="s">
        <v>424</v>
      </c>
    </row>
    <row r="26056" spans="1:3">
      <c r="A26056" s="250">
        <v>60490</v>
      </c>
      <c r="B26056" s="74" t="s">
        <v>13514</v>
      </c>
      <c r="C26056" s="74" t="s">
        <v>424</v>
      </c>
    </row>
    <row r="26057" spans="1:3">
      <c r="A26057" s="250">
        <v>60491</v>
      </c>
      <c r="B26057" s="74" t="s">
        <v>13542</v>
      </c>
      <c r="C26057" s="74" t="s">
        <v>424</v>
      </c>
    </row>
    <row r="26058" spans="1:3">
      <c r="A26058" s="250">
        <v>60499</v>
      </c>
      <c r="B26058" s="74" t="s">
        <v>13543</v>
      </c>
      <c r="C26058" s="74" t="s">
        <v>424</v>
      </c>
    </row>
    <row r="26059" spans="1:3">
      <c r="A26059" s="250">
        <v>60501</v>
      </c>
      <c r="B26059" s="74" t="s">
        <v>13544</v>
      </c>
      <c r="C26059" s="74" t="s">
        <v>424</v>
      </c>
    </row>
    <row r="26060" spans="1:3">
      <c r="A26060" s="250">
        <v>60502</v>
      </c>
      <c r="B26060" s="74" t="s">
        <v>1489</v>
      </c>
      <c r="C26060" s="74" t="s">
        <v>424</v>
      </c>
    </row>
    <row r="26061" spans="1:3">
      <c r="A26061" s="250">
        <v>60503</v>
      </c>
      <c r="B26061" s="74" t="s">
        <v>1489</v>
      </c>
      <c r="C26061" s="74" t="s">
        <v>424</v>
      </c>
    </row>
    <row r="26062" spans="1:3">
      <c r="A26062" s="250">
        <v>60504</v>
      </c>
      <c r="B26062" s="74" t="s">
        <v>1489</v>
      </c>
      <c r="C26062" s="74" t="s">
        <v>424</v>
      </c>
    </row>
    <row r="26063" spans="1:3">
      <c r="A26063" s="250">
        <v>60505</v>
      </c>
      <c r="B26063" s="74" t="s">
        <v>1489</v>
      </c>
      <c r="C26063" s="74" t="s">
        <v>424</v>
      </c>
    </row>
    <row r="26064" spans="1:3">
      <c r="A26064" s="250">
        <v>60506</v>
      </c>
      <c r="B26064" s="74" t="s">
        <v>1489</v>
      </c>
      <c r="C26064" s="74" t="s">
        <v>424</v>
      </c>
    </row>
    <row r="26065" spans="1:3">
      <c r="A26065" s="250">
        <v>60507</v>
      </c>
      <c r="B26065" s="74" t="s">
        <v>1489</v>
      </c>
      <c r="C26065" s="74" t="s">
        <v>424</v>
      </c>
    </row>
    <row r="26066" spans="1:3">
      <c r="A26066" s="250">
        <v>60510</v>
      </c>
      <c r="B26066" s="74" t="s">
        <v>3677</v>
      </c>
      <c r="C26066" s="74" t="s">
        <v>424</v>
      </c>
    </row>
    <row r="26067" spans="1:3">
      <c r="A26067" s="250">
        <v>60511</v>
      </c>
      <c r="B26067" s="74" t="s">
        <v>6450</v>
      </c>
      <c r="C26067" s="74" t="s">
        <v>424</v>
      </c>
    </row>
    <row r="26068" spans="1:3">
      <c r="A26068" s="250">
        <v>60512</v>
      </c>
      <c r="B26068" s="74" t="s">
        <v>1098</v>
      </c>
      <c r="C26068" s="74" t="s">
        <v>424</v>
      </c>
    </row>
    <row r="26069" spans="1:3">
      <c r="A26069" s="250">
        <v>60513</v>
      </c>
      <c r="B26069" s="74" t="s">
        <v>728</v>
      </c>
      <c r="C26069" s="74" t="s">
        <v>424</v>
      </c>
    </row>
    <row r="26070" spans="1:3">
      <c r="A26070" s="250">
        <v>60514</v>
      </c>
      <c r="B26070" s="74" t="s">
        <v>13545</v>
      </c>
      <c r="C26070" s="74" t="s">
        <v>424</v>
      </c>
    </row>
    <row r="26071" spans="1:3">
      <c r="A26071" s="250">
        <v>60515</v>
      </c>
      <c r="B26071" s="74" t="s">
        <v>13546</v>
      </c>
      <c r="C26071" s="74" t="s">
        <v>424</v>
      </c>
    </row>
    <row r="26072" spans="1:3">
      <c r="A26072" s="250">
        <v>60516</v>
      </c>
      <c r="B26072" s="74" t="s">
        <v>13546</v>
      </c>
      <c r="C26072" s="74" t="s">
        <v>424</v>
      </c>
    </row>
    <row r="26073" spans="1:3">
      <c r="A26073" s="250">
        <v>60517</v>
      </c>
      <c r="B26073" s="74" t="s">
        <v>3214</v>
      </c>
      <c r="C26073" s="74" t="s">
        <v>424</v>
      </c>
    </row>
    <row r="26074" spans="1:3">
      <c r="A26074" s="250">
        <v>60518</v>
      </c>
      <c r="B26074" s="74" t="s">
        <v>3450</v>
      </c>
      <c r="C26074" s="74" t="s">
        <v>424</v>
      </c>
    </row>
    <row r="26075" spans="1:3">
      <c r="A26075" s="250">
        <v>60519</v>
      </c>
      <c r="B26075" s="74" t="s">
        <v>13547</v>
      </c>
      <c r="C26075" s="74" t="s">
        <v>424</v>
      </c>
    </row>
    <row r="26076" spans="1:3">
      <c r="A26076" s="250">
        <v>60520</v>
      </c>
      <c r="B26076" s="74" t="s">
        <v>1698</v>
      </c>
      <c r="C26076" s="74" t="s">
        <v>424</v>
      </c>
    </row>
    <row r="26077" spans="1:3">
      <c r="A26077" s="250">
        <v>60521</v>
      </c>
      <c r="B26077" s="74" t="s">
        <v>646</v>
      </c>
      <c r="C26077" s="74" t="s">
        <v>424</v>
      </c>
    </row>
    <row r="26078" spans="1:3">
      <c r="A26078" s="250">
        <v>60522</v>
      </c>
      <c r="B26078" s="74" t="s">
        <v>646</v>
      </c>
      <c r="C26078" s="74" t="s">
        <v>424</v>
      </c>
    </row>
    <row r="26079" spans="1:3">
      <c r="A26079" s="250">
        <v>60523</v>
      </c>
      <c r="B26079" s="74" t="s">
        <v>13548</v>
      </c>
      <c r="C26079" s="74" t="s">
        <v>424</v>
      </c>
    </row>
    <row r="26080" spans="1:3">
      <c r="A26080" s="250">
        <v>60525</v>
      </c>
      <c r="B26080" s="74" t="s">
        <v>7447</v>
      </c>
      <c r="C26080" s="74" t="s">
        <v>424</v>
      </c>
    </row>
    <row r="26081" spans="1:3">
      <c r="A26081" s="250">
        <v>60526</v>
      </c>
      <c r="B26081" s="74" t="s">
        <v>13549</v>
      </c>
      <c r="C26081" s="74" t="s">
        <v>424</v>
      </c>
    </row>
    <row r="26082" spans="1:3">
      <c r="A26082" s="250">
        <v>60527</v>
      </c>
      <c r="B26082" s="74" t="s">
        <v>13550</v>
      </c>
      <c r="C26082" s="74" t="s">
        <v>424</v>
      </c>
    </row>
    <row r="26083" spans="1:3">
      <c r="A26083" s="250">
        <v>60530</v>
      </c>
      <c r="B26083" s="74" t="s">
        <v>649</v>
      </c>
      <c r="C26083" s="74" t="s">
        <v>424</v>
      </c>
    </row>
    <row r="26084" spans="1:3">
      <c r="A26084" s="250">
        <v>60531</v>
      </c>
      <c r="B26084" s="74" t="s">
        <v>7406</v>
      </c>
      <c r="C26084" s="74" t="s">
        <v>424</v>
      </c>
    </row>
    <row r="26085" spans="1:3">
      <c r="A26085" s="250">
        <v>60532</v>
      </c>
      <c r="B26085" s="74" t="s">
        <v>3627</v>
      </c>
      <c r="C26085" s="74" t="s">
        <v>424</v>
      </c>
    </row>
    <row r="26086" spans="1:3">
      <c r="A26086" s="250">
        <v>60534</v>
      </c>
      <c r="B26086" s="74" t="s">
        <v>2349</v>
      </c>
      <c r="C26086" s="74" t="s">
        <v>424</v>
      </c>
    </row>
    <row r="26087" spans="1:3">
      <c r="A26087" s="250">
        <v>60536</v>
      </c>
      <c r="B26087" s="74" t="s">
        <v>3128</v>
      </c>
      <c r="C26087" s="74" t="s">
        <v>424</v>
      </c>
    </row>
    <row r="26088" spans="1:3">
      <c r="A26088" s="250">
        <v>60537</v>
      </c>
      <c r="B26088" s="74" t="s">
        <v>2351</v>
      </c>
      <c r="C26088" s="74" t="s">
        <v>424</v>
      </c>
    </row>
    <row r="26089" spans="1:3">
      <c r="A26089" s="250">
        <v>60538</v>
      </c>
      <c r="B26089" s="74" t="s">
        <v>1821</v>
      </c>
      <c r="C26089" s="74" t="s">
        <v>424</v>
      </c>
    </row>
    <row r="26090" spans="1:3">
      <c r="A26090" s="250">
        <v>60539</v>
      </c>
      <c r="B26090" s="74" t="s">
        <v>13551</v>
      </c>
      <c r="C26090" s="74" t="s">
        <v>424</v>
      </c>
    </row>
    <row r="26091" spans="1:3">
      <c r="A26091" s="250">
        <v>60540</v>
      </c>
      <c r="B26091" s="74" t="s">
        <v>13552</v>
      </c>
      <c r="C26091" s="74" t="s">
        <v>424</v>
      </c>
    </row>
    <row r="26092" spans="1:3">
      <c r="A26092" s="250">
        <v>60541</v>
      </c>
      <c r="B26092" s="74" t="s">
        <v>2172</v>
      </c>
      <c r="C26092" s="74" t="s">
        <v>424</v>
      </c>
    </row>
    <row r="26093" spans="1:3">
      <c r="A26093" s="250">
        <v>60542</v>
      </c>
      <c r="B26093" s="74" t="s">
        <v>13553</v>
      </c>
      <c r="C26093" s="74" t="s">
        <v>424</v>
      </c>
    </row>
    <row r="26094" spans="1:3">
      <c r="A26094" s="250">
        <v>60543</v>
      </c>
      <c r="B26094" s="74" t="s">
        <v>3398</v>
      </c>
      <c r="C26094" s="74" t="s">
        <v>424</v>
      </c>
    </row>
    <row r="26095" spans="1:3">
      <c r="A26095" s="250">
        <v>60544</v>
      </c>
      <c r="B26095" s="74" t="s">
        <v>611</v>
      </c>
      <c r="C26095" s="74" t="s">
        <v>424</v>
      </c>
    </row>
    <row r="26096" spans="1:3">
      <c r="A26096" s="250">
        <v>60545</v>
      </c>
      <c r="B26096" s="74" t="s">
        <v>11895</v>
      </c>
      <c r="C26096" s="74" t="s">
        <v>424</v>
      </c>
    </row>
    <row r="26097" spans="1:3">
      <c r="A26097" s="250">
        <v>60546</v>
      </c>
      <c r="B26097" s="74" t="s">
        <v>1147</v>
      </c>
      <c r="C26097" s="74" t="s">
        <v>424</v>
      </c>
    </row>
    <row r="26098" spans="1:3">
      <c r="A26098" s="250">
        <v>60548</v>
      </c>
      <c r="B26098" s="74" t="s">
        <v>1012</v>
      </c>
      <c r="C26098" s="74" t="s">
        <v>424</v>
      </c>
    </row>
    <row r="26099" spans="1:3">
      <c r="A26099" s="250">
        <v>60549</v>
      </c>
      <c r="B26099" s="74" t="s">
        <v>13554</v>
      </c>
      <c r="C26099" s="74" t="s">
        <v>424</v>
      </c>
    </row>
    <row r="26100" spans="1:3">
      <c r="A26100" s="250">
        <v>60550</v>
      </c>
      <c r="B26100" s="74" t="s">
        <v>13555</v>
      </c>
      <c r="C26100" s="74" t="s">
        <v>424</v>
      </c>
    </row>
    <row r="26101" spans="1:3">
      <c r="A26101" s="250">
        <v>60551</v>
      </c>
      <c r="B26101" s="74" t="s">
        <v>1651</v>
      </c>
      <c r="C26101" s="74" t="s">
        <v>424</v>
      </c>
    </row>
    <row r="26102" spans="1:3">
      <c r="A26102" s="250">
        <v>60552</v>
      </c>
      <c r="B26102" s="74" t="s">
        <v>13556</v>
      </c>
      <c r="C26102" s="74" t="s">
        <v>424</v>
      </c>
    </row>
    <row r="26103" spans="1:3">
      <c r="A26103" s="250">
        <v>60553</v>
      </c>
      <c r="B26103" s="74" t="s">
        <v>13557</v>
      </c>
      <c r="C26103" s="74" t="s">
        <v>424</v>
      </c>
    </row>
    <row r="26104" spans="1:3">
      <c r="A26104" s="250">
        <v>60554</v>
      </c>
      <c r="B26104" s="74" t="s">
        <v>4493</v>
      </c>
      <c r="C26104" s="74" t="s">
        <v>424</v>
      </c>
    </row>
    <row r="26105" spans="1:3">
      <c r="A26105" s="250">
        <v>60555</v>
      </c>
      <c r="B26105" s="74" t="s">
        <v>7827</v>
      </c>
      <c r="C26105" s="74" t="s">
        <v>424</v>
      </c>
    </row>
    <row r="26106" spans="1:3">
      <c r="A26106" s="250">
        <v>60556</v>
      </c>
      <c r="B26106" s="74" t="s">
        <v>13558</v>
      </c>
      <c r="C26106" s="74" t="s">
        <v>424</v>
      </c>
    </row>
    <row r="26107" spans="1:3">
      <c r="A26107" s="250">
        <v>60557</v>
      </c>
      <c r="B26107" s="74" t="s">
        <v>13559</v>
      </c>
      <c r="C26107" s="74" t="s">
        <v>424</v>
      </c>
    </row>
    <row r="26108" spans="1:3">
      <c r="A26108" s="250">
        <v>60558</v>
      </c>
      <c r="B26108" s="74" t="s">
        <v>13560</v>
      </c>
      <c r="C26108" s="74" t="s">
        <v>424</v>
      </c>
    </row>
    <row r="26109" spans="1:3">
      <c r="A26109" s="250">
        <v>60559</v>
      </c>
      <c r="B26109" s="74" t="s">
        <v>13561</v>
      </c>
      <c r="C26109" s="74" t="s">
        <v>424</v>
      </c>
    </row>
    <row r="26110" spans="1:3">
      <c r="A26110" s="250">
        <v>60560</v>
      </c>
      <c r="B26110" s="74" t="s">
        <v>3520</v>
      </c>
      <c r="C26110" s="74" t="s">
        <v>424</v>
      </c>
    </row>
    <row r="26111" spans="1:3">
      <c r="A26111" s="250">
        <v>60561</v>
      </c>
      <c r="B26111" s="74" t="s">
        <v>2100</v>
      </c>
      <c r="C26111" s="74" t="s">
        <v>424</v>
      </c>
    </row>
    <row r="26112" spans="1:3">
      <c r="A26112" s="250">
        <v>60563</v>
      </c>
      <c r="B26112" s="74" t="s">
        <v>13552</v>
      </c>
      <c r="C26112" s="74" t="s">
        <v>424</v>
      </c>
    </row>
    <row r="26113" spans="1:3">
      <c r="A26113" s="250">
        <v>60564</v>
      </c>
      <c r="B26113" s="74" t="s">
        <v>13552</v>
      </c>
      <c r="C26113" s="74" t="s">
        <v>424</v>
      </c>
    </row>
    <row r="26114" spans="1:3">
      <c r="A26114" s="250">
        <v>60565</v>
      </c>
      <c r="B26114" s="74" t="s">
        <v>13552</v>
      </c>
      <c r="C26114" s="74" t="s">
        <v>424</v>
      </c>
    </row>
    <row r="26115" spans="1:3">
      <c r="A26115" s="250">
        <v>60566</v>
      </c>
      <c r="B26115" s="74" t="s">
        <v>13552</v>
      </c>
      <c r="C26115" s="74" t="s">
        <v>424</v>
      </c>
    </row>
    <row r="26116" spans="1:3">
      <c r="A26116" s="250">
        <v>60567</v>
      </c>
      <c r="B26116" s="74" t="s">
        <v>13552</v>
      </c>
      <c r="C26116" s="74" t="s">
        <v>424</v>
      </c>
    </row>
    <row r="26117" spans="1:3">
      <c r="A26117" s="250">
        <v>60568</v>
      </c>
      <c r="B26117" s="74" t="s">
        <v>1489</v>
      </c>
      <c r="C26117" s="74" t="s">
        <v>424</v>
      </c>
    </row>
    <row r="26118" spans="1:3">
      <c r="A26118" s="250">
        <v>60570</v>
      </c>
      <c r="B26118" s="74" t="s">
        <v>646</v>
      </c>
      <c r="C26118" s="74" t="s">
        <v>424</v>
      </c>
    </row>
    <row r="26119" spans="1:3">
      <c r="A26119" s="250">
        <v>60572</v>
      </c>
      <c r="B26119" s="74" t="s">
        <v>1489</v>
      </c>
      <c r="C26119" s="74" t="s">
        <v>424</v>
      </c>
    </row>
    <row r="26120" spans="1:3">
      <c r="A26120" s="250">
        <v>60585</v>
      </c>
      <c r="B26120" s="74" t="s">
        <v>611</v>
      </c>
      <c r="C26120" s="74" t="s">
        <v>424</v>
      </c>
    </row>
    <row r="26121" spans="1:3">
      <c r="A26121" s="250">
        <v>60586</v>
      </c>
      <c r="B26121" s="74" t="s">
        <v>611</v>
      </c>
      <c r="C26121" s="74" t="s">
        <v>424</v>
      </c>
    </row>
    <row r="26122" spans="1:3">
      <c r="A26122" s="250">
        <v>60597</v>
      </c>
      <c r="B26122" s="74" t="s">
        <v>13562</v>
      </c>
      <c r="C26122" s="74" t="s">
        <v>424</v>
      </c>
    </row>
    <row r="26123" spans="1:3">
      <c r="A26123" s="250">
        <v>60598</v>
      </c>
      <c r="B26123" s="74" t="s">
        <v>1489</v>
      </c>
      <c r="C26123" s="74" t="s">
        <v>424</v>
      </c>
    </row>
    <row r="26124" spans="1:3">
      <c r="A26124" s="250">
        <v>60599</v>
      </c>
      <c r="B26124" s="74" t="s">
        <v>13562</v>
      </c>
      <c r="C26124" s="74" t="s">
        <v>424</v>
      </c>
    </row>
    <row r="26125" spans="1:3">
      <c r="A26125" s="250">
        <v>60601</v>
      </c>
      <c r="B26125" s="74" t="s">
        <v>13496</v>
      </c>
      <c r="C26125" s="74" t="s">
        <v>424</v>
      </c>
    </row>
    <row r="26126" spans="1:3">
      <c r="A26126" s="250">
        <v>60602</v>
      </c>
      <c r="B26126" s="74" t="s">
        <v>13496</v>
      </c>
      <c r="C26126" s="74" t="s">
        <v>424</v>
      </c>
    </row>
    <row r="26127" spans="1:3">
      <c r="A26127" s="250">
        <v>60603</v>
      </c>
      <c r="B26127" s="74" t="s">
        <v>13496</v>
      </c>
      <c r="C26127" s="74" t="s">
        <v>424</v>
      </c>
    </row>
    <row r="26128" spans="1:3">
      <c r="A26128" s="250">
        <v>60604</v>
      </c>
      <c r="B26128" s="74" t="s">
        <v>13496</v>
      </c>
      <c r="C26128" s="74" t="s">
        <v>424</v>
      </c>
    </row>
    <row r="26129" spans="1:3">
      <c r="A26129" s="250">
        <v>60605</v>
      </c>
      <c r="B26129" s="74" t="s">
        <v>13496</v>
      </c>
      <c r="C26129" s="74" t="s">
        <v>424</v>
      </c>
    </row>
    <row r="26130" spans="1:3">
      <c r="A26130" s="250">
        <v>60606</v>
      </c>
      <c r="B26130" s="74" t="s">
        <v>13496</v>
      </c>
      <c r="C26130" s="74" t="s">
        <v>424</v>
      </c>
    </row>
    <row r="26131" spans="1:3">
      <c r="A26131" s="250">
        <v>60607</v>
      </c>
      <c r="B26131" s="74" t="s">
        <v>13496</v>
      </c>
      <c r="C26131" s="74" t="s">
        <v>424</v>
      </c>
    </row>
    <row r="26132" spans="1:3">
      <c r="A26132" s="250">
        <v>60608</v>
      </c>
      <c r="B26132" s="74" t="s">
        <v>13496</v>
      </c>
      <c r="C26132" s="74" t="s">
        <v>424</v>
      </c>
    </row>
    <row r="26133" spans="1:3">
      <c r="A26133" s="250">
        <v>60609</v>
      </c>
      <c r="B26133" s="74" t="s">
        <v>13496</v>
      </c>
      <c r="C26133" s="74" t="s">
        <v>424</v>
      </c>
    </row>
    <row r="26134" spans="1:3">
      <c r="A26134" s="250">
        <v>60610</v>
      </c>
      <c r="B26134" s="74" t="s">
        <v>13496</v>
      </c>
      <c r="C26134" s="74" t="s">
        <v>424</v>
      </c>
    </row>
    <row r="26135" spans="1:3">
      <c r="A26135" s="250">
        <v>60611</v>
      </c>
      <c r="B26135" s="74" t="s">
        <v>13496</v>
      </c>
      <c r="C26135" s="74" t="s">
        <v>424</v>
      </c>
    </row>
    <row r="26136" spans="1:3">
      <c r="A26136" s="250">
        <v>60612</v>
      </c>
      <c r="B26136" s="74" t="s">
        <v>13496</v>
      </c>
      <c r="C26136" s="74" t="s">
        <v>424</v>
      </c>
    </row>
    <row r="26137" spans="1:3">
      <c r="A26137" s="250">
        <v>60613</v>
      </c>
      <c r="B26137" s="74" t="s">
        <v>13496</v>
      </c>
      <c r="C26137" s="74" t="s">
        <v>424</v>
      </c>
    </row>
    <row r="26138" spans="1:3">
      <c r="A26138" s="250">
        <v>60614</v>
      </c>
      <c r="B26138" s="74" t="s">
        <v>13496</v>
      </c>
      <c r="C26138" s="74" t="s">
        <v>424</v>
      </c>
    </row>
    <row r="26139" spans="1:3">
      <c r="A26139" s="250">
        <v>60615</v>
      </c>
      <c r="B26139" s="74" t="s">
        <v>13496</v>
      </c>
      <c r="C26139" s="74" t="s">
        <v>424</v>
      </c>
    </row>
    <row r="26140" spans="1:3">
      <c r="A26140" s="250">
        <v>60616</v>
      </c>
      <c r="B26140" s="74" t="s">
        <v>13496</v>
      </c>
      <c r="C26140" s="74" t="s">
        <v>424</v>
      </c>
    </row>
    <row r="26141" spans="1:3">
      <c r="A26141" s="250">
        <v>60617</v>
      </c>
      <c r="B26141" s="74" t="s">
        <v>13496</v>
      </c>
      <c r="C26141" s="74" t="s">
        <v>424</v>
      </c>
    </row>
    <row r="26142" spans="1:3">
      <c r="A26142" s="250">
        <v>60618</v>
      </c>
      <c r="B26142" s="74" t="s">
        <v>13496</v>
      </c>
      <c r="C26142" s="74" t="s">
        <v>424</v>
      </c>
    </row>
    <row r="26143" spans="1:3">
      <c r="A26143" s="250">
        <v>60619</v>
      </c>
      <c r="B26143" s="74" t="s">
        <v>13496</v>
      </c>
      <c r="C26143" s="74" t="s">
        <v>424</v>
      </c>
    </row>
    <row r="26144" spans="1:3">
      <c r="A26144" s="250">
        <v>60620</v>
      </c>
      <c r="B26144" s="74" t="s">
        <v>13496</v>
      </c>
      <c r="C26144" s="74" t="s">
        <v>424</v>
      </c>
    </row>
    <row r="26145" spans="1:3">
      <c r="A26145" s="250">
        <v>60621</v>
      </c>
      <c r="B26145" s="74" t="s">
        <v>13496</v>
      </c>
      <c r="C26145" s="74" t="s">
        <v>424</v>
      </c>
    </row>
    <row r="26146" spans="1:3">
      <c r="A26146" s="250">
        <v>60622</v>
      </c>
      <c r="B26146" s="74" t="s">
        <v>13496</v>
      </c>
      <c r="C26146" s="74" t="s">
        <v>424</v>
      </c>
    </row>
    <row r="26147" spans="1:3">
      <c r="A26147" s="250">
        <v>60623</v>
      </c>
      <c r="B26147" s="74" t="s">
        <v>13496</v>
      </c>
      <c r="C26147" s="74" t="s">
        <v>424</v>
      </c>
    </row>
    <row r="26148" spans="1:3">
      <c r="A26148" s="250">
        <v>60624</v>
      </c>
      <c r="B26148" s="74" t="s">
        <v>13496</v>
      </c>
      <c r="C26148" s="74" t="s">
        <v>424</v>
      </c>
    </row>
    <row r="26149" spans="1:3">
      <c r="A26149" s="250">
        <v>60625</v>
      </c>
      <c r="B26149" s="74" t="s">
        <v>13496</v>
      </c>
      <c r="C26149" s="74" t="s">
        <v>424</v>
      </c>
    </row>
    <row r="26150" spans="1:3">
      <c r="A26150" s="250">
        <v>60626</v>
      </c>
      <c r="B26150" s="74" t="s">
        <v>13496</v>
      </c>
      <c r="C26150" s="74" t="s">
        <v>424</v>
      </c>
    </row>
    <row r="26151" spans="1:3">
      <c r="A26151" s="250">
        <v>60628</v>
      </c>
      <c r="B26151" s="74" t="s">
        <v>13496</v>
      </c>
      <c r="C26151" s="74" t="s">
        <v>424</v>
      </c>
    </row>
    <row r="26152" spans="1:3">
      <c r="A26152" s="250">
        <v>60629</v>
      </c>
      <c r="B26152" s="74" t="s">
        <v>13496</v>
      </c>
      <c r="C26152" s="74" t="s">
        <v>424</v>
      </c>
    </row>
    <row r="26153" spans="1:3">
      <c r="A26153" s="250">
        <v>60630</v>
      </c>
      <c r="B26153" s="74" t="s">
        <v>13496</v>
      </c>
      <c r="C26153" s="74" t="s">
        <v>424</v>
      </c>
    </row>
    <row r="26154" spans="1:3">
      <c r="A26154" s="250">
        <v>60631</v>
      </c>
      <c r="B26154" s="74" t="s">
        <v>13496</v>
      </c>
      <c r="C26154" s="74" t="s">
        <v>424</v>
      </c>
    </row>
    <row r="26155" spans="1:3">
      <c r="A26155" s="250">
        <v>60632</v>
      </c>
      <c r="B26155" s="74" t="s">
        <v>13496</v>
      </c>
      <c r="C26155" s="74" t="s">
        <v>424</v>
      </c>
    </row>
    <row r="26156" spans="1:3">
      <c r="A26156" s="250">
        <v>60633</v>
      </c>
      <c r="B26156" s="74" t="s">
        <v>13496</v>
      </c>
      <c r="C26156" s="74" t="s">
        <v>424</v>
      </c>
    </row>
    <row r="26157" spans="1:3">
      <c r="A26157" s="250">
        <v>60634</v>
      </c>
      <c r="B26157" s="74" t="s">
        <v>13496</v>
      </c>
      <c r="C26157" s="74" t="s">
        <v>424</v>
      </c>
    </row>
    <row r="26158" spans="1:3">
      <c r="A26158" s="250">
        <v>60636</v>
      </c>
      <c r="B26158" s="74" t="s">
        <v>13496</v>
      </c>
      <c r="C26158" s="74" t="s">
        <v>424</v>
      </c>
    </row>
    <row r="26159" spans="1:3">
      <c r="A26159" s="250">
        <v>60637</v>
      </c>
      <c r="B26159" s="74" t="s">
        <v>13496</v>
      </c>
      <c r="C26159" s="74" t="s">
        <v>424</v>
      </c>
    </row>
    <row r="26160" spans="1:3">
      <c r="A26160" s="250">
        <v>60638</v>
      </c>
      <c r="B26160" s="74" t="s">
        <v>13496</v>
      </c>
      <c r="C26160" s="74" t="s">
        <v>424</v>
      </c>
    </row>
    <row r="26161" spans="1:3">
      <c r="A26161" s="250">
        <v>60639</v>
      </c>
      <c r="B26161" s="74" t="s">
        <v>13496</v>
      </c>
      <c r="C26161" s="74" t="s">
        <v>424</v>
      </c>
    </row>
    <row r="26162" spans="1:3">
      <c r="A26162" s="250">
        <v>60640</v>
      </c>
      <c r="B26162" s="74" t="s">
        <v>13496</v>
      </c>
      <c r="C26162" s="74" t="s">
        <v>424</v>
      </c>
    </row>
    <row r="26163" spans="1:3">
      <c r="A26163" s="250">
        <v>60641</v>
      </c>
      <c r="B26163" s="74" t="s">
        <v>13496</v>
      </c>
      <c r="C26163" s="74" t="s">
        <v>424</v>
      </c>
    </row>
    <row r="26164" spans="1:3">
      <c r="A26164" s="250">
        <v>60642</v>
      </c>
      <c r="B26164" s="74" t="s">
        <v>13496</v>
      </c>
      <c r="C26164" s="74" t="s">
        <v>424</v>
      </c>
    </row>
    <row r="26165" spans="1:3">
      <c r="A26165" s="250">
        <v>60643</v>
      </c>
      <c r="B26165" s="74" t="s">
        <v>13496</v>
      </c>
      <c r="C26165" s="74" t="s">
        <v>424</v>
      </c>
    </row>
    <row r="26166" spans="1:3">
      <c r="A26166" s="250">
        <v>60644</v>
      </c>
      <c r="B26166" s="74" t="s">
        <v>13496</v>
      </c>
      <c r="C26166" s="74" t="s">
        <v>424</v>
      </c>
    </row>
    <row r="26167" spans="1:3">
      <c r="A26167" s="250">
        <v>60645</v>
      </c>
      <c r="B26167" s="74" t="s">
        <v>13496</v>
      </c>
      <c r="C26167" s="74" t="s">
        <v>424</v>
      </c>
    </row>
    <row r="26168" spans="1:3">
      <c r="A26168" s="250">
        <v>60646</v>
      </c>
      <c r="B26168" s="74" t="s">
        <v>13496</v>
      </c>
      <c r="C26168" s="74" t="s">
        <v>424</v>
      </c>
    </row>
    <row r="26169" spans="1:3">
      <c r="A26169" s="250">
        <v>60647</v>
      </c>
      <c r="B26169" s="74" t="s">
        <v>13496</v>
      </c>
      <c r="C26169" s="74" t="s">
        <v>424</v>
      </c>
    </row>
    <row r="26170" spans="1:3">
      <c r="A26170" s="250">
        <v>60649</v>
      </c>
      <c r="B26170" s="74" t="s">
        <v>13496</v>
      </c>
      <c r="C26170" s="74" t="s">
        <v>424</v>
      </c>
    </row>
    <row r="26171" spans="1:3">
      <c r="A26171" s="250">
        <v>60651</v>
      </c>
      <c r="B26171" s="74" t="s">
        <v>13496</v>
      </c>
      <c r="C26171" s="74" t="s">
        <v>424</v>
      </c>
    </row>
    <row r="26172" spans="1:3">
      <c r="A26172" s="250">
        <v>60652</v>
      </c>
      <c r="B26172" s="74" t="s">
        <v>13496</v>
      </c>
      <c r="C26172" s="74" t="s">
        <v>424</v>
      </c>
    </row>
    <row r="26173" spans="1:3">
      <c r="A26173" s="250">
        <v>60653</v>
      </c>
      <c r="B26173" s="74" t="s">
        <v>13496</v>
      </c>
      <c r="C26173" s="74" t="s">
        <v>424</v>
      </c>
    </row>
    <row r="26174" spans="1:3">
      <c r="A26174" s="250">
        <v>60654</v>
      </c>
      <c r="B26174" s="74" t="s">
        <v>13496</v>
      </c>
      <c r="C26174" s="74" t="s">
        <v>424</v>
      </c>
    </row>
    <row r="26175" spans="1:3">
      <c r="A26175" s="250">
        <v>60655</v>
      </c>
      <c r="B26175" s="74" t="s">
        <v>13496</v>
      </c>
      <c r="C26175" s="74" t="s">
        <v>424</v>
      </c>
    </row>
    <row r="26176" spans="1:3">
      <c r="A26176" s="250">
        <v>60656</v>
      </c>
      <c r="B26176" s="74" t="s">
        <v>13496</v>
      </c>
      <c r="C26176" s="74" t="s">
        <v>424</v>
      </c>
    </row>
    <row r="26177" spans="1:3">
      <c r="A26177" s="250">
        <v>60657</v>
      </c>
      <c r="B26177" s="74" t="s">
        <v>13496</v>
      </c>
      <c r="C26177" s="74" t="s">
        <v>424</v>
      </c>
    </row>
    <row r="26178" spans="1:3">
      <c r="A26178" s="250">
        <v>60659</v>
      </c>
      <c r="B26178" s="74" t="s">
        <v>13496</v>
      </c>
      <c r="C26178" s="74" t="s">
        <v>424</v>
      </c>
    </row>
    <row r="26179" spans="1:3">
      <c r="A26179" s="250">
        <v>60660</v>
      </c>
      <c r="B26179" s="74" t="s">
        <v>13496</v>
      </c>
      <c r="C26179" s="74" t="s">
        <v>424</v>
      </c>
    </row>
    <row r="26180" spans="1:3">
      <c r="A26180" s="250">
        <v>60661</v>
      </c>
      <c r="B26180" s="74" t="s">
        <v>13496</v>
      </c>
      <c r="C26180" s="74" t="s">
        <v>424</v>
      </c>
    </row>
    <row r="26181" spans="1:3">
      <c r="A26181" s="250">
        <v>60663</v>
      </c>
      <c r="B26181" s="74" t="s">
        <v>13496</v>
      </c>
      <c r="C26181" s="74" t="s">
        <v>424</v>
      </c>
    </row>
    <row r="26182" spans="1:3">
      <c r="A26182" s="250">
        <v>60664</v>
      </c>
      <c r="B26182" s="74" t="s">
        <v>13496</v>
      </c>
      <c r="C26182" s="74" t="s">
        <v>424</v>
      </c>
    </row>
    <row r="26183" spans="1:3">
      <c r="A26183" s="250">
        <v>60666</v>
      </c>
      <c r="B26183" s="74" t="s">
        <v>13496</v>
      </c>
      <c r="C26183" s="74" t="s">
        <v>424</v>
      </c>
    </row>
    <row r="26184" spans="1:3">
      <c r="A26184" s="250">
        <v>60668</v>
      </c>
      <c r="B26184" s="74" t="s">
        <v>13496</v>
      </c>
      <c r="C26184" s="74" t="s">
        <v>424</v>
      </c>
    </row>
    <row r="26185" spans="1:3">
      <c r="A26185" s="250">
        <v>60669</v>
      </c>
      <c r="B26185" s="74" t="s">
        <v>13496</v>
      </c>
      <c r="C26185" s="74" t="s">
        <v>424</v>
      </c>
    </row>
    <row r="26186" spans="1:3">
      <c r="A26186" s="250">
        <v>60670</v>
      </c>
      <c r="B26186" s="74" t="s">
        <v>13496</v>
      </c>
      <c r="C26186" s="74" t="s">
        <v>424</v>
      </c>
    </row>
    <row r="26187" spans="1:3">
      <c r="A26187" s="250">
        <v>60673</v>
      </c>
      <c r="B26187" s="74" t="s">
        <v>13496</v>
      </c>
      <c r="C26187" s="74" t="s">
        <v>424</v>
      </c>
    </row>
    <row r="26188" spans="1:3">
      <c r="A26188" s="250">
        <v>60674</v>
      </c>
      <c r="B26188" s="74" t="s">
        <v>13496</v>
      </c>
      <c r="C26188" s="74" t="s">
        <v>424</v>
      </c>
    </row>
    <row r="26189" spans="1:3">
      <c r="A26189" s="250">
        <v>60675</v>
      </c>
      <c r="B26189" s="74" t="s">
        <v>13496</v>
      </c>
      <c r="C26189" s="74" t="s">
        <v>424</v>
      </c>
    </row>
    <row r="26190" spans="1:3">
      <c r="A26190" s="250">
        <v>60677</v>
      </c>
      <c r="B26190" s="74" t="s">
        <v>13496</v>
      </c>
      <c r="C26190" s="74" t="s">
        <v>424</v>
      </c>
    </row>
    <row r="26191" spans="1:3">
      <c r="A26191" s="250">
        <v>60678</v>
      </c>
      <c r="B26191" s="74" t="s">
        <v>13496</v>
      </c>
      <c r="C26191" s="74" t="s">
        <v>424</v>
      </c>
    </row>
    <row r="26192" spans="1:3">
      <c r="A26192" s="250">
        <v>60679</v>
      </c>
      <c r="B26192" s="74" t="s">
        <v>13496</v>
      </c>
      <c r="C26192" s="74" t="s">
        <v>424</v>
      </c>
    </row>
    <row r="26193" spans="1:3">
      <c r="A26193" s="250">
        <v>60680</v>
      </c>
      <c r="B26193" s="74" t="s">
        <v>13496</v>
      </c>
      <c r="C26193" s="74" t="s">
        <v>424</v>
      </c>
    </row>
    <row r="26194" spans="1:3">
      <c r="A26194" s="250">
        <v>60681</v>
      </c>
      <c r="B26194" s="74" t="s">
        <v>13496</v>
      </c>
      <c r="C26194" s="74" t="s">
        <v>424</v>
      </c>
    </row>
    <row r="26195" spans="1:3">
      <c r="A26195" s="250">
        <v>60682</v>
      </c>
      <c r="B26195" s="74" t="s">
        <v>13496</v>
      </c>
      <c r="C26195" s="74" t="s">
        <v>424</v>
      </c>
    </row>
    <row r="26196" spans="1:3">
      <c r="A26196" s="250">
        <v>60684</v>
      </c>
      <c r="B26196" s="74" t="s">
        <v>13496</v>
      </c>
      <c r="C26196" s="74" t="s">
        <v>424</v>
      </c>
    </row>
    <row r="26197" spans="1:3">
      <c r="A26197" s="250">
        <v>60685</v>
      </c>
      <c r="B26197" s="74" t="s">
        <v>13496</v>
      </c>
      <c r="C26197" s="74" t="s">
        <v>424</v>
      </c>
    </row>
    <row r="26198" spans="1:3">
      <c r="A26198" s="250">
        <v>60686</v>
      </c>
      <c r="B26198" s="74" t="s">
        <v>13496</v>
      </c>
      <c r="C26198" s="74" t="s">
        <v>424</v>
      </c>
    </row>
    <row r="26199" spans="1:3">
      <c r="A26199" s="250">
        <v>60687</v>
      </c>
      <c r="B26199" s="74" t="s">
        <v>13496</v>
      </c>
      <c r="C26199" s="74" t="s">
        <v>424</v>
      </c>
    </row>
    <row r="26200" spans="1:3">
      <c r="A26200" s="250">
        <v>60688</v>
      </c>
      <c r="B26200" s="74" t="s">
        <v>13496</v>
      </c>
      <c r="C26200" s="74" t="s">
        <v>424</v>
      </c>
    </row>
    <row r="26201" spans="1:3">
      <c r="A26201" s="250">
        <v>60689</v>
      </c>
      <c r="B26201" s="74" t="s">
        <v>13496</v>
      </c>
      <c r="C26201" s="74" t="s">
        <v>424</v>
      </c>
    </row>
    <row r="26202" spans="1:3">
      <c r="A26202" s="250">
        <v>60690</v>
      </c>
      <c r="B26202" s="74" t="s">
        <v>13496</v>
      </c>
      <c r="C26202" s="74" t="s">
        <v>424</v>
      </c>
    </row>
    <row r="26203" spans="1:3">
      <c r="A26203" s="250">
        <v>60691</v>
      </c>
      <c r="B26203" s="74" t="s">
        <v>13496</v>
      </c>
      <c r="C26203" s="74" t="s">
        <v>424</v>
      </c>
    </row>
    <row r="26204" spans="1:3">
      <c r="A26204" s="250">
        <v>60693</v>
      </c>
      <c r="B26204" s="74" t="s">
        <v>13496</v>
      </c>
      <c r="C26204" s="74" t="s">
        <v>424</v>
      </c>
    </row>
    <row r="26205" spans="1:3">
      <c r="A26205" s="250">
        <v>60694</v>
      </c>
      <c r="B26205" s="74" t="s">
        <v>13496</v>
      </c>
      <c r="C26205" s="74" t="s">
        <v>424</v>
      </c>
    </row>
    <row r="26206" spans="1:3">
      <c r="A26206" s="250">
        <v>60695</v>
      </c>
      <c r="B26206" s="74" t="s">
        <v>13496</v>
      </c>
      <c r="C26206" s="74" t="s">
        <v>424</v>
      </c>
    </row>
    <row r="26207" spans="1:3">
      <c r="A26207" s="250">
        <v>60696</v>
      </c>
      <c r="B26207" s="74" t="s">
        <v>13496</v>
      </c>
      <c r="C26207" s="74" t="s">
        <v>424</v>
      </c>
    </row>
    <row r="26208" spans="1:3">
      <c r="A26208" s="250">
        <v>60697</v>
      </c>
      <c r="B26208" s="74" t="s">
        <v>13496</v>
      </c>
      <c r="C26208" s="74" t="s">
        <v>424</v>
      </c>
    </row>
    <row r="26209" spans="1:3">
      <c r="A26209" s="250">
        <v>60699</v>
      </c>
      <c r="B26209" s="74" t="s">
        <v>13496</v>
      </c>
      <c r="C26209" s="74" t="s">
        <v>424</v>
      </c>
    </row>
    <row r="26210" spans="1:3">
      <c r="A26210" s="250">
        <v>60701</v>
      </c>
      <c r="B26210" s="74" t="s">
        <v>13496</v>
      </c>
      <c r="C26210" s="74" t="s">
        <v>424</v>
      </c>
    </row>
    <row r="26211" spans="1:3">
      <c r="A26211" s="250">
        <v>60706</v>
      </c>
      <c r="B26211" s="74" t="s">
        <v>13563</v>
      </c>
      <c r="C26211" s="74" t="s">
        <v>424</v>
      </c>
    </row>
    <row r="26212" spans="1:3">
      <c r="A26212" s="250">
        <v>60707</v>
      </c>
      <c r="B26212" s="74" t="s">
        <v>2184</v>
      </c>
      <c r="C26212" s="74" t="s">
        <v>424</v>
      </c>
    </row>
    <row r="26213" spans="1:3">
      <c r="A26213" s="250">
        <v>60712</v>
      </c>
      <c r="B26213" s="74" t="s">
        <v>13564</v>
      </c>
      <c r="C26213" s="74" t="s">
        <v>424</v>
      </c>
    </row>
    <row r="26214" spans="1:3">
      <c r="A26214" s="250">
        <v>60714</v>
      </c>
      <c r="B26214" s="74" t="s">
        <v>10377</v>
      </c>
      <c r="C26214" s="74" t="s">
        <v>424</v>
      </c>
    </row>
    <row r="26215" spans="1:3">
      <c r="A26215" s="250">
        <v>60803</v>
      </c>
      <c r="B26215" s="74" t="s">
        <v>13565</v>
      </c>
      <c r="C26215" s="74" t="s">
        <v>424</v>
      </c>
    </row>
    <row r="26216" spans="1:3">
      <c r="A26216" s="250">
        <v>60804</v>
      </c>
      <c r="B26216" s="74" t="s">
        <v>3347</v>
      </c>
      <c r="C26216" s="74" t="s">
        <v>424</v>
      </c>
    </row>
    <row r="26217" spans="1:3">
      <c r="A26217" s="250">
        <v>60805</v>
      </c>
      <c r="B26217" s="74" t="s">
        <v>13566</v>
      </c>
      <c r="C26217" s="74" t="s">
        <v>424</v>
      </c>
    </row>
    <row r="26218" spans="1:3">
      <c r="A26218" s="250">
        <v>60827</v>
      </c>
      <c r="B26218" s="74" t="s">
        <v>2207</v>
      </c>
      <c r="C26218" s="74" t="s">
        <v>424</v>
      </c>
    </row>
    <row r="26219" spans="1:3">
      <c r="A26219" s="250">
        <v>60901</v>
      </c>
      <c r="B26219" s="74" t="s">
        <v>13567</v>
      </c>
      <c r="C26219" s="74" t="s">
        <v>424</v>
      </c>
    </row>
    <row r="26220" spans="1:3">
      <c r="A26220" s="250">
        <v>60910</v>
      </c>
      <c r="B26220" s="74" t="s">
        <v>13568</v>
      </c>
      <c r="C26220" s="74" t="s">
        <v>424</v>
      </c>
    </row>
    <row r="26221" spans="1:3">
      <c r="A26221" s="250">
        <v>60911</v>
      </c>
      <c r="B26221" s="74" t="s">
        <v>13569</v>
      </c>
      <c r="C26221" s="74" t="s">
        <v>424</v>
      </c>
    </row>
    <row r="26222" spans="1:3">
      <c r="A26222" s="250">
        <v>60912</v>
      </c>
      <c r="B26222" s="74" t="s">
        <v>13570</v>
      </c>
      <c r="C26222" s="74" t="s">
        <v>424</v>
      </c>
    </row>
    <row r="26223" spans="1:3">
      <c r="A26223" s="250">
        <v>60913</v>
      </c>
      <c r="B26223" s="74" t="s">
        <v>13571</v>
      </c>
      <c r="C26223" s="74" t="s">
        <v>424</v>
      </c>
    </row>
    <row r="26224" spans="1:3">
      <c r="A26224" s="250">
        <v>60914</v>
      </c>
      <c r="B26224" s="74" t="s">
        <v>13572</v>
      </c>
      <c r="C26224" s="74" t="s">
        <v>424</v>
      </c>
    </row>
    <row r="26225" spans="1:3">
      <c r="A26225" s="250">
        <v>60915</v>
      </c>
      <c r="B26225" s="74" t="s">
        <v>1490</v>
      </c>
      <c r="C26225" s="74" t="s">
        <v>424</v>
      </c>
    </row>
    <row r="26226" spans="1:3">
      <c r="A26226" s="250">
        <v>60917</v>
      </c>
      <c r="B26226" s="74" t="s">
        <v>5261</v>
      </c>
      <c r="C26226" s="74" t="s">
        <v>424</v>
      </c>
    </row>
    <row r="26227" spans="1:3">
      <c r="A26227" s="250">
        <v>60918</v>
      </c>
      <c r="B26227" s="74" t="s">
        <v>11300</v>
      </c>
      <c r="C26227" s="74" t="s">
        <v>424</v>
      </c>
    </row>
    <row r="26228" spans="1:3">
      <c r="A26228" s="250">
        <v>60919</v>
      </c>
      <c r="B26228" s="74" t="s">
        <v>13573</v>
      </c>
      <c r="C26228" s="74" t="s">
        <v>424</v>
      </c>
    </row>
    <row r="26229" spans="1:3">
      <c r="A26229" s="250">
        <v>60920</v>
      </c>
      <c r="B26229" s="74" t="s">
        <v>13574</v>
      </c>
      <c r="C26229" s="74" t="s">
        <v>424</v>
      </c>
    </row>
    <row r="26230" spans="1:3">
      <c r="A26230" s="250">
        <v>60921</v>
      </c>
      <c r="B26230" s="74" t="s">
        <v>2373</v>
      </c>
      <c r="C26230" s="74" t="s">
        <v>424</v>
      </c>
    </row>
    <row r="26231" spans="1:3">
      <c r="A26231" s="250">
        <v>60922</v>
      </c>
      <c r="B26231" s="74" t="s">
        <v>13575</v>
      </c>
      <c r="C26231" s="74" t="s">
        <v>424</v>
      </c>
    </row>
    <row r="26232" spans="1:3">
      <c r="A26232" s="250">
        <v>60924</v>
      </c>
      <c r="B26232" s="74" t="s">
        <v>13576</v>
      </c>
      <c r="C26232" s="74" t="s">
        <v>424</v>
      </c>
    </row>
    <row r="26233" spans="1:3">
      <c r="A26233" s="250">
        <v>60926</v>
      </c>
      <c r="B26233" s="74" t="s">
        <v>13577</v>
      </c>
      <c r="C26233" s="74" t="s">
        <v>424</v>
      </c>
    </row>
    <row r="26234" spans="1:3">
      <c r="A26234" s="250">
        <v>60927</v>
      </c>
      <c r="B26234" s="74" t="s">
        <v>2117</v>
      </c>
      <c r="C26234" s="74" t="s">
        <v>424</v>
      </c>
    </row>
    <row r="26235" spans="1:3">
      <c r="A26235" s="250">
        <v>60928</v>
      </c>
      <c r="B26235" s="74" t="s">
        <v>8241</v>
      </c>
      <c r="C26235" s="74" t="s">
        <v>424</v>
      </c>
    </row>
    <row r="26236" spans="1:3">
      <c r="A26236" s="250">
        <v>60929</v>
      </c>
      <c r="B26236" s="74" t="s">
        <v>13578</v>
      </c>
      <c r="C26236" s="74" t="s">
        <v>424</v>
      </c>
    </row>
    <row r="26237" spans="1:3">
      <c r="A26237" s="250">
        <v>60930</v>
      </c>
      <c r="B26237" s="74" t="s">
        <v>1499</v>
      </c>
      <c r="C26237" s="74" t="s">
        <v>424</v>
      </c>
    </row>
    <row r="26238" spans="1:3">
      <c r="A26238" s="250">
        <v>60931</v>
      </c>
      <c r="B26238" s="74" t="s">
        <v>13579</v>
      </c>
      <c r="C26238" s="74" t="s">
        <v>424</v>
      </c>
    </row>
    <row r="26239" spans="1:3">
      <c r="A26239" s="250">
        <v>60932</v>
      </c>
      <c r="B26239" s="74" t="s">
        <v>6711</v>
      </c>
      <c r="C26239" s="74" t="s">
        <v>424</v>
      </c>
    </row>
    <row r="26240" spans="1:3">
      <c r="A26240" s="250">
        <v>60933</v>
      </c>
      <c r="B26240" s="74" t="s">
        <v>7609</v>
      </c>
      <c r="C26240" s="74" t="s">
        <v>424</v>
      </c>
    </row>
    <row r="26241" spans="1:3">
      <c r="A26241" s="250">
        <v>60934</v>
      </c>
      <c r="B26241" s="74" t="s">
        <v>13580</v>
      </c>
      <c r="C26241" s="74" t="s">
        <v>424</v>
      </c>
    </row>
    <row r="26242" spans="1:3">
      <c r="A26242" s="250">
        <v>60935</v>
      </c>
      <c r="B26242" s="74" t="s">
        <v>842</v>
      </c>
      <c r="C26242" s="74" t="s">
        <v>424</v>
      </c>
    </row>
    <row r="26243" spans="1:3">
      <c r="A26243" s="250">
        <v>60936</v>
      </c>
      <c r="B26243" s="74" t="s">
        <v>13581</v>
      </c>
      <c r="C26243" s="74" t="s">
        <v>424</v>
      </c>
    </row>
    <row r="26244" spans="1:3">
      <c r="A26244" s="250">
        <v>60938</v>
      </c>
      <c r="B26244" s="74" t="s">
        <v>1931</v>
      </c>
      <c r="C26244" s="74" t="s">
        <v>424</v>
      </c>
    </row>
    <row r="26245" spans="1:3">
      <c r="A26245" s="250">
        <v>60939</v>
      </c>
      <c r="B26245" s="74" t="s">
        <v>13582</v>
      </c>
      <c r="C26245" s="74" t="s">
        <v>424</v>
      </c>
    </row>
    <row r="26246" spans="1:3">
      <c r="A26246" s="250">
        <v>60940</v>
      </c>
      <c r="B26246" s="74" t="s">
        <v>13583</v>
      </c>
      <c r="C26246" s="74" t="s">
        <v>424</v>
      </c>
    </row>
    <row r="26247" spans="1:3">
      <c r="A26247" s="250">
        <v>60941</v>
      </c>
      <c r="B26247" s="74" t="s">
        <v>13584</v>
      </c>
      <c r="C26247" s="74" t="s">
        <v>424</v>
      </c>
    </row>
    <row r="26248" spans="1:3">
      <c r="A26248" s="250">
        <v>60942</v>
      </c>
      <c r="B26248" s="74" t="s">
        <v>13585</v>
      </c>
      <c r="C26248" s="74" t="s">
        <v>424</v>
      </c>
    </row>
    <row r="26249" spans="1:3">
      <c r="A26249" s="250">
        <v>60944</v>
      </c>
      <c r="B26249" s="74" t="s">
        <v>13586</v>
      </c>
      <c r="C26249" s="74" t="s">
        <v>424</v>
      </c>
    </row>
    <row r="26250" spans="1:3">
      <c r="A26250" s="250">
        <v>60945</v>
      </c>
      <c r="B26250" s="74" t="s">
        <v>12878</v>
      </c>
      <c r="C26250" s="74" t="s">
        <v>424</v>
      </c>
    </row>
    <row r="26251" spans="1:3">
      <c r="A26251" s="250">
        <v>60946</v>
      </c>
      <c r="B26251" s="74" t="s">
        <v>5458</v>
      </c>
      <c r="C26251" s="74" t="s">
        <v>424</v>
      </c>
    </row>
    <row r="26252" spans="1:3">
      <c r="A26252" s="250">
        <v>60948</v>
      </c>
      <c r="B26252" s="74" t="s">
        <v>13587</v>
      </c>
      <c r="C26252" s="74" t="s">
        <v>424</v>
      </c>
    </row>
    <row r="26253" spans="1:3">
      <c r="A26253" s="250">
        <v>60949</v>
      </c>
      <c r="B26253" s="74" t="s">
        <v>604</v>
      </c>
      <c r="C26253" s="74" t="s">
        <v>424</v>
      </c>
    </row>
    <row r="26254" spans="1:3">
      <c r="A26254" s="250">
        <v>60950</v>
      </c>
      <c r="B26254" s="74" t="s">
        <v>13588</v>
      </c>
      <c r="C26254" s="74" t="s">
        <v>424</v>
      </c>
    </row>
    <row r="26255" spans="1:3">
      <c r="A26255" s="250">
        <v>60951</v>
      </c>
      <c r="B26255" s="74" t="s">
        <v>13589</v>
      </c>
      <c r="C26255" s="74" t="s">
        <v>424</v>
      </c>
    </row>
    <row r="26256" spans="1:3">
      <c r="A26256" s="250">
        <v>60952</v>
      </c>
      <c r="B26256" s="74" t="s">
        <v>8980</v>
      </c>
      <c r="C26256" s="74" t="s">
        <v>424</v>
      </c>
    </row>
    <row r="26257" spans="1:3">
      <c r="A26257" s="250">
        <v>60953</v>
      </c>
      <c r="B26257" s="74" t="s">
        <v>796</v>
      </c>
      <c r="C26257" s="74" t="s">
        <v>424</v>
      </c>
    </row>
    <row r="26258" spans="1:3">
      <c r="A26258" s="250">
        <v>60954</v>
      </c>
      <c r="B26258" s="74" t="s">
        <v>13590</v>
      </c>
      <c r="C26258" s="74" t="s">
        <v>424</v>
      </c>
    </row>
    <row r="26259" spans="1:3">
      <c r="A26259" s="250">
        <v>60955</v>
      </c>
      <c r="B26259" s="74" t="s">
        <v>13591</v>
      </c>
      <c r="C26259" s="74" t="s">
        <v>424</v>
      </c>
    </row>
    <row r="26260" spans="1:3">
      <c r="A26260" s="250">
        <v>60956</v>
      </c>
      <c r="B26260" s="74" t="s">
        <v>13592</v>
      </c>
      <c r="C26260" s="74" t="s">
        <v>424</v>
      </c>
    </row>
    <row r="26261" spans="1:3">
      <c r="A26261" s="250">
        <v>60957</v>
      </c>
      <c r="B26261" s="74" t="s">
        <v>777</v>
      </c>
      <c r="C26261" s="74" t="s">
        <v>424</v>
      </c>
    </row>
    <row r="26262" spans="1:3">
      <c r="A26262" s="250">
        <v>60958</v>
      </c>
      <c r="B26262" s="74" t="s">
        <v>13593</v>
      </c>
      <c r="C26262" s="74" t="s">
        <v>424</v>
      </c>
    </row>
    <row r="26263" spans="1:3">
      <c r="A26263" s="250">
        <v>60959</v>
      </c>
      <c r="B26263" s="74" t="s">
        <v>13594</v>
      </c>
      <c r="C26263" s="74" t="s">
        <v>424</v>
      </c>
    </row>
    <row r="26264" spans="1:3">
      <c r="A26264" s="250">
        <v>60960</v>
      </c>
      <c r="B26264" s="74" t="s">
        <v>13595</v>
      </c>
      <c r="C26264" s="74" t="s">
        <v>424</v>
      </c>
    </row>
    <row r="26265" spans="1:3">
      <c r="A26265" s="250">
        <v>60961</v>
      </c>
      <c r="B26265" s="74" t="s">
        <v>8362</v>
      </c>
      <c r="C26265" s="74" t="s">
        <v>424</v>
      </c>
    </row>
    <row r="26266" spans="1:3">
      <c r="A26266" s="250">
        <v>60962</v>
      </c>
      <c r="B26266" s="74" t="s">
        <v>12086</v>
      </c>
      <c r="C26266" s="74" t="s">
        <v>424</v>
      </c>
    </row>
    <row r="26267" spans="1:3">
      <c r="A26267" s="250">
        <v>60963</v>
      </c>
      <c r="B26267" s="74" t="s">
        <v>4837</v>
      </c>
      <c r="C26267" s="74" t="s">
        <v>424</v>
      </c>
    </row>
    <row r="26268" spans="1:3">
      <c r="A26268" s="250">
        <v>60964</v>
      </c>
      <c r="B26268" s="74" t="s">
        <v>13596</v>
      </c>
      <c r="C26268" s="74" t="s">
        <v>424</v>
      </c>
    </row>
    <row r="26269" spans="1:3">
      <c r="A26269" s="250">
        <v>60966</v>
      </c>
      <c r="B26269" s="74" t="s">
        <v>1829</v>
      </c>
      <c r="C26269" s="74" t="s">
        <v>424</v>
      </c>
    </row>
    <row r="26270" spans="1:3">
      <c r="A26270" s="250">
        <v>60967</v>
      </c>
      <c r="B26270" s="74" t="s">
        <v>13597</v>
      </c>
      <c r="C26270" s="74" t="s">
        <v>424</v>
      </c>
    </row>
    <row r="26271" spans="1:3">
      <c r="A26271" s="250">
        <v>60968</v>
      </c>
      <c r="B26271" s="74" t="s">
        <v>13598</v>
      </c>
      <c r="C26271" s="74" t="s">
        <v>424</v>
      </c>
    </row>
    <row r="26272" spans="1:3">
      <c r="A26272" s="250">
        <v>60969</v>
      </c>
      <c r="B26272" s="74" t="s">
        <v>3831</v>
      </c>
      <c r="C26272" s="74" t="s">
        <v>424</v>
      </c>
    </row>
    <row r="26273" spans="1:3">
      <c r="A26273" s="250">
        <v>60970</v>
      </c>
      <c r="B26273" s="74" t="s">
        <v>13599</v>
      </c>
      <c r="C26273" s="74" t="s">
        <v>424</v>
      </c>
    </row>
    <row r="26274" spans="1:3">
      <c r="A26274" s="250">
        <v>60973</v>
      </c>
      <c r="B26274" s="74" t="s">
        <v>8439</v>
      </c>
      <c r="C26274" s="74" t="s">
        <v>424</v>
      </c>
    </row>
    <row r="26275" spans="1:3">
      <c r="A26275" s="250">
        <v>60974</v>
      </c>
      <c r="B26275" s="74" t="s">
        <v>4660</v>
      </c>
      <c r="C26275" s="74" t="s">
        <v>424</v>
      </c>
    </row>
    <row r="26276" spans="1:3">
      <c r="A26276" s="250">
        <v>61001</v>
      </c>
      <c r="B26276" s="74" t="s">
        <v>13600</v>
      </c>
      <c r="C26276" s="74" t="s">
        <v>424</v>
      </c>
    </row>
    <row r="26277" spans="1:3">
      <c r="A26277" s="250">
        <v>61006</v>
      </c>
      <c r="B26277" s="74" t="s">
        <v>5637</v>
      </c>
      <c r="C26277" s="74" t="s">
        <v>424</v>
      </c>
    </row>
    <row r="26278" spans="1:3">
      <c r="A26278" s="250">
        <v>61007</v>
      </c>
      <c r="B26278" s="74" t="s">
        <v>1620</v>
      </c>
      <c r="C26278" s="74" t="s">
        <v>424</v>
      </c>
    </row>
    <row r="26279" spans="1:3">
      <c r="A26279" s="250">
        <v>61008</v>
      </c>
      <c r="B26279" s="74" t="s">
        <v>2296</v>
      </c>
      <c r="C26279" s="74" t="s">
        <v>424</v>
      </c>
    </row>
    <row r="26280" spans="1:3">
      <c r="A26280" s="250">
        <v>61010</v>
      </c>
      <c r="B26280" s="74" t="s">
        <v>3758</v>
      </c>
      <c r="C26280" s="74" t="s">
        <v>424</v>
      </c>
    </row>
    <row r="26281" spans="1:3">
      <c r="A26281" s="250">
        <v>61011</v>
      </c>
      <c r="B26281" s="74" t="s">
        <v>3759</v>
      </c>
      <c r="C26281" s="74" t="s">
        <v>424</v>
      </c>
    </row>
    <row r="26282" spans="1:3">
      <c r="A26282" s="250">
        <v>61012</v>
      </c>
      <c r="B26282" s="74" t="s">
        <v>6189</v>
      </c>
      <c r="C26282" s="74" t="s">
        <v>424</v>
      </c>
    </row>
    <row r="26283" spans="1:3">
      <c r="A26283" s="250">
        <v>61013</v>
      </c>
      <c r="B26283" s="74" t="s">
        <v>2475</v>
      </c>
      <c r="C26283" s="74" t="s">
        <v>424</v>
      </c>
    </row>
    <row r="26284" spans="1:3">
      <c r="A26284" s="250">
        <v>61014</v>
      </c>
      <c r="B26284" s="74" t="s">
        <v>13601</v>
      </c>
      <c r="C26284" s="74" t="s">
        <v>424</v>
      </c>
    </row>
    <row r="26285" spans="1:3">
      <c r="A26285" s="250">
        <v>61015</v>
      </c>
      <c r="B26285" s="74" t="s">
        <v>13602</v>
      </c>
      <c r="C26285" s="74" t="s">
        <v>424</v>
      </c>
    </row>
    <row r="26286" spans="1:3">
      <c r="A26286" s="250">
        <v>61016</v>
      </c>
      <c r="B26286" s="74" t="s">
        <v>776</v>
      </c>
      <c r="C26286" s="74" t="s">
        <v>424</v>
      </c>
    </row>
    <row r="26287" spans="1:3">
      <c r="A26287" s="250">
        <v>61018</v>
      </c>
      <c r="B26287" s="74" t="s">
        <v>12494</v>
      </c>
      <c r="C26287" s="74" t="s">
        <v>424</v>
      </c>
    </row>
    <row r="26288" spans="1:3">
      <c r="A26288" s="250">
        <v>61019</v>
      </c>
      <c r="B26288" s="74" t="s">
        <v>6907</v>
      </c>
      <c r="C26288" s="74" t="s">
        <v>424</v>
      </c>
    </row>
    <row r="26289" spans="1:3">
      <c r="A26289" s="250">
        <v>61020</v>
      </c>
      <c r="B26289" s="74" t="s">
        <v>13603</v>
      </c>
      <c r="C26289" s="74" t="s">
        <v>424</v>
      </c>
    </row>
    <row r="26290" spans="1:3">
      <c r="A26290" s="250">
        <v>61021</v>
      </c>
      <c r="B26290" s="74" t="s">
        <v>10025</v>
      </c>
      <c r="C26290" s="74" t="s">
        <v>424</v>
      </c>
    </row>
    <row r="26291" spans="1:3">
      <c r="A26291" s="250">
        <v>61024</v>
      </c>
      <c r="B26291" s="74" t="s">
        <v>11064</v>
      </c>
      <c r="C26291" s="74" t="s">
        <v>424</v>
      </c>
    </row>
    <row r="26292" spans="1:3">
      <c r="A26292" s="250">
        <v>61025</v>
      </c>
      <c r="B26292" s="74" t="s">
        <v>13604</v>
      </c>
      <c r="C26292" s="74" t="s">
        <v>424</v>
      </c>
    </row>
    <row r="26293" spans="1:3">
      <c r="A26293" s="250">
        <v>61027</v>
      </c>
      <c r="B26293" s="74" t="s">
        <v>13605</v>
      </c>
      <c r="C26293" s="74" t="s">
        <v>424</v>
      </c>
    </row>
    <row r="26294" spans="1:3">
      <c r="A26294" s="250">
        <v>61028</v>
      </c>
      <c r="B26294" s="74" t="s">
        <v>2176</v>
      </c>
      <c r="C26294" s="74" t="s">
        <v>424</v>
      </c>
    </row>
    <row r="26295" spans="1:3">
      <c r="A26295" s="250">
        <v>61030</v>
      </c>
      <c r="B26295" s="74" t="s">
        <v>13606</v>
      </c>
      <c r="C26295" s="74" t="s">
        <v>424</v>
      </c>
    </row>
    <row r="26296" spans="1:3">
      <c r="A26296" s="250">
        <v>61031</v>
      </c>
      <c r="B26296" s="74" t="s">
        <v>13607</v>
      </c>
      <c r="C26296" s="74" t="s">
        <v>424</v>
      </c>
    </row>
    <row r="26297" spans="1:3">
      <c r="A26297" s="250">
        <v>61032</v>
      </c>
      <c r="B26297" s="74" t="s">
        <v>1383</v>
      </c>
      <c r="C26297" s="74" t="s">
        <v>424</v>
      </c>
    </row>
    <row r="26298" spans="1:3">
      <c r="A26298" s="250">
        <v>61036</v>
      </c>
      <c r="B26298" s="74" t="s">
        <v>5755</v>
      </c>
      <c r="C26298" s="74" t="s">
        <v>424</v>
      </c>
    </row>
    <row r="26299" spans="1:3">
      <c r="A26299" s="250">
        <v>61037</v>
      </c>
      <c r="B26299" s="74" t="s">
        <v>11506</v>
      </c>
      <c r="C26299" s="74" t="s">
        <v>424</v>
      </c>
    </row>
    <row r="26300" spans="1:3">
      <c r="A26300" s="250">
        <v>61038</v>
      </c>
      <c r="B26300" s="74" t="s">
        <v>13608</v>
      </c>
      <c r="C26300" s="74" t="s">
        <v>424</v>
      </c>
    </row>
    <row r="26301" spans="1:3">
      <c r="A26301" s="250">
        <v>61039</v>
      </c>
      <c r="B26301" s="74" t="s">
        <v>13609</v>
      </c>
      <c r="C26301" s="74" t="s">
        <v>424</v>
      </c>
    </row>
    <row r="26302" spans="1:3">
      <c r="A26302" s="250">
        <v>61041</v>
      </c>
      <c r="B26302" s="74" t="s">
        <v>944</v>
      </c>
      <c r="C26302" s="74" t="s">
        <v>424</v>
      </c>
    </row>
    <row r="26303" spans="1:3">
      <c r="A26303" s="250">
        <v>61042</v>
      </c>
      <c r="B26303" s="74" t="s">
        <v>13610</v>
      </c>
      <c r="C26303" s="74" t="s">
        <v>424</v>
      </c>
    </row>
    <row r="26304" spans="1:3">
      <c r="A26304" s="250">
        <v>61043</v>
      </c>
      <c r="B26304" s="74" t="s">
        <v>9390</v>
      </c>
      <c r="C26304" s="74" t="s">
        <v>424</v>
      </c>
    </row>
    <row r="26305" spans="1:3">
      <c r="A26305" s="250">
        <v>61044</v>
      </c>
      <c r="B26305" s="74" t="s">
        <v>2084</v>
      </c>
      <c r="C26305" s="74" t="s">
        <v>424</v>
      </c>
    </row>
    <row r="26306" spans="1:3">
      <c r="A26306" s="250">
        <v>61046</v>
      </c>
      <c r="B26306" s="74" t="s">
        <v>6801</v>
      </c>
      <c r="C26306" s="74" t="s">
        <v>424</v>
      </c>
    </row>
    <row r="26307" spans="1:3">
      <c r="A26307" s="250">
        <v>61047</v>
      </c>
      <c r="B26307" s="74" t="s">
        <v>13611</v>
      </c>
      <c r="C26307" s="74" t="s">
        <v>424</v>
      </c>
    </row>
    <row r="26308" spans="1:3">
      <c r="A26308" s="250">
        <v>61048</v>
      </c>
      <c r="B26308" s="74" t="s">
        <v>9422</v>
      </c>
      <c r="C26308" s="74" t="s">
        <v>424</v>
      </c>
    </row>
    <row r="26309" spans="1:3">
      <c r="A26309" s="250">
        <v>61049</v>
      </c>
      <c r="B26309" s="74" t="s">
        <v>13612</v>
      </c>
      <c r="C26309" s="74" t="s">
        <v>424</v>
      </c>
    </row>
    <row r="26310" spans="1:3">
      <c r="A26310" s="250">
        <v>61050</v>
      </c>
      <c r="B26310" s="74" t="s">
        <v>13613</v>
      </c>
      <c r="C26310" s="74" t="s">
        <v>424</v>
      </c>
    </row>
    <row r="26311" spans="1:3">
      <c r="A26311" s="250">
        <v>61051</v>
      </c>
      <c r="B26311" s="74" t="s">
        <v>8087</v>
      </c>
      <c r="C26311" s="74" t="s">
        <v>424</v>
      </c>
    </row>
    <row r="26312" spans="1:3">
      <c r="A26312" s="250">
        <v>61052</v>
      </c>
      <c r="B26312" s="74" t="s">
        <v>13614</v>
      </c>
      <c r="C26312" s="74" t="s">
        <v>424</v>
      </c>
    </row>
    <row r="26313" spans="1:3">
      <c r="A26313" s="250">
        <v>61053</v>
      </c>
      <c r="B26313" s="74" t="s">
        <v>13615</v>
      </c>
      <c r="C26313" s="74" t="s">
        <v>424</v>
      </c>
    </row>
    <row r="26314" spans="1:3">
      <c r="A26314" s="250">
        <v>61054</v>
      </c>
      <c r="B26314" s="74" t="s">
        <v>3795</v>
      </c>
      <c r="C26314" s="74" t="s">
        <v>424</v>
      </c>
    </row>
    <row r="26315" spans="1:3">
      <c r="A26315" s="250">
        <v>61057</v>
      </c>
      <c r="B26315" s="74" t="s">
        <v>13616</v>
      </c>
      <c r="C26315" s="74" t="s">
        <v>424</v>
      </c>
    </row>
    <row r="26316" spans="1:3">
      <c r="A26316" s="250">
        <v>61059</v>
      </c>
      <c r="B26316" s="74" t="s">
        <v>6336</v>
      </c>
      <c r="C26316" s="74" t="s">
        <v>424</v>
      </c>
    </row>
    <row r="26317" spans="1:3">
      <c r="A26317" s="250">
        <v>61060</v>
      </c>
      <c r="B26317" s="74" t="s">
        <v>4965</v>
      </c>
      <c r="C26317" s="74" t="s">
        <v>424</v>
      </c>
    </row>
    <row r="26318" spans="1:3">
      <c r="A26318" s="250">
        <v>61061</v>
      </c>
      <c r="B26318" s="74" t="s">
        <v>10216</v>
      </c>
      <c r="C26318" s="74" t="s">
        <v>424</v>
      </c>
    </row>
    <row r="26319" spans="1:3">
      <c r="A26319" s="250">
        <v>61062</v>
      </c>
      <c r="B26319" s="74" t="s">
        <v>13617</v>
      </c>
      <c r="C26319" s="74" t="s">
        <v>424</v>
      </c>
    </row>
    <row r="26320" spans="1:3">
      <c r="A26320" s="250">
        <v>61063</v>
      </c>
      <c r="B26320" s="74" t="s">
        <v>13618</v>
      </c>
      <c r="C26320" s="74" t="s">
        <v>424</v>
      </c>
    </row>
    <row r="26321" spans="1:3">
      <c r="A26321" s="250">
        <v>61064</v>
      </c>
      <c r="B26321" s="74" t="s">
        <v>13619</v>
      </c>
      <c r="C26321" s="74" t="s">
        <v>424</v>
      </c>
    </row>
    <row r="26322" spans="1:3">
      <c r="A26322" s="250">
        <v>61065</v>
      </c>
      <c r="B26322" s="74" t="s">
        <v>13620</v>
      </c>
      <c r="C26322" s="74" t="s">
        <v>424</v>
      </c>
    </row>
    <row r="26323" spans="1:3">
      <c r="A26323" s="250">
        <v>61067</v>
      </c>
      <c r="B26323" s="74" t="s">
        <v>13621</v>
      </c>
      <c r="C26323" s="74" t="s">
        <v>424</v>
      </c>
    </row>
    <row r="26324" spans="1:3">
      <c r="A26324" s="250">
        <v>61068</v>
      </c>
      <c r="B26324" s="74" t="s">
        <v>5976</v>
      </c>
      <c r="C26324" s="74" t="s">
        <v>424</v>
      </c>
    </row>
    <row r="26325" spans="1:3">
      <c r="A26325" s="250">
        <v>61070</v>
      </c>
      <c r="B26325" s="74" t="s">
        <v>13622</v>
      </c>
      <c r="C26325" s="74" t="s">
        <v>424</v>
      </c>
    </row>
    <row r="26326" spans="1:3">
      <c r="A26326" s="250">
        <v>61071</v>
      </c>
      <c r="B26326" s="74" t="s">
        <v>11593</v>
      </c>
      <c r="C26326" s="74" t="s">
        <v>424</v>
      </c>
    </row>
    <row r="26327" spans="1:3">
      <c r="A26327" s="250">
        <v>61072</v>
      </c>
      <c r="B26327" s="74" t="s">
        <v>4332</v>
      </c>
      <c r="C26327" s="74" t="s">
        <v>424</v>
      </c>
    </row>
    <row r="26328" spans="1:3">
      <c r="A26328" s="250">
        <v>61073</v>
      </c>
      <c r="B26328" s="74" t="s">
        <v>3202</v>
      </c>
      <c r="C26328" s="74" t="s">
        <v>424</v>
      </c>
    </row>
    <row r="26329" spans="1:3">
      <c r="A26329" s="250">
        <v>61074</v>
      </c>
      <c r="B26329" s="74" t="s">
        <v>13623</v>
      </c>
      <c r="C26329" s="74" t="s">
        <v>424</v>
      </c>
    </row>
    <row r="26330" spans="1:3">
      <c r="A26330" s="250">
        <v>61075</v>
      </c>
      <c r="B26330" s="74" t="s">
        <v>13624</v>
      </c>
      <c r="C26330" s="74" t="s">
        <v>424</v>
      </c>
    </row>
    <row r="26331" spans="1:3">
      <c r="A26331" s="250">
        <v>61077</v>
      </c>
      <c r="B26331" s="74" t="s">
        <v>4368</v>
      </c>
      <c r="C26331" s="74" t="s">
        <v>424</v>
      </c>
    </row>
    <row r="26332" spans="1:3">
      <c r="A26332" s="250">
        <v>61078</v>
      </c>
      <c r="B26332" s="74" t="s">
        <v>7380</v>
      </c>
      <c r="C26332" s="74" t="s">
        <v>424</v>
      </c>
    </row>
    <row r="26333" spans="1:3">
      <c r="A26333" s="250">
        <v>61079</v>
      </c>
      <c r="B26333" s="74" t="s">
        <v>13625</v>
      </c>
      <c r="C26333" s="74" t="s">
        <v>424</v>
      </c>
    </row>
    <row r="26334" spans="1:3">
      <c r="A26334" s="250">
        <v>61080</v>
      </c>
      <c r="B26334" s="74" t="s">
        <v>13626</v>
      </c>
      <c r="C26334" s="74" t="s">
        <v>424</v>
      </c>
    </row>
    <row r="26335" spans="1:3">
      <c r="A26335" s="250">
        <v>61081</v>
      </c>
      <c r="B26335" s="74" t="s">
        <v>763</v>
      </c>
      <c r="C26335" s="74" t="s">
        <v>424</v>
      </c>
    </row>
    <row r="26336" spans="1:3">
      <c r="A26336" s="250">
        <v>61084</v>
      </c>
      <c r="B26336" s="74" t="s">
        <v>13627</v>
      </c>
      <c r="C26336" s="74" t="s">
        <v>424</v>
      </c>
    </row>
    <row r="26337" spans="1:3">
      <c r="A26337" s="250">
        <v>61085</v>
      </c>
      <c r="B26337" s="74" t="s">
        <v>2529</v>
      </c>
      <c r="C26337" s="74" t="s">
        <v>424</v>
      </c>
    </row>
    <row r="26338" spans="1:3">
      <c r="A26338" s="250">
        <v>61087</v>
      </c>
      <c r="B26338" s="74" t="s">
        <v>622</v>
      </c>
      <c r="C26338" s="74" t="s">
        <v>424</v>
      </c>
    </row>
    <row r="26339" spans="1:3">
      <c r="A26339" s="250">
        <v>61088</v>
      </c>
      <c r="B26339" s="74" t="s">
        <v>12354</v>
      </c>
      <c r="C26339" s="74" t="s">
        <v>424</v>
      </c>
    </row>
    <row r="26340" spans="1:3">
      <c r="A26340" s="250">
        <v>61089</v>
      </c>
      <c r="B26340" s="74" t="s">
        <v>2433</v>
      </c>
      <c r="C26340" s="74" t="s">
        <v>424</v>
      </c>
    </row>
    <row r="26341" spans="1:3">
      <c r="A26341" s="250">
        <v>61091</v>
      </c>
      <c r="B26341" s="74" t="s">
        <v>13628</v>
      </c>
      <c r="C26341" s="74" t="s">
        <v>424</v>
      </c>
    </row>
    <row r="26342" spans="1:3">
      <c r="A26342" s="250">
        <v>61101</v>
      </c>
      <c r="B26342" s="74" t="s">
        <v>8662</v>
      </c>
      <c r="C26342" s="74" t="s">
        <v>424</v>
      </c>
    </row>
    <row r="26343" spans="1:3">
      <c r="A26343" s="250">
        <v>61102</v>
      </c>
      <c r="B26343" s="74" t="s">
        <v>8662</v>
      </c>
      <c r="C26343" s="74" t="s">
        <v>424</v>
      </c>
    </row>
    <row r="26344" spans="1:3">
      <c r="A26344" s="250">
        <v>61103</v>
      </c>
      <c r="B26344" s="74" t="s">
        <v>8662</v>
      </c>
      <c r="C26344" s="74" t="s">
        <v>424</v>
      </c>
    </row>
    <row r="26345" spans="1:3">
      <c r="A26345" s="250">
        <v>61104</v>
      </c>
      <c r="B26345" s="74" t="s">
        <v>8662</v>
      </c>
      <c r="C26345" s="74" t="s">
        <v>424</v>
      </c>
    </row>
    <row r="26346" spans="1:3">
      <c r="A26346" s="250">
        <v>61105</v>
      </c>
      <c r="B26346" s="74" t="s">
        <v>8662</v>
      </c>
      <c r="C26346" s="74" t="s">
        <v>424</v>
      </c>
    </row>
    <row r="26347" spans="1:3">
      <c r="A26347" s="250">
        <v>61106</v>
      </c>
      <c r="B26347" s="74" t="s">
        <v>8662</v>
      </c>
      <c r="C26347" s="74" t="s">
        <v>424</v>
      </c>
    </row>
    <row r="26348" spans="1:3">
      <c r="A26348" s="250">
        <v>61107</v>
      </c>
      <c r="B26348" s="74" t="s">
        <v>8662</v>
      </c>
      <c r="C26348" s="74" t="s">
        <v>424</v>
      </c>
    </row>
    <row r="26349" spans="1:3">
      <c r="A26349" s="250">
        <v>61108</v>
      </c>
      <c r="B26349" s="74" t="s">
        <v>8662</v>
      </c>
      <c r="C26349" s="74" t="s">
        <v>424</v>
      </c>
    </row>
    <row r="26350" spans="1:3">
      <c r="A26350" s="250">
        <v>61109</v>
      </c>
      <c r="B26350" s="74" t="s">
        <v>8662</v>
      </c>
      <c r="C26350" s="74" t="s">
        <v>424</v>
      </c>
    </row>
    <row r="26351" spans="1:3">
      <c r="A26351" s="250">
        <v>61110</v>
      </c>
      <c r="B26351" s="74" t="s">
        <v>8662</v>
      </c>
      <c r="C26351" s="74" t="s">
        <v>424</v>
      </c>
    </row>
    <row r="26352" spans="1:3">
      <c r="A26352" s="250">
        <v>61111</v>
      </c>
      <c r="B26352" s="74" t="s">
        <v>13629</v>
      </c>
      <c r="C26352" s="74" t="s">
        <v>424</v>
      </c>
    </row>
    <row r="26353" spans="1:3">
      <c r="A26353" s="250">
        <v>61112</v>
      </c>
      <c r="B26353" s="74" t="s">
        <v>8662</v>
      </c>
      <c r="C26353" s="74" t="s">
        <v>424</v>
      </c>
    </row>
    <row r="26354" spans="1:3">
      <c r="A26354" s="250">
        <v>61114</v>
      </c>
      <c r="B26354" s="74" t="s">
        <v>8662</v>
      </c>
      <c r="C26354" s="74" t="s">
        <v>424</v>
      </c>
    </row>
    <row r="26355" spans="1:3">
      <c r="A26355" s="250">
        <v>61115</v>
      </c>
      <c r="B26355" s="74" t="s">
        <v>13630</v>
      </c>
      <c r="C26355" s="74" t="s">
        <v>424</v>
      </c>
    </row>
    <row r="26356" spans="1:3">
      <c r="A26356" s="250">
        <v>61125</v>
      </c>
      <c r="B26356" s="74" t="s">
        <v>8662</v>
      </c>
      <c r="C26356" s="74" t="s">
        <v>424</v>
      </c>
    </row>
    <row r="26357" spans="1:3">
      <c r="A26357" s="250">
        <v>61126</v>
      </c>
      <c r="B26357" s="74" t="s">
        <v>8662</v>
      </c>
      <c r="C26357" s="74" t="s">
        <v>424</v>
      </c>
    </row>
    <row r="26358" spans="1:3">
      <c r="A26358" s="250">
        <v>61130</v>
      </c>
      <c r="B26358" s="74" t="s">
        <v>13629</v>
      </c>
      <c r="C26358" s="74" t="s">
        <v>424</v>
      </c>
    </row>
    <row r="26359" spans="1:3">
      <c r="A26359" s="250">
        <v>61131</v>
      </c>
      <c r="B26359" s="74" t="s">
        <v>13629</v>
      </c>
      <c r="C26359" s="74" t="s">
        <v>424</v>
      </c>
    </row>
    <row r="26360" spans="1:3">
      <c r="A26360" s="250">
        <v>61132</v>
      </c>
      <c r="B26360" s="74" t="s">
        <v>13629</v>
      </c>
      <c r="C26360" s="74" t="s">
        <v>424</v>
      </c>
    </row>
    <row r="26361" spans="1:3">
      <c r="A26361" s="250">
        <v>61201</v>
      </c>
      <c r="B26361" s="74" t="s">
        <v>9284</v>
      </c>
      <c r="C26361" s="74" t="s">
        <v>424</v>
      </c>
    </row>
    <row r="26362" spans="1:3">
      <c r="A26362" s="250">
        <v>61204</v>
      </c>
      <c r="B26362" s="74" t="s">
        <v>9284</v>
      </c>
      <c r="C26362" s="74" t="s">
        <v>424</v>
      </c>
    </row>
    <row r="26363" spans="1:3">
      <c r="A26363" s="250">
        <v>61230</v>
      </c>
      <c r="B26363" s="74" t="s">
        <v>1896</v>
      </c>
      <c r="C26363" s="74" t="s">
        <v>424</v>
      </c>
    </row>
    <row r="26364" spans="1:3">
      <c r="A26364" s="250">
        <v>61231</v>
      </c>
      <c r="B26364" s="74" t="s">
        <v>13631</v>
      </c>
      <c r="C26364" s="74" t="s">
        <v>424</v>
      </c>
    </row>
    <row r="26365" spans="1:3">
      <c r="A26365" s="250">
        <v>61232</v>
      </c>
      <c r="B26365" s="74" t="s">
        <v>8860</v>
      </c>
      <c r="C26365" s="74" t="s">
        <v>424</v>
      </c>
    </row>
    <row r="26366" spans="1:3">
      <c r="A26366" s="250">
        <v>61233</v>
      </c>
      <c r="B26366" s="74" t="s">
        <v>807</v>
      </c>
      <c r="C26366" s="74" t="s">
        <v>424</v>
      </c>
    </row>
    <row r="26367" spans="1:3">
      <c r="A26367" s="250">
        <v>61234</v>
      </c>
      <c r="B26367" s="74" t="s">
        <v>13632</v>
      </c>
      <c r="C26367" s="74" t="s">
        <v>424</v>
      </c>
    </row>
    <row r="26368" spans="1:3">
      <c r="A26368" s="250">
        <v>61235</v>
      </c>
      <c r="B26368" s="74" t="s">
        <v>1295</v>
      </c>
      <c r="C26368" s="74" t="s">
        <v>424</v>
      </c>
    </row>
    <row r="26369" spans="1:3">
      <c r="A26369" s="250">
        <v>61236</v>
      </c>
      <c r="B26369" s="74" t="s">
        <v>5548</v>
      </c>
      <c r="C26369" s="74" t="s">
        <v>424</v>
      </c>
    </row>
    <row r="26370" spans="1:3">
      <c r="A26370" s="250">
        <v>61237</v>
      </c>
      <c r="B26370" s="74" t="s">
        <v>13633</v>
      </c>
      <c r="C26370" s="74" t="s">
        <v>424</v>
      </c>
    </row>
    <row r="26371" spans="1:3">
      <c r="A26371" s="250">
        <v>61238</v>
      </c>
      <c r="B26371" s="74" t="s">
        <v>914</v>
      </c>
      <c r="C26371" s="74" t="s">
        <v>424</v>
      </c>
    </row>
    <row r="26372" spans="1:3">
      <c r="A26372" s="250">
        <v>61239</v>
      </c>
      <c r="B26372" s="74" t="s">
        <v>13634</v>
      </c>
      <c r="C26372" s="74" t="s">
        <v>424</v>
      </c>
    </row>
    <row r="26373" spans="1:3">
      <c r="A26373" s="250">
        <v>61240</v>
      </c>
      <c r="B26373" s="74" t="s">
        <v>13635</v>
      </c>
      <c r="C26373" s="74" t="s">
        <v>424</v>
      </c>
    </row>
    <row r="26374" spans="1:3">
      <c r="A26374" s="250">
        <v>61241</v>
      </c>
      <c r="B26374" s="74" t="s">
        <v>13636</v>
      </c>
      <c r="C26374" s="74" t="s">
        <v>424</v>
      </c>
    </row>
    <row r="26375" spans="1:3">
      <c r="A26375" s="250">
        <v>61242</v>
      </c>
      <c r="B26375" s="74" t="s">
        <v>5747</v>
      </c>
      <c r="C26375" s="74" t="s">
        <v>424</v>
      </c>
    </row>
    <row r="26376" spans="1:3">
      <c r="A26376" s="250">
        <v>61243</v>
      </c>
      <c r="B26376" s="74" t="s">
        <v>13637</v>
      </c>
      <c r="C26376" s="74" t="s">
        <v>424</v>
      </c>
    </row>
    <row r="26377" spans="1:3">
      <c r="A26377" s="250">
        <v>61244</v>
      </c>
      <c r="B26377" s="74" t="s">
        <v>13638</v>
      </c>
      <c r="C26377" s="74" t="s">
        <v>424</v>
      </c>
    </row>
    <row r="26378" spans="1:3">
      <c r="A26378" s="250">
        <v>61250</v>
      </c>
      <c r="B26378" s="74" t="s">
        <v>4528</v>
      </c>
      <c r="C26378" s="74" t="s">
        <v>424</v>
      </c>
    </row>
    <row r="26379" spans="1:3">
      <c r="A26379" s="250">
        <v>61251</v>
      </c>
      <c r="B26379" s="74" t="s">
        <v>11065</v>
      </c>
      <c r="C26379" s="74" t="s">
        <v>424</v>
      </c>
    </row>
    <row r="26380" spans="1:3">
      <c r="A26380" s="250">
        <v>61252</v>
      </c>
      <c r="B26380" s="74" t="s">
        <v>3365</v>
      </c>
      <c r="C26380" s="74" t="s">
        <v>424</v>
      </c>
    </row>
    <row r="26381" spans="1:3">
      <c r="A26381" s="250">
        <v>61254</v>
      </c>
      <c r="B26381" s="74" t="s">
        <v>3775</v>
      </c>
      <c r="C26381" s="74" t="s">
        <v>424</v>
      </c>
    </row>
    <row r="26382" spans="1:3">
      <c r="A26382" s="250">
        <v>61256</v>
      </c>
      <c r="B26382" s="74" t="s">
        <v>1315</v>
      </c>
      <c r="C26382" s="74" t="s">
        <v>424</v>
      </c>
    </row>
    <row r="26383" spans="1:3">
      <c r="A26383" s="250">
        <v>61257</v>
      </c>
      <c r="B26383" s="74" t="s">
        <v>2236</v>
      </c>
      <c r="C26383" s="74" t="s">
        <v>424</v>
      </c>
    </row>
    <row r="26384" spans="1:3">
      <c r="A26384" s="250">
        <v>61258</v>
      </c>
      <c r="B26384" s="74" t="s">
        <v>13639</v>
      </c>
      <c r="C26384" s="74" t="s">
        <v>424</v>
      </c>
    </row>
    <row r="26385" spans="1:3">
      <c r="A26385" s="250">
        <v>61259</v>
      </c>
      <c r="B26385" s="74" t="s">
        <v>13640</v>
      </c>
      <c r="C26385" s="74" t="s">
        <v>424</v>
      </c>
    </row>
    <row r="26386" spans="1:3">
      <c r="A26386" s="250">
        <v>61260</v>
      </c>
      <c r="B26386" s="74" t="s">
        <v>13641</v>
      </c>
      <c r="C26386" s="74" t="s">
        <v>424</v>
      </c>
    </row>
    <row r="26387" spans="1:3">
      <c r="A26387" s="250">
        <v>61261</v>
      </c>
      <c r="B26387" s="74" t="s">
        <v>1915</v>
      </c>
      <c r="C26387" s="74" t="s">
        <v>424</v>
      </c>
    </row>
    <row r="26388" spans="1:3">
      <c r="A26388" s="250">
        <v>61262</v>
      </c>
      <c r="B26388" s="74" t="s">
        <v>13642</v>
      </c>
      <c r="C26388" s="74" t="s">
        <v>424</v>
      </c>
    </row>
    <row r="26389" spans="1:3">
      <c r="A26389" s="250">
        <v>61263</v>
      </c>
      <c r="B26389" s="74" t="s">
        <v>13643</v>
      </c>
      <c r="C26389" s="74" t="s">
        <v>424</v>
      </c>
    </row>
    <row r="26390" spans="1:3">
      <c r="A26390" s="250">
        <v>61264</v>
      </c>
      <c r="B26390" s="74" t="s">
        <v>1256</v>
      </c>
      <c r="C26390" s="74" t="s">
        <v>424</v>
      </c>
    </row>
    <row r="26391" spans="1:3">
      <c r="A26391" s="250">
        <v>61265</v>
      </c>
      <c r="B26391" s="74" t="s">
        <v>11263</v>
      </c>
      <c r="C26391" s="74" t="s">
        <v>424</v>
      </c>
    </row>
    <row r="26392" spans="1:3">
      <c r="A26392" s="250">
        <v>61266</v>
      </c>
      <c r="B26392" s="74" t="s">
        <v>11263</v>
      </c>
      <c r="C26392" s="74" t="s">
        <v>424</v>
      </c>
    </row>
    <row r="26393" spans="1:3">
      <c r="A26393" s="250">
        <v>61270</v>
      </c>
      <c r="B26393" s="74" t="s">
        <v>9073</v>
      </c>
      <c r="C26393" s="74" t="s">
        <v>424</v>
      </c>
    </row>
    <row r="26394" spans="1:3">
      <c r="A26394" s="250">
        <v>61272</v>
      </c>
      <c r="B26394" s="74" t="s">
        <v>1166</v>
      </c>
      <c r="C26394" s="74" t="s">
        <v>424</v>
      </c>
    </row>
    <row r="26395" spans="1:3">
      <c r="A26395" s="250">
        <v>61273</v>
      </c>
      <c r="B26395" s="74" t="s">
        <v>13644</v>
      </c>
      <c r="C26395" s="74" t="s">
        <v>424</v>
      </c>
    </row>
    <row r="26396" spans="1:3">
      <c r="A26396" s="250">
        <v>61274</v>
      </c>
      <c r="B26396" s="74" t="s">
        <v>13645</v>
      </c>
      <c r="C26396" s="74" t="s">
        <v>424</v>
      </c>
    </row>
    <row r="26397" spans="1:3">
      <c r="A26397" s="250">
        <v>61275</v>
      </c>
      <c r="B26397" s="74" t="s">
        <v>3406</v>
      </c>
      <c r="C26397" s="74" t="s">
        <v>424</v>
      </c>
    </row>
    <row r="26398" spans="1:3">
      <c r="A26398" s="250">
        <v>61276</v>
      </c>
      <c r="B26398" s="74" t="s">
        <v>13646</v>
      </c>
      <c r="C26398" s="74" t="s">
        <v>424</v>
      </c>
    </row>
    <row r="26399" spans="1:3">
      <c r="A26399" s="250">
        <v>61277</v>
      </c>
      <c r="B26399" s="74" t="s">
        <v>13647</v>
      </c>
      <c r="C26399" s="74" t="s">
        <v>424</v>
      </c>
    </row>
    <row r="26400" spans="1:3">
      <c r="A26400" s="250">
        <v>61278</v>
      </c>
      <c r="B26400" s="74" t="s">
        <v>13648</v>
      </c>
      <c r="C26400" s="74" t="s">
        <v>424</v>
      </c>
    </row>
    <row r="26401" spans="1:3">
      <c r="A26401" s="250">
        <v>61279</v>
      </c>
      <c r="B26401" s="74" t="s">
        <v>8094</v>
      </c>
      <c r="C26401" s="74" t="s">
        <v>424</v>
      </c>
    </row>
    <row r="26402" spans="1:3">
      <c r="A26402" s="250">
        <v>61281</v>
      </c>
      <c r="B26402" s="74" t="s">
        <v>13649</v>
      </c>
      <c r="C26402" s="74" t="s">
        <v>424</v>
      </c>
    </row>
    <row r="26403" spans="1:3">
      <c r="A26403" s="250">
        <v>61282</v>
      </c>
      <c r="B26403" s="74" t="s">
        <v>13650</v>
      </c>
      <c r="C26403" s="74" t="s">
        <v>424</v>
      </c>
    </row>
    <row r="26404" spans="1:3">
      <c r="A26404" s="250">
        <v>61283</v>
      </c>
      <c r="B26404" s="74" t="s">
        <v>13651</v>
      </c>
      <c r="C26404" s="74" t="s">
        <v>424</v>
      </c>
    </row>
    <row r="26405" spans="1:3">
      <c r="A26405" s="250">
        <v>61284</v>
      </c>
      <c r="B26405" s="74" t="s">
        <v>13652</v>
      </c>
      <c r="C26405" s="74" t="s">
        <v>424</v>
      </c>
    </row>
    <row r="26406" spans="1:3">
      <c r="A26406" s="250">
        <v>61285</v>
      </c>
      <c r="B26406" s="74" t="s">
        <v>8060</v>
      </c>
      <c r="C26406" s="74" t="s">
        <v>424</v>
      </c>
    </row>
    <row r="26407" spans="1:3">
      <c r="A26407" s="250">
        <v>61299</v>
      </c>
      <c r="B26407" s="74" t="s">
        <v>9284</v>
      </c>
      <c r="C26407" s="74" t="s">
        <v>424</v>
      </c>
    </row>
    <row r="26408" spans="1:3">
      <c r="A26408" s="250">
        <v>61301</v>
      </c>
      <c r="B26408" s="74" t="s">
        <v>11020</v>
      </c>
      <c r="C26408" s="74" t="s">
        <v>424</v>
      </c>
    </row>
    <row r="26409" spans="1:3">
      <c r="A26409" s="250">
        <v>61310</v>
      </c>
      <c r="B26409" s="74" t="s">
        <v>10759</v>
      </c>
      <c r="C26409" s="74" t="s">
        <v>424</v>
      </c>
    </row>
    <row r="26410" spans="1:3">
      <c r="A26410" s="250">
        <v>61311</v>
      </c>
      <c r="B26410" s="74" t="s">
        <v>13653</v>
      </c>
      <c r="C26410" s="74" t="s">
        <v>424</v>
      </c>
    </row>
    <row r="26411" spans="1:3">
      <c r="A26411" s="250">
        <v>61312</v>
      </c>
      <c r="B26411" s="74" t="s">
        <v>984</v>
      </c>
      <c r="C26411" s="74" t="s">
        <v>424</v>
      </c>
    </row>
    <row r="26412" spans="1:3">
      <c r="A26412" s="250">
        <v>61313</v>
      </c>
      <c r="B26412" s="74" t="s">
        <v>726</v>
      </c>
      <c r="C26412" s="74" t="s">
        <v>424</v>
      </c>
    </row>
    <row r="26413" spans="1:3">
      <c r="A26413" s="250">
        <v>61314</v>
      </c>
      <c r="B26413" s="74" t="s">
        <v>13654</v>
      </c>
      <c r="C26413" s="74" t="s">
        <v>424</v>
      </c>
    </row>
    <row r="26414" spans="1:3">
      <c r="A26414" s="250">
        <v>61315</v>
      </c>
      <c r="B26414" s="74" t="s">
        <v>13655</v>
      </c>
      <c r="C26414" s="74" t="s">
        <v>424</v>
      </c>
    </row>
    <row r="26415" spans="1:3">
      <c r="A26415" s="250">
        <v>61316</v>
      </c>
      <c r="B26415" s="74" t="s">
        <v>13656</v>
      </c>
      <c r="C26415" s="74" t="s">
        <v>424</v>
      </c>
    </row>
    <row r="26416" spans="1:3">
      <c r="A26416" s="250">
        <v>61317</v>
      </c>
      <c r="B26416" s="74" t="s">
        <v>13657</v>
      </c>
      <c r="C26416" s="74" t="s">
        <v>424</v>
      </c>
    </row>
    <row r="26417" spans="1:3">
      <c r="A26417" s="250">
        <v>61318</v>
      </c>
      <c r="B26417" s="74" t="s">
        <v>5562</v>
      </c>
      <c r="C26417" s="74" t="s">
        <v>424</v>
      </c>
    </row>
    <row r="26418" spans="1:3">
      <c r="A26418" s="250">
        <v>61319</v>
      </c>
      <c r="B26418" s="74" t="s">
        <v>11405</v>
      </c>
      <c r="C26418" s="74" t="s">
        <v>424</v>
      </c>
    </row>
    <row r="26419" spans="1:3">
      <c r="A26419" s="250">
        <v>61320</v>
      </c>
      <c r="B26419" s="74" t="s">
        <v>7606</v>
      </c>
      <c r="C26419" s="74" t="s">
        <v>424</v>
      </c>
    </row>
    <row r="26420" spans="1:3">
      <c r="A26420" s="250">
        <v>61321</v>
      </c>
      <c r="B26420" s="74" t="s">
        <v>7543</v>
      </c>
      <c r="C26420" s="74" t="s">
        <v>424</v>
      </c>
    </row>
    <row r="26421" spans="1:3">
      <c r="A26421" s="250">
        <v>61322</v>
      </c>
      <c r="B26421" s="74" t="s">
        <v>13658</v>
      </c>
      <c r="C26421" s="74" t="s">
        <v>424</v>
      </c>
    </row>
    <row r="26422" spans="1:3">
      <c r="A26422" s="250">
        <v>61323</v>
      </c>
      <c r="B26422" s="74" t="s">
        <v>869</v>
      </c>
      <c r="C26422" s="74" t="s">
        <v>424</v>
      </c>
    </row>
    <row r="26423" spans="1:3">
      <c r="A26423" s="250">
        <v>61324</v>
      </c>
      <c r="B26423" s="74" t="s">
        <v>13659</v>
      </c>
      <c r="C26423" s="74" t="s">
        <v>424</v>
      </c>
    </row>
    <row r="26424" spans="1:3">
      <c r="A26424" s="250">
        <v>61325</v>
      </c>
      <c r="B26424" s="74" t="s">
        <v>8308</v>
      </c>
      <c r="C26424" s="74" t="s">
        <v>424</v>
      </c>
    </row>
    <row r="26425" spans="1:3">
      <c r="A26425" s="250">
        <v>61326</v>
      </c>
      <c r="B26425" s="74" t="s">
        <v>594</v>
      </c>
      <c r="C26425" s="74" t="s">
        <v>424</v>
      </c>
    </row>
    <row r="26426" spans="1:3">
      <c r="A26426" s="250">
        <v>61327</v>
      </c>
      <c r="B26426" s="74" t="s">
        <v>13660</v>
      </c>
      <c r="C26426" s="74" t="s">
        <v>424</v>
      </c>
    </row>
    <row r="26427" spans="1:3">
      <c r="A26427" s="250">
        <v>61328</v>
      </c>
      <c r="B26427" s="74" t="s">
        <v>13661</v>
      </c>
      <c r="C26427" s="74" t="s">
        <v>424</v>
      </c>
    </row>
    <row r="26428" spans="1:3">
      <c r="A26428" s="250">
        <v>61329</v>
      </c>
      <c r="B26428" s="74" t="s">
        <v>13662</v>
      </c>
      <c r="C26428" s="74" t="s">
        <v>424</v>
      </c>
    </row>
    <row r="26429" spans="1:3">
      <c r="A26429" s="250">
        <v>61330</v>
      </c>
      <c r="B26429" s="74" t="s">
        <v>13663</v>
      </c>
      <c r="C26429" s="74" t="s">
        <v>424</v>
      </c>
    </row>
    <row r="26430" spans="1:3">
      <c r="A26430" s="250">
        <v>61331</v>
      </c>
      <c r="B26430" s="74" t="s">
        <v>3470</v>
      </c>
      <c r="C26430" s="74" t="s">
        <v>424</v>
      </c>
    </row>
    <row r="26431" spans="1:3">
      <c r="A26431" s="250">
        <v>61332</v>
      </c>
      <c r="B26431" s="74" t="s">
        <v>13664</v>
      </c>
      <c r="C26431" s="74" t="s">
        <v>424</v>
      </c>
    </row>
    <row r="26432" spans="1:3">
      <c r="A26432" s="250">
        <v>61333</v>
      </c>
      <c r="B26432" s="74" t="s">
        <v>13665</v>
      </c>
      <c r="C26432" s="74" t="s">
        <v>424</v>
      </c>
    </row>
    <row r="26433" spans="1:3">
      <c r="A26433" s="250">
        <v>61334</v>
      </c>
      <c r="B26433" s="74" t="s">
        <v>13666</v>
      </c>
      <c r="C26433" s="74" t="s">
        <v>424</v>
      </c>
    </row>
    <row r="26434" spans="1:3">
      <c r="A26434" s="250">
        <v>61335</v>
      </c>
      <c r="B26434" s="74" t="s">
        <v>13667</v>
      </c>
      <c r="C26434" s="74" t="s">
        <v>424</v>
      </c>
    </row>
    <row r="26435" spans="1:3">
      <c r="A26435" s="250">
        <v>61336</v>
      </c>
      <c r="B26435" s="74" t="s">
        <v>2398</v>
      </c>
      <c r="C26435" s="74" t="s">
        <v>424</v>
      </c>
    </row>
    <row r="26436" spans="1:3">
      <c r="A26436" s="250">
        <v>61337</v>
      </c>
      <c r="B26436" s="74" t="s">
        <v>916</v>
      </c>
      <c r="C26436" s="74" t="s">
        <v>424</v>
      </c>
    </row>
    <row r="26437" spans="1:3">
      <c r="A26437" s="250">
        <v>61338</v>
      </c>
      <c r="B26437" s="74" t="s">
        <v>3382</v>
      </c>
      <c r="C26437" s="74" t="s">
        <v>424</v>
      </c>
    </row>
    <row r="26438" spans="1:3">
      <c r="A26438" s="250">
        <v>61340</v>
      </c>
      <c r="B26438" s="74" t="s">
        <v>13668</v>
      </c>
      <c r="C26438" s="74" t="s">
        <v>424</v>
      </c>
    </row>
    <row r="26439" spans="1:3">
      <c r="A26439" s="250">
        <v>61341</v>
      </c>
      <c r="B26439" s="74" t="s">
        <v>13669</v>
      </c>
      <c r="C26439" s="74" t="s">
        <v>424</v>
      </c>
    </row>
    <row r="26440" spans="1:3">
      <c r="A26440" s="250">
        <v>61342</v>
      </c>
      <c r="B26440" s="74" t="s">
        <v>6334</v>
      </c>
      <c r="C26440" s="74" t="s">
        <v>424</v>
      </c>
    </row>
    <row r="26441" spans="1:3">
      <c r="A26441" s="250">
        <v>61344</v>
      </c>
      <c r="B26441" s="74" t="s">
        <v>6087</v>
      </c>
      <c r="C26441" s="74" t="s">
        <v>424</v>
      </c>
    </row>
    <row r="26442" spans="1:3">
      <c r="A26442" s="250">
        <v>61345</v>
      </c>
      <c r="B26442" s="74" t="s">
        <v>13670</v>
      </c>
      <c r="C26442" s="74" t="s">
        <v>424</v>
      </c>
    </row>
    <row r="26443" spans="1:3">
      <c r="A26443" s="250">
        <v>61346</v>
      </c>
      <c r="B26443" s="74" t="s">
        <v>1073</v>
      </c>
      <c r="C26443" s="74" t="s">
        <v>424</v>
      </c>
    </row>
    <row r="26444" spans="1:3">
      <c r="A26444" s="250">
        <v>61348</v>
      </c>
      <c r="B26444" s="74" t="s">
        <v>13671</v>
      </c>
      <c r="C26444" s="74" t="s">
        <v>424</v>
      </c>
    </row>
    <row r="26445" spans="1:3">
      <c r="A26445" s="250">
        <v>61349</v>
      </c>
      <c r="B26445" s="74" t="s">
        <v>13672</v>
      </c>
      <c r="C26445" s="74" t="s">
        <v>424</v>
      </c>
    </row>
    <row r="26446" spans="1:3">
      <c r="A26446" s="250">
        <v>61350</v>
      </c>
      <c r="B26446" s="74" t="s">
        <v>6634</v>
      </c>
      <c r="C26446" s="74" t="s">
        <v>424</v>
      </c>
    </row>
    <row r="26447" spans="1:3">
      <c r="A26447" s="250">
        <v>61353</v>
      </c>
      <c r="B26447" s="74" t="s">
        <v>6695</v>
      </c>
      <c r="C26447" s="74" t="s">
        <v>424</v>
      </c>
    </row>
    <row r="26448" spans="1:3">
      <c r="A26448" s="250">
        <v>61354</v>
      </c>
      <c r="B26448" s="74" t="s">
        <v>1470</v>
      </c>
      <c r="C26448" s="74" t="s">
        <v>424</v>
      </c>
    </row>
    <row r="26449" spans="1:3">
      <c r="A26449" s="250">
        <v>61356</v>
      </c>
      <c r="B26449" s="74" t="s">
        <v>755</v>
      </c>
      <c r="C26449" s="74" t="s">
        <v>424</v>
      </c>
    </row>
    <row r="26450" spans="1:3">
      <c r="A26450" s="250">
        <v>61358</v>
      </c>
      <c r="B26450" s="74" t="s">
        <v>757</v>
      </c>
      <c r="C26450" s="74" t="s">
        <v>424</v>
      </c>
    </row>
    <row r="26451" spans="1:3">
      <c r="A26451" s="250">
        <v>61359</v>
      </c>
      <c r="B26451" s="74" t="s">
        <v>13673</v>
      </c>
      <c r="C26451" s="74" t="s">
        <v>424</v>
      </c>
    </row>
    <row r="26452" spans="1:3">
      <c r="A26452" s="250">
        <v>61360</v>
      </c>
      <c r="B26452" s="74" t="s">
        <v>4492</v>
      </c>
      <c r="C26452" s="74" t="s">
        <v>424</v>
      </c>
    </row>
    <row r="26453" spans="1:3">
      <c r="A26453" s="250">
        <v>61361</v>
      </c>
      <c r="B26453" s="74" t="s">
        <v>661</v>
      </c>
      <c r="C26453" s="74" t="s">
        <v>424</v>
      </c>
    </row>
    <row r="26454" spans="1:3">
      <c r="A26454" s="250">
        <v>61362</v>
      </c>
      <c r="B26454" s="74" t="s">
        <v>2706</v>
      </c>
      <c r="C26454" s="74" t="s">
        <v>424</v>
      </c>
    </row>
    <row r="26455" spans="1:3">
      <c r="A26455" s="250">
        <v>61363</v>
      </c>
      <c r="B26455" s="74" t="s">
        <v>164</v>
      </c>
      <c r="C26455" s="74" t="s">
        <v>424</v>
      </c>
    </row>
    <row r="26456" spans="1:3">
      <c r="A26456" s="250">
        <v>61364</v>
      </c>
      <c r="B26456" s="74" t="s">
        <v>13674</v>
      </c>
      <c r="C26456" s="74" t="s">
        <v>424</v>
      </c>
    </row>
    <row r="26457" spans="1:3">
      <c r="A26457" s="250">
        <v>61367</v>
      </c>
      <c r="B26457" s="74" t="s">
        <v>13675</v>
      </c>
      <c r="C26457" s="74" t="s">
        <v>424</v>
      </c>
    </row>
    <row r="26458" spans="1:3">
      <c r="A26458" s="250">
        <v>61368</v>
      </c>
      <c r="B26458" s="74" t="s">
        <v>13676</v>
      </c>
      <c r="C26458" s="74" t="s">
        <v>424</v>
      </c>
    </row>
    <row r="26459" spans="1:3">
      <c r="A26459" s="250">
        <v>61369</v>
      </c>
      <c r="B26459" s="74" t="s">
        <v>13677</v>
      </c>
      <c r="C26459" s="74" t="s">
        <v>424</v>
      </c>
    </row>
    <row r="26460" spans="1:3">
      <c r="A26460" s="250">
        <v>61370</v>
      </c>
      <c r="B26460" s="74" t="s">
        <v>13678</v>
      </c>
      <c r="C26460" s="74" t="s">
        <v>424</v>
      </c>
    </row>
    <row r="26461" spans="1:3">
      <c r="A26461" s="250">
        <v>61371</v>
      </c>
      <c r="B26461" s="74" t="s">
        <v>13679</v>
      </c>
      <c r="C26461" s="74" t="s">
        <v>424</v>
      </c>
    </row>
    <row r="26462" spans="1:3">
      <c r="A26462" s="250">
        <v>61372</v>
      </c>
      <c r="B26462" s="74" t="s">
        <v>13680</v>
      </c>
      <c r="C26462" s="74" t="s">
        <v>424</v>
      </c>
    </row>
    <row r="26463" spans="1:3">
      <c r="A26463" s="250">
        <v>61373</v>
      </c>
      <c r="B26463" s="74" t="s">
        <v>3521</v>
      </c>
      <c r="C26463" s="74" t="s">
        <v>424</v>
      </c>
    </row>
    <row r="26464" spans="1:3">
      <c r="A26464" s="250">
        <v>61374</v>
      </c>
      <c r="B26464" s="74" t="s">
        <v>13681</v>
      </c>
      <c r="C26464" s="74" t="s">
        <v>424</v>
      </c>
    </row>
    <row r="26465" spans="1:3">
      <c r="A26465" s="250">
        <v>61375</v>
      </c>
      <c r="B26465" s="74" t="s">
        <v>13682</v>
      </c>
      <c r="C26465" s="74" t="s">
        <v>424</v>
      </c>
    </row>
    <row r="26466" spans="1:3">
      <c r="A26466" s="250">
        <v>61376</v>
      </c>
      <c r="B26466" s="74" t="s">
        <v>9326</v>
      </c>
      <c r="C26466" s="74" t="s">
        <v>424</v>
      </c>
    </row>
    <row r="26467" spans="1:3">
      <c r="A26467" s="250">
        <v>61377</v>
      </c>
      <c r="B26467" s="74" t="s">
        <v>13683</v>
      </c>
      <c r="C26467" s="74" t="s">
        <v>424</v>
      </c>
    </row>
    <row r="26468" spans="1:3">
      <c r="A26468" s="250">
        <v>61378</v>
      </c>
      <c r="B26468" s="74" t="s">
        <v>13684</v>
      </c>
      <c r="C26468" s="74" t="s">
        <v>424</v>
      </c>
    </row>
    <row r="26469" spans="1:3">
      <c r="A26469" s="250">
        <v>61379</v>
      </c>
      <c r="B26469" s="74" t="s">
        <v>13685</v>
      </c>
      <c r="C26469" s="74" t="s">
        <v>424</v>
      </c>
    </row>
    <row r="26470" spans="1:3">
      <c r="A26470" s="250">
        <v>61401</v>
      </c>
      <c r="B26470" s="74" t="s">
        <v>11201</v>
      </c>
      <c r="C26470" s="74" t="s">
        <v>424</v>
      </c>
    </row>
    <row r="26471" spans="1:3">
      <c r="A26471" s="250">
        <v>61402</v>
      </c>
      <c r="B26471" s="74" t="s">
        <v>11201</v>
      </c>
      <c r="C26471" s="74" t="s">
        <v>424</v>
      </c>
    </row>
    <row r="26472" spans="1:3">
      <c r="A26472" s="250">
        <v>61410</v>
      </c>
      <c r="B26472" s="74" t="s">
        <v>5650</v>
      </c>
      <c r="C26472" s="74" t="s">
        <v>424</v>
      </c>
    </row>
    <row r="26473" spans="1:3">
      <c r="A26473" s="250">
        <v>61411</v>
      </c>
      <c r="B26473" s="74" t="s">
        <v>11479</v>
      </c>
      <c r="C26473" s="74" t="s">
        <v>424</v>
      </c>
    </row>
    <row r="26474" spans="1:3">
      <c r="A26474" s="250">
        <v>61412</v>
      </c>
      <c r="B26474" s="74" t="s">
        <v>7286</v>
      </c>
      <c r="C26474" s="74" t="s">
        <v>424</v>
      </c>
    </row>
    <row r="26475" spans="1:3">
      <c r="A26475" s="250">
        <v>61413</v>
      </c>
      <c r="B26475" s="74" t="s">
        <v>10047</v>
      </c>
      <c r="C26475" s="74" t="s">
        <v>424</v>
      </c>
    </row>
    <row r="26476" spans="1:3">
      <c r="A26476" s="250">
        <v>61414</v>
      </c>
      <c r="B26476" s="74" t="s">
        <v>3275</v>
      </c>
      <c r="C26476" s="74" t="s">
        <v>424</v>
      </c>
    </row>
    <row r="26477" spans="1:3">
      <c r="A26477" s="250">
        <v>61415</v>
      </c>
      <c r="B26477" s="74" t="s">
        <v>935</v>
      </c>
      <c r="C26477" s="74" t="s">
        <v>424</v>
      </c>
    </row>
    <row r="26478" spans="1:3">
      <c r="A26478" s="250">
        <v>61416</v>
      </c>
      <c r="B26478" s="74" t="s">
        <v>13686</v>
      </c>
      <c r="C26478" s="74" t="s">
        <v>424</v>
      </c>
    </row>
    <row r="26479" spans="1:3">
      <c r="A26479" s="250">
        <v>61417</v>
      </c>
      <c r="B26479" s="74" t="s">
        <v>1351</v>
      </c>
      <c r="C26479" s="74" t="s">
        <v>424</v>
      </c>
    </row>
    <row r="26480" spans="1:3">
      <c r="A26480" s="250">
        <v>61418</v>
      </c>
      <c r="B26480" s="74" t="s">
        <v>13687</v>
      </c>
      <c r="C26480" s="74" t="s">
        <v>424</v>
      </c>
    </row>
    <row r="26481" spans="1:3">
      <c r="A26481" s="250">
        <v>61419</v>
      </c>
      <c r="B26481" s="74" t="s">
        <v>13688</v>
      </c>
      <c r="C26481" s="74" t="s">
        <v>424</v>
      </c>
    </row>
    <row r="26482" spans="1:3">
      <c r="A26482" s="250">
        <v>61420</v>
      </c>
      <c r="B26482" s="74" t="s">
        <v>13689</v>
      </c>
      <c r="C26482" s="74" t="s">
        <v>424</v>
      </c>
    </row>
    <row r="26483" spans="1:3">
      <c r="A26483" s="250">
        <v>61421</v>
      </c>
      <c r="B26483" s="74" t="s">
        <v>1097</v>
      </c>
      <c r="C26483" s="74" t="s">
        <v>424</v>
      </c>
    </row>
    <row r="26484" spans="1:3">
      <c r="A26484" s="250">
        <v>61422</v>
      </c>
      <c r="B26484" s="74" t="s">
        <v>8459</v>
      </c>
      <c r="C26484" s="74" t="s">
        <v>424</v>
      </c>
    </row>
    <row r="26485" spans="1:3">
      <c r="A26485" s="250">
        <v>61423</v>
      </c>
      <c r="B26485" s="74" t="s">
        <v>3902</v>
      </c>
      <c r="C26485" s="74" t="s">
        <v>424</v>
      </c>
    </row>
    <row r="26486" spans="1:3">
      <c r="A26486" s="250">
        <v>61424</v>
      </c>
      <c r="B26486" s="74" t="s">
        <v>13690</v>
      </c>
      <c r="C26486" s="74" t="s">
        <v>424</v>
      </c>
    </row>
    <row r="26487" spans="1:3">
      <c r="A26487" s="250">
        <v>61425</v>
      </c>
      <c r="B26487" s="74" t="s">
        <v>13691</v>
      </c>
      <c r="C26487" s="74" t="s">
        <v>424</v>
      </c>
    </row>
    <row r="26488" spans="1:3">
      <c r="A26488" s="250">
        <v>61426</v>
      </c>
      <c r="B26488" s="74" t="s">
        <v>1866</v>
      </c>
      <c r="C26488" s="74" t="s">
        <v>424</v>
      </c>
    </row>
    <row r="26489" spans="1:3">
      <c r="A26489" s="250">
        <v>61427</v>
      </c>
      <c r="B26489" s="74" t="s">
        <v>3857</v>
      </c>
      <c r="C26489" s="74" t="s">
        <v>424</v>
      </c>
    </row>
    <row r="26490" spans="1:3">
      <c r="A26490" s="250">
        <v>61428</v>
      </c>
      <c r="B26490" s="74" t="s">
        <v>13692</v>
      </c>
      <c r="C26490" s="74" t="s">
        <v>424</v>
      </c>
    </row>
    <row r="26491" spans="1:3">
      <c r="A26491" s="250">
        <v>61430</v>
      </c>
      <c r="B26491" s="74" t="s">
        <v>13693</v>
      </c>
      <c r="C26491" s="74" t="s">
        <v>424</v>
      </c>
    </row>
    <row r="26492" spans="1:3">
      <c r="A26492" s="250">
        <v>61431</v>
      </c>
      <c r="B26492" s="74" t="s">
        <v>9480</v>
      </c>
      <c r="C26492" s="74" t="s">
        <v>424</v>
      </c>
    </row>
    <row r="26493" spans="1:3">
      <c r="A26493" s="250">
        <v>61432</v>
      </c>
      <c r="B26493" s="74" t="s">
        <v>2122</v>
      </c>
      <c r="C26493" s="74" t="s">
        <v>424</v>
      </c>
    </row>
    <row r="26494" spans="1:3">
      <c r="A26494" s="250">
        <v>61433</v>
      </c>
      <c r="B26494" s="74" t="s">
        <v>13694</v>
      </c>
      <c r="C26494" s="74" t="s">
        <v>424</v>
      </c>
    </row>
    <row r="26495" spans="1:3">
      <c r="A26495" s="250">
        <v>61434</v>
      </c>
      <c r="B26495" s="74" t="s">
        <v>11699</v>
      </c>
      <c r="C26495" s="74" t="s">
        <v>424</v>
      </c>
    </row>
    <row r="26496" spans="1:3">
      <c r="A26496" s="250">
        <v>61435</v>
      </c>
      <c r="B26496" s="74" t="s">
        <v>13695</v>
      </c>
      <c r="C26496" s="74" t="s">
        <v>424</v>
      </c>
    </row>
    <row r="26497" spans="1:3">
      <c r="A26497" s="250">
        <v>61436</v>
      </c>
      <c r="B26497" s="74" t="s">
        <v>13696</v>
      </c>
      <c r="C26497" s="74" t="s">
        <v>424</v>
      </c>
    </row>
    <row r="26498" spans="1:3">
      <c r="A26498" s="250">
        <v>61437</v>
      </c>
      <c r="B26498" s="74" t="s">
        <v>2345</v>
      </c>
      <c r="C26498" s="74" t="s">
        <v>424</v>
      </c>
    </row>
    <row r="26499" spans="1:3">
      <c r="A26499" s="250">
        <v>61438</v>
      </c>
      <c r="B26499" s="74" t="s">
        <v>8012</v>
      </c>
      <c r="C26499" s="74" t="s">
        <v>424</v>
      </c>
    </row>
    <row r="26500" spans="1:3">
      <c r="A26500" s="250">
        <v>61439</v>
      </c>
      <c r="B26500" s="74" t="s">
        <v>3556</v>
      </c>
      <c r="C26500" s="74" t="s">
        <v>424</v>
      </c>
    </row>
    <row r="26501" spans="1:3">
      <c r="A26501" s="250">
        <v>61440</v>
      </c>
      <c r="B26501" s="74" t="s">
        <v>3989</v>
      </c>
      <c r="C26501" s="74" t="s">
        <v>424</v>
      </c>
    </row>
    <row r="26502" spans="1:3">
      <c r="A26502" s="250">
        <v>61441</v>
      </c>
      <c r="B26502" s="74" t="s">
        <v>13697</v>
      </c>
      <c r="C26502" s="74" t="s">
        <v>424</v>
      </c>
    </row>
    <row r="26503" spans="1:3">
      <c r="A26503" s="250">
        <v>61442</v>
      </c>
      <c r="B26503" s="74" t="s">
        <v>13698</v>
      </c>
      <c r="C26503" s="74" t="s">
        <v>424</v>
      </c>
    </row>
    <row r="26504" spans="1:3">
      <c r="A26504" s="250">
        <v>61443</v>
      </c>
      <c r="B26504" s="74" t="s">
        <v>13699</v>
      </c>
      <c r="C26504" s="74" t="s">
        <v>424</v>
      </c>
    </row>
    <row r="26505" spans="1:3">
      <c r="A26505" s="250">
        <v>61447</v>
      </c>
      <c r="B26505" s="74" t="s">
        <v>3625</v>
      </c>
      <c r="C26505" s="74" t="s">
        <v>424</v>
      </c>
    </row>
    <row r="26506" spans="1:3">
      <c r="A26506" s="250">
        <v>61448</v>
      </c>
      <c r="B26506" s="74" t="s">
        <v>4677</v>
      </c>
      <c r="C26506" s="74" t="s">
        <v>424</v>
      </c>
    </row>
    <row r="26507" spans="1:3">
      <c r="A26507" s="250">
        <v>61449</v>
      </c>
      <c r="B26507" s="74" t="s">
        <v>3375</v>
      </c>
      <c r="C26507" s="74" t="s">
        <v>424</v>
      </c>
    </row>
    <row r="26508" spans="1:3">
      <c r="A26508" s="250">
        <v>61450</v>
      </c>
      <c r="B26508" s="74" t="s">
        <v>13700</v>
      </c>
      <c r="C26508" s="74" t="s">
        <v>424</v>
      </c>
    </row>
    <row r="26509" spans="1:3">
      <c r="A26509" s="250">
        <v>61451</v>
      </c>
      <c r="B26509" s="74" t="s">
        <v>10504</v>
      </c>
      <c r="C26509" s="74" t="s">
        <v>424</v>
      </c>
    </row>
    <row r="26510" spans="1:3">
      <c r="A26510" s="250">
        <v>61452</v>
      </c>
      <c r="B26510" s="74" t="s">
        <v>713</v>
      </c>
      <c r="C26510" s="74" t="s">
        <v>424</v>
      </c>
    </row>
    <row r="26511" spans="1:3">
      <c r="A26511" s="250">
        <v>61453</v>
      </c>
      <c r="B26511" s="74" t="s">
        <v>2579</v>
      </c>
      <c r="C26511" s="74" t="s">
        <v>424</v>
      </c>
    </row>
    <row r="26512" spans="1:3">
      <c r="A26512" s="250">
        <v>61454</v>
      </c>
      <c r="B26512" s="74" t="s">
        <v>13701</v>
      </c>
      <c r="C26512" s="74" t="s">
        <v>424</v>
      </c>
    </row>
    <row r="26513" spans="1:3">
      <c r="A26513" s="250">
        <v>61455</v>
      </c>
      <c r="B26513" s="74" t="s">
        <v>10997</v>
      </c>
      <c r="C26513" s="74" t="s">
        <v>424</v>
      </c>
    </row>
    <row r="26514" spans="1:3">
      <c r="A26514" s="250">
        <v>61458</v>
      </c>
      <c r="B26514" s="74" t="s">
        <v>13702</v>
      </c>
      <c r="C26514" s="74" t="s">
        <v>424</v>
      </c>
    </row>
    <row r="26515" spans="1:3">
      <c r="A26515" s="250">
        <v>61459</v>
      </c>
      <c r="B26515" s="74" t="s">
        <v>3385</v>
      </c>
      <c r="C26515" s="74" t="s">
        <v>424</v>
      </c>
    </row>
    <row r="26516" spans="1:3">
      <c r="A26516" s="250">
        <v>61460</v>
      </c>
      <c r="B26516" s="74" t="s">
        <v>5350</v>
      </c>
      <c r="C26516" s="74" t="s">
        <v>424</v>
      </c>
    </row>
    <row r="26517" spans="1:3">
      <c r="A26517" s="250">
        <v>61462</v>
      </c>
      <c r="B26517" s="74" t="s">
        <v>1451</v>
      </c>
      <c r="C26517" s="74" t="s">
        <v>424</v>
      </c>
    </row>
    <row r="26518" spans="1:3">
      <c r="A26518" s="250">
        <v>61465</v>
      </c>
      <c r="B26518" s="74" t="s">
        <v>3132</v>
      </c>
      <c r="C26518" s="74" t="s">
        <v>424</v>
      </c>
    </row>
    <row r="26519" spans="1:3">
      <c r="A26519" s="250">
        <v>61466</v>
      </c>
      <c r="B26519" s="74" t="s">
        <v>13703</v>
      </c>
      <c r="C26519" s="74" t="s">
        <v>424</v>
      </c>
    </row>
    <row r="26520" spans="1:3">
      <c r="A26520" s="250">
        <v>61467</v>
      </c>
      <c r="B26520" s="74" t="s">
        <v>3483</v>
      </c>
      <c r="C26520" s="74" t="s">
        <v>424</v>
      </c>
    </row>
    <row r="26521" spans="1:3">
      <c r="A26521" s="250">
        <v>61468</v>
      </c>
      <c r="B26521" s="74" t="s">
        <v>13704</v>
      </c>
      <c r="C26521" s="74" t="s">
        <v>424</v>
      </c>
    </row>
    <row r="26522" spans="1:3">
      <c r="A26522" s="250">
        <v>61469</v>
      </c>
      <c r="B26522" s="74" t="s">
        <v>13705</v>
      </c>
      <c r="C26522" s="74" t="s">
        <v>424</v>
      </c>
    </row>
    <row r="26523" spans="1:3">
      <c r="A26523" s="250">
        <v>61470</v>
      </c>
      <c r="B26523" s="74" t="s">
        <v>11540</v>
      </c>
      <c r="C26523" s="74" t="s">
        <v>424</v>
      </c>
    </row>
    <row r="26524" spans="1:3">
      <c r="A26524" s="250">
        <v>61471</v>
      </c>
      <c r="B26524" s="74" t="s">
        <v>2595</v>
      </c>
      <c r="C26524" s="74" t="s">
        <v>424</v>
      </c>
    </row>
    <row r="26525" spans="1:3">
      <c r="A26525" s="250">
        <v>61472</v>
      </c>
      <c r="B26525" s="74" t="s">
        <v>7030</v>
      </c>
      <c r="C26525" s="74" t="s">
        <v>424</v>
      </c>
    </row>
    <row r="26526" spans="1:3">
      <c r="A26526" s="250">
        <v>61473</v>
      </c>
      <c r="B26526" s="74" t="s">
        <v>10242</v>
      </c>
      <c r="C26526" s="74" t="s">
        <v>424</v>
      </c>
    </row>
    <row r="26527" spans="1:3">
      <c r="A26527" s="250">
        <v>61474</v>
      </c>
      <c r="B26527" s="74" t="s">
        <v>8232</v>
      </c>
      <c r="C26527" s="74" t="s">
        <v>424</v>
      </c>
    </row>
    <row r="26528" spans="1:3">
      <c r="A26528" s="250">
        <v>61475</v>
      </c>
      <c r="B26528" s="74" t="s">
        <v>5140</v>
      </c>
      <c r="C26528" s="74" t="s">
        <v>424</v>
      </c>
    </row>
    <row r="26529" spans="1:3">
      <c r="A26529" s="250">
        <v>61476</v>
      </c>
      <c r="B26529" s="74" t="s">
        <v>13706</v>
      </c>
      <c r="C26529" s="74" t="s">
        <v>424</v>
      </c>
    </row>
    <row r="26530" spans="1:3">
      <c r="A26530" s="250">
        <v>61477</v>
      </c>
      <c r="B26530" s="74" t="s">
        <v>1149</v>
      </c>
      <c r="C26530" s="74" t="s">
        <v>424</v>
      </c>
    </row>
    <row r="26531" spans="1:3">
      <c r="A26531" s="250">
        <v>61478</v>
      </c>
      <c r="B26531" s="74" t="s">
        <v>13707</v>
      </c>
      <c r="C26531" s="74" t="s">
        <v>424</v>
      </c>
    </row>
    <row r="26532" spans="1:3">
      <c r="A26532" s="250">
        <v>61479</v>
      </c>
      <c r="B26532" s="74" t="s">
        <v>13708</v>
      </c>
      <c r="C26532" s="74" t="s">
        <v>424</v>
      </c>
    </row>
    <row r="26533" spans="1:3">
      <c r="A26533" s="250">
        <v>61480</v>
      </c>
      <c r="B26533" s="74" t="s">
        <v>13709</v>
      </c>
      <c r="C26533" s="74" t="s">
        <v>424</v>
      </c>
    </row>
    <row r="26534" spans="1:3">
      <c r="A26534" s="250">
        <v>61482</v>
      </c>
      <c r="B26534" s="74" t="s">
        <v>13710</v>
      </c>
      <c r="C26534" s="74" t="s">
        <v>424</v>
      </c>
    </row>
    <row r="26535" spans="1:3">
      <c r="A26535" s="250">
        <v>61483</v>
      </c>
      <c r="B26535" s="74" t="s">
        <v>13711</v>
      </c>
      <c r="C26535" s="74" t="s">
        <v>424</v>
      </c>
    </row>
    <row r="26536" spans="1:3">
      <c r="A26536" s="250">
        <v>61484</v>
      </c>
      <c r="B26536" s="74" t="s">
        <v>13712</v>
      </c>
      <c r="C26536" s="74" t="s">
        <v>424</v>
      </c>
    </row>
    <row r="26537" spans="1:3">
      <c r="A26537" s="250">
        <v>61485</v>
      </c>
      <c r="B26537" s="74" t="s">
        <v>6250</v>
      </c>
      <c r="C26537" s="74" t="s">
        <v>424</v>
      </c>
    </row>
    <row r="26538" spans="1:3">
      <c r="A26538" s="250">
        <v>61486</v>
      </c>
      <c r="B26538" s="74" t="s">
        <v>5510</v>
      </c>
      <c r="C26538" s="74" t="s">
        <v>424</v>
      </c>
    </row>
    <row r="26539" spans="1:3">
      <c r="A26539" s="250">
        <v>61488</v>
      </c>
      <c r="B26539" s="74" t="s">
        <v>13713</v>
      </c>
      <c r="C26539" s="74" t="s">
        <v>424</v>
      </c>
    </row>
    <row r="26540" spans="1:3">
      <c r="A26540" s="250">
        <v>61489</v>
      </c>
      <c r="B26540" s="74" t="s">
        <v>10318</v>
      </c>
      <c r="C26540" s="74" t="s">
        <v>424</v>
      </c>
    </row>
    <row r="26541" spans="1:3">
      <c r="A26541" s="250">
        <v>61490</v>
      </c>
      <c r="B26541" s="74" t="s">
        <v>3954</v>
      </c>
      <c r="C26541" s="74" t="s">
        <v>424</v>
      </c>
    </row>
    <row r="26542" spans="1:3">
      <c r="A26542" s="250">
        <v>61491</v>
      </c>
      <c r="B26542" s="74" t="s">
        <v>1142</v>
      </c>
      <c r="C26542" s="74" t="s">
        <v>424</v>
      </c>
    </row>
    <row r="26543" spans="1:3">
      <c r="A26543" s="250">
        <v>61501</v>
      </c>
      <c r="B26543" s="74" t="s">
        <v>2732</v>
      </c>
      <c r="C26543" s="74" t="s">
        <v>424</v>
      </c>
    </row>
    <row r="26544" spans="1:3">
      <c r="A26544" s="250">
        <v>61516</v>
      </c>
      <c r="B26544" s="74" t="s">
        <v>1862</v>
      </c>
      <c r="C26544" s="74" t="s">
        <v>424</v>
      </c>
    </row>
    <row r="26545" spans="1:3">
      <c r="A26545" s="250">
        <v>61517</v>
      </c>
      <c r="B26545" s="74" t="s">
        <v>582</v>
      </c>
      <c r="C26545" s="74" t="s">
        <v>424</v>
      </c>
    </row>
    <row r="26546" spans="1:3">
      <c r="A26546" s="250">
        <v>61519</v>
      </c>
      <c r="B26546" s="74" t="s">
        <v>8763</v>
      </c>
      <c r="C26546" s="74" t="s">
        <v>424</v>
      </c>
    </row>
    <row r="26547" spans="1:3">
      <c r="A26547" s="250">
        <v>61520</v>
      </c>
      <c r="B26547" s="74" t="s">
        <v>866</v>
      </c>
      <c r="C26547" s="74" t="s">
        <v>424</v>
      </c>
    </row>
    <row r="26548" spans="1:3">
      <c r="A26548" s="250">
        <v>61523</v>
      </c>
      <c r="B26548" s="74" t="s">
        <v>10526</v>
      </c>
      <c r="C26548" s="74" t="s">
        <v>424</v>
      </c>
    </row>
    <row r="26549" spans="1:3">
      <c r="A26549" s="250">
        <v>61524</v>
      </c>
      <c r="B26549" s="74" t="s">
        <v>13714</v>
      </c>
      <c r="C26549" s="74" t="s">
        <v>424</v>
      </c>
    </row>
    <row r="26550" spans="1:3">
      <c r="A26550" s="250">
        <v>61525</v>
      </c>
      <c r="B26550" s="74" t="s">
        <v>9059</v>
      </c>
      <c r="C26550" s="74" t="s">
        <v>424</v>
      </c>
    </row>
    <row r="26551" spans="1:3">
      <c r="A26551" s="250">
        <v>61526</v>
      </c>
      <c r="B26551" s="74" t="s">
        <v>13715</v>
      </c>
      <c r="C26551" s="74" t="s">
        <v>424</v>
      </c>
    </row>
    <row r="26552" spans="1:3">
      <c r="A26552" s="250">
        <v>61528</v>
      </c>
      <c r="B26552" s="74" t="s">
        <v>3543</v>
      </c>
      <c r="C26552" s="74" t="s">
        <v>424</v>
      </c>
    </row>
    <row r="26553" spans="1:3">
      <c r="A26553" s="250">
        <v>61529</v>
      </c>
      <c r="B26553" s="74" t="s">
        <v>942</v>
      </c>
      <c r="C26553" s="74" t="s">
        <v>424</v>
      </c>
    </row>
    <row r="26554" spans="1:3">
      <c r="A26554" s="250">
        <v>61530</v>
      </c>
      <c r="B26554" s="74" t="s">
        <v>11160</v>
      </c>
      <c r="C26554" s="74" t="s">
        <v>424</v>
      </c>
    </row>
    <row r="26555" spans="1:3">
      <c r="A26555" s="250">
        <v>61531</v>
      </c>
      <c r="B26555" s="74" t="s">
        <v>1309</v>
      </c>
      <c r="C26555" s="74" t="s">
        <v>424</v>
      </c>
    </row>
    <row r="26556" spans="1:3">
      <c r="A26556" s="250">
        <v>61532</v>
      </c>
      <c r="B26556" s="74" t="s">
        <v>5158</v>
      </c>
      <c r="C26556" s="74" t="s">
        <v>424</v>
      </c>
    </row>
    <row r="26557" spans="1:3">
      <c r="A26557" s="250">
        <v>61533</v>
      </c>
      <c r="B26557" s="74" t="s">
        <v>13716</v>
      </c>
      <c r="C26557" s="74" t="s">
        <v>424</v>
      </c>
    </row>
    <row r="26558" spans="1:3">
      <c r="A26558" s="250">
        <v>61534</v>
      </c>
      <c r="B26558" s="74" t="s">
        <v>12101</v>
      </c>
      <c r="C26558" s="74" t="s">
        <v>424</v>
      </c>
    </row>
    <row r="26559" spans="1:3">
      <c r="A26559" s="250">
        <v>61535</v>
      </c>
      <c r="B26559" s="74" t="s">
        <v>814</v>
      </c>
      <c r="C26559" s="74" t="s">
        <v>424</v>
      </c>
    </row>
    <row r="26560" spans="1:3">
      <c r="A26560" s="250">
        <v>61536</v>
      </c>
      <c r="B26560" s="74" t="s">
        <v>13717</v>
      </c>
      <c r="C26560" s="74" t="s">
        <v>424</v>
      </c>
    </row>
    <row r="26561" spans="1:3">
      <c r="A26561" s="250">
        <v>61537</v>
      </c>
      <c r="B26561" s="74" t="s">
        <v>6280</v>
      </c>
      <c r="C26561" s="74" t="s">
        <v>424</v>
      </c>
    </row>
    <row r="26562" spans="1:3">
      <c r="A26562" s="250">
        <v>61539</v>
      </c>
      <c r="B26562" s="74" t="s">
        <v>13718</v>
      </c>
      <c r="C26562" s="74" t="s">
        <v>424</v>
      </c>
    </row>
    <row r="26563" spans="1:3">
      <c r="A26563" s="250">
        <v>61540</v>
      </c>
      <c r="B26563" s="74" t="s">
        <v>13719</v>
      </c>
      <c r="C26563" s="74" t="s">
        <v>424</v>
      </c>
    </row>
    <row r="26564" spans="1:3">
      <c r="A26564" s="250">
        <v>61541</v>
      </c>
      <c r="B26564" s="74" t="s">
        <v>13720</v>
      </c>
      <c r="C26564" s="74" t="s">
        <v>424</v>
      </c>
    </row>
    <row r="26565" spans="1:3">
      <c r="A26565" s="250">
        <v>61542</v>
      </c>
      <c r="B26565" s="74" t="s">
        <v>4717</v>
      </c>
      <c r="C26565" s="74" t="s">
        <v>424</v>
      </c>
    </row>
    <row r="26566" spans="1:3">
      <c r="A26566" s="250">
        <v>61543</v>
      </c>
      <c r="B26566" s="74" t="s">
        <v>3376</v>
      </c>
      <c r="C26566" s="74" t="s">
        <v>424</v>
      </c>
    </row>
    <row r="26567" spans="1:3">
      <c r="A26567" s="250">
        <v>61544</v>
      </c>
      <c r="B26567" s="74" t="s">
        <v>13721</v>
      </c>
      <c r="C26567" s="74" t="s">
        <v>424</v>
      </c>
    </row>
    <row r="26568" spans="1:3">
      <c r="A26568" s="250">
        <v>61545</v>
      </c>
      <c r="B26568" s="74" t="s">
        <v>13722</v>
      </c>
      <c r="C26568" s="74" t="s">
        <v>424</v>
      </c>
    </row>
    <row r="26569" spans="1:3">
      <c r="A26569" s="250">
        <v>61546</v>
      </c>
      <c r="B26569" s="74" t="s">
        <v>13723</v>
      </c>
      <c r="C26569" s="74" t="s">
        <v>424</v>
      </c>
    </row>
    <row r="26570" spans="1:3">
      <c r="A26570" s="250">
        <v>61547</v>
      </c>
      <c r="B26570" s="74" t="s">
        <v>1637</v>
      </c>
      <c r="C26570" s="74" t="s">
        <v>424</v>
      </c>
    </row>
    <row r="26571" spans="1:3">
      <c r="A26571" s="250">
        <v>61548</v>
      </c>
      <c r="B26571" s="74" t="s">
        <v>10202</v>
      </c>
      <c r="C26571" s="74" t="s">
        <v>424</v>
      </c>
    </row>
    <row r="26572" spans="1:3">
      <c r="A26572" s="250">
        <v>61550</v>
      </c>
      <c r="B26572" s="74" t="s">
        <v>3794</v>
      </c>
      <c r="C26572" s="74" t="s">
        <v>424</v>
      </c>
    </row>
    <row r="26573" spans="1:3">
      <c r="A26573" s="250">
        <v>61552</v>
      </c>
      <c r="B26573" s="74" t="s">
        <v>13724</v>
      </c>
      <c r="C26573" s="74" t="s">
        <v>424</v>
      </c>
    </row>
    <row r="26574" spans="1:3">
      <c r="A26574" s="250">
        <v>61553</v>
      </c>
      <c r="B26574" s="74" t="s">
        <v>7786</v>
      </c>
      <c r="C26574" s="74" t="s">
        <v>424</v>
      </c>
    </row>
    <row r="26575" spans="1:3">
      <c r="A26575" s="250">
        <v>61554</v>
      </c>
      <c r="B26575" s="74" t="s">
        <v>10819</v>
      </c>
      <c r="C26575" s="74" t="s">
        <v>424</v>
      </c>
    </row>
    <row r="26576" spans="1:3">
      <c r="A26576" s="250">
        <v>61555</v>
      </c>
      <c r="B26576" s="74" t="s">
        <v>10819</v>
      </c>
      <c r="C26576" s="74" t="s">
        <v>424</v>
      </c>
    </row>
    <row r="26577" spans="1:3">
      <c r="A26577" s="250">
        <v>61558</v>
      </c>
      <c r="B26577" s="74" t="s">
        <v>10819</v>
      </c>
      <c r="C26577" s="74" t="s">
        <v>424</v>
      </c>
    </row>
    <row r="26578" spans="1:3">
      <c r="A26578" s="250">
        <v>61559</v>
      </c>
      <c r="B26578" s="74" t="s">
        <v>13725</v>
      </c>
      <c r="C26578" s="74" t="s">
        <v>424</v>
      </c>
    </row>
    <row r="26579" spans="1:3">
      <c r="A26579" s="250">
        <v>61560</v>
      </c>
      <c r="B26579" s="74" t="s">
        <v>2000</v>
      </c>
      <c r="C26579" s="74" t="s">
        <v>424</v>
      </c>
    </row>
    <row r="26580" spans="1:3">
      <c r="A26580" s="250">
        <v>61561</v>
      </c>
      <c r="B26580" s="74" t="s">
        <v>6252</v>
      </c>
      <c r="C26580" s="74" t="s">
        <v>424</v>
      </c>
    </row>
    <row r="26581" spans="1:3">
      <c r="A26581" s="250">
        <v>61562</v>
      </c>
      <c r="B26581" s="74" t="s">
        <v>3492</v>
      </c>
      <c r="C26581" s="74" t="s">
        <v>424</v>
      </c>
    </row>
    <row r="26582" spans="1:3">
      <c r="A26582" s="250">
        <v>61563</v>
      </c>
      <c r="B26582" s="74" t="s">
        <v>1649</v>
      </c>
      <c r="C26582" s="74" t="s">
        <v>424</v>
      </c>
    </row>
    <row r="26583" spans="1:3">
      <c r="A26583" s="250">
        <v>61564</v>
      </c>
      <c r="B26583" s="74" t="s">
        <v>13726</v>
      </c>
      <c r="C26583" s="74" t="s">
        <v>424</v>
      </c>
    </row>
    <row r="26584" spans="1:3">
      <c r="A26584" s="250">
        <v>61565</v>
      </c>
      <c r="B26584" s="74" t="s">
        <v>13727</v>
      </c>
      <c r="C26584" s="74" t="s">
        <v>424</v>
      </c>
    </row>
    <row r="26585" spans="1:3">
      <c r="A26585" s="250">
        <v>61567</v>
      </c>
      <c r="B26585" s="74" t="s">
        <v>10723</v>
      </c>
      <c r="C26585" s="74" t="s">
        <v>424</v>
      </c>
    </row>
    <row r="26586" spans="1:3">
      <c r="A26586" s="250">
        <v>61568</v>
      </c>
      <c r="B26586" s="74" t="s">
        <v>5023</v>
      </c>
      <c r="C26586" s="74" t="s">
        <v>424</v>
      </c>
    </row>
    <row r="26587" spans="1:3">
      <c r="A26587" s="250">
        <v>61569</v>
      </c>
      <c r="B26587" s="74" t="s">
        <v>13728</v>
      </c>
      <c r="C26587" s="74" t="s">
        <v>424</v>
      </c>
    </row>
    <row r="26588" spans="1:3">
      <c r="A26588" s="250">
        <v>61570</v>
      </c>
      <c r="B26588" s="74" t="s">
        <v>1659</v>
      </c>
      <c r="C26588" s="74" t="s">
        <v>424</v>
      </c>
    </row>
    <row r="26589" spans="1:3">
      <c r="A26589" s="250">
        <v>61571</v>
      </c>
      <c r="B26589" s="74" t="s">
        <v>1215</v>
      </c>
      <c r="C26589" s="74" t="s">
        <v>424</v>
      </c>
    </row>
    <row r="26590" spans="1:3">
      <c r="A26590" s="250">
        <v>61572</v>
      </c>
      <c r="B26590" s="74" t="s">
        <v>13729</v>
      </c>
      <c r="C26590" s="74" t="s">
        <v>424</v>
      </c>
    </row>
    <row r="26591" spans="1:3">
      <c r="A26591" s="250">
        <v>61601</v>
      </c>
      <c r="B26591" s="74" t="s">
        <v>13730</v>
      </c>
      <c r="C26591" s="74" t="s">
        <v>424</v>
      </c>
    </row>
    <row r="26592" spans="1:3">
      <c r="A26592" s="250">
        <v>61602</v>
      </c>
      <c r="B26592" s="74" t="s">
        <v>13730</v>
      </c>
      <c r="C26592" s="74" t="s">
        <v>424</v>
      </c>
    </row>
    <row r="26593" spans="1:3">
      <c r="A26593" s="250">
        <v>61603</v>
      </c>
      <c r="B26593" s="74" t="s">
        <v>13730</v>
      </c>
      <c r="C26593" s="74" t="s">
        <v>424</v>
      </c>
    </row>
    <row r="26594" spans="1:3">
      <c r="A26594" s="250">
        <v>61604</v>
      </c>
      <c r="B26594" s="74" t="s">
        <v>13730</v>
      </c>
      <c r="C26594" s="74" t="s">
        <v>424</v>
      </c>
    </row>
    <row r="26595" spans="1:3">
      <c r="A26595" s="250">
        <v>61605</v>
      </c>
      <c r="B26595" s="74" t="s">
        <v>13730</v>
      </c>
      <c r="C26595" s="74" t="s">
        <v>424</v>
      </c>
    </row>
    <row r="26596" spans="1:3">
      <c r="A26596" s="250">
        <v>61606</v>
      </c>
      <c r="B26596" s="74" t="s">
        <v>13730</v>
      </c>
      <c r="C26596" s="74" t="s">
        <v>424</v>
      </c>
    </row>
    <row r="26597" spans="1:3">
      <c r="A26597" s="250">
        <v>61607</v>
      </c>
      <c r="B26597" s="74" t="s">
        <v>13730</v>
      </c>
      <c r="C26597" s="74" t="s">
        <v>424</v>
      </c>
    </row>
    <row r="26598" spans="1:3">
      <c r="A26598" s="250">
        <v>61610</v>
      </c>
      <c r="B26598" s="74" t="s">
        <v>13731</v>
      </c>
      <c r="C26598" s="74" t="s">
        <v>424</v>
      </c>
    </row>
    <row r="26599" spans="1:3">
      <c r="A26599" s="250">
        <v>61611</v>
      </c>
      <c r="B26599" s="74" t="s">
        <v>13732</v>
      </c>
      <c r="C26599" s="74" t="s">
        <v>424</v>
      </c>
    </row>
    <row r="26600" spans="1:3">
      <c r="A26600" s="250">
        <v>61612</v>
      </c>
      <c r="B26600" s="74" t="s">
        <v>13730</v>
      </c>
      <c r="C26600" s="74" t="s">
        <v>424</v>
      </c>
    </row>
    <row r="26601" spans="1:3">
      <c r="A26601" s="250">
        <v>61613</v>
      </c>
      <c r="B26601" s="74" t="s">
        <v>13730</v>
      </c>
      <c r="C26601" s="74" t="s">
        <v>424</v>
      </c>
    </row>
    <row r="26602" spans="1:3">
      <c r="A26602" s="250">
        <v>61614</v>
      </c>
      <c r="B26602" s="74" t="s">
        <v>13730</v>
      </c>
      <c r="C26602" s="74" t="s">
        <v>424</v>
      </c>
    </row>
    <row r="26603" spans="1:3">
      <c r="A26603" s="250">
        <v>61615</v>
      </c>
      <c r="B26603" s="74" t="s">
        <v>13730</v>
      </c>
      <c r="C26603" s="74" t="s">
        <v>424</v>
      </c>
    </row>
    <row r="26604" spans="1:3">
      <c r="A26604" s="250">
        <v>61616</v>
      </c>
      <c r="B26604" s="74" t="s">
        <v>13733</v>
      </c>
      <c r="C26604" s="74" t="s">
        <v>424</v>
      </c>
    </row>
    <row r="26605" spans="1:3">
      <c r="A26605" s="250">
        <v>61625</v>
      </c>
      <c r="B26605" s="74" t="s">
        <v>13730</v>
      </c>
      <c r="C26605" s="74" t="s">
        <v>424</v>
      </c>
    </row>
    <row r="26606" spans="1:3">
      <c r="A26606" s="250">
        <v>61629</v>
      </c>
      <c r="B26606" s="74" t="s">
        <v>13730</v>
      </c>
      <c r="C26606" s="74" t="s">
        <v>424</v>
      </c>
    </row>
    <row r="26607" spans="1:3">
      <c r="A26607" s="250">
        <v>61630</v>
      </c>
      <c r="B26607" s="74" t="s">
        <v>13730</v>
      </c>
      <c r="C26607" s="74" t="s">
        <v>424</v>
      </c>
    </row>
    <row r="26608" spans="1:3">
      <c r="A26608" s="250">
        <v>61633</v>
      </c>
      <c r="B26608" s="74" t="s">
        <v>13730</v>
      </c>
      <c r="C26608" s="74" t="s">
        <v>424</v>
      </c>
    </row>
    <row r="26609" spans="1:3">
      <c r="A26609" s="250">
        <v>61634</v>
      </c>
      <c r="B26609" s="74" t="s">
        <v>13730</v>
      </c>
      <c r="C26609" s="74" t="s">
        <v>424</v>
      </c>
    </row>
    <row r="26610" spans="1:3">
      <c r="A26610" s="250">
        <v>61635</v>
      </c>
      <c r="B26610" s="74" t="s">
        <v>13732</v>
      </c>
      <c r="C26610" s="74" t="s">
        <v>424</v>
      </c>
    </row>
    <row r="26611" spans="1:3">
      <c r="A26611" s="250">
        <v>61636</v>
      </c>
      <c r="B26611" s="74" t="s">
        <v>13730</v>
      </c>
      <c r="C26611" s="74" t="s">
        <v>424</v>
      </c>
    </row>
    <row r="26612" spans="1:3">
      <c r="A26612" s="250">
        <v>61637</v>
      </c>
      <c r="B26612" s="74" t="s">
        <v>13730</v>
      </c>
      <c r="C26612" s="74" t="s">
        <v>424</v>
      </c>
    </row>
    <row r="26613" spans="1:3">
      <c r="A26613" s="250">
        <v>61638</v>
      </c>
      <c r="B26613" s="74" t="s">
        <v>13730</v>
      </c>
      <c r="C26613" s="74" t="s">
        <v>424</v>
      </c>
    </row>
    <row r="26614" spans="1:3">
      <c r="A26614" s="250">
        <v>61639</v>
      </c>
      <c r="B26614" s="74" t="s">
        <v>13730</v>
      </c>
      <c r="C26614" s="74" t="s">
        <v>424</v>
      </c>
    </row>
    <row r="26615" spans="1:3">
      <c r="A26615" s="250">
        <v>61641</v>
      </c>
      <c r="B26615" s="74" t="s">
        <v>13730</v>
      </c>
      <c r="C26615" s="74" t="s">
        <v>424</v>
      </c>
    </row>
    <row r="26616" spans="1:3">
      <c r="A26616" s="250">
        <v>61643</v>
      </c>
      <c r="B26616" s="74" t="s">
        <v>13730</v>
      </c>
      <c r="C26616" s="74" t="s">
        <v>424</v>
      </c>
    </row>
    <row r="26617" spans="1:3">
      <c r="A26617" s="250">
        <v>61650</v>
      </c>
      <c r="B26617" s="74" t="s">
        <v>13730</v>
      </c>
      <c r="C26617" s="74" t="s">
        <v>424</v>
      </c>
    </row>
    <row r="26618" spans="1:3">
      <c r="A26618" s="250">
        <v>61651</v>
      </c>
      <c r="B26618" s="74" t="s">
        <v>13730</v>
      </c>
      <c r="C26618" s="74" t="s">
        <v>424</v>
      </c>
    </row>
    <row r="26619" spans="1:3">
      <c r="A26619" s="250">
        <v>61652</v>
      </c>
      <c r="B26619" s="74" t="s">
        <v>13730</v>
      </c>
      <c r="C26619" s="74" t="s">
        <v>424</v>
      </c>
    </row>
    <row r="26620" spans="1:3">
      <c r="A26620" s="250">
        <v>61653</v>
      </c>
      <c r="B26620" s="74" t="s">
        <v>13730</v>
      </c>
      <c r="C26620" s="74" t="s">
        <v>424</v>
      </c>
    </row>
    <row r="26621" spans="1:3">
      <c r="A26621" s="250">
        <v>61654</v>
      </c>
      <c r="B26621" s="74" t="s">
        <v>13730</v>
      </c>
      <c r="C26621" s="74" t="s">
        <v>424</v>
      </c>
    </row>
    <row r="26622" spans="1:3">
      <c r="A26622" s="250">
        <v>61655</v>
      </c>
      <c r="B26622" s="74" t="s">
        <v>13730</v>
      </c>
      <c r="C26622" s="74" t="s">
        <v>424</v>
      </c>
    </row>
    <row r="26623" spans="1:3">
      <c r="A26623" s="250">
        <v>61656</v>
      </c>
      <c r="B26623" s="74" t="s">
        <v>13730</v>
      </c>
      <c r="C26623" s="74" t="s">
        <v>424</v>
      </c>
    </row>
    <row r="26624" spans="1:3">
      <c r="A26624" s="250">
        <v>61701</v>
      </c>
      <c r="B26624" s="74" t="s">
        <v>3032</v>
      </c>
      <c r="C26624" s="74" t="s">
        <v>424</v>
      </c>
    </row>
    <row r="26625" spans="1:3">
      <c r="A26625" s="250">
        <v>61702</v>
      </c>
      <c r="B26625" s="74" t="s">
        <v>3032</v>
      </c>
      <c r="C26625" s="74" t="s">
        <v>424</v>
      </c>
    </row>
    <row r="26626" spans="1:3">
      <c r="A26626" s="250">
        <v>61704</v>
      </c>
      <c r="B26626" s="74" t="s">
        <v>3032</v>
      </c>
      <c r="C26626" s="74" t="s">
        <v>424</v>
      </c>
    </row>
    <row r="26627" spans="1:3">
      <c r="A26627" s="250">
        <v>61705</v>
      </c>
      <c r="B26627" s="74" t="s">
        <v>3032</v>
      </c>
      <c r="C26627" s="74" t="s">
        <v>424</v>
      </c>
    </row>
    <row r="26628" spans="1:3">
      <c r="A26628" s="250">
        <v>61709</v>
      </c>
      <c r="B26628" s="74" t="s">
        <v>3032</v>
      </c>
      <c r="C26628" s="74" t="s">
        <v>424</v>
      </c>
    </row>
    <row r="26629" spans="1:3">
      <c r="A26629" s="250">
        <v>61710</v>
      </c>
      <c r="B26629" s="74" t="s">
        <v>3032</v>
      </c>
      <c r="C26629" s="74" t="s">
        <v>424</v>
      </c>
    </row>
    <row r="26630" spans="1:3">
      <c r="A26630" s="250">
        <v>61720</v>
      </c>
      <c r="B26630" s="74" t="s">
        <v>13734</v>
      </c>
      <c r="C26630" s="74" t="s">
        <v>424</v>
      </c>
    </row>
    <row r="26631" spans="1:3">
      <c r="A26631" s="250">
        <v>61721</v>
      </c>
      <c r="B26631" s="74" t="s">
        <v>13735</v>
      </c>
      <c r="C26631" s="74" t="s">
        <v>424</v>
      </c>
    </row>
    <row r="26632" spans="1:3">
      <c r="A26632" s="250">
        <v>61722</v>
      </c>
      <c r="B26632" s="74" t="s">
        <v>13736</v>
      </c>
      <c r="C26632" s="74" t="s">
        <v>424</v>
      </c>
    </row>
    <row r="26633" spans="1:3">
      <c r="A26633" s="250">
        <v>61723</v>
      </c>
      <c r="B26633" s="74" t="s">
        <v>3895</v>
      </c>
      <c r="C26633" s="74" t="s">
        <v>424</v>
      </c>
    </row>
    <row r="26634" spans="1:3">
      <c r="A26634" s="250">
        <v>61724</v>
      </c>
      <c r="B26634" s="74" t="s">
        <v>13737</v>
      </c>
      <c r="C26634" s="74" t="s">
        <v>424</v>
      </c>
    </row>
    <row r="26635" spans="1:3">
      <c r="A26635" s="250">
        <v>61725</v>
      </c>
      <c r="B26635" s="74" t="s">
        <v>13738</v>
      </c>
      <c r="C26635" s="74" t="s">
        <v>424</v>
      </c>
    </row>
    <row r="26636" spans="1:3">
      <c r="A26636" s="250">
        <v>61726</v>
      </c>
      <c r="B26636" s="74" t="s">
        <v>13739</v>
      </c>
      <c r="C26636" s="74" t="s">
        <v>424</v>
      </c>
    </row>
    <row r="26637" spans="1:3">
      <c r="A26637" s="250">
        <v>61727</v>
      </c>
      <c r="B26637" s="74" t="s">
        <v>732</v>
      </c>
      <c r="C26637" s="74" t="s">
        <v>424</v>
      </c>
    </row>
    <row r="26638" spans="1:3">
      <c r="A26638" s="250">
        <v>61728</v>
      </c>
      <c r="B26638" s="74" t="s">
        <v>6980</v>
      </c>
      <c r="C26638" s="74" t="s">
        <v>424</v>
      </c>
    </row>
    <row r="26639" spans="1:3">
      <c r="A26639" s="250">
        <v>61729</v>
      </c>
      <c r="B26639" s="74" t="s">
        <v>13740</v>
      </c>
      <c r="C26639" s="74" t="s">
        <v>424</v>
      </c>
    </row>
    <row r="26640" spans="1:3">
      <c r="A26640" s="250">
        <v>61730</v>
      </c>
      <c r="B26640" s="74" t="s">
        <v>5796</v>
      </c>
      <c r="C26640" s="74" t="s">
        <v>424</v>
      </c>
    </row>
    <row r="26641" spans="1:3">
      <c r="A26641" s="250">
        <v>61731</v>
      </c>
      <c r="B26641" s="74" t="s">
        <v>13741</v>
      </c>
      <c r="C26641" s="74" t="s">
        <v>424</v>
      </c>
    </row>
    <row r="26642" spans="1:3">
      <c r="A26642" s="250">
        <v>61732</v>
      </c>
      <c r="B26642" s="74" t="s">
        <v>841</v>
      </c>
      <c r="C26642" s="74" t="s">
        <v>424</v>
      </c>
    </row>
    <row r="26643" spans="1:3">
      <c r="A26643" s="250">
        <v>61733</v>
      </c>
      <c r="B26643" s="74" t="s">
        <v>12701</v>
      </c>
      <c r="C26643" s="74" t="s">
        <v>424</v>
      </c>
    </row>
    <row r="26644" spans="1:3">
      <c r="A26644" s="250">
        <v>61734</v>
      </c>
      <c r="B26644" s="74" t="s">
        <v>11976</v>
      </c>
      <c r="C26644" s="74" t="s">
        <v>424</v>
      </c>
    </row>
    <row r="26645" spans="1:3">
      <c r="A26645" s="250">
        <v>61735</v>
      </c>
      <c r="B26645" s="74" t="s">
        <v>6195</v>
      </c>
      <c r="C26645" s="74" t="s">
        <v>424</v>
      </c>
    </row>
    <row r="26646" spans="1:3">
      <c r="A26646" s="250">
        <v>61736</v>
      </c>
      <c r="B26646" s="74" t="s">
        <v>13742</v>
      </c>
      <c r="C26646" s="74" t="s">
        <v>424</v>
      </c>
    </row>
    <row r="26647" spans="1:3">
      <c r="A26647" s="250">
        <v>61737</v>
      </c>
      <c r="B26647" s="74" t="s">
        <v>1563</v>
      </c>
      <c r="C26647" s="74" t="s">
        <v>424</v>
      </c>
    </row>
    <row r="26648" spans="1:3">
      <c r="A26648" s="250">
        <v>61738</v>
      </c>
      <c r="B26648" s="74" t="s">
        <v>13743</v>
      </c>
      <c r="C26648" s="74" t="s">
        <v>424</v>
      </c>
    </row>
    <row r="26649" spans="1:3">
      <c r="A26649" s="250">
        <v>61739</v>
      </c>
      <c r="B26649" s="74" t="s">
        <v>13744</v>
      </c>
      <c r="C26649" s="74" t="s">
        <v>424</v>
      </c>
    </row>
    <row r="26650" spans="1:3">
      <c r="A26650" s="250">
        <v>61740</v>
      </c>
      <c r="B26650" s="74" t="s">
        <v>13745</v>
      </c>
      <c r="C26650" s="74" t="s">
        <v>424</v>
      </c>
    </row>
    <row r="26651" spans="1:3">
      <c r="A26651" s="250">
        <v>61741</v>
      </c>
      <c r="B26651" s="74" t="s">
        <v>13746</v>
      </c>
      <c r="C26651" s="74" t="s">
        <v>424</v>
      </c>
    </row>
    <row r="26652" spans="1:3">
      <c r="A26652" s="250">
        <v>61742</v>
      </c>
      <c r="B26652" s="74" t="s">
        <v>13747</v>
      </c>
      <c r="C26652" s="74" t="s">
        <v>424</v>
      </c>
    </row>
    <row r="26653" spans="1:3">
      <c r="A26653" s="250">
        <v>61743</v>
      </c>
      <c r="B26653" s="74" t="s">
        <v>13748</v>
      </c>
      <c r="C26653" s="74" t="s">
        <v>424</v>
      </c>
    </row>
    <row r="26654" spans="1:3">
      <c r="A26654" s="250">
        <v>61744</v>
      </c>
      <c r="B26654" s="74" t="s">
        <v>13749</v>
      </c>
      <c r="C26654" s="74" t="s">
        <v>424</v>
      </c>
    </row>
    <row r="26655" spans="1:3">
      <c r="A26655" s="250">
        <v>61745</v>
      </c>
      <c r="B26655" s="74" t="s">
        <v>13750</v>
      </c>
      <c r="C26655" s="74" t="s">
        <v>424</v>
      </c>
    </row>
    <row r="26656" spans="1:3">
      <c r="A26656" s="250">
        <v>61747</v>
      </c>
      <c r="B26656" s="74" t="s">
        <v>790</v>
      </c>
      <c r="C26656" s="74" t="s">
        <v>424</v>
      </c>
    </row>
    <row r="26657" spans="1:3">
      <c r="A26657" s="250">
        <v>61748</v>
      </c>
      <c r="B26657" s="74" t="s">
        <v>792</v>
      </c>
      <c r="C26657" s="74" t="s">
        <v>424</v>
      </c>
    </row>
    <row r="26658" spans="1:3">
      <c r="A26658" s="250">
        <v>61749</v>
      </c>
      <c r="B26658" s="74" t="s">
        <v>13751</v>
      </c>
      <c r="C26658" s="74" t="s">
        <v>424</v>
      </c>
    </row>
    <row r="26659" spans="1:3">
      <c r="A26659" s="250">
        <v>61750</v>
      </c>
      <c r="B26659" s="74" t="s">
        <v>7742</v>
      </c>
      <c r="C26659" s="74" t="s">
        <v>424</v>
      </c>
    </row>
    <row r="26660" spans="1:3">
      <c r="A26660" s="250">
        <v>61751</v>
      </c>
      <c r="B26660" s="74" t="s">
        <v>7314</v>
      </c>
      <c r="C26660" s="74" t="s">
        <v>424</v>
      </c>
    </row>
    <row r="26661" spans="1:3">
      <c r="A26661" s="250">
        <v>61752</v>
      </c>
      <c r="B26661" s="74" t="s">
        <v>3789</v>
      </c>
      <c r="C26661" s="74" t="s">
        <v>424</v>
      </c>
    </row>
    <row r="26662" spans="1:3">
      <c r="A26662" s="250">
        <v>61753</v>
      </c>
      <c r="B26662" s="74" t="s">
        <v>966</v>
      </c>
      <c r="C26662" s="74" t="s">
        <v>424</v>
      </c>
    </row>
    <row r="26663" spans="1:3">
      <c r="A26663" s="250">
        <v>61754</v>
      </c>
      <c r="B26663" s="74" t="s">
        <v>3380</v>
      </c>
      <c r="C26663" s="74" t="s">
        <v>424</v>
      </c>
    </row>
    <row r="26664" spans="1:3">
      <c r="A26664" s="250">
        <v>61755</v>
      </c>
      <c r="B26664" s="74" t="s">
        <v>13752</v>
      </c>
      <c r="C26664" s="74" t="s">
        <v>424</v>
      </c>
    </row>
    <row r="26665" spans="1:3">
      <c r="A26665" s="250">
        <v>61756</v>
      </c>
      <c r="B26665" s="74" t="s">
        <v>13753</v>
      </c>
      <c r="C26665" s="74" t="s">
        <v>424</v>
      </c>
    </row>
    <row r="26666" spans="1:3">
      <c r="A26666" s="250">
        <v>61758</v>
      </c>
      <c r="B26666" s="74" t="s">
        <v>13754</v>
      </c>
      <c r="C26666" s="74" t="s">
        <v>424</v>
      </c>
    </row>
    <row r="26667" spans="1:3">
      <c r="A26667" s="250">
        <v>61759</v>
      </c>
      <c r="B26667" s="74" t="s">
        <v>13755</v>
      </c>
      <c r="C26667" s="74" t="s">
        <v>424</v>
      </c>
    </row>
    <row r="26668" spans="1:3">
      <c r="A26668" s="250">
        <v>61760</v>
      </c>
      <c r="B26668" s="74" t="s">
        <v>13756</v>
      </c>
      <c r="C26668" s="74" t="s">
        <v>424</v>
      </c>
    </row>
    <row r="26669" spans="1:3">
      <c r="A26669" s="250">
        <v>61761</v>
      </c>
      <c r="B26669" s="74" t="s">
        <v>8749</v>
      </c>
      <c r="C26669" s="74" t="s">
        <v>424</v>
      </c>
    </row>
    <row r="26670" spans="1:3">
      <c r="A26670" s="250">
        <v>61764</v>
      </c>
      <c r="B26670" s="74" t="s">
        <v>11046</v>
      </c>
      <c r="C26670" s="74" t="s">
        <v>424</v>
      </c>
    </row>
    <row r="26671" spans="1:3">
      <c r="A26671" s="250">
        <v>61769</v>
      </c>
      <c r="B26671" s="74" t="s">
        <v>13757</v>
      </c>
      <c r="C26671" s="74" t="s">
        <v>424</v>
      </c>
    </row>
    <row r="26672" spans="1:3">
      <c r="A26672" s="250">
        <v>61770</v>
      </c>
      <c r="B26672" s="74" t="s">
        <v>13758</v>
      </c>
      <c r="C26672" s="74" t="s">
        <v>424</v>
      </c>
    </row>
    <row r="26673" spans="1:3">
      <c r="A26673" s="250">
        <v>61771</v>
      </c>
      <c r="B26673" s="74" t="s">
        <v>13759</v>
      </c>
      <c r="C26673" s="74" t="s">
        <v>424</v>
      </c>
    </row>
    <row r="26674" spans="1:3">
      <c r="A26674" s="250">
        <v>61772</v>
      </c>
      <c r="B26674" s="74" t="s">
        <v>716</v>
      </c>
      <c r="C26674" s="74" t="s">
        <v>424</v>
      </c>
    </row>
    <row r="26675" spans="1:3">
      <c r="A26675" s="250">
        <v>61773</v>
      </c>
      <c r="B26675" s="74" t="s">
        <v>9443</v>
      </c>
      <c r="C26675" s="74" t="s">
        <v>424</v>
      </c>
    </row>
    <row r="26676" spans="1:3">
      <c r="A26676" s="250">
        <v>61774</v>
      </c>
      <c r="B26676" s="74" t="s">
        <v>9655</v>
      </c>
      <c r="C26676" s="74" t="s">
        <v>424</v>
      </c>
    </row>
    <row r="26677" spans="1:3">
      <c r="A26677" s="250">
        <v>61775</v>
      </c>
      <c r="B26677" s="74" t="s">
        <v>13760</v>
      </c>
      <c r="C26677" s="74" t="s">
        <v>424</v>
      </c>
    </row>
    <row r="26678" spans="1:3">
      <c r="A26678" s="250">
        <v>61776</v>
      </c>
      <c r="B26678" s="74" t="s">
        <v>5254</v>
      </c>
      <c r="C26678" s="74" t="s">
        <v>424</v>
      </c>
    </row>
    <row r="26679" spans="1:3">
      <c r="A26679" s="250">
        <v>61777</v>
      </c>
      <c r="B26679" s="74" t="s">
        <v>13761</v>
      </c>
      <c r="C26679" s="74" t="s">
        <v>424</v>
      </c>
    </row>
    <row r="26680" spans="1:3">
      <c r="A26680" s="250">
        <v>61778</v>
      </c>
      <c r="B26680" s="74" t="s">
        <v>7582</v>
      </c>
      <c r="C26680" s="74" t="s">
        <v>424</v>
      </c>
    </row>
    <row r="26681" spans="1:3">
      <c r="A26681" s="250">
        <v>61790</v>
      </c>
      <c r="B26681" s="74" t="s">
        <v>8749</v>
      </c>
      <c r="C26681" s="74" t="s">
        <v>424</v>
      </c>
    </row>
    <row r="26682" spans="1:3">
      <c r="A26682" s="250">
        <v>61791</v>
      </c>
      <c r="B26682" s="74" t="s">
        <v>3032</v>
      </c>
      <c r="C26682" s="74" t="s">
        <v>424</v>
      </c>
    </row>
    <row r="26683" spans="1:3">
      <c r="A26683" s="250">
        <v>61799</v>
      </c>
      <c r="B26683" s="74" t="s">
        <v>3032</v>
      </c>
      <c r="C26683" s="74" t="s">
        <v>424</v>
      </c>
    </row>
    <row r="26684" spans="1:3">
      <c r="A26684" s="250">
        <v>61801</v>
      </c>
      <c r="B26684" s="74" t="s">
        <v>10107</v>
      </c>
      <c r="C26684" s="74" t="s">
        <v>424</v>
      </c>
    </row>
    <row r="26685" spans="1:3">
      <c r="A26685" s="250">
        <v>61802</v>
      </c>
      <c r="B26685" s="74" t="s">
        <v>10107</v>
      </c>
      <c r="C26685" s="74" t="s">
        <v>424</v>
      </c>
    </row>
    <row r="26686" spans="1:3">
      <c r="A26686" s="250">
        <v>61803</v>
      </c>
      <c r="B26686" s="74" t="s">
        <v>10107</v>
      </c>
      <c r="C26686" s="74" t="s">
        <v>424</v>
      </c>
    </row>
    <row r="26687" spans="1:3">
      <c r="A26687" s="250">
        <v>61810</v>
      </c>
      <c r="B26687" s="74" t="s">
        <v>11481</v>
      </c>
      <c r="C26687" s="74" t="s">
        <v>424</v>
      </c>
    </row>
    <row r="26688" spans="1:3">
      <c r="A26688" s="250">
        <v>61811</v>
      </c>
      <c r="B26688" s="74" t="s">
        <v>13762</v>
      </c>
      <c r="C26688" s="74" t="s">
        <v>424</v>
      </c>
    </row>
    <row r="26689" spans="1:3">
      <c r="A26689" s="250">
        <v>61812</v>
      </c>
      <c r="B26689" s="74" t="s">
        <v>11606</v>
      </c>
      <c r="C26689" s="74" t="s">
        <v>424</v>
      </c>
    </row>
    <row r="26690" spans="1:3">
      <c r="A26690" s="250">
        <v>61813</v>
      </c>
      <c r="B26690" s="74" t="s">
        <v>13763</v>
      </c>
      <c r="C26690" s="74" t="s">
        <v>424</v>
      </c>
    </row>
    <row r="26691" spans="1:3">
      <c r="A26691" s="250">
        <v>61814</v>
      </c>
      <c r="B26691" s="74" t="s">
        <v>13127</v>
      </c>
      <c r="C26691" s="74" t="s">
        <v>424</v>
      </c>
    </row>
    <row r="26692" spans="1:3">
      <c r="A26692" s="250">
        <v>61815</v>
      </c>
      <c r="B26692" s="74" t="s">
        <v>1780</v>
      </c>
      <c r="C26692" s="74" t="s">
        <v>424</v>
      </c>
    </row>
    <row r="26693" spans="1:3">
      <c r="A26693" s="250">
        <v>61816</v>
      </c>
      <c r="B26693" s="74" t="s">
        <v>13764</v>
      </c>
      <c r="C26693" s="74" t="s">
        <v>424</v>
      </c>
    </row>
    <row r="26694" spans="1:3">
      <c r="A26694" s="250">
        <v>61817</v>
      </c>
      <c r="B26694" s="74" t="s">
        <v>13765</v>
      </c>
      <c r="C26694" s="74" t="s">
        <v>424</v>
      </c>
    </row>
    <row r="26695" spans="1:3">
      <c r="A26695" s="250">
        <v>61818</v>
      </c>
      <c r="B26695" s="74" t="s">
        <v>7393</v>
      </c>
      <c r="C26695" s="74" t="s">
        <v>424</v>
      </c>
    </row>
    <row r="26696" spans="1:3">
      <c r="A26696" s="250">
        <v>61820</v>
      </c>
      <c r="B26696" s="74" t="s">
        <v>13766</v>
      </c>
      <c r="C26696" s="74" t="s">
        <v>424</v>
      </c>
    </row>
    <row r="26697" spans="1:3">
      <c r="A26697" s="250">
        <v>61821</v>
      </c>
      <c r="B26697" s="74" t="s">
        <v>13766</v>
      </c>
      <c r="C26697" s="74" t="s">
        <v>424</v>
      </c>
    </row>
    <row r="26698" spans="1:3">
      <c r="A26698" s="250">
        <v>61822</v>
      </c>
      <c r="B26698" s="74" t="s">
        <v>13766</v>
      </c>
      <c r="C26698" s="74" t="s">
        <v>424</v>
      </c>
    </row>
    <row r="26699" spans="1:3">
      <c r="A26699" s="250">
        <v>61824</v>
      </c>
      <c r="B26699" s="74" t="s">
        <v>13766</v>
      </c>
      <c r="C26699" s="74" t="s">
        <v>424</v>
      </c>
    </row>
    <row r="26700" spans="1:3">
      <c r="A26700" s="250">
        <v>61825</v>
      </c>
      <c r="B26700" s="74" t="s">
        <v>13766</v>
      </c>
      <c r="C26700" s="74" t="s">
        <v>424</v>
      </c>
    </row>
    <row r="26701" spans="1:3">
      <c r="A26701" s="250">
        <v>61826</v>
      </c>
      <c r="B26701" s="74" t="s">
        <v>13766</v>
      </c>
      <c r="C26701" s="74" t="s">
        <v>424</v>
      </c>
    </row>
    <row r="26702" spans="1:3">
      <c r="A26702" s="250">
        <v>61830</v>
      </c>
      <c r="B26702" s="74" t="s">
        <v>8027</v>
      </c>
      <c r="C26702" s="74" t="s">
        <v>424</v>
      </c>
    </row>
    <row r="26703" spans="1:3">
      <c r="A26703" s="250">
        <v>61831</v>
      </c>
      <c r="B26703" s="74" t="s">
        <v>13767</v>
      </c>
      <c r="C26703" s="74" t="s">
        <v>424</v>
      </c>
    </row>
    <row r="26704" spans="1:3">
      <c r="A26704" s="250">
        <v>61832</v>
      </c>
      <c r="B26704" s="74" t="s">
        <v>1302</v>
      </c>
      <c r="C26704" s="74" t="s">
        <v>424</v>
      </c>
    </row>
    <row r="26705" spans="1:3">
      <c r="A26705" s="250">
        <v>61833</v>
      </c>
      <c r="B26705" s="74" t="s">
        <v>1213</v>
      </c>
      <c r="C26705" s="74" t="s">
        <v>424</v>
      </c>
    </row>
    <row r="26706" spans="1:3">
      <c r="A26706" s="250">
        <v>61834</v>
      </c>
      <c r="B26706" s="74" t="s">
        <v>1302</v>
      </c>
      <c r="C26706" s="74" t="s">
        <v>424</v>
      </c>
    </row>
    <row r="26707" spans="1:3">
      <c r="A26707" s="250">
        <v>61839</v>
      </c>
      <c r="B26707" s="74" t="s">
        <v>13768</v>
      </c>
      <c r="C26707" s="74" t="s">
        <v>424</v>
      </c>
    </row>
    <row r="26708" spans="1:3">
      <c r="A26708" s="250">
        <v>61840</v>
      </c>
      <c r="B26708" s="74" t="s">
        <v>13769</v>
      </c>
      <c r="C26708" s="74" t="s">
        <v>424</v>
      </c>
    </row>
    <row r="26709" spans="1:3">
      <c r="A26709" s="250">
        <v>61841</v>
      </c>
      <c r="B26709" s="74" t="s">
        <v>7890</v>
      </c>
      <c r="C26709" s="74" t="s">
        <v>424</v>
      </c>
    </row>
    <row r="26710" spans="1:3">
      <c r="A26710" s="250">
        <v>61842</v>
      </c>
      <c r="B26710" s="74" t="s">
        <v>13770</v>
      </c>
      <c r="C26710" s="74" t="s">
        <v>424</v>
      </c>
    </row>
    <row r="26711" spans="1:3">
      <c r="A26711" s="250">
        <v>61843</v>
      </c>
      <c r="B26711" s="74" t="s">
        <v>4450</v>
      </c>
      <c r="C26711" s="74" t="s">
        <v>424</v>
      </c>
    </row>
    <row r="26712" spans="1:3">
      <c r="A26712" s="250">
        <v>61844</v>
      </c>
      <c r="B26712" s="74" t="s">
        <v>13771</v>
      </c>
      <c r="C26712" s="74" t="s">
        <v>424</v>
      </c>
    </row>
    <row r="26713" spans="1:3">
      <c r="A26713" s="250">
        <v>61845</v>
      </c>
      <c r="B26713" s="74" t="s">
        <v>13772</v>
      </c>
      <c r="C26713" s="74" t="s">
        <v>424</v>
      </c>
    </row>
    <row r="26714" spans="1:3">
      <c r="A26714" s="250">
        <v>61846</v>
      </c>
      <c r="B26714" s="74" t="s">
        <v>813</v>
      </c>
      <c r="C26714" s="74" t="s">
        <v>424</v>
      </c>
    </row>
    <row r="26715" spans="1:3">
      <c r="A26715" s="250">
        <v>61847</v>
      </c>
      <c r="B26715" s="74" t="s">
        <v>4595</v>
      </c>
      <c r="C26715" s="74" t="s">
        <v>424</v>
      </c>
    </row>
    <row r="26716" spans="1:3">
      <c r="A26716" s="250">
        <v>61848</v>
      </c>
      <c r="B26716" s="74" t="s">
        <v>9183</v>
      </c>
      <c r="C26716" s="74" t="s">
        <v>424</v>
      </c>
    </row>
    <row r="26717" spans="1:3">
      <c r="A26717" s="250">
        <v>61849</v>
      </c>
      <c r="B26717" s="74" t="s">
        <v>3369</v>
      </c>
      <c r="C26717" s="74" t="s">
        <v>424</v>
      </c>
    </row>
    <row r="26718" spans="1:3">
      <c r="A26718" s="250">
        <v>61850</v>
      </c>
      <c r="B26718" s="74" t="s">
        <v>3988</v>
      </c>
      <c r="C26718" s="74" t="s">
        <v>424</v>
      </c>
    </row>
    <row r="26719" spans="1:3">
      <c r="A26719" s="250">
        <v>61851</v>
      </c>
      <c r="B26719" s="74" t="s">
        <v>13773</v>
      </c>
      <c r="C26719" s="74" t="s">
        <v>424</v>
      </c>
    </row>
    <row r="26720" spans="1:3">
      <c r="A26720" s="250">
        <v>61852</v>
      </c>
      <c r="B26720" s="74" t="s">
        <v>13774</v>
      </c>
      <c r="C26720" s="74" t="s">
        <v>424</v>
      </c>
    </row>
    <row r="26721" spans="1:3">
      <c r="A26721" s="250">
        <v>61853</v>
      </c>
      <c r="B26721" s="74" t="s">
        <v>13775</v>
      </c>
      <c r="C26721" s="74" t="s">
        <v>424</v>
      </c>
    </row>
    <row r="26722" spans="1:3">
      <c r="A26722" s="250">
        <v>61854</v>
      </c>
      <c r="B26722" s="74" t="s">
        <v>879</v>
      </c>
      <c r="C26722" s="74" t="s">
        <v>424</v>
      </c>
    </row>
    <row r="26723" spans="1:3">
      <c r="A26723" s="250">
        <v>61855</v>
      </c>
      <c r="B26723" s="74" t="s">
        <v>13776</v>
      </c>
      <c r="C26723" s="74" t="s">
        <v>424</v>
      </c>
    </row>
    <row r="26724" spans="1:3">
      <c r="A26724" s="250">
        <v>61856</v>
      </c>
      <c r="B26724" s="74" t="s">
        <v>1639</v>
      </c>
      <c r="C26724" s="74" t="s">
        <v>424</v>
      </c>
    </row>
    <row r="26725" spans="1:3">
      <c r="A26725" s="250">
        <v>61857</v>
      </c>
      <c r="B26725" s="74" t="s">
        <v>10836</v>
      </c>
      <c r="C26725" s="74" t="s">
        <v>424</v>
      </c>
    </row>
    <row r="26726" spans="1:3">
      <c r="A26726" s="250">
        <v>61858</v>
      </c>
      <c r="B26726" s="74" t="s">
        <v>6466</v>
      </c>
      <c r="C26726" s="74" t="s">
        <v>424</v>
      </c>
    </row>
    <row r="26727" spans="1:3">
      <c r="A26727" s="250">
        <v>61859</v>
      </c>
      <c r="B26727" s="74" t="s">
        <v>11533</v>
      </c>
      <c r="C26727" s="74" t="s">
        <v>424</v>
      </c>
    </row>
    <row r="26728" spans="1:3">
      <c r="A26728" s="250">
        <v>61862</v>
      </c>
      <c r="B26728" s="74" t="s">
        <v>3806</v>
      </c>
      <c r="C26728" s="74" t="s">
        <v>424</v>
      </c>
    </row>
    <row r="26729" spans="1:3">
      <c r="A26729" s="250">
        <v>61863</v>
      </c>
      <c r="B26729" s="74" t="s">
        <v>13777</v>
      </c>
      <c r="C26729" s="74" t="s">
        <v>424</v>
      </c>
    </row>
    <row r="26730" spans="1:3">
      <c r="A26730" s="250">
        <v>61864</v>
      </c>
      <c r="B26730" s="74" t="s">
        <v>10239</v>
      </c>
      <c r="C26730" s="74" t="s">
        <v>424</v>
      </c>
    </row>
    <row r="26731" spans="1:3">
      <c r="A26731" s="250">
        <v>61865</v>
      </c>
      <c r="B26731" s="74" t="s">
        <v>5634</v>
      </c>
      <c r="C26731" s="74" t="s">
        <v>424</v>
      </c>
    </row>
    <row r="26732" spans="1:3">
      <c r="A26732" s="250">
        <v>61866</v>
      </c>
      <c r="B26732" s="74" t="s">
        <v>13778</v>
      </c>
      <c r="C26732" s="74" t="s">
        <v>424</v>
      </c>
    </row>
    <row r="26733" spans="1:3">
      <c r="A26733" s="250">
        <v>61870</v>
      </c>
      <c r="B26733" s="74" t="s">
        <v>13779</v>
      </c>
      <c r="C26733" s="74" t="s">
        <v>424</v>
      </c>
    </row>
    <row r="26734" spans="1:3">
      <c r="A26734" s="250">
        <v>61871</v>
      </c>
      <c r="B26734" s="74" t="s">
        <v>11741</v>
      </c>
      <c r="C26734" s="74" t="s">
        <v>424</v>
      </c>
    </row>
    <row r="26735" spans="1:3">
      <c r="A26735" s="250">
        <v>61872</v>
      </c>
      <c r="B26735" s="74" t="s">
        <v>13780</v>
      </c>
      <c r="C26735" s="74" t="s">
        <v>424</v>
      </c>
    </row>
    <row r="26736" spans="1:3">
      <c r="A26736" s="250">
        <v>61873</v>
      </c>
      <c r="B26736" s="74" t="s">
        <v>9258</v>
      </c>
      <c r="C26736" s="74" t="s">
        <v>424</v>
      </c>
    </row>
    <row r="26737" spans="1:3">
      <c r="A26737" s="250">
        <v>61874</v>
      </c>
      <c r="B26737" s="74" t="s">
        <v>660</v>
      </c>
      <c r="C26737" s="74" t="s">
        <v>424</v>
      </c>
    </row>
    <row r="26738" spans="1:3">
      <c r="A26738" s="250">
        <v>61875</v>
      </c>
      <c r="B26738" s="74" t="s">
        <v>2066</v>
      </c>
      <c r="C26738" s="74" t="s">
        <v>424</v>
      </c>
    </row>
    <row r="26739" spans="1:3">
      <c r="A26739" s="250">
        <v>61876</v>
      </c>
      <c r="B26739" s="74" t="s">
        <v>13781</v>
      </c>
      <c r="C26739" s="74" t="s">
        <v>424</v>
      </c>
    </row>
    <row r="26740" spans="1:3">
      <c r="A26740" s="250">
        <v>61877</v>
      </c>
      <c r="B26740" s="74" t="s">
        <v>3646</v>
      </c>
      <c r="C26740" s="74" t="s">
        <v>424</v>
      </c>
    </row>
    <row r="26741" spans="1:3">
      <c r="A26741" s="250">
        <v>61878</v>
      </c>
      <c r="B26741" s="74" t="s">
        <v>13782</v>
      </c>
      <c r="C26741" s="74" t="s">
        <v>424</v>
      </c>
    </row>
    <row r="26742" spans="1:3">
      <c r="A26742" s="250">
        <v>61880</v>
      </c>
      <c r="B26742" s="74" t="s">
        <v>13783</v>
      </c>
      <c r="C26742" s="74" t="s">
        <v>424</v>
      </c>
    </row>
    <row r="26743" spans="1:3">
      <c r="A26743" s="250">
        <v>61882</v>
      </c>
      <c r="B26743" s="74" t="s">
        <v>7232</v>
      </c>
      <c r="C26743" s="74" t="s">
        <v>424</v>
      </c>
    </row>
    <row r="26744" spans="1:3">
      <c r="A26744" s="250">
        <v>61883</v>
      </c>
      <c r="B26744" s="74" t="s">
        <v>2432</v>
      </c>
      <c r="C26744" s="74" t="s">
        <v>424</v>
      </c>
    </row>
    <row r="26745" spans="1:3">
      <c r="A26745" s="250">
        <v>61884</v>
      </c>
      <c r="B26745" s="74" t="s">
        <v>13784</v>
      </c>
      <c r="C26745" s="74" t="s">
        <v>424</v>
      </c>
    </row>
    <row r="26746" spans="1:3">
      <c r="A26746" s="250">
        <v>61910</v>
      </c>
      <c r="B26746" s="74" t="s">
        <v>5408</v>
      </c>
      <c r="C26746" s="74" t="s">
        <v>424</v>
      </c>
    </row>
    <row r="26747" spans="1:3">
      <c r="A26747" s="250">
        <v>61911</v>
      </c>
      <c r="B26747" s="74" t="s">
        <v>9109</v>
      </c>
      <c r="C26747" s="74" t="s">
        <v>424</v>
      </c>
    </row>
    <row r="26748" spans="1:3">
      <c r="A26748" s="250">
        <v>61912</v>
      </c>
      <c r="B26748" s="74" t="s">
        <v>13785</v>
      </c>
      <c r="C26748" s="74" t="s">
        <v>424</v>
      </c>
    </row>
    <row r="26749" spans="1:3">
      <c r="A26749" s="250">
        <v>61913</v>
      </c>
      <c r="B26749" s="74" t="s">
        <v>9191</v>
      </c>
      <c r="C26749" s="74" t="s">
        <v>424</v>
      </c>
    </row>
    <row r="26750" spans="1:3">
      <c r="A26750" s="250">
        <v>61914</v>
      </c>
      <c r="B26750" s="74" t="s">
        <v>2075</v>
      </c>
      <c r="C26750" s="74" t="s">
        <v>424</v>
      </c>
    </row>
    <row r="26751" spans="1:3">
      <c r="A26751" s="250">
        <v>61917</v>
      </c>
      <c r="B26751" s="74" t="s">
        <v>3847</v>
      </c>
      <c r="C26751" s="74" t="s">
        <v>424</v>
      </c>
    </row>
    <row r="26752" spans="1:3">
      <c r="A26752" s="250">
        <v>61919</v>
      </c>
      <c r="B26752" s="74" t="s">
        <v>13786</v>
      </c>
      <c r="C26752" s="74" t="s">
        <v>424</v>
      </c>
    </row>
    <row r="26753" spans="1:3">
      <c r="A26753" s="250">
        <v>61920</v>
      </c>
      <c r="B26753" s="74" t="s">
        <v>1498</v>
      </c>
      <c r="C26753" s="74" t="s">
        <v>424</v>
      </c>
    </row>
    <row r="26754" spans="1:3">
      <c r="A26754" s="250">
        <v>61924</v>
      </c>
      <c r="B26754" s="74" t="s">
        <v>13787</v>
      </c>
      <c r="C26754" s="74" t="s">
        <v>424</v>
      </c>
    </row>
    <row r="26755" spans="1:3">
      <c r="A26755" s="250">
        <v>61925</v>
      </c>
      <c r="B26755" s="74" t="s">
        <v>13788</v>
      </c>
      <c r="C26755" s="74" t="s">
        <v>424</v>
      </c>
    </row>
    <row r="26756" spans="1:3">
      <c r="A26756" s="250">
        <v>61928</v>
      </c>
      <c r="B26756" s="74" t="s">
        <v>13789</v>
      </c>
      <c r="C26756" s="74" t="s">
        <v>424</v>
      </c>
    </row>
    <row r="26757" spans="1:3">
      <c r="A26757" s="250">
        <v>61929</v>
      </c>
      <c r="B26757" s="74" t="s">
        <v>3553</v>
      </c>
      <c r="C26757" s="74" t="s">
        <v>424</v>
      </c>
    </row>
    <row r="26758" spans="1:3">
      <c r="A26758" s="250">
        <v>61930</v>
      </c>
      <c r="B26758" s="74" t="s">
        <v>13790</v>
      </c>
      <c r="C26758" s="74" t="s">
        <v>424</v>
      </c>
    </row>
    <row r="26759" spans="1:3">
      <c r="A26759" s="250">
        <v>61931</v>
      </c>
      <c r="B26759" s="74" t="s">
        <v>9221</v>
      </c>
      <c r="C26759" s="74" t="s">
        <v>424</v>
      </c>
    </row>
    <row r="26760" spans="1:3">
      <c r="A26760" s="250">
        <v>61932</v>
      </c>
      <c r="B26760" s="74" t="s">
        <v>3869</v>
      </c>
      <c r="C26760" s="74" t="s">
        <v>424</v>
      </c>
    </row>
    <row r="26761" spans="1:3">
      <c r="A26761" s="250">
        <v>61933</v>
      </c>
      <c r="B26761" s="74" t="s">
        <v>8718</v>
      </c>
      <c r="C26761" s="74" t="s">
        <v>424</v>
      </c>
    </row>
    <row r="26762" spans="1:3">
      <c r="A26762" s="250">
        <v>61936</v>
      </c>
      <c r="B26762" s="74" t="s">
        <v>13791</v>
      </c>
      <c r="C26762" s="74" t="s">
        <v>424</v>
      </c>
    </row>
    <row r="26763" spans="1:3">
      <c r="A26763" s="250">
        <v>61937</v>
      </c>
      <c r="B26763" s="74" t="s">
        <v>13792</v>
      </c>
      <c r="C26763" s="74" t="s">
        <v>424</v>
      </c>
    </row>
    <row r="26764" spans="1:3">
      <c r="A26764" s="250">
        <v>61938</v>
      </c>
      <c r="B26764" s="74" t="s">
        <v>12169</v>
      </c>
      <c r="C26764" s="74" t="s">
        <v>424</v>
      </c>
    </row>
    <row r="26765" spans="1:3">
      <c r="A26765" s="250">
        <v>61940</v>
      </c>
      <c r="B26765" s="74" t="s">
        <v>13793</v>
      </c>
      <c r="C26765" s="74" t="s">
        <v>424</v>
      </c>
    </row>
    <row r="26766" spans="1:3">
      <c r="A26766" s="250">
        <v>61941</v>
      </c>
      <c r="B26766" s="74" t="s">
        <v>8531</v>
      </c>
      <c r="C26766" s="74" t="s">
        <v>424</v>
      </c>
    </row>
    <row r="26767" spans="1:3">
      <c r="A26767" s="250">
        <v>61942</v>
      </c>
      <c r="B26767" s="74" t="s">
        <v>13794</v>
      </c>
      <c r="C26767" s="74" t="s">
        <v>424</v>
      </c>
    </row>
    <row r="26768" spans="1:3">
      <c r="A26768" s="250">
        <v>61943</v>
      </c>
      <c r="B26768" s="74" t="s">
        <v>1121</v>
      </c>
      <c r="C26768" s="74" t="s">
        <v>424</v>
      </c>
    </row>
    <row r="26769" spans="1:3">
      <c r="A26769" s="250">
        <v>61944</v>
      </c>
      <c r="B26769" s="74" t="s">
        <v>1459</v>
      </c>
      <c r="C26769" s="74" t="s">
        <v>424</v>
      </c>
    </row>
    <row r="26770" spans="1:3">
      <c r="A26770" s="250">
        <v>61949</v>
      </c>
      <c r="B26770" s="74" t="s">
        <v>13795</v>
      </c>
      <c r="C26770" s="74" t="s">
        <v>424</v>
      </c>
    </row>
    <row r="26771" spans="1:3">
      <c r="A26771" s="250">
        <v>61951</v>
      </c>
      <c r="B26771" s="74" t="s">
        <v>1231</v>
      </c>
      <c r="C26771" s="74" t="s">
        <v>424</v>
      </c>
    </row>
    <row r="26772" spans="1:3">
      <c r="A26772" s="250">
        <v>61953</v>
      </c>
      <c r="B26772" s="74" t="s">
        <v>13796</v>
      </c>
      <c r="C26772" s="74" t="s">
        <v>424</v>
      </c>
    </row>
    <row r="26773" spans="1:3">
      <c r="A26773" s="250">
        <v>61955</v>
      </c>
      <c r="B26773" s="74" t="s">
        <v>10317</v>
      </c>
      <c r="C26773" s="74" t="s">
        <v>424</v>
      </c>
    </row>
    <row r="26774" spans="1:3">
      <c r="A26774" s="250">
        <v>61956</v>
      </c>
      <c r="B26774" s="74" t="s">
        <v>13797</v>
      </c>
      <c r="C26774" s="74" t="s">
        <v>424</v>
      </c>
    </row>
    <row r="26775" spans="1:3">
      <c r="A26775" s="250">
        <v>61957</v>
      </c>
      <c r="B26775" s="74" t="s">
        <v>669</v>
      </c>
      <c r="C26775" s="74" t="s">
        <v>424</v>
      </c>
    </row>
    <row r="26776" spans="1:3">
      <c r="A26776" s="250">
        <v>62001</v>
      </c>
      <c r="B26776" s="74" t="s">
        <v>13798</v>
      </c>
      <c r="C26776" s="74" t="s">
        <v>424</v>
      </c>
    </row>
    <row r="26777" spans="1:3">
      <c r="A26777" s="250">
        <v>62002</v>
      </c>
      <c r="B26777" s="74" t="s">
        <v>1293</v>
      </c>
      <c r="C26777" s="74" t="s">
        <v>424</v>
      </c>
    </row>
    <row r="26778" spans="1:3">
      <c r="A26778" s="250">
        <v>62006</v>
      </c>
      <c r="B26778" s="74" t="s">
        <v>13799</v>
      </c>
      <c r="C26778" s="74" t="s">
        <v>424</v>
      </c>
    </row>
    <row r="26779" spans="1:3">
      <c r="A26779" s="250">
        <v>62009</v>
      </c>
      <c r="B26779" s="74" t="s">
        <v>13800</v>
      </c>
      <c r="C26779" s="74" t="s">
        <v>424</v>
      </c>
    </row>
    <row r="26780" spans="1:3">
      <c r="A26780" s="250">
        <v>62010</v>
      </c>
      <c r="B26780" s="74" t="s">
        <v>13801</v>
      </c>
      <c r="C26780" s="74" t="s">
        <v>424</v>
      </c>
    </row>
    <row r="26781" spans="1:3">
      <c r="A26781" s="250">
        <v>62011</v>
      </c>
      <c r="B26781" s="74" t="s">
        <v>1682</v>
      </c>
      <c r="C26781" s="74" t="s">
        <v>424</v>
      </c>
    </row>
    <row r="26782" spans="1:3">
      <c r="A26782" s="250">
        <v>62012</v>
      </c>
      <c r="B26782" s="74" t="s">
        <v>911</v>
      </c>
      <c r="C26782" s="74" t="s">
        <v>424</v>
      </c>
    </row>
    <row r="26783" spans="1:3">
      <c r="A26783" s="250">
        <v>62013</v>
      </c>
      <c r="B26783" s="74" t="s">
        <v>12126</v>
      </c>
      <c r="C26783" s="74" t="s">
        <v>424</v>
      </c>
    </row>
    <row r="26784" spans="1:3">
      <c r="A26784" s="250">
        <v>62014</v>
      </c>
      <c r="B26784" s="74" t="s">
        <v>6684</v>
      </c>
      <c r="C26784" s="74" t="s">
        <v>424</v>
      </c>
    </row>
    <row r="26785" spans="1:3">
      <c r="A26785" s="250">
        <v>62015</v>
      </c>
      <c r="B26785" s="74" t="s">
        <v>2183</v>
      </c>
      <c r="C26785" s="74" t="s">
        <v>424</v>
      </c>
    </row>
    <row r="26786" spans="1:3">
      <c r="A26786" s="250">
        <v>62016</v>
      </c>
      <c r="B26786" s="74" t="s">
        <v>6129</v>
      </c>
      <c r="C26786" s="74" t="s">
        <v>424</v>
      </c>
    </row>
    <row r="26787" spans="1:3">
      <c r="A26787" s="250">
        <v>62017</v>
      </c>
      <c r="B26787" s="74" t="s">
        <v>13802</v>
      </c>
      <c r="C26787" s="74" t="s">
        <v>424</v>
      </c>
    </row>
    <row r="26788" spans="1:3">
      <c r="A26788" s="250">
        <v>62018</v>
      </c>
      <c r="B26788" s="74" t="s">
        <v>13803</v>
      </c>
      <c r="C26788" s="74" t="s">
        <v>424</v>
      </c>
    </row>
    <row r="26789" spans="1:3">
      <c r="A26789" s="250">
        <v>62019</v>
      </c>
      <c r="B26789" s="74" t="s">
        <v>11900</v>
      </c>
      <c r="C26789" s="74" t="s">
        <v>424</v>
      </c>
    </row>
    <row r="26790" spans="1:3">
      <c r="A26790" s="250">
        <v>62021</v>
      </c>
      <c r="B26790" s="74" t="s">
        <v>13804</v>
      </c>
      <c r="C26790" s="74" t="s">
        <v>424</v>
      </c>
    </row>
    <row r="26791" spans="1:3">
      <c r="A26791" s="250">
        <v>62022</v>
      </c>
      <c r="B26791" s="74" t="s">
        <v>13805</v>
      </c>
      <c r="C26791" s="74" t="s">
        <v>424</v>
      </c>
    </row>
    <row r="26792" spans="1:3">
      <c r="A26792" s="250">
        <v>62023</v>
      </c>
      <c r="B26792" s="74" t="s">
        <v>13806</v>
      </c>
      <c r="C26792" s="74" t="s">
        <v>424</v>
      </c>
    </row>
    <row r="26793" spans="1:3">
      <c r="A26793" s="250">
        <v>62024</v>
      </c>
      <c r="B26793" s="74" t="s">
        <v>13807</v>
      </c>
      <c r="C26793" s="74" t="s">
        <v>424</v>
      </c>
    </row>
    <row r="26794" spans="1:3">
      <c r="A26794" s="250">
        <v>62025</v>
      </c>
      <c r="B26794" s="74" t="s">
        <v>5892</v>
      </c>
      <c r="C26794" s="74" t="s">
        <v>424</v>
      </c>
    </row>
    <row r="26795" spans="1:3">
      <c r="A26795" s="250">
        <v>62026</v>
      </c>
      <c r="B26795" s="74" t="s">
        <v>5892</v>
      </c>
      <c r="C26795" s="74" t="s">
        <v>424</v>
      </c>
    </row>
    <row r="26796" spans="1:3">
      <c r="A26796" s="250">
        <v>62027</v>
      </c>
      <c r="B26796" s="74" t="s">
        <v>3171</v>
      </c>
      <c r="C26796" s="74" t="s">
        <v>424</v>
      </c>
    </row>
    <row r="26797" spans="1:3">
      <c r="A26797" s="250">
        <v>62028</v>
      </c>
      <c r="B26797" s="74" t="s">
        <v>13808</v>
      </c>
      <c r="C26797" s="74" t="s">
        <v>424</v>
      </c>
    </row>
    <row r="26798" spans="1:3">
      <c r="A26798" s="250">
        <v>62030</v>
      </c>
      <c r="B26798" s="74" t="s">
        <v>13809</v>
      </c>
      <c r="C26798" s="74" t="s">
        <v>424</v>
      </c>
    </row>
    <row r="26799" spans="1:3">
      <c r="A26799" s="250">
        <v>62031</v>
      </c>
      <c r="B26799" s="74" t="s">
        <v>13810</v>
      </c>
      <c r="C26799" s="74" t="s">
        <v>424</v>
      </c>
    </row>
    <row r="26800" spans="1:3">
      <c r="A26800" s="250">
        <v>62032</v>
      </c>
      <c r="B26800" s="74" t="s">
        <v>3862</v>
      </c>
      <c r="C26800" s="74" t="s">
        <v>424</v>
      </c>
    </row>
    <row r="26801" spans="1:3">
      <c r="A26801" s="250">
        <v>62033</v>
      </c>
      <c r="B26801" s="74" t="s">
        <v>13811</v>
      </c>
      <c r="C26801" s="74" t="s">
        <v>424</v>
      </c>
    </row>
    <row r="26802" spans="1:3">
      <c r="A26802" s="250">
        <v>62034</v>
      </c>
      <c r="B26802" s="74" t="s">
        <v>13812</v>
      </c>
      <c r="C26802" s="74" t="s">
        <v>424</v>
      </c>
    </row>
    <row r="26803" spans="1:3">
      <c r="A26803" s="250">
        <v>62035</v>
      </c>
      <c r="B26803" s="74" t="s">
        <v>13813</v>
      </c>
      <c r="C26803" s="74" t="s">
        <v>424</v>
      </c>
    </row>
    <row r="26804" spans="1:3">
      <c r="A26804" s="250">
        <v>62036</v>
      </c>
      <c r="B26804" s="74" t="s">
        <v>13814</v>
      </c>
      <c r="C26804" s="74" t="s">
        <v>424</v>
      </c>
    </row>
    <row r="26805" spans="1:3">
      <c r="A26805" s="250">
        <v>62037</v>
      </c>
      <c r="B26805" s="74" t="s">
        <v>737</v>
      </c>
      <c r="C26805" s="74" t="s">
        <v>424</v>
      </c>
    </row>
    <row r="26806" spans="1:3">
      <c r="A26806" s="250">
        <v>62040</v>
      </c>
      <c r="B26806" s="74" t="s">
        <v>13815</v>
      </c>
      <c r="C26806" s="74" t="s">
        <v>424</v>
      </c>
    </row>
    <row r="26807" spans="1:3">
      <c r="A26807" s="250">
        <v>62044</v>
      </c>
      <c r="B26807" s="74" t="s">
        <v>670</v>
      </c>
      <c r="C26807" s="74" t="s">
        <v>424</v>
      </c>
    </row>
    <row r="26808" spans="1:3">
      <c r="A26808" s="250">
        <v>62045</v>
      </c>
      <c r="B26808" s="74" t="s">
        <v>2188</v>
      </c>
      <c r="C26808" s="74" t="s">
        <v>424</v>
      </c>
    </row>
    <row r="26809" spans="1:3">
      <c r="A26809" s="250">
        <v>62046</v>
      </c>
      <c r="B26809" s="74" t="s">
        <v>12410</v>
      </c>
      <c r="C26809" s="74" t="s">
        <v>424</v>
      </c>
    </row>
    <row r="26810" spans="1:3">
      <c r="A26810" s="250">
        <v>62047</v>
      </c>
      <c r="B26810" s="74" t="s">
        <v>9936</v>
      </c>
      <c r="C26810" s="74" t="s">
        <v>424</v>
      </c>
    </row>
    <row r="26811" spans="1:3">
      <c r="A26811" s="250">
        <v>62048</v>
      </c>
      <c r="B26811" s="74" t="s">
        <v>1737</v>
      </c>
      <c r="C26811" s="74" t="s">
        <v>424</v>
      </c>
    </row>
    <row r="26812" spans="1:3">
      <c r="A26812" s="250">
        <v>62049</v>
      </c>
      <c r="B26812" s="74" t="s">
        <v>5758</v>
      </c>
      <c r="C26812" s="74" t="s">
        <v>424</v>
      </c>
    </row>
    <row r="26813" spans="1:3">
      <c r="A26813" s="250">
        <v>62050</v>
      </c>
      <c r="B26813" s="74" t="s">
        <v>9603</v>
      </c>
      <c r="C26813" s="74" t="s">
        <v>424</v>
      </c>
    </row>
    <row r="26814" spans="1:3">
      <c r="A26814" s="250">
        <v>62051</v>
      </c>
      <c r="B26814" s="74" t="s">
        <v>3712</v>
      </c>
      <c r="C26814" s="74" t="s">
        <v>424</v>
      </c>
    </row>
    <row r="26815" spans="1:3">
      <c r="A26815" s="250">
        <v>62052</v>
      </c>
      <c r="B26815" s="74" t="s">
        <v>13816</v>
      </c>
      <c r="C26815" s="74" t="s">
        <v>424</v>
      </c>
    </row>
    <row r="26816" spans="1:3">
      <c r="A26816" s="250">
        <v>62053</v>
      </c>
      <c r="B26816" s="74" t="s">
        <v>13817</v>
      </c>
      <c r="C26816" s="74" t="s">
        <v>424</v>
      </c>
    </row>
    <row r="26817" spans="1:3">
      <c r="A26817" s="250">
        <v>62054</v>
      </c>
      <c r="B26817" s="74" t="s">
        <v>4598</v>
      </c>
      <c r="C26817" s="74" t="s">
        <v>424</v>
      </c>
    </row>
    <row r="26818" spans="1:3">
      <c r="A26818" s="250">
        <v>62056</v>
      </c>
      <c r="B26818" s="74" t="s">
        <v>1161</v>
      </c>
      <c r="C26818" s="74" t="s">
        <v>424</v>
      </c>
    </row>
    <row r="26819" spans="1:3">
      <c r="A26819" s="250">
        <v>62058</v>
      </c>
      <c r="B26819" s="74" t="s">
        <v>2135</v>
      </c>
      <c r="C26819" s="74" t="s">
        <v>424</v>
      </c>
    </row>
    <row r="26820" spans="1:3">
      <c r="A26820" s="250">
        <v>62059</v>
      </c>
      <c r="B26820" s="74" t="s">
        <v>7913</v>
      </c>
      <c r="C26820" s="74" t="s">
        <v>424</v>
      </c>
    </row>
    <row r="26821" spans="1:3">
      <c r="A26821" s="250">
        <v>62060</v>
      </c>
      <c r="B26821" s="74" t="s">
        <v>1320</v>
      </c>
      <c r="C26821" s="74" t="s">
        <v>424</v>
      </c>
    </row>
    <row r="26822" spans="1:3">
      <c r="A26822" s="250">
        <v>62061</v>
      </c>
      <c r="B26822" s="74" t="s">
        <v>13818</v>
      </c>
      <c r="C26822" s="74" t="s">
        <v>424</v>
      </c>
    </row>
    <row r="26823" spans="1:3">
      <c r="A26823" s="250">
        <v>62062</v>
      </c>
      <c r="B26823" s="74" t="s">
        <v>9142</v>
      </c>
      <c r="C26823" s="74" t="s">
        <v>424</v>
      </c>
    </row>
    <row r="26824" spans="1:3">
      <c r="A26824" s="250">
        <v>62063</v>
      </c>
      <c r="B26824" s="74" t="s">
        <v>10830</v>
      </c>
      <c r="C26824" s="74" t="s">
        <v>424</v>
      </c>
    </row>
    <row r="26825" spans="1:3">
      <c r="A26825" s="250">
        <v>62065</v>
      </c>
      <c r="B26825" s="74" t="s">
        <v>13819</v>
      </c>
      <c r="C26825" s="74" t="s">
        <v>424</v>
      </c>
    </row>
    <row r="26826" spans="1:3">
      <c r="A26826" s="250">
        <v>62067</v>
      </c>
      <c r="B26826" s="74" t="s">
        <v>13820</v>
      </c>
      <c r="C26826" s="74" t="s">
        <v>424</v>
      </c>
    </row>
    <row r="26827" spans="1:3">
      <c r="A26827" s="250">
        <v>62069</v>
      </c>
      <c r="B26827" s="74" t="s">
        <v>6650</v>
      </c>
      <c r="C26827" s="74" t="s">
        <v>424</v>
      </c>
    </row>
    <row r="26828" spans="1:3">
      <c r="A26828" s="250">
        <v>62070</v>
      </c>
      <c r="B26828" s="74" t="s">
        <v>13821</v>
      </c>
      <c r="C26828" s="74" t="s">
        <v>424</v>
      </c>
    </row>
    <row r="26829" spans="1:3">
      <c r="A26829" s="250">
        <v>62071</v>
      </c>
      <c r="B26829" s="74" t="s">
        <v>13822</v>
      </c>
      <c r="C26829" s="74" t="s">
        <v>424</v>
      </c>
    </row>
    <row r="26830" spans="1:3">
      <c r="A26830" s="250">
        <v>62074</v>
      </c>
      <c r="B26830" s="74" t="s">
        <v>13823</v>
      </c>
      <c r="C26830" s="74" t="s">
        <v>424</v>
      </c>
    </row>
    <row r="26831" spans="1:3">
      <c r="A26831" s="250">
        <v>62075</v>
      </c>
      <c r="B26831" s="74" t="s">
        <v>8561</v>
      </c>
      <c r="C26831" s="74" t="s">
        <v>424</v>
      </c>
    </row>
    <row r="26832" spans="1:3">
      <c r="A26832" s="250">
        <v>62076</v>
      </c>
      <c r="B26832" s="74" t="s">
        <v>13824</v>
      </c>
      <c r="C26832" s="74" t="s">
        <v>424</v>
      </c>
    </row>
    <row r="26833" spans="1:3">
      <c r="A26833" s="250">
        <v>62077</v>
      </c>
      <c r="B26833" s="74" t="s">
        <v>3881</v>
      </c>
      <c r="C26833" s="74" t="s">
        <v>424</v>
      </c>
    </row>
    <row r="26834" spans="1:3">
      <c r="A26834" s="250">
        <v>62078</v>
      </c>
      <c r="B26834" s="74" t="s">
        <v>3134</v>
      </c>
      <c r="C26834" s="74" t="s">
        <v>424</v>
      </c>
    </row>
    <row r="26835" spans="1:3">
      <c r="A26835" s="250">
        <v>62079</v>
      </c>
      <c r="B26835" s="74" t="s">
        <v>13825</v>
      </c>
      <c r="C26835" s="74" t="s">
        <v>424</v>
      </c>
    </row>
    <row r="26836" spans="1:3">
      <c r="A26836" s="250">
        <v>62080</v>
      </c>
      <c r="B26836" s="74" t="s">
        <v>2203</v>
      </c>
      <c r="C26836" s="74" t="s">
        <v>424</v>
      </c>
    </row>
    <row r="26837" spans="1:3">
      <c r="A26837" s="250">
        <v>62081</v>
      </c>
      <c r="B26837" s="74" t="s">
        <v>10121</v>
      </c>
      <c r="C26837" s="74" t="s">
        <v>424</v>
      </c>
    </row>
    <row r="26838" spans="1:3">
      <c r="A26838" s="250">
        <v>62082</v>
      </c>
      <c r="B26838" s="74" t="s">
        <v>13826</v>
      </c>
      <c r="C26838" s="74" t="s">
        <v>424</v>
      </c>
    </row>
    <row r="26839" spans="1:3">
      <c r="A26839" s="250">
        <v>62083</v>
      </c>
      <c r="B26839" s="74" t="s">
        <v>13827</v>
      </c>
      <c r="C26839" s="74" t="s">
        <v>424</v>
      </c>
    </row>
    <row r="26840" spans="1:3">
      <c r="A26840" s="250">
        <v>62084</v>
      </c>
      <c r="B26840" s="74" t="s">
        <v>9920</v>
      </c>
      <c r="C26840" s="74" t="s">
        <v>424</v>
      </c>
    </row>
    <row r="26841" spans="1:3">
      <c r="A26841" s="250">
        <v>62085</v>
      </c>
      <c r="B26841" s="74" t="s">
        <v>8955</v>
      </c>
      <c r="C26841" s="74" t="s">
        <v>424</v>
      </c>
    </row>
    <row r="26842" spans="1:3">
      <c r="A26842" s="250">
        <v>62086</v>
      </c>
      <c r="B26842" s="74" t="s">
        <v>13828</v>
      </c>
      <c r="C26842" s="74" t="s">
        <v>424</v>
      </c>
    </row>
    <row r="26843" spans="1:3">
      <c r="A26843" s="250">
        <v>62087</v>
      </c>
      <c r="B26843" s="74" t="s">
        <v>13829</v>
      </c>
      <c r="C26843" s="74" t="s">
        <v>424</v>
      </c>
    </row>
    <row r="26844" spans="1:3">
      <c r="A26844" s="250">
        <v>62088</v>
      </c>
      <c r="B26844" s="74" t="s">
        <v>6379</v>
      </c>
      <c r="C26844" s="74" t="s">
        <v>424</v>
      </c>
    </row>
    <row r="26845" spans="1:3">
      <c r="A26845" s="250">
        <v>62089</v>
      </c>
      <c r="B26845" s="74" t="s">
        <v>13830</v>
      </c>
      <c r="C26845" s="74" t="s">
        <v>424</v>
      </c>
    </row>
    <row r="26846" spans="1:3">
      <c r="A26846" s="250">
        <v>62090</v>
      </c>
      <c r="B26846" s="74" t="s">
        <v>8562</v>
      </c>
      <c r="C26846" s="74" t="s">
        <v>424</v>
      </c>
    </row>
    <row r="26847" spans="1:3">
      <c r="A26847" s="250">
        <v>62091</v>
      </c>
      <c r="B26847" s="74" t="s">
        <v>13831</v>
      </c>
      <c r="C26847" s="74" t="s">
        <v>424</v>
      </c>
    </row>
    <row r="26848" spans="1:3">
      <c r="A26848" s="250">
        <v>62092</v>
      </c>
      <c r="B26848" s="74" t="s">
        <v>5708</v>
      </c>
      <c r="C26848" s="74" t="s">
        <v>424</v>
      </c>
    </row>
    <row r="26849" spans="1:3">
      <c r="A26849" s="250">
        <v>62093</v>
      </c>
      <c r="B26849" s="74" t="s">
        <v>8678</v>
      </c>
      <c r="C26849" s="74" t="s">
        <v>424</v>
      </c>
    </row>
    <row r="26850" spans="1:3">
      <c r="A26850" s="250">
        <v>62094</v>
      </c>
      <c r="B26850" s="74" t="s">
        <v>13832</v>
      </c>
      <c r="C26850" s="74" t="s">
        <v>424</v>
      </c>
    </row>
    <row r="26851" spans="1:3">
      <c r="A26851" s="250">
        <v>62095</v>
      </c>
      <c r="B26851" s="74" t="s">
        <v>13833</v>
      </c>
      <c r="C26851" s="74" t="s">
        <v>424</v>
      </c>
    </row>
    <row r="26852" spans="1:3">
      <c r="A26852" s="250">
        <v>62097</v>
      </c>
      <c r="B26852" s="74" t="s">
        <v>13256</v>
      </c>
      <c r="C26852" s="74" t="s">
        <v>424</v>
      </c>
    </row>
    <row r="26853" spans="1:3">
      <c r="A26853" s="250">
        <v>62098</v>
      </c>
      <c r="B26853" s="74" t="s">
        <v>13834</v>
      </c>
      <c r="C26853" s="74" t="s">
        <v>424</v>
      </c>
    </row>
    <row r="26854" spans="1:3">
      <c r="A26854" s="250">
        <v>62201</v>
      </c>
      <c r="B26854" s="74" t="s">
        <v>13835</v>
      </c>
      <c r="C26854" s="74" t="s">
        <v>424</v>
      </c>
    </row>
    <row r="26855" spans="1:3">
      <c r="A26855" s="250">
        <v>62202</v>
      </c>
      <c r="B26855" s="74" t="s">
        <v>13835</v>
      </c>
      <c r="C26855" s="74" t="s">
        <v>424</v>
      </c>
    </row>
    <row r="26856" spans="1:3">
      <c r="A26856" s="250">
        <v>62203</v>
      </c>
      <c r="B26856" s="74" t="s">
        <v>13835</v>
      </c>
      <c r="C26856" s="74" t="s">
        <v>424</v>
      </c>
    </row>
    <row r="26857" spans="1:3">
      <c r="A26857" s="250">
        <v>62204</v>
      </c>
      <c r="B26857" s="74" t="s">
        <v>13835</v>
      </c>
      <c r="C26857" s="74" t="s">
        <v>424</v>
      </c>
    </row>
    <row r="26858" spans="1:3">
      <c r="A26858" s="250">
        <v>62205</v>
      </c>
      <c r="B26858" s="74" t="s">
        <v>13835</v>
      </c>
      <c r="C26858" s="74" t="s">
        <v>424</v>
      </c>
    </row>
    <row r="26859" spans="1:3">
      <c r="A26859" s="250">
        <v>62206</v>
      </c>
      <c r="B26859" s="74" t="s">
        <v>13835</v>
      </c>
      <c r="C26859" s="74" t="s">
        <v>424</v>
      </c>
    </row>
    <row r="26860" spans="1:3">
      <c r="A26860" s="250">
        <v>62207</v>
      </c>
      <c r="B26860" s="74" t="s">
        <v>13835</v>
      </c>
      <c r="C26860" s="74" t="s">
        <v>424</v>
      </c>
    </row>
    <row r="26861" spans="1:3">
      <c r="A26861" s="250">
        <v>62208</v>
      </c>
      <c r="B26861" s="74" t="s">
        <v>13836</v>
      </c>
      <c r="C26861" s="74" t="s">
        <v>424</v>
      </c>
    </row>
    <row r="26862" spans="1:3">
      <c r="A26862" s="250">
        <v>62214</v>
      </c>
      <c r="B26862" s="74" t="s">
        <v>13837</v>
      </c>
      <c r="C26862" s="74" t="s">
        <v>424</v>
      </c>
    </row>
    <row r="26863" spans="1:3">
      <c r="A26863" s="250">
        <v>62215</v>
      </c>
      <c r="B26863" s="74" t="s">
        <v>13838</v>
      </c>
      <c r="C26863" s="74" t="s">
        <v>424</v>
      </c>
    </row>
    <row r="26864" spans="1:3">
      <c r="A26864" s="250">
        <v>62216</v>
      </c>
      <c r="B26864" s="74" t="s">
        <v>13839</v>
      </c>
      <c r="C26864" s="74" t="s">
        <v>424</v>
      </c>
    </row>
    <row r="26865" spans="1:3">
      <c r="A26865" s="250">
        <v>62217</v>
      </c>
      <c r="B26865" s="74" t="s">
        <v>2765</v>
      </c>
      <c r="C26865" s="74" t="s">
        <v>424</v>
      </c>
    </row>
    <row r="26866" spans="1:3">
      <c r="A26866" s="250">
        <v>62218</v>
      </c>
      <c r="B26866" s="74" t="s">
        <v>13840</v>
      </c>
      <c r="C26866" s="74" t="s">
        <v>424</v>
      </c>
    </row>
    <row r="26867" spans="1:3">
      <c r="A26867" s="250">
        <v>62219</v>
      </c>
      <c r="B26867" s="74" t="s">
        <v>13841</v>
      </c>
      <c r="C26867" s="74" t="s">
        <v>424</v>
      </c>
    </row>
    <row r="26868" spans="1:3">
      <c r="A26868" s="250">
        <v>62220</v>
      </c>
      <c r="B26868" s="74" t="s">
        <v>2173</v>
      </c>
      <c r="C26868" s="74" t="s">
        <v>424</v>
      </c>
    </row>
    <row r="26869" spans="1:3">
      <c r="A26869" s="250">
        <v>62221</v>
      </c>
      <c r="B26869" s="74" t="s">
        <v>2173</v>
      </c>
      <c r="C26869" s="74" t="s">
        <v>424</v>
      </c>
    </row>
    <row r="26870" spans="1:3">
      <c r="A26870" s="250">
        <v>62222</v>
      </c>
      <c r="B26870" s="74" t="s">
        <v>2173</v>
      </c>
      <c r="C26870" s="74" t="s">
        <v>424</v>
      </c>
    </row>
    <row r="26871" spans="1:3">
      <c r="A26871" s="250">
        <v>62223</v>
      </c>
      <c r="B26871" s="74" t="s">
        <v>2173</v>
      </c>
      <c r="C26871" s="74" t="s">
        <v>424</v>
      </c>
    </row>
    <row r="26872" spans="1:3">
      <c r="A26872" s="250">
        <v>62224</v>
      </c>
      <c r="B26872" s="74" t="s">
        <v>13842</v>
      </c>
      <c r="C26872" s="74" t="s">
        <v>424</v>
      </c>
    </row>
    <row r="26873" spans="1:3">
      <c r="A26873" s="250">
        <v>62225</v>
      </c>
      <c r="B26873" s="74" t="s">
        <v>13843</v>
      </c>
      <c r="C26873" s="74" t="s">
        <v>424</v>
      </c>
    </row>
    <row r="26874" spans="1:3">
      <c r="A26874" s="250">
        <v>62226</v>
      </c>
      <c r="B26874" s="74" t="s">
        <v>2173</v>
      </c>
      <c r="C26874" s="74" t="s">
        <v>424</v>
      </c>
    </row>
    <row r="26875" spans="1:3">
      <c r="A26875" s="250">
        <v>62230</v>
      </c>
      <c r="B26875" s="74" t="s">
        <v>13844</v>
      </c>
      <c r="C26875" s="74" t="s">
        <v>424</v>
      </c>
    </row>
    <row r="26876" spans="1:3">
      <c r="A26876" s="250">
        <v>62231</v>
      </c>
      <c r="B26876" s="74" t="s">
        <v>13845</v>
      </c>
      <c r="C26876" s="74" t="s">
        <v>424</v>
      </c>
    </row>
    <row r="26877" spans="1:3">
      <c r="A26877" s="250">
        <v>62232</v>
      </c>
      <c r="B26877" s="74" t="s">
        <v>13846</v>
      </c>
      <c r="C26877" s="74" t="s">
        <v>424</v>
      </c>
    </row>
    <row r="26878" spans="1:3">
      <c r="A26878" s="250">
        <v>62233</v>
      </c>
      <c r="B26878" s="74" t="s">
        <v>583</v>
      </c>
      <c r="C26878" s="74" t="s">
        <v>424</v>
      </c>
    </row>
    <row r="26879" spans="1:3">
      <c r="A26879" s="250">
        <v>62234</v>
      </c>
      <c r="B26879" s="74" t="s">
        <v>1936</v>
      </c>
      <c r="C26879" s="74" t="s">
        <v>424</v>
      </c>
    </row>
    <row r="26880" spans="1:3">
      <c r="A26880" s="250">
        <v>62236</v>
      </c>
      <c r="B26880" s="74" t="s">
        <v>1985</v>
      </c>
      <c r="C26880" s="74" t="s">
        <v>424</v>
      </c>
    </row>
    <row r="26881" spans="1:3">
      <c r="A26881" s="250">
        <v>62237</v>
      </c>
      <c r="B26881" s="74" t="s">
        <v>13847</v>
      </c>
      <c r="C26881" s="74" t="s">
        <v>424</v>
      </c>
    </row>
    <row r="26882" spans="1:3">
      <c r="A26882" s="250">
        <v>62238</v>
      </c>
      <c r="B26882" s="74" t="s">
        <v>1578</v>
      </c>
      <c r="C26882" s="74" t="s">
        <v>424</v>
      </c>
    </row>
    <row r="26883" spans="1:3">
      <c r="A26883" s="250">
        <v>62239</v>
      </c>
      <c r="B26883" s="74" t="s">
        <v>13848</v>
      </c>
      <c r="C26883" s="74" t="s">
        <v>424</v>
      </c>
    </row>
    <row r="26884" spans="1:3">
      <c r="A26884" s="250">
        <v>62240</v>
      </c>
      <c r="B26884" s="74" t="s">
        <v>13849</v>
      </c>
      <c r="C26884" s="74" t="s">
        <v>424</v>
      </c>
    </row>
    <row r="26885" spans="1:3">
      <c r="A26885" s="250">
        <v>62241</v>
      </c>
      <c r="B26885" s="74" t="s">
        <v>13850</v>
      </c>
      <c r="C26885" s="74" t="s">
        <v>424</v>
      </c>
    </row>
    <row r="26886" spans="1:3">
      <c r="A26886" s="250">
        <v>62242</v>
      </c>
      <c r="B26886" s="74" t="s">
        <v>10926</v>
      </c>
      <c r="C26886" s="74" t="s">
        <v>424</v>
      </c>
    </row>
    <row r="26887" spans="1:3">
      <c r="A26887" s="250">
        <v>62243</v>
      </c>
      <c r="B26887" s="74" t="s">
        <v>4943</v>
      </c>
      <c r="C26887" s="74" t="s">
        <v>424</v>
      </c>
    </row>
    <row r="26888" spans="1:3">
      <c r="A26888" s="250">
        <v>62244</v>
      </c>
      <c r="B26888" s="74" t="s">
        <v>13851</v>
      </c>
      <c r="C26888" s="74" t="s">
        <v>424</v>
      </c>
    </row>
    <row r="26889" spans="1:3">
      <c r="A26889" s="250">
        <v>62245</v>
      </c>
      <c r="B26889" s="74" t="s">
        <v>3118</v>
      </c>
      <c r="C26889" s="74" t="s">
        <v>424</v>
      </c>
    </row>
    <row r="26890" spans="1:3">
      <c r="A26890" s="250">
        <v>62246</v>
      </c>
      <c r="B26890" s="74" t="s">
        <v>1108</v>
      </c>
      <c r="C26890" s="74" t="s">
        <v>424</v>
      </c>
    </row>
    <row r="26891" spans="1:3">
      <c r="A26891" s="250">
        <v>62247</v>
      </c>
      <c r="B26891" s="74" t="s">
        <v>13852</v>
      </c>
      <c r="C26891" s="74" t="s">
        <v>424</v>
      </c>
    </row>
    <row r="26892" spans="1:3">
      <c r="A26892" s="250">
        <v>62248</v>
      </c>
      <c r="B26892" s="74" t="s">
        <v>13853</v>
      </c>
      <c r="C26892" s="74" t="s">
        <v>424</v>
      </c>
    </row>
    <row r="26893" spans="1:3">
      <c r="A26893" s="250">
        <v>62249</v>
      </c>
      <c r="B26893" s="74" t="s">
        <v>3120</v>
      </c>
      <c r="C26893" s="74" t="s">
        <v>424</v>
      </c>
    </row>
    <row r="26894" spans="1:3">
      <c r="A26894" s="250">
        <v>62250</v>
      </c>
      <c r="B26894" s="74" t="s">
        <v>7357</v>
      </c>
      <c r="C26894" s="74" t="s">
        <v>424</v>
      </c>
    </row>
    <row r="26895" spans="1:3">
      <c r="A26895" s="250">
        <v>62252</v>
      </c>
      <c r="B26895" s="74" t="s">
        <v>13854</v>
      </c>
      <c r="C26895" s="74" t="s">
        <v>424</v>
      </c>
    </row>
    <row r="26896" spans="1:3">
      <c r="A26896" s="250">
        <v>62253</v>
      </c>
      <c r="B26896" s="74" t="s">
        <v>13855</v>
      </c>
      <c r="C26896" s="74" t="s">
        <v>424</v>
      </c>
    </row>
    <row r="26897" spans="1:3">
      <c r="A26897" s="250">
        <v>62254</v>
      </c>
      <c r="B26897" s="74" t="s">
        <v>1280</v>
      </c>
      <c r="C26897" s="74" t="s">
        <v>424</v>
      </c>
    </row>
    <row r="26898" spans="1:3">
      <c r="A26898" s="250">
        <v>62255</v>
      </c>
      <c r="B26898" s="74" t="s">
        <v>13856</v>
      </c>
      <c r="C26898" s="74" t="s">
        <v>424</v>
      </c>
    </row>
    <row r="26899" spans="1:3">
      <c r="A26899" s="250">
        <v>62256</v>
      </c>
      <c r="B26899" s="74" t="s">
        <v>13857</v>
      </c>
      <c r="C26899" s="74" t="s">
        <v>424</v>
      </c>
    </row>
    <row r="26900" spans="1:3">
      <c r="A26900" s="250">
        <v>62257</v>
      </c>
      <c r="B26900" s="74" t="s">
        <v>13858</v>
      </c>
      <c r="C26900" s="74" t="s">
        <v>424</v>
      </c>
    </row>
    <row r="26901" spans="1:3">
      <c r="A26901" s="250">
        <v>62258</v>
      </c>
      <c r="B26901" s="74" t="s">
        <v>13842</v>
      </c>
      <c r="C26901" s="74" t="s">
        <v>424</v>
      </c>
    </row>
    <row r="26902" spans="1:3">
      <c r="A26902" s="250">
        <v>62259</v>
      </c>
      <c r="B26902" s="74" t="s">
        <v>13859</v>
      </c>
      <c r="C26902" s="74" t="s">
        <v>424</v>
      </c>
    </row>
    <row r="26903" spans="1:3">
      <c r="A26903" s="250">
        <v>62260</v>
      </c>
      <c r="B26903" s="74" t="s">
        <v>13860</v>
      </c>
      <c r="C26903" s="74" t="s">
        <v>424</v>
      </c>
    </row>
    <row r="26904" spans="1:3">
      <c r="A26904" s="250">
        <v>62261</v>
      </c>
      <c r="B26904" s="74" t="s">
        <v>7819</v>
      </c>
      <c r="C26904" s="74" t="s">
        <v>424</v>
      </c>
    </row>
    <row r="26905" spans="1:3">
      <c r="A26905" s="250">
        <v>62262</v>
      </c>
      <c r="B26905" s="74" t="s">
        <v>13861</v>
      </c>
      <c r="C26905" s="74" t="s">
        <v>424</v>
      </c>
    </row>
    <row r="26906" spans="1:3">
      <c r="A26906" s="250">
        <v>62263</v>
      </c>
      <c r="B26906" s="74" t="s">
        <v>7206</v>
      </c>
      <c r="C26906" s="74" t="s">
        <v>424</v>
      </c>
    </row>
    <row r="26907" spans="1:3">
      <c r="A26907" s="250">
        <v>62264</v>
      </c>
      <c r="B26907" s="74" t="s">
        <v>10287</v>
      </c>
      <c r="C26907" s="74" t="s">
        <v>424</v>
      </c>
    </row>
    <row r="26908" spans="1:3">
      <c r="A26908" s="250">
        <v>62265</v>
      </c>
      <c r="B26908" s="74" t="s">
        <v>13862</v>
      </c>
      <c r="C26908" s="74" t="s">
        <v>424</v>
      </c>
    </row>
    <row r="26909" spans="1:3">
      <c r="A26909" s="250">
        <v>62266</v>
      </c>
      <c r="B26909" s="74" t="s">
        <v>13863</v>
      </c>
      <c r="C26909" s="74" t="s">
        <v>424</v>
      </c>
    </row>
    <row r="26910" spans="1:3">
      <c r="A26910" s="250">
        <v>62268</v>
      </c>
      <c r="B26910" s="74" t="s">
        <v>2024</v>
      </c>
      <c r="C26910" s="74" t="s">
        <v>424</v>
      </c>
    </row>
    <row r="26911" spans="1:3">
      <c r="A26911" s="250">
        <v>62269</v>
      </c>
      <c r="B26911" s="74" t="s">
        <v>13864</v>
      </c>
      <c r="C26911" s="74" t="s">
        <v>424</v>
      </c>
    </row>
    <row r="26912" spans="1:3">
      <c r="A26912" s="250">
        <v>62271</v>
      </c>
      <c r="B26912" s="74" t="s">
        <v>13865</v>
      </c>
      <c r="C26912" s="74" t="s">
        <v>424</v>
      </c>
    </row>
    <row r="26913" spans="1:3">
      <c r="A26913" s="250">
        <v>62272</v>
      </c>
      <c r="B26913" s="74" t="s">
        <v>13866</v>
      </c>
      <c r="C26913" s="74" t="s">
        <v>424</v>
      </c>
    </row>
    <row r="26914" spans="1:3">
      <c r="A26914" s="250">
        <v>62273</v>
      </c>
      <c r="B26914" s="74" t="s">
        <v>13867</v>
      </c>
      <c r="C26914" s="74" t="s">
        <v>424</v>
      </c>
    </row>
    <row r="26915" spans="1:3">
      <c r="A26915" s="250">
        <v>62274</v>
      </c>
      <c r="B26915" s="74" t="s">
        <v>13868</v>
      </c>
      <c r="C26915" s="74" t="s">
        <v>424</v>
      </c>
    </row>
    <row r="26916" spans="1:3">
      <c r="A26916" s="250">
        <v>62275</v>
      </c>
      <c r="B26916" s="74" t="s">
        <v>6468</v>
      </c>
      <c r="C26916" s="74" t="s">
        <v>424</v>
      </c>
    </row>
    <row r="26917" spans="1:3">
      <c r="A26917" s="250">
        <v>62277</v>
      </c>
      <c r="B26917" s="74" t="s">
        <v>13869</v>
      </c>
      <c r="C26917" s="74" t="s">
        <v>424</v>
      </c>
    </row>
    <row r="26918" spans="1:3">
      <c r="A26918" s="250">
        <v>62278</v>
      </c>
      <c r="B26918" s="74" t="s">
        <v>13870</v>
      </c>
      <c r="C26918" s="74" t="s">
        <v>424</v>
      </c>
    </row>
    <row r="26919" spans="1:3">
      <c r="A26919" s="250">
        <v>62279</v>
      </c>
      <c r="B26919" s="74" t="s">
        <v>13871</v>
      </c>
      <c r="C26919" s="74" t="s">
        <v>424</v>
      </c>
    </row>
    <row r="26920" spans="1:3">
      <c r="A26920" s="250">
        <v>62280</v>
      </c>
      <c r="B26920" s="74" t="s">
        <v>1525</v>
      </c>
      <c r="C26920" s="74" t="s">
        <v>424</v>
      </c>
    </row>
    <row r="26921" spans="1:3">
      <c r="A26921" s="250">
        <v>62281</v>
      </c>
      <c r="B26921" s="74" t="s">
        <v>13872</v>
      </c>
      <c r="C26921" s="74" t="s">
        <v>424</v>
      </c>
    </row>
    <row r="26922" spans="1:3">
      <c r="A26922" s="250">
        <v>62282</v>
      </c>
      <c r="B26922" s="74" t="s">
        <v>13873</v>
      </c>
      <c r="C26922" s="74" t="s">
        <v>424</v>
      </c>
    </row>
    <row r="26923" spans="1:3">
      <c r="A26923" s="250">
        <v>62284</v>
      </c>
      <c r="B26923" s="74" t="s">
        <v>3648</v>
      </c>
      <c r="C26923" s="74" t="s">
        <v>424</v>
      </c>
    </row>
    <row r="26924" spans="1:3">
      <c r="A26924" s="250">
        <v>62285</v>
      </c>
      <c r="B26924" s="74" t="s">
        <v>4143</v>
      </c>
      <c r="C26924" s="74" t="s">
        <v>424</v>
      </c>
    </row>
    <row r="26925" spans="1:3">
      <c r="A26925" s="250">
        <v>62286</v>
      </c>
      <c r="B26925" s="74" t="s">
        <v>2327</v>
      </c>
      <c r="C26925" s="74" t="s">
        <v>424</v>
      </c>
    </row>
    <row r="26926" spans="1:3">
      <c r="A26926" s="250">
        <v>62288</v>
      </c>
      <c r="B26926" s="74" t="s">
        <v>13874</v>
      </c>
      <c r="C26926" s="74" t="s">
        <v>424</v>
      </c>
    </row>
    <row r="26927" spans="1:3">
      <c r="A26927" s="250">
        <v>62289</v>
      </c>
      <c r="B26927" s="74" t="s">
        <v>7127</v>
      </c>
      <c r="C26927" s="74" t="s">
        <v>424</v>
      </c>
    </row>
    <row r="26928" spans="1:3">
      <c r="A26928" s="250">
        <v>62292</v>
      </c>
      <c r="B26928" s="74" t="s">
        <v>13875</v>
      </c>
      <c r="C26928" s="74" t="s">
        <v>424</v>
      </c>
    </row>
    <row r="26929" spans="1:3">
      <c r="A26929" s="250">
        <v>62293</v>
      </c>
      <c r="B26929" s="74" t="s">
        <v>2532</v>
      </c>
      <c r="C26929" s="74" t="s">
        <v>424</v>
      </c>
    </row>
    <row r="26930" spans="1:3">
      <c r="A26930" s="250">
        <v>62294</v>
      </c>
      <c r="B26930" s="74" t="s">
        <v>1243</v>
      </c>
      <c r="C26930" s="74" t="s">
        <v>424</v>
      </c>
    </row>
    <row r="26931" spans="1:3">
      <c r="A26931" s="250">
        <v>62295</v>
      </c>
      <c r="B26931" s="74" t="s">
        <v>13876</v>
      </c>
      <c r="C26931" s="74" t="s">
        <v>424</v>
      </c>
    </row>
    <row r="26932" spans="1:3">
      <c r="A26932" s="250">
        <v>62297</v>
      </c>
      <c r="B26932" s="74" t="s">
        <v>13877</v>
      </c>
      <c r="C26932" s="74" t="s">
        <v>424</v>
      </c>
    </row>
    <row r="26933" spans="1:3">
      <c r="A26933" s="250">
        <v>62298</v>
      </c>
      <c r="B26933" s="74" t="s">
        <v>3425</v>
      </c>
      <c r="C26933" s="74" t="s">
        <v>424</v>
      </c>
    </row>
    <row r="26934" spans="1:3">
      <c r="A26934" s="250">
        <v>62301</v>
      </c>
      <c r="B26934" s="74" t="s">
        <v>923</v>
      </c>
      <c r="C26934" s="74" t="s">
        <v>424</v>
      </c>
    </row>
    <row r="26935" spans="1:3">
      <c r="A26935" s="250">
        <v>62305</v>
      </c>
      <c r="B26935" s="74" t="s">
        <v>923</v>
      </c>
      <c r="C26935" s="74" t="s">
        <v>424</v>
      </c>
    </row>
    <row r="26936" spans="1:3">
      <c r="A26936" s="250">
        <v>62306</v>
      </c>
      <c r="B26936" s="74" t="s">
        <v>923</v>
      </c>
      <c r="C26936" s="74" t="s">
        <v>424</v>
      </c>
    </row>
    <row r="26937" spans="1:3">
      <c r="A26937" s="250">
        <v>62311</v>
      </c>
      <c r="B26937" s="74" t="s">
        <v>1473</v>
      </c>
      <c r="C26937" s="74" t="s">
        <v>424</v>
      </c>
    </row>
    <row r="26938" spans="1:3">
      <c r="A26938" s="250">
        <v>62312</v>
      </c>
      <c r="B26938" s="74" t="s">
        <v>12596</v>
      </c>
      <c r="C26938" s="74" t="s">
        <v>424</v>
      </c>
    </row>
    <row r="26939" spans="1:3">
      <c r="A26939" s="250">
        <v>62313</v>
      </c>
      <c r="B26939" s="74" t="s">
        <v>13878</v>
      </c>
      <c r="C26939" s="74" t="s">
        <v>424</v>
      </c>
    </row>
    <row r="26940" spans="1:3">
      <c r="A26940" s="250">
        <v>62314</v>
      </c>
      <c r="B26940" s="74" t="s">
        <v>13879</v>
      </c>
      <c r="C26940" s="74" t="s">
        <v>424</v>
      </c>
    </row>
    <row r="26941" spans="1:3">
      <c r="A26941" s="250">
        <v>62316</v>
      </c>
      <c r="B26941" s="74" t="s">
        <v>13880</v>
      </c>
      <c r="C26941" s="74" t="s">
        <v>424</v>
      </c>
    </row>
    <row r="26942" spans="1:3">
      <c r="A26942" s="250">
        <v>62319</v>
      </c>
      <c r="B26942" s="74" t="s">
        <v>1660</v>
      </c>
      <c r="C26942" s="74" t="s">
        <v>424</v>
      </c>
    </row>
    <row r="26943" spans="1:3">
      <c r="A26943" s="250">
        <v>62320</v>
      </c>
      <c r="B26943" s="74" t="s">
        <v>13881</v>
      </c>
      <c r="C26943" s="74" t="s">
        <v>424</v>
      </c>
    </row>
    <row r="26944" spans="1:3">
      <c r="A26944" s="250">
        <v>62321</v>
      </c>
      <c r="B26944" s="74" t="s">
        <v>3531</v>
      </c>
      <c r="C26944" s="74" t="s">
        <v>424</v>
      </c>
    </row>
    <row r="26945" spans="1:3">
      <c r="A26945" s="250">
        <v>62323</v>
      </c>
      <c r="B26945" s="74" t="s">
        <v>4758</v>
      </c>
      <c r="C26945" s="74" t="s">
        <v>424</v>
      </c>
    </row>
    <row r="26946" spans="1:3">
      <c r="A26946" s="250">
        <v>62324</v>
      </c>
      <c r="B26946" s="74" t="s">
        <v>2476</v>
      </c>
      <c r="C26946" s="74" t="s">
        <v>424</v>
      </c>
    </row>
    <row r="26947" spans="1:3">
      <c r="A26947" s="250">
        <v>62325</v>
      </c>
      <c r="B26947" s="74" t="s">
        <v>13882</v>
      </c>
      <c r="C26947" s="74" t="s">
        <v>424</v>
      </c>
    </row>
    <row r="26948" spans="1:3">
      <c r="A26948" s="250">
        <v>62326</v>
      </c>
      <c r="B26948" s="74" t="s">
        <v>1802</v>
      </c>
      <c r="C26948" s="74" t="s">
        <v>424</v>
      </c>
    </row>
    <row r="26949" spans="1:3">
      <c r="A26949" s="250">
        <v>62329</v>
      </c>
      <c r="B26949" s="74" t="s">
        <v>13883</v>
      </c>
      <c r="C26949" s="74" t="s">
        <v>424</v>
      </c>
    </row>
    <row r="26950" spans="1:3">
      <c r="A26950" s="250">
        <v>62330</v>
      </c>
      <c r="B26950" s="74" t="s">
        <v>13884</v>
      </c>
      <c r="C26950" s="74" t="s">
        <v>424</v>
      </c>
    </row>
    <row r="26951" spans="1:3">
      <c r="A26951" s="250">
        <v>62334</v>
      </c>
      <c r="B26951" s="74" t="s">
        <v>13885</v>
      </c>
      <c r="C26951" s="74" t="s">
        <v>424</v>
      </c>
    </row>
    <row r="26952" spans="1:3">
      <c r="A26952" s="250">
        <v>62336</v>
      </c>
      <c r="B26952" s="74" t="s">
        <v>13886</v>
      </c>
      <c r="C26952" s="74" t="s">
        <v>424</v>
      </c>
    </row>
    <row r="26953" spans="1:3">
      <c r="A26953" s="250">
        <v>62338</v>
      </c>
      <c r="B26953" s="74" t="s">
        <v>10361</v>
      </c>
      <c r="C26953" s="74" t="s">
        <v>424</v>
      </c>
    </row>
    <row r="26954" spans="1:3">
      <c r="A26954" s="250">
        <v>62339</v>
      </c>
      <c r="B26954" s="74" t="s">
        <v>9362</v>
      </c>
      <c r="C26954" s="74" t="s">
        <v>424</v>
      </c>
    </row>
    <row r="26955" spans="1:3">
      <c r="A26955" s="250">
        <v>62340</v>
      </c>
      <c r="B26955" s="74" t="s">
        <v>13887</v>
      </c>
      <c r="C26955" s="74" t="s">
        <v>424</v>
      </c>
    </row>
    <row r="26956" spans="1:3">
      <c r="A26956" s="250">
        <v>62341</v>
      </c>
      <c r="B26956" s="74" t="s">
        <v>844</v>
      </c>
      <c r="C26956" s="74" t="s">
        <v>424</v>
      </c>
    </row>
    <row r="26957" spans="1:3">
      <c r="A26957" s="250">
        <v>62343</v>
      </c>
      <c r="B26957" s="74" t="s">
        <v>877</v>
      </c>
      <c r="C26957" s="74" t="s">
        <v>424</v>
      </c>
    </row>
    <row r="26958" spans="1:3">
      <c r="A26958" s="250">
        <v>62344</v>
      </c>
      <c r="B26958" s="74" t="s">
        <v>8758</v>
      </c>
      <c r="C26958" s="74" t="s">
        <v>424</v>
      </c>
    </row>
    <row r="26959" spans="1:3">
      <c r="A26959" s="250">
        <v>62345</v>
      </c>
      <c r="B26959" s="74" t="s">
        <v>2970</v>
      </c>
      <c r="C26959" s="74" t="s">
        <v>424</v>
      </c>
    </row>
    <row r="26960" spans="1:3">
      <c r="A26960" s="250">
        <v>62346</v>
      </c>
      <c r="B26960" s="74" t="s">
        <v>13888</v>
      </c>
      <c r="C26960" s="74" t="s">
        <v>424</v>
      </c>
    </row>
    <row r="26961" spans="1:3">
      <c r="A26961" s="250">
        <v>62347</v>
      </c>
      <c r="B26961" s="74" t="s">
        <v>1701</v>
      </c>
      <c r="C26961" s="74" t="s">
        <v>424</v>
      </c>
    </row>
    <row r="26962" spans="1:3">
      <c r="A26962" s="250">
        <v>62348</v>
      </c>
      <c r="B26962" s="74" t="s">
        <v>3790</v>
      </c>
      <c r="C26962" s="74" t="s">
        <v>424</v>
      </c>
    </row>
    <row r="26963" spans="1:3">
      <c r="A26963" s="250">
        <v>62349</v>
      </c>
      <c r="B26963" s="74" t="s">
        <v>13889</v>
      </c>
      <c r="C26963" s="74" t="s">
        <v>424</v>
      </c>
    </row>
    <row r="26964" spans="1:3">
      <c r="A26964" s="250">
        <v>62351</v>
      </c>
      <c r="B26964" s="74" t="s">
        <v>795</v>
      </c>
      <c r="C26964" s="74" t="s">
        <v>424</v>
      </c>
    </row>
    <row r="26965" spans="1:3">
      <c r="A26965" s="250">
        <v>62352</v>
      </c>
      <c r="B26965" s="74" t="s">
        <v>927</v>
      </c>
      <c r="C26965" s="74" t="s">
        <v>424</v>
      </c>
    </row>
    <row r="26966" spans="1:3">
      <c r="A26966" s="250">
        <v>62353</v>
      </c>
      <c r="B26966" s="74" t="s">
        <v>9631</v>
      </c>
      <c r="C26966" s="74" t="s">
        <v>424</v>
      </c>
    </row>
    <row r="26967" spans="1:3">
      <c r="A26967" s="250">
        <v>62354</v>
      </c>
      <c r="B26967" s="74" t="s">
        <v>8719</v>
      </c>
      <c r="C26967" s="74" t="s">
        <v>424</v>
      </c>
    </row>
    <row r="26968" spans="1:3">
      <c r="A26968" s="250">
        <v>62355</v>
      </c>
      <c r="B26968" s="74" t="s">
        <v>6630</v>
      </c>
      <c r="C26968" s="74" t="s">
        <v>424</v>
      </c>
    </row>
    <row r="26969" spans="1:3">
      <c r="A26969" s="250">
        <v>62356</v>
      </c>
      <c r="B26969" s="74" t="s">
        <v>6090</v>
      </c>
      <c r="C26969" s="74" t="s">
        <v>424</v>
      </c>
    </row>
    <row r="26970" spans="1:3">
      <c r="A26970" s="250">
        <v>62357</v>
      </c>
      <c r="B26970" s="74" t="s">
        <v>687</v>
      </c>
      <c r="C26970" s="74" t="s">
        <v>424</v>
      </c>
    </row>
    <row r="26971" spans="1:3">
      <c r="A26971" s="250">
        <v>62358</v>
      </c>
      <c r="B26971" s="74" t="s">
        <v>9147</v>
      </c>
      <c r="C26971" s="74" t="s">
        <v>424</v>
      </c>
    </row>
    <row r="26972" spans="1:3">
      <c r="A26972" s="250">
        <v>62359</v>
      </c>
      <c r="B26972" s="74" t="s">
        <v>13890</v>
      </c>
      <c r="C26972" s="74" t="s">
        <v>424</v>
      </c>
    </row>
    <row r="26973" spans="1:3">
      <c r="A26973" s="250">
        <v>62360</v>
      </c>
      <c r="B26973" s="74" t="s">
        <v>13891</v>
      </c>
      <c r="C26973" s="74" t="s">
        <v>424</v>
      </c>
    </row>
    <row r="26974" spans="1:3">
      <c r="A26974" s="250">
        <v>62361</v>
      </c>
      <c r="B26974" s="74" t="s">
        <v>9456</v>
      </c>
      <c r="C26974" s="74" t="s">
        <v>424</v>
      </c>
    </row>
    <row r="26975" spans="1:3">
      <c r="A26975" s="250">
        <v>62362</v>
      </c>
      <c r="B26975" s="74" t="s">
        <v>1602</v>
      </c>
      <c r="C26975" s="74" t="s">
        <v>424</v>
      </c>
    </row>
    <row r="26976" spans="1:3">
      <c r="A26976" s="250">
        <v>62363</v>
      </c>
      <c r="B26976" s="74" t="s">
        <v>637</v>
      </c>
      <c r="C26976" s="74" t="s">
        <v>424</v>
      </c>
    </row>
    <row r="26977" spans="1:3">
      <c r="A26977" s="250">
        <v>62365</v>
      </c>
      <c r="B26977" s="74" t="s">
        <v>1078</v>
      </c>
      <c r="C26977" s="74" t="s">
        <v>424</v>
      </c>
    </row>
    <row r="26978" spans="1:3">
      <c r="A26978" s="250">
        <v>62366</v>
      </c>
      <c r="B26978" s="74" t="s">
        <v>7214</v>
      </c>
      <c r="C26978" s="74" t="s">
        <v>424</v>
      </c>
    </row>
    <row r="26979" spans="1:3">
      <c r="A26979" s="250">
        <v>62367</v>
      </c>
      <c r="B26979" s="74" t="s">
        <v>956</v>
      </c>
      <c r="C26979" s="74" t="s">
        <v>424</v>
      </c>
    </row>
    <row r="26980" spans="1:3">
      <c r="A26980" s="250">
        <v>62370</v>
      </c>
      <c r="B26980" s="74" t="s">
        <v>856</v>
      </c>
      <c r="C26980" s="74" t="s">
        <v>424</v>
      </c>
    </row>
    <row r="26981" spans="1:3">
      <c r="A26981" s="250">
        <v>62373</v>
      </c>
      <c r="B26981" s="74" t="s">
        <v>13892</v>
      </c>
      <c r="C26981" s="74" t="s">
        <v>424</v>
      </c>
    </row>
    <row r="26982" spans="1:3">
      <c r="A26982" s="250">
        <v>62374</v>
      </c>
      <c r="B26982" s="74" t="s">
        <v>13893</v>
      </c>
      <c r="C26982" s="74" t="s">
        <v>424</v>
      </c>
    </row>
    <row r="26983" spans="1:3">
      <c r="A26983" s="250">
        <v>62375</v>
      </c>
      <c r="B26983" s="74" t="s">
        <v>13894</v>
      </c>
      <c r="C26983" s="74" t="s">
        <v>424</v>
      </c>
    </row>
    <row r="26984" spans="1:3">
      <c r="A26984" s="250">
        <v>62376</v>
      </c>
      <c r="B26984" s="74" t="s">
        <v>13895</v>
      </c>
      <c r="C26984" s="74" t="s">
        <v>424</v>
      </c>
    </row>
    <row r="26985" spans="1:3">
      <c r="A26985" s="250">
        <v>62378</v>
      </c>
      <c r="B26985" s="74" t="s">
        <v>2033</v>
      </c>
      <c r="C26985" s="74" t="s">
        <v>424</v>
      </c>
    </row>
    <row r="26986" spans="1:3">
      <c r="A26986" s="250">
        <v>62379</v>
      </c>
      <c r="B26986" s="74" t="s">
        <v>3834</v>
      </c>
      <c r="C26986" s="74" t="s">
        <v>424</v>
      </c>
    </row>
    <row r="26987" spans="1:3">
      <c r="A26987" s="250">
        <v>62380</v>
      </c>
      <c r="B26987" s="74" t="s">
        <v>2720</v>
      </c>
      <c r="C26987" s="74" t="s">
        <v>424</v>
      </c>
    </row>
    <row r="26988" spans="1:3">
      <c r="A26988" s="250">
        <v>62401</v>
      </c>
      <c r="B26988" s="74" t="s">
        <v>1341</v>
      </c>
      <c r="C26988" s="74" t="s">
        <v>424</v>
      </c>
    </row>
    <row r="26989" spans="1:3">
      <c r="A26989" s="250">
        <v>62410</v>
      </c>
      <c r="B26989" s="74" t="s">
        <v>2181</v>
      </c>
      <c r="C26989" s="74" t="s">
        <v>424</v>
      </c>
    </row>
    <row r="26990" spans="1:3">
      <c r="A26990" s="250">
        <v>62411</v>
      </c>
      <c r="B26990" s="74" t="s">
        <v>2909</v>
      </c>
      <c r="C26990" s="74" t="s">
        <v>424</v>
      </c>
    </row>
    <row r="26991" spans="1:3">
      <c r="A26991" s="250">
        <v>62413</v>
      </c>
      <c r="B26991" s="74" t="s">
        <v>5722</v>
      </c>
      <c r="C26991" s="74" t="s">
        <v>424</v>
      </c>
    </row>
    <row r="26992" spans="1:3">
      <c r="A26992" s="250">
        <v>62414</v>
      </c>
      <c r="B26992" s="74" t="s">
        <v>13896</v>
      </c>
      <c r="C26992" s="74" t="s">
        <v>424</v>
      </c>
    </row>
    <row r="26993" spans="1:3">
      <c r="A26993" s="250">
        <v>62417</v>
      </c>
      <c r="B26993" s="74" t="s">
        <v>2077</v>
      </c>
      <c r="C26993" s="74" t="s">
        <v>424</v>
      </c>
    </row>
    <row r="26994" spans="1:3">
      <c r="A26994" s="250">
        <v>62418</v>
      </c>
      <c r="B26994" s="74" t="s">
        <v>4851</v>
      </c>
      <c r="C26994" s="74" t="s">
        <v>424</v>
      </c>
    </row>
    <row r="26995" spans="1:3">
      <c r="A26995" s="250">
        <v>62419</v>
      </c>
      <c r="B26995" s="74" t="s">
        <v>8025</v>
      </c>
      <c r="C26995" s="74" t="s">
        <v>424</v>
      </c>
    </row>
    <row r="26996" spans="1:3">
      <c r="A26996" s="250">
        <v>62420</v>
      </c>
      <c r="B26996" s="74" t="s">
        <v>11493</v>
      </c>
      <c r="C26996" s="74" t="s">
        <v>424</v>
      </c>
    </row>
    <row r="26997" spans="1:3">
      <c r="A26997" s="250">
        <v>62421</v>
      </c>
      <c r="B26997" s="74" t="s">
        <v>1271</v>
      </c>
      <c r="C26997" s="74" t="s">
        <v>424</v>
      </c>
    </row>
    <row r="26998" spans="1:3">
      <c r="A26998" s="250">
        <v>62422</v>
      </c>
      <c r="B26998" s="74" t="s">
        <v>13897</v>
      </c>
      <c r="C26998" s="74" t="s">
        <v>424</v>
      </c>
    </row>
    <row r="26999" spans="1:3">
      <c r="A26999" s="250">
        <v>62423</v>
      </c>
      <c r="B26999" s="74" t="s">
        <v>10390</v>
      </c>
      <c r="C26999" s="74" t="s">
        <v>424</v>
      </c>
    </row>
    <row r="27000" spans="1:3">
      <c r="A27000" s="250">
        <v>62424</v>
      </c>
      <c r="B27000" s="74" t="s">
        <v>13898</v>
      </c>
      <c r="C27000" s="74" t="s">
        <v>424</v>
      </c>
    </row>
    <row r="27001" spans="1:3">
      <c r="A27001" s="250">
        <v>62425</v>
      </c>
      <c r="B27001" s="74" t="s">
        <v>6232</v>
      </c>
      <c r="C27001" s="74" t="s">
        <v>424</v>
      </c>
    </row>
    <row r="27002" spans="1:3">
      <c r="A27002" s="250">
        <v>62426</v>
      </c>
      <c r="B27002" s="74" t="s">
        <v>5662</v>
      </c>
      <c r="C27002" s="74" t="s">
        <v>424</v>
      </c>
    </row>
    <row r="27003" spans="1:3">
      <c r="A27003" s="250">
        <v>62427</v>
      </c>
      <c r="B27003" s="74" t="s">
        <v>7549</v>
      </c>
      <c r="C27003" s="74" t="s">
        <v>424</v>
      </c>
    </row>
    <row r="27004" spans="1:3">
      <c r="A27004" s="250">
        <v>62428</v>
      </c>
      <c r="B27004" s="74" t="s">
        <v>9750</v>
      </c>
      <c r="C27004" s="74" t="s">
        <v>424</v>
      </c>
    </row>
    <row r="27005" spans="1:3">
      <c r="A27005" s="250">
        <v>62431</v>
      </c>
      <c r="B27005" s="74" t="s">
        <v>12924</v>
      </c>
      <c r="C27005" s="74" t="s">
        <v>424</v>
      </c>
    </row>
    <row r="27006" spans="1:3">
      <c r="A27006" s="250">
        <v>62432</v>
      </c>
      <c r="B27006" s="74" t="s">
        <v>13899</v>
      </c>
      <c r="C27006" s="74" t="s">
        <v>424</v>
      </c>
    </row>
    <row r="27007" spans="1:3">
      <c r="A27007" s="250">
        <v>62433</v>
      </c>
      <c r="B27007" s="74" t="s">
        <v>13900</v>
      </c>
      <c r="C27007" s="74" t="s">
        <v>424</v>
      </c>
    </row>
    <row r="27008" spans="1:3">
      <c r="A27008" s="250">
        <v>62434</v>
      </c>
      <c r="B27008" s="74" t="s">
        <v>13901</v>
      </c>
      <c r="C27008" s="74" t="s">
        <v>424</v>
      </c>
    </row>
    <row r="27009" spans="1:3">
      <c r="A27009" s="250">
        <v>62435</v>
      </c>
      <c r="B27009" s="74" t="s">
        <v>11668</v>
      </c>
      <c r="C27009" s="74" t="s">
        <v>424</v>
      </c>
    </row>
    <row r="27010" spans="1:3">
      <c r="A27010" s="250">
        <v>62436</v>
      </c>
      <c r="B27010" s="74" t="s">
        <v>3058</v>
      </c>
      <c r="C27010" s="74" t="s">
        <v>424</v>
      </c>
    </row>
    <row r="27011" spans="1:3">
      <c r="A27011" s="250">
        <v>62438</v>
      </c>
      <c r="B27011" s="74" t="s">
        <v>2535</v>
      </c>
      <c r="C27011" s="74" t="s">
        <v>424</v>
      </c>
    </row>
    <row r="27012" spans="1:3">
      <c r="A27012" s="250">
        <v>62439</v>
      </c>
      <c r="B27012" s="74" t="s">
        <v>3302</v>
      </c>
      <c r="C27012" s="74" t="s">
        <v>424</v>
      </c>
    </row>
    <row r="27013" spans="1:3">
      <c r="A27013" s="250">
        <v>62440</v>
      </c>
      <c r="B27013" s="74" t="s">
        <v>13902</v>
      </c>
      <c r="C27013" s="74" t="s">
        <v>424</v>
      </c>
    </row>
    <row r="27014" spans="1:3">
      <c r="A27014" s="250">
        <v>62441</v>
      </c>
      <c r="B27014" s="74" t="s">
        <v>5516</v>
      </c>
      <c r="C27014" s="74" t="s">
        <v>424</v>
      </c>
    </row>
    <row r="27015" spans="1:3">
      <c r="A27015" s="250">
        <v>62442</v>
      </c>
      <c r="B27015" s="74" t="s">
        <v>2580</v>
      </c>
      <c r="C27015" s="74" t="s">
        <v>424</v>
      </c>
    </row>
    <row r="27016" spans="1:3">
      <c r="A27016" s="250">
        <v>62443</v>
      </c>
      <c r="B27016" s="74" t="s">
        <v>6673</v>
      </c>
      <c r="C27016" s="74" t="s">
        <v>424</v>
      </c>
    </row>
    <row r="27017" spans="1:3">
      <c r="A27017" s="250">
        <v>62444</v>
      </c>
      <c r="B27017" s="74" t="s">
        <v>13903</v>
      </c>
      <c r="C27017" s="74" t="s">
        <v>424</v>
      </c>
    </row>
    <row r="27018" spans="1:3">
      <c r="A27018" s="250">
        <v>62445</v>
      </c>
      <c r="B27018" s="74" t="s">
        <v>2645</v>
      </c>
      <c r="C27018" s="74" t="s">
        <v>424</v>
      </c>
    </row>
    <row r="27019" spans="1:3">
      <c r="A27019" s="250">
        <v>62446</v>
      </c>
      <c r="B27019" s="74" t="s">
        <v>13904</v>
      </c>
      <c r="C27019" s="74" t="s">
        <v>424</v>
      </c>
    </row>
    <row r="27020" spans="1:3">
      <c r="A27020" s="250">
        <v>62447</v>
      </c>
      <c r="B27020" s="74" t="s">
        <v>13905</v>
      </c>
      <c r="C27020" s="74" t="s">
        <v>424</v>
      </c>
    </row>
    <row r="27021" spans="1:3">
      <c r="A27021" s="250">
        <v>62448</v>
      </c>
      <c r="B27021" s="74" t="s">
        <v>973</v>
      </c>
      <c r="C27021" s="74" t="s">
        <v>424</v>
      </c>
    </row>
    <row r="27022" spans="1:3">
      <c r="A27022" s="250">
        <v>62449</v>
      </c>
      <c r="B27022" s="74" t="s">
        <v>13906</v>
      </c>
      <c r="C27022" s="74" t="s">
        <v>424</v>
      </c>
    </row>
    <row r="27023" spans="1:3">
      <c r="A27023" s="250">
        <v>62450</v>
      </c>
      <c r="B27023" s="74" t="s">
        <v>5629</v>
      </c>
      <c r="C27023" s="74" t="s">
        <v>424</v>
      </c>
    </row>
    <row r="27024" spans="1:3">
      <c r="A27024" s="250">
        <v>62451</v>
      </c>
      <c r="B27024" s="74" t="s">
        <v>6878</v>
      </c>
      <c r="C27024" s="74" t="s">
        <v>424</v>
      </c>
    </row>
    <row r="27025" spans="1:3">
      <c r="A27025" s="250">
        <v>62452</v>
      </c>
      <c r="B27025" s="74" t="s">
        <v>6864</v>
      </c>
      <c r="C27025" s="74" t="s">
        <v>424</v>
      </c>
    </row>
    <row r="27026" spans="1:3">
      <c r="A27026" s="250">
        <v>62454</v>
      </c>
      <c r="B27026" s="74" t="s">
        <v>4364</v>
      </c>
      <c r="C27026" s="74" t="s">
        <v>424</v>
      </c>
    </row>
    <row r="27027" spans="1:3">
      <c r="A27027" s="250">
        <v>62458</v>
      </c>
      <c r="B27027" s="74" t="s">
        <v>8920</v>
      </c>
      <c r="C27027" s="74" t="s">
        <v>424</v>
      </c>
    </row>
    <row r="27028" spans="1:3">
      <c r="A27028" s="250">
        <v>62459</v>
      </c>
      <c r="B27028" s="74" t="s">
        <v>13907</v>
      </c>
      <c r="C27028" s="74" t="s">
        <v>424</v>
      </c>
    </row>
    <row r="27029" spans="1:3">
      <c r="A27029" s="250">
        <v>62460</v>
      </c>
      <c r="B27029" s="74" t="s">
        <v>13908</v>
      </c>
      <c r="C27029" s="74" t="s">
        <v>424</v>
      </c>
    </row>
    <row r="27030" spans="1:3">
      <c r="A27030" s="250">
        <v>62461</v>
      </c>
      <c r="B27030" s="74" t="s">
        <v>13909</v>
      </c>
      <c r="C27030" s="74" t="s">
        <v>424</v>
      </c>
    </row>
    <row r="27031" spans="1:3">
      <c r="A27031" s="250">
        <v>62462</v>
      </c>
      <c r="B27031" s="74" t="s">
        <v>4334</v>
      </c>
      <c r="C27031" s="74" t="s">
        <v>424</v>
      </c>
    </row>
    <row r="27032" spans="1:3">
      <c r="A27032" s="250">
        <v>62463</v>
      </c>
      <c r="B27032" s="74" t="s">
        <v>13910</v>
      </c>
      <c r="C27032" s="74" t="s">
        <v>424</v>
      </c>
    </row>
    <row r="27033" spans="1:3">
      <c r="A27033" s="250">
        <v>62464</v>
      </c>
      <c r="B27033" s="74" t="s">
        <v>13911</v>
      </c>
      <c r="C27033" s="74" t="s">
        <v>424</v>
      </c>
    </row>
    <row r="27034" spans="1:3">
      <c r="A27034" s="250">
        <v>62465</v>
      </c>
      <c r="B27034" s="74" t="s">
        <v>4890</v>
      </c>
      <c r="C27034" s="74" t="s">
        <v>424</v>
      </c>
    </row>
    <row r="27035" spans="1:3">
      <c r="A27035" s="250">
        <v>62466</v>
      </c>
      <c r="B27035" s="74" t="s">
        <v>1472</v>
      </c>
      <c r="C27035" s="74" t="s">
        <v>424</v>
      </c>
    </row>
    <row r="27036" spans="1:3">
      <c r="A27036" s="250">
        <v>62467</v>
      </c>
      <c r="B27036" s="74" t="s">
        <v>13912</v>
      </c>
      <c r="C27036" s="74" t="s">
        <v>424</v>
      </c>
    </row>
    <row r="27037" spans="1:3">
      <c r="A27037" s="250">
        <v>62468</v>
      </c>
      <c r="B27037" s="74" t="s">
        <v>10215</v>
      </c>
      <c r="C27037" s="74" t="s">
        <v>424</v>
      </c>
    </row>
    <row r="27038" spans="1:3">
      <c r="A27038" s="250">
        <v>62469</v>
      </c>
      <c r="B27038" s="74" t="s">
        <v>13913</v>
      </c>
      <c r="C27038" s="74" t="s">
        <v>424</v>
      </c>
    </row>
    <row r="27039" spans="1:3">
      <c r="A27039" s="250">
        <v>62471</v>
      </c>
      <c r="B27039" s="74" t="s">
        <v>10520</v>
      </c>
      <c r="C27039" s="74" t="s">
        <v>424</v>
      </c>
    </row>
    <row r="27040" spans="1:3">
      <c r="A27040" s="250">
        <v>62473</v>
      </c>
      <c r="B27040" s="74" t="s">
        <v>8675</v>
      </c>
      <c r="C27040" s="74" t="s">
        <v>424</v>
      </c>
    </row>
    <row r="27041" spans="1:3">
      <c r="A27041" s="250">
        <v>62474</v>
      </c>
      <c r="B27041" s="74" t="s">
        <v>624</v>
      </c>
      <c r="C27041" s="74" t="s">
        <v>424</v>
      </c>
    </row>
    <row r="27042" spans="1:3">
      <c r="A27042" s="250">
        <v>62475</v>
      </c>
      <c r="B27042" s="74" t="s">
        <v>6862</v>
      </c>
      <c r="C27042" s="74" t="s">
        <v>424</v>
      </c>
    </row>
    <row r="27043" spans="1:3">
      <c r="A27043" s="250">
        <v>62476</v>
      </c>
      <c r="B27043" s="74" t="s">
        <v>10352</v>
      </c>
      <c r="C27043" s="74" t="s">
        <v>424</v>
      </c>
    </row>
    <row r="27044" spans="1:3">
      <c r="A27044" s="250">
        <v>62477</v>
      </c>
      <c r="B27044" s="74" t="s">
        <v>6962</v>
      </c>
      <c r="C27044" s="74" t="s">
        <v>424</v>
      </c>
    </row>
    <row r="27045" spans="1:3">
      <c r="A27045" s="250">
        <v>62478</v>
      </c>
      <c r="B27045" s="74" t="s">
        <v>13914</v>
      </c>
      <c r="C27045" s="74" t="s">
        <v>424</v>
      </c>
    </row>
    <row r="27046" spans="1:3">
      <c r="A27046" s="250">
        <v>62479</v>
      </c>
      <c r="B27046" s="74" t="s">
        <v>9379</v>
      </c>
      <c r="C27046" s="74" t="s">
        <v>424</v>
      </c>
    </row>
    <row r="27047" spans="1:3">
      <c r="A27047" s="250">
        <v>62480</v>
      </c>
      <c r="B27047" s="74" t="s">
        <v>4800</v>
      </c>
      <c r="C27047" s="74" t="s">
        <v>424</v>
      </c>
    </row>
    <row r="27048" spans="1:3">
      <c r="A27048" s="250">
        <v>62481</v>
      </c>
      <c r="B27048" s="74" t="s">
        <v>6218</v>
      </c>
      <c r="C27048" s="74" t="s">
        <v>424</v>
      </c>
    </row>
    <row r="27049" spans="1:3">
      <c r="A27049" s="250">
        <v>62501</v>
      </c>
      <c r="B27049" s="74" t="s">
        <v>13915</v>
      </c>
      <c r="C27049" s="74" t="s">
        <v>424</v>
      </c>
    </row>
    <row r="27050" spans="1:3">
      <c r="A27050" s="250">
        <v>62510</v>
      </c>
      <c r="B27050" s="74" t="s">
        <v>13916</v>
      </c>
      <c r="C27050" s="74" t="s">
        <v>424</v>
      </c>
    </row>
    <row r="27051" spans="1:3">
      <c r="A27051" s="250">
        <v>62512</v>
      </c>
      <c r="B27051" s="74" t="s">
        <v>13917</v>
      </c>
      <c r="C27051" s="74" t="s">
        <v>424</v>
      </c>
    </row>
    <row r="27052" spans="1:3">
      <c r="A27052" s="250">
        <v>62513</v>
      </c>
      <c r="B27052" s="74" t="s">
        <v>13918</v>
      </c>
      <c r="C27052" s="74" t="s">
        <v>424</v>
      </c>
    </row>
    <row r="27053" spans="1:3">
      <c r="A27053" s="250">
        <v>62514</v>
      </c>
      <c r="B27053" s="74" t="s">
        <v>13919</v>
      </c>
      <c r="C27053" s="74" t="s">
        <v>424</v>
      </c>
    </row>
    <row r="27054" spans="1:3">
      <c r="A27054" s="250">
        <v>62515</v>
      </c>
      <c r="B27054" s="74" t="s">
        <v>3751</v>
      </c>
      <c r="C27054" s="74" t="s">
        <v>424</v>
      </c>
    </row>
    <row r="27055" spans="1:3">
      <c r="A27055" s="250">
        <v>62517</v>
      </c>
      <c r="B27055" s="74" t="s">
        <v>13920</v>
      </c>
      <c r="C27055" s="74" t="s">
        <v>424</v>
      </c>
    </row>
    <row r="27056" spans="1:3">
      <c r="A27056" s="250">
        <v>62518</v>
      </c>
      <c r="B27056" s="74" t="s">
        <v>13921</v>
      </c>
      <c r="C27056" s="74" t="s">
        <v>424</v>
      </c>
    </row>
    <row r="27057" spans="1:3">
      <c r="A27057" s="250">
        <v>62519</v>
      </c>
      <c r="B27057" s="74" t="s">
        <v>13922</v>
      </c>
      <c r="C27057" s="74" t="s">
        <v>424</v>
      </c>
    </row>
    <row r="27058" spans="1:3">
      <c r="A27058" s="250">
        <v>62520</v>
      </c>
      <c r="B27058" s="74" t="s">
        <v>4101</v>
      </c>
      <c r="C27058" s="74" t="s">
        <v>424</v>
      </c>
    </row>
    <row r="27059" spans="1:3">
      <c r="A27059" s="250">
        <v>62521</v>
      </c>
      <c r="B27059" s="74" t="s">
        <v>7862</v>
      </c>
      <c r="C27059" s="74" t="s">
        <v>424</v>
      </c>
    </row>
    <row r="27060" spans="1:3">
      <c r="A27060" s="250">
        <v>62522</v>
      </c>
      <c r="B27060" s="74" t="s">
        <v>7862</v>
      </c>
      <c r="C27060" s="74" t="s">
        <v>424</v>
      </c>
    </row>
    <row r="27061" spans="1:3">
      <c r="A27061" s="250">
        <v>62523</v>
      </c>
      <c r="B27061" s="74" t="s">
        <v>7862</v>
      </c>
      <c r="C27061" s="74" t="s">
        <v>424</v>
      </c>
    </row>
    <row r="27062" spans="1:3">
      <c r="A27062" s="250">
        <v>62524</v>
      </c>
      <c r="B27062" s="74" t="s">
        <v>7862</v>
      </c>
      <c r="C27062" s="74" t="s">
        <v>424</v>
      </c>
    </row>
    <row r="27063" spans="1:3">
      <c r="A27063" s="250">
        <v>62525</v>
      </c>
      <c r="B27063" s="74" t="s">
        <v>7862</v>
      </c>
      <c r="C27063" s="74" t="s">
        <v>424</v>
      </c>
    </row>
    <row r="27064" spans="1:3">
      <c r="A27064" s="250">
        <v>62526</v>
      </c>
      <c r="B27064" s="74" t="s">
        <v>7862</v>
      </c>
      <c r="C27064" s="74" t="s">
        <v>424</v>
      </c>
    </row>
    <row r="27065" spans="1:3">
      <c r="A27065" s="250">
        <v>62530</v>
      </c>
      <c r="B27065" s="74" t="s">
        <v>13923</v>
      </c>
      <c r="C27065" s="74" t="s">
        <v>424</v>
      </c>
    </row>
    <row r="27066" spans="1:3">
      <c r="A27066" s="250">
        <v>62531</v>
      </c>
      <c r="B27066" s="74" t="s">
        <v>4413</v>
      </c>
      <c r="C27066" s="74" t="s">
        <v>424</v>
      </c>
    </row>
    <row r="27067" spans="1:3">
      <c r="A27067" s="250">
        <v>62532</v>
      </c>
      <c r="B27067" s="74" t="s">
        <v>13924</v>
      </c>
      <c r="C27067" s="74" t="s">
        <v>424</v>
      </c>
    </row>
    <row r="27068" spans="1:3">
      <c r="A27068" s="250">
        <v>62533</v>
      </c>
      <c r="B27068" s="74" t="s">
        <v>10500</v>
      </c>
      <c r="C27068" s="74" t="s">
        <v>424</v>
      </c>
    </row>
    <row r="27069" spans="1:3">
      <c r="A27069" s="250">
        <v>62534</v>
      </c>
      <c r="B27069" s="74" t="s">
        <v>10599</v>
      </c>
      <c r="C27069" s="74" t="s">
        <v>424</v>
      </c>
    </row>
    <row r="27070" spans="1:3">
      <c r="A27070" s="250">
        <v>62535</v>
      </c>
      <c r="B27070" s="74" t="s">
        <v>8074</v>
      </c>
      <c r="C27070" s="74" t="s">
        <v>424</v>
      </c>
    </row>
    <row r="27071" spans="1:3">
      <c r="A27071" s="250">
        <v>62536</v>
      </c>
      <c r="B27071" s="74" t="s">
        <v>13925</v>
      </c>
      <c r="C27071" s="74" t="s">
        <v>424</v>
      </c>
    </row>
    <row r="27072" spans="1:3">
      <c r="A27072" s="250">
        <v>62537</v>
      </c>
      <c r="B27072" s="74" t="s">
        <v>13926</v>
      </c>
      <c r="C27072" s="74" t="s">
        <v>424</v>
      </c>
    </row>
    <row r="27073" spans="1:3">
      <c r="A27073" s="250">
        <v>62538</v>
      </c>
      <c r="B27073" s="74" t="s">
        <v>13927</v>
      </c>
      <c r="C27073" s="74" t="s">
        <v>424</v>
      </c>
    </row>
    <row r="27074" spans="1:3">
      <c r="A27074" s="250">
        <v>62539</v>
      </c>
      <c r="B27074" s="74" t="s">
        <v>13928</v>
      </c>
      <c r="C27074" s="74" t="s">
        <v>424</v>
      </c>
    </row>
    <row r="27075" spans="1:3">
      <c r="A27075" s="250">
        <v>62540</v>
      </c>
      <c r="B27075" s="74" t="s">
        <v>6622</v>
      </c>
      <c r="C27075" s="74" t="s">
        <v>424</v>
      </c>
    </row>
    <row r="27076" spans="1:3">
      <c r="A27076" s="250">
        <v>62541</v>
      </c>
      <c r="B27076" s="74" t="s">
        <v>13929</v>
      </c>
      <c r="C27076" s="74" t="s">
        <v>424</v>
      </c>
    </row>
    <row r="27077" spans="1:3">
      <c r="A27077" s="250">
        <v>62543</v>
      </c>
      <c r="B27077" s="74" t="s">
        <v>2972</v>
      </c>
      <c r="C27077" s="74" t="s">
        <v>424</v>
      </c>
    </row>
    <row r="27078" spans="1:3">
      <c r="A27078" s="250">
        <v>62544</v>
      </c>
      <c r="B27078" s="74" t="s">
        <v>6077</v>
      </c>
      <c r="C27078" s="74" t="s">
        <v>424</v>
      </c>
    </row>
    <row r="27079" spans="1:3">
      <c r="A27079" s="250">
        <v>62545</v>
      </c>
      <c r="B27079" s="74" t="s">
        <v>4721</v>
      </c>
      <c r="C27079" s="74" t="s">
        <v>424</v>
      </c>
    </row>
    <row r="27080" spans="1:3">
      <c r="A27080" s="250">
        <v>62546</v>
      </c>
      <c r="B27080" s="74" t="s">
        <v>3312</v>
      </c>
      <c r="C27080" s="74" t="s">
        <v>424</v>
      </c>
    </row>
    <row r="27081" spans="1:3">
      <c r="A27081" s="250">
        <v>62547</v>
      </c>
      <c r="B27081" s="74" t="s">
        <v>11859</v>
      </c>
      <c r="C27081" s="74" t="s">
        <v>424</v>
      </c>
    </row>
    <row r="27082" spans="1:3">
      <c r="A27082" s="250">
        <v>62548</v>
      </c>
      <c r="B27082" s="74" t="s">
        <v>13930</v>
      </c>
      <c r="C27082" s="74" t="s">
        <v>424</v>
      </c>
    </row>
    <row r="27083" spans="1:3">
      <c r="A27083" s="250">
        <v>62549</v>
      </c>
      <c r="B27083" s="74" t="s">
        <v>13931</v>
      </c>
      <c r="C27083" s="74" t="s">
        <v>424</v>
      </c>
    </row>
    <row r="27084" spans="1:3">
      <c r="A27084" s="250">
        <v>62550</v>
      </c>
      <c r="B27084" s="74" t="s">
        <v>13932</v>
      </c>
      <c r="C27084" s="74" t="s">
        <v>424</v>
      </c>
    </row>
    <row r="27085" spans="1:3">
      <c r="A27085" s="250">
        <v>62551</v>
      </c>
      <c r="B27085" s="74" t="s">
        <v>2021</v>
      </c>
      <c r="C27085" s="74" t="s">
        <v>424</v>
      </c>
    </row>
    <row r="27086" spans="1:3">
      <c r="A27086" s="250">
        <v>62553</v>
      </c>
      <c r="B27086" s="74" t="s">
        <v>8089</v>
      </c>
      <c r="C27086" s="74" t="s">
        <v>424</v>
      </c>
    </row>
    <row r="27087" spans="1:3">
      <c r="A27087" s="250">
        <v>62554</v>
      </c>
      <c r="B27087" s="74" t="s">
        <v>13933</v>
      </c>
      <c r="C27087" s="74" t="s">
        <v>424</v>
      </c>
    </row>
    <row r="27088" spans="1:3">
      <c r="A27088" s="250">
        <v>62555</v>
      </c>
      <c r="B27088" s="74" t="s">
        <v>13934</v>
      </c>
      <c r="C27088" s="74" t="s">
        <v>424</v>
      </c>
    </row>
    <row r="27089" spans="1:3">
      <c r="A27089" s="250">
        <v>62556</v>
      </c>
      <c r="B27089" s="74" t="s">
        <v>526</v>
      </c>
      <c r="C27089" s="74" t="s">
        <v>424</v>
      </c>
    </row>
    <row r="27090" spans="1:3">
      <c r="A27090" s="250">
        <v>62557</v>
      </c>
      <c r="B27090" s="74" t="s">
        <v>13935</v>
      </c>
      <c r="C27090" s="74" t="s">
        <v>424</v>
      </c>
    </row>
    <row r="27091" spans="1:3">
      <c r="A27091" s="250">
        <v>62558</v>
      </c>
      <c r="B27091" s="74" t="s">
        <v>13936</v>
      </c>
      <c r="C27091" s="74" t="s">
        <v>424</v>
      </c>
    </row>
    <row r="27092" spans="1:3">
      <c r="A27092" s="250">
        <v>62560</v>
      </c>
      <c r="B27092" s="74" t="s">
        <v>1170</v>
      </c>
      <c r="C27092" s="74" t="s">
        <v>424</v>
      </c>
    </row>
    <row r="27093" spans="1:3">
      <c r="A27093" s="250">
        <v>62561</v>
      </c>
      <c r="B27093" s="74" t="s">
        <v>1953</v>
      </c>
      <c r="C27093" s="74" t="s">
        <v>424</v>
      </c>
    </row>
    <row r="27094" spans="1:3">
      <c r="A27094" s="250">
        <v>62563</v>
      </c>
      <c r="B27094" s="74" t="s">
        <v>1085</v>
      </c>
      <c r="C27094" s="74" t="s">
        <v>424</v>
      </c>
    </row>
    <row r="27095" spans="1:3">
      <c r="A27095" s="250">
        <v>62565</v>
      </c>
      <c r="B27095" s="74" t="s">
        <v>9037</v>
      </c>
      <c r="C27095" s="74" t="s">
        <v>424</v>
      </c>
    </row>
    <row r="27096" spans="1:3">
      <c r="A27096" s="250">
        <v>62567</v>
      </c>
      <c r="B27096" s="74" t="s">
        <v>1613</v>
      </c>
      <c r="C27096" s="74" t="s">
        <v>424</v>
      </c>
    </row>
    <row r="27097" spans="1:3">
      <c r="A27097" s="250">
        <v>62568</v>
      </c>
      <c r="B27097" s="74" t="s">
        <v>13937</v>
      </c>
      <c r="C27097" s="74" t="s">
        <v>424</v>
      </c>
    </row>
    <row r="27098" spans="1:3">
      <c r="A27098" s="250">
        <v>62570</v>
      </c>
      <c r="B27098" s="74" t="s">
        <v>13938</v>
      </c>
      <c r="C27098" s="74" t="s">
        <v>424</v>
      </c>
    </row>
    <row r="27099" spans="1:3">
      <c r="A27099" s="250">
        <v>62571</v>
      </c>
      <c r="B27099" s="74" t="s">
        <v>13939</v>
      </c>
      <c r="C27099" s="74" t="s">
        <v>424</v>
      </c>
    </row>
    <row r="27100" spans="1:3">
      <c r="A27100" s="250">
        <v>62572</v>
      </c>
      <c r="B27100" s="74" t="s">
        <v>13940</v>
      </c>
      <c r="C27100" s="74" t="s">
        <v>424</v>
      </c>
    </row>
    <row r="27101" spans="1:3">
      <c r="A27101" s="250">
        <v>62573</v>
      </c>
      <c r="B27101" s="74" t="s">
        <v>3271</v>
      </c>
      <c r="C27101" s="74" t="s">
        <v>424</v>
      </c>
    </row>
    <row r="27102" spans="1:3">
      <c r="A27102" s="250">
        <v>62601</v>
      </c>
      <c r="B27102" s="74" t="s">
        <v>3669</v>
      </c>
      <c r="C27102" s="74" t="s">
        <v>424</v>
      </c>
    </row>
    <row r="27103" spans="1:3">
      <c r="A27103" s="250">
        <v>62610</v>
      </c>
      <c r="B27103" s="74" t="s">
        <v>13941</v>
      </c>
      <c r="C27103" s="74" t="s">
        <v>424</v>
      </c>
    </row>
    <row r="27104" spans="1:3">
      <c r="A27104" s="250">
        <v>62611</v>
      </c>
      <c r="B27104" s="74" t="s">
        <v>13942</v>
      </c>
      <c r="C27104" s="74" t="s">
        <v>424</v>
      </c>
    </row>
    <row r="27105" spans="1:3">
      <c r="A27105" s="250">
        <v>62612</v>
      </c>
      <c r="B27105" s="74" t="s">
        <v>782</v>
      </c>
      <c r="C27105" s="74" t="s">
        <v>424</v>
      </c>
    </row>
    <row r="27106" spans="1:3">
      <c r="A27106" s="250">
        <v>62613</v>
      </c>
      <c r="B27106" s="74" t="s">
        <v>1678</v>
      </c>
      <c r="C27106" s="74" t="s">
        <v>424</v>
      </c>
    </row>
    <row r="27107" spans="1:3">
      <c r="A27107" s="250">
        <v>62615</v>
      </c>
      <c r="B27107" s="74" t="s">
        <v>724</v>
      </c>
      <c r="C27107" s="74" t="s">
        <v>424</v>
      </c>
    </row>
    <row r="27108" spans="1:3">
      <c r="A27108" s="250">
        <v>62617</v>
      </c>
      <c r="B27108" s="74" t="s">
        <v>1269</v>
      </c>
      <c r="C27108" s="74" t="s">
        <v>424</v>
      </c>
    </row>
    <row r="27109" spans="1:3">
      <c r="A27109" s="250">
        <v>62618</v>
      </c>
      <c r="B27109" s="74" t="s">
        <v>13943</v>
      </c>
      <c r="C27109" s="74" t="s">
        <v>424</v>
      </c>
    </row>
    <row r="27110" spans="1:3">
      <c r="A27110" s="250">
        <v>62621</v>
      </c>
      <c r="B27110" s="74" t="s">
        <v>13944</v>
      </c>
      <c r="C27110" s="74" t="s">
        <v>424</v>
      </c>
    </row>
    <row r="27111" spans="1:3">
      <c r="A27111" s="250">
        <v>62622</v>
      </c>
      <c r="B27111" s="74" t="s">
        <v>13945</v>
      </c>
      <c r="C27111" s="74" t="s">
        <v>424</v>
      </c>
    </row>
    <row r="27112" spans="1:3">
      <c r="A27112" s="250">
        <v>62624</v>
      </c>
      <c r="B27112" s="74" t="s">
        <v>13308</v>
      </c>
      <c r="C27112" s="74" t="s">
        <v>424</v>
      </c>
    </row>
    <row r="27113" spans="1:3">
      <c r="A27113" s="250">
        <v>62625</v>
      </c>
      <c r="B27113" s="74" t="s">
        <v>13946</v>
      </c>
      <c r="C27113" s="74" t="s">
        <v>424</v>
      </c>
    </row>
    <row r="27114" spans="1:3">
      <c r="A27114" s="250">
        <v>62626</v>
      </c>
      <c r="B27114" s="74" t="s">
        <v>13947</v>
      </c>
      <c r="C27114" s="74" t="s">
        <v>424</v>
      </c>
    </row>
    <row r="27115" spans="1:3">
      <c r="A27115" s="250">
        <v>62627</v>
      </c>
      <c r="B27115" s="74" t="s">
        <v>13948</v>
      </c>
      <c r="C27115" s="74" t="s">
        <v>424</v>
      </c>
    </row>
    <row r="27116" spans="1:3">
      <c r="A27116" s="250">
        <v>62628</v>
      </c>
      <c r="B27116" s="74" t="s">
        <v>7603</v>
      </c>
      <c r="C27116" s="74" t="s">
        <v>424</v>
      </c>
    </row>
    <row r="27117" spans="1:3">
      <c r="A27117" s="250">
        <v>62629</v>
      </c>
      <c r="B27117" s="74" t="s">
        <v>1025</v>
      </c>
      <c r="C27117" s="74" t="s">
        <v>424</v>
      </c>
    </row>
    <row r="27118" spans="1:3">
      <c r="A27118" s="250">
        <v>62630</v>
      </c>
      <c r="B27118" s="74" t="s">
        <v>584</v>
      </c>
      <c r="C27118" s="74" t="s">
        <v>424</v>
      </c>
    </row>
    <row r="27119" spans="1:3">
      <c r="A27119" s="250">
        <v>62631</v>
      </c>
      <c r="B27119" s="74" t="s">
        <v>787</v>
      </c>
      <c r="C27119" s="74" t="s">
        <v>424</v>
      </c>
    </row>
    <row r="27120" spans="1:3">
      <c r="A27120" s="250">
        <v>62633</v>
      </c>
      <c r="B27120" s="74" t="s">
        <v>941</v>
      </c>
      <c r="C27120" s="74" t="s">
        <v>424</v>
      </c>
    </row>
    <row r="27121" spans="1:3">
      <c r="A27121" s="250">
        <v>62634</v>
      </c>
      <c r="B27121" s="74" t="s">
        <v>10711</v>
      </c>
      <c r="C27121" s="74" t="s">
        <v>424</v>
      </c>
    </row>
    <row r="27122" spans="1:3">
      <c r="A27122" s="250">
        <v>62635</v>
      </c>
      <c r="B27122" s="74" t="s">
        <v>13949</v>
      </c>
      <c r="C27122" s="74" t="s">
        <v>424</v>
      </c>
    </row>
    <row r="27123" spans="1:3">
      <c r="A27123" s="250">
        <v>62638</v>
      </c>
      <c r="B27123" s="74" t="s">
        <v>873</v>
      </c>
      <c r="C27123" s="74" t="s">
        <v>424</v>
      </c>
    </row>
    <row r="27124" spans="1:3">
      <c r="A27124" s="250">
        <v>62639</v>
      </c>
      <c r="B27124" s="74" t="s">
        <v>5417</v>
      </c>
      <c r="C27124" s="74" t="s">
        <v>424</v>
      </c>
    </row>
    <row r="27125" spans="1:3">
      <c r="A27125" s="250">
        <v>62640</v>
      </c>
      <c r="B27125" s="74" t="s">
        <v>4512</v>
      </c>
      <c r="C27125" s="74" t="s">
        <v>424</v>
      </c>
    </row>
    <row r="27126" spans="1:3">
      <c r="A27126" s="250">
        <v>62642</v>
      </c>
      <c r="B27126" s="74" t="s">
        <v>13950</v>
      </c>
      <c r="C27126" s="74" t="s">
        <v>424</v>
      </c>
    </row>
    <row r="27127" spans="1:3">
      <c r="A27127" s="250">
        <v>62643</v>
      </c>
      <c r="B27127" s="74" t="s">
        <v>13951</v>
      </c>
      <c r="C27127" s="74" t="s">
        <v>424</v>
      </c>
    </row>
    <row r="27128" spans="1:3">
      <c r="A27128" s="250">
        <v>62644</v>
      </c>
      <c r="B27128" s="74" t="s">
        <v>8279</v>
      </c>
      <c r="C27128" s="74" t="s">
        <v>424</v>
      </c>
    </row>
    <row r="27129" spans="1:3">
      <c r="A27129" s="250">
        <v>62649</v>
      </c>
      <c r="B27129" s="74" t="s">
        <v>13952</v>
      </c>
      <c r="C27129" s="74" t="s">
        <v>424</v>
      </c>
    </row>
    <row r="27130" spans="1:3">
      <c r="A27130" s="250">
        <v>62650</v>
      </c>
      <c r="B27130" s="74" t="s">
        <v>1782</v>
      </c>
      <c r="C27130" s="74" t="s">
        <v>424</v>
      </c>
    </row>
    <row r="27131" spans="1:3">
      <c r="A27131" s="250">
        <v>62651</v>
      </c>
      <c r="B27131" s="74" t="s">
        <v>1782</v>
      </c>
      <c r="C27131" s="74" t="s">
        <v>424</v>
      </c>
    </row>
    <row r="27132" spans="1:3">
      <c r="A27132" s="250">
        <v>62655</v>
      </c>
      <c r="B27132" s="74" t="s">
        <v>10088</v>
      </c>
      <c r="C27132" s="74" t="s">
        <v>424</v>
      </c>
    </row>
    <row r="27133" spans="1:3">
      <c r="A27133" s="250">
        <v>62656</v>
      </c>
      <c r="B27133" s="74" t="s">
        <v>800</v>
      </c>
      <c r="C27133" s="74" t="s">
        <v>424</v>
      </c>
    </row>
    <row r="27134" spans="1:3">
      <c r="A27134" s="250">
        <v>62659</v>
      </c>
      <c r="B27134" s="74" t="s">
        <v>13953</v>
      </c>
      <c r="C27134" s="74" t="s">
        <v>424</v>
      </c>
    </row>
    <row r="27135" spans="1:3">
      <c r="A27135" s="250">
        <v>62660</v>
      </c>
      <c r="B27135" s="74" t="s">
        <v>13954</v>
      </c>
      <c r="C27135" s="74" t="s">
        <v>424</v>
      </c>
    </row>
    <row r="27136" spans="1:3">
      <c r="A27136" s="250">
        <v>62661</v>
      </c>
      <c r="B27136" s="74" t="s">
        <v>13955</v>
      </c>
      <c r="C27136" s="74" t="s">
        <v>424</v>
      </c>
    </row>
    <row r="27137" spans="1:3">
      <c r="A27137" s="250">
        <v>62662</v>
      </c>
      <c r="B27137" s="74" t="s">
        <v>13956</v>
      </c>
      <c r="C27137" s="74" t="s">
        <v>424</v>
      </c>
    </row>
    <row r="27138" spans="1:3">
      <c r="A27138" s="250">
        <v>62663</v>
      </c>
      <c r="B27138" s="74" t="s">
        <v>848</v>
      </c>
      <c r="C27138" s="74" t="s">
        <v>424</v>
      </c>
    </row>
    <row r="27139" spans="1:3">
      <c r="A27139" s="250">
        <v>62664</v>
      </c>
      <c r="B27139" s="74" t="s">
        <v>11566</v>
      </c>
      <c r="C27139" s="74" t="s">
        <v>424</v>
      </c>
    </row>
    <row r="27140" spans="1:3">
      <c r="A27140" s="250">
        <v>62665</v>
      </c>
      <c r="B27140" s="74" t="s">
        <v>13957</v>
      </c>
      <c r="C27140" s="74" t="s">
        <v>424</v>
      </c>
    </row>
    <row r="27141" spans="1:3">
      <c r="A27141" s="250">
        <v>62666</v>
      </c>
      <c r="B27141" s="74" t="s">
        <v>1119</v>
      </c>
      <c r="C27141" s="74" t="s">
        <v>424</v>
      </c>
    </row>
    <row r="27142" spans="1:3">
      <c r="A27142" s="250">
        <v>62667</v>
      </c>
      <c r="B27142" s="74" t="s">
        <v>13958</v>
      </c>
      <c r="C27142" s="74" t="s">
        <v>424</v>
      </c>
    </row>
    <row r="27143" spans="1:3">
      <c r="A27143" s="250">
        <v>62668</v>
      </c>
      <c r="B27143" s="74" t="s">
        <v>7990</v>
      </c>
      <c r="C27143" s="74" t="s">
        <v>424</v>
      </c>
    </row>
    <row r="27144" spans="1:3">
      <c r="A27144" s="250">
        <v>62670</v>
      </c>
      <c r="B27144" s="74" t="s">
        <v>3480</v>
      </c>
      <c r="C27144" s="74" t="s">
        <v>424</v>
      </c>
    </row>
    <row r="27145" spans="1:3">
      <c r="A27145" s="250">
        <v>62671</v>
      </c>
      <c r="B27145" s="74" t="s">
        <v>4876</v>
      </c>
      <c r="C27145" s="74" t="s">
        <v>424</v>
      </c>
    </row>
    <row r="27146" spans="1:3">
      <c r="A27146" s="250">
        <v>62672</v>
      </c>
      <c r="B27146" s="74" t="s">
        <v>13959</v>
      </c>
      <c r="C27146" s="74" t="s">
        <v>424</v>
      </c>
    </row>
    <row r="27147" spans="1:3">
      <c r="A27147" s="250">
        <v>62673</v>
      </c>
      <c r="B27147" s="74" t="s">
        <v>10781</v>
      </c>
      <c r="C27147" s="74" t="s">
        <v>424</v>
      </c>
    </row>
    <row r="27148" spans="1:3">
      <c r="A27148" s="250">
        <v>62674</v>
      </c>
      <c r="B27148" s="74" t="s">
        <v>1710</v>
      </c>
      <c r="C27148" s="74" t="s">
        <v>424</v>
      </c>
    </row>
    <row r="27149" spans="1:3">
      <c r="A27149" s="250">
        <v>62675</v>
      </c>
      <c r="B27149" s="74" t="s">
        <v>2988</v>
      </c>
      <c r="C27149" s="74" t="s">
        <v>424</v>
      </c>
    </row>
    <row r="27150" spans="1:3">
      <c r="A27150" s="250">
        <v>62677</v>
      </c>
      <c r="B27150" s="74" t="s">
        <v>13960</v>
      </c>
      <c r="C27150" s="74" t="s">
        <v>424</v>
      </c>
    </row>
    <row r="27151" spans="1:3">
      <c r="A27151" s="250">
        <v>62681</v>
      </c>
      <c r="B27151" s="74" t="s">
        <v>3817</v>
      </c>
      <c r="C27151" s="74" t="s">
        <v>424</v>
      </c>
    </row>
    <row r="27152" spans="1:3">
      <c r="A27152" s="250">
        <v>62682</v>
      </c>
      <c r="B27152" s="74" t="s">
        <v>13961</v>
      </c>
      <c r="C27152" s="74" t="s">
        <v>424</v>
      </c>
    </row>
    <row r="27153" spans="1:3">
      <c r="A27153" s="250">
        <v>62683</v>
      </c>
      <c r="B27153" s="74" t="s">
        <v>7513</v>
      </c>
      <c r="C27153" s="74" t="s">
        <v>424</v>
      </c>
    </row>
    <row r="27154" spans="1:3">
      <c r="A27154" s="250">
        <v>62684</v>
      </c>
      <c r="B27154" s="74" t="s">
        <v>1652</v>
      </c>
      <c r="C27154" s="74" t="s">
        <v>424</v>
      </c>
    </row>
    <row r="27155" spans="1:3">
      <c r="A27155" s="250">
        <v>62685</v>
      </c>
      <c r="B27155" s="74" t="s">
        <v>6026</v>
      </c>
      <c r="C27155" s="74" t="s">
        <v>424</v>
      </c>
    </row>
    <row r="27156" spans="1:3">
      <c r="A27156" s="250">
        <v>62688</v>
      </c>
      <c r="B27156" s="74" t="s">
        <v>13962</v>
      </c>
      <c r="C27156" s="74" t="s">
        <v>424</v>
      </c>
    </row>
    <row r="27157" spans="1:3">
      <c r="A27157" s="250">
        <v>62689</v>
      </c>
      <c r="B27157" s="74" t="s">
        <v>10700</v>
      </c>
      <c r="C27157" s="74" t="s">
        <v>424</v>
      </c>
    </row>
    <row r="27158" spans="1:3">
      <c r="A27158" s="250">
        <v>62690</v>
      </c>
      <c r="B27158" s="74" t="s">
        <v>13963</v>
      </c>
      <c r="C27158" s="74" t="s">
        <v>424</v>
      </c>
    </row>
    <row r="27159" spans="1:3">
      <c r="A27159" s="250">
        <v>62691</v>
      </c>
      <c r="B27159" s="74" t="s">
        <v>12478</v>
      </c>
      <c r="C27159" s="74" t="s">
        <v>424</v>
      </c>
    </row>
    <row r="27160" spans="1:3">
      <c r="A27160" s="250">
        <v>62692</v>
      </c>
      <c r="B27160" s="74" t="s">
        <v>3950</v>
      </c>
      <c r="C27160" s="74" t="s">
        <v>424</v>
      </c>
    </row>
    <row r="27161" spans="1:3">
      <c r="A27161" s="250">
        <v>62693</v>
      </c>
      <c r="B27161" s="74" t="s">
        <v>1799</v>
      </c>
      <c r="C27161" s="74" t="s">
        <v>424</v>
      </c>
    </row>
    <row r="27162" spans="1:3">
      <c r="A27162" s="250">
        <v>62694</v>
      </c>
      <c r="B27162" s="74" t="s">
        <v>832</v>
      </c>
      <c r="C27162" s="74" t="s">
        <v>424</v>
      </c>
    </row>
    <row r="27163" spans="1:3">
      <c r="A27163" s="250">
        <v>62695</v>
      </c>
      <c r="B27163" s="74" t="s">
        <v>13964</v>
      </c>
      <c r="C27163" s="74" t="s">
        <v>424</v>
      </c>
    </row>
    <row r="27164" spans="1:3">
      <c r="A27164" s="250">
        <v>62701</v>
      </c>
      <c r="B27164" s="74" t="s">
        <v>634</v>
      </c>
      <c r="C27164" s="74" t="s">
        <v>424</v>
      </c>
    </row>
    <row r="27165" spans="1:3">
      <c r="A27165" s="250">
        <v>62702</v>
      </c>
      <c r="B27165" s="74" t="s">
        <v>634</v>
      </c>
      <c r="C27165" s="74" t="s">
        <v>424</v>
      </c>
    </row>
    <row r="27166" spans="1:3">
      <c r="A27166" s="250">
        <v>62703</v>
      </c>
      <c r="B27166" s="74" t="s">
        <v>634</v>
      </c>
      <c r="C27166" s="74" t="s">
        <v>424</v>
      </c>
    </row>
    <row r="27167" spans="1:3">
      <c r="A27167" s="250">
        <v>62704</v>
      </c>
      <c r="B27167" s="74" t="s">
        <v>634</v>
      </c>
      <c r="C27167" s="74" t="s">
        <v>424</v>
      </c>
    </row>
    <row r="27168" spans="1:3">
      <c r="A27168" s="250">
        <v>62705</v>
      </c>
      <c r="B27168" s="74" t="s">
        <v>634</v>
      </c>
      <c r="C27168" s="74" t="s">
        <v>424</v>
      </c>
    </row>
    <row r="27169" spans="1:3">
      <c r="A27169" s="250">
        <v>62706</v>
      </c>
      <c r="B27169" s="74" t="s">
        <v>634</v>
      </c>
      <c r="C27169" s="74" t="s">
        <v>424</v>
      </c>
    </row>
    <row r="27170" spans="1:3">
      <c r="A27170" s="250">
        <v>62707</v>
      </c>
      <c r="B27170" s="74" t="s">
        <v>634</v>
      </c>
      <c r="C27170" s="74" t="s">
        <v>424</v>
      </c>
    </row>
    <row r="27171" spans="1:3">
      <c r="A27171" s="250">
        <v>62708</v>
      </c>
      <c r="B27171" s="74" t="s">
        <v>634</v>
      </c>
      <c r="C27171" s="74" t="s">
        <v>424</v>
      </c>
    </row>
    <row r="27172" spans="1:3">
      <c r="A27172" s="250">
        <v>62711</v>
      </c>
      <c r="B27172" s="74" t="s">
        <v>634</v>
      </c>
      <c r="C27172" s="74" t="s">
        <v>424</v>
      </c>
    </row>
    <row r="27173" spans="1:3">
      <c r="A27173" s="250">
        <v>62712</v>
      </c>
      <c r="B27173" s="74" t="s">
        <v>634</v>
      </c>
      <c r="C27173" s="74" t="s">
        <v>424</v>
      </c>
    </row>
    <row r="27174" spans="1:3">
      <c r="A27174" s="250">
        <v>62713</v>
      </c>
      <c r="B27174" s="74" t="s">
        <v>634</v>
      </c>
      <c r="C27174" s="74" t="s">
        <v>424</v>
      </c>
    </row>
    <row r="27175" spans="1:3">
      <c r="A27175" s="250">
        <v>62715</v>
      </c>
      <c r="B27175" s="74" t="s">
        <v>634</v>
      </c>
      <c r="C27175" s="74" t="s">
        <v>424</v>
      </c>
    </row>
    <row r="27176" spans="1:3">
      <c r="A27176" s="250">
        <v>62716</v>
      </c>
      <c r="B27176" s="74" t="s">
        <v>634</v>
      </c>
      <c r="C27176" s="74" t="s">
        <v>424</v>
      </c>
    </row>
    <row r="27177" spans="1:3">
      <c r="A27177" s="250">
        <v>62719</v>
      </c>
      <c r="B27177" s="74" t="s">
        <v>634</v>
      </c>
      <c r="C27177" s="74" t="s">
        <v>424</v>
      </c>
    </row>
    <row r="27178" spans="1:3">
      <c r="A27178" s="250">
        <v>62721</v>
      </c>
      <c r="B27178" s="74" t="s">
        <v>634</v>
      </c>
      <c r="C27178" s="74" t="s">
        <v>424</v>
      </c>
    </row>
    <row r="27179" spans="1:3">
      <c r="A27179" s="250">
        <v>62722</v>
      </c>
      <c r="B27179" s="74" t="s">
        <v>634</v>
      </c>
      <c r="C27179" s="74" t="s">
        <v>424</v>
      </c>
    </row>
    <row r="27180" spans="1:3">
      <c r="A27180" s="250">
        <v>62723</v>
      </c>
      <c r="B27180" s="74" t="s">
        <v>634</v>
      </c>
      <c r="C27180" s="74" t="s">
        <v>424</v>
      </c>
    </row>
    <row r="27181" spans="1:3">
      <c r="A27181" s="250">
        <v>62726</v>
      </c>
      <c r="B27181" s="74" t="s">
        <v>634</v>
      </c>
      <c r="C27181" s="74" t="s">
        <v>424</v>
      </c>
    </row>
    <row r="27182" spans="1:3">
      <c r="A27182" s="250">
        <v>62736</v>
      </c>
      <c r="B27182" s="74" t="s">
        <v>634</v>
      </c>
      <c r="C27182" s="74" t="s">
        <v>424</v>
      </c>
    </row>
    <row r="27183" spans="1:3">
      <c r="A27183" s="250">
        <v>62739</v>
      </c>
      <c r="B27183" s="74" t="s">
        <v>634</v>
      </c>
      <c r="C27183" s="74" t="s">
        <v>424</v>
      </c>
    </row>
    <row r="27184" spans="1:3">
      <c r="A27184" s="250">
        <v>62746</v>
      </c>
      <c r="B27184" s="74" t="s">
        <v>634</v>
      </c>
      <c r="C27184" s="74" t="s">
        <v>424</v>
      </c>
    </row>
    <row r="27185" spans="1:3">
      <c r="A27185" s="250">
        <v>62756</v>
      </c>
      <c r="B27185" s="74" t="s">
        <v>634</v>
      </c>
      <c r="C27185" s="74" t="s">
        <v>424</v>
      </c>
    </row>
    <row r="27186" spans="1:3">
      <c r="A27186" s="250">
        <v>62757</v>
      </c>
      <c r="B27186" s="74" t="s">
        <v>634</v>
      </c>
      <c r="C27186" s="74" t="s">
        <v>424</v>
      </c>
    </row>
    <row r="27187" spans="1:3">
      <c r="A27187" s="250">
        <v>62761</v>
      </c>
      <c r="B27187" s="74" t="s">
        <v>634</v>
      </c>
      <c r="C27187" s="74" t="s">
        <v>424</v>
      </c>
    </row>
    <row r="27188" spans="1:3">
      <c r="A27188" s="250">
        <v>62762</v>
      </c>
      <c r="B27188" s="74" t="s">
        <v>634</v>
      </c>
      <c r="C27188" s="74" t="s">
        <v>424</v>
      </c>
    </row>
    <row r="27189" spans="1:3">
      <c r="A27189" s="250">
        <v>62763</v>
      </c>
      <c r="B27189" s="74" t="s">
        <v>634</v>
      </c>
      <c r="C27189" s="74" t="s">
        <v>424</v>
      </c>
    </row>
    <row r="27190" spans="1:3">
      <c r="A27190" s="250">
        <v>62764</v>
      </c>
      <c r="B27190" s="74" t="s">
        <v>634</v>
      </c>
      <c r="C27190" s="74" t="s">
        <v>424</v>
      </c>
    </row>
    <row r="27191" spans="1:3">
      <c r="A27191" s="250">
        <v>62765</v>
      </c>
      <c r="B27191" s="74" t="s">
        <v>634</v>
      </c>
      <c r="C27191" s="74" t="s">
        <v>424</v>
      </c>
    </row>
    <row r="27192" spans="1:3">
      <c r="A27192" s="250">
        <v>62766</v>
      </c>
      <c r="B27192" s="74" t="s">
        <v>634</v>
      </c>
      <c r="C27192" s="74" t="s">
        <v>424</v>
      </c>
    </row>
    <row r="27193" spans="1:3">
      <c r="A27193" s="250">
        <v>62767</v>
      </c>
      <c r="B27193" s="74" t="s">
        <v>634</v>
      </c>
      <c r="C27193" s="74" t="s">
        <v>424</v>
      </c>
    </row>
    <row r="27194" spans="1:3">
      <c r="A27194" s="250">
        <v>62769</v>
      </c>
      <c r="B27194" s="74" t="s">
        <v>634</v>
      </c>
      <c r="C27194" s="74" t="s">
        <v>424</v>
      </c>
    </row>
    <row r="27195" spans="1:3">
      <c r="A27195" s="250">
        <v>62776</v>
      </c>
      <c r="B27195" s="74" t="s">
        <v>634</v>
      </c>
      <c r="C27195" s="74" t="s">
        <v>424</v>
      </c>
    </row>
    <row r="27196" spans="1:3">
      <c r="A27196" s="250">
        <v>62777</v>
      </c>
      <c r="B27196" s="74" t="s">
        <v>634</v>
      </c>
      <c r="C27196" s="74" t="s">
        <v>424</v>
      </c>
    </row>
    <row r="27197" spans="1:3">
      <c r="A27197" s="250">
        <v>62781</v>
      </c>
      <c r="B27197" s="74" t="s">
        <v>634</v>
      </c>
      <c r="C27197" s="74" t="s">
        <v>424</v>
      </c>
    </row>
    <row r="27198" spans="1:3">
      <c r="A27198" s="250">
        <v>62786</v>
      </c>
      <c r="B27198" s="74" t="s">
        <v>634</v>
      </c>
      <c r="C27198" s="74" t="s">
        <v>424</v>
      </c>
    </row>
    <row r="27199" spans="1:3">
      <c r="A27199" s="250">
        <v>62791</v>
      </c>
      <c r="B27199" s="74" t="s">
        <v>634</v>
      </c>
      <c r="C27199" s="74" t="s">
        <v>424</v>
      </c>
    </row>
    <row r="27200" spans="1:3">
      <c r="A27200" s="250">
        <v>62794</v>
      </c>
      <c r="B27200" s="74" t="s">
        <v>634</v>
      </c>
      <c r="C27200" s="74" t="s">
        <v>424</v>
      </c>
    </row>
    <row r="27201" spans="1:3">
      <c r="A27201" s="250">
        <v>62796</v>
      </c>
      <c r="B27201" s="74" t="s">
        <v>634</v>
      </c>
      <c r="C27201" s="74" t="s">
        <v>424</v>
      </c>
    </row>
    <row r="27202" spans="1:3">
      <c r="A27202" s="250">
        <v>62801</v>
      </c>
      <c r="B27202" s="74" t="s">
        <v>13965</v>
      </c>
      <c r="C27202" s="74" t="s">
        <v>424</v>
      </c>
    </row>
    <row r="27203" spans="1:3">
      <c r="A27203" s="250">
        <v>62803</v>
      </c>
      <c r="B27203" s="74" t="s">
        <v>13966</v>
      </c>
      <c r="C27203" s="74" t="s">
        <v>424</v>
      </c>
    </row>
    <row r="27204" spans="1:3">
      <c r="A27204" s="250">
        <v>62805</v>
      </c>
      <c r="B27204" s="74" t="s">
        <v>13967</v>
      </c>
      <c r="C27204" s="74" t="s">
        <v>424</v>
      </c>
    </row>
    <row r="27205" spans="1:3">
      <c r="A27205" s="250">
        <v>62806</v>
      </c>
      <c r="B27205" s="74" t="s">
        <v>1093</v>
      </c>
      <c r="C27205" s="74" t="s">
        <v>424</v>
      </c>
    </row>
    <row r="27206" spans="1:3">
      <c r="A27206" s="250">
        <v>62807</v>
      </c>
      <c r="B27206" s="74" t="s">
        <v>3841</v>
      </c>
      <c r="C27206" s="74" t="s">
        <v>424</v>
      </c>
    </row>
    <row r="27207" spans="1:3">
      <c r="A27207" s="250">
        <v>62808</v>
      </c>
      <c r="B27207" s="74" t="s">
        <v>10079</v>
      </c>
      <c r="C27207" s="74" t="s">
        <v>424</v>
      </c>
    </row>
    <row r="27208" spans="1:3">
      <c r="A27208" s="250">
        <v>62809</v>
      </c>
      <c r="B27208" s="74" t="s">
        <v>13968</v>
      </c>
      <c r="C27208" s="74" t="s">
        <v>424</v>
      </c>
    </row>
    <row r="27209" spans="1:3">
      <c r="A27209" s="250">
        <v>62810</v>
      </c>
      <c r="B27209" s="74" t="s">
        <v>13969</v>
      </c>
      <c r="C27209" s="74" t="s">
        <v>424</v>
      </c>
    </row>
    <row r="27210" spans="1:3">
      <c r="A27210" s="250">
        <v>62811</v>
      </c>
      <c r="B27210" s="74" t="s">
        <v>13970</v>
      </c>
      <c r="C27210" s="74" t="s">
        <v>424</v>
      </c>
    </row>
    <row r="27211" spans="1:3">
      <c r="A27211" s="250">
        <v>62812</v>
      </c>
      <c r="B27211" s="74" t="s">
        <v>4938</v>
      </c>
      <c r="C27211" s="74" t="s">
        <v>424</v>
      </c>
    </row>
    <row r="27212" spans="1:3">
      <c r="A27212" s="250">
        <v>62814</v>
      </c>
      <c r="B27212" s="74" t="s">
        <v>13971</v>
      </c>
      <c r="C27212" s="74" t="s">
        <v>424</v>
      </c>
    </row>
    <row r="27213" spans="1:3">
      <c r="A27213" s="250">
        <v>62815</v>
      </c>
      <c r="B27213" s="74" t="s">
        <v>13972</v>
      </c>
      <c r="C27213" s="74" t="s">
        <v>424</v>
      </c>
    </row>
    <row r="27214" spans="1:3">
      <c r="A27214" s="250">
        <v>62816</v>
      </c>
      <c r="B27214" s="74" t="s">
        <v>13973</v>
      </c>
      <c r="C27214" s="74" t="s">
        <v>424</v>
      </c>
    </row>
    <row r="27215" spans="1:3">
      <c r="A27215" s="250">
        <v>62817</v>
      </c>
      <c r="B27215" s="74" t="s">
        <v>13974</v>
      </c>
      <c r="C27215" s="74" t="s">
        <v>424</v>
      </c>
    </row>
    <row r="27216" spans="1:3">
      <c r="A27216" s="250">
        <v>62818</v>
      </c>
      <c r="B27216" s="74" t="s">
        <v>13975</v>
      </c>
      <c r="C27216" s="74" t="s">
        <v>424</v>
      </c>
    </row>
    <row r="27217" spans="1:3">
      <c r="A27217" s="250">
        <v>62819</v>
      </c>
      <c r="B27217" s="74" t="s">
        <v>9573</v>
      </c>
      <c r="C27217" s="74" t="s">
        <v>424</v>
      </c>
    </row>
    <row r="27218" spans="1:3">
      <c r="A27218" s="250">
        <v>62820</v>
      </c>
      <c r="B27218" s="74" t="s">
        <v>13976</v>
      </c>
      <c r="C27218" s="74" t="s">
        <v>424</v>
      </c>
    </row>
    <row r="27219" spans="1:3">
      <c r="A27219" s="250">
        <v>62821</v>
      </c>
      <c r="B27219" s="74" t="s">
        <v>13977</v>
      </c>
      <c r="C27219" s="74" t="s">
        <v>424</v>
      </c>
    </row>
    <row r="27220" spans="1:3">
      <c r="A27220" s="250">
        <v>62822</v>
      </c>
      <c r="B27220" s="74" t="s">
        <v>13978</v>
      </c>
      <c r="C27220" s="74" t="s">
        <v>424</v>
      </c>
    </row>
    <row r="27221" spans="1:3">
      <c r="A27221" s="250">
        <v>62823</v>
      </c>
      <c r="B27221" s="74" t="s">
        <v>13979</v>
      </c>
      <c r="C27221" s="74" t="s">
        <v>424</v>
      </c>
    </row>
    <row r="27222" spans="1:3">
      <c r="A27222" s="250">
        <v>62824</v>
      </c>
      <c r="B27222" s="74" t="s">
        <v>9621</v>
      </c>
      <c r="C27222" s="74" t="s">
        <v>424</v>
      </c>
    </row>
    <row r="27223" spans="1:3">
      <c r="A27223" s="250">
        <v>62825</v>
      </c>
      <c r="B27223" s="74" t="s">
        <v>13980</v>
      </c>
      <c r="C27223" s="74" t="s">
        <v>424</v>
      </c>
    </row>
    <row r="27224" spans="1:3">
      <c r="A27224" s="250">
        <v>62827</v>
      </c>
      <c r="B27224" s="74" t="s">
        <v>8765</v>
      </c>
      <c r="C27224" s="74" t="s">
        <v>424</v>
      </c>
    </row>
    <row r="27225" spans="1:3">
      <c r="A27225" s="250">
        <v>62828</v>
      </c>
      <c r="B27225" s="74" t="s">
        <v>5889</v>
      </c>
      <c r="C27225" s="74" t="s">
        <v>424</v>
      </c>
    </row>
    <row r="27226" spans="1:3">
      <c r="A27226" s="250">
        <v>62829</v>
      </c>
      <c r="B27226" s="74" t="s">
        <v>3691</v>
      </c>
      <c r="C27226" s="74" t="s">
        <v>424</v>
      </c>
    </row>
    <row r="27227" spans="1:3">
      <c r="A27227" s="250">
        <v>62830</v>
      </c>
      <c r="B27227" s="74" t="s">
        <v>13981</v>
      </c>
      <c r="C27227" s="74" t="s">
        <v>424</v>
      </c>
    </row>
    <row r="27228" spans="1:3">
      <c r="A27228" s="250">
        <v>62831</v>
      </c>
      <c r="B27228" s="74" t="s">
        <v>4314</v>
      </c>
      <c r="C27228" s="74" t="s">
        <v>424</v>
      </c>
    </row>
    <row r="27229" spans="1:3">
      <c r="A27229" s="250">
        <v>62832</v>
      </c>
      <c r="B27229" s="74" t="s">
        <v>13982</v>
      </c>
      <c r="C27229" s="74" t="s">
        <v>424</v>
      </c>
    </row>
    <row r="27230" spans="1:3">
      <c r="A27230" s="250">
        <v>62833</v>
      </c>
      <c r="B27230" s="74" t="s">
        <v>13983</v>
      </c>
      <c r="C27230" s="74" t="s">
        <v>424</v>
      </c>
    </row>
    <row r="27231" spans="1:3">
      <c r="A27231" s="250">
        <v>62834</v>
      </c>
      <c r="B27231" s="74" t="s">
        <v>13984</v>
      </c>
      <c r="C27231" s="74" t="s">
        <v>424</v>
      </c>
    </row>
    <row r="27232" spans="1:3">
      <c r="A27232" s="250">
        <v>62835</v>
      </c>
      <c r="B27232" s="74" t="s">
        <v>1274</v>
      </c>
      <c r="C27232" s="74" t="s">
        <v>424</v>
      </c>
    </row>
    <row r="27233" spans="1:3">
      <c r="A27233" s="250">
        <v>62836</v>
      </c>
      <c r="B27233" s="74" t="s">
        <v>6327</v>
      </c>
      <c r="C27233" s="74" t="s">
        <v>424</v>
      </c>
    </row>
    <row r="27234" spans="1:3">
      <c r="A27234" s="250">
        <v>62837</v>
      </c>
      <c r="B27234" s="74" t="s">
        <v>1694</v>
      </c>
      <c r="C27234" s="74" t="s">
        <v>424</v>
      </c>
    </row>
    <row r="27235" spans="1:3">
      <c r="A27235" s="250">
        <v>62838</v>
      </c>
      <c r="B27235" s="74" t="s">
        <v>13985</v>
      </c>
      <c r="C27235" s="74" t="s">
        <v>424</v>
      </c>
    </row>
    <row r="27236" spans="1:3">
      <c r="A27236" s="250">
        <v>62839</v>
      </c>
      <c r="B27236" s="74" t="s">
        <v>9414</v>
      </c>
      <c r="C27236" s="74" t="s">
        <v>424</v>
      </c>
    </row>
    <row r="27237" spans="1:3">
      <c r="A27237" s="250">
        <v>62840</v>
      </c>
      <c r="B27237" s="74" t="s">
        <v>13986</v>
      </c>
      <c r="C27237" s="74" t="s">
        <v>424</v>
      </c>
    </row>
    <row r="27238" spans="1:3">
      <c r="A27238" s="250">
        <v>62841</v>
      </c>
      <c r="B27238" s="74" t="s">
        <v>13987</v>
      </c>
      <c r="C27238" s="74" t="s">
        <v>424</v>
      </c>
    </row>
    <row r="27239" spans="1:3">
      <c r="A27239" s="250">
        <v>62842</v>
      </c>
      <c r="B27239" s="74" t="s">
        <v>13988</v>
      </c>
      <c r="C27239" s="74" t="s">
        <v>424</v>
      </c>
    </row>
    <row r="27240" spans="1:3">
      <c r="A27240" s="250">
        <v>62843</v>
      </c>
      <c r="B27240" s="74" t="s">
        <v>13989</v>
      </c>
      <c r="C27240" s="74" t="s">
        <v>424</v>
      </c>
    </row>
    <row r="27241" spans="1:3">
      <c r="A27241" s="250">
        <v>62844</v>
      </c>
      <c r="B27241" s="74" t="s">
        <v>13990</v>
      </c>
      <c r="C27241" s="74" t="s">
        <v>424</v>
      </c>
    </row>
    <row r="27242" spans="1:3">
      <c r="A27242" s="250">
        <v>62846</v>
      </c>
      <c r="B27242" s="74" t="s">
        <v>13991</v>
      </c>
      <c r="C27242" s="74" t="s">
        <v>424</v>
      </c>
    </row>
    <row r="27243" spans="1:3">
      <c r="A27243" s="250">
        <v>62848</v>
      </c>
      <c r="B27243" s="74" t="s">
        <v>2175</v>
      </c>
      <c r="C27243" s="74" t="s">
        <v>424</v>
      </c>
    </row>
    <row r="27244" spans="1:3">
      <c r="A27244" s="250">
        <v>62849</v>
      </c>
      <c r="B27244" s="74" t="s">
        <v>9366</v>
      </c>
      <c r="C27244" s="74" t="s">
        <v>424</v>
      </c>
    </row>
    <row r="27245" spans="1:3">
      <c r="A27245" s="250">
        <v>62850</v>
      </c>
      <c r="B27245" s="74" t="s">
        <v>2968</v>
      </c>
      <c r="C27245" s="74" t="s">
        <v>424</v>
      </c>
    </row>
    <row r="27246" spans="1:3">
      <c r="A27246" s="250">
        <v>62851</v>
      </c>
      <c r="B27246" s="74" t="s">
        <v>13992</v>
      </c>
      <c r="C27246" s="74" t="s">
        <v>424</v>
      </c>
    </row>
    <row r="27247" spans="1:3">
      <c r="A27247" s="250">
        <v>62852</v>
      </c>
      <c r="B27247" s="74" t="s">
        <v>13993</v>
      </c>
      <c r="C27247" s="74" t="s">
        <v>424</v>
      </c>
    </row>
    <row r="27248" spans="1:3">
      <c r="A27248" s="250">
        <v>62853</v>
      </c>
      <c r="B27248" s="74" t="s">
        <v>13994</v>
      </c>
      <c r="C27248" s="74" t="s">
        <v>424</v>
      </c>
    </row>
    <row r="27249" spans="1:3">
      <c r="A27249" s="250">
        <v>62854</v>
      </c>
      <c r="B27249" s="74" t="s">
        <v>13995</v>
      </c>
      <c r="C27249" s="74" t="s">
        <v>424</v>
      </c>
    </row>
    <row r="27250" spans="1:3">
      <c r="A27250" s="250">
        <v>62855</v>
      </c>
      <c r="B27250" s="74" t="s">
        <v>741</v>
      </c>
      <c r="C27250" s="74" t="s">
        <v>424</v>
      </c>
    </row>
    <row r="27251" spans="1:3">
      <c r="A27251" s="250">
        <v>62856</v>
      </c>
      <c r="B27251" s="74" t="s">
        <v>6736</v>
      </c>
      <c r="C27251" s="74" t="s">
        <v>424</v>
      </c>
    </row>
    <row r="27252" spans="1:3">
      <c r="A27252" s="250">
        <v>62857</v>
      </c>
      <c r="B27252" s="74" t="s">
        <v>10891</v>
      </c>
      <c r="C27252" s="74" t="s">
        <v>424</v>
      </c>
    </row>
    <row r="27253" spans="1:3">
      <c r="A27253" s="250">
        <v>62858</v>
      </c>
      <c r="B27253" s="74" t="s">
        <v>7943</v>
      </c>
      <c r="C27253" s="74" t="s">
        <v>424</v>
      </c>
    </row>
    <row r="27254" spans="1:3">
      <c r="A27254" s="250">
        <v>62859</v>
      </c>
      <c r="B27254" s="74" t="s">
        <v>13996</v>
      </c>
      <c r="C27254" s="74" t="s">
        <v>424</v>
      </c>
    </row>
    <row r="27255" spans="1:3">
      <c r="A27255" s="250">
        <v>62860</v>
      </c>
      <c r="B27255" s="74" t="s">
        <v>10307</v>
      </c>
      <c r="C27255" s="74" t="s">
        <v>424</v>
      </c>
    </row>
    <row r="27256" spans="1:3">
      <c r="A27256" s="250">
        <v>62861</v>
      </c>
      <c r="B27256" s="74" t="s">
        <v>13997</v>
      </c>
      <c r="C27256" s="74" t="s">
        <v>424</v>
      </c>
    </row>
    <row r="27257" spans="1:3">
      <c r="A27257" s="250">
        <v>62862</v>
      </c>
      <c r="B27257" s="74" t="s">
        <v>13998</v>
      </c>
      <c r="C27257" s="74" t="s">
        <v>424</v>
      </c>
    </row>
    <row r="27258" spans="1:3">
      <c r="A27258" s="250">
        <v>62863</v>
      </c>
      <c r="B27258" s="74" t="s">
        <v>4960</v>
      </c>
      <c r="C27258" s="74" t="s">
        <v>424</v>
      </c>
    </row>
    <row r="27259" spans="1:3">
      <c r="A27259" s="250">
        <v>62864</v>
      </c>
      <c r="B27259" s="74" t="s">
        <v>1481</v>
      </c>
      <c r="C27259" s="74" t="s">
        <v>424</v>
      </c>
    </row>
    <row r="27260" spans="1:3">
      <c r="A27260" s="250">
        <v>62865</v>
      </c>
      <c r="B27260" s="74" t="s">
        <v>13999</v>
      </c>
      <c r="C27260" s="74" t="s">
        <v>424</v>
      </c>
    </row>
    <row r="27261" spans="1:3">
      <c r="A27261" s="250">
        <v>62866</v>
      </c>
      <c r="B27261" s="74" t="s">
        <v>14000</v>
      </c>
      <c r="C27261" s="74" t="s">
        <v>424</v>
      </c>
    </row>
    <row r="27262" spans="1:3">
      <c r="A27262" s="250">
        <v>62867</v>
      </c>
      <c r="B27262" s="74" t="s">
        <v>1823</v>
      </c>
      <c r="C27262" s="74" t="s">
        <v>424</v>
      </c>
    </row>
    <row r="27263" spans="1:3">
      <c r="A27263" s="250">
        <v>62868</v>
      </c>
      <c r="B27263" s="74" t="s">
        <v>14001</v>
      </c>
      <c r="C27263" s="74" t="s">
        <v>424</v>
      </c>
    </row>
    <row r="27264" spans="1:3">
      <c r="A27264" s="250">
        <v>62869</v>
      </c>
      <c r="B27264" s="74" t="s">
        <v>14002</v>
      </c>
      <c r="C27264" s="74" t="s">
        <v>424</v>
      </c>
    </row>
    <row r="27265" spans="1:3">
      <c r="A27265" s="250">
        <v>62870</v>
      </c>
      <c r="B27265" s="74" t="s">
        <v>12582</v>
      </c>
      <c r="C27265" s="74" t="s">
        <v>424</v>
      </c>
    </row>
    <row r="27266" spans="1:3">
      <c r="A27266" s="250">
        <v>62871</v>
      </c>
      <c r="B27266" s="74" t="s">
        <v>8201</v>
      </c>
      <c r="C27266" s="74" t="s">
        <v>424</v>
      </c>
    </row>
    <row r="27267" spans="1:3">
      <c r="A27267" s="250">
        <v>62872</v>
      </c>
      <c r="B27267" s="74" t="s">
        <v>14003</v>
      </c>
      <c r="C27267" s="74" t="s">
        <v>424</v>
      </c>
    </row>
    <row r="27268" spans="1:3">
      <c r="A27268" s="250">
        <v>62874</v>
      </c>
      <c r="B27268" s="74" t="s">
        <v>1520</v>
      </c>
      <c r="C27268" s="74" t="s">
        <v>424</v>
      </c>
    </row>
    <row r="27269" spans="1:3">
      <c r="A27269" s="250">
        <v>62875</v>
      </c>
      <c r="B27269" s="74" t="s">
        <v>10925</v>
      </c>
      <c r="C27269" s="74" t="s">
        <v>424</v>
      </c>
    </row>
    <row r="27270" spans="1:3">
      <c r="A27270" s="250">
        <v>62876</v>
      </c>
      <c r="B27270" s="74" t="s">
        <v>14004</v>
      </c>
      <c r="C27270" s="74" t="s">
        <v>424</v>
      </c>
    </row>
    <row r="27271" spans="1:3">
      <c r="A27271" s="250">
        <v>62877</v>
      </c>
      <c r="B27271" s="74" t="s">
        <v>14005</v>
      </c>
      <c r="C27271" s="74" t="s">
        <v>424</v>
      </c>
    </row>
    <row r="27272" spans="1:3">
      <c r="A27272" s="250">
        <v>62878</v>
      </c>
      <c r="B27272" s="74" t="s">
        <v>14006</v>
      </c>
      <c r="C27272" s="74" t="s">
        <v>424</v>
      </c>
    </row>
    <row r="27273" spans="1:3">
      <c r="A27273" s="250">
        <v>62879</v>
      </c>
      <c r="B27273" s="74" t="s">
        <v>14007</v>
      </c>
      <c r="C27273" s="74" t="s">
        <v>424</v>
      </c>
    </row>
    <row r="27274" spans="1:3">
      <c r="A27274" s="250">
        <v>62880</v>
      </c>
      <c r="B27274" s="74" t="s">
        <v>12552</v>
      </c>
      <c r="C27274" s="74" t="s">
        <v>424</v>
      </c>
    </row>
    <row r="27275" spans="1:3">
      <c r="A27275" s="250">
        <v>62881</v>
      </c>
      <c r="B27275" s="74" t="s">
        <v>858</v>
      </c>
      <c r="C27275" s="74" t="s">
        <v>424</v>
      </c>
    </row>
    <row r="27276" spans="1:3">
      <c r="A27276" s="250">
        <v>62882</v>
      </c>
      <c r="B27276" s="74" t="s">
        <v>14008</v>
      </c>
      <c r="C27276" s="74" t="s">
        <v>424</v>
      </c>
    </row>
    <row r="27277" spans="1:3">
      <c r="A27277" s="250">
        <v>62883</v>
      </c>
      <c r="B27277" s="74" t="s">
        <v>14009</v>
      </c>
      <c r="C27277" s="74" t="s">
        <v>424</v>
      </c>
    </row>
    <row r="27278" spans="1:3">
      <c r="A27278" s="250">
        <v>62884</v>
      </c>
      <c r="B27278" s="74" t="s">
        <v>14010</v>
      </c>
      <c r="C27278" s="74" t="s">
        <v>424</v>
      </c>
    </row>
    <row r="27279" spans="1:3">
      <c r="A27279" s="250">
        <v>62885</v>
      </c>
      <c r="B27279" s="74" t="s">
        <v>14011</v>
      </c>
      <c r="C27279" s="74" t="s">
        <v>424</v>
      </c>
    </row>
    <row r="27280" spans="1:3">
      <c r="A27280" s="250">
        <v>62886</v>
      </c>
      <c r="B27280" s="74" t="s">
        <v>7223</v>
      </c>
      <c r="C27280" s="74" t="s">
        <v>424</v>
      </c>
    </row>
    <row r="27281" spans="1:3">
      <c r="A27281" s="250">
        <v>62887</v>
      </c>
      <c r="B27281" s="74" t="s">
        <v>14012</v>
      </c>
      <c r="C27281" s="74" t="s">
        <v>424</v>
      </c>
    </row>
    <row r="27282" spans="1:3">
      <c r="A27282" s="250">
        <v>62888</v>
      </c>
      <c r="B27282" s="74" t="s">
        <v>14013</v>
      </c>
      <c r="C27282" s="74" t="s">
        <v>424</v>
      </c>
    </row>
    <row r="27283" spans="1:3">
      <c r="A27283" s="250">
        <v>62889</v>
      </c>
      <c r="B27283" s="74" t="s">
        <v>14014</v>
      </c>
      <c r="C27283" s="74" t="s">
        <v>424</v>
      </c>
    </row>
    <row r="27284" spans="1:3">
      <c r="A27284" s="250">
        <v>62890</v>
      </c>
      <c r="B27284" s="74" t="s">
        <v>3209</v>
      </c>
      <c r="C27284" s="74" t="s">
        <v>424</v>
      </c>
    </row>
    <row r="27285" spans="1:3">
      <c r="A27285" s="250">
        <v>62891</v>
      </c>
      <c r="B27285" s="74" t="s">
        <v>4311</v>
      </c>
      <c r="C27285" s="74" t="s">
        <v>424</v>
      </c>
    </row>
    <row r="27286" spans="1:3">
      <c r="A27286" s="250">
        <v>62892</v>
      </c>
      <c r="B27286" s="74" t="s">
        <v>1791</v>
      </c>
      <c r="C27286" s="74" t="s">
        <v>424</v>
      </c>
    </row>
    <row r="27287" spans="1:3">
      <c r="A27287" s="250">
        <v>62893</v>
      </c>
      <c r="B27287" s="74" t="s">
        <v>14015</v>
      </c>
      <c r="C27287" s="74" t="s">
        <v>424</v>
      </c>
    </row>
    <row r="27288" spans="1:3">
      <c r="A27288" s="250">
        <v>62894</v>
      </c>
      <c r="B27288" s="74" t="s">
        <v>14016</v>
      </c>
      <c r="C27288" s="74" t="s">
        <v>424</v>
      </c>
    </row>
    <row r="27289" spans="1:3">
      <c r="A27289" s="250">
        <v>62895</v>
      </c>
      <c r="B27289" s="74" t="s">
        <v>14017</v>
      </c>
      <c r="C27289" s="74" t="s">
        <v>424</v>
      </c>
    </row>
    <row r="27290" spans="1:3">
      <c r="A27290" s="250">
        <v>62896</v>
      </c>
      <c r="B27290" s="74" t="s">
        <v>14018</v>
      </c>
      <c r="C27290" s="74" t="s">
        <v>424</v>
      </c>
    </row>
    <row r="27291" spans="1:3">
      <c r="A27291" s="250">
        <v>62897</v>
      </c>
      <c r="B27291" s="74" t="s">
        <v>14019</v>
      </c>
      <c r="C27291" s="74" t="s">
        <v>424</v>
      </c>
    </row>
    <row r="27292" spans="1:3">
      <c r="A27292" s="250">
        <v>62898</v>
      </c>
      <c r="B27292" s="74" t="s">
        <v>6377</v>
      </c>
      <c r="C27292" s="74" t="s">
        <v>424</v>
      </c>
    </row>
    <row r="27293" spans="1:3">
      <c r="A27293" s="250">
        <v>62899</v>
      </c>
      <c r="B27293" s="74" t="s">
        <v>10524</v>
      </c>
      <c r="C27293" s="74" t="s">
        <v>424</v>
      </c>
    </row>
    <row r="27294" spans="1:3">
      <c r="A27294" s="250">
        <v>62901</v>
      </c>
      <c r="B27294" s="74" t="s">
        <v>5150</v>
      </c>
      <c r="C27294" s="74" t="s">
        <v>424</v>
      </c>
    </row>
    <row r="27295" spans="1:3">
      <c r="A27295" s="250">
        <v>62902</v>
      </c>
      <c r="B27295" s="74" t="s">
        <v>5150</v>
      </c>
      <c r="C27295" s="74" t="s">
        <v>424</v>
      </c>
    </row>
    <row r="27296" spans="1:3">
      <c r="A27296" s="250">
        <v>62903</v>
      </c>
      <c r="B27296" s="74" t="s">
        <v>5150</v>
      </c>
      <c r="C27296" s="74" t="s">
        <v>424</v>
      </c>
    </row>
    <row r="27297" spans="1:3">
      <c r="A27297" s="250">
        <v>62905</v>
      </c>
      <c r="B27297" s="74" t="s">
        <v>14020</v>
      </c>
      <c r="C27297" s="74" t="s">
        <v>424</v>
      </c>
    </row>
    <row r="27298" spans="1:3">
      <c r="A27298" s="250">
        <v>62906</v>
      </c>
      <c r="B27298" s="74" t="s">
        <v>10490</v>
      </c>
      <c r="C27298" s="74" t="s">
        <v>424</v>
      </c>
    </row>
    <row r="27299" spans="1:3">
      <c r="A27299" s="250">
        <v>62907</v>
      </c>
      <c r="B27299" s="74" t="s">
        <v>3431</v>
      </c>
      <c r="C27299" s="74" t="s">
        <v>424</v>
      </c>
    </row>
    <row r="27300" spans="1:3">
      <c r="A27300" s="250">
        <v>62908</v>
      </c>
      <c r="B27300" s="74" t="s">
        <v>14021</v>
      </c>
      <c r="C27300" s="74" t="s">
        <v>424</v>
      </c>
    </row>
    <row r="27301" spans="1:3">
      <c r="A27301" s="250">
        <v>62909</v>
      </c>
      <c r="B27301" s="74" t="s">
        <v>14022</v>
      </c>
      <c r="C27301" s="74" t="s">
        <v>424</v>
      </c>
    </row>
    <row r="27302" spans="1:3">
      <c r="A27302" s="250">
        <v>62910</v>
      </c>
      <c r="B27302" s="74" t="s">
        <v>14023</v>
      </c>
      <c r="C27302" s="74" t="s">
        <v>424</v>
      </c>
    </row>
    <row r="27303" spans="1:3">
      <c r="A27303" s="250">
        <v>62912</v>
      </c>
      <c r="B27303" s="74" t="s">
        <v>14024</v>
      </c>
      <c r="C27303" s="74" t="s">
        <v>424</v>
      </c>
    </row>
    <row r="27304" spans="1:3">
      <c r="A27304" s="250">
        <v>62914</v>
      </c>
      <c r="B27304" s="74" t="s">
        <v>3034</v>
      </c>
      <c r="C27304" s="74" t="s">
        <v>424</v>
      </c>
    </row>
    <row r="27305" spans="1:3">
      <c r="A27305" s="250">
        <v>62915</v>
      </c>
      <c r="B27305" s="74" t="s">
        <v>12054</v>
      </c>
      <c r="C27305" s="74" t="s">
        <v>424</v>
      </c>
    </row>
    <row r="27306" spans="1:3">
      <c r="A27306" s="250">
        <v>62916</v>
      </c>
      <c r="B27306" s="74" t="s">
        <v>14025</v>
      </c>
      <c r="C27306" s="74" t="s">
        <v>424</v>
      </c>
    </row>
    <row r="27307" spans="1:3">
      <c r="A27307" s="250">
        <v>62917</v>
      </c>
      <c r="B27307" s="74" t="s">
        <v>14026</v>
      </c>
      <c r="C27307" s="74" t="s">
        <v>424</v>
      </c>
    </row>
    <row r="27308" spans="1:3">
      <c r="A27308" s="250">
        <v>62918</v>
      </c>
      <c r="B27308" s="74" t="s">
        <v>14027</v>
      </c>
      <c r="C27308" s="74" t="s">
        <v>424</v>
      </c>
    </row>
    <row r="27309" spans="1:3">
      <c r="A27309" s="250">
        <v>62919</v>
      </c>
      <c r="B27309" s="74" t="s">
        <v>14028</v>
      </c>
      <c r="C27309" s="74" t="s">
        <v>424</v>
      </c>
    </row>
    <row r="27310" spans="1:3">
      <c r="A27310" s="250">
        <v>62920</v>
      </c>
      <c r="B27310" s="74" t="s">
        <v>14029</v>
      </c>
      <c r="C27310" s="74" t="s">
        <v>424</v>
      </c>
    </row>
    <row r="27311" spans="1:3">
      <c r="A27311" s="250">
        <v>62921</v>
      </c>
      <c r="B27311" s="74" t="s">
        <v>14030</v>
      </c>
      <c r="C27311" s="74" t="s">
        <v>424</v>
      </c>
    </row>
    <row r="27312" spans="1:3">
      <c r="A27312" s="250">
        <v>62922</v>
      </c>
      <c r="B27312" s="74" t="s">
        <v>14031</v>
      </c>
      <c r="C27312" s="74" t="s">
        <v>424</v>
      </c>
    </row>
    <row r="27313" spans="1:3">
      <c r="A27313" s="250">
        <v>62923</v>
      </c>
      <c r="B27313" s="74" t="s">
        <v>8303</v>
      </c>
      <c r="C27313" s="74" t="s">
        <v>424</v>
      </c>
    </row>
    <row r="27314" spans="1:3">
      <c r="A27314" s="250">
        <v>62924</v>
      </c>
      <c r="B27314" s="74" t="s">
        <v>8171</v>
      </c>
      <c r="C27314" s="74" t="s">
        <v>424</v>
      </c>
    </row>
    <row r="27315" spans="1:3">
      <c r="A27315" s="250">
        <v>62926</v>
      </c>
      <c r="B27315" s="74" t="s">
        <v>14032</v>
      </c>
      <c r="C27315" s="74" t="s">
        <v>424</v>
      </c>
    </row>
    <row r="27316" spans="1:3">
      <c r="A27316" s="250">
        <v>62927</v>
      </c>
      <c r="B27316" s="74" t="s">
        <v>5564</v>
      </c>
      <c r="C27316" s="74" t="s">
        <v>424</v>
      </c>
    </row>
    <row r="27317" spans="1:3">
      <c r="A27317" s="250">
        <v>62928</v>
      </c>
      <c r="B27317" s="74" t="s">
        <v>9933</v>
      </c>
      <c r="C27317" s="74" t="s">
        <v>424</v>
      </c>
    </row>
    <row r="27318" spans="1:3">
      <c r="A27318" s="250">
        <v>62930</v>
      </c>
      <c r="B27318" s="74" t="s">
        <v>10497</v>
      </c>
      <c r="C27318" s="74" t="s">
        <v>424</v>
      </c>
    </row>
    <row r="27319" spans="1:3">
      <c r="A27319" s="250">
        <v>62931</v>
      </c>
      <c r="B27319" s="74" t="s">
        <v>3293</v>
      </c>
      <c r="C27319" s="74" t="s">
        <v>424</v>
      </c>
    </row>
    <row r="27320" spans="1:3">
      <c r="A27320" s="250">
        <v>62932</v>
      </c>
      <c r="B27320" s="74" t="s">
        <v>14033</v>
      </c>
      <c r="C27320" s="74" t="s">
        <v>424</v>
      </c>
    </row>
    <row r="27321" spans="1:3">
      <c r="A27321" s="250">
        <v>62933</v>
      </c>
      <c r="B27321" s="74" t="s">
        <v>14034</v>
      </c>
      <c r="C27321" s="74" t="s">
        <v>424</v>
      </c>
    </row>
    <row r="27322" spans="1:3">
      <c r="A27322" s="250">
        <v>62934</v>
      </c>
      <c r="B27322" s="74" t="s">
        <v>8793</v>
      </c>
      <c r="C27322" s="74" t="s">
        <v>424</v>
      </c>
    </row>
    <row r="27323" spans="1:3">
      <c r="A27323" s="250">
        <v>62935</v>
      </c>
      <c r="B27323" s="74" t="s">
        <v>14035</v>
      </c>
      <c r="C27323" s="74" t="s">
        <v>424</v>
      </c>
    </row>
    <row r="27324" spans="1:3">
      <c r="A27324" s="250">
        <v>62938</v>
      </c>
      <c r="B27324" s="74" t="s">
        <v>14036</v>
      </c>
      <c r="C27324" s="74" t="s">
        <v>424</v>
      </c>
    </row>
    <row r="27325" spans="1:3">
      <c r="A27325" s="250">
        <v>62939</v>
      </c>
      <c r="B27325" s="74" t="s">
        <v>14037</v>
      </c>
      <c r="C27325" s="74" t="s">
        <v>424</v>
      </c>
    </row>
    <row r="27326" spans="1:3">
      <c r="A27326" s="250">
        <v>62940</v>
      </c>
      <c r="B27326" s="74" t="s">
        <v>1252</v>
      </c>
      <c r="C27326" s="74" t="s">
        <v>424</v>
      </c>
    </row>
    <row r="27327" spans="1:3">
      <c r="A27327" s="250">
        <v>62941</v>
      </c>
      <c r="B27327" s="74" t="s">
        <v>14038</v>
      </c>
      <c r="C27327" s="74" t="s">
        <v>424</v>
      </c>
    </row>
    <row r="27328" spans="1:3">
      <c r="A27328" s="250">
        <v>62942</v>
      </c>
      <c r="B27328" s="74" t="s">
        <v>14039</v>
      </c>
      <c r="C27328" s="74" t="s">
        <v>424</v>
      </c>
    </row>
    <row r="27329" spans="1:3">
      <c r="A27329" s="250">
        <v>62943</v>
      </c>
      <c r="B27329" s="74" t="s">
        <v>10812</v>
      </c>
      <c r="C27329" s="74" t="s">
        <v>424</v>
      </c>
    </row>
    <row r="27330" spans="1:3">
      <c r="A27330" s="250">
        <v>62946</v>
      </c>
      <c r="B27330" s="74" t="s">
        <v>4757</v>
      </c>
      <c r="C27330" s="74" t="s">
        <v>424</v>
      </c>
    </row>
    <row r="27331" spans="1:3">
      <c r="A27331" s="250">
        <v>62947</v>
      </c>
      <c r="B27331" s="74" t="s">
        <v>14040</v>
      </c>
      <c r="C27331" s="74" t="s">
        <v>424</v>
      </c>
    </row>
    <row r="27332" spans="1:3">
      <c r="A27332" s="250">
        <v>62948</v>
      </c>
      <c r="B27332" s="74" t="s">
        <v>14041</v>
      </c>
      <c r="C27332" s="74" t="s">
        <v>424</v>
      </c>
    </row>
    <row r="27333" spans="1:3">
      <c r="A27333" s="250">
        <v>62949</v>
      </c>
      <c r="B27333" s="74" t="s">
        <v>14042</v>
      </c>
      <c r="C27333" s="74" t="s">
        <v>424</v>
      </c>
    </row>
    <row r="27334" spans="1:3">
      <c r="A27334" s="250">
        <v>62950</v>
      </c>
      <c r="B27334" s="74" t="s">
        <v>14043</v>
      </c>
      <c r="C27334" s="74" t="s">
        <v>424</v>
      </c>
    </row>
    <row r="27335" spans="1:3">
      <c r="A27335" s="250">
        <v>62951</v>
      </c>
      <c r="B27335" s="74" t="s">
        <v>14044</v>
      </c>
      <c r="C27335" s="74" t="s">
        <v>424</v>
      </c>
    </row>
    <row r="27336" spans="1:3">
      <c r="A27336" s="250">
        <v>62952</v>
      </c>
      <c r="B27336" s="74" t="s">
        <v>1591</v>
      </c>
      <c r="C27336" s="74" t="s">
        <v>424</v>
      </c>
    </row>
    <row r="27337" spans="1:3">
      <c r="A27337" s="250">
        <v>62953</v>
      </c>
      <c r="B27337" s="74" t="s">
        <v>5679</v>
      </c>
      <c r="C27337" s="74" t="s">
        <v>424</v>
      </c>
    </row>
    <row r="27338" spans="1:3">
      <c r="A27338" s="250">
        <v>62954</v>
      </c>
      <c r="B27338" s="74" t="s">
        <v>14045</v>
      </c>
      <c r="C27338" s="74" t="s">
        <v>424</v>
      </c>
    </row>
    <row r="27339" spans="1:3">
      <c r="A27339" s="250">
        <v>62955</v>
      </c>
      <c r="B27339" s="74" t="s">
        <v>14046</v>
      </c>
      <c r="C27339" s="74" t="s">
        <v>424</v>
      </c>
    </row>
    <row r="27340" spans="1:3">
      <c r="A27340" s="250">
        <v>62956</v>
      </c>
      <c r="B27340" s="74" t="s">
        <v>14047</v>
      </c>
      <c r="C27340" s="74" t="s">
        <v>424</v>
      </c>
    </row>
    <row r="27341" spans="1:3">
      <c r="A27341" s="250">
        <v>62957</v>
      </c>
      <c r="B27341" s="74" t="s">
        <v>4955</v>
      </c>
      <c r="C27341" s="74" t="s">
        <v>424</v>
      </c>
    </row>
    <row r="27342" spans="1:3">
      <c r="A27342" s="250">
        <v>62958</v>
      </c>
      <c r="B27342" s="74" t="s">
        <v>14048</v>
      </c>
      <c r="C27342" s="74" t="s">
        <v>424</v>
      </c>
    </row>
    <row r="27343" spans="1:3">
      <c r="A27343" s="250">
        <v>62959</v>
      </c>
      <c r="B27343" s="74" t="s">
        <v>1071</v>
      </c>
      <c r="C27343" s="74" t="s">
        <v>424</v>
      </c>
    </row>
    <row r="27344" spans="1:3">
      <c r="A27344" s="250">
        <v>62960</v>
      </c>
      <c r="B27344" s="74" t="s">
        <v>14049</v>
      </c>
      <c r="C27344" s="74" t="s">
        <v>424</v>
      </c>
    </row>
    <row r="27345" spans="1:3">
      <c r="A27345" s="250">
        <v>62961</v>
      </c>
      <c r="B27345" s="74" t="s">
        <v>14050</v>
      </c>
      <c r="C27345" s="74" t="s">
        <v>424</v>
      </c>
    </row>
    <row r="27346" spans="1:3">
      <c r="A27346" s="250">
        <v>62962</v>
      </c>
      <c r="B27346" s="74" t="s">
        <v>10615</v>
      </c>
      <c r="C27346" s="74" t="s">
        <v>424</v>
      </c>
    </row>
    <row r="27347" spans="1:3">
      <c r="A27347" s="250">
        <v>62963</v>
      </c>
      <c r="B27347" s="74" t="s">
        <v>12960</v>
      </c>
      <c r="C27347" s="74" t="s">
        <v>424</v>
      </c>
    </row>
    <row r="27348" spans="1:3">
      <c r="A27348" s="250">
        <v>62964</v>
      </c>
      <c r="B27348" s="74" t="s">
        <v>14051</v>
      </c>
      <c r="C27348" s="74" t="s">
        <v>424</v>
      </c>
    </row>
    <row r="27349" spans="1:3">
      <c r="A27349" s="250">
        <v>62965</v>
      </c>
      <c r="B27349" s="74" t="s">
        <v>14052</v>
      </c>
      <c r="C27349" s="74" t="s">
        <v>424</v>
      </c>
    </row>
    <row r="27350" spans="1:3">
      <c r="A27350" s="250">
        <v>62966</v>
      </c>
      <c r="B27350" s="74" t="s">
        <v>14053</v>
      </c>
      <c r="C27350" s="74" t="s">
        <v>424</v>
      </c>
    </row>
    <row r="27351" spans="1:3">
      <c r="A27351" s="250">
        <v>62967</v>
      </c>
      <c r="B27351" s="74" t="s">
        <v>14054</v>
      </c>
      <c r="C27351" s="74" t="s">
        <v>424</v>
      </c>
    </row>
    <row r="27352" spans="1:3">
      <c r="A27352" s="250">
        <v>62969</v>
      </c>
      <c r="B27352" s="74" t="s">
        <v>9311</v>
      </c>
      <c r="C27352" s="74" t="s">
        <v>424</v>
      </c>
    </row>
    <row r="27353" spans="1:3">
      <c r="A27353" s="250">
        <v>62970</v>
      </c>
      <c r="B27353" s="74" t="s">
        <v>14055</v>
      </c>
      <c r="C27353" s="74" t="s">
        <v>424</v>
      </c>
    </row>
    <row r="27354" spans="1:3">
      <c r="A27354" s="250">
        <v>62971</v>
      </c>
      <c r="B27354" s="74" t="s">
        <v>14056</v>
      </c>
      <c r="C27354" s="74" t="s">
        <v>424</v>
      </c>
    </row>
    <row r="27355" spans="1:3">
      <c r="A27355" s="250">
        <v>62972</v>
      </c>
      <c r="B27355" s="74" t="s">
        <v>8852</v>
      </c>
      <c r="C27355" s="74" t="s">
        <v>424</v>
      </c>
    </row>
    <row r="27356" spans="1:3">
      <c r="A27356" s="250">
        <v>62973</v>
      </c>
      <c r="B27356" s="74" t="s">
        <v>14057</v>
      </c>
      <c r="C27356" s="74" t="s">
        <v>424</v>
      </c>
    </row>
    <row r="27357" spans="1:3">
      <c r="A27357" s="250">
        <v>62974</v>
      </c>
      <c r="B27357" s="74" t="s">
        <v>1259</v>
      </c>
      <c r="C27357" s="74" t="s">
        <v>424</v>
      </c>
    </row>
    <row r="27358" spans="1:3">
      <c r="A27358" s="250">
        <v>62975</v>
      </c>
      <c r="B27358" s="74" t="s">
        <v>2461</v>
      </c>
      <c r="C27358" s="74" t="s">
        <v>424</v>
      </c>
    </row>
    <row r="27359" spans="1:3">
      <c r="A27359" s="250">
        <v>62976</v>
      </c>
      <c r="B27359" s="74" t="s">
        <v>3408</v>
      </c>
      <c r="C27359" s="74" t="s">
        <v>424</v>
      </c>
    </row>
    <row r="27360" spans="1:3">
      <c r="A27360" s="250">
        <v>62977</v>
      </c>
      <c r="B27360" s="74" t="s">
        <v>6819</v>
      </c>
      <c r="C27360" s="74" t="s">
        <v>424</v>
      </c>
    </row>
    <row r="27361" spans="1:3">
      <c r="A27361" s="250">
        <v>62979</v>
      </c>
      <c r="B27361" s="74" t="s">
        <v>4331</v>
      </c>
      <c r="C27361" s="74" t="s">
        <v>424</v>
      </c>
    </row>
    <row r="27362" spans="1:3">
      <c r="A27362" s="250">
        <v>62982</v>
      </c>
      <c r="B27362" s="74" t="s">
        <v>14058</v>
      </c>
      <c r="C27362" s="74" t="s">
        <v>424</v>
      </c>
    </row>
    <row r="27363" spans="1:3">
      <c r="A27363" s="250">
        <v>62983</v>
      </c>
      <c r="B27363" s="74" t="s">
        <v>9805</v>
      </c>
      <c r="C27363" s="74" t="s">
        <v>424</v>
      </c>
    </row>
    <row r="27364" spans="1:3">
      <c r="A27364" s="250">
        <v>62984</v>
      </c>
      <c r="B27364" s="74" t="s">
        <v>14059</v>
      </c>
      <c r="C27364" s="74" t="s">
        <v>424</v>
      </c>
    </row>
    <row r="27365" spans="1:3">
      <c r="A27365" s="250">
        <v>62985</v>
      </c>
      <c r="B27365" s="74" t="s">
        <v>6957</v>
      </c>
      <c r="C27365" s="74" t="s">
        <v>424</v>
      </c>
    </row>
    <row r="27366" spans="1:3">
      <c r="A27366" s="250">
        <v>62987</v>
      </c>
      <c r="B27366" s="74" t="s">
        <v>14060</v>
      </c>
      <c r="C27366" s="74" t="s">
        <v>424</v>
      </c>
    </row>
    <row r="27367" spans="1:3">
      <c r="A27367" s="250">
        <v>62988</v>
      </c>
      <c r="B27367" s="74" t="s">
        <v>14061</v>
      </c>
      <c r="C27367" s="74" t="s">
        <v>424</v>
      </c>
    </row>
    <row r="27368" spans="1:3">
      <c r="A27368" s="250">
        <v>62990</v>
      </c>
      <c r="B27368" s="74" t="s">
        <v>14062</v>
      </c>
      <c r="C27368" s="74" t="s">
        <v>424</v>
      </c>
    </row>
    <row r="27369" spans="1:3">
      <c r="A27369" s="250">
        <v>62992</v>
      </c>
      <c r="B27369" s="74" t="s">
        <v>14063</v>
      </c>
      <c r="C27369" s="74" t="s">
        <v>424</v>
      </c>
    </row>
    <row r="27370" spans="1:3">
      <c r="A27370" s="250">
        <v>62993</v>
      </c>
      <c r="B27370" s="74" t="s">
        <v>1724</v>
      </c>
      <c r="C27370" s="74" t="s">
        <v>424</v>
      </c>
    </row>
    <row r="27371" spans="1:3">
      <c r="A27371" s="250">
        <v>62994</v>
      </c>
      <c r="B27371" s="74" t="s">
        <v>1836</v>
      </c>
      <c r="C27371" s="74" t="s">
        <v>424</v>
      </c>
    </row>
    <row r="27372" spans="1:3">
      <c r="A27372" s="250">
        <v>62995</v>
      </c>
      <c r="B27372" s="74" t="s">
        <v>1486</v>
      </c>
      <c r="C27372" s="74" t="s">
        <v>424</v>
      </c>
    </row>
    <row r="27373" spans="1:3">
      <c r="A27373" s="250">
        <v>62996</v>
      </c>
      <c r="B27373" s="74" t="s">
        <v>14064</v>
      </c>
      <c r="C27373" s="74" t="s">
        <v>424</v>
      </c>
    </row>
    <row r="27374" spans="1:3">
      <c r="A27374" s="250">
        <v>62997</v>
      </c>
      <c r="B27374" s="74" t="s">
        <v>14065</v>
      </c>
      <c r="C27374" s="74" t="s">
        <v>424</v>
      </c>
    </row>
    <row r="27375" spans="1:3">
      <c r="A27375" s="250">
        <v>62998</v>
      </c>
      <c r="B27375" s="74" t="s">
        <v>12734</v>
      </c>
      <c r="C27375" s="74" t="s">
        <v>424</v>
      </c>
    </row>
    <row r="27376" spans="1:3">
      <c r="A27376" s="250">
        <v>62999</v>
      </c>
      <c r="B27376" s="74" t="s">
        <v>14066</v>
      </c>
      <c r="C27376" s="74" t="s">
        <v>424</v>
      </c>
    </row>
    <row r="27377" spans="1:3">
      <c r="A27377" s="250">
        <v>63001</v>
      </c>
      <c r="B27377" s="74" t="s">
        <v>10981</v>
      </c>
      <c r="C27377" s="74" t="s">
        <v>436</v>
      </c>
    </row>
    <row r="27378" spans="1:3">
      <c r="A27378" s="250">
        <v>63005</v>
      </c>
      <c r="B27378" s="74" t="s">
        <v>584</v>
      </c>
      <c r="C27378" s="74" t="s">
        <v>436</v>
      </c>
    </row>
    <row r="27379" spans="1:3">
      <c r="A27379" s="250">
        <v>63006</v>
      </c>
      <c r="B27379" s="74" t="s">
        <v>584</v>
      </c>
      <c r="C27379" s="74" t="s">
        <v>436</v>
      </c>
    </row>
    <row r="27380" spans="1:3">
      <c r="A27380" s="250">
        <v>63010</v>
      </c>
      <c r="B27380" s="74" t="s">
        <v>5652</v>
      </c>
      <c r="C27380" s="74" t="s">
        <v>436</v>
      </c>
    </row>
    <row r="27381" spans="1:3">
      <c r="A27381" s="250">
        <v>63011</v>
      </c>
      <c r="B27381" s="74" t="s">
        <v>14067</v>
      </c>
      <c r="C27381" s="74" t="s">
        <v>436</v>
      </c>
    </row>
    <row r="27382" spans="1:3">
      <c r="A27382" s="250">
        <v>63012</v>
      </c>
      <c r="B27382" s="74" t="s">
        <v>14068</v>
      </c>
      <c r="C27382" s="74" t="s">
        <v>436</v>
      </c>
    </row>
    <row r="27383" spans="1:3">
      <c r="A27383" s="250">
        <v>63013</v>
      </c>
      <c r="B27383" s="74" t="s">
        <v>7428</v>
      </c>
      <c r="C27383" s="74" t="s">
        <v>436</v>
      </c>
    </row>
    <row r="27384" spans="1:3">
      <c r="A27384" s="250">
        <v>63014</v>
      </c>
      <c r="B27384" s="74" t="s">
        <v>14069</v>
      </c>
      <c r="C27384" s="74" t="s">
        <v>436</v>
      </c>
    </row>
    <row r="27385" spans="1:3">
      <c r="A27385" s="250">
        <v>63015</v>
      </c>
      <c r="B27385" s="74" t="s">
        <v>4940</v>
      </c>
      <c r="C27385" s="74" t="s">
        <v>436</v>
      </c>
    </row>
    <row r="27386" spans="1:3">
      <c r="A27386" s="250">
        <v>63016</v>
      </c>
      <c r="B27386" s="74" t="s">
        <v>8993</v>
      </c>
      <c r="C27386" s="74" t="s">
        <v>436</v>
      </c>
    </row>
    <row r="27387" spans="1:3">
      <c r="A27387" s="250">
        <v>63017</v>
      </c>
      <c r="B27387" s="74" t="s">
        <v>584</v>
      </c>
      <c r="C27387" s="74" t="s">
        <v>436</v>
      </c>
    </row>
    <row r="27388" spans="1:3">
      <c r="A27388" s="250">
        <v>63019</v>
      </c>
      <c r="B27388" s="74" t="s">
        <v>14070</v>
      </c>
      <c r="C27388" s="74" t="s">
        <v>436</v>
      </c>
    </row>
    <row r="27389" spans="1:3">
      <c r="A27389" s="250">
        <v>63020</v>
      </c>
      <c r="B27389" s="74" t="s">
        <v>8171</v>
      </c>
      <c r="C27389" s="74" t="s">
        <v>436</v>
      </c>
    </row>
    <row r="27390" spans="1:3">
      <c r="A27390" s="250">
        <v>63021</v>
      </c>
      <c r="B27390" s="74" t="s">
        <v>14067</v>
      </c>
      <c r="C27390" s="74" t="s">
        <v>436</v>
      </c>
    </row>
    <row r="27391" spans="1:3">
      <c r="A27391" s="250">
        <v>63022</v>
      </c>
      <c r="B27391" s="74" t="s">
        <v>14067</v>
      </c>
      <c r="C27391" s="74" t="s">
        <v>436</v>
      </c>
    </row>
    <row r="27392" spans="1:3">
      <c r="A27392" s="250">
        <v>63023</v>
      </c>
      <c r="B27392" s="74" t="s">
        <v>14071</v>
      </c>
      <c r="C27392" s="74" t="s">
        <v>436</v>
      </c>
    </row>
    <row r="27393" spans="1:3">
      <c r="A27393" s="250">
        <v>63024</v>
      </c>
      <c r="B27393" s="74" t="s">
        <v>14067</v>
      </c>
      <c r="C27393" s="74" t="s">
        <v>436</v>
      </c>
    </row>
    <row r="27394" spans="1:3">
      <c r="A27394" s="250">
        <v>63025</v>
      </c>
      <c r="B27394" s="74" t="s">
        <v>11160</v>
      </c>
      <c r="C27394" s="74" t="s">
        <v>436</v>
      </c>
    </row>
    <row r="27395" spans="1:3">
      <c r="A27395" s="250">
        <v>63026</v>
      </c>
      <c r="B27395" s="74" t="s">
        <v>11065</v>
      </c>
      <c r="C27395" s="74" t="s">
        <v>436</v>
      </c>
    </row>
    <row r="27396" spans="1:3">
      <c r="A27396" s="250">
        <v>63028</v>
      </c>
      <c r="B27396" s="74" t="s">
        <v>14072</v>
      </c>
      <c r="C27396" s="74" t="s">
        <v>436</v>
      </c>
    </row>
    <row r="27397" spans="1:3">
      <c r="A27397" s="250">
        <v>63030</v>
      </c>
      <c r="B27397" s="74" t="s">
        <v>7550</v>
      </c>
      <c r="C27397" s="74" t="s">
        <v>436</v>
      </c>
    </row>
    <row r="27398" spans="1:3">
      <c r="A27398" s="250">
        <v>63031</v>
      </c>
      <c r="B27398" s="74" t="s">
        <v>14073</v>
      </c>
      <c r="C27398" s="74" t="s">
        <v>436</v>
      </c>
    </row>
    <row r="27399" spans="1:3">
      <c r="A27399" s="250">
        <v>63032</v>
      </c>
      <c r="B27399" s="74" t="s">
        <v>14073</v>
      </c>
      <c r="C27399" s="74" t="s">
        <v>436</v>
      </c>
    </row>
    <row r="27400" spans="1:3">
      <c r="A27400" s="250">
        <v>63033</v>
      </c>
      <c r="B27400" s="74" t="s">
        <v>14073</v>
      </c>
      <c r="C27400" s="74" t="s">
        <v>436</v>
      </c>
    </row>
    <row r="27401" spans="1:3">
      <c r="A27401" s="250">
        <v>63034</v>
      </c>
      <c r="B27401" s="74" t="s">
        <v>14073</v>
      </c>
      <c r="C27401" s="74" t="s">
        <v>436</v>
      </c>
    </row>
    <row r="27402" spans="1:3">
      <c r="A27402" s="250">
        <v>63036</v>
      </c>
      <c r="B27402" s="74" t="s">
        <v>14074</v>
      </c>
      <c r="C27402" s="74" t="s">
        <v>436</v>
      </c>
    </row>
    <row r="27403" spans="1:3">
      <c r="A27403" s="250">
        <v>63037</v>
      </c>
      <c r="B27403" s="74" t="s">
        <v>14075</v>
      </c>
      <c r="C27403" s="74" t="s">
        <v>436</v>
      </c>
    </row>
    <row r="27404" spans="1:3">
      <c r="A27404" s="250">
        <v>63038</v>
      </c>
      <c r="B27404" s="74" t="s">
        <v>9736</v>
      </c>
      <c r="C27404" s="74" t="s">
        <v>436</v>
      </c>
    </row>
    <row r="27405" spans="1:3">
      <c r="A27405" s="250">
        <v>63039</v>
      </c>
      <c r="B27405" s="74" t="s">
        <v>14076</v>
      </c>
      <c r="C27405" s="74" t="s">
        <v>436</v>
      </c>
    </row>
    <row r="27406" spans="1:3">
      <c r="A27406" s="250">
        <v>63040</v>
      </c>
      <c r="B27406" s="74" t="s">
        <v>4907</v>
      </c>
      <c r="C27406" s="74" t="s">
        <v>436</v>
      </c>
    </row>
    <row r="27407" spans="1:3">
      <c r="A27407" s="250">
        <v>63041</v>
      </c>
      <c r="B27407" s="74" t="s">
        <v>14077</v>
      </c>
      <c r="C27407" s="74" t="s">
        <v>436</v>
      </c>
    </row>
    <row r="27408" spans="1:3">
      <c r="A27408" s="250">
        <v>63042</v>
      </c>
      <c r="B27408" s="74" t="s">
        <v>7553</v>
      </c>
      <c r="C27408" s="74" t="s">
        <v>436</v>
      </c>
    </row>
    <row r="27409" spans="1:3">
      <c r="A27409" s="250">
        <v>63043</v>
      </c>
      <c r="B27409" s="74" t="s">
        <v>14078</v>
      </c>
      <c r="C27409" s="74" t="s">
        <v>436</v>
      </c>
    </row>
    <row r="27410" spans="1:3">
      <c r="A27410" s="250">
        <v>63044</v>
      </c>
      <c r="B27410" s="74" t="s">
        <v>2473</v>
      </c>
      <c r="C27410" s="74" t="s">
        <v>436</v>
      </c>
    </row>
    <row r="27411" spans="1:3">
      <c r="A27411" s="250">
        <v>63045</v>
      </c>
      <c r="B27411" s="74" t="s">
        <v>14079</v>
      </c>
      <c r="C27411" s="74" t="s">
        <v>436</v>
      </c>
    </row>
    <row r="27412" spans="1:3">
      <c r="A27412" s="250">
        <v>63047</v>
      </c>
      <c r="B27412" s="74" t="s">
        <v>14080</v>
      </c>
      <c r="C27412" s="74" t="s">
        <v>436</v>
      </c>
    </row>
    <row r="27413" spans="1:3">
      <c r="A27413" s="250">
        <v>63048</v>
      </c>
      <c r="B27413" s="74" t="s">
        <v>14081</v>
      </c>
      <c r="C27413" s="74" t="s">
        <v>436</v>
      </c>
    </row>
    <row r="27414" spans="1:3">
      <c r="A27414" s="250">
        <v>63049</v>
      </c>
      <c r="B27414" s="74" t="s">
        <v>14082</v>
      </c>
      <c r="C27414" s="74" t="s">
        <v>436</v>
      </c>
    </row>
    <row r="27415" spans="1:3">
      <c r="A27415" s="250">
        <v>63050</v>
      </c>
      <c r="B27415" s="74" t="s">
        <v>5758</v>
      </c>
      <c r="C27415" s="74" t="s">
        <v>436</v>
      </c>
    </row>
    <row r="27416" spans="1:3">
      <c r="A27416" s="250">
        <v>63051</v>
      </c>
      <c r="B27416" s="74" t="s">
        <v>14083</v>
      </c>
      <c r="C27416" s="74" t="s">
        <v>436</v>
      </c>
    </row>
    <row r="27417" spans="1:3">
      <c r="A27417" s="250">
        <v>63052</v>
      </c>
      <c r="B27417" s="74" t="s">
        <v>4026</v>
      </c>
      <c r="C27417" s="74" t="s">
        <v>436</v>
      </c>
    </row>
    <row r="27418" spans="1:3">
      <c r="A27418" s="250">
        <v>63053</v>
      </c>
      <c r="B27418" s="74" t="s">
        <v>14084</v>
      </c>
      <c r="C27418" s="74" t="s">
        <v>436</v>
      </c>
    </row>
    <row r="27419" spans="1:3">
      <c r="A27419" s="250">
        <v>63055</v>
      </c>
      <c r="B27419" s="74" t="s">
        <v>14085</v>
      </c>
      <c r="C27419" s="74" t="s">
        <v>436</v>
      </c>
    </row>
    <row r="27420" spans="1:3">
      <c r="A27420" s="250">
        <v>63056</v>
      </c>
      <c r="B27420" s="74" t="s">
        <v>6839</v>
      </c>
      <c r="C27420" s="74" t="s">
        <v>436</v>
      </c>
    </row>
    <row r="27421" spans="1:3">
      <c r="A27421" s="250">
        <v>63057</v>
      </c>
      <c r="B27421" s="74" t="s">
        <v>14086</v>
      </c>
      <c r="C27421" s="74" t="s">
        <v>436</v>
      </c>
    </row>
    <row r="27422" spans="1:3">
      <c r="A27422" s="250">
        <v>63060</v>
      </c>
      <c r="B27422" s="74" t="s">
        <v>14087</v>
      </c>
      <c r="C27422" s="74" t="s">
        <v>436</v>
      </c>
    </row>
    <row r="27423" spans="1:3">
      <c r="A27423" s="250">
        <v>63061</v>
      </c>
      <c r="B27423" s="74" t="s">
        <v>14088</v>
      </c>
      <c r="C27423" s="74" t="s">
        <v>436</v>
      </c>
    </row>
    <row r="27424" spans="1:3">
      <c r="A27424" s="250">
        <v>63065</v>
      </c>
      <c r="B27424" s="74" t="s">
        <v>14089</v>
      </c>
      <c r="C27424" s="74" t="s">
        <v>436</v>
      </c>
    </row>
    <row r="27425" spans="1:3">
      <c r="A27425" s="250">
        <v>63066</v>
      </c>
      <c r="B27425" s="74" t="s">
        <v>14090</v>
      </c>
      <c r="C27425" s="74" t="s">
        <v>436</v>
      </c>
    </row>
    <row r="27426" spans="1:3">
      <c r="A27426" s="250">
        <v>63068</v>
      </c>
      <c r="B27426" s="74" t="s">
        <v>1823</v>
      </c>
      <c r="C27426" s="74" t="s">
        <v>436</v>
      </c>
    </row>
    <row r="27427" spans="1:3">
      <c r="A27427" s="250">
        <v>63069</v>
      </c>
      <c r="B27427" s="74" t="s">
        <v>14091</v>
      </c>
      <c r="C27427" s="74" t="s">
        <v>436</v>
      </c>
    </row>
    <row r="27428" spans="1:3">
      <c r="A27428" s="250">
        <v>63070</v>
      </c>
      <c r="B27428" s="74" t="s">
        <v>14092</v>
      </c>
      <c r="C27428" s="74" t="s">
        <v>436</v>
      </c>
    </row>
    <row r="27429" spans="1:3">
      <c r="A27429" s="250">
        <v>63071</v>
      </c>
      <c r="B27429" s="74" t="s">
        <v>14093</v>
      </c>
      <c r="C27429" s="74" t="s">
        <v>436</v>
      </c>
    </row>
    <row r="27430" spans="1:3">
      <c r="A27430" s="250">
        <v>63072</v>
      </c>
      <c r="B27430" s="74" t="s">
        <v>10408</v>
      </c>
      <c r="C27430" s="74" t="s">
        <v>436</v>
      </c>
    </row>
    <row r="27431" spans="1:3">
      <c r="A27431" s="250">
        <v>63073</v>
      </c>
      <c r="B27431" s="74" t="s">
        <v>1713</v>
      </c>
      <c r="C27431" s="74" t="s">
        <v>436</v>
      </c>
    </row>
    <row r="27432" spans="1:3">
      <c r="A27432" s="250">
        <v>63074</v>
      </c>
      <c r="B27432" s="74" t="s">
        <v>14094</v>
      </c>
      <c r="C27432" s="74" t="s">
        <v>436</v>
      </c>
    </row>
    <row r="27433" spans="1:3">
      <c r="A27433" s="250">
        <v>63077</v>
      </c>
      <c r="B27433" s="74" t="s">
        <v>5017</v>
      </c>
      <c r="C27433" s="74" t="s">
        <v>436</v>
      </c>
    </row>
    <row r="27434" spans="1:3">
      <c r="A27434" s="250">
        <v>63079</v>
      </c>
      <c r="B27434" s="74" t="s">
        <v>2602</v>
      </c>
      <c r="C27434" s="74" t="s">
        <v>436</v>
      </c>
    </row>
    <row r="27435" spans="1:3">
      <c r="A27435" s="250">
        <v>63080</v>
      </c>
      <c r="B27435" s="74" t="s">
        <v>1231</v>
      </c>
      <c r="C27435" s="74" t="s">
        <v>436</v>
      </c>
    </row>
    <row r="27436" spans="1:3">
      <c r="A27436" s="250">
        <v>63084</v>
      </c>
      <c r="B27436" s="74" t="s">
        <v>1346</v>
      </c>
      <c r="C27436" s="74" t="s">
        <v>436</v>
      </c>
    </row>
    <row r="27437" spans="1:3">
      <c r="A27437" s="250">
        <v>63087</v>
      </c>
      <c r="B27437" s="74" t="s">
        <v>14095</v>
      </c>
      <c r="C27437" s="74" t="s">
        <v>436</v>
      </c>
    </row>
    <row r="27438" spans="1:3">
      <c r="A27438" s="250">
        <v>63088</v>
      </c>
      <c r="B27438" s="74" t="s">
        <v>9451</v>
      </c>
      <c r="C27438" s="74" t="s">
        <v>436</v>
      </c>
    </row>
    <row r="27439" spans="1:3">
      <c r="A27439" s="250">
        <v>63089</v>
      </c>
      <c r="B27439" s="74" t="s">
        <v>14064</v>
      </c>
      <c r="C27439" s="74" t="s">
        <v>436</v>
      </c>
    </row>
    <row r="27440" spans="1:3">
      <c r="A27440" s="250">
        <v>63090</v>
      </c>
      <c r="B27440" s="74" t="s">
        <v>1215</v>
      </c>
      <c r="C27440" s="74" t="s">
        <v>436</v>
      </c>
    </row>
    <row r="27441" spans="1:3">
      <c r="A27441" s="250">
        <v>63091</v>
      </c>
      <c r="B27441" s="74" t="s">
        <v>12938</v>
      </c>
      <c r="C27441" s="74" t="s">
        <v>436</v>
      </c>
    </row>
    <row r="27442" spans="1:3">
      <c r="A27442" s="250">
        <v>63099</v>
      </c>
      <c r="B27442" s="74" t="s">
        <v>11065</v>
      </c>
      <c r="C27442" s="74" t="s">
        <v>436</v>
      </c>
    </row>
    <row r="27443" spans="1:3">
      <c r="A27443" s="250">
        <v>63101</v>
      </c>
      <c r="B27443" s="74" t="s">
        <v>11177</v>
      </c>
      <c r="C27443" s="74" t="s">
        <v>436</v>
      </c>
    </row>
    <row r="27444" spans="1:3">
      <c r="A27444" s="250">
        <v>63102</v>
      </c>
      <c r="B27444" s="74" t="s">
        <v>11177</v>
      </c>
      <c r="C27444" s="74" t="s">
        <v>436</v>
      </c>
    </row>
    <row r="27445" spans="1:3">
      <c r="A27445" s="250">
        <v>63103</v>
      </c>
      <c r="B27445" s="74" t="s">
        <v>11177</v>
      </c>
      <c r="C27445" s="74" t="s">
        <v>436</v>
      </c>
    </row>
    <row r="27446" spans="1:3">
      <c r="A27446" s="250">
        <v>63104</v>
      </c>
      <c r="B27446" s="74" t="s">
        <v>11177</v>
      </c>
      <c r="C27446" s="74" t="s">
        <v>436</v>
      </c>
    </row>
    <row r="27447" spans="1:3">
      <c r="A27447" s="250">
        <v>63105</v>
      </c>
      <c r="B27447" s="74" t="s">
        <v>11177</v>
      </c>
      <c r="C27447" s="74" t="s">
        <v>436</v>
      </c>
    </row>
    <row r="27448" spans="1:3">
      <c r="A27448" s="250">
        <v>63106</v>
      </c>
      <c r="B27448" s="74" t="s">
        <v>11177</v>
      </c>
      <c r="C27448" s="74" t="s">
        <v>436</v>
      </c>
    </row>
    <row r="27449" spans="1:3">
      <c r="A27449" s="250">
        <v>63107</v>
      </c>
      <c r="B27449" s="74" t="s">
        <v>11177</v>
      </c>
      <c r="C27449" s="74" t="s">
        <v>436</v>
      </c>
    </row>
    <row r="27450" spans="1:3">
      <c r="A27450" s="250">
        <v>63108</v>
      </c>
      <c r="B27450" s="74" t="s">
        <v>11177</v>
      </c>
      <c r="C27450" s="74" t="s">
        <v>436</v>
      </c>
    </row>
    <row r="27451" spans="1:3">
      <c r="A27451" s="250">
        <v>63109</v>
      </c>
      <c r="B27451" s="74" t="s">
        <v>11177</v>
      </c>
      <c r="C27451" s="74" t="s">
        <v>436</v>
      </c>
    </row>
    <row r="27452" spans="1:3">
      <c r="A27452" s="250">
        <v>63110</v>
      </c>
      <c r="B27452" s="74" t="s">
        <v>11177</v>
      </c>
      <c r="C27452" s="74" t="s">
        <v>436</v>
      </c>
    </row>
    <row r="27453" spans="1:3">
      <c r="A27453" s="250">
        <v>63111</v>
      </c>
      <c r="B27453" s="74" t="s">
        <v>11177</v>
      </c>
      <c r="C27453" s="74" t="s">
        <v>436</v>
      </c>
    </row>
    <row r="27454" spans="1:3">
      <c r="A27454" s="250">
        <v>63112</v>
      </c>
      <c r="B27454" s="74" t="s">
        <v>11177</v>
      </c>
      <c r="C27454" s="74" t="s">
        <v>436</v>
      </c>
    </row>
    <row r="27455" spans="1:3">
      <c r="A27455" s="250">
        <v>63113</v>
      </c>
      <c r="B27455" s="74" t="s">
        <v>11177</v>
      </c>
      <c r="C27455" s="74" t="s">
        <v>436</v>
      </c>
    </row>
    <row r="27456" spans="1:3">
      <c r="A27456" s="250">
        <v>63114</v>
      </c>
      <c r="B27456" s="74" t="s">
        <v>11177</v>
      </c>
      <c r="C27456" s="74" t="s">
        <v>436</v>
      </c>
    </row>
    <row r="27457" spans="1:3">
      <c r="A27457" s="250">
        <v>63115</v>
      </c>
      <c r="B27457" s="74" t="s">
        <v>11177</v>
      </c>
      <c r="C27457" s="74" t="s">
        <v>436</v>
      </c>
    </row>
    <row r="27458" spans="1:3">
      <c r="A27458" s="250">
        <v>63116</v>
      </c>
      <c r="B27458" s="74" t="s">
        <v>11177</v>
      </c>
      <c r="C27458" s="74" t="s">
        <v>436</v>
      </c>
    </row>
    <row r="27459" spans="1:3">
      <c r="A27459" s="250">
        <v>63117</v>
      </c>
      <c r="B27459" s="74" t="s">
        <v>11177</v>
      </c>
      <c r="C27459" s="74" t="s">
        <v>436</v>
      </c>
    </row>
    <row r="27460" spans="1:3">
      <c r="A27460" s="250">
        <v>63118</v>
      </c>
      <c r="B27460" s="74" t="s">
        <v>11177</v>
      </c>
      <c r="C27460" s="74" t="s">
        <v>436</v>
      </c>
    </row>
    <row r="27461" spans="1:3">
      <c r="A27461" s="250">
        <v>63119</v>
      </c>
      <c r="B27461" s="74" t="s">
        <v>11177</v>
      </c>
      <c r="C27461" s="74" t="s">
        <v>436</v>
      </c>
    </row>
    <row r="27462" spans="1:3">
      <c r="A27462" s="250">
        <v>63120</v>
      </c>
      <c r="B27462" s="74" t="s">
        <v>11177</v>
      </c>
      <c r="C27462" s="74" t="s">
        <v>436</v>
      </c>
    </row>
    <row r="27463" spans="1:3">
      <c r="A27463" s="250">
        <v>63121</v>
      </c>
      <c r="B27463" s="74" t="s">
        <v>11177</v>
      </c>
      <c r="C27463" s="74" t="s">
        <v>436</v>
      </c>
    </row>
    <row r="27464" spans="1:3">
      <c r="A27464" s="250">
        <v>63122</v>
      </c>
      <c r="B27464" s="74" t="s">
        <v>11177</v>
      </c>
      <c r="C27464" s="74" t="s">
        <v>436</v>
      </c>
    </row>
    <row r="27465" spans="1:3">
      <c r="A27465" s="250">
        <v>63123</v>
      </c>
      <c r="B27465" s="74" t="s">
        <v>11177</v>
      </c>
      <c r="C27465" s="74" t="s">
        <v>436</v>
      </c>
    </row>
    <row r="27466" spans="1:3">
      <c r="A27466" s="250">
        <v>63124</v>
      </c>
      <c r="B27466" s="74" t="s">
        <v>11177</v>
      </c>
      <c r="C27466" s="74" t="s">
        <v>436</v>
      </c>
    </row>
    <row r="27467" spans="1:3">
      <c r="A27467" s="250">
        <v>63125</v>
      </c>
      <c r="B27467" s="74" t="s">
        <v>11177</v>
      </c>
      <c r="C27467" s="74" t="s">
        <v>436</v>
      </c>
    </row>
    <row r="27468" spans="1:3">
      <c r="A27468" s="250">
        <v>63126</v>
      </c>
      <c r="B27468" s="74" t="s">
        <v>11177</v>
      </c>
      <c r="C27468" s="74" t="s">
        <v>436</v>
      </c>
    </row>
    <row r="27469" spans="1:3">
      <c r="A27469" s="250">
        <v>63127</v>
      </c>
      <c r="B27469" s="74" t="s">
        <v>11177</v>
      </c>
      <c r="C27469" s="74" t="s">
        <v>436</v>
      </c>
    </row>
    <row r="27470" spans="1:3">
      <c r="A27470" s="250">
        <v>63128</v>
      </c>
      <c r="B27470" s="74" t="s">
        <v>11177</v>
      </c>
      <c r="C27470" s="74" t="s">
        <v>436</v>
      </c>
    </row>
    <row r="27471" spans="1:3">
      <c r="A27471" s="250">
        <v>63129</v>
      </c>
      <c r="B27471" s="74" t="s">
        <v>11177</v>
      </c>
      <c r="C27471" s="74" t="s">
        <v>436</v>
      </c>
    </row>
    <row r="27472" spans="1:3">
      <c r="A27472" s="250">
        <v>63130</v>
      </c>
      <c r="B27472" s="74" t="s">
        <v>11177</v>
      </c>
      <c r="C27472" s="74" t="s">
        <v>436</v>
      </c>
    </row>
    <row r="27473" spans="1:3">
      <c r="A27473" s="250">
        <v>63131</v>
      </c>
      <c r="B27473" s="74" t="s">
        <v>11177</v>
      </c>
      <c r="C27473" s="74" t="s">
        <v>436</v>
      </c>
    </row>
    <row r="27474" spans="1:3">
      <c r="A27474" s="250">
        <v>63132</v>
      </c>
      <c r="B27474" s="74" t="s">
        <v>11177</v>
      </c>
      <c r="C27474" s="74" t="s">
        <v>436</v>
      </c>
    </row>
    <row r="27475" spans="1:3">
      <c r="A27475" s="250">
        <v>63133</v>
      </c>
      <c r="B27475" s="74" t="s">
        <v>11177</v>
      </c>
      <c r="C27475" s="74" t="s">
        <v>436</v>
      </c>
    </row>
    <row r="27476" spans="1:3">
      <c r="A27476" s="250">
        <v>63134</v>
      </c>
      <c r="B27476" s="74" t="s">
        <v>11177</v>
      </c>
      <c r="C27476" s="74" t="s">
        <v>436</v>
      </c>
    </row>
    <row r="27477" spans="1:3">
      <c r="A27477" s="250">
        <v>63135</v>
      </c>
      <c r="B27477" s="74" t="s">
        <v>11177</v>
      </c>
      <c r="C27477" s="74" t="s">
        <v>436</v>
      </c>
    </row>
    <row r="27478" spans="1:3">
      <c r="A27478" s="250">
        <v>63136</v>
      </c>
      <c r="B27478" s="74" t="s">
        <v>11177</v>
      </c>
      <c r="C27478" s="74" t="s">
        <v>436</v>
      </c>
    </row>
    <row r="27479" spans="1:3">
      <c r="A27479" s="250">
        <v>63137</v>
      </c>
      <c r="B27479" s="74" t="s">
        <v>11177</v>
      </c>
      <c r="C27479" s="74" t="s">
        <v>436</v>
      </c>
    </row>
    <row r="27480" spans="1:3">
      <c r="A27480" s="250">
        <v>63138</v>
      </c>
      <c r="B27480" s="74" t="s">
        <v>11177</v>
      </c>
      <c r="C27480" s="74" t="s">
        <v>436</v>
      </c>
    </row>
    <row r="27481" spans="1:3">
      <c r="A27481" s="250">
        <v>63139</v>
      </c>
      <c r="B27481" s="74" t="s">
        <v>11177</v>
      </c>
      <c r="C27481" s="74" t="s">
        <v>436</v>
      </c>
    </row>
    <row r="27482" spans="1:3">
      <c r="A27482" s="250">
        <v>63140</v>
      </c>
      <c r="B27482" s="74" t="s">
        <v>11177</v>
      </c>
      <c r="C27482" s="74" t="s">
        <v>436</v>
      </c>
    </row>
    <row r="27483" spans="1:3">
      <c r="A27483" s="250">
        <v>63141</v>
      </c>
      <c r="B27483" s="74" t="s">
        <v>11177</v>
      </c>
      <c r="C27483" s="74" t="s">
        <v>436</v>
      </c>
    </row>
    <row r="27484" spans="1:3">
      <c r="A27484" s="250">
        <v>63143</v>
      </c>
      <c r="B27484" s="74" t="s">
        <v>11177</v>
      </c>
      <c r="C27484" s="74" t="s">
        <v>436</v>
      </c>
    </row>
    <row r="27485" spans="1:3">
      <c r="A27485" s="250">
        <v>63144</v>
      </c>
      <c r="B27485" s="74" t="s">
        <v>11177</v>
      </c>
      <c r="C27485" s="74" t="s">
        <v>436</v>
      </c>
    </row>
    <row r="27486" spans="1:3">
      <c r="A27486" s="250">
        <v>63145</v>
      </c>
      <c r="B27486" s="74" t="s">
        <v>11177</v>
      </c>
      <c r="C27486" s="74" t="s">
        <v>436</v>
      </c>
    </row>
    <row r="27487" spans="1:3">
      <c r="A27487" s="250">
        <v>63146</v>
      </c>
      <c r="B27487" s="74" t="s">
        <v>11177</v>
      </c>
      <c r="C27487" s="74" t="s">
        <v>436</v>
      </c>
    </row>
    <row r="27488" spans="1:3">
      <c r="A27488" s="250">
        <v>63147</v>
      </c>
      <c r="B27488" s="74" t="s">
        <v>11177</v>
      </c>
      <c r="C27488" s="74" t="s">
        <v>436</v>
      </c>
    </row>
    <row r="27489" spans="1:3">
      <c r="A27489" s="250">
        <v>63150</v>
      </c>
      <c r="B27489" s="74" t="s">
        <v>11177</v>
      </c>
      <c r="C27489" s="74" t="s">
        <v>436</v>
      </c>
    </row>
    <row r="27490" spans="1:3">
      <c r="A27490" s="250">
        <v>63151</v>
      </c>
      <c r="B27490" s="74" t="s">
        <v>11177</v>
      </c>
      <c r="C27490" s="74" t="s">
        <v>436</v>
      </c>
    </row>
    <row r="27491" spans="1:3">
      <c r="A27491" s="250">
        <v>63155</v>
      </c>
      <c r="B27491" s="74" t="s">
        <v>11177</v>
      </c>
      <c r="C27491" s="74" t="s">
        <v>436</v>
      </c>
    </row>
    <row r="27492" spans="1:3">
      <c r="A27492" s="250">
        <v>63156</v>
      </c>
      <c r="B27492" s="74" t="s">
        <v>11177</v>
      </c>
      <c r="C27492" s="74" t="s">
        <v>436</v>
      </c>
    </row>
    <row r="27493" spans="1:3">
      <c r="A27493" s="250">
        <v>63157</v>
      </c>
      <c r="B27493" s="74" t="s">
        <v>11177</v>
      </c>
      <c r="C27493" s="74" t="s">
        <v>436</v>
      </c>
    </row>
    <row r="27494" spans="1:3">
      <c r="A27494" s="250">
        <v>63158</v>
      </c>
      <c r="B27494" s="74" t="s">
        <v>11177</v>
      </c>
      <c r="C27494" s="74" t="s">
        <v>436</v>
      </c>
    </row>
    <row r="27495" spans="1:3">
      <c r="A27495" s="250">
        <v>63160</v>
      </c>
      <c r="B27495" s="74" t="s">
        <v>11177</v>
      </c>
      <c r="C27495" s="74" t="s">
        <v>436</v>
      </c>
    </row>
    <row r="27496" spans="1:3">
      <c r="A27496" s="250">
        <v>63163</v>
      </c>
      <c r="B27496" s="74" t="s">
        <v>11177</v>
      </c>
      <c r="C27496" s="74" t="s">
        <v>436</v>
      </c>
    </row>
    <row r="27497" spans="1:3">
      <c r="A27497" s="250">
        <v>63164</v>
      </c>
      <c r="B27497" s="74" t="s">
        <v>11177</v>
      </c>
      <c r="C27497" s="74" t="s">
        <v>436</v>
      </c>
    </row>
    <row r="27498" spans="1:3">
      <c r="A27498" s="250">
        <v>63166</v>
      </c>
      <c r="B27498" s="74" t="s">
        <v>11177</v>
      </c>
      <c r="C27498" s="74" t="s">
        <v>436</v>
      </c>
    </row>
    <row r="27499" spans="1:3">
      <c r="A27499" s="250">
        <v>63167</v>
      </c>
      <c r="B27499" s="74" t="s">
        <v>11177</v>
      </c>
      <c r="C27499" s="74" t="s">
        <v>436</v>
      </c>
    </row>
    <row r="27500" spans="1:3">
      <c r="A27500" s="250">
        <v>63169</v>
      </c>
      <c r="B27500" s="74" t="s">
        <v>11177</v>
      </c>
      <c r="C27500" s="74" t="s">
        <v>436</v>
      </c>
    </row>
    <row r="27501" spans="1:3">
      <c r="A27501" s="250">
        <v>63171</v>
      </c>
      <c r="B27501" s="74" t="s">
        <v>11177</v>
      </c>
      <c r="C27501" s="74" t="s">
        <v>436</v>
      </c>
    </row>
    <row r="27502" spans="1:3">
      <c r="A27502" s="250">
        <v>63177</v>
      </c>
      <c r="B27502" s="74" t="s">
        <v>11177</v>
      </c>
      <c r="C27502" s="74" t="s">
        <v>436</v>
      </c>
    </row>
    <row r="27503" spans="1:3">
      <c r="A27503" s="250">
        <v>63178</v>
      </c>
      <c r="B27503" s="74" t="s">
        <v>11177</v>
      </c>
      <c r="C27503" s="74" t="s">
        <v>436</v>
      </c>
    </row>
    <row r="27504" spans="1:3">
      <c r="A27504" s="250">
        <v>63179</v>
      </c>
      <c r="B27504" s="74" t="s">
        <v>11177</v>
      </c>
      <c r="C27504" s="74" t="s">
        <v>436</v>
      </c>
    </row>
    <row r="27505" spans="1:3">
      <c r="A27505" s="250">
        <v>63180</v>
      </c>
      <c r="B27505" s="74" t="s">
        <v>11177</v>
      </c>
      <c r="C27505" s="74" t="s">
        <v>436</v>
      </c>
    </row>
    <row r="27506" spans="1:3">
      <c r="A27506" s="250">
        <v>63182</v>
      </c>
      <c r="B27506" s="74" t="s">
        <v>11177</v>
      </c>
      <c r="C27506" s="74" t="s">
        <v>436</v>
      </c>
    </row>
    <row r="27507" spans="1:3">
      <c r="A27507" s="250">
        <v>63188</v>
      </c>
      <c r="B27507" s="74" t="s">
        <v>11177</v>
      </c>
      <c r="C27507" s="74" t="s">
        <v>436</v>
      </c>
    </row>
    <row r="27508" spans="1:3">
      <c r="A27508" s="250">
        <v>63190</v>
      </c>
      <c r="B27508" s="74" t="s">
        <v>11177</v>
      </c>
      <c r="C27508" s="74" t="s">
        <v>436</v>
      </c>
    </row>
    <row r="27509" spans="1:3">
      <c r="A27509" s="250">
        <v>63195</v>
      </c>
      <c r="B27509" s="74" t="s">
        <v>11177</v>
      </c>
      <c r="C27509" s="74" t="s">
        <v>436</v>
      </c>
    </row>
    <row r="27510" spans="1:3">
      <c r="A27510" s="250">
        <v>63196</v>
      </c>
      <c r="B27510" s="74" t="s">
        <v>11177</v>
      </c>
      <c r="C27510" s="74" t="s">
        <v>436</v>
      </c>
    </row>
    <row r="27511" spans="1:3">
      <c r="A27511" s="250">
        <v>63197</v>
      </c>
      <c r="B27511" s="74" t="s">
        <v>11177</v>
      </c>
      <c r="C27511" s="74" t="s">
        <v>436</v>
      </c>
    </row>
    <row r="27512" spans="1:3">
      <c r="A27512" s="250">
        <v>63198</v>
      </c>
      <c r="B27512" s="74" t="s">
        <v>11177</v>
      </c>
      <c r="C27512" s="74" t="s">
        <v>436</v>
      </c>
    </row>
    <row r="27513" spans="1:3">
      <c r="A27513" s="250">
        <v>63199</v>
      </c>
      <c r="B27513" s="74" t="s">
        <v>11177</v>
      </c>
      <c r="C27513" s="74" t="s">
        <v>436</v>
      </c>
    </row>
    <row r="27514" spans="1:3">
      <c r="A27514" s="250">
        <v>63301</v>
      </c>
      <c r="B27514" s="74" t="s">
        <v>6340</v>
      </c>
      <c r="C27514" s="74" t="s">
        <v>436</v>
      </c>
    </row>
    <row r="27515" spans="1:3">
      <c r="A27515" s="250">
        <v>63302</v>
      </c>
      <c r="B27515" s="74" t="s">
        <v>6340</v>
      </c>
      <c r="C27515" s="74" t="s">
        <v>436</v>
      </c>
    </row>
    <row r="27516" spans="1:3">
      <c r="A27516" s="250">
        <v>63303</v>
      </c>
      <c r="B27516" s="74" t="s">
        <v>6340</v>
      </c>
      <c r="C27516" s="74" t="s">
        <v>436</v>
      </c>
    </row>
    <row r="27517" spans="1:3">
      <c r="A27517" s="250">
        <v>63304</v>
      </c>
      <c r="B27517" s="74" t="s">
        <v>6340</v>
      </c>
      <c r="C27517" s="74" t="s">
        <v>436</v>
      </c>
    </row>
    <row r="27518" spans="1:3">
      <c r="A27518" s="250">
        <v>63330</v>
      </c>
      <c r="B27518" s="74" t="s">
        <v>14096</v>
      </c>
      <c r="C27518" s="74" t="s">
        <v>436</v>
      </c>
    </row>
    <row r="27519" spans="1:3">
      <c r="A27519" s="250">
        <v>63332</v>
      </c>
      <c r="B27519" s="74" t="s">
        <v>1473</v>
      </c>
      <c r="C27519" s="74" t="s">
        <v>436</v>
      </c>
    </row>
    <row r="27520" spans="1:3">
      <c r="A27520" s="250">
        <v>63333</v>
      </c>
      <c r="B27520" s="74" t="s">
        <v>13737</v>
      </c>
      <c r="C27520" s="74" t="s">
        <v>436</v>
      </c>
    </row>
    <row r="27521" spans="1:3">
      <c r="A27521" s="250">
        <v>63334</v>
      </c>
      <c r="B27521" s="74" t="s">
        <v>5879</v>
      </c>
      <c r="C27521" s="74" t="s">
        <v>436</v>
      </c>
    </row>
    <row r="27522" spans="1:3">
      <c r="A27522" s="250">
        <v>63336</v>
      </c>
      <c r="B27522" s="74" t="s">
        <v>2926</v>
      </c>
      <c r="C27522" s="74" t="s">
        <v>436</v>
      </c>
    </row>
    <row r="27523" spans="1:3">
      <c r="A27523" s="250">
        <v>63338</v>
      </c>
      <c r="B27523" s="74" t="s">
        <v>14097</v>
      </c>
      <c r="C27523" s="74" t="s">
        <v>436</v>
      </c>
    </row>
    <row r="27524" spans="1:3">
      <c r="A27524" s="250">
        <v>63339</v>
      </c>
      <c r="B27524" s="74" t="s">
        <v>4542</v>
      </c>
      <c r="C27524" s="74" t="s">
        <v>436</v>
      </c>
    </row>
    <row r="27525" spans="1:3">
      <c r="A27525" s="250">
        <v>63341</v>
      </c>
      <c r="B27525" s="74" t="s">
        <v>4543</v>
      </c>
      <c r="C27525" s="74" t="s">
        <v>436</v>
      </c>
    </row>
    <row r="27526" spans="1:3">
      <c r="A27526" s="250">
        <v>63342</v>
      </c>
      <c r="B27526" s="74" t="s">
        <v>14098</v>
      </c>
      <c r="C27526" s="74" t="s">
        <v>436</v>
      </c>
    </row>
    <row r="27527" spans="1:3">
      <c r="A27527" s="250">
        <v>63343</v>
      </c>
      <c r="B27527" s="74" t="s">
        <v>14099</v>
      </c>
      <c r="C27527" s="74" t="s">
        <v>436</v>
      </c>
    </row>
    <row r="27528" spans="1:3">
      <c r="A27528" s="250">
        <v>63344</v>
      </c>
      <c r="B27528" s="74" t="s">
        <v>9677</v>
      </c>
      <c r="C27528" s="74" t="s">
        <v>436</v>
      </c>
    </row>
    <row r="27529" spans="1:3">
      <c r="A27529" s="250">
        <v>63345</v>
      </c>
      <c r="B27529" s="74" t="s">
        <v>14100</v>
      </c>
      <c r="C27529" s="74" t="s">
        <v>436</v>
      </c>
    </row>
    <row r="27530" spans="1:3">
      <c r="A27530" s="250">
        <v>63346</v>
      </c>
      <c r="B27530" s="74" t="s">
        <v>14101</v>
      </c>
      <c r="C27530" s="74" t="s">
        <v>436</v>
      </c>
    </row>
    <row r="27531" spans="1:3">
      <c r="A27531" s="250">
        <v>63347</v>
      </c>
      <c r="B27531" s="74" t="s">
        <v>8904</v>
      </c>
      <c r="C27531" s="74" t="s">
        <v>436</v>
      </c>
    </row>
    <row r="27532" spans="1:3">
      <c r="A27532" s="250">
        <v>63348</v>
      </c>
      <c r="B27532" s="74" t="s">
        <v>14102</v>
      </c>
      <c r="C27532" s="74" t="s">
        <v>436</v>
      </c>
    </row>
    <row r="27533" spans="1:3">
      <c r="A27533" s="250">
        <v>63349</v>
      </c>
      <c r="B27533" s="74" t="s">
        <v>14103</v>
      </c>
      <c r="C27533" s="74" t="s">
        <v>436</v>
      </c>
    </row>
    <row r="27534" spans="1:3">
      <c r="A27534" s="250">
        <v>63350</v>
      </c>
      <c r="B27534" s="74" t="s">
        <v>14104</v>
      </c>
      <c r="C27534" s="74" t="s">
        <v>436</v>
      </c>
    </row>
    <row r="27535" spans="1:3">
      <c r="A27535" s="250">
        <v>63351</v>
      </c>
      <c r="B27535" s="74" t="s">
        <v>14105</v>
      </c>
      <c r="C27535" s="74" t="s">
        <v>436</v>
      </c>
    </row>
    <row r="27536" spans="1:3">
      <c r="A27536" s="250">
        <v>63352</v>
      </c>
      <c r="B27536" s="74" t="s">
        <v>14106</v>
      </c>
      <c r="C27536" s="74" t="s">
        <v>436</v>
      </c>
    </row>
    <row r="27537" spans="1:3">
      <c r="A27537" s="250">
        <v>63353</v>
      </c>
      <c r="B27537" s="74" t="s">
        <v>14107</v>
      </c>
      <c r="C27537" s="74" t="s">
        <v>436</v>
      </c>
    </row>
    <row r="27538" spans="1:3">
      <c r="A27538" s="250">
        <v>63357</v>
      </c>
      <c r="B27538" s="74" t="s">
        <v>14108</v>
      </c>
      <c r="C27538" s="74" t="s">
        <v>436</v>
      </c>
    </row>
    <row r="27539" spans="1:3">
      <c r="A27539" s="250">
        <v>63359</v>
      </c>
      <c r="B27539" s="74" t="s">
        <v>1119</v>
      </c>
      <c r="C27539" s="74" t="s">
        <v>436</v>
      </c>
    </row>
    <row r="27540" spans="1:3">
      <c r="A27540" s="250">
        <v>63361</v>
      </c>
      <c r="B27540" s="74" t="s">
        <v>14109</v>
      </c>
      <c r="C27540" s="74" t="s">
        <v>436</v>
      </c>
    </row>
    <row r="27541" spans="1:3">
      <c r="A27541" s="250">
        <v>63362</v>
      </c>
      <c r="B27541" s="74" t="s">
        <v>14110</v>
      </c>
      <c r="C27541" s="74" t="s">
        <v>436</v>
      </c>
    </row>
    <row r="27542" spans="1:3">
      <c r="A27542" s="250">
        <v>63363</v>
      </c>
      <c r="B27542" s="74" t="s">
        <v>4361</v>
      </c>
      <c r="C27542" s="74" t="s">
        <v>436</v>
      </c>
    </row>
    <row r="27543" spans="1:3">
      <c r="A27543" s="250">
        <v>63365</v>
      </c>
      <c r="B27543" s="74" t="s">
        <v>14111</v>
      </c>
      <c r="C27543" s="74" t="s">
        <v>436</v>
      </c>
    </row>
    <row r="27544" spans="1:3">
      <c r="A27544" s="250">
        <v>63366</v>
      </c>
      <c r="B27544" s="74" t="s">
        <v>13864</v>
      </c>
      <c r="C27544" s="74" t="s">
        <v>436</v>
      </c>
    </row>
    <row r="27545" spans="1:3">
      <c r="A27545" s="250">
        <v>63367</v>
      </c>
      <c r="B27545" s="74" t="s">
        <v>14112</v>
      </c>
      <c r="C27545" s="74" t="s">
        <v>436</v>
      </c>
    </row>
    <row r="27546" spans="1:3">
      <c r="A27546" s="250">
        <v>63368</v>
      </c>
      <c r="B27546" s="74" t="s">
        <v>13864</v>
      </c>
      <c r="C27546" s="74" t="s">
        <v>436</v>
      </c>
    </row>
    <row r="27547" spans="1:3">
      <c r="A27547" s="250">
        <v>63369</v>
      </c>
      <c r="B27547" s="74" t="s">
        <v>14113</v>
      </c>
      <c r="C27547" s="74" t="s">
        <v>436</v>
      </c>
    </row>
    <row r="27548" spans="1:3">
      <c r="A27548" s="250">
        <v>63370</v>
      </c>
      <c r="B27548" s="74" t="s">
        <v>5629</v>
      </c>
      <c r="C27548" s="74" t="s">
        <v>436</v>
      </c>
    </row>
    <row r="27549" spans="1:3">
      <c r="A27549" s="250">
        <v>63373</v>
      </c>
      <c r="B27549" s="74" t="s">
        <v>14114</v>
      </c>
      <c r="C27549" s="74" t="s">
        <v>436</v>
      </c>
    </row>
    <row r="27550" spans="1:3">
      <c r="A27550" s="250">
        <v>63376</v>
      </c>
      <c r="B27550" s="74" t="s">
        <v>5435</v>
      </c>
      <c r="C27550" s="74" t="s">
        <v>436</v>
      </c>
    </row>
    <row r="27551" spans="1:3">
      <c r="A27551" s="250">
        <v>63377</v>
      </c>
      <c r="B27551" s="74" t="s">
        <v>14115</v>
      </c>
      <c r="C27551" s="74" t="s">
        <v>436</v>
      </c>
    </row>
    <row r="27552" spans="1:3">
      <c r="A27552" s="250">
        <v>63378</v>
      </c>
      <c r="B27552" s="74" t="s">
        <v>14116</v>
      </c>
      <c r="C27552" s="74" t="s">
        <v>436</v>
      </c>
    </row>
    <row r="27553" spans="1:3">
      <c r="A27553" s="250">
        <v>63379</v>
      </c>
      <c r="B27553" s="74" t="s">
        <v>1243</v>
      </c>
      <c r="C27553" s="74" t="s">
        <v>436</v>
      </c>
    </row>
    <row r="27554" spans="1:3">
      <c r="A27554" s="250">
        <v>63381</v>
      </c>
      <c r="B27554" s="74" t="s">
        <v>3419</v>
      </c>
      <c r="C27554" s="74" t="s">
        <v>436</v>
      </c>
    </row>
    <row r="27555" spans="1:3">
      <c r="A27555" s="250">
        <v>63382</v>
      </c>
      <c r="B27555" s="74" t="s">
        <v>10520</v>
      </c>
      <c r="C27555" s="74" t="s">
        <v>436</v>
      </c>
    </row>
    <row r="27556" spans="1:3">
      <c r="A27556" s="250">
        <v>63383</v>
      </c>
      <c r="B27556" s="74" t="s">
        <v>5537</v>
      </c>
      <c r="C27556" s="74" t="s">
        <v>436</v>
      </c>
    </row>
    <row r="27557" spans="1:3">
      <c r="A27557" s="250">
        <v>63384</v>
      </c>
      <c r="B27557" s="74" t="s">
        <v>3952</v>
      </c>
      <c r="C27557" s="74" t="s">
        <v>436</v>
      </c>
    </row>
    <row r="27558" spans="1:3">
      <c r="A27558" s="250">
        <v>63385</v>
      </c>
      <c r="B27558" s="74" t="s">
        <v>14117</v>
      </c>
      <c r="C27558" s="74" t="s">
        <v>436</v>
      </c>
    </row>
    <row r="27559" spans="1:3">
      <c r="A27559" s="250">
        <v>63386</v>
      </c>
      <c r="B27559" s="74" t="s">
        <v>14118</v>
      </c>
      <c r="C27559" s="74" t="s">
        <v>436</v>
      </c>
    </row>
    <row r="27560" spans="1:3">
      <c r="A27560" s="250">
        <v>63387</v>
      </c>
      <c r="B27560" s="74" t="s">
        <v>9089</v>
      </c>
      <c r="C27560" s="74" t="s">
        <v>436</v>
      </c>
    </row>
    <row r="27561" spans="1:3">
      <c r="A27561" s="250">
        <v>63388</v>
      </c>
      <c r="B27561" s="74" t="s">
        <v>631</v>
      </c>
      <c r="C27561" s="74" t="s">
        <v>436</v>
      </c>
    </row>
    <row r="27562" spans="1:3">
      <c r="A27562" s="250">
        <v>63389</v>
      </c>
      <c r="B27562" s="74" t="s">
        <v>4985</v>
      </c>
      <c r="C27562" s="74" t="s">
        <v>436</v>
      </c>
    </row>
    <row r="27563" spans="1:3">
      <c r="A27563" s="250">
        <v>63390</v>
      </c>
      <c r="B27563" s="74" t="s">
        <v>14119</v>
      </c>
      <c r="C27563" s="74" t="s">
        <v>436</v>
      </c>
    </row>
    <row r="27564" spans="1:3">
      <c r="A27564" s="250">
        <v>63401</v>
      </c>
      <c r="B27564" s="74" t="s">
        <v>3367</v>
      </c>
      <c r="C27564" s="74" t="s">
        <v>436</v>
      </c>
    </row>
    <row r="27565" spans="1:3">
      <c r="A27565" s="250">
        <v>63430</v>
      </c>
      <c r="B27565" s="74" t="s">
        <v>4530</v>
      </c>
      <c r="C27565" s="74" t="s">
        <v>436</v>
      </c>
    </row>
    <row r="27566" spans="1:3">
      <c r="A27566" s="250">
        <v>63431</v>
      </c>
      <c r="B27566" s="74" t="s">
        <v>14120</v>
      </c>
      <c r="C27566" s="74" t="s">
        <v>436</v>
      </c>
    </row>
    <row r="27567" spans="1:3">
      <c r="A27567" s="250">
        <v>63432</v>
      </c>
      <c r="B27567" s="74" t="s">
        <v>14121</v>
      </c>
      <c r="C27567" s="74" t="s">
        <v>436</v>
      </c>
    </row>
    <row r="27568" spans="1:3">
      <c r="A27568" s="250">
        <v>63433</v>
      </c>
      <c r="B27568" s="74" t="s">
        <v>5531</v>
      </c>
      <c r="C27568" s="74" t="s">
        <v>436</v>
      </c>
    </row>
    <row r="27569" spans="1:3">
      <c r="A27569" s="250">
        <v>63434</v>
      </c>
      <c r="B27569" s="74" t="s">
        <v>1434</v>
      </c>
      <c r="C27569" s="74" t="s">
        <v>436</v>
      </c>
    </row>
    <row r="27570" spans="1:3">
      <c r="A27570" s="250">
        <v>63435</v>
      </c>
      <c r="B27570" s="74" t="s">
        <v>866</v>
      </c>
      <c r="C27570" s="74" t="s">
        <v>436</v>
      </c>
    </row>
    <row r="27571" spans="1:3">
      <c r="A27571" s="250">
        <v>63436</v>
      </c>
      <c r="B27571" s="74" t="s">
        <v>9978</v>
      </c>
      <c r="C27571" s="74" t="s">
        <v>436</v>
      </c>
    </row>
    <row r="27572" spans="1:3">
      <c r="A27572" s="250">
        <v>63437</v>
      </c>
      <c r="B27572" s="74" t="s">
        <v>3683</v>
      </c>
      <c r="C27572" s="74" t="s">
        <v>436</v>
      </c>
    </row>
    <row r="27573" spans="1:3">
      <c r="A27573" s="250">
        <v>63438</v>
      </c>
      <c r="B27573" s="74" t="s">
        <v>1304</v>
      </c>
      <c r="C27573" s="74" t="s">
        <v>436</v>
      </c>
    </row>
    <row r="27574" spans="1:3">
      <c r="A27574" s="250">
        <v>63439</v>
      </c>
      <c r="B27574" s="74" t="s">
        <v>13949</v>
      </c>
      <c r="C27574" s="74" t="s">
        <v>436</v>
      </c>
    </row>
    <row r="27575" spans="1:3">
      <c r="A27575" s="250">
        <v>63440</v>
      </c>
      <c r="B27575" s="74" t="s">
        <v>6327</v>
      </c>
      <c r="C27575" s="74" t="s">
        <v>436</v>
      </c>
    </row>
    <row r="27576" spans="1:3">
      <c r="A27576" s="250">
        <v>63441</v>
      </c>
      <c r="B27576" s="74" t="s">
        <v>5500</v>
      </c>
      <c r="C27576" s="74" t="s">
        <v>436</v>
      </c>
    </row>
    <row r="27577" spans="1:3">
      <c r="A27577" s="250">
        <v>63442</v>
      </c>
      <c r="B27577" s="74" t="s">
        <v>10713</v>
      </c>
      <c r="C27577" s="74" t="s">
        <v>436</v>
      </c>
    </row>
    <row r="27578" spans="1:3">
      <c r="A27578" s="250">
        <v>63443</v>
      </c>
      <c r="B27578" s="74" t="s">
        <v>14122</v>
      </c>
      <c r="C27578" s="74" t="s">
        <v>436</v>
      </c>
    </row>
    <row r="27579" spans="1:3">
      <c r="A27579" s="250">
        <v>63445</v>
      </c>
      <c r="B27579" s="74" t="s">
        <v>14123</v>
      </c>
      <c r="C27579" s="74" t="s">
        <v>436</v>
      </c>
    </row>
    <row r="27580" spans="1:3">
      <c r="A27580" s="250">
        <v>63446</v>
      </c>
      <c r="B27580" s="74" t="s">
        <v>14124</v>
      </c>
      <c r="C27580" s="74" t="s">
        <v>436</v>
      </c>
    </row>
    <row r="27581" spans="1:3">
      <c r="A27581" s="250">
        <v>63447</v>
      </c>
      <c r="B27581" s="74" t="s">
        <v>4121</v>
      </c>
      <c r="C27581" s="74" t="s">
        <v>436</v>
      </c>
    </row>
    <row r="27582" spans="1:3">
      <c r="A27582" s="250">
        <v>63448</v>
      </c>
      <c r="B27582" s="74" t="s">
        <v>7447</v>
      </c>
      <c r="C27582" s="74" t="s">
        <v>436</v>
      </c>
    </row>
    <row r="27583" spans="1:3">
      <c r="A27583" s="250">
        <v>63450</v>
      </c>
      <c r="B27583" s="74" t="s">
        <v>14125</v>
      </c>
      <c r="C27583" s="74" t="s">
        <v>436</v>
      </c>
    </row>
    <row r="27584" spans="1:3">
      <c r="A27584" s="250">
        <v>63451</v>
      </c>
      <c r="B27584" s="74" t="s">
        <v>11049</v>
      </c>
      <c r="C27584" s="74" t="s">
        <v>436</v>
      </c>
    </row>
    <row r="27585" spans="1:3">
      <c r="A27585" s="250">
        <v>63452</v>
      </c>
      <c r="B27585" s="74" t="s">
        <v>4717</v>
      </c>
      <c r="C27585" s="74" t="s">
        <v>436</v>
      </c>
    </row>
    <row r="27586" spans="1:3">
      <c r="A27586" s="250">
        <v>63453</v>
      </c>
      <c r="B27586" s="74" t="s">
        <v>5992</v>
      </c>
      <c r="C27586" s="74" t="s">
        <v>436</v>
      </c>
    </row>
    <row r="27587" spans="1:3">
      <c r="A27587" s="250">
        <v>63454</v>
      </c>
      <c r="B27587" s="74" t="s">
        <v>2223</v>
      </c>
      <c r="C27587" s="74" t="s">
        <v>436</v>
      </c>
    </row>
    <row r="27588" spans="1:3">
      <c r="A27588" s="250">
        <v>63456</v>
      </c>
      <c r="B27588" s="74" t="s">
        <v>10893</v>
      </c>
      <c r="C27588" s="74" t="s">
        <v>436</v>
      </c>
    </row>
    <row r="27589" spans="1:3">
      <c r="A27589" s="250">
        <v>63457</v>
      </c>
      <c r="B27589" s="74" t="s">
        <v>1639</v>
      </c>
      <c r="C27589" s="74" t="s">
        <v>436</v>
      </c>
    </row>
    <row r="27590" spans="1:3">
      <c r="A27590" s="250">
        <v>63458</v>
      </c>
      <c r="B27590" s="74" t="s">
        <v>2172</v>
      </c>
      <c r="C27590" s="74" t="s">
        <v>436</v>
      </c>
    </row>
    <row r="27591" spans="1:3">
      <c r="A27591" s="250">
        <v>63459</v>
      </c>
      <c r="B27591" s="74" t="s">
        <v>1201</v>
      </c>
      <c r="C27591" s="74" t="s">
        <v>436</v>
      </c>
    </row>
    <row r="27592" spans="1:3">
      <c r="A27592" s="250">
        <v>63460</v>
      </c>
      <c r="B27592" s="74" t="s">
        <v>10311</v>
      </c>
      <c r="C27592" s="74" t="s">
        <v>436</v>
      </c>
    </row>
    <row r="27593" spans="1:3">
      <c r="A27593" s="250">
        <v>63461</v>
      </c>
      <c r="B27593" s="74" t="s">
        <v>1710</v>
      </c>
      <c r="C27593" s="74" t="s">
        <v>436</v>
      </c>
    </row>
    <row r="27594" spans="1:3">
      <c r="A27594" s="250">
        <v>63462</v>
      </c>
      <c r="B27594" s="74" t="s">
        <v>1602</v>
      </c>
      <c r="C27594" s="74" t="s">
        <v>436</v>
      </c>
    </row>
    <row r="27595" spans="1:3">
      <c r="A27595" s="250">
        <v>63463</v>
      </c>
      <c r="B27595" s="74" t="s">
        <v>3570</v>
      </c>
      <c r="C27595" s="74" t="s">
        <v>436</v>
      </c>
    </row>
    <row r="27596" spans="1:3">
      <c r="A27596" s="250">
        <v>63464</v>
      </c>
      <c r="B27596" s="74" t="s">
        <v>13299</v>
      </c>
      <c r="C27596" s="74" t="s">
        <v>436</v>
      </c>
    </row>
    <row r="27597" spans="1:3">
      <c r="A27597" s="250">
        <v>63465</v>
      </c>
      <c r="B27597" s="74" t="s">
        <v>919</v>
      </c>
      <c r="C27597" s="74" t="s">
        <v>436</v>
      </c>
    </row>
    <row r="27598" spans="1:3">
      <c r="A27598" s="250">
        <v>63466</v>
      </c>
      <c r="B27598" s="74" t="s">
        <v>14126</v>
      </c>
      <c r="C27598" s="74" t="s">
        <v>436</v>
      </c>
    </row>
    <row r="27599" spans="1:3">
      <c r="A27599" s="250">
        <v>63467</v>
      </c>
      <c r="B27599" s="74" t="s">
        <v>14127</v>
      </c>
      <c r="C27599" s="74" t="s">
        <v>436</v>
      </c>
    </row>
    <row r="27600" spans="1:3">
      <c r="A27600" s="250">
        <v>63468</v>
      </c>
      <c r="B27600" s="74" t="s">
        <v>14128</v>
      </c>
      <c r="C27600" s="74" t="s">
        <v>436</v>
      </c>
    </row>
    <row r="27601" spans="1:3">
      <c r="A27601" s="250">
        <v>63469</v>
      </c>
      <c r="B27601" s="74" t="s">
        <v>9037</v>
      </c>
      <c r="C27601" s="74" t="s">
        <v>436</v>
      </c>
    </row>
    <row r="27602" spans="1:3">
      <c r="A27602" s="250">
        <v>63471</v>
      </c>
      <c r="B27602" s="74" t="s">
        <v>5195</v>
      </c>
      <c r="C27602" s="74" t="s">
        <v>436</v>
      </c>
    </row>
    <row r="27603" spans="1:3">
      <c r="A27603" s="250">
        <v>63472</v>
      </c>
      <c r="B27603" s="74" t="s">
        <v>803</v>
      </c>
      <c r="C27603" s="74" t="s">
        <v>436</v>
      </c>
    </row>
    <row r="27604" spans="1:3">
      <c r="A27604" s="250">
        <v>63473</v>
      </c>
      <c r="B27604" s="74" t="s">
        <v>668</v>
      </c>
      <c r="C27604" s="74" t="s">
        <v>436</v>
      </c>
    </row>
    <row r="27605" spans="1:3">
      <c r="A27605" s="250">
        <v>63474</v>
      </c>
      <c r="B27605" s="74" t="s">
        <v>14129</v>
      </c>
      <c r="C27605" s="74" t="s">
        <v>436</v>
      </c>
    </row>
    <row r="27606" spans="1:3">
      <c r="A27606" s="250">
        <v>63501</v>
      </c>
      <c r="B27606" s="74" t="s">
        <v>14130</v>
      </c>
      <c r="C27606" s="74" t="s">
        <v>436</v>
      </c>
    </row>
    <row r="27607" spans="1:3">
      <c r="A27607" s="250">
        <v>63530</v>
      </c>
      <c r="B27607" s="74" t="s">
        <v>3895</v>
      </c>
      <c r="C27607" s="74" t="s">
        <v>436</v>
      </c>
    </row>
    <row r="27608" spans="1:3">
      <c r="A27608" s="250">
        <v>63531</v>
      </c>
      <c r="B27608" s="74" t="s">
        <v>14131</v>
      </c>
      <c r="C27608" s="74" t="s">
        <v>436</v>
      </c>
    </row>
    <row r="27609" spans="1:3">
      <c r="A27609" s="250">
        <v>63532</v>
      </c>
      <c r="B27609" s="74" t="s">
        <v>14132</v>
      </c>
      <c r="C27609" s="74" t="s">
        <v>436</v>
      </c>
    </row>
    <row r="27610" spans="1:3">
      <c r="A27610" s="250">
        <v>63533</v>
      </c>
      <c r="B27610" s="74" t="s">
        <v>14133</v>
      </c>
      <c r="C27610" s="74" t="s">
        <v>436</v>
      </c>
    </row>
    <row r="27611" spans="1:3">
      <c r="A27611" s="250">
        <v>63534</v>
      </c>
      <c r="B27611" s="74" t="s">
        <v>5883</v>
      </c>
      <c r="C27611" s="74" t="s">
        <v>436</v>
      </c>
    </row>
    <row r="27612" spans="1:3">
      <c r="A27612" s="250">
        <v>63535</v>
      </c>
      <c r="B27612" s="74" t="s">
        <v>14134</v>
      </c>
      <c r="C27612" s="74" t="s">
        <v>436</v>
      </c>
    </row>
    <row r="27613" spans="1:3">
      <c r="A27613" s="250">
        <v>63536</v>
      </c>
      <c r="B27613" s="74" t="s">
        <v>12265</v>
      </c>
      <c r="C27613" s="74" t="s">
        <v>436</v>
      </c>
    </row>
    <row r="27614" spans="1:3">
      <c r="A27614" s="250">
        <v>63537</v>
      </c>
      <c r="B27614" s="74" t="s">
        <v>14135</v>
      </c>
      <c r="C27614" s="74" t="s">
        <v>436</v>
      </c>
    </row>
    <row r="27615" spans="1:3">
      <c r="A27615" s="250">
        <v>63538</v>
      </c>
      <c r="B27615" s="74" t="s">
        <v>2481</v>
      </c>
      <c r="C27615" s="74" t="s">
        <v>436</v>
      </c>
    </row>
    <row r="27616" spans="1:3">
      <c r="A27616" s="250">
        <v>63539</v>
      </c>
      <c r="B27616" s="74" t="s">
        <v>6604</v>
      </c>
      <c r="C27616" s="74" t="s">
        <v>436</v>
      </c>
    </row>
    <row r="27617" spans="1:3">
      <c r="A27617" s="250">
        <v>63540</v>
      </c>
      <c r="B27617" s="74" t="s">
        <v>14136</v>
      </c>
      <c r="C27617" s="74" t="s">
        <v>436</v>
      </c>
    </row>
    <row r="27618" spans="1:3">
      <c r="A27618" s="250">
        <v>63541</v>
      </c>
      <c r="B27618" s="74" t="s">
        <v>2187</v>
      </c>
      <c r="C27618" s="74" t="s">
        <v>436</v>
      </c>
    </row>
    <row r="27619" spans="1:3">
      <c r="A27619" s="250">
        <v>63543</v>
      </c>
      <c r="B27619" s="74" t="s">
        <v>14137</v>
      </c>
      <c r="C27619" s="74" t="s">
        <v>436</v>
      </c>
    </row>
    <row r="27620" spans="1:3">
      <c r="A27620" s="250">
        <v>63544</v>
      </c>
      <c r="B27620" s="74" t="s">
        <v>14138</v>
      </c>
      <c r="C27620" s="74" t="s">
        <v>436</v>
      </c>
    </row>
    <row r="27621" spans="1:3">
      <c r="A27621" s="250">
        <v>63545</v>
      </c>
      <c r="B27621" s="74" t="s">
        <v>14139</v>
      </c>
      <c r="C27621" s="74" t="s">
        <v>436</v>
      </c>
    </row>
    <row r="27622" spans="1:3">
      <c r="A27622" s="250">
        <v>63546</v>
      </c>
      <c r="B27622" s="74" t="s">
        <v>14140</v>
      </c>
      <c r="C27622" s="74" t="s">
        <v>436</v>
      </c>
    </row>
    <row r="27623" spans="1:3">
      <c r="A27623" s="250">
        <v>63547</v>
      </c>
      <c r="B27623" s="74" t="s">
        <v>14141</v>
      </c>
      <c r="C27623" s="74" t="s">
        <v>436</v>
      </c>
    </row>
    <row r="27624" spans="1:3">
      <c r="A27624" s="250">
        <v>63548</v>
      </c>
      <c r="B27624" s="74" t="s">
        <v>741</v>
      </c>
      <c r="C27624" s="74" t="s">
        <v>436</v>
      </c>
    </row>
    <row r="27625" spans="1:3">
      <c r="A27625" s="250">
        <v>63549</v>
      </c>
      <c r="B27625" s="74" t="s">
        <v>556</v>
      </c>
      <c r="C27625" s="74" t="s">
        <v>436</v>
      </c>
    </row>
    <row r="27626" spans="1:3">
      <c r="A27626" s="250">
        <v>63551</v>
      </c>
      <c r="B27626" s="74" t="s">
        <v>3791</v>
      </c>
      <c r="C27626" s="74" t="s">
        <v>436</v>
      </c>
    </row>
    <row r="27627" spans="1:3">
      <c r="A27627" s="250">
        <v>63552</v>
      </c>
      <c r="B27627" s="74" t="s">
        <v>6077</v>
      </c>
      <c r="C27627" s="74" t="s">
        <v>436</v>
      </c>
    </row>
    <row r="27628" spans="1:3">
      <c r="A27628" s="250">
        <v>63555</v>
      </c>
      <c r="B27628" s="74" t="s">
        <v>3387</v>
      </c>
      <c r="C27628" s="74" t="s">
        <v>436</v>
      </c>
    </row>
    <row r="27629" spans="1:3">
      <c r="A27629" s="250">
        <v>63556</v>
      </c>
      <c r="B27629" s="74" t="s">
        <v>1256</v>
      </c>
      <c r="C27629" s="74" t="s">
        <v>436</v>
      </c>
    </row>
    <row r="27630" spans="1:3">
      <c r="A27630" s="250">
        <v>63557</v>
      </c>
      <c r="B27630" s="74" t="s">
        <v>1166</v>
      </c>
      <c r="C27630" s="74" t="s">
        <v>436</v>
      </c>
    </row>
    <row r="27631" spans="1:3">
      <c r="A27631" s="250">
        <v>63558</v>
      </c>
      <c r="B27631" s="74" t="s">
        <v>14142</v>
      </c>
      <c r="C27631" s="74" t="s">
        <v>436</v>
      </c>
    </row>
    <row r="27632" spans="1:3">
      <c r="A27632" s="250">
        <v>63559</v>
      </c>
      <c r="B27632" s="74" t="s">
        <v>14143</v>
      </c>
      <c r="C27632" s="74" t="s">
        <v>436</v>
      </c>
    </row>
    <row r="27633" spans="1:3">
      <c r="A27633" s="250">
        <v>63560</v>
      </c>
      <c r="B27633" s="74" t="s">
        <v>12961</v>
      </c>
      <c r="C27633" s="74" t="s">
        <v>436</v>
      </c>
    </row>
    <row r="27634" spans="1:3">
      <c r="A27634" s="250">
        <v>63561</v>
      </c>
      <c r="B27634" s="74" t="s">
        <v>14144</v>
      </c>
      <c r="C27634" s="74" t="s">
        <v>436</v>
      </c>
    </row>
    <row r="27635" spans="1:3">
      <c r="A27635" s="250">
        <v>63563</v>
      </c>
      <c r="B27635" s="74" t="s">
        <v>8017</v>
      </c>
      <c r="C27635" s="74" t="s">
        <v>436</v>
      </c>
    </row>
    <row r="27636" spans="1:3">
      <c r="A27636" s="250">
        <v>63565</v>
      </c>
      <c r="B27636" s="74" t="s">
        <v>1968</v>
      </c>
      <c r="C27636" s="74" t="s">
        <v>436</v>
      </c>
    </row>
    <row r="27637" spans="1:3">
      <c r="A27637" s="250">
        <v>63566</v>
      </c>
      <c r="B27637" s="74" t="s">
        <v>14145</v>
      </c>
      <c r="C27637" s="74" t="s">
        <v>436</v>
      </c>
    </row>
    <row r="27638" spans="1:3">
      <c r="A27638" s="250">
        <v>63567</v>
      </c>
      <c r="B27638" s="74" t="s">
        <v>633</v>
      </c>
      <c r="C27638" s="74" t="s">
        <v>436</v>
      </c>
    </row>
    <row r="27639" spans="1:3">
      <c r="A27639" s="250">
        <v>63601</v>
      </c>
      <c r="B27639" s="74" t="s">
        <v>14146</v>
      </c>
      <c r="C27639" s="74" t="s">
        <v>436</v>
      </c>
    </row>
    <row r="27640" spans="1:3">
      <c r="A27640" s="250">
        <v>63620</v>
      </c>
      <c r="B27640" s="74" t="s">
        <v>5722</v>
      </c>
      <c r="C27640" s="74" t="s">
        <v>436</v>
      </c>
    </row>
    <row r="27641" spans="1:3">
      <c r="A27641" s="250">
        <v>63621</v>
      </c>
      <c r="B27641" s="74" t="s">
        <v>4258</v>
      </c>
      <c r="C27641" s="74" t="s">
        <v>436</v>
      </c>
    </row>
    <row r="27642" spans="1:3">
      <c r="A27642" s="250">
        <v>63622</v>
      </c>
      <c r="B27642" s="74" t="s">
        <v>1680</v>
      </c>
      <c r="C27642" s="74" t="s">
        <v>436</v>
      </c>
    </row>
    <row r="27643" spans="1:3">
      <c r="A27643" s="250">
        <v>63623</v>
      </c>
      <c r="B27643" s="74" t="s">
        <v>8564</v>
      </c>
      <c r="C27643" s="74" t="s">
        <v>436</v>
      </c>
    </row>
    <row r="27644" spans="1:3">
      <c r="A27644" s="250">
        <v>63624</v>
      </c>
      <c r="B27644" s="74" t="s">
        <v>13127</v>
      </c>
      <c r="C27644" s="74" t="s">
        <v>436</v>
      </c>
    </row>
    <row r="27645" spans="1:3">
      <c r="A27645" s="250">
        <v>63625</v>
      </c>
      <c r="B27645" s="74" t="s">
        <v>8842</v>
      </c>
      <c r="C27645" s="74" t="s">
        <v>436</v>
      </c>
    </row>
    <row r="27646" spans="1:3">
      <c r="A27646" s="250">
        <v>63626</v>
      </c>
      <c r="B27646" s="74" t="s">
        <v>14147</v>
      </c>
      <c r="C27646" s="74" t="s">
        <v>436</v>
      </c>
    </row>
    <row r="27647" spans="1:3">
      <c r="A27647" s="250">
        <v>63627</v>
      </c>
      <c r="B27647" s="74" t="s">
        <v>14148</v>
      </c>
      <c r="C27647" s="74" t="s">
        <v>436</v>
      </c>
    </row>
    <row r="27648" spans="1:3">
      <c r="A27648" s="250">
        <v>63628</v>
      </c>
      <c r="B27648" s="74" t="s">
        <v>14149</v>
      </c>
      <c r="C27648" s="74" t="s">
        <v>436</v>
      </c>
    </row>
    <row r="27649" spans="1:3">
      <c r="A27649" s="250">
        <v>63629</v>
      </c>
      <c r="B27649" s="74" t="s">
        <v>14150</v>
      </c>
      <c r="C27649" s="74" t="s">
        <v>436</v>
      </c>
    </row>
    <row r="27650" spans="1:3">
      <c r="A27650" s="250">
        <v>63630</v>
      </c>
      <c r="B27650" s="74" t="s">
        <v>14151</v>
      </c>
      <c r="C27650" s="74" t="s">
        <v>436</v>
      </c>
    </row>
    <row r="27651" spans="1:3">
      <c r="A27651" s="250">
        <v>63631</v>
      </c>
      <c r="B27651" s="74" t="s">
        <v>3759</v>
      </c>
      <c r="C27651" s="74" t="s">
        <v>436</v>
      </c>
    </row>
    <row r="27652" spans="1:3">
      <c r="A27652" s="250">
        <v>63632</v>
      </c>
      <c r="B27652" s="74" t="s">
        <v>5792</v>
      </c>
      <c r="C27652" s="74" t="s">
        <v>436</v>
      </c>
    </row>
    <row r="27653" spans="1:3">
      <c r="A27653" s="250">
        <v>63633</v>
      </c>
      <c r="B27653" s="74" t="s">
        <v>1024</v>
      </c>
      <c r="C27653" s="74" t="s">
        <v>436</v>
      </c>
    </row>
    <row r="27654" spans="1:3">
      <c r="A27654" s="250">
        <v>63636</v>
      </c>
      <c r="B27654" s="74" t="s">
        <v>14152</v>
      </c>
      <c r="C27654" s="74" t="s">
        <v>436</v>
      </c>
    </row>
    <row r="27655" spans="1:3">
      <c r="A27655" s="250">
        <v>63637</v>
      </c>
      <c r="B27655" s="74" t="s">
        <v>14153</v>
      </c>
      <c r="C27655" s="74" t="s">
        <v>436</v>
      </c>
    </row>
    <row r="27656" spans="1:3">
      <c r="A27656" s="250">
        <v>63638</v>
      </c>
      <c r="B27656" s="74" t="s">
        <v>1943</v>
      </c>
      <c r="C27656" s="74" t="s">
        <v>436</v>
      </c>
    </row>
    <row r="27657" spans="1:3">
      <c r="A27657" s="250">
        <v>63640</v>
      </c>
      <c r="B27657" s="74" t="s">
        <v>1309</v>
      </c>
      <c r="C27657" s="74" t="s">
        <v>436</v>
      </c>
    </row>
    <row r="27658" spans="1:3">
      <c r="A27658" s="250">
        <v>63645</v>
      </c>
      <c r="B27658" s="74" t="s">
        <v>4057</v>
      </c>
      <c r="C27658" s="74" t="s">
        <v>436</v>
      </c>
    </row>
    <row r="27659" spans="1:3">
      <c r="A27659" s="250">
        <v>63648</v>
      </c>
      <c r="B27659" s="74" t="s">
        <v>10270</v>
      </c>
      <c r="C27659" s="74" t="s">
        <v>436</v>
      </c>
    </row>
    <row r="27660" spans="1:3">
      <c r="A27660" s="250">
        <v>63650</v>
      </c>
      <c r="B27660" s="74" t="s">
        <v>10534</v>
      </c>
      <c r="C27660" s="74" t="s">
        <v>436</v>
      </c>
    </row>
    <row r="27661" spans="1:3">
      <c r="A27661" s="250">
        <v>63651</v>
      </c>
      <c r="B27661" s="74" t="s">
        <v>9967</v>
      </c>
      <c r="C27661" s="74" t="s">
        <v>436</v>
      </c>
    </row>
    <row r="27662" spans="1:3">
      <c r="A27662" s="250">
        <v>63653</v>
      </c>
      <c r="B27662" s="74" t="s">
        <v>14154</v>
      </c>
      <c r="C27662" s="74" t="s">
        <v>436</v>
      </c>
    </row>
    <row r="27663" spans="1:3">
      <c r="A27663" s="250">
        <v>63654</v>
      </c>
      <c r="B27663" s="74" t="s">
        <v>12820</v>
      </c>
      <c r="C27663" s="74" t="s">
        <v>436</v>
      </c>
    </row>
    <row r="27664" spans="1:3">
      <c r="A27664" s="250">
        <v>63655</v>
      </c>
      <c r="B27664" s="74" t="s">
        <v>14155</v>
      </c>
      <c r="C27664" s="74" t="s">
        <v>436</v>
      </c>
    </row>
    <row r="27665" spans="1:3">
      <c r="A27665" s="250">
        <v>63656</v>
      </c>
      <c r="B27665" s="74" t="s">
        <v>14156</v>
      </c>
      <c r="C27665" s="74" t="s">
        <v>436</v>
      </c>
    </row>
    <row r="27666" spans="1:3">
      <c r="A27666" s="250">
        <v>63660</v>
      </c>
      <c r="B27666" s="74" t="s">
        <v>4359</v>
      </c>
      <c r="C27666" s="74" t="s">
        <v>436</v>
      </c>
    </row>
    <row r="27667" spans="1:3">
      <c r="A27667" s="250">
        <v>63662</v>
      </c>
      <c r="B27667" s="74" t="s">
        <v>4567</v>
      </c>
      <c r="C27667" s="74" t="s">
        <v>436</v>
      </c>
    </row>
    <row r="27668" spans="1:3">
      <c r="A27668" s="250">
        <v>63663</v>
      </c>
      <c r="B27668" s="74" t="s">
        <v>14157</v>
      </c>
      <c r="C27668" s="74" t="s">
        <v>436</v>
      </c>
    </row>
    <row r="27669" spans="1:3">
      <c r="A27669" s="250">
        <v>63664</v>
      </c>
      <c r="B27669" s="74" t="s">
        <v>12045</v>
      </c>
      <c r="C27669" s="74" t="s">
        <v>436</v>
      </c>
    </row>
    <row r="27670" spans="1:3">
      <c r="A27670" s="250">
        <v>63665</v>
      </c>
      <c r="B27670" s="74" t="s">
        <v>3323</v>
      </c>
      <c r="C27670" s="74" t="s">
        <v>436</v>
      </c>
    </row>
    <row r="27671" spans="1:3">
      <c r="A27671" s="250">
        <v>63666</v>
      </c>
      <c r="B27671" s="74" t="s">
        <v>8094</v>
      </c>
      <c r="C27671" s="74" t="s">
        <v>436</v>
      </c>
    </row>
    <row r="27672" spans="1:3">
      <c r="A27672" s="250">
        <v>63670</v>
      </c>
      <c r="B27672" s="74" t="s">
        <v>14158</v>
      </c>
      <c r="C27672" s="74" t="s">
        <v>436</v>
      </c>
    </row>
    <row r="27673" spans="1:3">
      <c r="A27673" s="250">
        <v>63673</v>
      </c>
      <c r="B27673" s="74" t="s">
        <v>9591</v>
      </c>
      <c r="C27673" s="74" t="s">
        <v>436</v>
      </c>
    </row>
    <row r="27674" spans="1:3">
      <c r="A27674" s="250">
        <v>63674</v>
      </c>
      <c r="B27674" s="74" t="s">
        <v>14159</v>
      </c>
      <c r="C27674" s="74" t="s">
        <v>436</v>
      </c>
    </row>
    <row r="27675" spans="1:3">
      <c r="A27675" s="250">
        <v>63675</v>
      </c>
      <c r="B27675" s="74" t="s">
        <v>11444</v>
      </c>
      <c r="C27675" s="74" t="s">
        <v>436</v>
      </c>
    </row>
    <row r="27676" spans="1:3">
      <c r="A27676" s="250">
        <v>63701</v>
      </c>
      <c r="B27676" s="74" t="s">
        <v>14160</v>
      </c>
      <c r="C27676" s="74" t="s">
        <v>436</v>
      </c>
    </row>
    <row r="27677" spans="1:3">
      <c r="A27677" s="250">
        <v>63702</v>
      </c>
      <c r="B27677" s="74" t="s">
        <v>14160</v>
      </c>
      <c r="C27677" s="74" t="s">
        <v>436</v>
      </c>
    </row>
    <row r="27678" spans="1:3">
      <c r="A27678" s="250">
        <v>63703</v>
      </c>
      <c r="B27678" s="74" t="s">
        <v>14160</v>
      </c>
      <c r="C27678" s="74" t="s">
        <v>436</v>
      </c>
    </row>
    <row r="27679" spans="1:3">
      <c r="A27679" s="250">
        <v>63730</v>
      </c>
      <c r="B27679" s="74" t="s">
        <v>7052</v>
      </c>
      <c r="C27679" s="74" t="s">
        <v>436</v>
      </c>
    </row>
    <row r="27680" spans="1:3">
      <c r="A27680" s="250">
        <v>63732</v>
      </c>
      <c r="B27680" s="74" t="s">
        <v>14161</v>
      </c>
      <c r="C27680" s="74" t="s">
        <v>436</v>
      </c>
    </row>
    <row r="27681" spans="1:3">
      <c r="A27681" s="250">
        <v>63735</v>
      </c>
      <c r="B27681" s="74" t="s">
        <v>14162</v>
      </c>
      <c r="C27681" s="74" t="s">
        <v>436</v>
      </c>
    </row>
    <row r="27682" spans="1:3">
      <c r="A27682" s="250">
        <v>63736</v>
      </c>
      <c r="B27682" s="74" t="s">
        <v>4938</v>
      </c>
      <c r="C27682" s="74" t="s">
        <v>436</v>
      </c>
    </row>
    <row r="27683" spans="1:3">
      <c r="A27683" s="250">
        <v>63737</v>
      </c>
      <c r="B27683" s="74" t="s">
        <v>14163</v>
      </c>
      <c r="C27683" s="74" t="s">
        <v>436</v>
      </c>
    </row>
    <row r="27684" spans="1:3">
      <c r="A27684" s="250">
        <v>63738</v>
      </c>
      <c r="B27684" s="74" t="s">
        <v>14164</v>
      </c>
      <c r="C27684" s="74" t="s">
        <v>436</v>
      </c>
    </row>
    <row r="27685" spans="1:3">
      <c r="A27685" s="250">
        <v>63739</v>
      </c>
      <c r="B27685" s="74" t="s">
        <v>14165</v>
      </c>
      <c r="C27685" s="74" t="s">
        <v>436</v>
      </c>
    </row>
    <row r="27686" spans="1:3">
      <c r="A27686" s="250">
        <v>63740</v>
      </c>
      <c r="B27686" s="74" t="s">
        <v>3682</v>
      </c>
      <c r="C27686" s="74" t="s">
        <v>436</v>
      </c>
    </row>
    <row r="27687" spans="1:3">
      <c r="A27687" s="250">
        <v>63742</v>
      </c>
      <c r="B27687" s="74" t="s">
        <v>7970</v>
      </c>
      <c r="C27687" s="74" t="s">
        <v>436</v>
      </c>
    </row>
    <row r="27688" spans="1:3">
      <c r="A27688" s="250">
        <v>63743</v>
      </c>
      <c r="B27688" s="74" t="s">
        <v>7940</v>
      </c>
      <c r="C27688" s="74" t="s">
        <v>436</v>
      </c>
    </row>
    <row r="27689" spans="1:3">
      <c r="A27689" s="250">
        <v>63744</v>
      </c>
      <c r="B27689" s="74" t="s">
        <v>4813</v>
      </c>
      <c r="C27689" s="74" t="s">
        <v>436</v>
      </c>
    </row>
    <row r="27690" spans="1:3">
      <c r="A27690" s="250">
        <v>63745</v>
      </c>
      <c r="B27690" s="74" t="s">
        <v>14166</v>
      </c>
      <c r="C27690" s="74" t="s">
        <v>436</v>
      </c>
    </row>
    <row r="27691" spans="1:3">
      <c r="A27691" s="250">
        <v>63746</v>
      </c>
      <c r="B27691" s="74" t="s">
        <v>14167</v>
      </c>
      <c r="C27691" s="74" t="s">
        <v>436</v>
      </c>
    </row>
    <row r="27692" spans="1:3">
      <c r="A27692" s="250">
        <v>63747</v>
      </c>
      <c r="B27692" s="74" t="s">
        <v>14168</v>
      </c>
      <c r="C27692" s="74" t="s">
        <v>436</v>
      </c>
    </row>
    <row r="27693" spans="1:3">
      <c r="A27693" s="250">
        <v>63748</v>
      </c>
      <c r="B27693" s="74" t="s">
        <v>14169</v>
      </c>
      <c r="C27693" s="74" t="s">
        <v>436</v>
      </c>
    </row>
    <row r="27694" spans="1:3">
      <c r="A27694" s="250">
        <v>63750</v>
      </c>
      <c r="B27694" s="74" t="s">
        <v>4282</v>
      </c>
      <c r="C27694" s="74" t="s">
        <v>436</v>
      </c>
    </row>
    <row r="27695" spans="1:3">
      <c r="A27695" s="250">
        <v>63751</v>
      </c>
      <c r="B27695" s="74" t="s">
        <v>14170</v>
      </c>
      <c r="C27695" s="74" t="s">
        <v>436</v>
      </c>
    </row>
    <row r="27696" spans="1:3">
      <c r="A27696" s="250">
        <v>63752</v>
      </c>
      <c r="B27696" s="74" t="s">
        <v>4861</v>
      </c>
      <c r="C27696" s="74" t="s">
        <v>436</v>
      </c>
    </row>
    <row r="27697" spans="1:3">
      <c r="A27697" s="250">
        <v>63755</v>
      </c>
      <c r="B27697" s="74" t="s">
        <v>1318</v>
      </c>
      <c r="C27697" s="74" t="s">
        <v>436</v>
      </c>
    </row>
    <row r="27698" spans="1:3">
      <c r="A27698" s="250">
        <v>63758</v>
      </c>
      <c r="B27698" s="74" t="s">
        <v>9069</v>
      </c>
      <c r="C27698" s="74" t="s">
        <v>436</v>
      </c>
    </row>
    <row r="27699" spans="1:3">
      <c r="A27699" s="250">
        <v>63760</v>
      </c>
      <c r="B27699" s="74" t="s">
        <v>10889</v>
      </c>
      <c r="C27699" s="74" t="s">
        <v>436</v>
      </c>
    </row>
    <row r="27700" spans="1:3">
      <c r="A27700" s="250">
        <v>63763</v>
      </c>
      <c r="B27700" s="74" t="s">
        <v>14171</v>
      </c>
      <c r="C27700" s="74" t="s">
        <v>436</v>
      </c>
    </row>
    <row r="27701" spans="1:3">
      <c r="A27701" s="250">
        <v>63764</v>
      </c>
      <c r="B27701" s="74" t="s">
        <v>7893</v>
      </c>
      <c r="C27701" s="74" t="s">
        <v>436</v>
      </c>
    </row>
    <row r="27702" spans="1:3">
      <c r="A27702" s="250">
        <v>63766</v>
      </c>
      <c r="B27702" s="74" t="s">
        <v>4872</v>
      </c>
      <c r="C27702" s="74" t="s">
        <v>436</v>
      </c>
    </row>
    <row r="27703" spans="1:3">
      <c r="A27703" s="250">
        <v>63767</v>
      </c>
      <c r="B27703" s="74" t="s">
        <v>11264</v>
      </c>
      <c r="C27703" s="74" t="s">
        <v>436</v>
      </c>
    </row>
    <row r="27704" spans="1:3">
      <c r="A27704" s="250">
        <v>63769</v>
      </c>
      <c r="B27704" s="74" t="s">
        <v>2198</v>
      </c>
      <c r="C27704" s="74" t="s">
        <v>436</v>
      </c>
    </row>
    <row r="27705" spans="1:3">
      <c r="A27705" s="250">
        <v>63770</v>
      </c>
      <c r="B27705" s="74" t="s">
        <v>14172</v>
      </c>
      <c r="C27705" s="74" t="s">
        <v>436</v>
      </c>
    </row>
    <row r="27706" spans="1:3">
      <c r="A27706" s="250">
        <v>63771</v>
      </c>
      <c r="B27706" s="74" t="s">
        <v>11673</v>
      </c>
      <c r="C27706" s="74" t="s">
        <v>436</v>
      </c>
    </row>
    <row r="27707" spans="1:3">
      <c r="A27707" s="250">
        <v>63774</v>
      </c>
      <c r="B27707" s="74" t="s">
        <v>8058</v>
      </c>
      <c r="C27707" s="74" t="s">
        <v>436</v>
      </c>
    </row>
    <row r="27708" spans="1:3">
      <c r="A27708" s="250">
        <v>63775</v>
      </c>
      <c r="B27708" s="74" t="s">
        <v>5854</v>
      </c>
      <c r="C27708" s="74" t="s">
        <v>436</v>
      </c>
    </row>
    <row r="27709" spans="1:3">
      <c r="A27709" s="250">
        <v>63776</v>
      </c>
      <c r="B27709" s="74" t="s">
        <v>14173</v>
      </c>
      <c r="C27709" s="74" t="s">
        <v>436</v>
      </c>
    </row>
    <row r="27710" spans="1:3">
      <c r="A27710" s="250">
        <v>63779</v>
      </c>
      <c r="B27710" s="74" t="s">
        <v>6468</v>
      </c>
      <c r="C27710" s="74" t="s">
        <v>436</v>
      </c>
    </row>
    <row r="27711" spans="1:3">
      <c r="A27711" s="250">
        <v>63780</v>
      </c>
      <c r="B27711" s="74" t="s">
        <v>14174</v>
      </c>
      <c r="C27711" s="74" t="s">
        <v>436</v>
      </c>
    </row>
    <row r="27712" spans="1:3">
      <c r="A27712" s="250">
        <v>63781</v>
      </c>
      <c r="B27712" s="74" t="s">
        <v>14175</v>
      </c>
      <c r="C27712" s="74" t="s">
        <v>436</v>
      </c>
    </row>
    <row r="27713" spans="1:3">
      <c r="A27713" s="250">
        <v>63782</v>
      </c>
      <c r="B27713" s="74" t="s">
        <v>14176</v>
      </c>
      <c r="C27713" s="74" t="s">
        <v>436</v>
      </c>
    </row>
    <row r="27714" spans="1:3">
      <c r="A27714" s="250">
        <v>63783</v>
      </c>
      <c r="B27714" s="74" t="s">
        <v>4089</v>
      </c>
      <c r="C27714" s="74" t="s">
        <v>436</v>
      </c>
    </row>
    <row r="27715" spans="1:3">
      <c r="A27715" s="250">
        <v>63784</v>
      </c>
      <c r="B27715" s="74" t="s">
        <v>14177</v>
      </c>
      <c r="C27715" s="74" t="s">
        <v>436</v>
      </c>
    </row>
    <row r="27716" spans="1:3">
      <c r="A27716" s="250">
        <v>63785</v>
      </c>
      <c r="B27716" s="74" t="s">
        <v>12002</v>
      </c>
      <c r="C27716" s="74" t="s">
        <v>436</v>
      </c>
    </row>
    <row r="27717" spans="1:3">
      <c r="A27717" s="250">
        <v>63787</v>
      </c>
      <c r="B27717" s="74" t="s">
        <v>14178</v>
      </c>
      <c r="C27717" s="74" t="s">
        <v>436</v>
      </c>
    </row>
    <row r="27718" spans="1:3">
      <c r="A27718" s="250">
        <v>63801</v>
      </c>
      <c r="B27718" s="74" t="s">
        <v>14179</v>
      </c>
      <c r="C27718" s="74" t="s">
        <v>436</v>
      </c>
    </row>
    <row r="27719" spans="1:3">
      <c r="A27719" s="250">
        <v>63820</v>
      </c>
      <c r="B27719" s="74" t="s">
        <v>8824</v>
      </c>
      <c r="C27719" s="74" t="s">
        <v>436</v>
      </c>
    </row>
    <row r="27720" spans="1:3">
      <c r="A27720" s="250">
        <v>63821</v>
      </c>
      <c r="B27720" s="74" t="s">
        <v>14180</v>
      </c>
      <c r="C27720" s="74" t="s">
        <v>436</v>
      </c>
    </row>
    <row r="27721" spans="1:3">
      <c r="A27721" s="250">
        <v>63822</v>
      </c>
      <c r="B27721" s="74" t="s">
        <v>14181</v>
      </c>
      <c r="C27721" s="74" t="s">
        <v>436</v>
      </c>
    </row>
    <row r="27722" spans="1:3">
      <c r="A27722" s="250">
        <v>63823</v>
      </c>
      <c r="B27722" s="74" t="s">
        <v>14182</v>
      </c>
      <c r="C27722" s="74" t="s">
        <v>436</v>
      </c>
    </row>
    <row r="27723" spans="1:3">
      <c r="A27723" s="250">
        <v>63824</v>
      </c>
      <c r="B27723" s="74" t="s">
        <v>14183</v>
      </c>
      <c r="C27723" s="74" t="s">
        <v>436</v>
      </c>
    </row>
    <row r="27724" spans="1:3">
      <c r="A27724" s="250">
        <v>63825</v>
      </c>
      <c r="B27724" s="74" t="s">
        <v>1933</v>
      </c>
      <c r="C27724" s="74" t="s">
        <v>436</v>
      </c>
    </row>
    <row r="27725" spans="1:3">
      <c r="A27725" s="250">
        <v>63826</v>
      </c>
      <c r="B27725" s="74" t="s">
        <v>14184</v>
      </c>
      <c r="C27725" s="74" t="s">
        <v>436</v>
      </c>
    </row>
    <row r="27726" spans="1:3">
      <c r="A27726" s="250">
        <v>63827</v>
      </c>
      <c r="B27726" s="74" t="s">
        <v>14185</v>
      </c>
      <c r="C27726" s="74" t="s">
        <v>436</v>
      </c>
    </row>
    <row r="27727" spans="1:3">
      <c r="A27727" s="250">
        <v>63828</v>
      </c>
      <c r="B27727" s="74" t="s">
        <v>14186</v>
      </c>
      <c r="C27727" s="74" t="s">
        <v>436</v>
      </c>
    </row>
    <row r="27728" spans="1:3">
      <c r="A27728" s="250">
        <v>63829</v>
      </c>
      <c r="B27728" s="74" t="s">
        <v>13370</v>
      </c>
      <c r="C27728" s="74" t="s">
        <v>436</v>
      </c>
    </row>
    <row r="27729" spans="1:3">
      <c r="A27729" s="250">
        <v>63830</v>
      </c>
      <c r="B27729" s="74" t="s">
        <v>14187</v>
      </c>
      <c r="C27729" s="74" t="s">
        <v>436</v>
      </c>
    </row>
    <row r="27730" spans="1:3">
      <c r="A27730" s="250">
        <v>63833</v>
      </c>
      <c r="B27730" s="74" t="s">
        <v>14188</v>
      </c>
      <c r="C27730" s="74" t="s">
        <v>436</v>
      </c>
    </row>
    <row r="27731" spans="1:3">
      <c r="A27731" s="250">
        <v>63834</v>
      </c>
      <c r="B27731" s="74" t="s">
        <v>1498</v>
      </c>
      <c r="C27731" s="74" t="s">
        <v>436</v>
      </c>
    </row>
    <row r="27732" spans="1:3">
      <c r="A27732" s="250">
        <v>63837</v>
      </c>
      <c r="B27732" s="74" t="s">
        <v>7395</v>
      </c>
      <c r="C27732" s="74" t="s">
        <v>436</v>
      </c>
    </row>
    <row r="27733" spans="1:3">
      <c r="A27733" s="250">
        <v>63839</v>
      </c>
      <c r="B27733" s="74" t="s">
        <v>14189</v>
      </c>
      <c r="C27733" s="74" t="s">
        <v>436</v>
      </c>
    </row>
    <row r="27734" spans="1:3">
      <c r="A27734" s="250">
        <v>63840</v>
      </c>
      <c r="B27734" s="74" t="s">
        <v>13174</v>
      </c>
      <c r="C27734" s="74" t="s">
        <v>436</v>
      </c>
    </row>
    <row r="27735" spans="1:3">
      <c r="A27735" s="250">
        <v>63841</v>
      </c>
      <c r="B27735" s="74" t="s">
        <v>1689</v>
      </c>
      <c r="C27735" s="74" t="s">
        <v>436</v>
      </c>
    </row>
    <row r="27736" spans="1:3">
      <c r="A27736" s="250">
        <v>63845</v>
      </c>
      <c r="B27736" s="74" t="s">
        <v>14190</v>
      </c>
      <c r="C27736" s="74" t="s">
        <v>436</v>
      </c>
    </row>
    <row r="27737" spans="1:3">
      <c r="A27737" s="250">
        <v>63846</v>
      </c>
      <c r="B27737" s="74" t="s">
        <v>842</v>
      </c>
      <c r="C27737" s="74" t="s">
        <v>436</v>
      </c>
    </row>
    <row r="27738" spans="1:3">
      <c r="A27738" s="250">
        <v>63847</v>
      </c>
      <c r="B27738" s="74" t="s">
        <v>5239</v>
      </c>
      <c r="C27738" s="74" t="s">
        <v>436</v>
      </c>
    </row>
    <row r="27739" spans="1:3">
      <c r="A27739" s="250">
        <v>63848</v>
      </c>
      <c r="B27739" s="74" t="s">
        <v>14191</v>
      </c>
      <c r="C27739" s="74" t="s">
        <v>436</v>
      </c>
    </row>
    <row r="27740" spans="1:3">
      <c r="A27740" s="250">
        <v>63849</v>
      </c>
      <c r="B27740" s="74" t="s">
        <v>14192</v>
      </c>
      <c r="C27740" s="74" t="s">
        <v>436</v>
      </c>
    </row>
    <row r="27741" spans="1:3">
      <c r="A27741" s="250">
        <v>63850</v>
      </c>
      <c r="B27741" s="74" t="s">
        <v>14193</v>
      </c>
      <c r="C27741" s="74" t="s">
        <v>436</v>
      </c>
    </row>
    <row r="27742" spans="1:3">
      <c r="A27742" s="250">
        <v>63851</v>
      </c>
      <c r="B27742" s="74" t="s">
        <v>12847</v>
      </c>
      <c r="C27742" s="74" t="s">
        <v>436</v>
      </c>
    </row>
    <row r="27743" spans="1:3">
      <c r="A27743" s="250">
        <v>63852</v>
      </c>
      <c r="B27743" s="74" t="s">
        <v>9390</v>
      </c>
      <c r="C27743" s="74" t="s">
        <v>436</v>
      </c>
    </row>
    <row r="27744" spans="1:3">
      <c r="A27744" s="250">
        <v>63853</v>
      </c>
      <c r="B27744" s="74" t="s">
        <v>739</v>
      </c>
      <c r="C27744" s="74" t="s">
        <v>436</v>
      </c>
    </row>
    <row r="27745" spans="1:3">
      <c r="A27745" s="250">
        <v>63855</v>
      </c>
      <c r="B27745" s="74" t="s">
        <v>14194</v>
      </c>
      <c r="C27745" s="74" t="s">
        <v>436</v>
      </c>
    </row>
    <row r="27746" spans="1:3">
      <c r="A27746" s="250">
        <v>63857</v>
      </c>
      <c r="B27746" s="74" t="s">
        <v>14195</v>
      </c>
      <c r="C27746" s="74" t="s">
        <v>436</v>
      </c>
    </row>
    <row r="27747" spans="1:3">
      <c r="A27747" s="250">
        <v>63860</v>
      </c>
      <c r="B27747" s="74" t="s">
        <v>13699</v>
      </c>
      <c r="C27747" s="74" t="s">
        <v>436</v>
      </c>
    </row>
    <row r="27748" spans="1:3">
      <c r="A27748" s="250">
        <v>63862</v>
      </c>
      <c r="B27748" s="74" t="s">
        <v>14196</v>
      </c>
      <c r="C27748" s="74" t="s">
        <v>436</v>
      </c>
    </row>
    <row r="27749" spans="1:3">
      <c r="A27749" s="250">
        <v>63863</v>
      </c>
      <c r="B27749" s="74" t="s">
        <v>916</v>
      </c>
      <c r="C27749" s="74" t="s">
        <v>436</v>
      </c>
    </row>
    <row r="27750" spans="1:3">
      <c r="A27750" s="250">
        <v>63866</v>
      </c>
      <c r="B27750" s="74" t="s">
        <v>7365</v>
      </c>
      <c r="C27750" s="74" t="s">
        <v>436</v>
      </c>
    </row>
    <row r="27751" spans="1:3">
      <c r="A27751" s="250">
        <v>63867</v>
      </c>
      <c r="B27751" s="74" t="s">
        <v>7321</v>
      </c>
      <c r="C27751" s="74" t="s">
        <v>436</v>
      </c>
    </row>
    <row r="27752" spans="1:3">
      <c r="A27752" s="250">
        <v>63868</v>
      </c>
      <c r="B27752" s="74" t="s">
        <v>14197</v>
      </c>
      <c r="C27752" s="74" t="s">
        <v>436</v>
      </c>
    </row>
    <row r="27753" spans="1:3">
      <c r="A27753" s="250">
        <v>63869</v>
      </c>
      <c r="B27753" s="74" t="s">
        <v>14198</v>
      </c>
      <c r="C27753" s="74" t="s">
        <v>436</v>
      </c>
    </row>
    <row r="27754" spans="1:3">
      <c r="A27754" s="250">
        <v>63870</v>
      </c>
      <c r="B27754" s="74" t="s">
        <v>11242</v>
      </c>
      <c r="C27754" s="74" t="s">
        <v>436</v>
      </c>
    </row>
    <row r="27755" spans="1:3">
      <c r="A27755" s="250">
        <v>63873</v>
      </c>
      <c r="B27755" s="74" t="s">
        <v>3810</v>
      </c>
      <c r="C27755" s="74" t="s">
        <v>436</v>
      </c>
    </row>
    <row r="27756" spans="1:3">
      <c r="A27756" s="250">
        <v>63874</v>
      </c>
      <c r="B27756" s="74" t="s">
        <v>14199</v>
      </c>
      <c r="C27756" s="74" t="s">
        <v>436</v>
      </c>
    </row>
    <row r="27757" spans="1:3">
      <c r="A27757" s="250">
        <v>63875</v>
      </c>
      <c r="B27757" s="74" t="s">
        <v>9200</v>
      </c>
      <c r="C27757" s="74" t="s">
        <v>436</v>
      </c>
    </row>
    <row r="27758" spans="1:3">
      <c r="A27758" s="250">
        <v>63876</v>
      </c>
      <c r="B27758" s="74" t="s">
        <v>14200</v>
      </c>
      <c r="C27758" s="74" t="s">
        <v>436</v>
      </c>
    </row>
    <row r="27759" spans="1:3">
      <c r="A27759" s="250">
        <v>63877</v>
      </c>
      <c r="B27759" s="74" t="s">
        <v>8779</v>
      </c>
      <c r="C27759" s="74" t="s">
        <v>436</v>
      </c>
    </row>
    <row r="27760" spans="1:3">
      <c r="A27760" s="250">
        <v>63878</v>
      </c>
      <c r="B27760" s="74" t="s">
        <v>7899</v>
      </c>
      <c r="C27760" s="74" t="s">
        <v>436</v>
      </c>
    </row>
    <row r="27761" spans="1:3">
      <c r="A27761" s="250">
        <v>63879</v>
      </c>
      <c r="B27761" s="74" t="s">
        <v>14201</v>
      </c>
      <c r="C27761" s="74" t="s">
        <v>436</v>
      </c>
    </row>
    <row r="27762" spans="1:3">
      <c r="A27762" s="250">
        <v>63880</v>
      </c>
      <c r="B27762" s="74" t="s">
        <v>14202</v>
      </c>
      <c r="C27762" s="74" t="s">
        <v>436</v>
      </c>
    </row>
    <row r="27763" spans="1:3">
      <c r="A27763" s="250">
        <v>63881</v>
      </c>
      <c r="B27763" s="74" t="s">
        <v>14203</v>
      </c>
      <c r="C27763" s="74" t="s">
        <v>436</v>
      </c>
    </row>
    <row r="27764" spans="1:3">
      <c r="A27764" s="250">
        <v>63882</v>
      </c>
      <c r="B27764" s="74" t="s">
        <v>6964</v>
      </c>
      <c r="C27764" s="74" t="s">
        <v>436</v>
      </c>
    </row>
    <row r="27765" spans="1:3">
      <c r="A27765" s="250">
        <v>63901</v>
      </c>
      <c r="B27765" s="74" t="s">
        <v>14204</v>
      </c>
      <c r="C27765" s="74" t="s">
        <v>436</v>
      </c>
    </row>
    <row r="27766" spans="1:3">
      <c r="A27766" s="250">
        <v>63902</v>
      </c>
      <c r="B27766" s="74" t="s">
        <v>14204</v>
      </c>
      <c r="C27766" s="74" t="s">
        <v>436</v>
      </c>
    </row>
    <row r="27767" spans="1:3">
      <c r="A27767" s="250">
        <v>63931</v>
      </c>
      <c r="B27767" s="74" t="s">
        <v>14205</v>
      </c>
      <c r="C27767" s="74" t="s">
        <v>436</v>
      </c>
    </row>
    <row r="27768" spans="1:3">
      <c r="A27768" s="250">
        <v>63932</v>
      </c>
      <c r="B27768" s="74" t="s">
        <v>14206</v>
      </c>
      <c r="C27768" s="74" t="s">
        <v>436</v>
      </c>
    </row>
    <row r="27769" spans="1:3">
      <c r="A27769" s="250">
        <v>63933</v>
      </c>
      <c r="B27769" s="74" t="s">
        <v>3904</v>
      </c>
      <c r="C27769" s="74" t="s">
        <v>436</v>
      </c>
    </row>
    <row r="27770" spans="1:3">
      <c r="A27770" s="250">
        <v>63934</v>
      </c>
      <c r="B27770" s="74" t="s">
        <v>14207</v>
      </c>
      <c r="C27770" s="74" t="s">
        <v>436</v>
      </c>
    </row>
    <row r="27771" spans="1:3">
      <c r="A27771" s="250">
        <v>63935</v>
      </c>
      <c r="B27771" s="74" t="s">
        <v>14208</v>
      </c>
      <c r="C27771" s="74" t="s">
        <v>436</v>
      </c>
    </row>
    <row r="27772" spans="1:3">
      <c r="A27772" s="250">
        <v>63936</v>
      </c>
      <c r="B27772" s="74" t="s">
        <v>768</v>
      </c>
      <c r="C27772" s="74" t="s">
        <v>436</v>
      </c>
    </row>
    <row r="27773" spans="1:3">
      <c r="A27773" s="250">
        <v>63937</v>
      </c>
      <c r="B27773" s="74" t="s">
        <v>14209</v>
      </c>
      <c r="C27773" s="74" t="s">
        <v>436</v>
      </c>
    </row>
    <row r="27774" spans="1:3">
      <c r="A27774" s="250">
        <v>63938</v>
      </c>
      <c r="B27774" s="74" t="s">
        <v>14210</v>
      </c>
      <c r="C27774" s="74" t="s">
        <v>436</v>
      </c>
    </row>
    <row r="27775" spans="1:3">
      <c r="A27775" s="250">
        <v>63939</v>
      </c>
      <c r="B27775" s="74" t="s">
        <v>14211</v>
      </c>
      <c r="C27775" s="74" t="s">
        <v>436</v>
      </c>
    </row>
    <row r="27776" spans="1:3">
      <c r="A27776" s="250">
        <v>63940</v>
      </c>
      <c r="B27776" s="74" t="s">
        <v>14212</v>
      </c>
      <c r="C27776" s="74" t="s">
        <v>436</v>
      </c>
    </row>
    <row r="27777" spans="1:3">
      <c r="A27777" s="250">
        <v>63941</v>
      </c>
      <c r="B27777" s="74" t="s">
        <v>1157</v>
      </c>
      <c r="C27777" s="74" t="s">
        <v>436</v>
      </c>
    </row>
    <row r="27778" spans="1:3">
      <c r="A27778" s="250">
        <v>63942</v>
      </c>
      <c r="B27778" s="74" t="s">
        <v>14213</v>
      </c>
      <c r="C27778" s="74" t="s">
        <v>436</v>
      </c>
    </row>
    <row r="27779" spans="1:3">
      <c r="A27779" s="250">
        <v>63943</v>
      </c>
      <c r="B27779" s="74" t="s">
        <v>8251</v>
      </c>
      <c r="C27779" s="74" t="s">
        <v>436</v>
      </c>
    </row>
    <row r="27780" spans="1:3">
      <c r="A27780" s="250">
        <v>63944</v>
      </c>
      <c r="B27780" s="74" t="s">
        <v>1108</v>
      </c>
      <c r="C27780" s="74" t="s">
        <v>436</v>
      </c>
    </row>
    <row r="27781" spans="1:3">
      <c r="A27781" s="250">
        <v>63945</v>
      </c>
      <c r="B27781" s="74" t="s">
        <v>14214</v>
      </c>
      <c r="C27781" s="74" t="s">
        <v>436</v>
      </c>
    </row>
    <row r="27782" spans="1:3">
      <c r="A27782" s="250">
        <v>63950</v>
      </c>
      <c r="B27782" s="74" t="s">
        <v>2238</v>
      </c>
      <c r="C27782" s="74" t="s">
        <v>436</v>
      </c>
    </row>
    <row r="27783" spans="1:3">
      <c r="A27783" s="250">
        <v>63951</v>
      </c>
      <c r="B27783" s="74" t="s">
        <v>14215</v>
      </c>
      <c r="C27783" s="74" t="s">
        <v>436</v>
      </c>
    </row>
    <row r="27784" spans="1:3">
      <c r="A27784" s="250">
        <v>63952</v>
      </c>
      <c r="B27784" s="74" t="s">
        <v>7562</v>
      </c>
      <c r="C27784" s="74" t="s">
        <v>436</v>
      </c>
    </row>
    <row r="27785" spans="1:3">
      <c r="A27785" s="250">
        <v>63953</v>
      </c>
      <c r="B27785" s="74" t="s">
        <v>8153</v>
      </c>
      <c r="C27785" s="74" t="s">
        <v>436</v>
      </c>
    </row>
    <row r="27786" spans="1:3">
      <c r="A27786" s="250">
        <v>63954</v>
      </c>
      <c r="B27786" s="74" t="s">
        <v>14216</v>
      </c>
      <c r="C27786" s="74" t="s">
        <v>436</v>
      </c>
    </row>
    <row r="27787" spans="1:3">
      <c r="A27787" s="250">
        <v>63955</v>
      </c>
      <c r="B27787" s="74" t="s">
        <v>14217</v>
      </c>
      <c r="C27787" s="74" t="s">
        <v>436</v>
      </c>
    </row>
    <row r="27788" spans="1:3">
      <c r="A27788" s="250">
        <v>63956</v>
      </c>
      <c r="B27788" s="74" t="s">
        <v>3134</v>
      </c>
      <c r="C27788" s="74" t="s">
        <v>436</v>
      </c>
    </row>
    <row r="27789" spans="1:3">
      <c r="A27789" s="250">
        <v>63957</v>
      </c>
      <c r="B27789" s="74" t="s">
        <v>7028</v>
      </c>
      <c r="C27789" s="74" t="s">
        <v>436</v>
      </c>
    </row>
    <row r="27790" spans="1:3">
      <c r="A27790" s="250">
        <v>63960</v>
      </c>
      <c r="B27790" s="74" t="s">
        <v>14218</v>
      </c>
      <c r="C27790" s="74" t="s">
        <v>436</v>
      </c>
    </row>
    <row r="27791" spans="1:3">
      <c r="A27791" s="250">
        <v>63961</v>
      </c>
      <c r="B27791" s="74" t="s">
        <v>14219</v>
      </c>
      <c r="C27791" s="74" t="s">
        <v>436</v>
      </c>
    </row>
    <row r="27792" spans="1:3">
      <c r="A27792" s="250">
        <v>63962</v>
      </c>
      <c r="B27792" s="74" t="s">
        <v>14220</v>
      </c>
      <c r="C27792" s="74" t="s">
        <v>436</v>
      </c>
    </row>
    <row r="27793" spans="1:3">
      <c r="A27793" s="250">
        <v>63963</v>
      </c>
      <c r="B27793" s="74" t="s">
        <v>14221</v>
      </c>
      <c r="C27793" s="74" t="s">
        <v>436</v>
      </c>
    </row>
    <row r="27794" spans="1:3">
      <c r="A27794" s="250">
        <v>63964</v>
      </c>
      <c r="B27794" s="74" t="s">
        <v>14222</v>
      </c>
      <c r="C27794" s="74" t="s">
        <v>436</v>
      </c>
    </row>
    <row r="27795" spans="1:3">
      <c r="A27795" s="250">
        <v>63965</v>
      </c>
      <c r="B27795" s="74" t="s">
        <v>1658</v>
      </c>
      <c r="C27795" s="74" t="s">
        <v>436</v>
      </c>
    </row>
    <row r="27796" spans="1:3">
      <c r="A27796" s="250">
        <v>63966</v>
      </c>
      <c r="B27796" s="74" t="s">
        <v>14223</v>
      </c>
      <c r="C27796" s="74" t="s">
        <v>436</v>
      </c>
    </row>
    <row r="27797" spans="1:3">
      <c r="A27797" s="250">
        <v>63967</v>
      </c>
      <c r="B27797" s="74" t="s">
        <v>1799</v>
      </c>
      <c r="C27797" s="74" t="s">
        <v>436</v>
      </c>
    </row>
    <row r="27798" spans="1:3">
      <c r="A27798" s="250">
        <v>64001</v>
      </c>
      <c r="B27798" s="74" t="s">
        <v>3841</v>
      </c>
      <c r="C27798" s="74" t="s">
        <v>436</v>
      </c>
    </row>
    <row r="27799" spans="1:3">
      <c r="A27799" s="250">
        <v>64002</v>
      </c>
      <c r="B27799" s="74" t="s">
        <v>14224</v>
      </c>
      <c r="C27799" s="74" t="s">
        <v>436</v>
      </c>
    </row>
    <row r="27800" spans="1:3">
      <c r="A27800" s="250">
        <v>64011</v>
      </c>
      <c r="B27800" s="74" t="s">
        <v>14225</v>
      </c>
      <c r="C27800" s="74" t="s">
        <v>436</v>
      </c>
    </row>
    <row r="27801" spans="1:3">
      <c r="A27801" s="250">
        <v>64012</v>
      </c>
      <c r="B27801" s="74" t="s">
        <v>7765</v>
      </c>
      <c r="C27801" s="74" t="s">
        <v>436</v>
      </c>
    </row>
    <row r="27802" spans="1:3">
      <c r="A27802" s="250">
        <v>64013</v>
      </c>
      <c r="B27802" s="74" t="s">
        <v>9357</v>
      </c>
      <c r="C27802" s="74" t="s">
        <v>436</v>
      </c>
    </row>
    <row r="27803" spans="1:3">
      <c r="A27803" s="250">
        <v>64014</v>
      </c>
      <c r="B27803" s="74" t="s">
        <v>9357</v>
      </c>
      <c r="C27803" s="74" t="s">
        <v>436</v>
      </c>
    </row>
    <row r="27804" spans="1:3">
      <c r="A27804" s="250">
        <v>64015</v>
      </c>
      <c r="B27804" s="74" t="s">
        <v>9357</v>
      </c>
      <c r="C27804" s="74" t="s">
        <v>436</v>
      </c>
    </row>
    <row r="27805" spans="1:3">
      <c r="A27805" s="250">
        <v>64016</v>
      </c>
      <c r="B27805" s="74" t="s">
        <v>9573</v>
      </c>
      <c r="C27805" s="74" t="s">
        <v>436</v>
      </c>
    </row>
    <row r="27806" spans="1:3">
      <c r="A27806" s="250">
        <v>64017</v>
      </c>
      <c r="B27806" s="74" t="s">
        <v>1660</v>
      </c>
      <c r="C27806" s="74" t="s">
        <v>436</v>
      </c>
    </row>
    <row r="27807" spans="1:3">
      <c r="A27807" s="250">
        <v>64018</v>
      </c>
      <c r="B27807" s="74" t="s">
        <v>14226</v>
      </c>
      <c r="C27807" s="74" t="s">
        <v>436</v>
      </c>
    </row>
    <row r="27808" spans="1:3">
      <c r="A27808" s="250">
        <v>64019</v>
      </c>
      <c r="B27808" s="74" t="s">
        <v>14227</v>
      </c>
      <c r="C27808" s="74" t="s">
        <v>436</v>
      </c>
    </row>
    <row r="27809" spans="1:3">
      <c r="A27809" s="250">
        <v>64020</v>
      </c>
      <c r="B27809" s="74" t="s">
        <v>14228</v>
      </c>
      <c r="C27809" s="74" t="s">
        <v>436</v>
      </c>
    </row>
    <row r="27810" spans="1:3">
      <c r="A27810" s="250">
        <v>64021</v>
      </c>
      <c r="B27810" s="74" t="s">
        <v>14229</v>
      </c>
      <c r="C27810" s="74" t="s">
        <v>436</v>
      </c>
    </row>
    <row r="27811" spans="1:3">
      <c r="A27811" s="250">
        <v>64022</v>
      </c>
      <c r="B27811" s="74" t="s">
        <v>869</v>
      </c>
      <c r="C27811" s="74" t="s">
        <v>436</v>
      </c>
    </row>
    <row r="27812" spans="1:3">
      <c r="A27812" s="250">
        <v>64024</v>
      </c>
      <c r="B27812" s="74" t="s">
        <v>14230</v>
      </c>
      <c r="C27812" s="74" t="s">
        <v>436</v>
      </c>
    </row>
    <row r="27813" spans="1:3">
      <c r="A27813" s="250">
        <v>64028</v>
      </c>
      <c r="B27813" s="74" t="s">
        <v>11799</v>
      </c>
      <c r="C27813" s="74" t="s">
        <v>436</v>
      </c>
    </row>
    <row r="27814" spans="1:3">
      <c r="A27814" s="250">
        <v>64029</v>
      </c>
      <c r="B27814" s="74" t="s">
        <v>14231</v>
      </c>
      <c r="C27814" s="74" t="s">
        <v>436</v>
      </c>
    </row>
    <row r="27815" spans="1:3">
      <c r="A27815" s="250">
        <v>64030</v>
      </c>
      <c r="B27815" s="74" t="s">
        <v>9065</v>
      </c>
      <c r="C27815" s="74" t="s">
        <v>436</v>
      </c>
    </row>
    <row r="27816" spans="1:3">
      <c r="A27816" s="250">
        <v>64034</v>
      </c>
      <c r="B27816" s="74" t="s">
        <v>1448</v>
      </c>
      <c r="C27816" s="74" t="s">
        <v>436</v>
      </c>
    </row>
    <row r="27817" spans="1:3">
      <c r="A27817" s="250">
        <v>64035</v>
      </c>
      <c r="B27817" s="74" t="s">
        <v>9936</v>
      </c>
      <c r="C27817" s="74" t="s">
        <v>436</v>
      </c>
    </row>
    <row r="27818" spans="1:3">
      <c r="A27818" s="250">
        <v>64036</v>
      </c>
      <c r="B27818" s="74" t="s">
        <v>3780</v>
      </c>
      <c r="C27818" s="74" t="s">
        <v>436</v>
      </c>
    </row>
    <row r="27819" spans="1:3">
      <c r="A27819" s="250">
        <v>64037</v>
      </c>
      <c r="B27819" s="74" t="s">
        <v>14232</v>
      </c>
      <c r="C27819" s="74" t="s">
        <v>436</v>
      </c>
    </row>
    <row r="27820" spans="1:3">
      <c r="A27820" s="250">
        <v>64040</v>
      </c>
      <c r="B27820" s="74" t="s">
        <v>738</v>
      </c>
      <c r="C27820" s="74" t="s">
        <v>436</v>
      </c>
    </row>
    <row r="27821" spans="1:3">
      <c r="A27821" s="250">
        <v>64048</v>
      </c>
      <c r="B27821" s="74" t="s">
        <v>8332</v>
      </c>
      <c r="C27821" s="74" t="s">
        <v>436</v>
      </c>
    </row>
    <row r="27822" spans="1:3">
      <c r="A27822" s="250">
        <v>64050</v>
      </c>
      <c r="B27822" s="74" t="s">
        <v>6364</v>
      </c>
      <c r="C27822" s="74" t="s">
        <v>436</v>
      </c>
    </row>
    <row r="27823" spans="1:3">
      <c r="A27823" s="250">
        <v>64051</v>
      </c>
      <c r="B27823" s="74" t="s">
        <v>6364</v>
      </c>
      <c r="C27823" s="74" t="s">
        <v>436</v>
      </c>
    </row>
    <row r="27824" spans="1:3">
      <c r="A27824" s="250">
        <v>64052</v>
      </c>
      <c r="B27824" s="74" t="s">
        <v>6364</v>
      </c>
      <c r="C27824" s="74" t="s">
        <v>436</v>
      </c>
    </row>
    <row r="27825" spans="1:3">
      <c r="A27825" s="250">
        <v>64053</v>
      </c>
      <c r="B27825" s="74" t="s">
        <v>6364</v>
      </c>
      <c r="C27825" s="74" t="s">
        <v>436</v>
      </c>
    </row>
    <row r="27826" spans="1:3">
      <c r="A27826" s="250">
        <v>64054</v>
      </c>
      <c r="B27826" s="74" t="s">
        <v>6364</v>
      </c>
      <c r="C27826" s="74" t="s">
        <v>436</v>
      </c>
    </row>
    <row r="27827" spans="1:3">
      <c r="A27827" s="250">
        <v>64055</v>
      </c>
      <c r="B27827" s="74" t="s">
        <v>6364</v>
      </c>
      <c r="C27827" s="74" t="s">
        <v>436</v>
      </c>
    </row>
    <row r="27828" spans="1:3">
      <c r="A27828" s="250">
        <v>64056</v>
      </c>
      <c r="B27828" s="74" t="s">
        <v>6364</v>
      </c>
      <c r="C27828" s="74" t="s">
        <v>436</v>
      </c>
    </row>
    <row r="27829" spans="1:3">
      <c r="A27829" s="250">
        <v>64057</v>
      </c>
      <c r="B27829" s="74" t="s">
        <v>6364</v>
      </c>
      <c r="C27829" s="74" t="s">
        <v>436</v>
      </c>
    </row>
    <row r="27830" spans="1:3">
      <c r="A27830" s="250">
        <v>64058</v>
      </c>
      <c r="B27830" s="74" t="s">
        <v>6364</v>
      </c>
      <c r="C27830" s="74" t="s">
        <v>436</v>
      </c>
    </row>
    <row r="27831" spans="1:3">
      <c r="A27831" s="250">
        <v>64060</v>
      </c>
      <c r="B27831" s="74" t="s">
        <v>14233</v>
      </c>
      <c r="C27831" s="74" t="s">
        <v>436</v>
      </c>
    </row>
    <row r="27832" spans="1:3">
      <c r="A27832" s="250">
        <v>64061</v>
      </c>
      <c r="B27832" s="74" t="s">
        <v>5680</v>
      </c>
      <c r="C27832" s="74" t="s">
        <v>436</v>
      </c>
    </row>
    <row r="27833" spans="1:3">
      <c r="A27833" s="250">
        <v>64062</v>
      </c>
      <c r="B27833" s="74" t="s">
        <v>14234</v>
      </c>
      <c r="C27833" s="74" t="s">
        <v>436</v>
      </c>
    </row>
    <row r="27834" spans="1:3">
      <c r="A27834" s="250">
        <v>64063</v>
      </c>
      <c r="B27834" s="74" t="s">
        <v>14224</v>
      </c>
      <c r="C27834" s="74" t="s">
        <v>436</v>
      </c>
    </row>
    <row r="27835" spans="1:3">
      <c r="A27835" s="250">
        <v>64064</v>
      </c>
      <c r="B27835" s="74" t="s">
        <v>14224</v>
      </c>
      <c r="C27835" s="74" t="s">
        <v>436</v>
      </c>
    </row>
    <row r="27836" spans="1:3">
      <c r="A27836" s="250">
        <v>64065</v>
      </c>
      <c r="B27836" s="74" t="s">
        <v>14224</v>
      </c>
      <c r="C27836" s="74" t="s">
        <v>436</v>
      </c>
    </row>
    <row r="27837" spans="1:3">
      <c r="A27837" s="250">
        <v>64066</v>
      </c>
      <c r="B27837" s="74" t="s">
        <v>14235</v>
      </c>
      <c r="C27837" s="74" t="s">
        <v>436</v>
      </c>
    </row>
    <row r="27838" spans="1:3">
      <c r="A27838" s="250">
        <v>64067</v>
      </c>
      <c r="B27838" s="74" t="s">
        <v>966</v>
      </c>
      <c r="C27838" s="74" t="s">
        <v>436</v>
      </c>
    </row>
    <row r="27839" spans="1:3">
      <c r="A27839" s="250">
        <v>64068</v>
      </c>
      <c r="B27839" s="74" t="s">
        <v>1701</v>
      </c>
      <c r="C27839" s="74" t="s">
        <v>436</v>
      </c>
    </row>
    <row r="27840" spans="1:3">
      <c r="A27840" s="250">
        <v>64069</v>
      </c>
      <c r="B27840" s="74" t="s">
        <v>1701</v>
      </c>
      <c r="C27840" s="74" t="s">
        <v>436</v>
      </c>
    </row>
    <row r="27841" spans="1:3">
      <c r="A27841" s="250">
        <v>64070</v>
      </c>
      <c r="B27841" s="74" t="s">
        <v>14236</v>
      </c>
      <c r="C27841" s="74" t="s">
        <v>436</v>
      </c>
    </row>
    <row r="27842" spans="1:3">
      <c r="A27842" s="250">
        <v>64071</v>
      </c>
      <c r="B27842" s="74" t="s">
        <v>14237</v>
      </c>
      <c r="C27842" s="74" t="s">
        <v>436</v>
      </c>
    </row>
    <row r="27843" spans="1:3">
      <c r="A27843" s="250">
        <v>64072</v>
      </c>
      <c r="B27843" s="74" t="s">
        <v>14238</v>
      </c>
      <c r="C27843" s="74" t="s">
        <v>436</v>
      </c>
    </row>
    <row r="27844" spans="1:3">
      <c r="A27844" s="250">
        <v>64073</v>
      </c>
      <c r="B27844" s="74" t="s">
        <v>13237</v>
      </c>
      <c r="C27844" s="74" t="s">
        <v>436</v>
      </c>
    </row>
    <row r="27845" spans="1:3">
      <c r="A27845" s="250">
        <v>64074</v>
      </c>
      <c r="B27845" s="74" t="s">
        <v>10205</v>
      </c>
      <c r="C27845" s="74" t="s">
        <v>436</v>
      </c>
    </row>
    <row r="27846" spans="1:3">
      <c r="A27846" s="250">
        <v>64075</v>
      </c>
      <c r="B27846" s="74" t="s">
        <v>9987</v>
      </c>
      <c r="C27846" s="74" t="s">
        <v>436</v>
      </c>
    </row>
    <row r="27847" spans="1:3">
      <c r="A27847" s="250">
        <v>64076</v>
      </c>
      <c r="B27847" s="74" t="s">
        <v>3931</v>
      </c>
      <c r="C27847" s="74" t="s">
        <v>436</v>
      </c>
    </row>
    <row r="27848" spans="1:3">
      <c r="A27848" s="250">
        <v>64077</v>
      </c>
      <c r="B27848" s="74" t="s">
        <v>14239</v>
      </c>
      <c r="C27848" s="74" t="s">
        <v>436</v>
      </c>
    </row>
    <row r="27849" spans="1:3">
      <c r="A27849" s="250">
        <v>64078</v>
      </c>
      <c r="B27849" s="74" t="s">
        <v>14240</v>
      </c>
      <c r="C27849" s="74" t="s">
        <v>436</v>
      </c>
    </row>
    <row r="27850" spans="1:3">
      <c r="A27850" s="250">
        <v>64079</v>
      </c>
      <c r="B27850" s="74" t="s">
        <v>14241</v>
      </c>
      <c r="C27850" s="74" t="s">
        <v>436</v>
      </c>
    </row>
    <row r="27851" spans="1:3">
      <c r="A27851" s="250">
        <v>64080</v>
      </c>
      <c r="B27851" s="74" t="s">
        <v>7214</v>
      </c>
      <c r="C27851" s="74" t="s">
        <v>436</v>
      </c>
    </row>
    <row r="27852" spans="1:3">
      <c r="A27852" s="250">
        <v>64081</v>
      </c>
      <c r="B27852" s="74" t="s">
        <v>14224</v>
      </c>
      <c r="C27852" s="74" t="s">
        <v>436</v>
      </c>
    </row>
    <row r="27853" spans="1:3">
      <c r="A27853" s="250">
        <v>64082</v>
      </c>
      <c r="B27853" s="74" t="s">
        <v>14224</v>
      </c>
      <c r="C27853" s="74" t="s">
        <v>436</v>
      </c>
    </row>
    <row r="27854" spans="1:3">
      <c r="A27854" s="250">
        <v>64083</v>
      </c>
      <c r="B27854" s="74" t="s">
        <v>14242</v>
      </c>
      <c r="C27854" s="74" t="s">
        <v>436</v>
      </c>
    </row>
    <row r="27855" spans="1:3">
      <c r="A27855" s="250">
        <v>64084</v>
      </c>
      <c r="B27855" s="74" t="s">
        <v>14243</v>
      </c>
      <c r="C27855" s="74" t="s">
        <v>436</v>
      </c>
    </row>
    <row r="27856" spans="1:3">
      <c r="A27856" s="250">
        <v>64085</v>
      </c>
      <c r="B27856" s="74" t="s">
        <v>658</v>
      </c>
      <c r="C27856" s="74" t="s">
        <v>436</v>
      </c>
    </row>
    <row r="27857" spans="1:3">
      <c r="A27857" s="250">
        <v>64086</v>
      </c>
      <c r="B27857" s="74" t="s">
        <v>14224</v>
      </c>
      <c r="C27857" s="74" t="s">
        <v>436</v>
      </c>
    </row>
    <row r="27858" spans="1:3">
      <c r="A27858" s="250">
        <v>64088</v>
      </c>
      <c r="B27858" s="74" t="s">
        <v>9443</v>
      </c>
      <c r="C27858" s="74" t="s">
        <v>436</v>
      </c>
    </row>
    <row r="27859" spans="1:3">
      <c r="A27859" s="250">
        <v>64089</v>
      </c>
      <c r="B27859" s="74" t="s">
        <v>6884</v>
      </c>
      <c r="C27859" s="74" t="s">
        <v>436</v>
      </c>
    </row>
    <row r="27860" spans="1:3">
      <c r="A27860" s="250">
        <v>64090</v>
      </c>
      <c r="B27860" s="74" t="s">
        <v>4890</v>
      </c>
      <c r="C27860" s="74" t="s">
        <v>436</v>
      </c>
    </row>
    <row r="27861" spans="1:3">
      <c r="A27861" s="250">
        <v>64092</v>
      </c>
      <c r="B27861" s="74" t="s">
        <v>10674</v>
      </c>
      <c r="C27861" s="74" t="s">
        <v>436</v>
      </c>
    </row>
    <row r="27862" spans="1:3">
      <c r="A27862" s="250">
        <v>64093</v>
      </c>
      <c r="B27862" s="74" t="s">
        <v>3271</v>
      </c>
      <c r="C27862" s="74" t="s">
        <v>436</v>
      </c>
    </row>
    <row r="27863" spans="1:3">
      <c r="A27863" s="250">
        <v>64096</v>
      </c>
      <c r="B27863" s="74" t="s">
        <v>3950</v>
      </c>
      <c r="C27863" s="74" t="s">
        <v>436</v>
      </c>
    </row>
    <row r="27864" spans="1:3">
      <c r="A27864" s="250">
        <v>64097</v>
      </c>
      <c r="B27864" s="74" t="s">
        <v>8439</v>
      </c>
      <c r="C27864" s="74" t="s">
        <v>436</v>
      </c>
    </row>
    <row r="27865" spans="1:3">
      <c r="A27865" s="250">
        <v>64098</v>
      </c>
      <c r="B27865" s="74" t="s">
        <v>991</v>
      </c>
      <c r="C27865" s="74" t="s">
        <v>436</v>
      </c>
    </row>
    <row r="27866" spans="1:3">
      <c r="A27866" s="250">
        <v>64101</v>
      </c>
      <c r="B27866" s="74" t="s">
        <v>14244</v>
      </c>
      <c r="C27866" s="74" t="s">
        <v>436</v>
      </c>
    </row>
    <row r="27867" spans="1:3">
      <c r="A27867" s="250">
        <v>64102</v>
      </c>
      <c r="B27867" s="74" t="s">
        <v>14244</v>
      </c>
      <c r="C27867" s="74" t="s">
        <v>436</v>
      </c>
    </row>
    <row r="27868" spans="1:3">
      <c r="A27868" s="250">
        <v>64105</v>
      </c>
      <c r="B27868" s="74" t="s">
        <v>14244</v>
      </c>
      <c r="C27868" s="74" t="s">
        <v>436</v>
      </c>
    </row>
    <row r="27869" spans="1:3">
      <c r="A27869" s="250">
        <v>64106</v>
      </c>
      <c r="B27869" s="74" t="s">
        <v>14244</v>
      </c>
      <c r="C27869" s="74" t="s">
        <v>436</v>
      </c>
    </row>
    <row r="27870" spans="1:3">
      <c r="A27870" s="250">
        <v>64108</v>
      </c>
      <c r="B27870" s="74" t="s">
        <v>14244</v>
      </c>
      <c r="C27870" s="74" t="s">
        <v>436</v>
      </c>
    </row>
    <row r="27871" spans="1:3">
      <c r="A27871" s="250">
        <v>64109</v>
      </c>
      <c r="B27871" s="74" t="s">
        <v>14244</v>
      </c>
      <c r="C27871" s="74" t="s">
        <v>436</v>
      </c>
    </row>
    <row r="27872" spans="1:3">
      <c r="A27872" s="250">
        <v>64110</v>
      </c>
      <c r="B27872" s="74" t="s">
        <v>14244</v>
      </c>
      <c r="C27872" s="74" t="s">
        <v>436</v>
      </c>
    </row>
    <row r="27873" spans="1:3">
      <c r="A27873" s="250">
        <v>64111</v>
      </c>
      <c r="B27873" s="74" t="s">
        <v>14244</v>
      </c>
      <c r="C27873" s="74" t="s">
        <v>436</v>
      </c>
    </row>
    <row r="27874" spans="1:3">
      <c r="A27874" s="250">
        <v>64112</v>
      </c>
      <c r="B27874" s="74" t="s">
        <v>14244</v>
      </c>
      <c r="C27874" s="74" t="s">
        <v>436</v>
      </c>
    </row>
    <row r="27875" spans="1:3">
      <c r="A27875" s="250">
        <v>64113</v>
      </c>
      <c r="B27875" s="74" t="s">
        <v>14244</v>
      </c>
      <c r="C27875" s="74" t="s">
        <v>436</v>
      </c>
    </row>
    <row r="27876" spans="1:3">
      <c r="A27876" s="250">
        <v>64114</v>
      </c>
      <c r="B27876" s="74" t="s">
        <v>14244</v>
      </c>
      <c r="C27876" s="74" t="s">
        <v>436</v>
      </c>
    </row>
    <row r="27877" spans="1:3">
      <c r="A27877" s="250">
        <v>64116</v>
      </c>
      <c r="B27877" s="74" t="s">
        <v>14244</v>
      </c>
      <c r="C27877" s="74" t="s">
        <v>436</v>
      </c>
    </row>
    <row r="27878" spans="1:3">
      <c r="A27878" s="250">
        <v>64117</v>
      </c>
      <c r="B27878" s="74" t="s">
        <v>14244</v>
      </c>
      <c r="C27878" s="74" t="s">
        <v>436</v>
      </c>
    </row>
    <row r="27879" spans="1:3">
      <c r="A27879" s="250">
        <v>64118</v>
      </c>
      <c r="B27879" s="74" t="s">
        <v>14244</v>
      </c>
      <c r="C27879" s="74" t="s">
        <v>436</v>
      </c>
    </row>
    <row r="27880" spans="1:3">
      <c r="A27880" s="250">
        <v>64119</v>
      </c>
      <c r="B27880" s="74" t="s">
        <v>14244</v>
      </c>
      <c r="C27880" s="74" t="s">
        <v>436</v>
      </c>
    </row>
    <row r="27881" spans="1:3">
      <c r="A27881" s="250">
        <v>64120</v>
      </c>
      <c r="B27881" s="74" t="s">
        <v>14244</v>
      </c>
      <c r="C27881" s="74" t="s">
        <v>436</v>
      </c>
    </row>
    <row r="27882" spans="1:3">
      <c r="A27882" s="250">
        <v>64121</v>
      </c>
      <c r="B27882" s="74" t="s">
        <v>14244</v>
      </c>
      <c r="C27882" s="74" t="s">
        <v>436</v>
      </c>
    </row>
    <row r="27883" spans="1:3">
      <c r="A27883" s="250">
        <v>64123</v>
      </c>
      <c r="B27883" s="74" t="s">
        <v>14244</v>
      </c>
      <c r="C27883" s="74" t="s">
        <v>436</v>
      </c>
    </row>
    <row r="27884" spans="1:3">
      <c r="A27884" s="250">
        <v>64124</v>
      </c>
      <c r="B27884" s="74" t="s">
        <v>14244</v>
      </c>
      <c r="C27884" s="74" t="s">
        <v>436</v>
      </c>
    </row>
    <row r="27885" spans="1:3">
      <c r="A27885" s="250">
        <v>64125</v>
      </c>
      <c r="B27885" s="74" t="s">
        <v>14244</v>
      </c>
      <c r="C27885" s="74" t="s">
        <v>436</v>
      </c>
    </row>
    <row r="27886" spans="1:3">
      <c r="A27886" s="250">
        <v>64126</v>
      </c>
      <c r="B27886" s="74" t="s">
        <v>14244</v>
      </c>
      <c r="C27886" s="74" t="s">
        <v>436</v>
      </c>
    </row>
    <row r="27887" spans="1:3">
      <c r="A27887" s="250">
        <v>64127</v>
      </c>
      <c r="B27887" s="74" t="s">
        <v>14244</v>
      </c>
      <c r="C27887" s="74" t="s">
        <v>436</v>
      </c>
    </row>
    <row r="27888" spans="1:3">
      <c r="A27888" s="250">
        <v>64128</v>
      </c>
      <c r="B27888" s="74" t="s">
        <v>14244</v>
      </c>
      <c r="C27888" s="74" t="s">
        <v>436</v>
      </c>
    </row>
    <row r="27889" spans="1:3">
      <c r="A27889" s="250">
        <v>64129</v>
      </c>
      <c r="B27889" s="74" t="s">
        <v>14244</v>
      </c>
      <c r="C27889" s="74" t="s">
        <v>436</v>
      </c>
    </row>
    <row r="27890" spans="1:3">
      <c r="A27890" s="250">
        <v>64130</v>
      </c>
      <c r="B27890" s="74" t="s">
        <v>14244</v>
      </c>
      <c r="C27890" s="74" t="s">
        <v>436</v>
      </c>
    </row>
    <row r="27891" spans="1:3">
      <c r="A27891" s="250">
        <v>64131</v>
      </c>
      <c r="B27891" s="74" t="s">
        <v>14244</v>
      </c>
      <c r="C27891" s="74" t="s">
        <v>436</v>
      </c>
    </row>
    <row r="27892" spans="1:3">
      <c r="A27892" s="250">
        <v>64132</v>
      </c>
      <c r="B27892" s="74" t="s">
        <v>14244</v>
      </c>
      <c r="C27892" s="74" t="s">
        <v>436</v>
      </c>
    </row>
    <row r="27893" spans="1:3">
      <c r="A27893" s="250">
        <v>64133</v>
      </c>
      <c r="B27893" s="74" t="s">
        <v>14244</v>
      </c>
      <c r="C27893" s="74" t="s">
        <v>436</v>
      </c>
    </row>
    <row r="27894" spans="1:3">
      <c r="A27894" s="250">
        <v>64134</v>
      </c>
      <c r="B27894" s="74" t="s">
        <v>14244</v>
      </c>
      <c r="C27894" s="74" t="s">
        <v>436</v>
      </c>
    </row>
    <row r="27895" spans="1:3">
      <c r="A27895" s="250">
        <v>64136</v>
      </c>
      <c r="B27895" s="74" t="s">
        <v>14244</v>
      </c>
      <c r="C27895" s="74" t="s">
        <v>436</v>
      </c>
    </row>
    <row r="27896" spans="1:3">
      <c r="A27896" s="250">
        <v>64137</v>
      </c>
      <c r="B27896" s="74" t="s">
        <v>14244</v>
      </c>
      <c r="C27896" s="74" t="s">
        <v>436</v>
      </c>
    </row>
    <row r="27897" spans="1:3">
      <c r="A27897" s="250">
        <v>64138</v>
      </c>
      <c r="B27897" s="74" t="s">
        <v>14244</v>
      </c>
      <c r="C27897" s="74" t="s">
        <v>436</v>
      </c>
    </row>
    <row r="27898" spans="1:3">
      <c r="A27898" s="250">
        <v>64139</v>
      </c>
      <c r="B27898" s="74" t="s">
        <v>14244</v>
      </c>
      <c r="C27898" s="74" t="s">
        <v>436</v>
      </c>
    </row>
    <row r="27899" spans="1:3">
      <c r="A27899" s="250">
        <v>64141</v>
      </c>
      <c r="B27899" s="74" t="s">
        <v>14244</v>
      </c>
      <c r="C27899" s="74" t="s">
        <v>436</v>
      </c>
    </row>
    <row r="27900" spans="1:3">
      <c r="A27900" s="250">
        <v>64144</v>
      </c>
      <c r="B27900" s="74" t="s">
        <v>14244</v>
      </c>
      <c r="C27900" s="74" t="s">
        <v>436</v>
      </c>
    </row>
    <row r="27901" spans="1:3">
      <c r="A27901" s="250">
        <v>64145</v>
      </c>
      <c r="B27901" s="74" t="s">
        <v>14244</v>
      </c>
      <c r="C27901" s="74" t="s">
        <v>436</v>
      </c>
    </row>
    <row r="27902" spans="1:3">
      <c r="A27902" s="250">
        <v>64146</v>
      </c>
      <c r="B27902" s="74" t="s">
        <v>14244</v>
      </c>
      <c r="C27902" s="74" t="s">
        <v>436</v>
      </c>
    </row>
    <row r="27903" spans="1:3">
      <c r="A27903" s="250">
        <v>64147</v>
      </c>
      <c r="B27903" s="74" t="s">
        <v>14244</v>
      </c>
      <c r="C27903" s="74" t="s">
        <v>436</v>
      </c>
    </row>
    <row r="27904" spans="1:3">
      <c r="A27904" s="250">
        <v>64148</v>
      </c>
      <c r="B27904" s="74" t="s">
        <v>14244</v>
      </c>
      <c r="C27904" s="74" t="s">
        <v>436</v>
      </c>
    </row>
    <row r="27905" spans="1:3">
      <c r="A27905" s="250">
        <v>64149</v>
      </c>
      <c r="B27905" s="74" t="s">
        <v>14244</v>
      </c>
      <c r="C27905" s="74" t="s">
        <v>436</v>
      </c>
    </row>
    <row r="27906" spans="1:3">
      <c r="A27906" s="250">
        <v>64150</v>
      </c>
      <c r="B27906" s="74" t="s">
        <v>1147</v>
      </c>
      <c r="C27906" s="74" t="s">
        <v>436</v>
      </c>
    </row>
    <row r="27907" spans="1:3">
      <c r="A27907" s="250">
        <v>64151</v>
      </c>
      <c r="B27907" s="74" t="s">
        <v>14244</v>
      </c>
      <c r="C27907" s="74" t="s">
        <v>436</v>
      </c>
    </row>
    <row r="27908" spans="1:3">
      <c r="A27908" s="250">
        <v>64152</v>
      </c>
      <c r="B27908" s="74" t="s">
        <v>14244</v>
      </c>
      <c r="C27908" s="74" t="s">
        <v>436</v>
      </c>
    </row>
    <row r="27909" spans="1:3">
      <c r="A27909" s="250">
        <v>64153</v>
      </c>
      <c r="B27909" s="74" t="s">
        <v>14244</v>
      </c>
      <c r="C27909" s="74" t="s">
        <v>436</v>
      </c>
    </row>
    <row r="27910" spans="1:3">
      <c r="A27910" s="250">
        <v>64154</v>
      </c>
      <c r="B27910" s="74" t="s">
        <v>14244</v>
      </c>
      <c r="C27910" s="74" t="s">
        <v>436</v>
      </c>
    </row>
    <row r="27911" spans="1:3">
      <c r="A27911" s="250">
        <v>64155</v>
      </c>
      <c r="B27911" s="74" t="s">
        <v>14244</v>
      </c>
      <c r="C27911" s="74" t="s">
        <v>436</v>
      </c>
    </row>
    <row r="27912" spans="1:3">
      <c r="A27912" s="250">
        <v>64156</v>
      </c>
      <c r="B27912" s="74" t="s">
        <v>14244</v>
      </c>
      <c r="C27912" s="74" t="s">
        <v>436</v>
      </c>
    </row>
    <row r="27913" spans="1:3">
      <c r="A27913" s="250">
        <v>64157</v>
      </c>
      <c r="B27913" s="74" t="s">
        <v>14244</v>
      </c>
      <c r="C27913" s="74" t="s">
        <v>436</v>
      </c>
    </row>
    <row r="27914" spans="1:3">
      <c r="A27914" s="250">
        <v>64158</v>
      </c>
      <c r="B27914" s="74" t="s">
        <v>14244</v>
      </c>
      <c r="C27914" s="74" t="s">
        <v>436</v>
      </c>
    </row>
    <row r="27915" spans="1:3">
      <c r="A27915" s="250">
        <v>64161</v>
      </c>
      <c r="B27915" s="74" t="s">
        <v>14244</v>
      </c>
      <c r="C27915" s="74" t="s">
        <v>436</v>
      </c>
    </row>
    <row r="27916" spans="1:3">
      <c r="A27916" s="250">
        <v>64163</v>
      </c>
      <c r="B27916" s="74" t="s">
        <v>14244</v>
      </c>
      <c r="C27916" s="74" t="s">
        <v>436</v>
      </c>
    </row>
    <row r="27917" spans="1:3">
      <c r="A27917" s="250">
        <v>64164</v>
      </c>
      <c r="B27917" s="74" t="s">
        <v>14244</v>
      </c>
      <c r="C27917" s="74" t="s">
        <v>436</v>
      </c>
    </row>
    <row r="27918" spans="1:3">
      <c r="A27918" s="250">
        <v>64165</v>
      </c>
      <c r="B27918" s="74" t="s">
        <v>14244</v>
      </c>
      <c r="C27918" s="74" t="s">
        <v>436</v>
      </c>
    </row>
    <row r="27919" spans="1:3">
      <c r="A27919" s="250">
        <v>64166</v>
      </c>
      <c r="B27919" s="74" t="s">
        <v>14244</v>
      </c>
      <c r="C27919" s="74" t="s">
        <v>436</v>
      </c>
    </row>
    <row r="27920" spans="1:3">
      <c r="A27920" s="250">
        <v>64167</v>
      </c>
      <c r="B27920" s="74" t="s">
        <v>14244</v>
      </c>
      <c r="C27920" s="74" t="s">
        <v>436</v>
      </c>
    </row>
    <row r="27921" spans="1:3">
      <c r="A27921" s="250">
        <v>64168</v>
      </c>
      <c r="B27921" s="74" t="s">
        <v>14244</v>
      </c>
      <c r="C27921" s="74" t="s">
        <v>436</v>
      </c>
    </row>
    <row r="27922" spans="1:3">
      <c r="A27922" s="250">
        <v>64170</v>
      </c>
      <c r="B27922" s="74" t="s">
        <v>14244</v>
      </c>
      <c r="C27922" s="74" t="s">
        <v>436</v>
      </c>
    </row>
    <row r="27923" spans="1:3">
      <c r="A27923" s="250">
        <v>64171</v>
      </c>
      <c r="B27923" s="74" t="s">
        <v>14244</v>
      </c>
      <c r="C27923" s="74" t="s">
        <v>436</v>
      </c>
    </row>
    <row r="27924" spans="1:3">
      <c r="A27924" s="250">
        <v>64172</v>
      </c>
      <c r="B27924" s="74" t="s">
        <v>14244</v>
      </c>
      <c r="C27924" s="74" t="s">
        <v>436</v>
      </c>
    </row>
    <row r="27925" spans="1:3">
      <c r="A27925" s="250">
        <v>64179</v>
      </c>
      <c r="B27925" s="74" t="s">
        <v>14244</v>
      </c>
      <c r="C27925" s="74" t="s">
        <v>436</v>
      </c>
    </row>
    <row r="27926" spans="1:3">
      <c r="A27926" s="250">
        <v>64180</v>
      </c>
      <c r="B27926" s="74" t="s">
        <v>14244</v>
      </c>
      <c r="C27926" s="74" t="s">
        <v>436</v>
      </c>
    </row>
    <row r="27927" spans="1:3">
      <c r="A27927" s="250">
        <v>64183</v>
      </c>
      <c r="B27927" s="74" t="s">
        <v>14244</v>
      </c>
      <c r="C27927" s="74" t="s">
        <v>436</v>
      </c>
    </row>
    <row r="27928" spans="1:3">
      <c r="A27928" s="250">
        <v>64184</v>
      </c>
      <c r="B27928" s="74" t="s">
        <v>14244</v>
      </c>
      <c r="C27928" s="74" t="s">
        <v>436</v>
      </c>
    </row>
    <row r="27929" spans="1:3">
      <c r="A27929" s="250">
        <v>64185</v>
      </c>
      <c r="B27929" s="74" t="s">
        <v>14244</v>
      </c>
      <c r="C27929" s="74" t="s">
        <v>436</v>
      </c>
    </row>
    <row r="27930" spans="1:3">
      <c r="A27930" s="250">
        <v>64187</v>
      </c>
      <c r="B27930" s="74" t="s">
        <v>14244</v>
      </c>
      <c r="C27930" s="74" t="s">
        <v>436</v>
      </c>
    </row>
    <row r="27931" spans="1:3">
      <c r="A27931" s="250">
        <v>64188</v>
      </c>
      <c r="B27931" s="74" t="s">
        <v>14244</v>
      </c>
      <c r="C27931" s="74" t="s">
        <v>436</v>
      </c>
    </row>
    <row r="27932" spans="1:3">
      <c r="A27932" s="250">
        <v>64190</v>
      </c>
      <c r="B27932" s="74" t="s">
        <v>14244</v>
      </c>
      <c r="C27932" s="74" t="s">
        <v>436</v>
      </c>
    </row>
    <row r="27933" spans="1:3">
      <c r="A27933" s="250">
        <v>64191</v>
      </c>
      <c r="B27933" s="74" t="s">
        <v>14244</v>
      </c>
      <c r="C27933" s="74" t="s">
        <v>436</v>
      </c>
    </row>
    <row r="27934" spans="1:3">
      <c r="A27934" s="250">
        <v>64192</v>
      </c>
      <c r="B27934" s="74" t="s">
        <v>14244</v>
      </c>
      <c r="C27934" s="74" t="s">
        <v>436</v>
      </c>
    </row>
    <row r="27935" spans="1:3">
      <c r="A27935" s="250">
        <v>64193</v>
      </c>
      <c r="B27935" s="74" t="s">
        <v>14244</v>
      </c>
      <c r="C27935" s="74" t="s">
        <v>436</v>
      </c>
    </row>
    <row r="27936" spans="1:3">
      <c r="A27936" s="250">
        <v>64194</v>
      </c>
      <c r="B27936" s="74" t="s">
        <v>14244</v>
      </c>
      <c r="C27936" s="74" t="s">
        <v>436</v>
      </c>
    </row>
    <row r="27937" spans="1:3">
      <c r="A27937" s="250">
        <v>64195</v>
      </c>
      <c r="B27937" s="74" t="s">
        <v>14244</v>
      </c>
      <c r="C27937" s="74" t="s">
        <v>436</v>
      </c>
    </row>
    <row r="27938" spans="1:3">
      <c r="A27938" s="250">
        <v>64196</v>
      </c>
      <c r="B27938" s="74" t="s">
        <v>14244</v>
      </c>
      <c r="C27938" s="74" t="s">
        <v>436</v>
      </c>
    </row>
    <row r="27939" spans="1:3">
      <c r="A27939" s="250">
        <v>64197</v>
      </c>
      <c r="B27939" s="74" t="s">
        <v>14244</v>
      </c>
      <c r="C27939" s="74" t="s">
        <v>436</v>
      </c>
    </row>
    <row r="27940" spans="1:3">
      <c r="A27940" s="250">
        <v>64198</v>
      </c>
      <c r="B27940" s="74" t="s">
        <v>14244</v>
      </c>
      <c r="C27940" s="74" t="s">
        <v>436</v>
      </c>
    </row>
    <row r="27941" spans="1:3">
      <c r="A27941" s="250">
        <v>64199</v>
      </c>
      <c r="B27941" s="74" t="s">
        <v>14244</v>
      </c>
      <c r="C27941" s="74" t="s">
        <v>436</v>
      </c>
    </row>
    <row r="27942" spans="1:3">
      <c r="A27942" s="250">
        <v>64401</v>
      </c>
      <c r="B27942" s="74" t="s">
        <v>11880</v>
      </c>
      <c r="C27942" s="74" t="s">
        <v>436</v>
      </c>
    </row>
    <row r="27943" spans="1:3">
      <c r="A27943" s="250">
        <v>64402</v>
      </c>
      <c r="B27943" s="74" t="s">
        <v>1896</v>
      </c>
      <c r="C27943" s="74" t="s">
        <v>436</v>
      </c>
    </row>
    <row r="27944" spans="1:3">
      <c r="A27944" s="250">
        <v>64420</v>
      </c>
      <c r="B27944" s="74" t="s">
        <v>2181</v>
      </c>
      <c r="C27944" s="74" t="s">
        <v>436</v>
      </c>
    </row>
    <row r="27945" spans="1:3">
      <c r="A27945" s="250">
        <v>64421</v>
      </c>
      <c r="B27945" s="74" t="s">
        <v>14245</v>
      </c>
      <c r="C27945" s="74" t="s">
        <v>436</v>
      </c>
    </row>
    <row r="27946" spans="1:3">
      <c r="A27946" s="250">
        <v>64422</v>
      </c>
      <c r="B27946" s="74" t="s">
        <v>4041</v>
      </c>
      <c r="C27946" s="74" t="s">
        <v>436</v>
      </c>
    </row>
    <row r="27947" spans="1:3">
      <c r="A27947" s="250">
        <v>64423</v>
      </c>
      <c r="B27947" s="74" t="s">
        <v>1729</v>
      </c>
      <c r="C27947" s="74" t="s">
        <v>436</v>
      </c>
    </row>
    <row r="27948" spans="1:3">
      <c r="A27948" s="250">
        <v>64424</v>
      </c>
      <c r="B27948" s="74" t="s">
        <v>2075</v>
      </c>
      <c r="C27948" s="74" t="s">
        <v>436</v>
      </c>
    </row>
    <row r="27949" spans="1:3">
      <c r="A27949" s="250">
        <v>64426</v>
      </c>
      <c r="B27949" s="74" t="s">
        <v>14246</v>
      </c>
      <c r="C27949" s="74" t="s">
        <v>436</v>
      </c>
    </row>
    <row r="27950" spans="1:3">
      <c r="A27950" s="250">
        <v>64427</v>
      </c>
      <c r="B27950" s="74" t="s">
        <v>14247</v>
      </c>
      <c r="C27950" s="74" t="s">
        <v>436</v>
      </c>
    </row>
    <row r="27951" spans="1:3">
      <c r="A27951" s="250">
        <v>64428</v>
      </c>
      <c r="B27951" s="74" t="s">
        <v>14248</v>
      </c>
      <c r="C27951" s="74" t="s">
        <v>436</v>
      </c>
    </row>
    <row r="27952" spans="1:3">
      <c r="A27952" s="250">
        <v>64429</v>
      </c>
      <c r="B27952" s="74" t="s">
        <v>3902</v>
      </c>
      <c r="C27952" s="74" t="s">
        <v>436</v>
      </c>
    </row>
    <row r="27953" spans="1:3">
      <c r="A27953" s="250">
        <v>64430</v>
      </c>
      <c r="B27953" s="74" t="s">
        <v>9292</v>
      </c>
      <c r="C27953" s="74" t="s">
        <v>436</v>
      </c>
    </row>
    <row r="27954" spans="1:3">
      <c r="A27954" s="250">
        <v>64431</v>
      </c>
      <c r="B27954" s="74" t="s">
        <v>14249</v>
      </c>
      <c r="C27954" s="74" t="s">
        <v>436</v>
      </c>
    </row>
    <row r="27955" spans="1:3">
      <c r="A27955" s="250">
        <v>64432</v>
      </c>
      <c r="B27955" s="74" t="s">
        <v>3766</v>
      </c>
      <c r="C27955" s="74" t="s">
        <v>436</v>
      </c>
    </row>
    <row r="27956" spans="1:3">
      <c r="A27956" s="250">
        <v>64433</v>
      </c>
      <c r="B27956" s="74" t="s">
        <v>14250</v>
      </c>
      <c r="C27956" s="74" t="s">
        <v>436</v>
      </c>
    </row>
    <row r="27957" spans="1:3">
      <c r="A27957" s="250">
        <v>64434</v>
      </c>
      <c r="B27957" s="74" t="s">
        <v>14251</v>
      </c>
      <c r="C27957" s="74" t="s">
        <v>436</v>
      </c>
    </row>
    <row r="27958" spans="1:3">
      <c r="A27958" s="250">
        <v>64436</v>
      </c>
      <c r="B27958" s="74" t="s">
        <v>9117</v>
      </c>
      <c r="C27958" s="74" t="s">
        <v>436</v>
      </c>
    </row>
    <row r="27959" spans="1:3">
      <c r="A27959" s="250">
        <v>64437</v>
      </c>
      <c r="B27959" s="74" t="s">
        <v>14252</v>
      </c>
      <c r="C27959" s="74" t="s">
        <v>436</v>
      </c>
    </row>
    <row r="27960" spans="1:3">
      <c r="A27960" s="250">
        <v>64438</v>
      </c>
      <c r="B27960" s="74" t="s">
        <v>4412</v>
      </c>
      <c r="C27960" s="74" t="s">
        <v>436</v>
      </c>
    </row>
    <row r="27961" spans="1:3">
      <c r="A27961" s="250">
        <v>64439</v>
      </c>
      <c r="B27961" s="74" t="s">
        <v>11013</v>
      </c>
      <c r="C27961" s="74" t="s">
        <v>436</v>
      </c>
    </row>
    <row r="27962" spans="1:3">
      <c r="A27962" s="250">
        <v>64440</v>
      </c>
      <c r="B27962" s="74" t="s">
        <v>9462</v>
      </c>
      <c r="C27962" s="74" t="s">
        <v>436</v>
      </c>
    </row>
    <row r="27963" spans="1:3">
      <c r="A27963" s="250">
        <v>64441</v>
      </c>
      <c r="B27963" s="74" t="s">
        <v>3040</v>
      </c>
      <c r="C27963" s="74" t="s">
        <v>436</v>
      </c>
    </row>
    <row r="27964" spans="1:3">
      <c r="A27964" s="250">
        <v>64442</v>
      </c>
      <c r="B27964" s="74" t="s">
        <v>5406</v>
      </c>
      <c r="C27964" s="74" t="s">
        <v>436</v>
      </c>
    </row>
    <row r="27965" spans="1:3">
      <c r="A27965" s="250">
        <v>64443</v>
      </c>
      <c r="B27965" s="74" t="s">
        <v>941</v>
      </c>
      <c r="C27965" s="74" t="s">
        <v>436</v>
      </c>
    </row>
    <row r="27966" spans="1:3">
      <c r="A27966" s="250">
        <v>64444</v>
      </c>
      <c r="B27966" s="74" t="s">
        <v>10187</v>
      </c>
      <c r="C27966" s="74" t="s">
        <v>436</v>
      </c>
    </row>
    <row r="27967" spans="1:3">
      <c r="A27967" s="250">
        <v>64445</v>
      </c>
      <c r="B27967" s="74" t="s">
        <v>13419</v>
      </c>
      <c r="C27967" s="74" t="s">
        <v>436</v>
      </c>
    </row>
    <row r="27968" spans="1:3">
      <c r="A27968" s="250">
        <v>64446</v>
      </c>
      <c r="B27968" s="74" t="s">
        <v>1811</v>
      </c>
      <c r="C27968" s="74" t="s">
        <v>436</v>
      </c>
    </row>
    <row r="27969" spans="1:3">
      <c r="A27969" s="250">
        <v>64447</v>
      </c>
      <c r="B27969" s="74" t="s">
        <v>7041</v>
      </c>
      <c r="C27969" s="74" t="s">
        <v>436</v>
      </c>
    </row>
    <row r="27970" spans="1:3">
      <c r="A27970" s="250">
        <v>64448</v>
      </c>
      <c r="B27970" s="74" t="s">
        <v>14253</v>
      </c>
      <c r="C27970" s="74" t="s">
        <v>436</v>
      </c>
    </row>
    <row r="27971" spans="1:3">
      <c r="A27971" s="250">
        <v>64449</v>
      </c>
      <c r="B27971" s="74" t="s">
        <v>3862</v>
      </c>
      <c r="C27971" s="74" t="s">
        <v>436</v>
      </c>
    </row>
    <row r="27972" spans="1:3">
      <c r="A27972" s="250">
        <v>64451</v>
      </c>
      <c r="B27972" s="74" t="s">
        <v>5158</v>
      </c>
      <c r="C27972" s="74" t="s">
        <v>436</v>
      </c>
    </row>
    <row r="27973" spans="1:3">
      <c r="A27973" s="250">
        <v>64453</v>
      </c>
      <c r="B27973" s="74" t="s">
        <v>14254</v>
      </c>
      <c r="C27973" s="74" t="s">
        <v>436</v>
      </c>
    </row>
    <row r="27974" spans="1:3">
      <c r="A27974" s="250">
        <v>64454</v>
      </c>
      <c r="B27974" s="74" t="s">
        <v>14255</v>
      </c>
      <c r="C27974" s="74" t="s">
        <v>436</v>
      </c>
    </row>
    <row r="27975" spans="1:3">
      <c r="A27975" s="250">
        <v>64455</v>
      </c>
      <c r="B27975" s="74" t="s">
        <v>7098</v>
      </c>
      <c r="C27975" s="74" t="s">
        <v>436</v>
      </c>
    </row>
    <row r="27976" spans="1:3">
      <c r="A27976" s="250">
        <v>64456</v>
      </c>
      <c r="B27976" s="74" t="s">
        <v>14256</v>
      </c>
      <c r="C27976" s="74" t="s">
        <v>436</v>
      </c>
    </row>
    <row r="27977" spans="1:3">
      <c r="A27977" s="250">
        <v>64457</v>
      </c>
      <c r="B27977" s="74" t="s">
        <v>1507</v>
      </c>
      <c r="C27977" s="74" t="s">
        <v>436</v>
      </c>
    </row>
    <row r="27978" spans="1:3">
      <c r="A27978" s="250">
        <v>64458</v>
      </c>
      <c r="B27978" s="74" t="s">
        <v>598</v>
      </c>
      <c r="C27978" s="74" t="s">
        <v>436</v>
      </c>
    </row>
    <row r="27979" spans="1:3">
      <c r="A27979" s="250">
        <v>64459</v>
      </c>
      <c r="B27979" s="74" t="s">
        <v>3555</v>
      </c>
      <c r="C27979" s="74" t="s">
        <v>436</v>
      </c>
    </row>
    <row r="27980" spans="1:3">
      <c r="A27980" s="250">
        <v>64461</v>
      </c>
      <c r="B27980" s="74" t="s">
        <v>7617</v>
      </c>
      <c r="C27980" s="74" t="s">
        <v>436</v>
      </c>
    </row>
    <row r="27981" spans="1:3">
      <c r="A27981" s="250">
        <v>64463</v>
      </c>
      <c r="B27981" s="74" t="s">
        <v>14257</v>
      </c>
      <c r="C27981" s="74" t="s">
        <v>436</v>
      </c>
    </row>
    <row r="27982" spans="1:3">
      <c r="A27982" s="250">
        <v>64465</v>
      </c>
      <c r="B27982" s="74" t="s">
        <v>14258</v>
      </c>
      <c r="C27982" s="74" t="s">
        <v>436</v>
      </c>
    </row>
    <row r="27983" spans="1:3">
      <c r="A27983" s="250">
        <v>64466</v>
      </c>
      <c r="B27983" s="74" t="s">
        <v>8380</v>
      </c>
      <c r="C27983" s="74" t="s">
        <v>436</v>
      </c>
    </row>
    <row r="27984" spans="1:3">
      <c r="A27984" s="250">
        <v>64467</v>
      </c>
      <c r="B27984" s="74" t="s">
        <v>2580</v>
      </c>
      <c r="C27984" s="74" t="s">
        <v>436</v>
      </c>
    </row>
    <row r="27985" spans="1:3">
      <c r="A27985" s="250">
        <v>64468</v>
      </c>
      <c r="B27985" s="74" t="s">
        <v>9142</v>
      </c>
      <c r="C27985" s="74" t="s">
        <v>436</v>
      </c>
    </row>
    <row r="27986" spans="1:3">
      <c r="A27986" s="250">
        <v>64469</v>
      </c>
      <c r="B27986" s="74" t="s">
        <v>7041</v>
      </c>
      <c r="C27986" s="74" t="s">
        <v>436</v>
      </c>
    </row>
    <row r="27987" spans="1:3">
      <c r="A27987" s="250">
        <v>64470</v>
      </c>
      <c r="B27987" s="74" t="s">
        <v>12960</v>
      </c>
      <c r="C27987" s="74" t="s">
        <v>436</v>
      </c>
    </row>
    <row r="27988" spans="1:3">
      <c r="A27988" s="250">
        <v>64471</v>
      </c>
      <c r="B27988" s="74" t="s">
        <v>1200</v>
      </c>
      <c r="C27988" s="74" t="s">
        <v>436</v>
      </c>
    </row>
    <row r="27989" spans="1:3">
      <c r="A27989" s="250">
        <v>64473</v>
      </c>
      <c r="B27989" s="74" t="s">
        <v>10216</v>
      </c>
      <c r="C27989" s="74" t="s">
        <v>436</v>
      </c>
    </row>
    <row r="27990" spans="1:3">
      <c r="A27990" s="250">
        <v>64474</v>
      </c>
      <c r="B27990" s="74" t="s">
        <v>14259</v>
      </c>
      <c r="C27990" s="74" t="s">
        <v>436</v>
      </c>
    </row>
    <row r="27991" spans="1:3">
      <c r="A27991" s="250">
        <v>64475</v>
      </c>
      <c r="B27991" s="74" t="s">
        <v>11863</v>
      </c>
      <c r="C27991" s="74" t="s">
        <v>436</v>
      </c>
    </row>
    <row r="27992" spans="1:3">
      <c r="A27992" s="250">
        <v>64476</v>
      </c>
      <c r="B27992" s="74" t="s">
        <v>14260</v>
      </c>
      <c r="C27992" s="74" t="s">
        <v>436</v>
      </c>
    </row>
    <row r="27993" spans="1:3">
      <c r="A27993" s="250">
        <v>64477</v>
      </c>
      <c r="B27993" s="74" t="s">
        <v>14261</v>
      </c>
      <c r="C27993" s="74" t="s">
        <v>436</v>
      </c>
    </row>
    <row r="27994" spans="1:3">
      <c r="A27994" s="250">
        <v>64479</v>
      </c>
      <c r="B27994" s="74" t="s">
        <v>14262</v>
      </c>
      <c r="C27994" s="74" t="s">
        <v>436</v>
      </c>
    </row>
    <row r="27995" spans="1:3">
      <c r="A27995" s="250">
        <v>64480</v>
      </c>
      <c r="B27995" s="74" t="s">
        <v>14263</v>
      </c>
      <c r="C27995" s="74" t="s">
        <v>436</v>
      </c>
    </row>
    <row r="27996" spans="1:3">
      <c r="A27996" s="250">
        <v>64481</v>
      </c>
      <c r="B27996" s="74" t="s">
        <v>6297</v>
      </c>
      <c r="C27996" s="74" t="s">
        <v>436</v>
      </c>
    </row>
    <row r="27997" spans="1:3">
      <c r="A27997" s="250">
        <v>64482</v>
      </c>
      <c r="B27997" s="74" t="s">
        <v>14264</v>
      </c>
      <c r="C27997" s="74" t="s">
        <v>436</v>
      </c>
    </row>
    <row r="27998" spans="1:3">
      <c r="A27998" s="250">
        <v>64483</v>
      </c>
      <c r="B27998" s="74" t="s">
        <v>3080</v>
      </c>
      <c r="C27998" s="74" t="s">
        <v>436</v>
      </c>
    </row>
    <row r="27999" spans="1:3">
      <c r="A27999" s="250">
        <v>64484</v>
      </c>
      <c r="B27999" s="74" t="s">
        <v>3817</v>
      </c>
      <c r="C27999" s="74" t="s">
        <v>436</v>
      </c>
    </row>
    <row r="28000" spans="1:3">
      <c r="A28000" s="250">
        <v>64485</v>
      </c>
      <c r="B28000" s="74" t="s">
        <v>3411</v>
      </c>
      <c r="C28000" s="74" t="s">
        <v>436</v>
      </c>
    </row>
    <row r="28001" spans="1:3">
      <c r="A28001" s="250">
        <v>64486</v>
      </c>
      <c r="B28001" s="74" t="s">
        <v>1651</v>
      </c>
      <c r="C28001" s="74" t="s">
        <v>436</v>
      </c>
    </row>
    <row r="28002" spans="1:3">
      <c r="A28002" s="250">
        <v>64487</v>
      </c>
      <c r="B28002" s="74" t="s">
        <v>14265</v>
      </c>
      <c r="C28002" s="74" t="s">
        <v>436</v>
      </c>
    </row>
    <row r="28003" spans="1:3">
      <c r="A28003" s="250">
        <v>64489</v>
      </c>
      <c r="B28003" s="74" t="s">
        <v>14266</v>
      </c>
      <c r="C28003" s="74" t="s">
        <v>436</v>
      </c>
    </row>
    <row r="28004" spans="1:3">
      <c r="A28004" s="250">
        <v>64490</v>
      </c>
      <c r="B28004" s="74" t="s">
        <v>2603</v>
      </c>
      <c r="C28004" s="74" t="s">
        <v>436</v>
      </c>
    </row>
    <row r="28005" spans="1:3">
      <c r="A28005" s="250">
        <v>64491</v>
      </c>
      <c r="B28005" s="74" t="s">
        <v>14267</v>
      </c>
      <c r="C28005" s="74" t="s">
        <v>436</v>
      </c>
    </row>
    <row r="28006" spans="1:3">
      <c r="A28006" s="250">
        <v>64492</v>
      </c>
      <c r="B28006" s="74" t="s">
        <v>9204</v>
      </c>
      <c r="C28006" s="74" t="s">
        <v>436</v>
      </c>
    </row>
    <row r="28007" spans="1:3">
      <c r="A28007" s="250">
        <v>64493</v>
      </c>
      <c r="B28007" s="74" t="s">
        <v>14268</v>
      </c>
      <c r="C28007" s="74" t="s">
        <v>436</v>
      </c>
    </row>
    <row r="28008" spans="1:3">
      <c r="A28008" s="250">
        <v>64494</v>
      </c>
      <c r="B28008" s="74" t="s">
        <v>9617</v>
      </c>
      <c r="C28008" s="74" t="s">
        <v>436</v>
      </c>
    </row>
    <row r="28009" spans="1:3">
      <c r="A28009" s="250">
        <v>64496</v>
      </c>
      <c r="B28009" s="74" t="s">
        <v>8675</v>
      </c>
      <c r="C28009" s="74" t="s">
        <v>436</v>
      </c>
    </row>
    <row r="28010" spans="1:3">
      <c r="A28010" s="250">
        <v>64497</v>
      </c>
      <c r="B28010" s="74" t="s">
        <v>14269</v>
      </c>
      <c r="C28010" s="74" t="s">
        <v>436</v>
      </c>
    </row>
    <row r="28011" spans="1:3">
      <c r="A28011" s="250">
        <v>64498</v>
      </c>
      <c r="B28011" s="74" t="s">
        <v>12190</v>
      </c>
      <c r="C28011" s="74" t="s">
        <v>436</v>
      </c>
    </row>
    <row r="28012" spans="1:3">
      <c r="A28012" s="250">
        <v>64499</v>
      </c>
      <c r="B28012" s="74" t="s">
        <v>13541</v>
      </c>
      <c r="C28012" s="74" t="s">
        <v>436</v>
      </c>
    </row>
    <row r="28013" spans="1:3">
      <c r="A28013" s="250">
        <v>64501</v>
      </c>
      <c r="B28013" s="74" t="s">
        <v>9258</v>
      </c>
      <c r="C28013" s="74" t="s">
        <v>436</v>
      </c>
    </row>
    <row r="28014" spans="1:3">
      <c r="A28014" s="250">
        <v>64502</v>
      </c>
      <c r="B28014" s="74" t="s">
        <v>9258</v>
      </c>
      <c r="C28014" s="74" t="s">
        <v>436</v>
      </c>
    </row>
    <row r="28015" spans="1:3">
      <c r="A28015" s="250">
        <v>64503</v>
      </c>
      <c r="B28015" s="74" t="s">
        <v>9258</v>
      </c>
      <c r="C28015" s="74" t="s">
        <v>436</v>
      </c>
    </row>
    <row r="28016" spans="1:3">
      <c r="A28016" s="250">
        <v>64504</v>
      </c>
      <c r="B28016" s="74" t="s">
        <v>9258</v>
      </c>
      <c r="C28016" s="74" t="s">
        <v>436</v>
      </c>
    </row>
    <row r="28017" spans="1:3">
      <c r="A28017" s="250">
        <v>64505</v>
      </c>
      <c r="B28017" s="74" t="s">
        <v>9258</v>
      </c>
      <c r="C28017" s="74" t="s">
        <v>436</v>
      </c>
    </row>
    <row r="28018" spans="1:3">
      <c r="A28018" s="250">
        <v>64506</v>
      </c>
      <c r="B28018" s="74" t="s">
        <v>9258</v>
      </c>
      <c r="C28018" s="74" t="s">
        <v>436</v>
      </c>
    </row>
    <row r="28019" spans="1:3">
      <c r="A28019" s="250">
        <v>64507</v>
      </c>
      <c r="B28019" s="74" t="s">
        <v>9258</v>
      </c>
      <c r="C28019" s="74" t="s">
        <v>436</v>
      </c>
    </row>
    <row r="28020" spans="1:3">
      <c r="A28020" s="250">
        <v>64508</v>
      </c>
      <c r="B28020" s="74" t="s">
        <v>9258</v>
      </c>
      <c r="C28020" s="74" t="s">
        <v>436</v>
      </c>
    </row>
    <row r="28021" spans="1:3">
      <c r="A28021" s="250">
        <v>64601</v>
      </c>
      <c r="B28021" s="74" t="s">
        <v>10526</v>
      </c>
      <c r="C28021" s="74" t="s">
        <v>436</v>
      </c>
    </row>
    <row r="28022" spans="1:3">
      <c r="A28022" s="250">
        <v>64620</v>
      </c>
      <c r="B28022" s="74" t="s">
        <v>2909</v>
      </c>
      <c r="C28022" s="74" t="s">
        <v>436</v>
      </c>
    </row>
    <row r="28023" spans="1:3">
      <c r="A28023" s="250">
        <v>64622</v>
      </c>
      <c r="B28023" s="74" t="s">
        <v>14270</v>
      </c>
      <c r="C28023" s="74" t="s">
        <v>436</v>
      </c>
    </row>
    <row r="28024" spans="1:3">
      <c r="A28024" s="250">
        <v>64623</v>
      </c>
      <c r="B28024" s="74" t="s">
        <v>14271</v>
      </c>
      <c r="C28024" s="74" t="s">
        <v>436</v>
      </c>
    </row>
    <row r="28025" spans="1:3">
      <c r="A28025" s="250">
        <v>64624</v>
      </c>
      <c r="B28025" s="74" t="s">
        <v>14272</v>
      </c>
      <c r="C28025" s="74" t="s">
        <v>436</v>
      </c>
    </row>
    <row r="28026" spans="1:3">
      <c r="A28026" s="250">
        <v>64625</v>
      </c>
      <c r="B28026" s="74" t="s">
        <v>11090</v>
      </c>
      <c r="C28026" s="74" t="s">
        <v>436</v>
      </c>
    </row>
    <row r="28027" spans="1:3">
      <c r="A28027" s="250">
        <v>64628</v>
      </c>
      <c r="B28027" s="74" t="s">
        <v>728</v>
      </c>
      <c r="C28027" s="74" t="s">
        <v>436</v>
      </c>
    </row>
    <row r="28028" spans="1:3">
      <c r="A28028" s="250">
        <v>64630</v>
      </c>
      <c r="B28028" s="74" t="s">
        <v>13308</v>
      </c>
      <c r="C28028" s="74" t="s">
        <v>436</v>
      </c>
    </row>
    <row r="28029" spans="1:3">
      <c r="A28029" s="250">
        <v>64631</v>
      </c>
      <c r="B28029" s="74" t="s">
        <v>14273</v>
      </c>
      <c r="C28029" s="74" t="s">
        <v>436</v>
      </c>
    </row>
    <row r="28030" spans="1:3">
      <c r="A28030" s="250">
        <v>64632</v>
      </c>
      <c r="B28030" s="74" t="s">
        <v>14274</v>
      </c>
      <c r="C28030" s="74" t="s">
        <v>436</v>
      </c>
    </row>
    <row r="28031" spans="1:3">
      <c r="A28031" s="250">
        <v>64633</v>
      </c>
      <c r="B28031" s="74" t="s">
        <v>6129</v>
      </c>
      <c r="C28031" s="74" t="s">
        <v>436</v>
      </c>
    </row>
    <row r="28032" spans="1:3">
      <c r="A28032" s="250">
        <v>64635</v>
      </c>
      <c r="B28032" s="74" t="s">
        <v>8167</v>
      </c>
      <c r="C28032" s="74" t="s">
        <v>436</v>
      </c>
    </row>
    <row r="28033" spans="1:3">
      <c r="A28033" s="250">
        <v>64636</v>
      </c>
      <c r="B28033" s="74" t="s">
        <v>14275</v>
      </c>
      <c r="C28033" s="74" t="s">
        <v>436</v>
      </c>
    </row>
    <row r="28034" spans="1:3">
      <c r="A28034" s="250">
        <v>64637</v>
      </c>
      <c r="B28034" s="74" t="s">
        <v>14276</v>
      </c>
      <c r="C28034" s="74" t="s">
        <v>436</v>
      </c>
    </row>
    <row r="28035" spans="1:3">
      <c r="A28035" s="250">
        <v>64638</v>
      </c>
      <c r="B28035" s="74" t="s">
        <v>14277</v>
      </c>
      <c r="C28035" s="74" t="s">
        <v>436</v>
      </c>
    </row>
    <row r="28036" spans="1:3">
      <c r="A28036" s="250">
        <v>64639</v>
      </c>
      <c r="B28036" s="74" t="s">
        <v>11918</v>
      </c>
      <c r="C28036" s="74" t="s">
        <v>436</v>
      </c>
    </row>
    <row r="28037" spans="1:3">
      <c r="A28037" s="250">
        <v>64640</v>
      </c>
      <c r="B28037" s="74" t="s">
        <v>9006</v>
      </c>
      <c r="C28037" s="74" t="s">
        <v>436</v>
      </c>
    </row>
    <row r="28038" spans="1:3">
      <c r="A28038" s="250">
        <v>64641</v>
      </c>
      <c r="B28038" s="74" t="s">
        <v>11506</v>
      </c>
      <c r="C28038" s="74" t="s">
        <v>436</v>
      </c>
    </row>
    <row r="28039" spans="1:3">
      <c r="A28039" s="250">
        <v>64642</v>
      </c>
      <c r="B28039" s="74" t="s">
        <v>14278</v>
      </c>
      <c r="C28039" s="74" t="s">
        <v>436</v>
      </c>
    </row>
    <row r="28040" spans="1:3">
      <c r="A28040" s="250">
        <v>64643</v>
      </c>
      <c r="B28040" s="74" t="s">
        <v>11128</v>
      </c>
      <c r="C28040" s="74" t="s">
        <v>436</v>
      </c>
    </row>
    <row r="28041" spans="1:3">
      <c r="A28041" s="250">
        <v>64644</v>
      </c>
      <c r="B28041" s="74" t="s">
        <v>844</v>
      </c>
      <c r="C28041" s="74" t="s">
        <v>436</v>
      </c>
    </row>
    <row r="28042" spans="1:3">
      <c r="A28042" s="250">
        <v>64645</v>
      </c>
      <c r="B28042" s="74" t="s">
        <v>3179</v>
      </c>
      <c r="C28042" s="74" t="s">
        <v>436</v>
      </c>
    </row>
    <row r="28043" spans="1:3">
      <c r="A28043" s="250">
        <v>64646</v>
      </c>
      <c r="B28043" s="74" t="s">
        <v>14279</v>
      </c>
      <c r="C28043" s="74" t="s">
        <v>436</v>
      </c>
    </row>
    <row r="28044" spans="1:3">
      <c r="A28044" s="250">
        <v>64647</v>
      </c>
      <c r="B28044" s="74" t="s">
        <v>14280</v>
      </c>
      <c r="C28044" s="74" t="s">
        <v>436</v>
      </c>
    </row>
    <row r="28045" spans="1:3">
      <c r="A28045" s="250">
        <v>64648</v>
      </c>
      <c r="B28045" s="74" t="s">
        <v>2881</v>
      </c>
      <c r="C28045" s="74" t="s">
        <v>436</v>
      </c>
    </row>
    <row r="28046" spans="1:3">
      <c r="A28046" s="250">
        <v>64649</v>
      </c>
      <c r="B28046" s="74" t="s">
        <v>14281</v>
      </c>
      <c r="C28046" s="74" t="s">
        <v>436</v>
      </c>
    </row>
    <row r="28047" spans="1:3">
      <c r="A28047" s="250">
        <v>64650</v>
      </c>
      <c r="B28047" s="74" t="s">
        <v>957</v>
      </c>
      <c r="C28047" s="74" t="s">
        <v>436</v>
      </c>
    </row>
    <row r="28048" spans="1:3">
      <c r="A28048" s="250">
        <v>64651</v>
      </c>
      <c r="B28048" s="74" t="s">
        <v>14282</v>
      </c>
      <c r="C28048" s="74" t="s">
        <v>436</v>
      </c>
    </row>
    <row r="28049" spans="1:3">
      <c r="A28049" s="250">
        <v>64652</v>
      </c>
      <c r="B28049" s="74" t="s">
        <v>14283</v>
      </c>
      <c r="C28049" s="74" t="s">
        <v>436</v>
      </c>
    </row>
    <row r="28050" spans="1:3">
      <c r="A28050" s="250">
        <v>64653</v>
      </c>
      <c r="B28050" s="74" t="s">
        <v>14284</v>
      </c>
      <c r="C28050" s="74" t="s">
        <v>436</v>
      </c>
    </row>
    <row r="28051" spans="1:3">
      <c r="A28051" s="250">
        <v>64654</v>
      </c>
      <c r="B28051" s="74" t="s">
        <v>14285</v>
      </c>
      <c r="C28051" s="74" t="s">
        <v>436</v>
      </c>
    </row>
    <row r="28052" spans="1:3">
      <c r="A28052" s="250">
        <v>64655</v>
      </c>
      <c r="B28052" s="74" t="s">
        <v>10777</v>
      </c>
      <c r="C28052" s="74" t="s">
        <v>436</v>
      </c>
    </row>
    <row r="28053" spans="1:3">
      <c r="A28053" s="250">
        <v>64656</v>
      </c>
      <c r="B28053" s="74" t="s">
        <v>604</v>
      </c>
      <c r="C28053" s="74" t="s">
        <v>436</v>
      </c>
    </row>
    <row r="28054" spans="1:3">
      <c r="A28054" s="250">
        <v>64657</v>
      </c>
      <c r="B28054" s="74" t="s">
        <v>14286</v>
      </c>
      <c r="C28054" s="74" t="s">
        <v>436</v>
      </c>
    </row>
    <row r="28055" spans="1:3">
      <c r="A28055" s="250">
        <v>64658</v>
      </c>
      <c r="B28055" s="74" t="s">
        <v>14287</v>
      </c>
      <c r="C28055" s="74" t="s">
        <v>436</v>
      </c>
    </row>
    <row r="28056" spans="1:3">
      <c r="A28056" s="250">
        <v>64659</v>
      </c>
      <c r="B28056" s="74" t="s">
        <v>4488</v>
      </c>
      <c r="C28056" s="74" t="s">
        <v>436</v>
      </c>
    </row>
    <row r="28057" spans="1:3">
      <c r="A28057" s="250">
        <v>64660</v>
      </c>
      <c r="B28057" s="74" t="s">
        <v>795</v>
      </c>
      <c r="C28057" s="74" t="s">
        <v>436</v>
      </c>
    </row>
    <row r="28058" spans="1:3">
      <c r="A28058" s="250">
        <v>64661</v>
      </c>
      <c r="B28058" s="74" t="s">
        <v>4423</v>
      </c>
      <c r="C28058" s="74" t="s">
        <v>436</v>
      </c>
    </row>
    <row r="28059" spans="1:3">
      <c r="A28059" s="250">
        <v>64664</v>
      </c>
      <c r="B28059" s="74" t="s">
        <v>7324</v>
      </c>
      <c r="C28059" s="74" t="s">
        <v>436</v>
      </c>
    </row>
    <row r="28060" spans="1:3">
      <c r="A28060" s="250">
        <v>64667</v>
      </c>
      <c r="B28060" s="74" t="s">
        <v>2058</v>
      </c>
      <c r="C28060" s="74" t="s">
        <v>436</v>
      </c>
    </row>
    <row r="28061" spans="1:3">
      <c r="A28061" s="250">
        <v>64668</v>
      </c>
      <c r="B28061" s="74" t="s">
        <v>14288</v>
      </c>
      <c r="C28061" s="74" t="s">
        <v>436</v>
      </c>
    </row>
    <row r="28062" spans="1:3">
      <c r="A28062" s="250">
        <v>64670</v>
      </c>
      <c r="B28062" s="74" t="s">
        <v>14289</v>
      </c>
      <c r="C28062" s="74" t="s">
        <v>436</v>
      </c>
    </row>
    <row r="28063" spans="1:3">
      <c r="A28063" s="250">
        <v>64671</v>
      </c>
      <c r="B28063" s="74" t="s">
        <v>13619</v>
      </c>
      <c r="C28063" s="74" t="s">
        <v>436</v>
      </c>
    </row>
    <row r="28064" spans="1:3">
      <c r="A28064" s="250">
        <v>64672</v>
      </c>
      <c r="B28064" s="74" t="s">
        <v>14290</v>
      </c>
      <c r="C28064" s="74" t="s">
        <v>436</v>
      </c>
    </row>
    <row r="28065" spans="1:3">
      <c r="A28065" s="250">
        <v>64673</v>
      </c>
      <c r="B28065" s="74" t="s">
        <v>755</v>
      </c>
      <c r="C28065" s="74" t="s">
        <v>436</v>
      </c>
    </row>
    <row r="28066" spans="1:3">
      <c r="A28066" s="250">
        <v>64674</v>
      </c>
      <c r="B28066" s="74" t="s">
        <v>14291</v>
      </c>
      <c r="C28066" s="74" t="s">
        <v>436</v>
      </c>
    </row>
    <row r="28067" spans="1:3">
      <c r="A28067" s="250">
        <v>64676</v>
      </c>
      <c r="B28067" s="74" t="s">
        <v>14292</v>
      </c>
      <c r="C28067" s="74" t="s">
        <v>436</v>
      </c>
    </row>
    <row r="28068" spans="1:3">
      <c r="A28068" s="250">
        <v>64679</v>
      </c>
      <c r="B28068" s="74" t="s">
        <v>14293</v>
      </c>
      <c r="C28068" s="74" t="s">
        <v>436</v>
      </c>
    </row>
    <row r="28069" spans="1:3">
      <c r="A28069" s="250">
        <v>64680</v>
      </c>
      <c r="B28069" s="74" t="s">
        <v>14294</v>
      </c>
      <c r="C28069" s="74" t="s">
        <v>436</v>
      </c>
    </row>
    <row r="28070" spans="1:3">
      <c r="A28070" s="250">
        <v>64681</v>
      </c>
      <c r="B28070" s="74" t="s">
        <v>1472</v>
      </c>
      <c r="C28070" s="74" t="s">
        <v>436</v>
      </c>
    </row>
    <row r="28071" spans="1:3">
      <c r="A28071" s="250">
        <v>64682</v>
      </c>
      <c r="B28071" s="74" t="s">
        <v>14295</v>
      </c>
      <c r="C28071" s="74" t="s">
        <v>436</v>
      </c>
    </row>
    <row r="28072" spans="1:3">
      <c r="A28072" s="250">
        <v>64683</v>
      </c>
      <c r="B28072" s="74" t="s">
        <v>2532</v>
      </c>
      <c r="C28072" s="74" t="s">
        <v>436</v>
      </c>
    </row>
    <row r="28073" spans="1:3">
      <c r="A28073" s="250">
        <v>64686</v>
      </c>
      <c r="B28073" s="74" t="s">
        <v>3521</v>
      </c>
      <c r="C28073" s="74" t="s">
        <v>436</v>
      </c>
    </row>
    <row r="28074" spans="1:3">
      <c r="A28074" s="250">
        <v>64688</v>
      </c>
      <c r="B28074" s="74" t="s">
        <v>6848</v>
      </c>
      <c r="C28074" s="74" t="s">
        <v>436</v>
      </c>
    </row>
    <row r="28075" spans="1:3">
      <c r="A28075" s="250">
        <v>64689</v>
      </c>
      <c r="B28075" s="74" t="s">
        <v>7904</v>
      </c>
      <c r="C28075" s="74" t="s">
        <v>436</v>
      </c>
    </row>
    <row r="28076" spans="1:3">
      <c r="A28076" s="250">
        <v>64701</v>
      </c>
      <c r="B28076" s="74" t="s">
        <v>2391</v>
      </c>
      <c r="C28076" s="74" t="s">
        <v>436</v>
      </c>
    </row>
    <row r="28077" spans="1:3">
      <c r="A28077" s="250">
        <v>64720</v>
      </c>
      <c r="B28077" s="74" t="s">
        <v>4439</v>
      </c>
      <c r="C28077" s="74" t="s">
        <v>436</v>
      </c>
    </row>
    <row r="28078" spans="1:3">
      <c r="A28078" s="250">
        <v>64722</v>
      </c>
      <c r="B28078" s="74" t="s">
        <v>14296</v>
      </c>
      <c r="C28078" s="74" t="s">
        <v>436</v>
      </c>
    </row>
    <row r="28079" spans="1:3">
      <c r="A28079" s="250">
        <v>64723</v>
      </c>
      <c r="B28079" s="74" t="s">
        <v>2910</v>
      </c>
      <c r="C28079" s="74" t="s">
        <v>436</v>
      </c>
    </row>
    <row r="28080" spans="1:3">
      <c r="A28080" s="250">
        <v>64724</v>
      </c>
      <c r="B28080" s="74" t="s">
        <v>14297</v>
      </c>
      <c r="C28080" s="74" t="s">
        <v>436</v>
      </c>
    </row>
    <row r="28081" spans="1:3">
      <c r="A28081" s="250">
        <v>64725</v>
      </c>
      <c r="B28081" s="74" t="s">
        <v>14298</v>
      </c>
      <c r="C28081" s="74" t="s">
        <v>436</v>
      </c>
    </row>
    <row r="28082" spans="1:3">
      <c r="A28082" s="250">
        <v>64726</v>
      </c>
      <c r="B28082" s="74" t="s">
        <v>2297</v>
      </c>
      <c r="C28082" s="74" t="s">
        <v>436</v>
      </c>
    </row>
    <row r="28083" spans="1:3">
      <c r="A28083" s="250">
        <v>64728</v>
      </c>
      <c r="B28083" s="74" t="s">
        <v>14299</v>
      </c>
      <c r="C28083" s="74" t="s">
        <v>436</v>
      </c>
    </row>
    <row r="28084" spans="1:3">
      <c r="A28084" s="250">
        <v>64730</v>
      </c>
      <c r="B28084" s="74" t="s">
        <v>2183</v>
      </c>
      <c r="C28084" s="74" t="s">
        <v>436</v>
      </c>
    </row>
    <row r="28085" spans="1:3">
      <c r="A28085" s="250">
        <v>64733</v>
      </c>
      <c r="B28085" s="74" t="s">
        <v>14300</v>
      </c>
      <c r="C28085" s="74" t="s">
        <v>436</v>
      </c>
    </row>
    <row r="28086" spans="1:3">
      <c r="A28086" s="250">
        <v>64734</v>
      </c>
      <c r="B28086" s="74" t="s">
        <v>3350</v>
      </c>
      <c r="C28086" s="74" t="s">
        <v>436</v>
      </c>
    </row>
    <row r="28087" spans="1:3">
      <c r="A28087" s="250">
        <v>64735</v>
      </c>
      <c r="B28087" s="74" t="s">
        <v>732</v>
      </c>
      <c r="C28087" s="74" t="s">
        <v>436</v>
      </c>
    </row>
    <row r="28088" spans="1:3">
      <c r="A28088" s="250">
        <v>64738</v>
      </c>
      <c r="B28088" s="74" t="s">
        <v>3686</v>
      </c>
      <c r="C28088" s="74" t="s">
        <v>436</v>
      </c>
    </row>
    <row r="28089" spans="1:3">
      <c r="A28089" s="250">
        <v>64739</v>
      </c>
      <c r="B28089" s="74" t="s">
        <v>3975</v>
      </c>
      <c r="C28089" s="74" t="s">
        <v>436</v>
      </c>
    </row>
    <row r="28090" spans="1:3">
      <c r="A28090" s="250">
        <v>64740</v>
      </c>
      <c r="B28090" s="74" t="s">
        <v>2377</v>
      </c>
      <c r="C28090" s="74" t="s">
        <v>436</v>
      </c>
    </row>
    <row r="28091" spans="1:3">
      <c r="A28091" s="250">
        <v>64741</v>
      </c>
      <c r="B28091" s="74" t="s">
        <v>678</v>
      </c>
      <c r="C28091" s="74" t="s">
        <v>436</v>
      </c>
    </row>
    <row r="28092" spans="1:3">
      <c r="A28092" s="250">
        <v>64742</v>
      </c>
      <c r="B28092" s="74" t="s">
        <v>7476</v>
      </c>
      <c r="C28092" s="74" t="s">
        <v>436</v>
      </c>
    </row>
    <row r="28093" spans="1:3">
      <c r="A28093" s="250">
        <v>64743</v>
      </c>
      <c r="B28093" s="74" t="s">
        <v>14301</v>
      </c>
      <c r="C28093" s="74" t="s">
        <v>436</v>
      </c>
    </row>
    <row r="28094" spans="1:3">
      <c r="A28094" s="250">
        <v>64744</v>
      </c>
      <c r="B28094" s="74" t="s">
        <v>14302</v>
      </c>
      <c r="C28094" s="74" t="s">
        <v>436</v>
      </c>
    </row>
    <row r="28095" spans="1:3">
      <c r="A28095" s="250">
        <v>64745</v>
      </c>
      <c r="B28095" s="74" t="s">
        <v>1106</v>
      </c>
      <c r="C28095" s="74" t="s">
        <v>436</v>
      </c>
    </row>
    <row r="28096" spans="1:3">
      <c r="A28096" s="250">
        <v>64746</v>
      </c>
      <c r="B28096" s="74" t="s">
        <v>6204</v>
      </c>
      <c r="C28096" s="74" t="s">
        <v>436</v>
      </c>
    </row>
    <row r="28097" spans="1:3">
      <c r="A28097" s="250">
        <v>64747</v>
      </c>
      <c r="B28097" s="74" t="s">
        <v>2769</v>
      </c>
      <c r="C28097" s="74" t="s">
        <v>436</v>
      </c>
    </row>
    <row r="28098" spans="1:3">
      <c r="A28098" s="250">
        <v>64748</v>
      </c>
      <c r="B28098" s="74" t="s">
        <v>14303</v>
      </c>
      <c r="C28098" s="74" t="s">
        <v>436</v>
      </c>
    </row>
    <row r="28099" spans="1:3">
      <c r="A28099" s="250">
        <v>64750</v>
      </c>
      <c r="B28099" s="74" t="s">
        <v>5621</v>
      </c>
      <c r="C28099" s="74" t="s">
        <v>436</v>
      </c>
    </row>
    <row r="28100" spans="1:3">
      <c r="A28100" s="250">
        <v>64752</v>
      </c>
      <c r="B28100" s="74" t="s">
        <v>3869</v>
      </c>
      <c r="C28100" s="74" t="s">
        <v>436</v>
      </c>
    </row>
    <row r="28101" spans="1:3">
      <c r="A28101" s="250">
        <v>64755</v>
      </c>
      <c r="B28101" s="74" t="s">
        <v>3922</v>
      </c>
      <c r="C28101" s="74" t="s">
        <v>436</v>
      </c>
    </row>
    <row r="28102" spans="1:3">
      <c r="A28102" s="250">
        <v>64756</v>
      </c>
      <c r="B28102" s="74" t="s">
        <v>14304</v>
      </c>
      <c r="C28102" s="74" t="s">
        <v>436</v>
      </c>
    </row>
    <row r="28103" spans="1:3">
      <c r="A28103" s="250">
        <v>64759</v>
      </c>
      <c r="B28103" s="74" t="s">
        <v>4632</v>
      </c>
      <c r="C28103" s="74" t="s">
        <v>436</v>
      </c>
    </row>
    <row r="28104" spans="1:3">
      <c r="A28104" s="250">
        <v>64761</v>
      </c>
      <c r="B28104" s="74" t="s">
        <v>14305</v>
      </c>
      <c r="C28104" s="74" t="s">
        <v>436</v>
      </c>
    </row>
    <row r="28105" spans="1:3">
      <c r="A28105" s="250">
        <v>64762</v>
      </c>
      <c r="B28105" s="74" t="s">
        <v>14306</v>
      </c>
      <c r="C28105" s="74" t="s">
        <v>436</v>
      </c>
    </row>
    <row r="28106" spans="1:3">
      <c r="A28106" s="250">
        <v>64763</v>
      </c>
      <c r="B28106" s="74" t="s">
        <v>14307</v>
      </c>
      <c r="C28106" s="74" t="s">
        <v>436</v>
      </c>
    </row>
    <row r="28107" spans="1:3">
      <c r="A28107" s="250">
        <v>64765</v>
      </c>
      <c r="B28107" s="74" t="s">
        <v>6988</v>
      </c>
      <c r="C28107" s="74" t="s">
        <v>436</v>
      </c>
    </row>
    <row r="28108" spans="1:3">
      <c r="A28108" s="250">
        <v>64766</v>
      </c>
      <c r="B28108" s="74" t="s">
        <v>796</v>
      </c>
      <c r="C28108" s="74" t="s">
        <v>436</v>
      </c>
    </row>
    <row r="28109" spans="1:3">
      <c r="A28109" s="250">
        <v>64767</v>
      </c>
      <c r="B28109" s="74" t="s">
        <v>1516</v>
      </c>
      <c r="C28109" s="74" t="s">
        <v>436</v>
      </c>
    </row>
    <row r="28110" spans="1:3">
      <c r="A28110" s="250">
        <v>64769</v>
      </c>
      <c r="B28110" s="74" t="s">
        <v>14308</v>
      </c>
      <c r="C28110" s="74" t="s">
        <v>436</v>
      </c>
    </row>
    <row r="28111" spans="1:3">
      <c r="A28111" s="250">
        <v>64770</v>
      </c>
      <c r="B28111" s="74" t="s">
        <v>2645</v>
      </c>
      <c r="C28111" s="74" t="s">
        <v>436</v>
      </c>
    </row>
    <row r="28112" spans="1:3">
      <c r="A28112" s="250">
        <v>64771</v>
      </c>
      <c r="B28112" s="74" t="s">
        <v>8698</v>
      </c>
      <c r="C28112" s="74" t="s">
        <v>436</v>
      </c>
    </row>
    <row r="28113" spans="1:3">
      <c r="A28113" s="250">
        <v>64772</v>
      </c>
      <c r="B28113" s="74" t="s">
        <v>10437</v>
      </c>
      <c r="C28113" s="74" t="s">
        <v>436</v>
      </c>
    </row>
    <row r="28114" spans="1:3">
      <c r="A28114" s="250">
        <v>64776</v>
      </c>
      <c r="B28114" s="74" t="s">
        <v>4682</v>
      </c>
      <c r="C28114" s="74" t="s">
        <v>436</v>
      </c>
    </row>
    <row r="28115" spans="1:3">
      <c r="A28115" s="250">
        <v>64778</v>
      </c>
      <c r="B28115" s="74" t="s">
        <v>14309</v>
      </c>
      <c r="C28115" s="74" t="s">
        <v>436</v>
      </c>
    </row>
    <row r="28116" spans="1:3">
      <c r="A28116" s="250">
        <v>64779</v>
      </c>
      <c r="B28116" s="74" t="s">
        <v>14310</v>
      </c>
      <c r="C28116" s="74" t="s">
        <v>436</v>
      </c>
    </row>
    <row r="28117" spans="1:3">
      <c r="A28117" s="250">
        <v>64780</v>
      </c>
      <c r="B28117" s="74" t="s">
        <v>1128</v>
      </c>
      <c r="C28117" s="74" t="s">
        <v>436</v>
      </c>
    </row>
    <row r="28118" spans="1:3">
      <c r="A28118" s="250">
        <v>64781</v>
      </c>
      <c r="B28118" s="74" t="s">
        <v>3202</v>
      </c>
      <c r="C28118" s="74" t="s">
        <v>436</v>
      </c>
    </row>
    <row r="28119" spans="1:3">
      <c r="A28119" s="250">
        <v>64783</v>
      </c>
      <c r="B28119" s="74" t="s">
        <v>14311</v>
      </c>
      <c r="C28119" s="74" t="s">
        <v>436</v>
      </c>
    </row>
    <row r="28120" spans="1:3">
      <c r="A28120" s="250">
        <v>64784</v>
      </c>
      <c r="B28120" s="74" t="s">
        <v>1829</v>
      </c>
      <c r="C28120" s="74" t="s">
        <v>436</v>
      </c>
    </row>
    <row r="28121" spans="1:3">
      <c r="A28121" s="250">
        <v>64788</v>
      </c>
      <c r="B28121" s="74" t="s">
        <v>14312</v>
      </c>
      <c r="C28121" s="74" t="s">
        <v>436</v>
      </c>
    </row>
    <row r="28122" spans="1:3">
      <c r="A28122" s="250">
        <v>64789</v>
      </c>
      <c r="B28122" s="74" t="s">
        <v>4682</v>
      </c>
      <c r="C28122" s="74" t="s">
        <v>436</v>
      </c>
    </row>
    <row r="28123" spans="1:3">
      <c r="A28123" s="250">
        <v>64790</v>
      </c>
      <c r="B28123" s="74" t="s">
        <v>6885</v>
      </c>
      <c r="C28123" s="74" t="s">
        <v>436</v>
      </c>
    </row>
    <row r="28124" spans="1:3">
      <c r="A28124" s="250">
        <v>64801</v>
      </c>
      <c r="B28124" s="74" t="s">
        <v>13350</v>
      </c>
      <c r="C28124" s="74" t="s">
        <v>436</v>
      </c>
    </row>
    <row r="28125" spans="1:3">
      <c r="A28125" s="250">
        <v>64802</v>
      </c>
      <c r="B28125" s="74" t="s">
        <v>13350</v>
      </c>
      <c r="C28125" s="74" t="s">
        <v>436</v>
      </c>
    </row>
    <row r="28126" spans="1:3">
      <c r="A28126" s="250">
        <v>64803</v>
      </c>
      <c r="B28126" s="74" t="s">
        <v>13350</v>
      </c>
      <c r="C28126" s="74" t="s">
        <v>436</v>
      </c>
    </row>
    <row r="28127" spans="1:3">
      <c r="A28127" s="250">
        <v>64804</v>
      </c>
      <c r="B28127" s="74" t="s">
        <v>13350</v>
      </c>
      <c r="C28127" s="74" t="s">
        <v>436</v>
      </c>
    </row>
    <row r="28128" spans="1:3">
      <c r="A28128" s="250">
        <v>64830</v>
      </c>
      <c r="B28128" s="74" t="s">
        <v>4663</v>
      </c>
      <c r="C28128" s="74" t="s">
        <v>436</v>
      </c>
    </row>
    <row r="28129" spans="1:3">
      <c r="A28129" s="250">
        <v>64831</v>
      </c>
      <c r="B28129" s="74" t="s">
        <v>7764</v>
      </c>
      <c r="C28129" s="74" t="s">
        <v>436</v>
      </c>
    </row>
    <row r="28130" spans="1:3">
      <c r="A28130" s="250">
        <v>64832</v>
      </c>
      <c r="B28130" s="74" t="s">
        <v>2559</v>
      </c>
      <c r="C28130" s="74" t="s">
        <v>436</v>
      </c>
    </row>
    <row r="28131" spans="1:3">
      <c r="A28131" s="250">
        <v>64833</v>
      </c>
      <c r="B28131" s="74" t="s">
        <v>10727</v>
      </c>
      <c r="C28131" s="74" t="s">
        <v>436</v>
      </c>
    </row>
    <row r="28132" spans="1:3">
      <c r="A28132" s="250">
        <v>64834</v>
      </c>
      <c r="B28132" s="74" t="s">
        <v>14313</v>
      </c>
      <c r="C28132" s="74" t="s">
        <v>436</v>
      </c>
    </row>
    <row r="28133" spans="1:3">
      <c r="A28133" s="250">
        <v>64835</v>
      </c>
      <c r="B28133" s="74" t="s">
        <v>14027</v>
      </c>
      <c r="C28133" s="74" t="s">
        <v>436</v>
      </c>
    </row>
    <row r="28134" spans="1:3">
      <c r="A28134" s="250">
        <v>64836</v>
      </c>
      <c r="B28134" s="74" t="s">
        <v>3531</v>
      </c>
      <c r="C28134" s="74" t="s">
        <v>436</v>
      </c>
    </row>
    <row r="28135" spans="1:3">
      <c r="A28135" s="250">
        <v>64840</v>
      </c>
      <c r="B28135" s="74" t="s">
        <v>10358</v>
      </c>
      <c r="C28135" s="74" t="s">
        <v>436</v>
      </c>
    </row>
    <row r="28136" spans="1:3">
      <c r="A28136" s="250">
        <v>64841</v>
      </c>
      <c r="B28136" s="74" t="s">
        <v>14314</v>
      </c>
      <c r="C28136" s="74" t="s">
        <v>436</v>
      </c>
    </row>
    <row r="28137" spans="1:3">
      <c r="A28137" s="250">
        <v>64842</v>
      </c>
      <c r="B28137" s="74" t="s">
        <v>2122</v>
      </c>
      <c r="C28137" s="74" t="s">
        <v>436</v>
      </c>
    </row>
    <row r="28138" spans="1:3">
      <c r="A28138" s="250">
        <v>64843</v>
      </c>
      <c r="B28138" s="74" t="s">
        <v>9416</v>
      </c>
      <c r="C28138" s="74" t="s">
        <v>436</v>
      </c>
    </row>
    <row r="28139" spans="1:3">
      <c r="A28139" s="250">
        <v>64844</v>
      </c>
      <c r="B28139" s="74" t="s">
        <v>593</v>
      </c>
      <c r="C28139" s="74" t="s">
        <v>436</v>
      </c>
    </row>
    <row r="28140" spans="1:3">
      <c r="A28140" s="250">
        <v>64847</v>
      </c>
      <c r="B28140" s="74" t="s">
        <v>14315</v>
      </c>
      <c r="C28140" s="74" t="s">
        <v>436</v>
      </c>
    </row>
    <row r="28141" spans="1:3">
      <c r="A28141" s="250">
        <v>64848</v>
      </c>
      <c r="B28141" s="74" t="s">
        <v>14316</v>
      </c>
      <c r="C28141" s="74" t="s">
        <v>436</v>
      </c>
    </row>
    <row r="28142" spans="1:3">
      <c r="A28142" s="250">
        <v>64849</v>
      </c>
      <c r="B28142" s="74" t="s">
        <v>14317</v>
      </c>
      <c r="C28142" s="74" t="s">
        <v>436</v>
      </c>
    </row>
    <row r="28143" spans="1:3">
      <c r="A28143" s="250">
        <v>64850</v>
      </c>
      <c r="B28143" s="74" t="s">
        <v>11958</v>
      </c>
      <c r="C28143" s="74" t="s">
        <v>436</v>
      </c>
    </row>
    <row r="28144" spans="1:3">
      <c r="A28144" s="250">
        <v>64853</v>
      </c>
      <c r="B28144" s="74" t="s">
        <v>14318</v>
      </c>
      <c r="C28144" s="74" t="s">
        <v>436</v>
      </c>
    </row>
    <row r="28145" spans="1:3">
      <c r="A28145" s="250">
        <v>64854</v>
      </c>
      <c r="B28145" s="74" t="s">
        <v>14319</v>
      </c>
      <c r="C28145" s="74" t="s">
        <v>436</v>
      </c>
    </row>
    <row r="28146" spans="1:3">
      <c r="A28146" s="250">
        <v>64855</v>
      </c>
      <c r="B28146" s="74" t="s">
        <v>14320</v>
      </c>
      <c r="C28146" s="74" t="s">
        <v>436</v>
      </c>
    </row>
    <row r="28147" spans="1:3">
      <c r="A28147" s="250">
        <v>64856</v>
      </c>
      <c r="B28147" s="74" t="s">
        <v>5286</v>
      </c>
      <c r="C28147" s="74" t="s">
        <v>436</v>
      </c>
    </row>
    <row r="28148" spans="1:3">
      <c r="A28148" s="250">
        <v>64857</v>
      </c>
      <c r="B28148" s="74" t="s">
        <v>14321</v>
      </c>
      <c r="C28148" s="74" t="s">
        <v>436</v>
      </c>
    </row>
    <row r="28149" spans="1:3">
      <c r="A28149" s="250">
        <v>64858</v>
      </c>
      <c r="B28149" s="74" t="s">
        <v>6643</v>
      </c>
      <c r="C28149" s="74" t="s">
        <v>436</v>
      </c>
    </row>
    <row r="28150" spans="1:3">
      <c r="A28150" s="250">
        <v>64859</v>
      </c>
      <c r="B28150" s="74" t="s">
        <v>14322</v>
      </c>
      <c r="C28150" s="74" t="s">
        <v>436</v>
      </c>
    </row>
    <row r="28151" spans="1:3">
      <c r="A28151" s="250">
        <v>64861</v>
      </c>
      <c r="B28151" s="74" t="s">
        <v>14323</v>
      </c>
      <c r="C28151" s="74" t="s">
        <v>436</v>
      </c>
    </row>
    <row r="28152" spans="1:3">
      <c r="A28152" s="250">
        <v>64862</v>
      </c>
      <c r="B28152" s="74" t="s">
        <v>14324</v>
      </c>
      <c r="C28152" s="74" t="s">
        <v>436</v>
      </c>
    </row>
    <row r="28153" spans="1:3">
      <c r="A28153" s="250">
        <v>64863</v>
      </c>
      <c r="B28153" s="74" t="s">
        <v>14325</v>
      </c>
      <c r="C28153" s="74" t="s">
        <v>436</v>
      </c>
    </row>
    <row r="28154" spans="1:3">
      <c r="A28154" s="250">
        <v>64864</v>
      </c>
      <c r="B28154" s="74" t="s">
        <v>8663</v>
      </c>
      <c r="C28154" s="74" t="s">
        <v>436</v>
      </c>
    </row>
    <row r="28155" spans="1:3">
      <c r="A28155" s="250">
        <v>64865</v>
      </c>
      <c r="B28155" s="74" t="s">
        <v>4492</v>
      </c>
      <c r="C28155" s="74" t="s">
        <v>436</v>
      </c>
    </row>
    <row r="28156" spans="1:3">
      <c r="A28156" s="250">
        <v>64866</v>
      </c>
      <c r="B28156" s="74" t="s">
        <v>14326</v>
      </c>
      <c r="C28156" s="74" t="s">
        <v>436</v>
      </c>
    </row>
    <row r="28157" spans="1:3">
      <c r="A28157" s="250">
        <v>64867</v>
      </c>
      <c r="B28157" s="74" t="s">
        <v>7461</v>
      </c>
      <c r="C28157" s="74" t="s">
        <v>436</v>
      </c>
    </row>
    <row r="28158" spans="1:3">
      <c r="A28158" s="250">
        <v>64868</v>
      </c>
      <c r="B28158" s="74" t="s">
        <v>14327</v>
      </c>
      <c r="C28158" s="74" t="s">
        <v>436</v>
      </c>
    </row>
    <row r="28159" spans="1:3">
      <c r="A28159" s="250">
        <v>64869</v>
      </c>
      <c r="B28159" s="74" t="s">
        <v>7341</v>
      </c>
      <c r="C28159" s="74" t="s">
        <v>436</v>
      </c>
    </row>
    <row r="28160" spans="1:3">
      <c r="A28160" s="250">
        <v>64870</v>
      </c>
      <c r="B28160" s="74" t="s">
        <v>14328</v>
      </c>
      <c r="C28160" s="74" t="s">
        <v>436</v>
      </c>
    </row>
    <row r="28161" spans="1:3">
      <c r="A28161" s="250">
        <v>64873</v>
      </c>
      <c r="B28161" s="74" t="s">
        <v>1217</v>
      </c>
      <c r="C28161" s="74" t="s">
        <v>436</v>
      </c>
    </row>
    <row r="28162" spans="1:3">
      <c r="A28162" s="250">
        <v>64874</v>
      </c>
      <c r="B28162" s="74" t="s">
        <v>12627</v>
      </c>
      <c r="C28162" s="74" t="s">
        <v>436</v>
      </c>
    </row>
    <row r="28163" spans="1:3">
      <c r="A28163" s="250">
        <v>64944</v>
      </c>
      <c r="B28163" s="74" t="s">
        <v>14244</v>
      </c>
      <c r="C28163" s="74" t="s">
        <v>436</v>
      </c>
    </row>
    <row r="28164" spans="1:3">
      <c r="A28164" s="250">
        <v>64999</v>
      </c>
      <c r="B28164" s="74" t="s">
        <v>14244</v>
      </c>
      <c r="C28164" s="74" t="s">
        <v>436</v>
      </c>
    </row>
    <row r="28165" spans="1:3">
      <c r="A28165" s="250">
        <v>65001</v>
      </c>
      <c r="B28165" s="74" t="s">
        <v>3222</v>
      </c>
      <c r="C28165" s="74" t="s">
        <v>436</v>
      </c>
    </row>
    <row r="28166" spans="1:3">
      <c r="A28166" s="250">
        <v>65010</v>
      </c>
      <c r="B28166" s="74" t="s">
        <v>782</v>
      </c>
      <c r="C28166" s="74" t="s">
        <v>436</v>
      </c>
    </row>
    <row r="28167" spans="1:3">
      <c r="A28167" s="250">
        <v>65011</v>
      </c>
      <c r="B28167" s="74" t="s">
        <v>14329</v>
      </c>
      <c r="C28167" s="74" t="s">
        <v>436</v>
      </c>
    </row>
    <row r="28168" spans="1:3">
      <c r="A28168" s="250">
        <v>65013</v>
      </c>
      <c r="B28168" s="74" t="s">
        <v>6575</v>
      </c>
      <c r="C28168" s="74" t="s">
        <v>436</v>
      </c>
    </row>
    <row r="28169" spans="1:3">
      <c r="A28169" s="250">
        <v>65014</v>
      </c>
      <c r="B28169" s="74" t="s">
        <v>6349</v>
      </c>
      <c r="C28169" s="74" t="s">
        <v>436</v>
      </c>
    </row>
    <row r="28170" spans="1:3">
      <c r="A28170" s="250">
        <v>65016</v>
      </c>
      <c r="B28170" s="74" t="s">
        <v>14330</v>
      </c>
      <c r="C28170" s="74" t="s">
        <v>436</v>
      </c>
    </row>
    <row r="28171" spans="1:3">
      <c r="A28171" s="250">
        <v>65017</v>
      </c>
      <c r="B28171" s="74" t="s">
        <v>14331</v>
      </c>
      <c r="C28171" s="74" t="s">
        <v>436</v>
      </c>
    </row>
    <row r="28172" spans="1:3">
      <c r="A28172" s="250">
        <v>65018</v>
      </c>
      <c r="B28172" s="74" t="s">
        <v>4093</v>
      </c>
      <c r="C28172" s="74" t="s">
        <v>436</v>
      </c>
    </row>
    <row r="28173" spans="1:3">
      <c r="A28173" s="250">
        <v>65020</v>
      </c>
      <c r="B28173" s="74" t="s">
        <v>14332</v>
      </c>
      <c r="C28173" s="74" t="s">
        <v>436</v>
      </c>
    </row>
    <row r="28174" spans="1:3">
      <c r="A28174" s="250">
        <v>65023</v>
      </c>
      <c r="B28174" s="74" t="s">
        <v>10000</v>
      </c>
      <c r="C28174" s="74" t="s">
        <v>436</v>
      </c>
    </row>
    <row r="28175" spans="1:3">
      <c r="A28175" s="250">
        <v>65024</v>
      </c>
      <c r="B28175" s="74" t="s">
        <v>14333</v>
      </c>
      <c r="C28175" s="74" t="s">
        <v>436</v>
      </c>
    </row>
    <row r="28176" spans="1:3">
      <c r="A28176" s="250">
        <v>65025</v>
      </c>
      <c r="B28176" s="74" t="s">
        <v>4269</v>
      </c>
      <c r="C28176" s="74" t="s">
        <v>436</v>
      </c>
    </row>
    <row r="28177" spans="1:3">
      <c r="A28177" s="250">
        <v>65026</v>
      </c>
      <c r="B28177" s="74" t="s">
        <v>11886</v>
      </c>
      <c r="C28177" s="74" t="s">
        <v>436</v>
      </c>
    </row>
    <row r="28178" spans="1:3">
      <c r="A28178" s="250">
        <v>65032</v>
      </c>
      <c r="B28178" s="74" t="s">
        <v>14334</v>
      </c>
      <c r="C28178" s="74" t="s">
        <v>436</v>
      </c>
    </row>
    <row r="28179" spans="1:3">
      <c r="A28179" s="250">
        <v>65034</v>
      </c>
      <c r="B28179" s="74" t="s">
        <v>13204</v>
      </c>
      <c r="C28179" s="74" t="s">
        <v>436</v>
      </c>
    </row>
    <row r="28180" spans="1:3">
      <c r="A28180" s="250">
        <v>65035</v>
      </c>
      <c r="B28180" s="74" t="s">
        <v>4943</v>
      </c>
      <c r="C28180" s="74" t="s">
        <v>436</v>
      </c>
    </row>
    <row r="28181" spans="1:3">
      <c r="A28181" s="250">
        <v>65036</v>
      </c>
      <c r="B28181" s="74" t="s">
        <v>14335</v>
      </c>
      <c r="C28181" s="74" t="s">
        <v>436</v>
      </c>
    </row>
    <row r="28182" spans="1:3">
      <c r="A28182" s="250">
        <v>65037</v>
      </c>
      <c r="B28182" s="74" t="s">
        <v>14336</v>
      </c>
      <c r="C28182" s="74" t="s">
        <v>436</v>
      </c>
    </row>
    <row r="28183" spans="1:3">
      <c r="A28183" s="250">
        <v>65038</v>
      </c>
      <c r="B28183" s="74" t="s">
        <v>14337</v>
      </c>
      <c r="C28183" s="74" t="s">
        <v>436</v>
      </c>
    </row>
    <row r="28184" spans="1:3">
      <c r="A28184" s="250">
        <v>65039</v>
      </c>
      <c r="B28184" s="74" t="s">
        <v>13951</v>
      </c>
      <c r="C28184" s="74" t="s">
        <v>436</v>
      </c>
    </row>
    <row r="28185" spans="1:3">
      <c r="A28185" s="250">
        <v>65040</v>
      </c>
      <c r="B28185" s="74" t="s">
        <v>14338</v>
      </c>
      <c r="C28185" s="74" t="s">
        <v>436</v>
      </c>
    </row>
    <row r="28186" spans="1:3">
      <c r="A28186" s="250">
        <v>65041</v>
      </c>
      <c r="B28186" s="74" t="s">
        <v>14339</v>
      </c>
      <c r="C28186" s="74" t="s">
        <v>436</v>
      </c>
    </row>
    <row r="28187" spans="1:3">
      <c r="A28187" s="250">
        <v>65042</v>
      </c>
      <c r="B28187" s="74" t="s">
        <v>7102</v>
      </c>
      <c r="C28187" s="74" t="s">
        <v>436</v>
      </c>
    </row>
    <row r="28188" spans="1:3">
      <c r="A28188" s="250">
        <v>65043</v>
      </c>
      <c r="B28188" s="74" t="s">
        <v>14340</v>
      </c>
      <c r="C28188" s="74" t="s">
        <v>436</v>
      </c>
    </row>
    <row r="28189" spans="1:3">
      <c r="A28189" s="250">
        <v>65046</v>
      </c>
      <c r="B28189" s="74" t="s">
        <v>1113</v>
      </c>
      <c r="C28189" s="74" t="s">
        <v>436</v>
      </c>
    </row>
    <row r="28190" spans="1:3">
      <c r="A28190" s="250">
        <v>65047</v>
      </c>
      <c r="B28190" s="74" t="s">
        <v>14341</v>
      </c>
      <c r="C28190" s="74" t="s">
        <v>436</v>
      </c>
    </row>
    <row r="28191" spans="1:3">
      <c r="A28191" s="250">
        <v>65048</v>
      </c>
      <c r="B28191" s="74" t="s">
        <v>14342</v>
      </c>
      <c r="C28191" s="74" t="s">
        <v>436</v>
      </c>
    </row>
    <row r="28192" spans="1:3">
      <c r="A28192" s="250">
        <v>65049</v>
      </c>
      <c r="B28192" s="74" t="s">
        <v>14343</v>
      </c>
      <c r="C28192" s="74" t="s">
        <v>436</v>
      </c>
    </row>
    <row r="28193" spans="1:3">
      <c r="A28193" s="250">
        <v>65050</v>
      </c>
      <c r="B28193" s="74" t="s">
        <v>2972</v>
      </c>
      <c r="C28193" s="74" t="s">
        <v>436</v>
      </c>
    </row>
    <row r="28194" spans="1:3">
      <c r="A28194" s="250">
        <v>65051</v>
      </c>
      <c r="B28194" s="74" t="s">
        <v>6944</v>
      </c>
      <c r="C28194" s="74" t="s">
        <v>436</v>
      </c>
    </row>
    <row r="28195" spans="1:3">
      <c r="A28195" s="250">
        <v>65052</v>
      </c>
      <c r="B28195" s="74" t="s">
        <v>14344</v>
      </c>
      <c r="C28195" s="74" t="s">
        <v>436</v>
      </c>
    </row>
    <row r="28196" spans="1:3">
      <c r="A28196" s="250">
        <v>65053</v>
      </c>
      <c r="B28196" s="74" t="s">
        <v>14345</v>
      </c>
      <c r="C28196" s="74" t="s">
        <v>436</v>
      </c>
    </row>
    <row r="28197" spans="1:3">
      <c r="A28197" s="250">
        <v>65054</v>
      </c>
      <c r="B28197" s="74" t="s">
        <v>14346</v>
      </c>
      <c r="C28197" s="74" t="s">
        <v>436</v>
      </c>
    </row>
    <row r="28198" spans="1:3">
      <c r="A28198" s="250">
        <v>65055</v>
      </c>
      <c r="B28198" s="74" t="s">
        <v>14347</v>
      </c>
      <c r="C28198" s="74" t="s">
        <v>436</v>
      </c>
    </row>
    <row r="28199" spans="1:3">
      <c r="A28199" s="250">
        <v>65058</v>
      </c>
      <c r="B28199" s="74" t="s">
        <v>14348</v>
      </c>
      <c r="C28199" s="74" t="s">
        <v>436</v>
      </c>
    </row>
    <row r="28200" spans="1:3">
      <c r="A28200" s="250">
        <v>65059</v>
      </c>
      <c r="B28200" s="74" t="s">
        <v>14349</v>
      </c>
      <c r="C28200" s="74" t="s">
        <v>436</v>
      </c>
    </row>
    <row r="28201" spans="1:3">
      <c r="A28201" s="250">
        <v>65061</v>
      </c>
      <c r="B28201" s="74" t="s">
        <v>9073</v>
      </c>
      <c r="C28201" s="74" t="s">
        <v>436</v>
      </c>
    </row>
    <row r="28202" spans="1:3">
      <c r="A28202" s="250">
        <v>65062</v>
      </c>
      <c r="B28202" s="74" t="s">
        <v>9631</v>
      </c>
      <c r="C28202" s="74" t="s">
        <v>436</v>
      </c>
    </row>
    <row r="28203" spans="1:3">
      <c r="A28203" s="250">
        <v>65063</v>
      </c>
      <c r="B28203" s="74" t="s">
        <v>4736</v>
      </c>
      <c r="C28203" s="74" t="s">
        <v>436</v>
      </c>
    </row>
    <row r="28204" spans="1:3">
      <c r="A28204" s="250">
        <v>65064</v>
      </c>
      <c r="B28204" s="74" t="s">
        <v>3879</v>
      </c>
      <c r="C28204" s="74" t="s">
        <v>436</v>
      </c>
    </row>
    <row r="28205" spans="1:3">
      <c r="A28205" s="250">
        <v>65065</v>
      </c>
      <c r="B28205" s="74" t="s">
        <v>14350</v>
      </c>
      <c r="C28205" s="74" t="s">
        <v>436</v>
      </c>
    </row>
    <row r="28206" spans="1:3">
      <c r="A28206" s="250">
        <v>65066</v>
      </c>
      <c r="B28206" s="74" t="s">
        <v>10482</v>
      </c>
      <c r="C28206" s="74" t="s">
        <v>436</v>
      </c>
    </row>
    <row r="28207" spans="1:3">
      <c r="A28207" s="250">
        <v>65067</v>
      </c>
      <c r="B28207" s="74" t="s">
        <v>1429</v>
      </c>
      <c r="C28207" s="74" t="s">
        <v>436</v>
      </c>
    </row>
    <row r="28208" spans="1:3">
      <c r="A28208" s="250">
        <v>65068</v>
      </c>
      <c r="B28208" s="74" t="s">
        <v>14351</v>
      </c>
      <c r="C28208" s="74" t="s">
        <v>436</v>
      </c>
    </row>
    <row r="28209" spans="1:3">
      <c r="A28209" s="250">
        <v>65069</v>
      </c>
      <c r="B28209" s="74" t="s">
        <v>14352</v>
      </c>
      <c r="C28209" s="74" t="s">
        <v>436</v>
      </c>
    </row>
    <row r="28210" spans="1:3">
      <c r="A28210" s="250">
        <v>65072</v>
      </c>
      <c r="B28210" s="74" t="s">
        <v>6300</v>
      </c>
      <c r="C28210" s="74" t="s">
        <v>436</v>
      </c>
    </row>
    <row r="28211" spans="1:3">
      <c r="A28211" s="250">
        <v>65074</v>
      </c>
      <c r="B28211" s="74" t="s">
        <v>7718</v>
      </c>
      <c r="C28211" s="74" t="s">
        <v>436</v>
      </c>
    </row>
    <row r="28212" spans="1:3">
      <c r="A28212" s="250">
        <v>65075</v>
      </c>
      <c r="B28212" s="74" t="s">
        <v>14353</v>
      </c>
      <c r="C28212" s="74" t="s">
        <v>436</v>
      </c>
    </row>
    <row r="28213" spans="1:3">
      <c r="A28213" s="250">
        <v>65076</v>
      </c>
      <c r="B28213" s="74" t="s">
        <v>4786</v>
      </c>
      <c r="C28213" s="74" t="s">
        <v>436</v>
      </c>
    </row>
    <row r="28214" spans="1:3">
      <c r="A28214" s="250">
        <v>65077</v>
      </c>
      <c r="B28214" s="74" t="s">
        <v>14354</v>
      </c>
      <c r="C28214" s="74" t="s">
        <v>436</v>
      </c>
    </row>
    <row r="28215" spans="1:3">
      <c r="A28215" s="250">
        <v>65078</v>
      </c>
      <c r="B28215" s="74" t="s">
        <v>14355</v>
      </c>
      <c r="C28215" s="74" t="s">
        <v>436</v>
      </c>
    </row>
    <row r="28216" spans="1:3">
      <c r="A28216" s="250">
        <v>65079</v>
      </c>
      <c r="B28216" s="74" t="s">
        <v>14356</v>
      </c>
      <c r="C28216" s="74" t="s">
        <v>436</v>
      </c>
    </row>
    <row r="28217" spans="1:3">
      <c r="A28217" s="250">
        <v>65080</v>
      </c>
      <c r="B28217" s="74" t="s">
        <v>14357</v>
      </c>
      <c r="C28217" s="74" t="s">
        <v>436</v>
      </c>
    </row>
    <row r="28218" spans="1:3">
      <c r="A28218" s="250">
        <v>65081</v>
      </c>
      <c r="B28218" s="74" t="s">
        <v>4581</v>
      </c>
      <c r="C28218" s="74" t="s">
        <v>436</v>
      </c>
    </row>
    <row r="28219" spans="1:3">
      <c r="A28219" s="250">
        <v>65082</v>
      </c>
      <c r="B28219" s="74" t="s">
        <v>8737</v>
      </c>
      <c r="C28219" s="74" t="s">
        <v>436</v>
      </c>
    </row>
    <row r="28220" spans="1:3">
      <c r="A28220" s="250">
        <v>65083</v>
      </c>
      <c r="B28220" s="74" t="s">
        <v>14358</v>
      </c>
      <c r="C28220" s="74" t="s">
        <v>436</v>
      </c>
    </row>
    <row r="28221" spans="1:3">
      <c r="A28221" s="250">
        <v>65084</v>
      </c>
      <c r="B28221" s="74" t="s">
        <v>2033</v>
      </c>
      <c r="C28221" s="74" t="s">
        <v>436</v>
      </c>
    </row>
    <row r="28222" spans="1:3">
      <c r="A28222" s="250">
        <v>65085</v>
      </c>
      <c r="B28222" s="74" t="s">
        <v>10909</v>
      </c>
      <c r="C28222" s="74" t="s">
        <v>436</v>
      </c>
    </row>
    <row r="28223" spans="1:3">
      <c r="A28223" s="250">
        <v>65101</v>
      </c>
      <c r="B28223" s="74" t="s">
        <v>9133</v>
      </c>
      <c r="C28223" s="74" t="s">
        <v>436</v>
      </c>
    </row>
    <row r="28224" spans="1:3">
      <c r="A28224" s="250">
        <v>65102</v>
      </c>
      <c r="B28224" s="74" t="s">
        <v>9133</v>
      </c>
      <c r="C28224" s="74" t="s">
        <v>436</v>
      </c>
    </row>
    <row r="28225" spans="1:3">
      <c r="A28225" s="250">
        <v>65103</v>
      </c>
      <c r="B28225" s="74" t="s">
        <v>9133</v>
      </c>
      <c r="C28225" s="74" t="s">
        <v>436</v>
      </c>
    </row>
    <row r="28226" spans="1:3">
      <c r="A28226" s="250">
        <v>65104</v>
      </c>
      <c r="B28226" s="74" t="s">
        <v>9133</v>
      </c>
      <c r="C28226" s="74" t="s">
        <v>436</v>
      </c>
    </row>
    <row r="28227" spans="1:3">
      <c r="A28227" s="250">
        <v>65105</v>
      </c>
      <c r="B28227" s="74" t="s">
        <v>9133</v>
      </c>
      <c r="C28227" s="74" t="s">
        <v>436</v>
      </c>
    </row>
    <row r="28228" spans="1:3">
      <c r="A28228" s="250">
        <v>65106</v>
      </c>
      <c r="B28228" s="74" t="s">
        <v>9133</v>
      </c>
      <c r="C28228" s="74" t="s">
        <v>436</v>
      </c>
    </row>
    <row r="28229" spans="1:3">
      <c r="A28229" s="250">
        <v>65107</v>
      </c>
      <c r="B28229" s="74" t="s">
        <v>9133</v>
      </c>
      <c r="C28229" s="74" t="s">
        <v>436</v>
      </c>
    </row>
    <row r="28230" spans="1:3">
      <c r="A28230" s="250">
        <v>65108</v>
      </c>
      <c r="B28230" s="74" t="s">
        <v>9133</v>
      </c>
      <c r="C28230" s="74" t="s">
        <v>436</v>
      </c>
    </row>
    <row r="28231" spans="1:3">
      <c r="A28231" s="250">
        <v>65109</v>
      </c>
      <c r="B28231" s="74" t="s">
        <v>9133</v>
      </c>
      <c r="C28231" s="74" t="s">
        <v>436</v>
      </c>
    </row>
    <row r="28232" spans="1:3">
      <c r="A28232" s="250">
        <v>65110</v>
      </c>
      <c r="B28232" s="74" t="s">
        <v>9133</v>
      </c>
      <c r="C28232" s="74" t="s">
        <v>436</v>
      </c>
    </row>
    <row r="28233" spans="1:3">
      <c r="A28233" s="250">
        <v>65111</v>
      </c>
      <c r="B28233" s="74" t="s">
        <v>9133</v>
      </c>
      <c r="C28233" s="74" t="s">
        <v>436</v>
      </c>
    </row>
    <row r="28234" spans="1:3">
      <c r="A28234" s="250">
        <v>65201</v>
      </c>
      <c r="B28234" s="74" t="s">
        <v>1985</v>
      </c>
      <c r="C28234" s="74" t="s">
        <v>436</v>
      </c>
    </row>
    <row r="28235" spans="1:3">
      <c r="A28235" s="250">
        <v>65202</v>
      </c>
      <c r="B28235" s="74" t="s">
        <v>1985</v>
      </c>
      <c r="C28235" s="74" t="s">
        <v>436</v>
      </c>
    </row>
    <row r="28236" spans="1:3">
      <c r="A28236" s="250">
        <v>65203</v>
      </c>
      <c r="B28236" s="74" t="s">
        <v>1985</v>
      </c>
      <c r="C28236" s="74" t="s">
        <v>436</v>
      </c>
    </row>
    <row r="28237" spans="1:3">
      <c r="A28237" s="250">
        <v>65205</v>
      </c>
      <c r="B28237" s="74" t="s">
        <v>1985</v>
      </c>
      <c r="C28237" s="74" t="s">
        <v>436</v>
      </c>
    </row>
    <row r="28238" spans="1:3">
      <c r="A28238" s="250">
        <v>65211</v>
      </c>
      <c r="B28238" s="74" t="s">
        <v>1985</v>
      </c>
      <c r="C28238" s="74" t="s">
        <v>436</v>
      </c>
    </row>
    <row r="28239" spans="1:3">
      <c r="A28239" s="250">
        <v>65212</v>
      </c>
      <c r="B28239" s="74" t="s">
        <v>1985</v>
      </c>
      <c r="C28239" s="74" t="s">
        <v>436</v>
      </c>
    </row>
    <row r="28240" spans="1:3">
      <c r="A28240" s="250">
        <v>65215</v>
      </c>
      <c r="B28240" s="74" t="s">
        <v>1985</v>
      </c>
      <c r="C28240" s="74" t="s">
        <v>436</v>
      </c>
    </row>
    <row r="28241" spans="1:3">
      <c r="A28241" s="250">
        <v>65216</v>
      </c>
      <c r="B28241" s="74" t="s">
        <v>1985</v>
      </c>
      <c r="C28241" s="74" t="s">
        <v>436</v>
      </c>
    </row>
    <row r="28242" spans="1:3">
      <c r="A28242" s="250">
        <v>65217</v>
      </c>
      <c r="B28242" s="74" t="s">
        <v>1985</v>
      </c>
      <c r="C28242" s="74" t="s">
        <v>436</v>
      </c>
    </row>
    <row r="28243" spans="1:3">
      <c r="A28243" s="250">
        <v>65218</v>
      </c>
      <c r="B28243" s="74" t="s">
        <v>1985</v>
      </c>
      <c r="C28243" s="74" t="s">
        <v>436</v>
      </c>
    </row>
    <row r="28244" spans="1:3">
      <c r="A28244" s="250">
        <v>65230</v>
      </c>
      <c r="B28244" s="74" t="s">
        <v>11606</v>
      </c>
      <c r="C28244" s="74" t="s">
        <v>436</v>
      </c>
    </row>
    <row r="28245" spans="1:3">
      <c r="A28245" s="250">
        <v>65231</v>
      </c>
      <c r="B28245" s="74" t="s">
        <v>14359</v>
      </c>
      <c r="C28245" s="74" t="s">
        <v>436</v>
      </c>
    </row>
    <row r="28246" spans="1:3">
      <c r="A28246" s="250">
        <v>65232</v>
      </c>
      <c r="B28246" s="74" t="s">
        <v>14360</v>
      </c>
      <c r="C28246" s="74" t="s">
        <v>436</v>
      </c>
    </row>
    <row r="28247" spans="1:3">
      <c r="A28247" s="250">
        <v>65233</v>
      </c>
      <c r="B28247" s="74" t="s">
        <v>3435</v>
      </c>
      <c r="C28247" s="74" t="s">
        <v>436</v>
      </c>
    </row>
    <row r="28248" spans="1:3">
      <c r="A28248" s="250">
        <v>65236</v>
      </c>
      <c r="B28248" s="74" t="s">
        <v>1370</v>
      </c>
      <c r="C28248" s="74" t="s">
        <v>436</v>
      </c>
    </row>
    <row r="28249" spans="1:3">
      <c r="A28249" s="250">
        <v>65237</v>
      </c>
      <c r="B28249" s="74" t="s">
        <v>14361</v>
      </c>
      <c r="C28249" s="74" t="s">
        <v>436</v>
      </c>
    </row>
    <row r="28250" spans="1:3">
      <c r="A28250" s="250">
        <v>65239</v>
      </c>
      <c r="B28250" s="74" t="s">
        <v>3034</v>
      </c>
      <c r="C28250" s="74" t="s">
        <v>436</v>
      </c>
    </row>
    <row r="28251" spans="1:3">
      <c r="A28251" s="250">
        <v>65240</v>
      </c>
      <c r="B28251" s="74" t="s">
        <v>13965</v>
      </c>
      <c r="C28251" s="74" t="s">
        <v>436</v>
      </c>
    </row>
    <row r="28252" spans="1:3">
      <c r="A28252" s="250">
        <v>65243</v>
      </c>
      <c r="B28252" s="74" t="s">
        <v>2149</v>
      </c>
      <c r="C28252" s="74" t="s">
        <v>436</v>
      </c>
    </row>
    <row r="28253" spans="1:3">
      <c r="A28253" s="250">
        <v>65244</v>
      </c>
      <c r="B28253" s="74" t="s">
        <v>14362</v>
      </c>
      <c r="C28253" s="74" t="s">
        <v>436</v>
      </c>
    </row>
    <row r="28254" spans="1:3">
      <c r="A28254" s="250">
        <v>65246</v>
      </c>
      <c r="B28254" s="74" t="s">
        <v>643</v>
      </c>
      <c r="C28254" s="74" t="s">
        <v>436</v>
      </c>
    </row>
    <row r="28255" spans="1:3">
      <c r="A28255" s="250">
        <v>65247</v>
      </c>
      <c r="B28255" s="74" t="s">
        <v>14363</v>
      </c>
      <c r="C28255" s="74" t="s">
        <v>436</v>
      </c>
    </row>
    <row r="28256" spans="1:3">
      <c r="A28256" s="250">
        <v>65248</v>
      </c>
      <c r="B28256" s="74" t="s">
        <v>3362</v>
      </c>
      <c r="C28256" s="74" t="s">
        <v>436</v>
      </c>
    </row>
    <row r="28257" spans="1:3">
      <c r="A28257" s="250">
        <v>65250</v>
      </c>
      <c r="B28257" s="74" t="s">
        <v>873</v>
      </c>
      <c r="C28257" s="74" t="s">
        <v>436</v>
      </c>
    </row>
    <row r="28258" spans="1:3">
      <c r="A28258" s="250">
        <v>65251</v>
      </c>
      <c r="B28258" s="74" t="s">
        <v>3365</v>
      </c>
      <c r="C28258" s="74" t="s">
        <v>436</v>
      </c>
    </row>
    <row r="28259" spans="1:3">
      <c r="A28259" s="250">
        <v>65254</v>
      </c>
      <c r="B28259" s="74" t="s">
        <v>4551</v>
      </c>
      <c r="C28259" s="74" t="s">
        <v>436</v>
      </c>
    </row>
    <row r="28260" spans="1:3">
      <c r="A28260" s="250">
        <v>65255</v>
      </c>
      <c r="B28260" s="74" t="s">
        <v>10533</v>
      </c>
      <c r="C28260" s="74" t="s">
        <v>436</v>
      </c>
    </row>
    <row r="28261" spans="1:3">
      <c r="A28261" s="250">
        <v>65256</v>
      </c>
      <c r="B28261" s="74" t="s">
        <v>4757</v>
      </c>
      <c r="C28261" s="74" t="s">
        <v>436</v>
      </c>
    </row>
    <row r="28262" spans="1:3">
      <c r="A28262" s="250">
        <v>65257</v>
      </c>
      <c r="B28262" s="74" t="s">
        <v>14364</v>
      </c>
      <c r="C28262" s="74" t="s">
        <v>436</v>
      </c>
    </row>
    <row r="28263" spans="1:3">
      <c r="A28263" s="250">
        <v>65258</v>
      </c>
      <c r="B28263" s="74" t="s">
        <v>14365</v>
      </c>
      <c r="C28263" s="74" t="s">
        <v>436</v>
      </c>
    </row>
    <row r="28264" spans="1:3">
      <c r="A28264" s="250">
        <v>65259</v>
      </c>
      <c r="B28264" s="74" t="s">
        <v>8758</v>
      </c>
      <c r="C28264" s="74" t="s">
        <v>436</v>
      </c>
    </row>
    <row r="28265" spans="1:3">
      <c r="A28265" s="250">
        <v>65260</v>
      </c>
      <c r="B28265" s="74" t="s">
        <v>1782</v>
      </c>
      <c r="C28265" s="74" t="s">
        <v>436</v>
      </c>
    </row>
    <row r="28266" spans="1:3">
      <c r="A28266" s="250">
        <v>65261</v>
      </c>
      <c r="B28266" s="74" t="s">
        <v>14366</v>
      </c>
      <c r="C28266" s="74" t="s">
        <v>436</v>
      </c>
    </row>
    <row r="28267" spans="1:3">
      <c r="A28267" s="250">
        <v>65262</v>
      </c>
      <c r="B28267" s="74" t="s">
        <v>14367</v>
      </c>
      <c r="C28267" s="74" t="s">
        <v>436</v>
      </c>
    </row>
    <row r="28268" spans="1:3">
      <c r="A28268" s="250">
        <v>65263</v>
      </c>
      <c r="B28268" s="74" t="s">
        <v>1320</v>
      </c>
      <c r="C28268" s="74" t="s">
        <v>436</v>
      </c>
    </row>
    <row r="28269" spans="1:3">
      <c r="A28269" s="250">
        <v>65264</v>
      </c>
      <c r="B28269" s="74" t="s">
        <v>3476</v>
      </c>
      <c r="C28269" s="74" t="s">
        <v>436</v>
      </c>
    </row>
    <row r="28270" spans="1:3">
      <c r="A28270" s="250">
        <v>65265</v>
      </c>
      <c r="B28270" s="74" t="s">
        <v>1450</v>
      </c>
      <c r="C28270" s="74" t="s">
        <v>436</v>
      </c>
    </row>
    <row r="28271" spans="1:3">
      <c r="A28271" s="250">
        <v>65270</v>
      </c>
      <c r="B28271" s="74" t="s">
        <v>14368</v>
      </c>
      <c r="C28271" s="74" t="s">
        <v>436</v>
      </c>
    </row>
    <row r="28272" spans="1:3">
      <c r="A28272" s="250">
        <v>65274</v>
      </c>
      <c r="B28272" s="74" t="s">
        <v>14369</v>
      </c>
      <c r="C28272" s="74" t="s">
        <v>436</v>
      </c>
    </row>
    <row r="28273" spans="1:3">
      <c r="A28273" s="250">
        <v>65275</v>
      </c>
      <c r="B28273" s="74" t="s">
        <v>1459</v>
      </c>
      <c r="C28273" s="74" t="s">
        <v>436</v>
      </c>
    </row>
    <row r="28274" spans="1:3">
      <c r="A28274" s="250">
        <v>65276</v>
      </c>
      <c r="B28274" s="74" t="s">
        <v>11907</v>
      </c>
      <c r="C28274" s="74" t="s">
        <v>436</v>
      </c>
    </row>
    <row r="28275" spans="1:3">
      <c r="A28275" s="250">
        <v>65278</v>
      </c>
      <c r="B28275" s="74" t="s">
        <v>6560</v>
      </c>
      <c r="C28275" s="74" t="s">
        <v>436</v>
      </c>
    </row>
    <row r="28276" spans="1:3">
      <c r="A28276" s="250">
        <v>65279</v>
      </c>
      <c r="B28276" s="74" t="s">
        <v>14370</v>
      </c>
      <c r="C28276" s="74" t="s">
        <v>436</v>
      </c>
    </row>
    <row r="28277" spans="1:3">
      <c r="A28277" s="250">
        <v>65280</v>
      </c>
      <c r="B28277" s="74" t="s">
        <v>14371</v>
      </c>
      <c r="C28277" s="74" t="s">
        <v>436</v>
      </c>
    </row>
    <row r="28278" spans="1:3">
      <c r="A28278" s="250">
        <v>65281</v>
      </c>
      <c r="B28278" s="74" t="s">
        <v>853</v>
      </c>
      <c r="C28278" s="74" t="s">
        <v>436</v>
      </c>
    </row>
    <row r="28279" spans="1:3">
      <c r="A28279" s="250">
        <v>65282</v>
      </c>
      <c r="B28279" s="74" t="s">
        <v>9259</v>
      </c>
      <c r="C28279" s="74" t="s">
        <v>436</v>
      </c>
    </row>
    <row r="28280" spans="1:3">
      <c r="A28280" s="250">
        <v>65283</v>
      </c>
      <c r="B28280" s="74" t="s">
        <v>10124</v>
      </c>
      <c r="C28280" s="74" t="s">
        <v>436</v>
      </c>
    </row>
    <row r="28281" spans="1:3">
      <c r="A28281" s="250">
        <v>65284</v>
      </c>
      <c r="B28281" s="74" t="s">
        <v>4009</v>
      </c>
      <c r="C28281" s="74" t="s">
        <v>436</v>
      </c>
    </row>
    <row r="28282" spans="1:3">
      <c r="A28282" s="250">
        <v>65285</v>
      </c>
      <c r="B28282" s="74" t="s">
        <v>2006</v>
      </c>
      <c r="C28282" s="74" t="s">
        <v>436</v>
      </c>
    </row>
    <row r="28283" spans="1:3">
      <c r="A28283" s="250">
        <v>65286</v>
      </c>
      <c r="B28283" s="74" t="s">
        <v>14372</v>
      </c>
      <c r="C28283" s="74" t="s">
        <v>436</v>
      </c>
    </row>
    <row r="28284" spans="1:3">
      <c r="A28284" s="250">
        <v>65287</v>
      </c>
      <c r="B28284" s="74" t="s">
        <v>14373</v>
      </c>
      <c r="C28284" s="74" t="s">
        <v>436</v>
      </c>
    </row>
    <row r="28285" spans="1:3">
      <c r="A28285" s="250">
        <v>65299</v>
      </c>
      <c r="B28285" s="74" t="s">
        <v>1985</v>
      </c>
      <c r="C28285" s="74" t="s">
        <v>436</v>
      </c>
    </row>
    <row r="28286" spans="1:3">
      <c r="A28286" s="250">
        <v>65301</v>
      </c>
      <c r="B28286" s="74" t="s">
        <v>7119</v>
      </c>
      <c r="C28286" s="74" t="s">
        <v>436</v>
      </c>
    </row>
    <row r="28287" spans="1:3">
      <c r="A28287" s="250">
        <v>65302</v>
      </c>
      <c r="B28287" s="74" t="s">
        <v>7119</v>
      </c>
      <c r="C28287" s="74" t="s">
        <v>436</v>
      </c>
    </row>
    <row r="28288" spans="1:3">
      <c r="A28288" s="250">
        <v>65305</v>
      </c>
      <c r="B28288" s="74" t="s">
        <v>14374</v>
      </c>
      <c r="C28288" s="74" t="s">
        <v>436</v>
      </c>
    </row>
    <row r="28289" spans="1:3">
      <c r="A28289" s="250">
        <v>65320</v>
      </c>
      <c r="B28289" s="74" t="s">
        <v>14375</v>
      </c>
      <c r="C28289" s="74" t="s">
        <v>436</v>
      </c>
    </row>
    <row r="28290" spans="1:3">
      <c r="A28290" s="250">
        <v>65321</v>
      </c>
      <c r="B28290" s="74" t="s">
        <v>14376</v>
      </c>
      <c r="C28290" s="74" t="s">
        <v>436</v>
      </c>
    </row>
    <row r="28291" spans="1:3">
      <c r="A28291" s="250">
        <v>65322</v>
      </c>
      <c r="B28291" s="74" t="s">
        <v>6318</v>
      </c>
      <c r="C28291" s="74" t="s">
        <v>436</v>
      </c>
    </row>
    <row r="28292" spans="1:3">
      <c r="A28292" s="250">
        <v>65323</v>
      </c>
      <c r="B28292" s="74" t="s">
        <v>8025</v>
      </c>
      <c r="C28292" s="74" t="s">
        <v>436</v>
      </c>
    </row>
    <row r="28293" spans="1:3">
      <c r="A28293" s="250">
        <v>65324</v>
      </c>
      <c r="B28293" s="74" t="s">
        <v>14377</v>
      </c>
      <c r="C28293" s="74" t="s">
        <v>436</v>
      </c>
    </row>
    <row r="28294" spans="1:3">
      <c r="A28294" s="250">
        <v>65325</v>
      </c>
      <c r="B28294" s="74" t="s">
        <v>14378</v>
      </c>
      <c r="C28294" s="74" t="s">
        <v>436</v>
      </c>
    </row>
    <row r="28295" spans="1:3">
      <c r="A28295" s="250">
        <v>65326</v>
      </c>
      <c r="B28295" s="74" t="s">
        <v>3543</v>
      </c>
      <c r="C28295" s="74" t="s">
        <v>436</v>
      </c>
    </row>
    <row r="28296" spans="1:3">
      <c r="A28296" s="250">
        <v>65327</v>
      </c>
      <c r="B28296" s="74" t="s">
        <v>13984</v>
      </c>
      <c r="C28296" s="74" t="s">
        <v>436</v>
      </c>
    </row>
    <row r="28297" spans="1:3">
      <c r="A28297" s="250">
        <v>65329</v>
      </c>
      <c r="B28297" s="74" t="s">
        <v>608</v>
      </c>
      <c r="C28297" s="74" t="s">
        <v>436</v>
      </c>
    </row>
    <row r="28298" spans="1:3">
      <c r="A28298" s="250">
        <v>65330</v>
      </c>
      <c r="B28298" s="74" t="s">
        <v>14379</v>
      </c>
      <c r="C28298" s="74" t="s">
        <v>436</v>
      </c>
    </row>
    <row r="28299" spans="1:3">
      <c r="A28299" s="250">
        <v>65332</v>
      </c>
      <c r="B28299" s="74" t="s">
        <v>14380</v>
      </c>
      <c r="C28299" s="74" t="s">
        <v>436</v>
      </c>
    </row>
    <row r="28300" spans="1:3">
      <c r="A28300" s="250">
        <v>65333</v>
      </c>
      <c r="B28300" s="74" t="s">
        <v>14381</v>
      </c>
      <c r="C28300" s="74" t="s">
        <v>436</v>
      </c>
    </row>
    <row r="28301" spans="1:3">
      <c r="A28301" s="250">
        <v>65334</v>
      </c>
      <c r="B28301" s="74" t="s">
        <v>4908</v>
      </c>
      <c r="C28301" s="74" t="s">
        <v>436</v>
      </c>
    </row>
    <row r="28302" spans="1:3">
      <c r="A28302" s="250">
        <v>65335</v>
      </c>
      <c r="B28302" s="74" t="s">
        <v>3785</v>
      </c>
      <c r="C28302" s="74" t="s">
        <v>436</v>
      </c>
    </row>
    <row r="28303" spans="1:3">
      <c r="A28303" s="250">
        <v>65336</v>
      </c>
      <c r="B28303" s="74" t="s">
        <v>14382</v>
      </c>
      <c r="C28303" s="74" t="s">
        <v>436</v>
      </c>
    </row>
    <row r="28304" spans="1:3">
      <c r="A28304" s="250">
        <v>65337</v>
      </c>
      <c r="B28304" s="74" t="s">
        <v>14383</v>
      </c>
      <c r="C28304" s="74" t="s">
        <v>436</v>
      </c>
    </row>
    <row r="28305" spans="1:3">
      <c r="A28305" s="250">
        <v>65338</v>
      </c>
      <c r="B28305" s="74" t="s">
        <v>800</v>
      </c>
      <c r="C28305" s="74" t="s">
        <v>436</v>
      </c>
    </row>
    <row r="28306" spans="1:3">
      <c r="A28306" s="250">
        <v>65339</v>
      </c>
      <c r="B28306" s="74" t="s">
        <v>14384</v>
      </c>
      <c r="C28306" s="74" t="s">
        <v>436</v>
      </c>
    </row>
    <row r="28307" spans="1:3">
      <c r="A28307" s="250">
        <v>65340</v>
      </c>
      <c r="B28307" s="74" t="s">
        <v>5516</v>
      </c>
      <c r="C28307" s="74" t="s">
        <v>436</v>
      </c>
    </row>
    <row r="28308" spans="1:3">
      <c r="A28308" s="250">
        <v>65344</v>
      </c>
      <c r="B28308" s="74" t="s">
        <v>6627</v>
      </c>
      <c r="C28308" s="74" t="s">
        <v>436</v>
      </c>
    </row>
    <row r="28309" spans="1:3">
      <c r="A28309" s="250">
        <v>65345</v>
      </c>
      <c r="B28309" s="74" t="s">
        <v>12378</v>
      </c>
      <c r="C28309" s="74" t="s">
        <v>436</v>
      </c>
    </row>
    <row r="28310" spans="1:3">
      <c r="A28310" s="250">
        <v>65347</v>
      </c>
      <c r="B28310" s="74" t="s">
        <v>1238</v>
      </c>
      <c r="C28310" s="74" t="s">
        <v>436</v>
      </c>
    </row>
    <row r="28311" spans="1:3">
      <c r="A28311" s="250">
        <v>65348</v>
      </c>
      <c r="B28311" s="74" t="s">
        <v>14385</v>
      </c>
      <c r="C28311" s="74" t="s">
        <v>436</v>
      </c>
    </row>
    <row r="28312" spans="1:3">
      <c r="A28312" s="250">
        <v>65349</v>
      </c>
      <c r="B28312" s="74" t="s">
        <v>7790</v>
      </c>
      <c r="C28312" s="74" t="s">
        <v>436</v>
      </c>
    </row>
    <row r="28313" spans="1:3">
      <c r="A28313" s="250">
        <v>65350</v>
      </c>
      <c r="B28313" s="74" t="s">
        <v>4143</v>
      </c>
      <c r="C28313" s="74" t="s">
        <v>436</v>
      </c>
    </row>
    <row r="28314" spans="1:3">
      <c r="A28314" s="250">
        <v>65351</v>
      </c>
      <c r="B28314" s="74" t="s">
        <v>14386</v>
      </c>
      <c r="C28314" s="74" t="s">
        <v>436</v>
      </c>
    </row>
    <row r="28315" spans="1:3">
      <c r="A28315" s="250">
        <v>65354</v>
      </c>
      <c r="B28315" s="74" t="s">
        <v>3428</v>
      </c>
      <c r="C28315" s="74" t="s">
        <v>436</v>
      </c>
    </row>
    <row r="28316" spans="1:3">
      <c r="A28316" s="250">
        <v>65355</v>
      </c>
      <c r="B28316" s="74" t="s">
        <v>3834</v>
      </c>
      <c r="C28316" s="74" t="s">
        <v>436</v>
      </c>
    </row>
    <row r="28317" spans="1:3">
      <c r="A28317" s="250">
        <v>65360</v>
      </c>
      <c r="B28317" s="74" t="s">
        <v>669</v>
      </c>
      <c r="C28317" s="74" t="s">
        <v>436</v>
      </c>
    </row>
    <row r="28318" spans="1:3">
      <c r="A28318" s="250">
        <v>65401</v>
      </c>
      <c r="B28318" s="74" t="s">
        <v>13085</v>
      </c>
      <c r="C28318" s="74" t="s">
        <v>436</v>
      </c>
    </row>
    <row r="28319" spans="1:3">
      <c r="A28319" s="250">
        <v>65402</v>
      </c>
      <c r="B28319" s="74" t="s">
        <v>13085</v>
      </c>
      <c r="C28319" s="74" t="s">
        <v>436</v>
      </c>
    </row>
    <row r="28320" spans="1:3">
      <c r="A28320" s="250">
        <v>65409</v>
      </c>
      <c r="B28320" s="74" t="s">
        <v>13085</v>
      </c>
      <c r="C28320" s="74" t="s">
        <v>436</v>
      </c>
    </row>
    <row r="28321" spans="1:3">
      <c r="A28321" s="250">
        <v>65436</v>
      </c>
      <c r="B28321" s="74" t="s">
        <v>9330</v>
      </c>
      <c r="C28321" s="74" t="s">
        <v>436</v>
      </c>
    </row>
    <row r="28322" spans="1:3">
      <c r="A28322" s="250">
        <v>65438</v>
      </c>
      <c r="B28322" s="74" t="s">
        <v>14387</v>
      </c>
      <c r="C28322" s="74" t="s">
        <v>436</v>
      </c>
    </row>
    <row r="28323" spans="1:3">
      <c r="A28323" s="250">
        <v>65439</v>
      </c>
      <c r="B28323" s="74" t="s">
        <v>14388</v>
      </c>
      <c r="C28323" s="74" t="s">
        <v>436</v>
      </c>
    </row>
    <row r="28324" spans="1:3">
      <c r="A28324" s="250">
        <v>65440</v>
      </c>
      <c r="B28324" s="74" t="s">
        <v>14389</v>
      </c>
      <c r="C28324" s="74" t="s">
        <v>436</v>
      </c>
    </row>
    <row r="28325" spans="1:3">
      <c r="A28325" s="250">
        <v>65441</v>
      </c>
      <c r="B28325" s="74" t="s">
        <v>10706</v>
      </c>
      <c r="C28325" s="74" t="s">
        <v>436</v>
      </c>
    </row>
    <row r="28326" spans="1:3">
      <c r="A28326" s="250">
        <v>65443</v>
      </c>
      <c r="B28326" s="74" t="s">
        <v>14390</v>
      </c>
      <c r="C28326" s="74" t="s">
        <v>436</v>
      </c>
    </row>
    <row r="28327" spans="1:3">
      <c r="A28327" s="250">
        <v>65444</v>
      </c>
      <c r="B28327" s="74" t="s">
        <v>10426</v>
      </c>
      <c r="C28327" s="74" t="s">
        <v>436</v>
      </c>
    </row>
    <row r="28328" spans="1:3">
      <c r="A28328" s="250">
        <v>65446</v>
      </c>
      <c r="B28328" s="74" t="s">
        <v>5035</v>
      </c>
      <c r="C28328" s="74" t="s">
        <v>436</v>
      </c>
    </row>
    <row r="28329" spans="1:3">
      <c r="A28329" s="250">
        <v>65449</v>
      </c>
      <c r="B28329" s="74" t="s">
        <v>14391</v>
      </c>
      <c r="C28329" s="74" t="s">
        <v>436</v>
      </c>
    </row>
    <row r="28330" spans="1:3">
      <c r="A28330" s="250">
        <v>65452</v>
      </c>
      <c r="B28330" s="74" t="s">
        <v>14392</v>
      </c>
      <c r="C28330" s="74" t="s">
        <v>436</v>
      </c>
    </row>
    <row r="28331" spans="1:3">
      <c r="A28331" s="250">
        <v>65453</v>
      </c>
      <c r="B28331" s="74" t="s">
        <v>3857</v>
      </c>
      <c r="C28331" s="74" t="s">
        <v>436</v>
      </c>
    </row>
    <row r="28332" spans="1:3">
      <c r="A28332" s="250">
        <v>65456</v>
      </c>
      <c r="B28332" s="74" t="s">
        <v>6870</v>
      </c>
      <c r="C28332" s="74" t="s">
        <v>436</v>
      </c>
    </row>
    <row r="28333" spans="1:3">
      <c r="A28333" s="250">
        <v>65457</v>
      </c>
      <c r="B28333" s="74" t="s">
        <v>14393</v>
      </c>
      <c r="C28333" s="74" t="s">
        <v>436</v>
      </c>
    </row>
    <row r="28334" spans="1:3">
      <c r="A28334" s="250">
        <v>65459</v>
      </c>
      <c r="B28334" s="74" t="s">
        <v>10025</v>
      </c>
      <c r="C28334" s="74" t="s">
        <v>436</v>
      </c>
    </row>
    <row r="28335" spans="1:3">
      <c r="A28335" s="250">
        <v>65461</v>
      </c>
      <c r="B28335" s="74" t="s">
        <v>14394</v>
      </c>
      <c r="C28335" s="74" t="s">
        <v>436</v>
      </c>
    </row>
    <row r="28336" spans="1:3">
      <c r="A28336" s="250">
        <v>65462</v>
      </c>
      <c r="B28336" s="74" t="s">
        <v>14395</v>
      </c>
      <c r="C28336" s="74" t="s">
        <v>436</v>
      </c>
    </row>
    <row r="28337" spans="1:3">
      <c r="A28337" s="250">
        <v>65463</v>
      </c>
      <c r="B28337" s="74" t="s">
        <v>8713</v>
      </c>
      <c r="C28337" s="74" t="s">
        <v>436</v>
      </c>
    </row>
    <row r="28338" spans="1:3">
      <c r="A28338" s="250">
        <v>65464</v>
      </c>
      <c r="B28338" s="74" t="s">
        <v>6357</v>
      </c>
      <c r="C28338" s="74" t="s">
        <v>436</v>
      </c>
    </row>
    <row r="28339" spans="1:3">
      <c r="A28339" s="250">
        <v>65466</v>
      </c>
      <c r="B28339" s="74" t="s">
        <v>9578</v>
      </c>
      <c r="C28339" s="74" t="s">
        <v>436</v>
      </c>
    </row>
    <row r="28340" spans="1:3">
      <c r="A28340" s="250">
        <v>65468</v>
      </c>
      <c r="B28340" s="74" t="s">
        <v>14396</v>
      </c>
      <c r="C28340" s="74" t="s">
        <v>436</v>
      </c>
    </row>
    <row r="28341" spans="1:3">
      <c r="A28341" s="250">
        <v>65470</v>
      </c>
      <c r="B28341" s="74" t="s">
        <v>7354</v>
      </c>
      <c r="C28341" s="74" t="s">
        <v>436</v>
      </c>
    </row>
    <row r="28342" spans="1:3">
      <c r="A28342" s="250">
        <v>65473</v>
      </c>
      <c r="B28342" s="74" t="s">
        <v>14397</v>
      </c>
      <c r="C28342" s="74" t="s">
        <v>436</v>
      </c>
    </row>
    <row r="28343" spans="1:3">
      <c r="A28343" s="250">
        <v>65479</v>
      </c>
      <c r="B28343" s="74" t="s">
        <v>14398</v>
      </c>
      <c r="C28343" s="74" t="s">
        <v>436</v>
      </c>
    </row>
    <row r="28344" spans="1:3">
      <c r="A28344" s="250">
        <v>65483</v>
      </c>
      <c r="B28344" s="74" t="s">
        <v>4063</v>
      </c>
      <c r="C28344" s="74" t="s">
        <v>436</v>
      </c>
    </row>
    <row r="28345" spans="1:3">
      <c r="A28345" s="250">
        <v>65484</v>
      </c>
      <c r="B28345" s="74" t="s">
        <v>14399</v>
      </c>
      <c r="C28345" s="74" t="s">
        <v>436</v>
      </c>
    </row>
    <row r="28346" spans="1:3">
      <c r="A28346" s="250">
        <v>65486</v>
      </c>
      <c r="B28346" s="74" t="s">
        <v>10138</v>
      </c>
      <c r="C28346" s="74" t="s">
        <v>436</v>
      </c>
    </row>
    <row r="28347" spans="1:3">
      <c r="A28347" s="250">
        <v>65501</v>
      </c>
      <c r="B28347" s="74" t="s">
        <v>14400</v>
      </c>
      <c r="C28347" s="74" t="s">
        <v>436</v>
      </c>
    </row>
    <row r="28348" spans="1:3">
      <c r="A28348" s="250">
        <v>65529</v>
      </c>
      <c r="B28348" s="74" t="s">
        <v>4356</v>
      </c>
      <c r="C28348" s="74" t="s">
        <v>436</v>
      </c>
    </row>
    <row r="28349" spans="1:3">
      <c r="A28349" s="250">
        <v>65532</v>
      </c>
      <c r="B28349" s="74" t="s">
        <v>14401</v>
      </c>
      <c r="C28349" s="74" t="s">
        <v>436</v>
      </c>
    </row>
    <row r="28350" spans="1:3">
      <c r="A28350" s="250">
        <v>65534</v>
      </c>
      <c r="B28350" s="74" t="s">
        <v>14402</v>
      </c>
      <c r="C28350" s="74" t="s">
        <v>436</v>
      </c>
    </row>
    <row r="28351" spans="1:3">
      <c r="A28351" s="250">
        <v>65535</v>
      </c>
      <c r="B28351" s="74" t="s">
        <v>7105</v>
      </c>
      <c r="C28351" s="74" t="s">
        <v>436</v>
      </c>
    </row>
    <row r="28352" spans="1:3">
      <c r="A28352" s="250">
        <v>65536</v>
      </c>
      <c r="B28352" s="74" t="s">
        <v>1280</v>
      </c>
      <c r="C28352" s="74" t="s">
        <v>436</v>
      </c>
    </row>
    <row r="28353" spans="1:3">
      <c r="A28353" s="250">
        <v>65541</v>
      </c>
      <c r="B28353" s="74" t="s">
        <v>650</v>
      </c>
      <c r="C28353" s="74" t="s">
        <v>436</v>
      </c>
    </row>
    <row r="28354" spans="1:3">
      <c r="A28354" s="250">
        <v>65542</v>
      </c>
      <c r="B28354" s="74" t="s">
        <v>14403</v>
      </c>
      <c r="C28354" s="74" t="s">
        <v>436</v>
      </c>
    </row>
    <row r="28355" spans="1:3">
      <c r="A28355" s="250">
        <v>65543</v>
      </c>
      <c r="B28355" s="74" t="s">
        <v>6412</v>
      </c>
      <c r="C28355" s="74" t="s">
        <v>436</v>
      </c>
    </row>
    <row r="28356" spans="1:3">
      <c r="A28356" s="250">
        <v>65546</v>
      </c>
      <c r="B28356" s="74" t="s">
        <v>14404</v>
      </c>
      <c r="C28356" s="74" t="s">
        <v>436</v>
      </c>
    </row>
    <row r="28357" spans="1:3">
      <c r="A28357" s="250">
        <v>65548</v>
      </c>
      <c r="B28357" s="74" t="s">
        <v>14405</v>
      </c>
      <c r="C28357" s="74" t="s">
        <v>436</v>
      </c>
    </row>
    <row r="28358" spans="1:3">
      <c r="A28358" s="250">
        <v>65550</v>
      </c>
      <c r="B28358" s="74" t="s">
        <v>4779</v>
      </c>
      <c r="C28358" s="74" t="s">
        <v>436</v>
      </c>
    </row>
    <row r="28359" spans="1:3">
      <c r="A28359" s="250">
        <v>65552</v>
      </c>
      <c r="B28359" s="74" t="s">
        <v>12422</v>
      </c>
      <c r="C28359" s="74" t="s">
        <v>436</v>
      </c>
    </row>
    <row r="28360" spans="1:3">
      <c r="A28360" s="250">
        <v>65555</v>
      </c>
      <c r="B28360" s="74" t="s">
        <v>3575</v>
      </c>
      <c r="C28360" s="74" t="s">
        <v>436</v>
      </c>
    </row>
    <row r="28361" spans="1:3">
      <c r="A28361" s="250">
        <v>65556</v>
      </c>
      <c r="B28361" s="74" t="s">
        <v>2499</v>
      </c>
      <c r="C28361" s="74" t="s">
        <v>436</v>
      </c>
    </row>
    <row r="28362" spans="1:3">
      <c r="A28362" s="250">
        <v>65557</v>
      </c>
      <c r="B28362" s="74" t="s">
        <v>14406</v>
      </c>
      <c r="C28362" s="74" t="s">
        <v>436</v>
      </c>
    </row>
    <row r="28363" spans="1:3">
      <c r="A28363" s="250">
        <v>65559</v>
      </c>
      <c r="B28363" s="74" t="s">
        <v>2853</v>
      </c>
      <c r="C28363" s="74" t="s">
        <v>436</v>
      </c>
    </row>
    <row r="28364" spans="1:3">
      <c r="A28364" s="250">
        <v>65560</v>
      </c>
      <c r="B28364" s="74" t="s">
        <v>858</v>
      </c>
      <c r="C28364" s="74" t="s">
        <v>436</v>
      </c>
    </row>
    <row r="28365" spans="1:3">
      <c r="A28365" s="250">
        <v>65564</v>
      </c>
      <c r="B28365" s="74" t="s">
        <v>14407</v>
      </c>
      <c r="C28365" s="74" t="s">
        <v>436</v>
      </c>
    </row>
    <row r="28366" spans="1:3">
      <c r="A28366" s="250">
        <v>65565</v>
      </c>
      <c r="B28366" s="74" t="s">
        <v>14408</v>
      </c>
      <c r="C28366" s="74" t="s">
        <v>436</v>
      </c>
    </row>
    <row r="28367" spans="1:3">
      <c r="A28367" s="250">
        <v>65566</v>
      </c>
      <c r="B28367" s="74" t="s">
        <v>14409</v>
      </c>
      <c r="C28367" s="74" t="s">
        <v>436</v>
      </c>
    </row>
    <row r="28368" spans="1:3">
      <c r="A28368" s="250">
        <v>65567</v>
      </c>
      <c r="B28368" s="74" t="s">
        <v>14410</v>
      </c>
      <c r="C28368" s="74" t="s">
        <v>436</v>
      </c>
    </row>
    <row r="28369" spans="1:3">
      <c r="A28369" s="250">
        <v>65570</v>
      </c>
      <c r="B28369" s="74" t="s">
        <v>14411</v>
      </c>
      <c r="C28369" s="74" t="s">
        <v>436</v>
      </c>
    </row>
    <row r="28370" spans="1:3">
      <c r="A28370" s="250">
        <v>65571</v>
      </c>
      <c r="B28370" s="74" t="s">
        <v>7004</v>
      </c>
      <c r="C28370" s="74" t="s">
        <v>436</v>
      </c>
    </row>
    <row r="28371" spans="1:3">
      <c r="A28371" s="250">
        <v>65580</v>
      </c>
      <c r="B28371" s="74" t="s">
        <v>14412</v>
      </c>
      <c r="C28371" s="74" t="s">
        <v>436</v>
      </c>
    </row>
    <row r="28372" spans="1:3">
      <c r="A28372" s="250">
        <v>65582</v>
      </c>
      <c r="B28372" s="74" t="s">
        <v>1486</v>
      </c>
      <c r="C28372" s="74" t="s">
        <v>436</v>
      </c>
    </row>
    <row r="28373" spans="1:3">
      <c r="A28373" s="250">
        <v>65583</v>
      </c>
      <c r="B28373" s="74" t="s">
        <v>7582</v>
      </c>
      <c r="C28373" s="74" t="s">
        <v>436</v>
      </c>
    </row>
    <row r="28374" spans="1:3">
      <c r="A28374" s="250">
        <v>65584</v>
      </c>
      <c r="B28374" s="74" t="s">
        <v>14413</v>
      </c>
      <c r="C28374" s="74" t="s">
        <v>436</v>
      </c>
    </row>
    <row r="28375" spans="1:3">
      <c r="A28375" s="250">
        <v>65586</v>
      </c>
      <c r="B28375" s="74" t="s">
        <v>14414</v>
      </c>
      <c r="C28375" s="74" t="s">
        <v>436</v>
      </c>
    </row>
    <row r="28376" spans="1:3">
      <c r="A28376" s="250">
        <v>65588</v>
      </c>
      <c r="B28376" s="74" t="s">
        <v>6832</v>
      </c>
      <c r="C28376" s="74" t="s">
        <v>436</v>
      </c>
    </row>
    <row r="28377" spans="1:3">
      <c r="A28377" s="250">
        <v>65589</v>
      </c>
      <c r="B28377" s="74" t="s">
        <v>4254</v>
      </c>
      <c r="C28377" s="74" t="s">
        <v>436</v>
      </c>
    </row>
    <row r="28378" spans="1:3">
      <c r="A28378" s="250">
        <v>65590</v>
      </c>
      <c r="B28378" s="74" t="s">
        <v>14415</v>
      </c>
      <c r="C28378" s="74" t="s">
        <v>436</v>
      </c>
    </row>
    <row r="28379" spans="1:3">
      <c r="A28379" s="250">
        <v>65591</v>
      </c>
      <c r="B28379" s="74" t="s">
        <v>12218</v>
      </c>
      <c r="C28379" s="74" t="s">
        <v>436</v>
      </c>
    </row>
    <row r="28380" spans="1:3">
      <c r="A28380" s="250">
        <v>65601</v>
      </c>
      <c r="B28380" s="74" t="s">
        <v>12671</v>
      </c>
      <c r="C28380" s="74" t="s">
        <v>436</v>
      </c>
    </row>
    <row r="28381" spans="1:3">
      <c r="A28381" s="250">
        <v>65603</v>
      </c>
      <c r="B28381" s="74" t="s">
        <v>5408</v>
      </c>
      <c r="C28381" s="74" t="s">
        <v>436</v>
      </c>
    </row>
    <row r="28382" spans="1:3">
      <c r="A28382" s="250">
        <v>65604</v>
      </c>
      <c r="B28382" s="74" t="s">
        <v>14416</v>
      </c>
      <c r="C28382" s="74" t="s">
        <v>436</v>
      </c>
    </row>
    <row r="28383" spans="1:3">
      <c r="A28383" s="250">
        <v>65605</v>
      </c>
      <c r="B28383" s="74" t="s">
        <v>1489</v>
      </c>
      <c r="C28383" s="74" t="s">
        <v>436</v>
      </c>
    </row>
    <row r="28384" spans="1:3">
      <c r="A28384" s="250">
        <v>65606</v>
      </c>
      <c r="B28384" s="74" t="s">
        <v>1293</v>
      </c>
      <c r="C28384" s="74" t="s">
        <v>436</v>
      </c>
    </row>
    <row r="28385" spans="1:3">
      <c r="A28385" s="250">
        <v>65607</v>
      </c>
      <c r="B28385" s="74" t="s">
        <v>14417</v>
      </c>
      <c r="C28385" s="74" t="s">
        <v>436</v>
      </c>
    </row>
    <row r="28386" spans="1:3">
      <c r="A28386" s="250">
        <v>65608</v>
      </c>
      <c r="B28386" s="74" t="s">
        <v>3431</v>
      </c>
      <c r="C28386" s="74" t="s">
        <v>436</v>
      </c>
    </row>
    <row r="28387" spans="1:3">
      <c r="A28387" s="250">
        <v>65609</v>
      </c>
      <c r="B28387" s="74" t="s">
        <v>1804</v>
      </c>
      <c r="C28387" s="74" t="s">
        <v>436</v>
      </c>
    </row>
    <row r="28388" spans="1:3">
      <c r="A28388" s="250">
        <v>65610</v>
      </c>
      <c r="B28388" s="74" t="s">
        <v>3106</v>
      </c>
      <c r="C28388" s="74" t="s">
        <v>436</v>
      </c>
    </row>
    <row r="28389" spans="1:3">
      <c r="A28389" s="250">
        <v>65611</v>
      </c>
      <c r="B28389" s="74" t="s">
        <v>14418</v>
      </c>
      <c r="C28389" s="74" t="s">
        <v>436</v>
      </c>
    </row>
    <row r="28390" spans="1:3">
      <c r="A28390" s="250">
        <v>65612</v>
      </c>
      <c r="B28390" s="74" t="s">
        <v>14419</v>
      </c>
      <c r="C28390" s="74" t="s">
        <v>436</v>
      </c>
    </row>
    <row r="28391" spans="1:3">
      <c r="A28391" s="250">
        <v>65613</v>
      </c>
      <c r="B28391" s="74" t="s">
        <v>3846</v>
      </c>
      <c r="C28391" s="74" t="s">
        <v>436</v>
      </c>
    </row>
    <row r="28392" spans="1:3">
      <c r="A28392" s="250">
        <v>65614</v>
      </c>
      <c r="B28392" s="74" t="s">
        <v>14420</v>
      </c>
      <c r="C28392" s="74" t="s">
        <v>436</v>
      </c>
    </row>
    <row r="28393" spans="1:3">
      <c r="A28393" s="250">
        <v>65615</v>
      </c>
      <c r="B28393" s="74" t="s">
        <v>14421</v>
      </c>
      <c r="C28393" s="74" t="s">
        <v>436</v>
      </c>
    </row>
    <row r="28394" spans="1:3">
      <c r="A28394" s="250">
        <v>65616</v>
      </c>
      <c r="B28394" s="74" t="s">
        <v>14421</v>
      </c>
      <c r="C28394" s="74" t="s">
        <v>436</v>
      </c>
    </row>
    <row r="28395" spans="1:3">
      <c r="A28395" s="250">
        <v>65617</v>
      </c>
      <c r="B28395" s="74" t="s">
        <v>911</v>
      </c>
      <c r="C28395" s="74" t="s">
        <v>436</v>
      </c>
    </row>
    <row r="28396" spans="1:3">
      <c r="A28396" s="250">
        <v>65618</v>
      </c>
      <c r="B28396" s="74" t="s">
        <v>14422</v>
      </c>
      <c r="C28396" s="74" t="s">
        <v>436</v>
      </c>
    </row>
    <row r="28397" spans="1:3">
      <c r="A28397" s="250">
        <v>65619</v>
      </c>
      <c r="B28397" s="74" t="s">
        <v>967</v>
      </c>
      <c r="C28397" s="74" t="s">
        <v>436</v>
      </c>
    </row>
    <row r="28398" spans="1:3">
      <c r="A28398" s="250">
        <v>65620</v>
      </c>
      <c r="B28398" s="74" t="s">
        <v>14423</v>
      </c>
      <c r="C28398" s="74" t="s">
        <v>436</v>
      </c>
    </row>
    <row r="28399" spans="1:3">
      <c r="A28399" s="250">
        <v>65622</v>
      </c>
      <c r="B28399" s="74" t="s">
        <v>3751</v>
      </c>
      <c r="C28399" s="74" t="s">
        <v>436</v>
      </c>
    </row>
    <row r="28400" spans="1:3">
      <c r="A28400" s="250">
        <v>65623</v>
      </c>
      <c r="B28400" s="74" t="s">
        <v>12563</v>
      </c>
      <c r="C28400" s="74" t="s">
        <v>436</v>
      </c>
    </row>
    <row r="28401" spans="1:3">
      <c r="A28401" s="250">
        <v>65624</v>
      </c>
      <c r="B28401" s="74" t="s">
        <v>14424</v>
      </c>
      <c r="C28401" s="74" t="s">
        <v>436</v>
      </c>
    </row>
    <row r="28402" spans="1:3">
      <c r="A28402" s="250">
        <v>65625</v>
      </c>
      <c r="B28402" s="74" t="s">
        <v>3440</v>
      </c>
      <c r="C28402" s="74" t="s">
        <v>436</v>
      </c>
    </row>
    <row r="28403" spans="1:3">
      <c r="A28403" s="250">
        <v>65626</v>
      </c>
      <c r="B28403" s="74" t="s">
        <v>14425</v>
      </c>
      <c r="C28403" s="74" t="s">
        <v>436</v>
      </c>
    </row>
    <row r="28404" spans="1:3">
      <c r="A28404" s="250">
        <v>65627</v>
      </c>
      <c r="B28404" s="74" t="s">
        <v>14426</v>
      </c>
      <c r="C28404" s="74" t="s">
        <v>436</v>
      </c>
    </row>
    <row r="28405" spans="1:3">
      <c r="A28405" s="250">
        <v>65629</v>
      </c>
      <c r="B28405" s="74" t="s">
        <v>13601</v>
      </c>
      <c r="C28405" s="74" t="s">
        <v>436</v>
      </c>
    </row>
    <row r="28406" spans="1:3">
      <c r="A28406" s="250">
        <v>65630</v>
      </c>
      <c r="B28406" s="74" t="s">
        <v>14427</v>
      </c>
      <c r="C28406" s="74" t="s">
        <v>436</v>
      </c>
    </row>
    <row r="28407" spans="1:3">
      <c r="A28407" s="250">
        <v>65631</v>
      </c>
      <c r="B28407" s="74" t="s">
        <v>14428</v>
      </c>
      <c r="C28407" s="74" t="s">
        <v>436</v>
      </c>
    </row>
    <row r="28408" spans="1:3">
      <c r="A28408" s="250">
        <v>65632</v>
      </c>
      <c r="B28408" s="74" t="s">
        <v>677</v>
      </c>
      <c r="C28408" s="74" t="s">
        <v>436</v>
      </c>
    </row>
    <row r="28409" spans="1:3">
      <c r="A28409" s="250">
        <v>65633</v>
      </c>
      <c r="B28409" s="74" t="s">
        <v>10878</v>
      </c>
      <c r="C28409" s="74" t="s">
        <v>436</v>
      </c>
    </row>
    <row r="28410" spans="1:3">
      <c r="A28410" s="250">
        <v>65634</v>
      </c>
      <c r="B28410" s="74" t="s">
        <v>14429</v>
      </c>
      <c r="C28410" s="74" t="s">
        <v>436</v>
      </c>
    </row>
    <row r="28411" spans="1:3">
      <c r="A28411" s="250">
        <v>65635</v>
      </c>
      <c r="B28411" s="74" t="s">
        <v>8962</v>
      </c>
      <c r="C28411" s="74" t="s">
        <v>436</v>
      </c>
    </row>
    <row r="28412" spans="1:3">
      <c r="A28412" s="250">
        <v>65636</v>
      </c>
      <c r="B28412" s="74" t="s">
        <v>14430</v>
      </c>
      <c r="C28412" s="74" t="s">
        <v>436</v>
      </c>
    </row>
    <row r="28413" spans="1:3">
      <c r="A28413" s="250">
        <v>65637</v>
      </c>
      <c r="B28413" s="74" t="s">
        <v>8638</v>
      </c>
      <c r="C28413" s="74" t="s">
        <v>436</v>
      </c>
    </row>
    <row r="28414" spans="1:3">
      <c r="A28414" s="250">
        <v>65638</v>
      </c>
      <c r="B28414" s="74" t="s">
        <v>679</v>
      </c>
      <c r="C28414" s="74" t="s">
        <v>436</v>
      </c>
    </row>
    <row r="28415" spans="1:3">
      <c r="A28415" s="250">
        <v>65640</v>
      </c>
      <c r="B28415" s="74" t="s">
        <v>14431</v>
      </c>
      <c r="C28415" s="74" t="s">
        <v>436</v>
      </c>
    </row>
    <row r="28416" spans="1:3">
      <c r="A28416" s="250">
        <v>65641</v>
      </c>
      <c r="B28416" s="74" t="s">
        <v>6269</v>
      </c>
      <c r="C28416" s="74" t="s">
        <v>436</v>
      </c>
    </row>
    <row r="28417" spans="1:3">
      <c r="A28417" s="250">
        <v>65644</v>
      </c>
      <c r="B28417" s="74" t="s">
        <v>4670</v>
      </c>
      <c r="C28417" s="74" t="s">
        <v>436</v>
      </c>
    </row>
    <row r="28418" spans="1:3">
      <c r="A28418" s="250">
        <v>65645</v>
      </c>
      <c r="B28418" s="74" t="s">
        <v>14432</v>
      </c>
      <c r="C28418" s="74" t="s">
        <v>436</v>
      </c>
    </row>
    <row r="28419" spans="1:3">
      <c r="A28419" s="250">
        <v>65646</v>
      </c>
      <c r="B28419" s="74" t="s">
        <v>14433</v>
      </c>
      <c r="C28419" s="74" t="s">
        <v>436</v>
      </c>
    </row>
    <row r="28420" spans="1:3">
      <c r="A28420" s="250">
        <v>65647</v>
      </c>
      <c r="B28420" s="74" t="s">
        <v>1104</v>
      </c>
      <c r="C28420" s="74" t="s">
        <v>436</v>
      </c>
    </row>
    <row r="28421" spans="1:3">
      <c r="A28421" s="250">
        <v>65648</v>
      </c>
      <c r="B28421" s="74" t="s">
        <v>14434</v>
      </c>
      <c r="C28421" s="74" t="s">
        <v>436</v>
      </c>
    </row>
    <row r="28422" spans="1:3">
      <c r="A28422" s="250">
        <v>65649</v>
      </c>
      <c r="B28422" s="74" t="s">
        <v>7773</v>
      </c>
      <c r="C28422" s="74" t="s">
        <v>436</v>
      </c>
    </row>
    <row r="28423" spans="1:3">
      <c r="A28423" s="250">
        <v>65650</v>
      </c>
      <c r="B28423" s="74" t="s">
        <v>2569</v>
      </c>
      <c r="C28423" s="74" t="s">
        <v>436</v>
      </c>
    </row>
    <row r="28424" spans="1:3">
      <c r="A28424" s="250">
        <v>65652</v>
      </c>
      <c r="B28424" s="74" t="s">
        <v>14435</v>
      </c>
      <c r="C28424" s="74" t="s">
        <v>436</v>
      </c>
    </row>
    <row r="28425" spans="1:3">
      <c r="A28425" s="250">
        <v>65653</v>
      </c>
      <c r="B28425" s="74" t="s">
        <v>8074</v>
      </c>
      <c r="C28425" s="74" t="s">
        <v>436</v>
      </c>
    </row>
    <row r="28426" spans="1:3">
      <c r="A28426" s="250">
        <v>65654</v>
      </c>
      <c r="B28426" s="74" t="s">
        <v>14436</v>
      </c>
      <c r="C28426" s="74" t="s">
        <v>436</v>
      </c>
    </row>
    <row r="28427" spans="1:3">
      <c r="A28427" s="250">
        <v>65655</v>
      </c>
      <c r="B28427" s="74" t="s">
        <v>3707</v>
      </c>
      <c r="C28427" s="74" t="s">
        <v>436</v>
      </c>
    </row>
    <row r="28428" spans="1:3">
      <c r="A28428" s="250">
        <v>65656</v>
      </c>
      <c r="B28428" s="74" t="s">
        <v>5755</v>
      </c>
      <c r="C28428" s="74" t="s">
        <v>436</v>
      </c>
    </row>
    <row r="28429" spans="1:3">
      <c r="A28429" s="250">
        <v>65657</v>
      </c>
      <c r="B28429" s="74" t="s">
        <v>2630</v>
      </c>
      <c r="C28429" s="74" t="s">
        <v>436</v>
      </c>
    </row>
    <row r="28430" spans="1:3">
      <c r="A28430" s="250">
        <v>65658</v>
      </c>
      <c r="B28430" s="74" t="s">
        <v>9362</v>
      </c>
      <c r="C28430" s="74" t="s">
        <v>436</v>
      </c>
    </row>
    <row r="28431" spans="1:3">
      <c r="A28431" s="250">
        <v>65660</v>
      </c>
      <c r="B28431" s="74" t="s">
        <v>14437</v>
      </c>
      <c r="C28431" s="74" t="s">
        <v>436</v>
      </c>
    </row>
    <row r="28432" spans="1:3">
      <c r="A28432" s="250">
        <v>65661</v>
      </c>
      <c r="B28432" s="74" t="s">
        <v>670</v>
      </c>
      <c r="C28432" s="74" t="s">
        <v>436</v>
      </c>
    </row>
    <row r="28433" spans="1:3">
      <c r="A28433" s="250">
        <v>65662</v>
      </c>
      <c r="B28433" s="74" t="s">
        <v>14438</v>
      </c>
      <c r="C28433" s="74" t="s">
        <v>436</v>
      </c>
    </row>
    <row r="28434" spans="1:3">
      <c r="A28434" s="250">
        <v>65663</v>
      </c>
      <c r="B28434" s="74" t="s">
        <v>14439</v>
      </c>
      <c r="C28434" s="74" t="s">
        <v>436</v>
      </c>
    </row>
    <row r="28435" spans="1:3">
      <c r="A28435" s="250">
        <v>65664</v>
      </c>
      <c r="B28435" s="74" t="s">
        <v>6690</v>
      </c>
      <c r="C28435" s="74" t="s">
        <v>436</v>
      </c>
    </row>
    <row r="28436" spans="1:3">
      <c r="A28436" s="250">
        <v>65666</v>
      </c>
      <c r="B28436" s="74" t="s">
        <v>14440</v>
      </c>
      <c r="C28436" s="74" t="s">
        <v>436</v>
      </c>
    </row>
    <row r="28437" spans="1:3">
      <c r="A28437" s="250">
        <v>65667</v>
      </c>
      <c r="B28437" s="74" t="s">
        <v>10394</v>
      </c>
      <c r="C28437" s="74" t="s">
        <v>436</v>
      </c>
    </row>
    <row r="28438" spans="1:3">
      <c r="A28438" s="250">
        <v>65668</v>
      </c>
      <c r="B28438" s="74" t="s">
        <v>4427</v>
      </c>
      <c r="C28438" s="74" t="s">
        <v>436</v>
      </c>
    </row>
    <row r="28439" spans="1:3">
      <c r="A28439" s="250">
        <v>65669</v>
      </c>
      <c r="B28439" s="74" t="s">
        <v>11821</v>
      </c>
      <c r="C28439" s="74" t="s">
        <v>436</v>
      </c>
    </row>
    <row r="28440" spans="1:3">
      <c r="A28440" s="250">
        <v>65672</v>
      </c>
      <c r="B28440" s="74" t="s">
        <v>7198</v>
      </c>
      <c r="C28440" s="74" t="s">
        <v>436</v>
      </c>
    </row>
    <row r="28441" spans="1:3">
      <c r="A28441" s="250">
        <v>65673</v>
      </c>
      <c r="B28441" s="74" t="s">
        <v>7198</v>
      </c>
      <c r="C28441" s="74" t="s">
        <v>436</v>
      </c>
    </row>
    <row r="28442" spans="1:3">
      <c r="A28442" s="250">
        <v>65674</v>
      </c>
      <c r="B28442" s="74" t="s">
        <v>14441</v>
      </c>
      <c r="C28442" s="74" t="s">
        <v>436</v>
      </c>
    </row>
    <row r="28443" spans="1:3">
      <c r="A28443" s="250">
        <v>65675</v>
      </c>
      <c r="B28443" s="74" t="s">
        <v>3057</v>
      </c>
      <c r="C28443" s="74" t="s">
        <v>436</v>
      </c>
    </row>
    <row r="28444" spans="1:3">
      <c r="A28444" s="250">
        <v>65676</v>
      </c>
      <c r="B28444" s="74" t="s">
        <v>4118</v>
      </c>
      <c r="C28444" s="74" t="s">
        <v>436</v>
      </c>
    </row>
    <row r="28445" spans="1:3">
      <c r="A28445" s="250">
        <v>65679</v>
      </c>
      <c r="B28445" s="74" t="s">
        <v>14442</v>
      </c>
      <c r="C28445" s="74" t="s">
        <v>436</v>
      </c>
    </row>
    <row r="28446" spans="1:3">
      <c r="A28446" s="250">
        <v>65680</v>
      </c>
      <c r="B28446" s="74" t="s">
        <v>14443</v>
      </c>
      <c r="C28446" s="74" t="s">
        <v>436</v>
      </c>
    </row>
    <row r="28447" spans="1:3">
      <c r="A28447" s="250">
        <v>65681</v>
      </c>
      <c r="B28447" s="74" t="s">
        <v>14444</v>
      </c>
      <c r="C28447" s="74" t="s">
        <v>436</v>
      </c>
    </row>
    <row r="28448" spans="1:3">
      <c r="A28448" s="250">
        <v>65682</v>
      </c>
      <c r="B28448" s="74" t="s">
        <v>3926</v>
      </c>
      <c r="C28448" s="74" t="s">
        <v>436</v>
      </c>
    </row>
    <row r="28449" spans="1:3">
      <c r="A28449" s="250">
        <v>65685</v>
      </c>
      <c r="B28449" s="74" t="s">
        <v>7157</v>
      </c>
      <c r="C28449" s="74" t="s">
        <v>436</v>
      </c>
    </row>
    <row r="28450" spans="1:3">
      <c r="A28450" s="250">
        <v>65686</v>
      </c>
      <c r="B28450" s="74" t="s">
        <v>14445</v>
      </c>
      <c r="C28450" s="74" t="s">
        <v>436</v>
      </c>
    </row>
    <row r="28451" spans="1:3">
      <c r="A28451" s="250">
        <v>65688</v>
      </c>
      <c r="B28451" s="74" t="s">
        <v>14446</v>
      </c>
      <c r="C28451" s="74" t="s">
        <v>436</v>
      </c>
    </row>
    <row r="28452" spans="1:3">
      <c r="A28452" s="250">
        <v>65689</v>
      </c>
      <c r="B28452" s="74" t="s">
        <v>14447</v>
      </c>
      <c r="C28452" s="74" t="s">
        <v>436</v>
      </c>
    </row>
    <row r="28453" spans="1:3">
      <c r="A28453" s="250">
        <v>65690</v>
      </c>
      <c r="B28453" s="74" t="s">
        <v>14448</v>
      </c>
      <c r="C28453" s="74" t="s">
        <v>436</v>
      </c>
    </row>
    <row r="28454" spans="1:3">
      <c r="A28454" s="250">
        <v>65692</v>
      </c>
      <c r="B28454" s="74" t="s">
        <v>14449</v>
      </c>
      <c r="C28454" s="74" t="s">
        <v>436</v>
      </c>
    </row>
    <row r="28455" spans="1:3">
      <c r="A28455" s="250">
        <v>65701</v>
      </c>
      <c r="B28455" s="74" t="s">
        <v>14450</v>
      </c>
      <c r="C28455" s="74" t="s">
        <v>436</v>
      </c>
    </row>
    <row r="28456" spans="1:3">
      <c r="A28456" s="250">
        <v>65702</v>
      </c>
      <c r="B28456" s="74" t="s">
        <v>10997</v>
      </c>
      <c r="C28456" s="74" t="s">
        <v>436</v>
      </c>
    </row>
    <row r="28457" spans="1:3">
      <c r="A28457" s="250">
        <v>65704</v>
      </c>
      <c r="B28457" s="74" t="s">
        <v>879</v>
      </c>
      <c r="C28457" s="74" t="s">
        <v>436</v>
      </c>
    </row>
    <row r="28458" spans="1:3">
      <c r="A28458" s="250">
        <v>65705</v>
      </c>
      <c r="B28458" s="74" t="s">
        <v>6152</v>
      </c>
      <c r="C28458" s="74" t="s">
        <v>436</v>
      </c>
    </row>
    <row r="28459" spans="1:3">
      <c r="A28459" s="250">
        <v>65706</v>
      </c>
      <c r="B28459" s="74" t="s">
        <v>880</v>
      </c>
      <c r="C28459" s="74" t="s">
        <v>436</v>
      </c>
    </row>
    <row r="28460" spans="1:3">
      <c r="A28460" s="250">
        <v>65707</v>
      </c>
      <c r="B28460" s="74" t="s">
        <v>12882</v>
      </c>
      <c r="C28460" s="74" t="s">
        <v>436</v>
      </c>
    </row>
    <row r="28461" spans="1:3">
      <c r="A28461" s="250">
        <v>65708</v>
      </c>
      <c r="B28461" s="74" t="s">
        <v>14451</v>
      </c>
      <c r="C28461" s="74" t="s">
        <v>436</v>
      </c>
    </row>
    <row r="28462" spans="1:3">
      <c r="A28462" s="250">
        <v>65710</v>
      </c>
      <c r="B28462" s="74" t="s">
        <v>1850</v>
      </c>
      <c r="C28462" s="74" t="s">
        <v>436</v>
      </c>
    </row>
    <row r="28463" spans="1:3">
      <c r="A28463" s="250">
        <v>65711</v>
      </c>
      <c r="B28463" s="74" t="s">
        <v>14452</v>
      </c>
      <c r="C28463" s="74" t="s">
        <v>436</v>
      </c>
    </row>
    <row r="28464" spans="1:3">
      <c r="A28464" s="250">
        <v>65712</v>
      </c>
      <c r="B28464" s="74" t="s">
        <v>1481</v>
      </c>
      <c r="C28464" s="74" t="s">
        <v>436</v>
      </c>
    </row>
    <row r="28465" spans="1:3">
      <c r="A28465" s="250">
        <v>65713</v>
      </c>
      <c r="B28465" s="74" t="s">
        <v>14453</v>
      </c>
      <c r="C28465" s="74" t="s">
        <v>436</v>
      </c>
    </row>
    <row r="28466" spans="1:3">
      <c r="A28466" s="250">
        <v>65714</v>
      </c>
      <c r="B28466" s="74" t="s">
        <v>14454</v>
      </c>
      <c r="C28466" s="74" t="s">
        <v>436</v>
      </c>
    </row>
    <row r="28467" spans="1:3">
      <c r="A28467" s="250">
        <v>65715</v>
      </c>
      <c r="B28467" s="74" t="s">
        <v>14001</v>
      </c>
      <c r="C28467" s="74" t="s">
        <v>436</v>
      </c>
    </row>
    <row r="28468" spans="1:3">
      <c r="A28468" s="250">
        <v>65717</v>
      </c>
      <c r="B28468" s="74" t="s">
        <v>890</v>
      </c>
      <c r="C28468" s="74" t="s">
        <v>436</v>
      </c>
    </row>
    <row r="28469" spans="1:3">
      <c r="A28469" s="250">
        <v>65720</v>
      </c>
      <c r="B28469" s="74" t="s">
        <v>14455</v>
      </c>
      <c r="C28469" s="74" t="s">
        <v>436</v>
      </c>
    </row>
    <row r="28470" spans="1:3">
      <c r="A28470" s="250">
        <v>65721</v>
      </c>
      <c r="B28470" s="74" t="s">
        <v>8852</v>
      </c>
      <c r="C28470" s="74" t="s">
        <v>436</v>
      </c>
    </row>
    <row r="28471" spans="1:3">
      <c r="A28471" s="250">
        <v>65722</v>
      </c>
      <c r="B28471" s="74" t="s">
        <v>2592</v>
      </c>
      <c r="C28471" s="74" t="s">
        <v>436</v>
      </c>
    </row>
    <row r="28472" spans="1:3">
      <c r="A28472" s="250">
        <v>65723</v>
      </c>
      <c r="B28472" s="74" t="s">
        <v>14456</v>
      </c>
      <c r="C28472" s="74" t="s">
        <v>436</v>
      </c>
    </row>
    <row r="28473" spans="1:3">
      <c r="A28473" s="250">
        <v>65724</v>
      </c>
      <c r="B28473" s="74" t="s">
        <v>1259</v>
      </c>
      <c r="C28473" s="74" t="s">
        <v>436</v>
      </c>
    </row>
    <row r="28474" spans="1:3">
      <c r="A28474" s="250">
        <v>65725</v>
      </c>
      <c r="B28474" s="74" t="s">
        <v>14457</v>
      </c>
      <c r="C28474" s="74" t="s">
        <v>436</v>
      </c>
    </row>
    <row r="28475" spans="1:3">
      <c r="A28475" s="250">
        <v>65726</v>
      </c>
      <c r="B28475" s="74" t="s">
        <v>2785</v>
      </c>
      <c r="C28475" s="74" t="s">
        <v>436</v>
      </c>
    </row>
    <row r="28476" spans="1:3">
      <c r="A28476" s="250">
        <v>65727</v>
      </c>
      <c r="B28476" s="74" t="s">
        <v>4489</v>
      </c>
      <c r="C28476" s="74" t="s">
        <v>436</v>
      </c>
    </row>
    <row r="28477" spans="1:3">
      <c r="A28477" s="250">
        <v>65728</v>
      </c>
      <c r="B28477" s="74" t="s">
        <v>8313</v>
      </c>
      <c r="C28477" s="74" t="s">
        <v>436</v>
      </c>
    </row>
    <row r="28478" spans="1:3">
      <c r="A28478" s="250">
        <v>65729</v>
      </c>
      <c r="B28478" s="74" t="s">
        <v>11046</v>
      </c>
      <c r="C28478" s="74" t="s">
        <v>436</v>
      </c>
    </row>
    <row r="28479" spans="1:3">
      <c r="A28479" s="250">
        <v>65730</v>
      </c>
      <c r="B28479" s="74" t="s">
        <v>9152</v>
      </c>
      <c r="C28479" s="74" t="s">
        <v>436</v>
      </c>
    </row>
    <row r="28480" spans="1:3">
      <c r="A28480" s="250">
        <v>65731</v>
      </c>
      <c r="B28480" s="74" t="s">
        <v>14458</v>
      </c>
      <c r="C28480" s="74" t="s">
        <v>436</v>
      </c>
    </row>
    <row r="28481" spans="1:3">
      <c r="A28481" s="250">
        <v>65732</v>
      </c>
      <c r="B28481" s="74" t="s">
        <v>2023</v>
      </c>
      <c r="C28481" s="74" t="s">
        <v>436</v>
      </c>
    </row>
    <row r="28482" spans="1:3">
      <c r="A28482" s="250">
        <v>65733</v>
      </c>
      <c r="B28482" s="74" t="s">
        <v>14459</v>
      </c>
      <c r="C28482" s="74" t="s">
        <v>436</v>
      </c>
    </row>
    <row r="28483" spans="1:3">
      <c r="A28483" s="250">
        <v>65734</v>
      </c>
      <c r="B28483" s="74" t="s">
        <v>14460</v>
      </c>
      <c r="C28483" s="74" t="s">
        <v>436</v>
      </c>
    </row>
    <row r="28484" spans="1:3">
      <c r="A28484" s="250">
        <v>65735</v>
      </c>
      <c r="B28484" s="74" t="s">
        <v>923</v>
      </c>
      <c r="C28484" s="74" t="s">
        <v>436</v>
      </c>
    </row>
    <row r="28485" spans="1:3">
      <c r="A28485" s="250">
        <v>65737</v>
      </c>
      <c r="B28485" s="74" t="s">
        <v>14461</v>
      </c>
      <c r="C28485" s="74" t="s">
        <v>436</v>
      </c>
    </row>
    <row r="28486" spans="1:3">
      <c r="A28486" s="250">
        <v>65738</v>
      </c>
      <c r="B28486" s="74" t="s">
        <v>4141</v>
      </c>
      <c r="C28486" s="74" t="s">
        <v>436</v>
      </c>
    </row>
    <row r="28487" spans="1:3">
      <c r="A28487" s="250">
        <v>65739</v>
      </c>
      <c r="B28487" s="74" t="s">
        <v>14462</v>
      </c>
      <c r="C28487" s="74" t="s">
        <v>436</v>
      </c>
    </row>
    <row r="28488" spans="1:3">
      <c r="A28488" s="250">
        <v>65740</v>
      </c>
      <c r="B28488" s="74" t="s">
        <v>14463</v>
      </c>
      <c r="C28488" s="74" t="s">
        <v>436</v>
      </c>
    </row>
    <row r="28489" spans="1:3">
      <c r="A28489" s="250">
        <v>65741</v>
      </c>
      <c r="B28489" s="74" t="s">
        <v>10121</v>
      </c>
      <c r="C28489" s="74" t="s">
        <v>436</v>
      </c>
    </row>
    <row r="28490" spans="1:3">
      <c r="A28490" s="250">
        <v>65742</v>
      </c>
      <c r="B28490" s="74" t="s">
        <v>4073</v>
      </c>
      <c r="C28490" s="74" t="s">
        <v>436</v>
      </c>
    </row>
    <row r="28491" spans="1:3">
      <c r="A28491" s="250">
        <v>65744</v>
      </c>
      <c r="B28491" s="74" t="s">
        <v>14464</v>
      </c>
      <c r="C28491" s="74" t="s">
        <v>436</v>
      </c>
    </row>
    <row r="28492" spans="1:3">
      <c r="A28492" s="250">
        <v>65745</v>
      </c>
      <c r="B28492" s="74" t="s">
        <v>14465</v>
      </c>
      <c r="C28492" s="74" t="s">
        <v>436</v>
      </c>
    </row>
    <row r="28493" spans="1:3">
      <c r="A28493" s="250">
        <v>65746</v>
      </c>
      <c r="B28493" s="74" t="s">
        <v>2066</v>
      </c>
      <c r="C28493" s="74" t="s">
        <v>436</v>
      </c>
    </row>
    <row r="28494" spans="1:3">
      <c r="A28494" s="250">
        <v>65747</v>
      </c>
      <c r="B28494" s="74" t="s">
        <v>14466</v>
      </c>
      <c r="C28494" s="74" t="s">
        <v>436</v>
      </c>
    </row>
    <row r="28495" spans="1:3">
      <c r="A28495" s="250">
        <v>65752</v>
      </c>
      <c r="B28495" s="74" t="s">
        <v>14467</v>
      </c>
      <c r="C28495" s="74" t="s">
        <v>436</v>
      </c>
    </row>
    <row r="28496" spans="1:3">
      <c r="A28496" s="250">
        <v>65753</v>
      </c>
      <c r="B28496" s="74" t="s">
        <v>2327</v>
      </c>
      <c r="C28496" s="74" t="s">
        <v>436</v>
      </c>
    </row>
    <row r="28497" spans="1:3">
      <c r="A28497" s="250">
        <v>65754</v>
      </c>
      <c r="B28497" s="74" t="s">
        <v>14468</v>
      </c>
      <c r="C28497" s="74" t="s">
        <v>436</v>
      </c>
    </row>
    <row r="28498" spans="1:3">
      <c r="A28498" s="250">
        <v>65755</v>
      </c>
      <c r="B28498" s="74" t="s">
        <v>14469</v>
      </c>
      <c r="C28498" s="74" t="s">
        <v>436</v>
      </c>
    </row>
    <row r="28499" spans="1:3">
      <c r="A28499" s="250">
        <v>65756</v>
      </c>
      <c r="B28499" s="74" t="s">
        <v>14470</v>
      </c>
      <c r="C28499" s="74" t="s">
        <v>436</v>
      </c>
    </row>
    <row r="28500" spans="1:3">
      <c r="A28500" s="250">
        <v>65757</v>
      </c>
      <c r="B28500" s="74" t="s">
        <v>1343</v>
      </c>
      <c r="C28500" s="74" t="s">
        <v>436</v>
      </c>
    </row>
    <row r="28501" spans="1:3">
      <c r="A28501" s="250">
        <v>65759</v>
      </c>
      <c r="B28501" s="74" t="s">
        <v>14471</v>
      </c>
      <c r="C28501" s="74" t="s">
        <v>436</v>
      </c>
    </row>
    <row r="28502" spans="1:3">
      <c r="A28502" s="250">
        <v>65760</v>
      </c>
      <c r="B28502" s="74" t="s">
        <v>11248</v>
      </c>
      <c r="C28502" s="74" t="s">
        <v>436</v>
      </c>
    </row>
    <row r="28503" spans="1:3">
      <c r="A28503" s="250">
        <v>65761</v>
      </c>
      <c r="B28503" s="74" t="s">
        <v>14472</v>
      </c>
      <c r="C28503" s="74" t="s">
        <v>436</v>
      </c>
    </row>
    <row r="28504" spans="1:3">
      <c r="A28504" s="250">
        <v>65762</v>
      </c>
      <c r="B28504" s="74" t="s">
        <v>14473</v>
      </c>
      <c r="C28504" s="74" t="s">
        <v>436</v>
      </c>
    </row>
    <row r="28505" spans="1:3">
      <c r="A28505" s="250">
        <v>65764</v>
      </c>
      <c r="B28505" s="74" t="s">
        <v>14474</v>
      </c>
      <c r="C28505" s="74" t="s">
        <v>436</v>
      </c>
    </row>
    <row r="28506" spans="1:3">
      <c r="A28506" s="250">
        <v>65765</v>
      </c>
      <c r="B28506" s="74" t="s">
        <v>14475</v>
      </c>
      <c r="C28506" s="74" t="s">
        <v>436</v>
      </c>
    </row>
    <row r="28507" spans="1:3">
      <c r="A28507" s="250">
        <v>65766</v>
      </c>
      <c r="B28507" s="74" t="s">
        <v>14476</v>
      </c>
      <c r="C28507" s="74" t="s">
        <v>436</v>
      </c>
    </row>
    <row r="28508" spans="1:3">
      <c r="A28508" s="250">
        <v>65767</v>
      </c>
      <c r="B28508" s="74" t="s">
        <v>10107</v>
      </c>
      <c r="C28508" s="74" t="s">
        <v>436</v>
      </c>
    </row>
    <row r="28509" spans="1:3">
      <c r="A28509" s="250">
        <v>65768</v>
      </c>
      <c r="B28509" s="74" t="s">
        <v>14477</v>
      </c>
      <c r="C28509" s="74" t="s">
        <v>436</v>
      </c>
    </row>
    <row r="28510" spans="1:3">
      <c r="A28510" s="250">
        <v>65769</v>
      </c>
      <c r="B28510" s="74" t="s">
        <v>2139</v>
      </c>
      <c r="C28510" s="74" t="s">
        <v>436</v>
      </c>
    </row>
    <row r="28511" spans="1:3">
      <c r="A28511" s="250">
        <v>65770</v>
      </c>
      <c r="B28511" s="74" t="s">
        <v>8780</v>
      </c>
      <c r="C28511" s="74" t="s">
        <v>436</v>
      </c>
    </row>
    <row r="28512" spans="1:3">
      <c r="A28512" s="250">
        <v>65771</v>
      </c>
      <c r="B28512" s="74" t="s">
        <v>14478</v>
      </c>
      <c r="C28512" s="74" t="s">
        <v>436</v>
      </c>
    </row>
    <row r="28513" spans="1:3">
      <c r="A28513" s="250">
        <v>65772</v>
      </c>
      <c r="B28513" s="74" t="s">
        <v>1659</v>
      </c>
      <c r="C28513" s="74" t="s">
        <v>436</v>
      </c>
    </row>
    <row r="28514" spans="1:3">
      <c r="A28514" s="250">
        <v>65773</v>
      </c>
      <c r="B28514" s="74" t="s">
        <v>14479</v>
      </c>
      <c r="C28514" s="74" t="s">
        <v>436</v>
      </c>
    </row>
    <row r="28515" spans="1:3">
      <c r="A28515" s="250">
        <v>65774</v>
      </c>
      <c r="B28515" s="74" t="s">
        <v>14480</v>
      </c>
      <c r="C28515" s="74" t="s">
        <v>436</v>
      </c>
    </row>
    <row r="28516" spans="1:3">
      <c r="A28516" s="250">
        <v>65775</v>
      </c>
      <c r="B28516" s="74" t="s">
        <v>14481</v>
      </c>
      <c r="C28516" s="74" t="s">
        <v>436</v>
      </c>
    </row>
    <row r="28517" spans="1:3">
      <c r="A28517" s="250">
        <v>65776</v>
      </c>
      <c r="B28517" s="74" t="s">
        <v>4370</v>
      </c>
      <c r="C28517" s="74" t="s">
        <v>436</v>
      </c>
    </row>
    <row r="28518" spans="1:3">
      <c r="A28518" s="250">
        <v>65777</v>
      </c>
      <c r="B28518" s="74" t="s">
        <v>1396</v>
      </c>
      <c r="C28518" s="74" t="s">
        <v>436</v>
      </c>
    </row>
    <row r="28519" spans="1:3">
      <c r="A28519" s="250">
        <v>65778</v>
      </c>
      <c r="B28519" s="74" t="s">
        <v>9309</v>
      </c>
      <c r="C28519" s="74" t="s">
        <v>436</v>
      </c>
    </row>
    <row r="28520" spans="1:3">
      <c r="A28520" s="250">
        <v>65779</v>
      </c>
      <c r="B28520" s="74" t="s">
        <v>4437</v>
      </c>
      <c r="C28520" s="74" t="s">
        <v>436</v>
      </c>
    </row>
    <row r="28521" spans="1:3">
      <c r="A28521" s="250">
        <v>65781</v>
      </c>
      <c r="B28521" s="74" t="s">
        <v>3838</v>
      </c>
      <c r="C28521" s="74" t="s">
        <v>436</v>
      </c>
    </row>
    <row r="28522" spans="1:3">
      <c r="A28522" s="250">
        <v>65783</v>
      </c>
      <c r="B28522" s="74" t="s">
        <v>14482</v>
      </c>
      <c r="C28522" s="74" t="s">
        <v>436</v>
      </c>
    </row>
    <row r="28523" spans="1:3">
      <c r="A28523" s="250">
        <v>65784</v>
      </c>
      <c r="B28523" s="74" t="s">
        <v>14483</v>
      </c>
      <c r="C28523" s="74" t="s">
        <v>436</v>
      </c>
    </row>
    <row r="28524" spans="1:3">
      <c r="A28524" s="250">
        <v>65785</v>
      </c>
      <c r="B28524" s="74" t="s">
        <v>2529</v>
      </c>
      <c r="C28524" s="74" t="s">
        <v>436</v>
      </c>
    </row>
    <row r="28525" spans="1:3">
      <c r="A28525" s="250">
        <v>65786</v>
      </c>
      <c r="B28525" s="74" t="s">
        <v>14484</v>
      </c>
      <c r="C28525" s="74" t="s">
        <v>436</v>
      </c>
    </row>
    <row r="28526" spans="1:3">
      <c r="A28526" s="250">
        <v>65787</v>
      </c>
      <c r="B28526" s="74" t="s">
        <v>14485</v>
      </c>
      <c r="C28526" s="74" t="s">
        <v>436</v>
      </c>
    </row>
    <row r="28527" spans="1:3">
      <c r="A28527" s="250">
        <v>65788</v>
      </c>
      <c r="B28527" s="74" t="s">
        <v>14486</v>
      </c>
      <c r="C28527" s="74" t="s">
        <v>436</v>
      </c>
    </row>
    <row r="28528" spans="1:3">
      <c r="A28528" s="250">
        <v>65789</v>
      </c>
      <c r="B28528" s="74" t="s">
        <v>2461</v>
      </c>
      <c r="C28528" s="74" t="s">
        <v>436</v>
      </c>
    </row>
    <row r="28529" spans="1:3">
      <c r="A28529" s="250">
        <v>65790</v>
      </c>
      <c r="B28529" s="74" t="s">
        <v>2360</v>
      </c>
      <c r="C28529" s="74" t="s">
        <v>436</v>
      </c>
    </row>
    <row r="28530" spans="1:3">
      <c r="A28530" s="250">
        <v>65791</v>
      </c>
      <c r="B28530" s="74" t="s">
        <v>10700</v>
      </c>
      <c r="C28530" s="74" t="s">
        <v>436</v>
      </c>
    </row>
    <row r="28531" spans="1:3">
      <c r="A28531" s="250">
        <v>65793</v>
      </c>
      <c r="B28531" s="74" t="s">
        <v>13540</v>
      </c>
      <c r="C28531" s="74" t="s">
        <v>436</v>
      </c>
    </row>
    <row r="28532" spans="1:3">
      <c r="A28532" s="250">
        <v>65801</v>
      </c>
      <c r="B28532" s="74" t="s">
        <v>634</v>
      </c>
      <c r="C28532" s="74" t="s">
        <v>436</v>
      </c>
    </row>
    <row r="28533" spans="1:3">
      <c r="A28533" s="250">
        <v>65802</v>
      </c>
      <c r="B28533" s="74" t="s">
        <v>634</v>
      </c>
      <c r="C28533" s="74" t="s">
        <v>436</v>
      </c>
    </row>
    <row r="28534" spans="1:3">
      <c r="A28534" s="250">
        <v>65803</v>
      </c>
      <c r="B28534" s="74" t="s">
        <v>634</v>
      </c>
      <c r="C28534" s="74" t="s">
        <v>436</v>
      </c>
    </row>
    <row r="28535" spans="1:3">
      <c r="A28535" s="250">
        <v>65804</v>
      </c>
      <c r="B28535" s="74" t="s">
        <v>634</v>
      </c>
      <c r="C28535" s="74" t="s">
        <v>436</v>
      </c>
    </row>
    <row r="28536" spans="1:3">
      <c r="A28536" s="250">
        <v>65805</v>
      </c>
      <c r="B28536" s="74" t="s">
        <v>634</v>
      </c>
      <c r="C28536" s="74" t="s">
        <v>436</v>
      </c>
    </row>
    <row r="28537" spans="1:3">
      <c r="A28537" s="250">
        <v>65806</v>
      </c>
      <c r="B28537" s="74" t="s">
        <v>634</v>
      </c>
      <c r="C28537" s="74" t="s">
        <v>436</v>
      </c>
    </row>
    <row r="28538" spans="1:3">
      <c r="A28538" s="250">
        <v>65807</v>
      </c>
      <c r="B28538" s="74" t="s">
        <v>634</v>
      </c>
      <c r="C28538" s="74" t="s">
        <v>436</v>
      </c>
    </row>
    <row r="28539" spans="1:3">
      <c r="A28539" s="250">
        <v>65808</v>
      </c>
      <c r="B28539" s="74" t="s">
        <v>634</v>
      </c>
      <c r="C28539" s="74" t="s">
        <v>436</v>
      </c>
    </row>
    <row r="28540" spans="1:3">
      <c r="A28540" s="250">
        <v>65809</v>
      </c>
      <c r="B28540" s="74" t="s">
        <v>634</v>
      </c>
      <c r="C28540" s="74" t="s">
        <v>436</v>
      </c>
    </row>
    <row r="28541" spans="1:3">
      <c r="A28541" s="250">
        <v>65810</v>
      </c>
      <c r="B28541" s="74" t="s">
        <v>634</v>
      </c>
      <c r="C28541" s="74" t="s">
        <v>436</v>
      </c>
    </row>
    <row r="28542" spans="1:3">
      <c r="A28542" s="250">
        <v>65814</v>
      </c>
      <c r="B28542" s="74" t="s">
        <v>634</v>
      </c>
      <c r="C28542" s="74" t="s">
        <v>436</v>
      </c>
    </row>
    <row r="28543" spans="1:3">
      <c r="A28543" s="250">
        <v>65817</v>
      </c>
      <c r="B28543" s="74" t="s">
        <v>634</v>
      </c>
      <c r="C28543" s="74" t="s">
        <v>436</v>
      </c>
    </row>
    <row r="28544" spans="1:3">
      <c r="A28544" s="250">
        <v>65890</v>
      </c>
      <c r="B28544" s="74" t="s">
        <v>634</v>
      </c>
      <c r="C28544" s="74" t="s">
        <v>436</v>
      </c>
    </row>
    <row r="28545" spans="1:3">
      <c r="A28545" s="250">
        <v>65897</v>
      </c>
      <c r="B28545" s="74" t="s">
        <v>634</v>
      </c>
      <c r="C28545" s="74" t="s">
        <v>436</v>
      </c>
    </row>
    <row r="28546" spans="1:3">
      <c r="A28546" s="250">
        <v>65898</v>
      </c>
      <c r="B28546" s="74" t="s">
        <v>634</v>
      </c>
      <c r="C28546" s="74" t="s">
        <v>436</v>
      </c>
    </row>
    <row r="28547" spans="1:3">
      <c r="A28547" s="250">
        <v>65899</v>
      </c>
      <c r="B28547" s="74" t="s">
        <v>634</v>
      </c>
      <c r="C28547" s="74" t="s">
        <v>436</v>
      </c>
    </row>
    <row r="28548" spans="1:3">
      <c r="A28548" s="250">
        <v>66002</v>
      </c>
      <c r="B28548" s="74" t="s">
        <v>14487</v>
      </c>
      <c r="C28548" s="74" t="s">
        <v>427</v>
      </c>
    </row>
    <row r="28549" spans="1:3">
      <c r="A28549" s="250">
        <v>66006</v>
      </c>
      <c r="B28549" s="74" t="s">
        <v>14488</v>
      </c>
      <c r="C28549" s="74" t="s">
        <v>427</v>
      </c>
    </row>
    <row r="28550" spans="1:3">
      <c r="A28550" s="250">
        <v>66007</v>
      </c>
      <c r="B28550" s="74" t="s">
        <v>14489</v>
      </c>
      <c r="C28550" s="74" t="s">
        <v>427</v>
      </c>
    </row>
    <row r="28551" spans="1:3">
      <c r="A28551" s="250">
        <v>66008</v>
      </c>
      <c r="B28551" s="74" t="s">
        <v>14490</v>
      </c>
      <c r="C28551" s="74" t="s">
        <v>427</v>
      </c>
    </row>
    <row r="28552" spans="1:3">
      <c r="A28552" s="250">
        <v>66010</v>
      </c>
      <c r="B28552" s="74" t="s">
        <v>13918</v>
      </c>
      <c r="C28552" s="74" t="s">
        <v>427</v>
      </c>
    </row>
    <row r="28553" spans="1:3">
      <c r="A28553" s="250">
        <v>66012</v>
      </c>
      <c r="B28553" s="74" t="s">
        <v>14491</v>
      </c>
      <c r="C28553" s="74" t="s">
        <v>427</v>
      </c>
    </row>
    <row r="28554" spans="1:3">
      <c r="A28554" s="250">
        <v>66013</v>
      </c>
      <c r="B28554" s="74" t="s">
        <v>10426</v>
      </c>
      <c r="C28554" s="74" t="s">
        <v>427</v>
      </c>
    </row>
    <row r="28555" spans="1:3">
      <c r="A28555" s="250">
        <v>66014</v>
      </c>
      <c r="B28555" s="74" t="s">
        <v>1024</v>
      </c>
      <c r="C28555" s="74" t="s">
        <v>427</v>
      </c>
    </row>
    <row r="28556" spans="1:3">
      <c r="A28556" s="250">
        <v>66015</v>
      </c>
      <c r="B28556" s="74" t="s">
        <v>14492</v>
      </c>
      <c r="C28556" s="74" t="s">
        <v>427</v>
      </c>
    </row>
    <row r="28557" spans="1:3">
      <c r="A28557" s="250">
        <v>66016</v>
      </c>
      <c r="B28557" s="74" t="s">
        <v>13034</v>
      </c>
      <c r="C28557" s="74" t="s">
        <v>427</v>
      </c>
    </row>
    <row r="28558" spans="1:3">
      <c r="A28558" s="250">
        <v>66017</v>
      </c>
      <c r="B28558" s="74" t="s">
        <v>5751</v>
      </c>
      <c r="C28558" s="74" t="s">
        <v>427</v>
      </c>
    </row>
    <row r="28559" spans="1:3">
      <c r="A28559" s="250">
        <v>66018</v>
      </c>
      <c r="B28559" s="74" t="s">
        <v>8171</v>
      </c>
      <c r="C28559" s="74" t="s">
        <v>427</v>
      </c>
    </row>
    <row r="28560" spans="1:3">
      <c r="A28560" s="250">
        <v>66019</v>
      </c>
      <c r="B28560" s="74" t="s">
        <v>14493</v>
      </c>
      <c r="C28560" s="74" t="s">
        <v>427</v>
      </c>
    </row>
    <row r="28561" spans="1:3">
      <c r="A28561" s="250">
        <v>66020</v>
      </c>
      <c r="B28561" s="74" t="s">
        <v>941</v>
      </c>
      <c r="C28561" s="74" t="s">
        <v>427</v>
      </c>
    </row>
    <row r="28562" spans="1:3">
      <c r="A28562" s="250">
        <v>66021</v>
      </c>
      <c r="B28562" s="74" t="s">
        <v>10187</v>
      </c>
      <c r="C28562" s="74" t="s">
        <v>427</v>
      </c>
    </row>
    <row r="28563" spans="1:3">
      <c r="A28563" s="250">
        <v>66023</v>
      </c>
      <c r="B28563" s="74" t="s">
        <v>1341</v>
      </c>
      <c r="C28563" s="74" t="s">
        <v>427</v>
      </c>
    </row>
    <row r="28564" spans="1:3">
      <c r="A28564" s="250">
        <v>66024</v>
      </c>
      <c r="B28564" s="74" t="s">
        <v>2451</v>
      </c>
      <c r="C28564" s="74" t="s">
        <v>427</v>
      </c>
    </row>
    <row r="28565" spans="1:3">
      <c r="A28565" s="250">
        <v>66025</v>
      </c>
      <c r="B28565" s="74" t="s">
        <v>14432</v>
      </c>
      <c r="C28565" s="74" t="s">
        <v>427</v>
      </c>
    </row>
    <row r="28566" spans="1:3">
      <c r="A28566" s="250">
        <v>66026</v>
      </c>
      <c r="B28566" s="74" t="s">
        <v>11980</v>
      </c>
      <c r="C28566" s="74" t="s">
        <v>427</v>
      </c>
    </row>
    <row r="28567" spans="1:3">
      <c r="A28567" s="250">
        <v>66027</v>
      </c>
      <c r="B28567" s="74" t="s">
        <v>14494</v>
      </c>
      <c r="C28567" s="74" t="s">
        <v>427</v>
      </c>
    </row>
    <row r="28568" spans="1:3">
      <c r="A28568" s="250">
        <v>66030</v>
      </c>
      <c r="B28568" s="74" t="s">
        <v>707</v>
      </c>
      <c r="C28568" s="74" t="s">
        <v>427</v>
      </c>
    </row>
    <row r="28569" spans="1:3">
      <c r="A28569" s="250">
        <v>66031</v>
      </c>
      <c r="B28569" s="74" t="s">
        <v>14495</v>
      </c>
      <c r="C28569" s="74" t="s">
        <v>427</v>
      </c>
    </row>
    <row r="28570" spans="1:3">
      <c r="A28570" s="250">
        <v>66032</v>
      </c>
      <c r="B28570" s="74" t="s">
        <v>7839</v>
      </c>
      <c r="C28570" s="74" t="s">
        <v>427</v>
      </c>
    </row>
    <row r="28571" spans="1:3">
      <c r="A28571" s="250">
        <v>66033</v>
      </c>
      <c r="B28571" s="74" t="s">
        <v>5159</v>
      </c>
      <c r="C28571" s="74" t="s">
        <v>427</v>
      </c>
    </row>
    <row r="28572" spans="1:3">
      <c r="A28572" s="250">
        <v>66035</v>
      </c>
      <c r="B28572" s="74" t="s">
        <v>3120</v>
      </c>
      <c r="C28572" s="74" t="s">
        <v>427</v>
      </c>
    </row>
    <row r="28573" spans="1:3">
      <c r="A28573" s="250">
        <v>66036</v>
      </c>
      <c r="B28573" s="74" t="s">
        <v>2236</v>
      </c>
      <c r="C28573" s="74" t="s">
        <v>427</v>
      </c>
    </row>
    <row r="28574" spans="1:3">
      <c r="A28574" s="250">
        <v>66039</v>
      </c>
      <c r="B28574" s="74" t="s">
        <v>6622</v>
      </c>
      <c r="C28574" s="74" t="s">
        <v>427</v>
      </c>
    </row>
    <row r="28575" spans="1:3">
      <c r="A28575" s="250">
        <v>66040</v>
      </c>
      <c r="B28575" s="74" t="s">
        <v>14496</v>
      </c>
      <c r="C28575" s="74" t="s">
        <v>427</v>
      </c>
    </row>
    <row r="28576" spans="1:3">
      <c r="A28576" s="250">
        <v>66041</v>
      </c>
      <c r="B28576" s="74" t="s">
        <v>741</v>
      </c>
      <c r="C28576" s="74" t="s">
        <v>427</v>
      </c>
    </row>
    <row r="28577" spans="1:3">
      <c r="A28577" s="250">
        <v>66042</v>
      </c>
      <c r="B28577" s="74" t="s">
        <v>7742</v>
      </c>
      <c r="C28577" s="74" t="s">
        <v>427</v>
      </c>
    </row>
    <row r="28578" spans="1:3">
      <c r="A28578" s="250">
        <v>66043</v>
      </c>
      <c r="B28578" s="74" t="s">
        <v>3943</v>
      </c>
      <c r="C28578" s="74" t="s">
        <v>427</v>
      </c>
    </row>
    <row r="28579" spans="1:3">
      <c r="A28579" s="250">
        <v>66044</v>
      </c>
      <c r="B28579" s="74" t="s">
        <v>815</v>
      </c>
      <c r="C28579" s="74" t="s">
        <v>427</v>
      </c>
    </row>
    <row r="28580" spans="1:3">
      <c r="A28580" s="250">
        <v>66045</v>
      </c>
      <c r="B28580" s="74" t="s">
        <v>815</v>
      </c>
      <c r="C28580" s="74" t="s">
        <v>427</v>
      </c>
    </row>
    <row r="28581" spans="1:3">
      <c r="A28581" s="250">
        <v>66046</v>
      </c>
      <c r="B28581" s="74" t="s">
        <v>815</v>
      </c>
      <c r="C28581" s="74" t="s">
        <v>427</v>
      </c>
    </row>
    <row r="28582" spans="1:3">
      <c r="A28582" s="250">
        <v>66047</v>
      </c>
      <c r="B28582" s="74" t="s">
        <v>815</v>
      </c>
      <c r="C28582" s="74" t="s">
        <v>427</v>
      </c>
    </row>
    <row r="28583" spans="1:3">
      <c r="A28583" s="250">
        <v>66048</v>
      </c>
      <c r="B28583" s="74" t="s">
        <v>10813</v>
      </c>
      <c r="C28583" s="74" t="s">
        <v>427</v>
      </c>
    </row>
    <row r="28584" spans="1:3">
      <c r="A28584" s="250">
        <v>66049</v>
      </c>
      <c r="B28584" s="74" t="s">
        <v>815</v>
      </c>
      <c r="C28584" s="74" t="s">
        <v>427</v>
      </c>
    </row>
    <row r="28585" spans="1:3">
      <c r="A28585" s="250">
        <v>66050</v>
      </c>
      <c r="B28585" s="74" t="s">
        <v>14497</v>
      </c>
      <c r="C28585" s="74" t="s">
        <v>427</v>
      </c>
    </row>
    <row r="28586" spans="1:3">
      <c r="A28586" s="250">
        <v>66051</v>
      </c>
      <c r="B28586" s="74" t="s">
        <v>14498</v>
      </c>
      <c r="C28586" s="74" t="s">
        <v>427</v>
      </c>
    </row>
    <row r="28587" spans="1:3">
      <c r="A28587" s="250">
        <v>66052</v>
      </c>
      <c r="B28587" s="74" t="s">
        <v>743</v>
      </c>
      <c r="C28587" s="74" t="s">
        <v>427</v>
      </c>
    </row>
    <row r="28588" spans="1:3">
      <c r="A28588" s="250">
        <v>66053</v>
      </c>
      <c r="B28588" s="74" t="s">
        <v>7157</v>
      </c>
      <c r="C28588" s="74" t="s">
        <v>427</v>
      </c>
    </row>
    <row r="28589" spans="1:3">
      <c r="A28589" s="250">
        <v>66054</v>
      </c>
      <c r="B28589" s="74" t="s">
        <v>14499</v>
      </c>
      <c r="C28589" s="74" t="s">
        <v>427</v>
      </c>
    </row>
    <row r="28590" spans="1:3">
      <c r="A28590" s="250">
        <v>66056</v>
      </c>
      <c r="B28590" s="74" t="s">
        <v>12960</v>
      </c>
      <c r="C28590" s="74" t="s">
        <v>427</v>
      </c>
    </row>
    <row r="28591" spans="1:3">
      <c r="A28591" s="250">
        <v>66058</v>
      </c>
      <c r="B28591" s="74" t="s">
        <v>14500</v>
      </c>
      <c r="C28591" s="74" t="s">
        <v>427</v>
      </c>
    </row>
    <row r="28592" spans="1:3">
      <c r="A28592" s="250">
        <v>66060</v>
      </c>
      <c r="B28592" s="74" t="s">
        <v>10029</v>
      </c>
      <c r="C28592" s="74" t="s">
        <v>427</v>
      </c>
    </row>
    <row r="28593" spans="1:3">
      <c r="A28593" s="250">
        <v>66061</v>
      </c>
      <c r="B28593" s="74" t="s">
        <v>14498</v>
      </c>
      <c r="C28593" s="74" t="s">
        <v>427</v>
      </c>
    </row>
    <row r="28594" spans="1:3">
      <c r="A28594" s="250">
        <v>66062</v>
      </c>
      <c r="B28594" s="74" t="s">
        <v>14498</v>
      </c>
      <c r="C28594" s="74" t="s">
        <v>427</v>
      </c>
    </row>
    <row r="28595" spans="1:3">
      <c r="A28595" s="250">
        <v>66063</v>
      </c>
      <c r="B28595" s="74" t="s">
        <v>14498</v>
      </c>
      <c r="C28595" s="74" t="s">
        <v>427</v>
      </c>
    </row>
    <row r="28596" spans="1:3">
      <c r="A28596" s="250">
        <v>66064</v>
      </c>
      <c r="B28596" s="74" t="s">
        <v>14501</v>
      </c>
      <c r="C28596" s="74" t="s">
        <v>427</v>
      </c>
    </row>
    <row r="28597" spans="1:3">
      <c r="A28597" s="250">
        <v>66066</v>
      </c>
      <c r="B28597" s="74" t="s">
        <v>11893</v>
      </c>
      <c r="C28597" s="74" t="s">
        <v>427</v>
      </c>
    </row>
    <row r="28598" spans="1:3">
      <c r="A28598" s="250">
        <v>66067</v>
      </c>
      <c r="B28598" s="74" t="s">
        <v>6634</v>
      </c>
      <c r="C28598" s="74" t="s">
        <v>427</v>
      </c>
    </row>
    <row r="28599" spans="1:3">
      <c r="A28599" s="250">
        <v>66070</v>
      </c>
      <c r="B28599" s="74" t="s">
        <v>14502</v>
      </c>
      <c r="C28599" s="74" t="s">
        <v>427</v>
      </c>
    </row>
    <row r="28600" spans="1:3">
      <c r="A28600" s="250">
        <v>66071</v>
      </c>
      <c r="B28600" s="74" t="s">
        <v>14503</v>
      </c>
      <c r="C28600" s="74" t="s">
        <v>427</v>
      </c>
    </row>
    <row r="28601" spans="1:3">
      <c r="A28601" s="250">
        <v>66072</v>
      </c>
      <c r="B28601" s="74" t="s">
        <v>4396</v>
      </c>
      <c r="C28601" s="74" t="s">
        <v>427</v>
      </c>
    </row>
    <row r="28602" spans="1:3">
      <c r="A28602" s="250">
        <v>66073</v>
      </c>
      <c r="B28602" s="74" t="s">
        <v>1602</v>
      </c>
      <c r="C28602" s="74" t="s">
        <v>427</v>
      </c>
    </row>
    <row r="28603" spans="1:3">
      <c r="A28603" s="250">
        <v>66075</v>
      </c>
      <c r="B28603" s="74" t="s">
        <v>14504</v>
      </c>
      <c r="C28603" s="74" t="s">
        <v>427</v>
      </c>
    </row>
    <row r="28604" spans="1:3">
      <c r="A28604" s="250">
        <v>66076</v>
      </c>
      <c r="B28604" s="74" t="s">
        <v>2461</v>
      </c>
      <c r="C28604" s="74" t="s">
        <v>427</v>
      </c>
    </row>
    <row r="28605" spans="1:3">
      <c r="A28605" s="250">
        <v>66077</v>
      </c>
      <c r="B28605" s="74" t="s">
        <v>12117</v>
      </c>
      <c r="C28605" s="74" t="s">
        <v>427</v>
      </c>
    </row>
    <row r="28606" spans="1:3">
      <c r="A28606" s="250">
        <v>66078</v>
      </c>
      <c r="B28606" s="74" t="s">
        <v>755</v>
      </c>
      <c r="C28606" s="74" t="s">
        <v>427</v>
      </c>
    </row>
    <row r="28607" spans="1:3">
      <c r="A28607" s="250">
        <v>66079</v>
      </c>
      <c r="B28607" s="74" t="s">
        <v>13778</v>
      </c>
      <c r="C28607" s="74" t="s">
        <v>427</v>
      </c>
    </row>
    <row r="28608" spans="1:3">
      <c r="A28608" s="250">
        <v>66080</v>
      </c>
      <c r="B28608" s="74" t="s">
        <v>658</v>
      </c>
      <c r="C28608" s="74" t="s">
        <v>427</v>
      </c>
    </row>
    <row r="28609" spans="1:3">
      <c r="A28609" s="250">
        <v>66083</v>
      </c>
      <c r="B28609" s="74" t="s">
        <v>8578</v>
      </c>
      <c r="C28609" s="74" t="s">
        <v>427</v>
      </c>
    </row>
    <row r="28610" spans="1:3">
      <c r="A28610" s="250">
        <v>66085</v>
      </c>
      <c r="B28610" s="74" t="s">
        <v>14505</v>
      </c>
      <c r="C28610" s="74" t="s">
        <v>427</v>
      </c>
    </row>
    <row r="28611" spans="1:3">
      <c r="A28611" s="250">
        <v>66086</v>
      </c>
      <c r="B28611" s="74" t="s">
        <v>14506</v>
      </c>
      <c r="C28611" s="74" t="s">
        <v>427</v>
      </c>
    </row>
    <row r="28612" spans="1:3">
      <c r="A28612" s="250">
        <v>66087</v>
      </c>
      <c r="B28612" s="74" t="s">
        <v>1243</v>
      </c>
      <c r="C28612" s="74" t="s">
        <v>427</v>
      </c>
    </row>
    <row r="28613" spans="1:3">
      <c r="A28613" s="250">
        <v>66088</v>
      </c>
      <c r="B28613" s="74" t="s">
        <v>3018</v>
      </c>
      <c r="C28613" s="74" t="s">
        <v>427</v>
      </c>
    </row>
    <row r="28614" spans="1:3">
      <c r="A28614" s="250">
        <v>66090</v>
      </c>
      <c r="B28614" s="74" t="s">
        <v>14507</v>
      </c>
      <c r="C28614" s="74" t="s">
        <v>427</v>
      </c>
    </row>
    <row r="28615" spans="1:3">
      <c r="A28615" s="250">
        <v>66091</v>
      </c>
      <c r="B28615" s="74" t="s">
        <v>14508</v>
      </c>
      <c r="C28615" s="74" t="s">
        <v>427</v>
      </c>
    </row>
    <row r="28616" spans="1:3">
      <c r="A28616" s="250">
        <v>66092</v>
      </c>
      <c r="B28616" s="74" t="s">
        <v>3952</v>
      </c>
      <c r="C28616" s="74" t="s">
        <v>427</v>
      </c>
    </row>
    <row r="28617" spans="1:3">
      <c r="A28617" s="250">
        <v>66093</v>
      </c>
      <c r="B28617" s="74" t="s">
        <v>10909</v>
      </c>
      <c r="C28617" s="74" t="s">
        <v>427</v>
      </c>
    </row>
    <row r="28618" spans="1:3">
      <c r="A28618" s="250">
        <v>66094</v>
      </c>
      <c r="B28618" s="74" t="s">
        <v>11270</v>
      </c>
      <c r="C28618" s="74" t="s">
        <v>427</v>
      </c>
    </row>
    <row r="28619" spans="1:3">
      <c r="A28619" s="250">
        <v>66095</v>
      </c>
      <c r="B28619" s="74" t="s">
        <v>631</v>
      </c>
      <c r="C28619" s="74" t="s">
        <v>427</v>
      </c>
    </row>
    <row r="28620" spans="1:3">
      <c r="A28620" s="250">
        <v>66097</v>
      </c>
      <c r="B28620" s="74" t="s">
        <v>832</v>
      </c>
      <c r="C28620" s="74" t="s">
        <v>427</v>
      </c>
    </row>
    <row r="28621" spans="1:3">
      <c r="A28621" s="250">
        <v>66101</v>
      </c>
      <c r="B28621" s="74" t="s">
        <v>14244</v>
      </c>
      <c r="C28621" s="74" t="s">
        <v>427</v>
      </c>
    </row>
    <row r="28622" spans="1:3">
      <c r="A28622" s="250">
        <v>66102</v>
      </c>
      <c r="B28622" s="74" t="s">
        <v>14244</v>
      </c>
      <c r="C28622" s="74" t="s">
        <v>427</v>
      </c>
    </row>
    <row r="28623" spans="1:3">
      <c r="A28623" s="250">
        <v>66103</v>
      </c>
      <c r="B28623" s="74" t="s">
        <v>14244</v>
      </c>
      <c r="C28623" s="74" t="s">
        <v>427</v>
      </c>
    </row>
    <row r="28624" spans="1:3">
      <c r="A28624" s="250">
        <v>66104</v>
      </c>
      <c r="B28624" s="74" t="s">
        <v>14244</v>
      </c>
      <c r="C28624" s="74" t="s">
        <v>427</v>
      </c>
    </row>
    <row r="28625" spans="1:3">
      <c r="A28625" s="250">
        <v>66105</v>
      </c>
      <c r="B28625" s="74" t="s">
        <v>14244</v>
      </c>
      <c r="C28625" s="74" t="s">
        <v>427</v>
      </c>
    </row>
    <row r="28626" spans="1:3">
      <c r="A28626" s="250">
        <v>66106</v>
      </c>
      <c r="B28626" s="74" t="s">
        <v>14244</v>
      </c>
      <c r="C28626" s="74" t="s">
        <v>427</v>
      </c>
    </row>
    <row r="28627" spans="1:3">
      <c r="A28627" s="250">
        <v>66109</v>
      </c>
      <c r="B28627" s="74" t="s">
        <v>14244</v>
      </c>
      <c r="C28627" s="74" t="s">
        <v>427</v>
      </c>
    </row>
    <row r="28628" spans="1:3">
      <c r="A28628" s="250">
        <v>66110</v>
      </c>
      <c r="B28628" s="74" t="s">
        <v>14244</v>
      </c>
      <c r="C28628" s="74" t="s">
        <v>427</v>
      </c>
    </row>
    <row r="28629" spans="1:3">
      <c r="A28629" s="250">
        <v>66111</v>
      </c>
      <c r="B28629" s="74" t="s">
        <v>14244</v>
      </c>
      <c r="C28629" s="74" t="s">
        <v>427</v>
      </c>
    </row>
    <row r="28630" spans="1:3">
      <c r="A28630" s="250">
        <v>66112</v>
      </c>
      <c r="B28630" s="74" t="s">
        <v>14244</v>
      </c>
      <c r="C28630" s="74" t="s">
        <v>427</v>
      </c>
    </row>
    <row r="28631" spans="1:3">
      <c r="A28631" s="250">
        <v>66113</v>
      </c>
      <c r="B28631" s="74" t="s">
        <v>5892</v>
      </c>
      <c r="C28631" s="74" t="s">
        <v>427</v>
      </c>
    </row>
    <row r="28632" spans="1:3">
      <c r="A28632" s="250">
        <v>66115</v>
      </c>
      <c r="B28632" s="74" t="s">
        <v>14244</v>
      </c>
      <c r="C28632" s="74" t="s">
        <v>427</v>
      </c>
    </row>
    <row r="28633" spans="1:3">
      <c r="A28633" s="250">
        <v>66117</v>
      </c>
      <c r="B28633" s="74" t="s">
        <v>14244</v>
      </c>
      <c r="C28633" s="74" t="s">
        <v>427</v>
      </c>
    </row>
    <row r="28634" spans="1:3">
      <c r="A28634" s="250">
        <v>66118</v>
      </c>
      <c r="B28634" s="74" t="s">
        <v>14244</v>
      </c>
      <c r="C28634" s="74" t="s">
        <v>427</v>
      </c>
    </row>
    <row r="28635" spans="1:3">
      <c r="A28635" s="250">
        <v>66119</v>
      </c>
      <c r="B28635" s="74" t="s">
        <v>14244</v>
      </c>
      <c r="C28635" s="74" t="s">
        <v>427</v>
      </c>
    </row>
    <row r="28636" spans="1:3">
      <c r="A28636" s="250">
        <v>66160</v>
      </c>
      <c r="B28636" s="74" t="s">
        <v>14244</v>
      </c>
      <c r="C28636" s="74" t="s">
        <v>427</v>
      </c>
    </row>
    <row r="28637" spans="1:3">
      <c r="A28637" s="250">
        <v>66201</v>
      </c>
      <c r="B28637" s="74" t="s">
        <v>12930</v>
      </c>
      <c r="C28637" s="74" t="s">
        <v>427</v>
      </c>
    </row>
    <row r="28638" spans="1:3">
      <c r="A28638" s="250">
        <v>66202</v>
      </c>
      <c r="B28638" s="74" t="s">
        <v>12930</v>
      </c>
      <c r="C28638" s="74" t="s">
        <v>427</v>
      </c>
    </row>
    <row r="28639" spans="1:3">
      <c r="A28639" s="250">
        <v>66203</v>
      </c>
      <c r="B28639" s="74" t="s">
        <v>10246</v>
      </c>
      <c r="C28639" s="74" t="s">
        <v>427</v>
      </c>
    </row>
    <row r="28640" spans="1:3">
      <c r="A28640" s="250">
        <v>66204</v>
      </c>
      <c r="B28640" s="74" t="s">
        <v>14509</v>
      </c>
      <c r="C28640" s="74" t="s">
        <v>427</v>
      </c>
    </row>
    <row r="28641" spans="1:3">
      <c r="A28641" s="250">
        <v>66205</v>
      </c>
      <c r="B28641" s="74" t="s">
        <v>12930</v>
      </c>
      <c r="C28641" s="74" t="s">
        <v>427</v>
      </c>
    </row>
    <row r="28642" spans="1:3">
      <c r="A28642" s="250">
        <v>66206</v>
      </c>
      <c r="B28642" s="74" t="s">
        <v>14510</v>
      </c>
      <c r="C28642" s="74" t="s">
        <v>427</v>
      </c>
    </row>
    <row r="28643" spans="1:3">
      <c r="A28643" s="250">
        <v>66207</v>
      </c>
      <c r="B28643" s="74" t="s">
        <v>14509</v>
      </c>
      <c r="C28643" s="74" t="s">
        <v>427</v>
      </c>
    </row>
    <row r="28644" spans="1:3">
      <c r="A28644" s="250">
        <v>66208</v>
      </c>
      <c r="B28644" s="74" t="s">
        <v>14511</v>
      </c>
      <c r="C28644" s="74" t="s">
        <v>427</v>
      </c>
    </row>
    <row r="28645" spans="1:3">
      <c r="A28645" s="250">
        <v>66209</v>
      </c>
      <c r="B28645" s="74" t="s">
        <v>14510</v>
      </c>
      <c r="C28645" s="74" t="s">
        <v>427</v>
      </c>
    </row>
    <row r="28646" spans="1:3">
      <c r="A28646" s="250">
        <v>66210</v>
      </c>
      <c r="B28646" s="74" t="s">
        <v>14509</v>
      </c>
      <c r="C28646" s="74" t="s">
        <v>427</v>
      </c>
    </row>
    <row r="28647" spans="1:3">
      <c r="A28647" s="250">
        <v>66211</v>
      </c>
      <c r="B28647" s="74" t="s">
        <v>14510</v>
      </c>
      <c r="C28647" s="74" t="s">
        <v>427</v>
      </c>
    </row>
    <row r="28648" spans="1:3">
      <c r="A28648" s="250">
        <v>66212</v>
      </c>
      <c r="B28648" s="74" t="s">
        <v>14509</v>
      </c>
      <c r="C28648" s="74" t="s">
        <v>427</v>
      </c>
    </row>
    <row r="28649" spans="1:3">
      <c r="A28649" s="250">
        <v>66213</v>
      </c>
      <c r="B28649" s="74" t="s">
        <v>14509</v>
      </c>
      <c r="C28649" s="74" t="s">
        <v>427</v>
      </c>
    </row>
    <row r="28650" spans="1:3">
      <c r="A28650" s="250">
        <v>66214</v>
      </c>
      <c r="B28650" s="74" t="s">
        <v>14509</v>
      </c>
      <c r="C28650" s="74" t="s">
        <v>427</v>
      </c>
    </row>
    <row r="28651" spans="1:3">
      <c r="A28651" s="250">
        <v>66215</v>
      </c>
      <c r="B28651" s="74" t="s">
        <v>14512</v>
      </c>
      <c r="C28651" s="74" t="s">
        <v>427</v>
      </c>
    </row>
    <row r="28652" spans="1:3">
      <c r="A28652" s="250">
        <v>66216</v>
      </c>
      <c r="B28652" s="74" t="s">
        <v>10246</v>
      </c>
      <c r="C28652" s="74" t="s">
        <v>427</v>
      </c>
    </row>
    <row r="28653" spans="1:3">
      <c r="A28653" s="250">
        <v>66217</v>
      </c>
      <c r="B28653" s="74" t="s">
        <v>10246</v>
      </c>
      <c r="C28653" s="74" t="s">
        <v>427</v>
      </c>
    </row>
    <row r="28654" spans="1:3">
      <c r="A28654" s="250">
        <v>66218</v>
      </c>
      <c r="B28654" s="74" t="s">
        <v>10246</v>
      </c>
      <c r="C28654" s="74" t="s">
        <v>427</v>
      </c>
    </row>
    <row r="28655" spans="1:3">
      <c r="A28655" s="250">
        <v>66219</v>
      </c>
      <c r="B28655" s="74" t="s">
        <v>14512</v>
      </c>
      <c r="C28655" s="74" t="s">
        <v>427</v>
      </c>
    </row>
    <row r="28656" spans="1:3">
      <c r="A28656" s="250">
        <v>66220</v>
      </c>
      <c r="B28656" s="74" t="s">
        <v>14512</v>
      </c>
      <c r="C28656" s="74" t="s">
        <v>427</v>
      </c>
    </row>
    <row r="28657" spans="1:3">
      <c r="A28657" s="250">
        <v>66221</v>
      </c>
      <c r="B28657" s="74" t="s">
        <v>14509</v>
      </c>
      <c r="C28657" s="74" t="s">
        <v>427</v>
      </c>
    </row>
    <row r="28658" spans="1:3">
      <c r="A28658" s="250">
        <v>66222</v>
      </c>
      <c r="B28658" s="74" t="s">
        <v>12930</v>
      </c>
      <c r="C28658" s="74" t="s">
        <v>427</v>
      </c>
    </row>
    <row r="28659" spans="1:3">
      <c r="A28659" s="250">
        <v>66223</v>
      </c>
      <c r="B28659" s="74" t="s">
        <v>14509</v>
      </c>
      <c r="C28659" s="74" t="s">
        <v>427</v>
      </c>
    </row>
    <row r="28660" spans="1:3">
      <c r="A28660" s="250">
        <v>66224</v>
      </c>
      <c r="B28660" s="74" t="s">
        <v>14509</v>
      </c>
      <c r="C28660" s="74" t="s">
        <v>427</v>
      </c>
    </row>
    <row r="28661" spans="1:3">
      <c r="A28661" s="250">
        <v>66225</v>
      </c>
      <c r="B28661" s="74" t="s">
        <v>14509</v>
      </c>
      <c r="C28661" s="74" t="s">
        <v>427</v>
      </c>
    </row>
    <row r="28662" spans="1:3">
      <c r="A28662" s="250">
        <v>66226</v>
      </c>
      <c r="B28662" s="74" t="s">
        <v>10246</v>
      </c>
      <c r="C28662" s="74" t="s">
        <v>427</v>
      </c>
    </row>
    <row r="28663" spans="1:3">
      <c r="A28663" s="250">
        <v>66227</v>
      </c>
      <c r="B28663" s="74" t="s">
        <v>14512</v>
      </c>
      <c r="C28663" s="74" t="s">
        <v>427</v>
      </c>
    </row>
    <row r="28664" spans="1:3">
      <c r="A28664" s="250">
        <v>66250</v>
      </c>
      <c r="B28664" s="74" t="s">
        <v>14513</v>
      </c>
      <c r="C28664" s="74" t="s">
        <v>427</v>
      </c>
    </row>
    <row r="28665" spans="1:3">
      <c r="A28665" s="250">
        <v>66251</v>
      </c>
      <c r="B28665" s="74" t="s">
        <v>14509</v>
      </c>
      <c r="C28665" s="74" t="s">
        <v>427</v>
      </c>
    </row>
    <row r="28666" spans="1:3">
      <c r="A28666" s="250">
        <v>66276</v>
      </c>
      <c r="B28666" s="74" t="s">
        <v>14513</v>
      </c>
      <c r="C28666" s="74" t="s">
        <v>427</v>
      </c>
    </row>
    <row r="28667" spans="1:3">
      <c r="A28667" s="250">
        <v>66279</v>
      </c>
      <c r="B28667" s="74" t="s">
        <v>14513</v>
      </c>
      <c r="C28667" s="74" t="s">
        <v>427</v>
      </c>
    </row>
    <row r="28668" spans="1:3">
      <c r="A28668" s="250">
        <v>66282</v>
      </c>
      <c r="B28668" s="74" t="s">
        <v>14509</v>
      </c>
      <c r="C28668" s="74" t="s">
        <v>427</v>
      </c>
    </row>
    <row r="28669" spans="1:3">
      <c r="A28669" s="250">
        <v>66283</v>
      </c>
      <c r="B28669" s="74" t="s">
        <v>14509</v>
      </c>
      <c r="C28669" s="74" t="s">
        <v>427</v>
      </c>
    </row>
    <row r="28670" spans="1:3">
      <c r="A28670" s="250">
        <v>66285</v>
      </c>
      <c r="B28670" s="74" t="s">
        <v>14512</v>
      </c>
      <c r="C28670" s="74" t="s">
        <v>427</v>
      </c>
    </row>
    <row r="28671" spans="1:3">
      <c r="A28671" s="250">
        <v>66286</v>
      </c>
      <c r="B28671" s="74" t="s">
        <v>10246</v>
      </c>
      <c r="C28671" s="74" t="s">
        <v>427</v>
      </c>
    </row>
    <row r="28672" spans="1:3">
      <c r="A28672" s="250">
        <v>66401</v>
      </c>
      <c r="B28672" s="74" t="s">
        <v>3841</v>
      </c>
      <c r="C28672" s="74" t="s">
        <v>427</v>
      </c>
    </row>
    <row r="28673" spans="1:3">
      <c r="A28673" s="250">
        <v>66402</v>
      </c>
      <c r="B28673" s="74" t="s">
        <v>724</v>
      </c>
      <c r="C28673" s="74" t="s">
        <v>427</v>
      </c>
    </row>
    <row r="28674" spans="1:3">
      <c r="A28674" s="250">
        <v>66403</v>
      </c>
      <c r="B28674" s="74" t="s">
        <v>14514</v>
      </c>
      <c r="C28674" s="74" t="s">
        <v>427</v>
      </c>
    </row>
    <row r="28675" spans="1:3">
      <c r="A28675" s="250">
        <v>66404</v>
      </c>
      <c r="B28675" s="74" t="s">
        <v>1620</v>
      </c>
      <c r="C28675" s="74" t="s">
        <v>427</v>
      </c>
    </row>
    <row r="28676" spans="1:3">
      <c r="A28676" s="250">
        <v>66406</v>
      </c>
      <c r="B28676" s="74" t="s">
        <v>14515</v>
      </c>
      <c r="C28676" s="74" t="s">
        <v>427</v>
      </c>
    </row>
    <row r="28677" spans="1:3">
      <c r="A28677" s="250">
        <v>66407</v>
      </c>
      <c r="B28677" s="74" t="s">
        <v>14516</v>
      </c>
      <c r="C28677" s="74" t="s">
        <v>427</v>
      </c>
    </row>
    <row r="28678" spans="1:3">
      <c r="A28678" s="250">
        <v>66408</v>
      </c>
      <c r="B28678" s="74" t="s">
        <v>14517</v>
      </c>
      <c r="C28678" s="74" t="s">
        <v>427</v>
      </c>
    </row>
    <row r="28679" spans="1:3">
      <c r="A28679" s="250">
        <v>66409</v>
      </c>
      <c r="B28679" s="74" t="s">
        <v>14518</v>
      </c>
      <c r="C28679" s="74" t="s">
        <v>427</v>
      </c>
    </row>
    <row r="28680" spans="1:3">
      <c r="A28680" s="250">
        <v>66411</v>
      </c>
      <c r="B28680" s="74" t="s">
        <v>14519</v>
      </c>
      <c r="C28680" s="74" t="s">
        <v>427</v>
      </c>
    </row>
    <row r="28681" spans="1:3">
      <c r="A28681" s="250">
        <v>66412</v>
      </c>
      <c r="B28681" s="74" t="s">
        <v>1545</v>
      </c>
      <c r="C28681" s="74" t="s">
        <v>427</v>
      </c>
    </row>
    <row r="28682" spans="1:3">
      <c r="A28682" s="250">
        <v>66413</v>
      </c>
      <c r="B28682" s="74" t="s">
        <v>14520</v>
      </c>
      <c r="C28682" s="74" t="s">
        <v>427</v>
      </c>
    </row>
    <row r="28683" spans="1:3">
      <c r="A28683" s="250">
        <v>66414</v>
      </c>
      <c r="B28683" s="74" t="s">
        <v>5150</v>
      </c>
      <c r="C28683" s="74" t="s">
        <v>427</v>
      </c>
    </row>
    <row r="28684" spans="1:3">
      <c r="A28684" s="250">
        <v>66415</v>
      </c>
      <c r="B28684" s="74" t="s">
        <v>13965</v>
      </c>
      <c r="C28684" s="74" t="s">
        <v>427</v>
      </c>
    </row>
    <row r="28685" spans="1:3">
      <c r="A28685" s="250">
        <v>66416</v>
      </c>
      <c r="B28685" s="74" t="s">
        <v>2681</v>
      </c>
      <c r="C28685" s="74" t="s">
        <v>427</v>
      </c>
    </row>
    <row r="28686" spans="1:3">
      <c r="A28686" s="250">
        <v>66417</v>
      </c>
      <c r="B28686" s="74" t="s">
        <v>3911</v>
      </c>
      <c r="C28686" s="74" t="s">
        <v>427</v>
      </c>
    </row>
    <row r="28687" spans="1:3">
      <c r="A28687" s="250">
        <v>66418</v>
      </c>
      <c r="B28687" s="74" t="s">
        <v>14521</v>
      </c>
      <c r="C28687" s="74" t="s">
        <v>427</v>
      </c>
    </row>
    <row r="28688" spans="1:3">
      <c r="A28688" s="250">
        <v>66419</v>
      </c>
      <c r="B28688" s="74" t="s">
        <v>11750</v>
      </c>
      <c r="C28688" s="74" t="s">
        <v>427</v>
      </c>
    </row>
    <row r="28689" spans="1:3">
      <c r="A28689" s="250">
        <v>66420</v>
      </c>
      <c r="B28689" s="74" t="s">
        <v>869</v>
      </c>
      <c r="C28689" s="74" t="s">
        <v>427</v>
      </c>
    </row>
    <row r="28690" spans="1:3">
      <c r="A28690" s="250">
        <v>66422</v>
      </c>
      <c r="B28690" s="74" t="s">
        <v>10989</v>
      </c>
      <c r="C28690" s="74" t="s">
        <v>427</v>
      </c>
    </row>
    <row r="28691" spans="1:3">
      <c r="A28691" s="250">
        <v>66423</v>
      </c>
      <c r="B28691" s="74" t="s">
        <v>14522</v>
      </c>
      <c r="C28691" s="74" t="s">
        <v>427</v>
      </c>
    </row>
    <row r="28692" spans="1:3">
      <c r="A28692" s="250">
        <v>66424</v>
      </c>
      <c r="B28692" s="74" t="s">
        <v>14523</v>
      </c>
      <c r="C28692" s="74" t="s">
        <v>427</v>
      </c>
    </row>
    <row r="28693" spans="1:3">
      <c r="A28693" s="250">
        <v>66425</v>
      </c>
      <c r="B28693" s="74" t="s">
        <v>2122</v>
      </c>
      <c r="C28693" s="74" t="s">
        <v>427</v>
      </c>
    </row>
    <row r="28694" spans="1:3">
      <c r="A28694" s="250">
        <v>66426</v>
      </c>
      <c r="B28694" s="74" t="s">
        <v>10429</v>
      </c>
      <c r="C28694" s="74" t="s">
        <v>427</v>
      </c>
    </row>
    <row r="28695" spans="1:3">
      <c r="A28695" s="250">
        <v>66427</v>
      </c>
      <c r="B28695" s="74" t="s">
        <v>1505</v>
      </c>
      <c r="C28695" s="74" t="s">
        <v>427</v>
      </c>
    </row>
    <row r="28696" spans="1:3">
      <c r="A28696" s="250">
        <v>66428</v>
      </c>
      <c r="B28696" s="74" t="s">
        <v>14524</v>
      </c>
      <c r="C28696" s="74" t="s">
        <v>427</v>
      </c>
    </row>
    <row r="28697" spans="1:3">
      <c r="A28697" s="250">
        <v>66429</v>
      </c>
      <c r="B28697" s="74" t="s">
        <v>4705</v>
      </c>
      <c r="C28697" s="74" t="s">
        <v>427</v>
      </c>
    </row>
    <row r="28698" spans="1:3">
      <c r="A28698" s="250">
        <v>66431</v>
      </c>
      <c r="B28698" s="74" t="s">
        <v>14525</v>
      </c>
      <c r="C28698" s="74" t="s">
        <v>427</v>
      </c>
    </row>
    <row r="28699" spans="1:3">
      <c r="A28699" s="250">
        <v>66432</v>
      </c>
      <c r="B28699" s="74" t="s">
        <v>14526</v>
      </c>
      <c r="C28699" s="74" t="s">
        <v>427</v>
      </c>
    </row>
    <row r="28700" spans="1:3">
      <c r="A28700" s="250">
        <v>66434</v>
      </c>
      <c r="B28700" s="74" t="s">
        <v>6483</v>
      </c>
      <c r="C28700" s="74" t="s">
        <v>427</v>
      </c>
    </row>
    <row r="28701" spans="1:3">
      <c r="A28701" s="250">
        <v>66436</v>
      </c>
      <c r="B28701" s="74" t="s">
        <v>10800</v>
      </c>
      <c r="C28701" s="74" t="s">
        <v>427</v>
      </c>
    </row>
    <row r="28702" spans="1:3">
      <c r="A28702" s="250">
        <v>66438</v>
      </c>
      <c r="B28702" s="74" t="s">
        <v>4285</v>
      </c>
      <c r="C28702" s="74" t="s">
        <v>427</v>
      </c>
    </row>
    <row r="28703" spans="1:3">
      <c r="A28703" s="250">
        <v>66439</v>
      </c>
      <c r="B28703" s="74" t="s">
        <v>8775</v>
      </c>
      <c r="C28703" s="74" t="s">
        <v>427</v>
      </c>
    </row>
    <row r="28704" spans="1:3">
      <c r="A28704" s="250">
        <v>66440</v>
      </c>
      <c r="B28704" s="74" t="s">
        <v>14527</v>
      </c>
      <c r="C28704" s="74" t="s">
        <v>427</v>
      </c>
    </row>
    <row r="28705" spans="1:3">
      <c r="A28705" s="250">
        <v>66441</v>
      </c>
      <c r="B28705" s="74" t="s">
        <v>8198</v>
      </c>
      <c r="C28705" s="74" t="s">
        <v>427</v>
      </c>
    </row>
    <row r="28706" spans="1:3">
      <c r="A28706" s="250">
        <v>66442</v>
      </c>
      <c r="B28706" s="74" t="s">
        <v>14528</v>
      </c>
      <c r="C28706" s="74" t="s">
        <v>427</v>
      </c>
    </row>
    <row r="28707" spans="1:3">
      <c r="A28707" s="250">
        <v>66449</v>
      </c>
      <c r="B28707" s="74" t="s">
        <v>14529</v>
      </c>
      <c r="C28707" s="74" t="s">
        <v>427</v>
      </c>
    </row>
    <row r="28708" spans="1:3">
      <c r="A28708" s="250">
        <v>66451</v>
      </c>
      <c r="B28708" s="74" t="s">
        <v>1915</v>
      </c>
      <c r="C28708" s="74" t="s">
        <v>427</v>
      </c>
    </row>
    <row r="28709" spans="1:3">
      <c r="A28709" s="250">
        <v>66501</v>
      </c>
      <c r="B28709" s="74" t="s">
        <v>12017</v>
      </c>
      <c r="C28709" s="74" t="s">
        <v>427</v>
      </c>
    </row>
    <row r="28710" spans="1:3">
      <c r="A28710" s="250">
        <v>66502</v>
      </c>
      <c r="B28710" s="74" t="s">
        <v>13377</v>
      </c>
      <c r="C28710" s="74" t="s">
        <v>427</v>
      </c>
    </row>
    <row r="28711" spans="1:3">
      <c r="A28711" s="250">
        <v>66503</v>
      </c>
      <c r="B28711" s="74" t="s">
        <v>13377</v>
      </c>
      <c r="C28711" s="74" t="s">
        <v>427</v>
      </c>
    </row>
    <row r="28712" spans="1:3">
      <c r="A28712" s="250">
        <v>66505</v>
      </c>
      <c r="B28712" s="74" t="s">
        <v>13377</v>
      </c>
      <c r="C28712" s="74" t="s">
        <v>427</v>
      </c>
    </row>
    <row r="28713" spans="1:3">
      <c r="A28713" s="250">
        <v>66506</v>
      </c>
      <c r="B28713" s="74" t="s">
        <v>13377</v>
      </c>
      <c r="C28713" s="74" t="s">
        <v>427</v>
      </c>
    </row>
    <row r="28714" spans="1:3">
      <c r="A28714" s="250">
        <v>66507</v>
      </c>
      <c r="B28714" s="74" t="s">
        <v>7408</v>
      </c>
      <c r="C28714" s="74" t="s">
        <v>427</v>
      </c>
    </row>
    <row r="28715" spans="1:3">
      <c r="A28715" s="250">
        <v>66508</v>
      </c>
      <c r="B28715" s="74" t="s">
        <v>4724</v>
      </c>
      <c r="C28715" s="74" t="s">
        <v>427</v>
      </c>
    </row>
    <row r="28716" spans="1:3">
      <c r="A28716" s="250">
        <v>66509</v>
      </c>
      <c r="B28716" s="74" t="s">
        <v>14530</v>
      </c>
      <c r="C28716" s="74" t="s">
        <v>427</v>
      </c>
    </row>
    <row r="28717" spans="1:3">
      <c r="A28717" s="250">
        <v>66510</v>
      </c>
      <c r="B28717" s="74" t="s">
        <v>14531</v>
      </c>
      <c r="C28717" s="74" t="s">
        <v>427</v>
      </c>
    </row>
    <row r="28718" spans="1:3">
      <c r="A28718" s="250">
        <v>66512</v>
      </c>
      <c r="B28718" s="74" t="s">
        <v>1283</v>
      </c>
      <c r="C28718" s="74" t="s">
        <v>427</v>
      </c>
    </row>
    <row r="28719" spans="1:3">
      <c r="A28719" s="250">
        <v>66514</v>
      </c>
      <c r="B28719" s="74" t="s">
        <v>796</v>
      </c>
      <c r="C28719" s="74" t="s">
        <v>427</v>
      </c>
    </row>
    <row r="28720" spans="1:3">
      <c r="A28720" s="250">
        <v>66515</v>
      </c>
      <c r="B28720" s="74" t="s">
        <v>1702</v>
      </c>
      <c r="C28720" s="74" t="s">
        <v>427</v>
      </c>
    </row>
    <row r="28721" spans="1:3">
      <c r="A28721" s="250">
        <v>66516</v>
      </c>
      <c r="B28721" s="74" t="s">
        <v>14532</v>
      </c>
      <c r="C28721" s="74" t="s">
        <v>427</v>
      </c>
    </row>
    <row r="28722" spans="1:3">
      <c r="A28722" s="250">
        <v>66517</v>
      </c>
      <c r="B28722" s="74" t="s">
        <v>11533</v>
      </c>
      <c r="C28722" s="74" t="s">
        <v>427</v>
      </c>
    </row>
    <row r="28723" spans="1:3">
      <c r="A28723" s="250">
        <v>66518</v>
      </c>
      <c r="B28723" s="74" t="s">
        <v>14533</v>
      </c>
      <c r="C28723" s="74" t="s">
        <v>427</v>
      </c>
    </row>
    <row r="28724" spans="1:3">
      <c r="A28724" s="250">
        <v>66520</v>
      </c>
      <c r="B28724" s="74" t="s">
        <v>14534</v>
      </c>
      <c r="C28724" s="74" t="s">
        <v>427</v>
      </c>
    </row>
    <row r="28725" spans="1:3">
      <c r="A28725" s="250">
        <v>66521</v>
      </c>
      <c r="B28725" s="74" t="s">
        <v>14535</v>
      </c>
      <c r="C28725" s="74" t="s">
        <v>427</v>
      </c>
    </row>
    <row r="28726" spans="1:3">
      <c r="A28726" s="250">
        <v>66522</v>
      </c>
      <c r="B28726" s="74" t="s">
        <v>3483</v>
      </c>
      <c r="C28726" s="74" t="s">
        <v>427</v>
      </c>
    </row>
    <row r="28727" spans="1:3">
      <c r="A28727" s="250">
        <v>66523</v>
      </c>
      <c r="B28727" s="74" t="s">
        <v>14536</v>
      </c>
      <c r="C28727" s="74" t="s">
        <v>427</v>
      </c>
    </row>
    <row r="28728" spans="1:3">
      <c r="A28728" s="250">
        <v>66524</v>
      </c>
      <c r="B28728" s="74" t="s">
        <v>14537</v>
      </c>
      <c r="C28728" s="74" t="s">
        <v>427</v>
      </c>
    </row>
    <row r="28729" spans="1:3">
      <c r="A28729" s="250">
        <v>66526</v>
      </c>
      <c r="B28729" s="74" t="s">
        <v>14538</v>
      </c>
      <c r="C28729" s="74" t="s">
        <v>427</v>
      </c>
    </row>
    <row r="28730" spans="1:3">
      <c r="A28730" s="250">
        <v>66527</v>
      </c>
      <c r="B28730" s="74" t="s">
        <v>14539</v>
      </c>
      <c r="C28730" s="74" t="s">
        <v>427</v>
      </c>
    </row>
    <row r="28731" spans="1:3">
      <c r="A28731" s="250">
        <v>66528</v>
      </c>
      <c r="B28731" s="74" t="s">
        <v>14540</v>
      </c>
      <c r="C28731" s="74" t="s">
        <v>427</v>
      </c>
    </row>
    <row r="28732" spans="1:3">
      <c r="A28732" s="250">
        <v>66531</v>
      </c>
      <c r="B28732" s="74" t="s">
        <v>10946</v>
      </c>
      <c r="C28732" s="74" t="s">
        <v>427</v>
      </c>
    </row>
    <row r="28733" spans="1:3">
      <c r="A28733" s="250">
        <v>66532</v>
      </c>
      <c r="B28733" s="74" t="s">
        <v>4364</v>
      </c>
      <c r="C28733" s="74" t="s">
        <v>427</v>
      </c>
    </row>
    <row r="28734" spans="1:3">
      <c r="A28734" s="250">
        <v>66533</v>
      </c>
      <c r="B28734" s="74" t="s">
        <v>4837</v>
      </c>
      <c r="C28734" s="74" t="s">
        <v>427</v>
      </c>
    </row>
    <row r="28735" spans="1:3">
      <c r="A28735" s="250">
        <v>66534</v>
      </c>
      <c r="B28735" s="74" t="s">
        <v>14541</v>
      </c>
      <c r="C28735" s="74" t="s">
        <v>427</v>
      </c>
    </row>
    <row r="28736" spans="1:3">
      <c r="A28736" s="250">
        <v>66535</v>
      </c>
      <c r="B28736" s="74" t="s">
        <v>7719</v>
      </c>
      <c r="C28736" s="74" t="s">
        <v>427</v>
      </c>
    </row>
    <row r="28737" spans="1:3">
      <c r="A28737" s="250">
        <v>66536</v>
      </c>
      <c r="B28737" s="74" t="s">
        <v>4333</v>
      </c>
      <c r="C28737" s="74" t="s">
        <v>427</v>
      </c>
    </row>
    <row r="28738" spans="1:3">
      <c r="A28738" s="250">
        <v>66537</v>
      </c>
      <c r="B28738" s="74" t="s">
        <v>5193</v>
      </c>
      <c r="C28738" s="74" t="s">
        <v>427</v>
      </c>
    </row>
    <row r="28739" spans="1:3">
      <c r="A28739" s="250">
        <v>66538</v>
      </c>
      <c r="B28739" s="74" t="s">
        <v>4492</v>
      </c>
      <c r="C28739" s="74" t="s">
        <v>427</v>
      </c>
    </row>
    <row r="28740" spans="1:3">
      <c r="A28740" s="250">
        <v>66539</v>
      </c>
      <c r="B28740" s="74" t="s">
        <v>1339</v>
      </c>
      <c r="C28740" s="74" t="s">
        <v>427</v>
      </c>
    </row>
    <row r="28741" spans="1:3">
      <c r="A28741" s="250">
        <v>66540</v>
      </c>
      <c r="B28741" s="74" t="s">
        <v>9756</v>
      </c>
      <c r="C28741" s="74" t="s">
        <v>427</v>
      </c>
    </row>
    <row r="28742" spans="1:3">
      <c r="A28742" s="250">
        <v>66541</v>
      </c>
      <c r="B28742" s="74" t="s">
        <v>7127</v>
      </c>
      <c r="C28742" s="74" t="s">
        <v>427</v>
      </c>
    </row>
    <row r="28743" spans="1:3">
      <c r="A28743" s="250">
        <v>66542</v>
      </c>
      <c r="B28743" s="74" t="s">
        <v>11248</v>
      </c>
      <c r="C28743" s="74" t="s">
        <v>427</v>
      </c>
    </row>
    <row r="28744" spans="1:3">
      <c r="A28744" s="250">
        <v>66543</v>
      </c>
      <c r="B28744" s="74" t="s">
        <v>11144</v>
      </c>
      <c r="C28744" s="74" t="s">
        <v>427</v>
      </c>
    </row>
    <row r="28745" spans="1:3">
      <c r="A28745" s="250">
        <v>66544</v>
      </c>
      <c r="B28745" s="74" t="s">
        <v>12391</v>
      </c>
      <c r="C28745" s="74" t="s">
        <v>427</v>
      </c>
    </row>
    <row r="28746" spans="1:3">
      <c r="A28746" s="250">
        <v>66546</v>
      </c>
      <c r="B28746" s="74" t="s">
        <v>10724</v>
      </c>
      <c r="C28746" s="74" t="s">
        <v>427</v>
      </c>
    </row>
    <row r="28747" spans="1:3">
      <c r="A28747" s="250">
        <v>66547</v>
      </c>
      <c r="B28747" s="74" t="s">
        <v>14542</v>
      </c>
      <c r="C28747" s="74" t="s">
        <v>427</v>
      </c>
    </row>
    <row r="28748" spans="1:3">
      <c r="A28748" s="250">
        <v>66548</v>
      </c>
      <c r="B28748" s="74" t="s">
        <v>1676</v>
      </c>
      <c r="C28748" s="74" t="s">
        <v>427</v>
      </c>
    </row>
    <row r="28749" spans="1:3">
      <c r="A28749" s="250">
        <v>66549</v>
      </c>
      <c r="B28749" s="74" t="s">
        <v>1244</v>
      </c>
      <c r="C28749" s="74" t="s">
        <v>427</v>
      </c>
    </row>
    <row r="28750" spans="1:3">
      <c r="A28750" s="250">
        <v>66550</v>
      </c>
      <c r="B28750" s="74" t="s">
        <v>11445</v>
      </c>
      <c r="C28750" s="74" t="s">
        <v>427</v>
      </c>
    </row>
    <row r="28751" spans="1:3">
      <c r="A28751" s="250">
        <v>66552</v>
      </c>
      <c r="B28751" s="74" t="s">
        <v>1618</v>
      </c>
      <c r="C28751" s="74" t="s">
        <v>427</v>
      </c>
    </row>
    <row r="28752" spans="1:3">
      <c r="A28752" s="250">
        <v>66554</v>
      </c>
      <c r="B28752" s="74" t="s">
        <v>960</v>
      </c>
      <c r="C28752" s="74" t="s">
        <v>427</v>
      </c>
    </row>
    <row r="28753" spans="1:3">
      <c r="A28753" s="250">
        <v>66601</v>
      </c>
      <c r="B28753" s="74" t="s">
        <v>10723</v>
      </c>
      <c r="C28753" s="74" t="s">
        <v>427</v>
      </c>
    </row>
    <row r="28754" spans="1:3">
      <c r="A28754" s="250">
        <v>66603</v>
      </c>
      <c r="B28754" s="74" t="s">
        <v>10723</v>
      </c>
      <c r="C28754" s="74" t="s">
        <v>427</v>
      </c>
    </row>
    <row r="28755" spans="1:3">
      <c r="A28755" s="250">
        <v>66604</v>
      </c>
      <c r="B28755" s="74" t="s">
        <v>10723</v>
      </c>
      <c r="C28755" s="74" t="s">
        <v>427</v>
      </c>
    </row>
    <row r="28756" spans="1:3">
      <c r="A28756" s="250">
        <v>66605</v>
      </c>
      <c r="B28756" s="74" t="s">
        <v>10723</v>
      </c>
      <c r="C28756" s="74" t="s">
        <v>427</v>
      </c>
    </row>
    <row r="28757" spans="1:3">
      <c r="A28757" s="250">
        <v>66606</v>
      </c>
      <c r="B28757" s="74" t="s">
        <v>10723</v>
      </c>
      <c r="C28757" s="74" t="s">
        <v>427</v>
      </c>
    </row>
    <row r="28758" spans="1:3">
      <c r="A28758" s="250">
        <v>66607</v>
      </c>
      <c r="B28758" s="74" t="s">
        <v>10723</v>
      </c>
      <c r="C28758" s="74" t="s">
        <v>427</v>
      </c>
    </row>
    <row r="28759" spans="1:3">
      <c r="A28759" s="250">
        <v>66608</v>
      </c>
      <c r="B28759" s="74" t="s">
        <v>10723</v>
      </c>
      <c r="C28759" s="74" t="s">
        <v>427</v>
      </c>
    </row>
    <row r="28760" spans="1:3">
      <c r="A28760" s="250">
        <v>66609</v>
      </c>
      <c r="B28760" s="74" t="s">
        <v>10723</v>
      </c>
      <c r="C28760" s="74" t="s">
        <v>427</v>
      </c>
    </row>
    <row r="28761" spans="1:3">
      <c r="A28761" s="250">
        <v>66610</v>
      </c>
      <c r="B28761" s="74" t="s">
        <v>10723</v>
      </c>
      <c r="C28761" s="74" t="s">
        <v>427</v>
      </c>
    </row>
    <row r="28762" spans="1:3">
      <c r="A28762" s="250">
        <v>66611</v>
      </c>
      <c r="B28762" s="74" t="s">
        <v>10723</v>
      </c>
      <c r="C28762" s="74" t="s">
        <v>427</v>
      </c>
    </row>
    <row r="28763" spans="1:3">
      <c r="A28763" s="250">
        <v>66612</v>
      </c>
      <c r="B28763" s="74" t="s">
        <v>10723</v>
      </c>
      <c r="C28763" s="74" t="s">
        <v>427</v>
      </c>
    </row>
    <row r="28764" spans="1:3">
      <c r="A28764" s="250">
        <v>66614</v>
      </c>
      <c r="B28764" s="74" t="s">
        <v>10723</v>
      </c>
      <c r="C28764" s="74" t="s">
        <v>427</v>
      </c>
    </row>
    <row r="28765" spans="1:3">
      <c r="A28765" s="250">
        <v>66615</v>
      </c>
      <c r="B28765" s="74" t="s">
        <v>10723</v>
      </c>
      <c r="C28765" s="74" t="s">
        <v>427</v>
      </c>
    </row>
    <row r="28766" spans="1:3">
      <c r="A28766" s="250">
        <v>66616</v>
      </c>
      <c r="B28766" s="74" t="s">
        <v>10723</v>
      </c>
      <c r="C28766" s="74" t="s">
        <v>427</v>
      </c>
    </row>
    <row r="28767" spans="1:3">
      <c r="A28767" s="250">
        <v>66617</v>
      </c>
      <c r="B28767" s="74" t="s">
        <v>10723</v>
      </c>
      <c r="C28767" s="74" t="s">
        <v>427</v>
      </c>
    </row>
    <row r="28768" spans="1:3">
      <c r="A28768" s="250">
        <v>66618</v>
      </c>
      <c r="B28768" s="74" t="s">
        <v>10723</v>
      </c>
      <c r="C28768" s="74" t="s">
        <v>427</v>
      </c>
    </row>
    <row r="28769" spans="1:3">
      <c r="A28769" s="250">
        <v>66619</v>
      </c>
      <c r="B28769" s="74" t="s">
        <v>10723</v>
      </c>
      <c r="C28769" s="74" t="s">
        <v>427</v>
      </c>
    </row>
    <row r="28770" spans="1:3">
      <c r="A28770" s="250">
        <v>66620</v>
      </c>
      <c r="B28770" s="74" t="s">
        <v>10723</v>
      </c>
      <c r="C28770" s="74" t="s">
        <v>427</v>
      </c>
    </row>
    <row r="28771" spans="1:3">
      <c r="A28771" s="250">
        <v>66621</v>
      </c>
      <c r="B28771" s="74" t="s">
        <v>10723</v>
      </c>
      <c r="C28771" s="74" t="s">
        <v>427</v>
      </c>
    </row>
    <row r="28772" spans="1:3">
      <c r="A28772" s="250">
        <v>66622</v>
      </c>
      <c r="B28772" s="74" t="s">
        <v>10723</v>
      </c>
      <c r="C28772" s="74" t="s">
        <v>427</v>
      </c>
    </row>
    <row r="28773" spans="1:3">
      <c r="A28773" s="250">
        <v>66624</v>
      </c>
      <c r="B28773" s="74" t="s">
        <v>10723</v>
      </c>
      <c r="C28773" s="74" t="s">
        <v>427</v>
      </c>
    </row>
    <row r="28774" spans="1:3">
      <c r="A28774" s="250">
        <v>66625</v>
      </c>
      <c r="B28774" s="74" t="s">
        <v>10723</v>
      </c>
      <c r="C28774" s="74" t="s">
        <v>427</v>
      </c>
    </row>
    <row r="28775" spans="1:3">
      <c r="A28775" s="250">
        <v>66626</v>
      </c>
      <c r="B28775" s="74" t="s">
        <v>10723</v>
      </c>
      <c r="C28775" s="74" t="s">
        <v>427</v>
      </c>
    </row>
    <row r="28776" spans="1:3">
      <c r="A28776" s="250">
        <v>66628</v>
      </c>
      <c r="B28776" s="74" t="s">
        <v>10723</v>
      </c>
      <c r="C28776" s="74" t="s">
        <v>427</v>
      </c>
    </row>
    <row r="28777" spans="1:3">
      <c r="A28777" s="250">
        <v>66629</v>
      </c>
      <c r="B28777" s="74" t="s">
        <v>10723</v>
      </c>
      <c r="C28777" s="74" t="s">
        <v>427</v>
      </c>
    </row>
    <row r="28778" spans="1:3">
      <c r="A28778" s="250">
        <v>66636</v>
      </c>
      <c r="B28778" s="74" t="s">
        <v>10723</v>
      </c>
      <c r="C28778" s="74" t="s">
        <v>427</v>
      </c>
    </row>
    <row r="28779" spans="1:3">
      <c r="A28779" s="250">
        <v>66637</v>
      </c>
      <c r="B28779" s="74" t="s">
        <v>10723</v>
      </c>
      <c r="C28779" s="74" t="s">
        <v>427</v>
      </c>
    </row>
    <row r="28780" spans="1:3">
      <c r="A28780" s="250">
        <v>66642</v>
      </c>
      <c r="B28780" s="74" t="s">
        <v>10723</v>
      </c>
      <c r="C28780" s="74" t="s">
        <v>427</v>
      </c>
    </row>
    <row r="28781" spans="1:3">
      <c r="A28781" s="250">
        <v>66647</v>
      </c>
      <c r="B28781" s="74" t="s">
        <v>10723</v>
      </c>
      <c r="C28781" s="74" t="s">
        <v>427</v>
      </c>
    </row>
    <row r="28782" spans="1:3">
      <c r="A28782" s="250">
        <v>66652</v>
      </c>
      <c r="B28782" s="74" t="s">
        <v>10723</v>
      </c>
      <c r="C28782" s="74" t="s">
        <v>427</v>
      </c>
    </row>
    <row r="28783" spans="1:3">
      <c r="A28783" s="250">
        <v>66653</v>
      </c>
      <c r="B28783" s="74" t="s">
        <v>10723</v>
      </c>
      <c r="C28783" s="74" t="s">
        <v>427</v>
      </c>
    </row>
    <row r="28784" spans="1:3">
      <c r="A28784" s="250">
        <v>66667</v>
      </c>
      <c r="B28784" s="74" t="s">
        <v>10723</v>
      </c>
      <c r="C28784" s="74" t="s">
        <v>427</v>
      </c>
    </row>
    <row r="28785" spans="1:3">
      <c r="A28785" s="250">
        <v>66675</v>
      </c>
      <c r="B28785" s="74" t="s">
        <v>10723</v>
      </c>
      <c r="C28785" s="74" t="s">
        <v>427</v>
      </c>
    </row>
    <row r="28786" spans="1:3">
      <c r="A28786" s="250">
        <v>66683</v>
      </c>
      <c r="B28786" s="74" t="s">
        <v>10723</v>
      </c>
      <c r="C28786" s="74" t="s">
        <v>427</v>
      </c>
    </row>
    <row r="28787" spans="1:3">
      <c r="A28787" s="250">
        <v>66692</v>
      </c>
      <c r="B28787" s="74" t="s">
        <v>10723</v>
      </c>
      <c r="C28787" s="74" t="s">
        <v>427</v>
      </c>
    </row>
    <row r="28788" spans="1:3">
      <c r="A28788" s="250">
        <v>66699</v>
      </c>
      <c r="B28788" s="74" t="s">
        <v>10723</v>
      </c>
      <c r="C28788" s="74" t="s">
        <v>427</v>
      </c>
    </row>
    <row r="28789" spans="1:3">
      <c r="A28789" s="250">
        <v>66701</v>
      </c>
      <c r="B28789" s="74" t="s">
        <v>14543</v>
      </c>
      <c r="C28789" s="74" t="s">
        <v>427</v>
      </c>
    </row>
    <row r="28790" spans="1:3">
      <c r="A28790" s="250">
        <v>66710</v>
      </c>
      <c r="B28790" s="74" t="s">
        <v>4529</v>
      </c>
      <c r="C28790" s="74" t="s">
        <v>427</v>
      </c>
    </row>
    <row r="28791" spans="1:3">
      <c r="A28791" s="250">
        <v>66711</v>
      </c>
      <c r="B28791" s="74" t="s">
        <v>4258</v>
      </c>
      <c r="C28791" s="74" t="s">
        <v>427</v>
      </c>
    </row>
    <row r="28792" spans="1:3">
      <c r="A28792" s="250">
        <v>66712</v>
      </c>
      <c r="B28792" s="74" t="s">
        <v>14544</v>
      </c>
      <c r="C28792" s="74" t="s">
        <v>427</v>
      </c>
    </row>
    <row r="28793" spans="1:3">
      <c r="A28793" s="250">
        <v>66713</v>
      </c>
      <c r="B28793" s="74" t="s">
        <v>14545</v>
      </c>
      <c r="C28793" s="74" t="s">
        <v>427</v>
      </c>
    </row>
    <row r="28794" spans="1:3">
      <c r="A28794" s="250">
        <v>66714</v>
      </c>
      <c r="B28794" s="74" t="s">
        <v>5550</v>
      </c>
      <c r="C28794" s="74" t="s">
        <v>427</v>
      </c>
    </row>
    <row r="28795" spans="1:3">
      <c r="A28795" s="250">
        <v>66716</v>
      </c>
      <c r="B28795" s="74" t="s">
        <v>8344</v>
      </c>
      <c r="C28795" s="74" t="s">
        <v>427</v>
      </c>
    </row>
    <row r="28796" spans="1:3">
      <c r="A28796" s="250">
        <v>66717</v>
      </c>
      <c r="B28796" s="74" t="s">
        <v>3751</v>
      </c>
      <c r="C28796" s="74" t="s">
        <v>427</v>
      </c>
    </row>
    <row r="28797" spans="1:3">
      <c r="A28797" s="250">
        <v>66720</v>
      </c>
      <c r="B28797" s="74" t="s">
        <v>14546</v>
      </c>
      <c r="C28797" s="74" t="s">
        <v>427</v>
      </c>
    </row>
    <row r="28798" spans="1:3">
      <c r="A28798" s="250">
        <v>66724</v>
      </c>
      <c r="B28798" s="74" t="s">
        <v>7540</v>
      </c>
      <c r="C28798" s="74" t="s">
        <v>427</v>
      </c>
    </row>
    <row r="28799" spans="1:3">
      <c r="A28799" s="250">
        <v>66725</v>
      </c>
      <c r="B28799" s="74" t="s">
        <v>2376</v>
      </c>
      <c r="C28799" s="74" t="s">
        <v>427</v>
      </c>
    </row>
    <row r="28800" spans="1:3">
      <c r="A28800" s="250">
        <v>66728</v>
      </c>
      <c r="B28800" s="74" t="s">
        <v>10428</v>
      </c>
      <c r="C28800" s="74" t="s">
        <v>427</v>
      </c>
    </row>
    <row r="28801" spans="1:3">
      <c r="A28801" s="250">
        <v>66732</v>
      </c>
      <c r="B28801" s="74" t="s">
        <v>14547</v>
      </c>
      <c r="C28801" s="74" t="s">
        <v>427</v>
      </c>
    </row>
    <row r="28802" spans="1:3">
      <c r="A28802" s="250">
        <v>66733</v>
      </c>
      <c r="B28802" s="74" t="s">
        <v>4528</v>
      </c>
      <c r="C28802" s="74" t="s">
        <v>427</v>
      </c>
    </row>
    <row r="28803" spans="1:3">
      <c r="A28803" s="250">
        <v>66734</v>
      </c>
      <c r="B28803" s="74" t="s">
        <v>14548</v>
      </c>
      <c r="C28803" s="74" t="s">
        <v>427</v>
      </c>
    </row>
    <row r="28804" spans="1:3">
      <c r="A28804" s="250">
        <v>66735</v>
      </c>
      <c r="B28804" s="74" t="s">
        <v>873</v>
      </c>
      <c r="C28804" s="74" t="s">
        <v>427</v>
      </c>
    </row>
    <row r="28805" spans="1:3">
      <c r="A28805" s="250">
        <v>66736</v>
      </c>
      <c r="B28805" s="74" t="s">
        <v>3706</v>
      </c>
      <c r="C28805" s="74" t="s">
        <v>427</v>
      </c>
    </row>
    <row r="28806" spans="1:3">
      <c r="A28806" s="250">
        <v>66738</v>
      </c>
      <c r="B28806" s="74" t="s">
        <v>3365</v>
      </c>
      <c r="C28806" s="74" t="s">
        <v>427</v>
      </c>
    </row>
    <row r="28807" spans="1:3">
      <c r="A28807" s="250">
        <v>66739</v>
      </c>
      <c r="B28807" s="74" t="s">
        <v>5755</v>
      </c>
      <c r="C28807" s="74" t="s">
        <v>427</v>
      </c>
    </row>
    <row r="28808" spans="1:3">
      <c r="A28808" s="250">
        <v>66740</v>
      </c>
      <c r="B28808" s="74" t="s">
        <v>11201</v>
      </c>
      <c r="C28808" s="74" t="s">
        <v>427</v>
      </c>
    </row>
    <row r="28809" spans="1:3">
      <c r="A28809" s="250">
        <v>66741</v>
      </c>
      <c r="B28809" s="74" t="s">
        <v>1695</v>
      </c>
      <c r="C28809" s="74" t="s">
        <v>427</v>
      </c>
    </row>
    <row r="28810" spans="1:3">
      <c r="A28810" s="250">
        <v>66742</v>
      </c>
      <c r="B28810" s="74" t="s">
        <v>14549</v>
      </c>
      <c r="C28810" s="74" t="s">
        <v>427</v>
      </c>
    </row>
    <row r="28811" spans="1:3">
      <c r="A28811" s="250">
        <v>66743</v>
      </c>
      <c r="B28811" s="74" t="s">
        <v>4512</v>
      </c>
      <c r="C28811" s="74" t="s">
        <v>427</v>
      </c>
    </row>
    <row r="28812" spans="1:3">
      <c r="A28812" s="250">
        <v>66746</v>
      </c>
      <c r="B28812" s="74" t="s">
        <v>14550</v>
      </c>
      <c r="C28812" s="74" t="s">
        <v>427</v>
      </c>
    </row>
    <row r="28813" spans="1:3">
      <c r="A28813" s="250">
        <v>66748</v>
      </c>
      <c r="B28813" s="74" t="s">
        <v>9221</v>
      </c>
      <c r="C28813" s="74" t="s">
        <v>427</v>
      </c>
    </row>
    <row r="28814" spans="1:3">
      <c r="A28814" s="250">
        <v>66749</v>
      </c>
      <c r="B28814" s="74" t="s">
        <v>12332</v>
      </c>
      <c r="C28814" s="74" t="s">
        <v>427</v>
      </c>
    </row>
    <row r="28815" spans="1:3">
      <c r="A28815" s="250">
        <v>66751</v>
      </c>
      <c r="B28815" s="74" t="s">
        <v>13700</v>
      </c>
      <c r="C28815" s="74" t="s">
        <v>427</v>
      </c>
    </row>
    <row r="28816" spans="1:3">
      <c r="A28816" s="250">
        <v>66753</v>
      </c>
      <c r="B28816" s="74" t="s">
        <v>14551</v>
      </c>
      <c r="C28816" s="74" t="s">
        <v>427</v>
      </c>
    </row>
    <row r="28817" spans="1:3">
      <c r="A28817" s="250">
        <v>66754</v>
      </c>
      <c r="B28817" s="74" t="s">
        <v>1637</v>
      </c>
      <c r="C28817" s="74" t="s">
        <v>427</v>
      </c>
    </row>
    <row r="28818" spans="1:3">
      <c r="A28818" s="250">
        <v>66755</v>
      </c>
      <c r="B28818" s="74" t="s">
        <v>11373</v>
      </c>
      <c r="C28818" s="74" t="s">
        <v>427</v>
      </c>
    </row>
    <row r="28819" spans="1:3">
      <c r="A28819" s="250">
        <v>66756</v>
      </c>
      <c r="B28819" s="74" t="s">
        <v>8511</v>
      </c>
      <c r="C28819" s="74" t="s">
        <v>427</v>
      </c>
    </row>
    <row r="28820" spans="1:3">
      <c r="A28820" s="250">
        <v>66757</v>
      </c>
      <c r="B28820" s="74" t="s">
        <v>14552</v>
      </c>
      <c r="C28820" s="74" t="s">
        <v>427</v>
      </c>
    </row>
    <row r="28821" spans="1:3">
      <c r="A28821" s="250">
        <v>66758</v>
      </c>
      <c r="B28821" s="74" t="s">
        <v>14553</v>
      </c>
      <c r="C28821" s="74" t="s">
        <v>427</v>
      </c>
    </row>
    <row r="28822" spans="1:3">
      <c r="A28822" s="250">
        <v>66759</v>
      </c>
      <c r="B28822" s="74" t="s">
        <v>5247</v>
      </c>
      <c r="C28822" s="74" t="s">
        <v>427</v>
      </c>
    </row>
    <row r="28823" spans="1:3">
      <c r="A28823" s="250">
        <v>66760</v>
      </c>
      <c r="B28823" s="74" t="s">
        <v>14554</v>
      </c>
      <c r="C28823" s="74" t="s">
        <v>427</v>
      </c>
    </row>
    <row r="28824" spans="1:3">
      <c r="A28824" s="250">
        <v>66761</v>
      </c>
      <c r="B28824" s="74" t="s">
        <v>10512</v>
      </c>
      <c r="C28824" s="74" t="s">
        <v>427</v>
      </c>
    </row>
    <row r="28825" spans="1:3">
      <c r="A28825" s="250">
        <v>66762</v>
      </c>
      <c r="B28825" s="74" t="s">
        <v>1259</v>
      </c>
      <c r="C28825" s="74" t="s">
        <v>427</v>
      </c>
    </row>
    <row r="28826" spans="1:3">
      <c r="A28826" s="250">
        <v>66763</v>
      </c>
      <c r="B28826" s="74" t="s">
        <v>12368</v>
      </c>
      <c r="C28826" s="74" t="s">
        <v>427</v>
      </c>
    </row>
    <row r="28827" spans="1:3">
      <c r="A28827" s="250">
        <v>66767</v>
      </c>
      <c r="B28827" s="74" t="s">
        <v>11136</v>
      </c>
      <c r="C28827" s="74" t="s">
        <v>427</v>
      </c>
    </row>
    <row r="28828" spans="1:3">
      <c r="A28828" s="250">
        <v>66769</v>
      </c>
      <c r="B28828" s="74" t="s">
        <v>3489</v>
      </c>
      <c r="C28828" s="74" t="s">
        <v>427</v>
      </c>
    </row>
    <row r="28829" spans="1:3">
      <c r="A28829" s="250">
        <v>66770</v>
      </c>
      <c r="B28829" s="74" t="s">
        <v>1953</v>
      </c>
      <c r="C28829" s="74" t="s">
        <v>427</v>
      </c>
    </row>
    <row r="28830" spans="1:3">
      <c r="A28830" s="250">
        <v>66771</v>
      </c>
      <c r="B28830" s="74" t="s">
        <v>6341</v>
      </c>
      <c r="C28830" s="74" t="s">
        <v>427</v>
      </c>
    </row>
    <row r="28831" spans="1:3">
      <c r="A28831" s="250">
        <v>66772</v>
      </c>
      <c r="B28831" s="74" t="s">
        <v>14555</v>
      </c>
      <c r="C28831" s="74" t="s">
        <v>427</v>
      </c>
    </row>
    <row r="28832" spans="1:3">
      <c r="A28832" s="250">
        <v>66773</v>
      </c>
      <c r="B28832" s="74" t="s">
        <v>14556</v>
      </c>
      <c r="C28832" s="74" t="s">
        <v>427</v>
      </c>
    </row>
    <row r="28833" spans="1:3">
      <c r="A28833" s="250">
        <v>66775</v>
      </c>
      <c r="B28833" s="74" t="s">
        <v>14557</v>
      </c>
      <c r="C28833" s="74" t="s">
        <v>427</v>
      </c>
    </row>
    <row r="28834" spans="1:3">
      <c r="A28834" s="250">
        <v>66776</v>
      </c>
      <c r="B28834" s="74" t="s">
        <v>10700</v>
      </c>
      <c r="C28834" s="74" t="s">
        <v>427</v>
      </c>
    </row>
    <row r="28835" spans="1:3">
      <c r="A28835" s="250">
        <v>66777</v>
      </c>
      <c r="B28835" s="74" t="s">
        <v>10283</v>
      </c>
      <c r="C28835" s="74" t="s">
        <v>427</v>
      </c>
    </row>
    <row r="28836" spans="1:3">
      <c r="A28836" s="250">
        <v>66778</v>
      </c>
      <c r="B28836" s="74" t="s">
        <v>14558</v>
      </c>
      <c r="C28836" s="74" t="s">
        <v>427</v>
      </c>
    </row>
    <row r="28837" spans="1:3">
      <c r="A28837" s="250">
        <v>66779</v>
      </c>
      <c r="B28837" s="74" t="s">
        <v>4089</v>
      </c>
      <c r="C28837" s="74" t="s">
        <v>427</v>
      </c>
    </row>
    <row r="28838" spans="1:3">
      <c r="A28838" s="250">
        <v>66780</v>
      </c>
      <c r="B28838" s="74" t="s">
        <v>9326</v>
      </c>
      <c r="C28838" s="74" t="s">
        <v>427</v>
      </c>
    </row>
    <row r="28839" spans="1:3">
      <c r="A28839" s="250">
        <v>66781</v>
      </c>
      <c r="B28839" s="74" t="s">
        <v>9554</v>
      </c>
      <c r="C28839" s="74" t="s">
        <v>427</v>
      </c>
    </row>
    <row r="28840" spans="1:3">
      <c r="A28840" s="250">
        <v>66782</v>
      </c>
      <c r="B28840" s="74" t="s">
        <v>14559</v>
      </c>
      <c r="C28840" s="74" t="s">
        <v>427</v>
      </c>
    </row>
    <row r="28841" spans="1:3">
      <c r="A28841" s="250">
        <v>66783</v>
      </c>
      <c r="B28841" s="74" t="s">
        <v>14560</v>
      </c>
      <c r="C28841" s="74" t="s">
        <v>427</v>
      </c>
    </row>
    <row r="28842" spans="1:3">
      <c r="A28842" s="250">
        <v>66801</v>
      </c>
      <c r="B28842" s="74" t="s">
        <v>6202</v>
      </c>
      <c r="C28842" s="74" t="s">
        <v>427</v>
      </c>
    </row>
    <row r="28843" spans="1:3">
      <c r="A28843" s="250">
        <v>66830</v>
      </c>
      <c r="B28843" s="74" t="s">
        <v>14561</v>
      </c>
      <c r="C28843" s="74" t="s">
        <v>427</v>
      </c>
    </row>
    <row r="28844" spans="1:3">
      <c r="A28844" s="250">
        <v>66833</v>
      </c>
      <c r="B28844" s="74" t="s">
        <v>5826</v>
      </c>
      <c r="C28844" s="74" t="s">
        <v>427</v>
      </c>
    </row>
    <row r="28845" spans="1:3">
      <c r="A28845" s="250">
        <v>66834</v>
      </c>
      <c r="B28845" s="74" t="s">
        <v>11654</v>
      </c>
      <c r="C28845" s="74" t="s">
        <v>427</v>
      </c>
    </row>
    <row r="28846" spans="1:3">
      <c r="A28846" s="250">
        <v>66835</v>
      </c>
      <c r="B28846" s="74" t="s">
        <v>8161</v>
      </c>
      <c r="C28846" s="74" t="s">
        <v>427</v>
      </c>
    </row>
    <row r="28847" spans="1:3">
      <c r="A28847" s="250">
        <v>66838</v>
      </c>
      <c r="B28847" s="74" t="s">
        <v>14562</v>
      </c>
      <c r="C28847" s="74" t="s">
        <v>427</v>
      </c>
    </row>
    <row r="28848" spans="1:3">
      <c r="A28848" s="250">
        <v>66839</v>
      </c>
      <c r="B28848" s="74" t="s">
        <v>806</v>
      </c>
      <c r="C28848" s="74" t="s">
        <v>427</v>
      </c>
    </row>
    <row r="28849" spans="1:3">
      <c r="A28849" s="250">
        <v>66840</v>
      </c>
      <c r="B28849" s="74" t="s">
        <v>8991</v>
      </c>
      <c r="C28849" s="74" t="s">
        <v>427</v>
      </c>
    </row>
    <row r="28850" spans="1:3">
      <c r="A28850" s="250">
        <v>66842</v>
      </c>
      <c r="B28850" s="74" t="s">
        <v>14563</v>
      </c>
      <c r="C28850" s="74" t="s">
        <v>427</v>
      </c>
    </row>
    <row r="28851" spans="1:3">
      <c r="A28851" s="250">
        <v>66843</v>
      </c>
      <c r="B28851" s="74" t="s">
        <v>13656</v>
      </c>
      <c r="C28851" s="74" t="s">
        <v>427</v>
      </c>
    </row>
    <row r="28852" spans="1:3">
      <c r="A28852" s="250">
        <v>66845</v>
      </c>
      <c r="B28852" s="74" t="s">
        <v>14564</v>
      </c>
      <c r="C28852" s="74" t="s">
        <v>427</v>
      </c>
    </row>
    <row r="28853" spans="1:3">
      <c r="A28853" s="250">
        <v>66846</v>
      </c>
      <c r="B28853" s="74" t="s">
        <v>14565</v>
      </c>
      <c r="C28853" s="74" t="s">
        <v>427</v>
      </c>
    </row>
    <row r="28854" spans="1:3">
      <c r="A28854" s="250">
        <v>66849</v>
      </c>
      <c r="B28854" s="74" t="s">
        <v>13510</v>
      </c>
      <c r="C28854" s="74" t="s">
        <v>427</v>
      </c>
    </row>
    <row r="28855" spans="1:3">
      <c r="A28855" s="250">
        <v>66850</v>
      </c>
      <c r="B28855" s="74" t="s">
        <v>14566</v>
      </c>
      <c r="C28855" s="74" t="s">
        <v>427</v>
      </c>
    </row>
    <row r="28856" spans="1:3">
      <c r="A28856" s="250">
        <v>66851</v>
      </c>
      <c r="B28856" s="74" t="s">
        <v>608</v>
      </c>
      <c r="C28856" s="74" t="s">
        <v>427</v>
      </c>
    </row>
    <row r="28857" spans="1:3">
      <c r="A28857" s="250">
        <v>66852</v>
      </c>
      <c r="B28857" s="74" t="s">
        <v>13749</v>
      </c>
      <c r="C28857" s="74" t="s">
        <v>427</v>
      </c>
    </row>
    <row r="28858" spans="1:3">
      <c r="A28858" s="250">
        <v>66853</v>
      </c>
      <c r="B28858" s="74" t="s">
        <v>844</v>
      </c>
      <c r="C28858" s="74" t="s">
        <v>427</v>
      </c>
    </row>
    <row r="28859" spans="1:3">
      <c r="A28859" s="250">
        <v>66854</v>
      </c>
      <c r="B28859" s="74" t="s">
        <v>1737</v>
      </c>
      <c r="C28859" s="74" t="s">
        <v>427</v>
      </c>
    </row>
    <row r="28860" spans="1:3">
      <c r="A28860" s="250">
        <v>66855</v>
      </c>
      <c r="B28860" s="74" t="s">
        <v>8282</v>
      </c>
      <c r="C28860" s="74" t="s">
        <v>427</v>
      </c>
    </row>
    <row r="28861" spans="1:3">
      <c r="A28861" s="250">
        <v>66856</v>
      </c>
      <c r="B28861" s="74" t="s">
        <v>14567</v>
      </c>
      <c r="C28861" s="74" t="s">
        <v>427</v>
      </c>
    </row>
    <row r="28862" spans="1:3">
      <c r="A28862" s="250">
        <v>66857</v>
      </c>
      <c r="B28862" s="74" t="s">
        <v>3789</v>
      </c>
      <c r="C28862" s="74" t="s">
        <v>427</v>
      </c>
    </row>
    <row r="28863" spans="1:3">
      <c r="A28863" s="250">
        <v>66858</v>
      </c>
      <c r="B28863" s="74" t="s">
        <v>1663</v>
      </c>
      <c r="C28863" s="74" t="s">
        <v>427</v>
      </c>
    </row>
    <row r="28864" spans="1:3">
      <c r="A28864" s="250">
        <v>66859</v>
      </c>
      <c r="B28864" s="74" t="s">
        <v>14568</v>
      </c>
      <c r="C28864" s="74" t="s">
        <v>427</v>
      </c>
    </row>
    <row r="28865" spans="1:3">
      <c r="A28865" s="250">
        <v>66860</v>
      </c>
      <c r="B28865" s="74" t="s">
        <v>1320</v>
      </c>
      <c r="C28865" s="74" t="s">
        <v>427</v>
      </c>
    </row>
    <row r="28866" spans="1:3">
      <c r="A28866" s="250">
        <v>66861</v>
      </c>
      <c r="B28866" s="74" t="s">
        <v>1071</v>
      </c>
      <c r="C28866" s="74" t="s">
        <v>427</v>
      </c>
    </row>
    <row r="28867" spans="1:3">
      <c r="A28867" s="250">
        <v>66862</v>
      </c>
      <c r="B28867" s="74" t="s">
        <v>14569</v>
      </c>
      <c r="C28867" s="74" t="s">
        <v>427</v>
      </c>
    </row>
    <row r="28868" spans="1:3">
      <c r="A28868" s="250">
        <v>66863</v>
      </c>
      <c r="B28868" s="74" t="s">
        <v>14570</v>
      </c>
      <c r="C28868" s="74" t="s">
        <v>427</v>
      </c>
    </row>
    <row r="28869" spans="1:3">
      <c r="A28869" s="250">
        <v>66864</v>
      </c>
      <c r="B28869" s="74" t="s">
        <v>14571</v>
      </c>
      <c r="C28869" s="74" t="s">
        <v>427</v>
      </c>
    </row>
    <row r="28870" spans="1:3">
      <c r="A28870" s="250">
        <v>66865</v>
      </c>
      <c r="B28870" s="74" t="s">
        <v>14572</v>
      </c>
      <c r="C28870" s="74" t="s">
        <v>427</v>
      </c>
    </row>
    <row r="28871" spans="1:3">
      <c r="A28871" s="250">
        <v>66866</v>
      </c>
      <c r="B28871" s="74" t="s">
        <v>854</v>
      </c>
      <c r="C28871" s="74" t="s">
        <v>427</v>
      </c>
    </row>
    <row r="28872" spans="1:3">
      <c r="A28872" s="250">
        <v>66868</v>
      </c>
      <c r="B28872" s="74" t="s">
        <v>825</v>
      </c>
      <c r="C28872" s="74" t="s">
        <v>427</v>
      </c>
    </row>
    <row r="28873" spans="1:3">
      <c r="A28873" s="250">
        <v>66869</v>
      </c>
      <c r="B28873" s="74" t="s">
        <v>14573</v>
      </c>
      <c r="C28873" s="74" t="s">
        <v>427</v>
      </c>
    </row>
    <row r="28874" spans="1:3">
      <c r="A28874" s="250">
        <v>66870</v>
      </c>
      <c r="B28874" s="74" t="s">
        <v>12893</v>
      </c>
      <c r="C28874" s="74" t="s">
        <v>427</v>
      </c>
    </row>
    <row r="28875" spans="1:3">
      <c r="A28875" s="250">
        <v>66871</v>
      </c>
      <c r="B28875" s="74" t="s">
        <v>3950</v>
      </c>
      <c r="C28875" s="74" t="s">
        <v>427</v>
      </c>
    </row>
    <row r="28876" spans="1:3">
      <c r="A28876" s="250">
        <v>66872</v>
      </c>
      <c r="B28876" s="74" t="s">
        <v>14574</v>
      </c>
      <c r="C28876" s="74" t="s">
        <v>427</v>
      </c>
    </row>
    <row r="28877" spans="1:3">
      <c r="A28877" s="250">
        <v>66873</v>
      </c>
      <c r="B28877" s="74" t="s">
        <v>14575</v>
      </c>
      <c r="C28877" s="74" t="s">
        <v>427</v>
      </c>
    </row>
    <row r="28878" spans="1:3">
      <c r="A28878" s="250">
        <v>66901</v>
      </c>
      <c r="B28878" s="74" t="s">
        <v>14228</v>
      </c>
      <c r="C28878" s="74" t="s">
        <v>427</v>
      </c>
    </row>
    <row r="28879" spans="1:3">
      <c r="A28879" s="250">
        <v>66930</v>
      </c>
      <c r="B28879" s="74" t="s">
        <v>14576</v>
      </c>
      <c r="C28879" s="74" t="s">
        <v>427</v>
      </c>
    </row>
    <row r="28880" spans="1:3">
      <c r="A28880" s="250">
        <v>66932</v>
      </c>
      <c r="B28880" s="74" t="s">
        <v>672</v>
      </c>
      <c r="C28880" s="74" t="s">
        <v>427</v>
      </c>
    </row>
    <row r="28881" spans="1:3">
      <c r="A28881" s="250">
        <v>66933</v>
      </c>
      <c r="B28881" s="74" t="s">
        <v>14577</v>
      </c>
      <c r="C28881" s="74" t="s">
        <v>427</v>
      </c>
    </row>
    <row r="28882" spans="1:3">
      <c r="A28882" s="250">
        <v>66935</v>
      </c>
      <c r="B28882" s="74" t="s">
        <v>2173</v>
      </c>
      <c r="C28882" s="74" t="s">
        <v>427</v>
      </c>
    </row>
    <row r="28883" spans="1:3">
      <c r="A28883" s="250">
        <v>66936</v>
      </c>
      <c r="B28883" s="74" t="s">
        <v>11189</v>
      </c>
      <c r="C28883" s="74" t="s">
        <v>427</v>
      </c>
    </row>
    <row r="28884" spans="1:3">
      <c r="A28884" s="250">
        <v>66937</v>
      </c>
      <c r="B28884" s="74" t="s">
        <v>2117</v>
      </c>
      <c r="C28884" s="74" t="s">
        <v>427</v>
      </c>
    </row>
    <row r="28885" spans="1:3">
      <c r="A28885" s="250">
        <v>66938</v>
      </c>
      <c r="B28885" s="74" t="s">
        <v>3766</v>
      </c>
      <c r="C28885" s="74" t="s">
        <v>427</v>
      </c>
    </row>
    <row r="28886" spans="1:3">
      <c r="A28886" s="250">
        <v>66939</v>
      </c>
      <c r="B28886" s="74" t="s">
        <v>6193</v>
      </c>
      <c r="C28886" s="74" t="s">
        <v>427</v>
      </c>
    </row>
    <row r="28887" spans="1:3">
      <c r="A28887" s="250">
        <v>66940</v>
      </c>
      <c r="B28887" s="74" t="s">
        <v>3857</v>
      </c>
      <c r="C28887" s="74" t="s">
        <v>427</v>
      </c>
    </row>
    <row r="28888" spans="1:3">
      <c r="A28888" s="250">
        <v>66941</v>
      </c>
      <c r="B28888" s="74" t="s">
        <v>14578</v>
      </c>
      <c r="C28888" s="74" t="s">
        <v>427</v>
      </c>
    </row>
    <row r="28889" spans="1:3">
      <c r="A28889" s="250">
        <v>66942</v>
      </c>
      <c r="B28889" s="74" t="s">
        <v>14579</v>
      </c>
      <c r="C28889" s="74" t="s">
        <v>427</v>
      </c>
    </row>
    <row r="28890" spans="1:3">
      <c r="A28890" s="250">
        <v>66943</v>
      </c>
      <c r="B28890" s="74" t="s">
        <v>12100</v>
      </c>
      <c r="C28890" s="74" t="s">
        <v>427</v>
      </c>
    </row>
    <row r="28891" spans="1:3">
      <c r="A28891" s="250">
        <v>66944</v>
      </c>
      <c r="B28891" s="74" t="s">
        <v>2050</v>
      </c>
      <c r="C28891" s="74" t="s">
        <v>427</v>
      </c>
    </row>
    <row r="28892" spans="1:3">
      <c r="A28892" s="250">
        <v>66945</v>
      </c>
      <c r="B28892" s="74" t="s">
        <v>944</v>
      </c>
      <c r="C28892" s="74" t="s">
        <v>427</v>
      </c>
    </row>
    <row r="28893" spans="1:3">
      <c r="A28893" s="250">
        <v>66946</v>
      </c>
      <c r="B28893" s="74" t="s">
        <v>14580</v>
      </c>
      <c r="C28893" s="74" t="s">
        <v>427</v>
      </c>
    </row>
    <row r="28894" spans="1:3">
      <c r="A28894" s="250">
        <v>66948</v>
      </c>
      <c r="B28894" s="74" t="s">
        <v>1113</v>
      </c>
      <c r="C28894" s="74" t="s">
        <v>427</v>
      </c>
    </row>
    <row r="28895" spans="1:3">
      <c r="A28895" s="250">
        <v>66949</v>
      </c>
      <c r="B28895" s="74" t="s">
        <v>8079</v>
      </c>
      <c r="C28895" s="74" t="s">
        <v>427</v>
      </c>
    </row>
    <row r="28896" spans="1:3">
      <c r="A28896" s="250">
        <v>66951</v>
      </c>
      <c r="B28896" s="74" t="s">
        <v>5644</v>
      </c>
      <c r="C28896" s="74" t="s">
        <v>427</v>
      </c>
    </row>
    <row r="28897" spans="1:3">
      <c r="A28897" s="250">
        <v>66952</v>
      </c>
      <c r="B28897" s="74" t="s">
        <v>1280</v>
      </c>
      <c r="C28897" s="74" t="s">
        <v>427</v>
      </c>
    </row>
    <row r="28898" spans="1:3">
      <c r="A28898" s="250">
        <v>66953</v>
      </c>
      <c r="B28898" s="74" t="s">
        <v>6944</v>
      </c>
      <c r="C28898" s="74" t="s">
        <v>427</v>
      </c>
    </row>
    <row r="28899" spans="1:3">
      <c r="A28899" s="250">
        <v>66955</v>
      </c>
      <c r="B28899" s="74" t="s">
        <v>14581</v>
      </c>
      <c r="C28899" s="74" t="s">
        <v>427</v>
      </c>
    </row>
    <row r="28900" spans="1:3">
      <c r="A28900" s="250">
        <v>66956</v>
      </c>
      <c r="B28900" s="74" t="s">
        <v>12521</v>
      </c>
      <c r="C28900" s="74" t="s">
        <v>427</v>
      </c>
    </row>
    <row r="28901" spans="1:3">
      <c r="A28901" s="250">
        <v>66958</v>
      </c>
      <c r="B28901" s="74" t="s">
        <v>14582</v>
      </c>
      <c r="C28901" s="74" t="s">
        <v>427</v>
      </c>
    </row>
    <row r="28902" spans="1:3">
      <c r="A28902" s="250">
        <v>66959</v>
      </c>
      <c r="B28902" s="74" t="s">
        <v>14583</v>
      </c>
      <c r="C28902" s="74" t="s">
        <v>427</v>
      </c>
    </row>
    <row r="28903" spans="1:3">
      <c r="A28903" s="250">
        <v>66960</v>
      </c>
      <c r="B28903" s="74" t="s">
        <v>14584</v>
      </c>
      <c r="C28903" s="74" t="s">
        <v>427</v>
      </c>
    </row>
    <row r="28904" spans="1:3">
      <c r="A28904" s="250">
        <v>66961</v>
      </c>
      <c r="B28904" s="74" t="s">
        <v>1458</v>
      </c>
      <c r="C28904" s="74" t="s">
        <v>427</v>
      </c>
    </row>
    <row r="28905" spans="1:3">
      <c r="A28905" s="250">
        <v>66962</v>
      </c>
      <c r="B28905" s="74" t="s">
        <v>526</v>
      </c>
      <c r="C28905" s="74" t="s">
        <v>427</v>
      </c>
    </row>
    <row r="28906" spans="1:3">
      <c r="A28906" s="250">
        <v>66963</v>
      </c>
      <c r="B28906" s="74" t="s">
        <v>11543</v>
      </c>
      <c r="C28906" s="74" t="s">
        <v>427</v>
      </c>
    </row>
    <row r="28907" spans="1:3">
      <c r="A28907" s="250">
        <v>66964</v>
      </c>
      <c r="B28907" s="74" t="s">
        <v>4141</v>
      </c>
      <c r="C28907" s="74" t="s">
        <v>427</v>
      </c>
    </row>
    <row r="28908" spans="1:3">
      <c r="A28908" s="250">
        <v>66966</v>
      </c>
      <c r="B28908" s="74" t="s">
        <v>12385</v>
      </c>
      <c r="C28908" s="74" t="s">
        <v>427</v>
      </c>
    </row>
    <row r="28909" spans="1:3">
      <c r="A28909" s="250">
        <v>66967</v>
      </c>
      <c r="B28909" s="74" t="s">
        <v>14585</v>
      </c>
      <c r="C28909" s="74" t="s">
        <v>427</v>
      </c>
    </row>
    <row r="28910" spans="1:3">
      <c r="A28910" s="250">
        <v>66968</v>
      </c>
      <c r="B28910" s="74" t="s">
        <v>1215</v>
      </c>
      <c r="C28910" s="74" t="s">
        <v>427</v>
      </c>
    </row>
    <row r="28911" spans="1:3">
      <c r="A28911" s="250">
        <v>66970</v>
      </c>
      <c r="B28911" s="74" t="s">
        <v>14586</v>
      </c>
      <c r="C28911" s="74" t="s">
        <v>427</v>
      </c>
    </row>
    <row r="28912" spans="1:3">
      <c r="A28912" s="250">
        <v>67001</v>
      </c>
      <c r="B28912" s="74" t="s">
        <v>14587</v>
      </c>
      <c r="C28912" s="74" t="s">
        <v>427</v>
      </c>
    </row>
    <row r="28913" spans="1:3">
      <c r="A28913" s="250">
        <v>67002</v>
      </c>
      <c r="B28913" s="74" t="s">
        <v>807</v>
      </c>
      <c r="C28913" s="74" t="s">
        <v>427</v>
      </c>
    </row>
    <row r="28914" spans="1:3">
      <c r="A28914" s="250">
        <v>67003</v>
      </c>
      <c r="B28914" s="74" t="s">
        <v>8341</v>
      </c>
      <c r="C28914" s="74" t="s">
        <v>427</v>
      </c>
    </row>
    <row r="28915" spans="1:3">
      <c r="A28915" s="250">
        <v>67004</v>
      </c>
      <c r="B28915" s="74" t="s">
        <v>14588</v>
      </c>
      <c r="C28915" s="74" t="s">
        <v>427</v>
      </c>
    </row>
    <row r="28916" spans="1:3">
      <c r="A28916" s="250">
        <v>67005</v>
      </c>
      <c r="B28916" s="74" t="s">
        <v>14589</v>
      </c>
      <c r="C28916" s="74" t="s">
        <v>427</v>
      </c>
    </row>
    <row r="28917" spans="1:3">
      <c r="A28917" s="250">
        <v>67008</v>
      </c>
      <c r="B28917" s="74" t="s">
        <v>3895</v>
      </c>
      <c r="C28917" s="74" t="s">
        <v>427</v>
      </c>
    </row>
    <row r="28918" spans="1:3">
      <c r="A28918" s="250">
        <v>67009</v>
      </c>
      <c r="B28918" s="74" t="s">
        <v>3674</v>
      </c>
      <c r="C28918" s="74" t="s">
        <v>427</v>
      </c>
    </row>
    <row r="28919" spans="1:3">
      <c r="A28919" s="250">
        <v>67010</v>
      </c>
      <c r="B28919" s="74" t="s">
        <v>1473</v>
      </c>
      <c r="C28919" s="74" t="s">
        <v>427</v>
      </c>
    </row>
    <row r="28920" spans="1:3">
      <c r="A28920" s="250">
        <v>67012</v>
      </c>
      <c r="B28920" s="74" t="s">
        <v>6036</v>
      </c>
      <c r="C28920" s="74" t="s">
        <v>427</v>
      </c>
    </row>
    <row r="28921" spans="1:3">
      <c r="A28921" s="250">
        <v>67013</v>
      </c>
      <c r="B28921" s="74" t="s">
        <v>11840</v>
      </c>
      <c r="C28921" s="74" t="s">
        <v>427</v>
      </c>
    </row>
    <row r="28922" spans="1:3">
      <c r="A28922" s="250">
        <v>67016</v>
      </c>
      <c r="B28922" s="74" t="s">
        <v>11089</v>
      </c>
      <c r="C28922" s="74" t="s">
        <v>427</v>
      </c>
    </row>
    <row r="28923" spans="1:3">
      <c r="A28923" s="250">
        <v>67017</v>
      </c>
      <c r="B28923" s="74" t="s">
        <v>4938</v>
      </c>
      <c r="C28923" s="74" t="s">
        <v>427</v>
      </c>
    </row>
    <row r="28924" spans="1:3">
      <c r="A28924" s="250">
        <v>67018</v>
      </c>
      <c r="B28924" s="74" t="s">
        <v>9093</v>
      </c>
      <c r="C28924" s="74" t="s">
        <v>427</v>
      </c>
    </row>
    <row r="28925" spans="1:3">
      <c r="A28925" s="250">
        <v>67019</v>
      </c>
      <c r="B28925" s="74" t="s">
        <v>14590</v>
      </c>
      <c r="C28925" s="74" t="s">
        <v>427</v>
      </c>
    </row>
    <row r="28926" spans="1:3">
      <c r="A28926" s="250">
        <v>67020</v>
      </c>
      <c r="B28926" s="74" t="s">
        <v>14591</v>
      </c>
      <c r="C28926" s="74" t="s">
        <v>427</v>
      </c>
    </row>
    <row r="28927" spans="1:3">
      <c r="A28927" s="250">
        <v>67021</v>
      </c>
      <c r="B28927" s="74" t="s">
        <v>14592</v>
      </c>
      <c r="C28927" s="74" t="s">
        <v>427</v>
      </c>
    </row>
    <row r="28928" spans="1:3">
      <c r="A28928" s="250">
        <v>67022</v>
      </c>
      <c r="B28928" s="74" t="s">
        <v>2113</v>
      </c>
      <c r="C28928" s="74" t="s">
        <v>427</v>
      </c>
    </row>
    <row r="28929" spans="1:3">
      <c r="A28929" s="250">
        <v>67023</v>
      </c>
      <c r="B28929" s="74" t="s">
        <v>914</v>
      </c>
      <c r="C28929" s="74" t="s">
        <v>427</v>
      </c>
    </row>
    <row r="28930" spans="1:3">
      <c r="A28930" s="250">
        <v>67024</v>
      </c>
      <c r="B28930" s="74" t="s">
        <v>14593</v>
      </c>
      <c r="C28930" s="74" t="s">
        <v>427</v>
      </c>
    </row>
    <row r="28931" spans="1:3">
      <c r="A28931" s="250">
        <v>67025</v>
      </c>
      <c r="B28931" s="74" t="s">
        <v>14594</v>
      </c>
      <c r="C28931" s="74" t="s">
        <v>427</v>
      </c>
    </row>
    <row r="28932" spans="1:3">
      <c r="A28932" s="250">
        <v>67026</v>
      </c>
      <c r="B28932" s="74" t="s">
        <v>7813</v>
      </c>
      <c r="C28932" s="74" t="s">
        <v>427</v>
      </c>
    </row>
    <row r="28933" spans="1:3">
      <c r="A28933" s="250">
        <v>67028</v>
      </c>
      <c r="B28933" s="74" t="s">
        <v>7144</v>
      </c>
      <c r="C28933" s="74" t="s">
        <v>427</v>
      </c>
    </row>
    <row r="28934" spans="1:3">
      <c r="A28934" s="250">
        <v>67029</v>
      </c>
      <c r="B28934" s="74" t="s">
        <v>9294</v>
      </c>
      <c r="C28934" s="74" t="s">
        <v>427</v>
      </c>
    </row>
    <row r="28935" spans="1:3">
      <c r="A28935" s="250">
        <v>67030</v>
      </c>
      <c r="B28935" s="74" t="s">
        <v>14595</v>
      </c>
      <c r="C28935" s="74" t="s">
        <v>427</v>
      </c>
    </row>
    <row r="28936" spans="1:3">
      <c r="A28936" s="250">
        <v>67031</v>
      </c>
      <c r="B28936" s="74" t="s">
        <v>14596</v>
      </c>
      <c r="C28936" s="74" t="s">
        <v>427</v>
      </c>
    </row>
    <row r="28937" spans="1:3">
      <c r="A28937" s="250">
        <v>67035</v>
      </c>
      <c r="B28937" s="74" t="s">
        <v>9001</v>
      </c>
      <c r="C28937" s="74" t="s">
        <v>427</v>
      </c>
    </row>
    <row r="28938" spans="1:3">
      <c r="A28938" s="250">
        <v>67036</v>
      </c>
      <c r="B28938" s="74" t="s">
        <v>1302</v>
      </c>
      <c r="C28938" s="74" t="s">
        <v>427</v>
      </c>
    </row>
    <row r="28939" spans="1:3">
      <c r="A28939" s="250">
        <v>67037</v>
      </c>
      <c r="B28939" s="74" t="s">
        <v>1902</v>
      </c>
      <c r="C28939" s="74" t="s">
        <v>427</v>
      </c>
    </row>
    <row r="28940" spans="1:3">
      <c r="A28940" s="250">
        <v>67038</v>
      </c>
      <c r="B28940" s="74" t="s">
        <v>1689</v>
      </c>
      <c r="C28940" s="74" t="s">
        <v>427</v>
      </c>
    </row>
    <row r="28941" spans="1:3">
      <c r="A28941" s="250">
        <v>67039</v>
      </c>
      <c r="B28941" s="74" t="s">
        <v>14597</v>
      </c>
      <c r="C28941" s="74" t="s">
        <v>427</v>
      </c>
    </row>
    <row r="28942" spans="1:3">
      <c r="A28942" s="250">
        <v>67041</v>
      </c>
      <c r="B28942" s="74" t="s">
        <v>14598</v>
      </c>
      <c r="C28942" s="74" t="s">
        <v>427</v>
      </c>
    </row>
    <row r="28943" spans="1:3">
      <c r="A28943" s="250">
        <v>67042</v>
      </c>
      <c r="B28943" s="74" t="s">
        <v>14599</v>
      </c>
      <c r="C28943" s="74" t="s">
        <v>427</v>
      </c>
    </row>
    <row r="28944" spans="1:3">
      <c r="A28944" s="250">
        <v>67045</v>
      </c>
      <c r="B28944" s="74" t="s">
        <v>11160</v>
      </c>
      <c r="C28944" s="74" t="s">
        <v>427</v>
      </c>
    </row>
    <row r="28945" spans="1:3">
      <c r="A28945" s="250">
        <v>67047</v>
      </c>
      <c r="B28945" s="74" t="s">
        <v>1069</v>
      </c>
      <c r="C28945" s="74" t="s">
        <v>427</v>
      </c>
    </row>
    <row r="28946" spans="1:3">
      <c r="A28946" s="250">
        <v>67049</v>
      </c>
      <c r="B28946" s="74" t="s">
        <v>1383</v>
      </c>
      <c r="C28946" s="74" t="s">
        <v>427</v>
      </c>
    </row>
    <row r="28947" spans="1:3">
      <c r="A28947" s="250">
        <v>67050</v>
      </c>
      <c r="B28947" s="74" t="s">
        <v>14600</v>
      </c>
      <c r="C28947" s="74" t="s">
        <v>427</v>
      </c>
    </row>
    <row r="28948" spans="1:3">
      <c r="A28948" s="250">
        <v>67051</v>
      </c>
      <c r="B28948" s="74" t="s">
        <v>14601</v>
      </c>
      <c r="C28948" s="74" t="s">
        <v>427</v>
      </c>
    </row>
    <row r="28949" spans="1:3">
      <c r="A28949" s="250">
        <v>67052</v>
      </c>
      <c r="B28949" s="74" t="s">
        <v>14602</v>
      </c>
      <c r="C28949" s="74" t="s">
        <v>427</v>
      </c>
    </row>
    <row r="28950" spans="1:3">
      <c r="A28950" s="250">
        <v>67053</v>
      </c>
      <c r="B28950" s="74" t="s">
        <v>14603</v>
      </c>
      <c r="C28950" s="74" t="s">
        <v>427</v>
      </c>
    </row>
    <row r="28951" spans="1:3">
      <c r="A28951" s="250">
        <v>67054</v>
      </c>
      <c r="B28951" s="74" t="s">
        <v>4185</v>
      </c>
      <c r="C28951" s="74" t="s">
        <v>427</v>
      </c>
    </row>
    <row r="28952" spans="1:3">
      <c r="A28952" s="250">
        <v>67055</v>
      </c>
      <c r="B28952" s="74" t="s">
        <v>2101</v>
      </c>
      <c r="C28952" s="74" t="s">
        <v>427</v>
      </c>
    </row>
    <row r="28953" spans="1:3">
      <c r="A28953" s="250">
        <v>67056</v>
      </c>
      <c r="B28953" s="74" t="s">
        <v>14604</v>
      </c>
      <c r="C28953" s="74" t="s">
        <v>427</v>
      </c>
    </row>
    <row r="28954" spans="1:3">
      <c r="A28954" s="250">
        <v>67057</v>
      </c>
      <c r="B28954" s="74" t="s">
        <v>14605</v>
      </c>
      <c r="C28954" s="74" t="s">
        <v>427</v>
      </c>
    </row>
    <row r="28955" spans="1:3">
      <c r="A28955" s="250">
        <v>67058</v>
      </c>
      <c r="B28955" s="74" t="s">
        <v>6798</v>
      </c>
      <c r="C28955" s="74" t="s">
        <v>427</v>
      </c>
    </row>
    <row r="28956" spans="1:3">
      <c r="A28956" s="250">
        <v>67059</v>
      </c>
      <c r="B28956" s="74" t="s">
        <v>10607</v>
      </c>
      <c r="C28956" s="74" t="s">
        <v>427</v>
      </c>
    </row>
    <row r="28957" spans="1:3">
      <c r="A28957" s="250">
        <v>67060</v>
      </c>
      <c r="B28957" s="74" t="s">
        <v>14606</v>
      </c>
      <c r="C28957" s="74" t="s">
        <v>427</v>
      </c>
    </row>
    <row r="28958" spans="1:3">
      <c r="A28958" s="250">
        <v>67061</v>
      </c>
      <c r="B28958" s="74" t="s">
        <v>13134</v>
      </c>
      <c r="C28958" s="74" t="s">
        <v>427</v>
      </c>
    </row>
    <row r="28959" spans="1:3">
      <c r="A28959" s="250">
        <v>67062</v>
      </c>
      <c r="B28959" s="74" t="s">
        <v>4553</v>
      </c>
      <c r="C28959" s="74" t="s">
        <v>427</v>
      </c>
    </row>
    <row r="28960" spans="1:3">
      <c r="A28960" s="250">
        <v>67063</v>
      </c>
      <c r="B28960" s="74" t="s">
        <v>5758</v>
      </c>
      <c r="C28960" s="74" t="s">
        <v>427</v>
      </c>
    </row>
    <row r="28961" spans="1:3">
      <c r="A28961" s="250">
        <v>67065</v>
      </c>
      <c r="B28961" s="74" t="s">
        <v>12952</v>
      </c>
      <c r="C28961" s="74" t="s">
        <v>427</v>
      </c>
    </row>
    <row r="28962" spans="1:3">
      <c r="A28962" s="250">
        <v>67066</v>
      </c>
      <c r="B28962" s="74" t="s">
        <v>9366</v>
      </c>
      <c r="C28962" s="74" t="s">
        <v>427</v>
      </c>
    </row>
    <row r="28963" spans="1:3">
      <c r="A28963" s="250">
        <v>67067</v>
      </c>
      <c r="B28963" s="74" t="s">
        <v>14607</v>
      </c>
      <c r="C28963" s="74" t="s">
        <v>427</v>
      </c>
    </row>
    <row r="28964" spans="1:3">
      <c r="A28964" s="250">
        <v>67068</v>
      </c>
      <c r="B28964" s="74" t="s">
        <v>1510</v>
      </c>
      <c r="C28964" s="74" t="s">
        <v>427</v>
      </c>
    </row>
    <row r="28965" spans="1:3">
      <c r="A28965" s="250">
        <v>67070</v>
      </c>
      <c r="B28965" s="74" t="s">
        <v>14608</v>
      </c>
      <c r="C28965" s="74" t="s">
        <v>427</v>
      </c>
    </row>
    <row r="28966" spans="1:3">
      <c r="A28966" s="250">
        <v>67071</v>
      </c>
      <c r="B28966" s="74" t="s">
        <v>4516</v>
      </c>
      <c r="C28966" s="74" t="s">
        <v>427</v>
      </c>
    </row>
    <row r="28967" spans="1:3">
      <c r="A28967" s="250">
        <v>67072</v>
      </c>
      <c r="B28967" s="74" t="s">
        <v>2972</v>
      </c>
      <c r="C28967" s="74" t="s">
        <v>427</v>
      </c>
    </row>
    <row r="28968" spans="1:3">
      <c r="A28968" s="250">
        <v>67073</v>
      </c>
      <c r="B28968" s="74" t="s">
        <v>11628</v>
      </c>
      <c r="C28968" s="74" t="s">
        <v>427</v>
      </c>
    </row>
    <row r="28969" spans="1:3">
      <c r="A28969" s="250">
        <v>67074</v>
      </c>
      <c r="B28969" s="74" t="s">
        <v>3872</v>
      </c>
      <c r="C28969" s="74" t="s">
        <v>427</v>
      </c>
    </row>
    <row r="28970" spans="1:3">
      <c r="A28970" s="250">
        <v>67101</v>
      </c>
      <c r="B28970" s="74" t="s">
        <v>14609</v>
      </c>
      <c r="C28970" s="74" t="s">
        <v>427</v>
      </c>
    </row>
    <row r="28971" spans="1:3">
      <c r="A28971" s="250">
        <v>67102</v>
      </c>
      <c r="B28971" s="74" t="s">
        <v>11325</v>
      </c>
      <c r="C28971" s="74" t="s">
        <v>427</v>
      </c>
    </row>
    <row r="28972" spans="1:3">
      <c r="A28972" s="250">
        <v>67103</v>
      </c>
      <c r="B28972" s="74" t="s">
        <v>2975</v>
      </c>
      <c r="C28972" s="74" t="s">
        <v>427</v>
      </c>
    </row>
    <row r="28973" spans="1:3">
      <c r="A28973" s="250">
        <v>67104</v>
      </c>
      <c r="B28973" s="74" t="s">
        <v>14610</v>
      </c>
      <c r="C28973" s="74" t="s">
        <v>427</v>
      </c>
    </row>
    <row r="28974" spans="1:3">
      <c r="A28974" s="250">
        <v>67105</v>
      </c>
      <c r="B28974" s="74" t="s">
        <v>1256</v>
      </c>
      <c r="C28974" s="74" t="s">
        <v>427</v>
      </c>
    </row>
    <row r="28975" spans="1:3">
      <c r="A28975" s="250">
        <v>67106</v>
      </c>
      <c r="B28975" s="74" t="s">
        <v>927</v>
      </c>
      <c r="C28975" s="74" t="s">
        <v>427</v>
      </c>
    </row>
    <row r="28976" spans="1:3">
      <c r="A28976" s="250">
        <v>67107</v>
      </c>
      <c r="B28976" s="74" t="s">
        <v>14611</v>
      </c>
      <c r="C28976" s="74" t="s">
        <v>427</v>
      </c>
    </row>
    <row r="28977" spans="1:3">
      <c r="A28977" s="250">
        <v>67108</v>
      </c>
      <c r="B28977" s="74" t="s">
        <v>6812</v>
      </c>
      <c r="C28977" s="74" t="s">
        <v>427</v>
      </c>
    </row>
    <row r="28978" spans="1:3">
      <c r="A28978" s="250">
        <v>67109</v>
      </c>
      <c r="B28978" s="74" t="s">
        <v>14612</v>
      </c>
      <c r="C28978" s="74" t="s">
        <v>427</v>
      </c>
    </row>
    <row r="28979" spans="1:3">
      <c r="A28979" s="250">
        <v>67110</v>
      </c>
      <c r="B28979" s="74" t="s">
        <v>14613</v>
      </c>
      <c r="C28979" s="74" t="s">
        <v>427</v>
      </c>
    </row>
    <row r="28980" spans="1:3">
      <c r="A28980" s="250">
        <v>67111</v>
      </c>
      <c r="B28980" s="74" t="s">
        <v>8531</v>
      </c>
      <c r="C28980" s="74" t="s">
        <v>427</v>
      </c>
    </row>
    <row r="28981" spans="1:3">
      <c r="A28981" s="250">
        <v>67112</v>
      </c>
      <c r="B28981" s="74" t="s">
        <v>7206</v>
      </c>
      <c r="C28981" s="74" t="s">
        <v>427</v>
      </c>
    </row>
    <row r="28982" spans="1:3">
      <c r="A28982" s="250">
        <v>67114</v>
      </c>
      <c r="B28982" s="74" t="s">
        <v>973</v>
      </c>
      <c r="C28982" s="74" t="s">
        <v>427</v>
      </c>
    </row>
    <row r="28983" spans="1:3">
      <c r="A28983" s="250">
        <v>67117</v>
      </c>
      <c r="B28983" s="74" t="s">
        <v>14614</v>
      </c>
      <c r="C28983" s="74" t="s">
        <v>427</v>
      </c>
    </row>
    <row r="28984" spans="1:3">
      <c r="A28984" s="250">
        <v>67118</v>
      </c>
      <c r="B28984" s="74" t="s">
        <v>1743</v>
      </c>
      <c r="C28984" s="74" t="s">
        <v>427</v>
      </c>
    </row>
    <row r="28985" spans="1:3">
      <c r="A28985" s="250">
        <v>67119</v>
      </c>
      <c r="B28985" s="74" t="s">
        <v>754</v>
      </c>
      <c r="C28985" s="74" t="s">
        <v>427</v>
      </c>
    </row>
    <row r="28986" spans="1:3">
      <c r="A28986" s="250">
        <v>67120</v>
      </c>
      <c r="B28986" s="74" t="s">
        <v>11081</v>
      </c>
      <c r="C28986" s="74" t="s">
        <v>427</v>
      </c>
    </row>
    <row r="28987" spans="1:3">
      <c r="A28987" s="250">
        <v>67122</v>
      </c>
      <c r="B28987" s="74" t="s">
        <v>7028</v>
      </c>
      <c r="C28987" s="74" t="s">
        <v>427</v>
      </c>
    </row>
    <row r="28988" spans="1:3">
      <c r="A28988" s="250">
        <v>67123</v>
      </c>
      <c r="B28988" s="74" t="s">
        <v>14615</v>
      </c>
      <c r="C28988" s="74" t="s">
        <v>427</v>
      </c>
    </row>
    <row r="28989" spans="1:3">
      <c r="A28989" s="250">
        <v>67124</v>
      </c>
      <c r="B28989" s="74" t="s">
        <v>6641</v>
      </c>
      <c r="C28989" s="74" t="s">
        <v>427</v>
      </c>
    </row>
    <row r="28990" spans="1:3">
      <c r="A28990" s="250">
        <v>67127</v>
      </c>
      <c r="B28990" s="74" t="s">
        <v>14616</v>
      </c>
      <c r="C28990" s="74" t="s">
        <v>427</v>
      </c>
    </row>
    <row r="28991" spans="1:3">
      <c r="A28991" s="250">
        <v>67131</v>
      </c>
      <c r="B28991" s="74" t="s">
        <v>6490</v>
      </c>
      <c r="C28991" s="74" t="s">
        <v>427</v>
      </c>
    </row>
    <row r="28992" spans="1:3">
      <c r="A28992" s="250">
        <v>67132</v>
      </c>
      <c r="B28992" s="74" t="s">
        <v>14617</v>
      </c>
      <c r="C28992" s="74" t="s">
        <v>427</v>
      </c>
    </row>
    <row r="28993" spans="1:3">
      <c r="A28993" s="250">
        <v>67133</v>
      </c>
      <c r="B28993" s="74" t="s">
        <v>6339</v>
      </c>
      <c r="C28993" s="74" t="s">
        <v>427</v>
      </c>
    </row>
    <row r="28994" spans="1:3">
      <c r="A28994" s="250">
        <v>67134</v>
      </c>
      <c r="B28994" s="74" t="s">
        <v>11224</v>
      </c>
      <c r="C28994" s="74" t="s">
        <v>427</v>
      </c>
    </row>
    <row r="28995" spans="1:3">
      <c r="A28995" s="250">
        <v>67135</v>
      </c>
      <c r="B28995" s="74" t="s">
        <v>1609</v>
      </c>
      <c r="C28995" s="74" t="s">
        <v>427</v>
      </c>
    </row>
    <row r="28996" spans="1:3">
      <c r="A28996" s="250">
        <v>67137</v>
      </c>
      <c r="B28996" s="74" t="s">
        <v>14618</v>
      </c>
      <c r="C28996" s="74" t="s">
        <v>427</v>
      </c>
    </row>
    <row r="28997" spans="1:3">
      <c r="A28997" s="250">
        <v>67138</v>
      </c>
      <c r="B28997" s="74" t="s">
        <v>893</v>
      </c>
      <c r="C28997" s="74" t="s">
        <v>427</v>
      </c>
    </row>
    <row r="28998" spans="1:3">
      <c r="A28998" s="250">
        <v>67140</v>
      </c>
      <c r="B28998" s="74" t="s">
        <v>11213</v>
      </c>
      <c r="C28998" s="74" t="s">
        <v>427</v>
      </c>
    </row>
    <row r="28999" spans="1:3">
      <c r="A28999" s="250">
        <v>67142</v>
      </c>
      <c r="B28999" s="74" t="s">
        <v>14619</v>
      </c>
      <c r="C28999" s="74" t="s">
        <v>427</v>
      </c>
    </row>
    <row r="29000" spans="1:3">
      <c r="A29000" s="250">
        <v>67143</v>
      </c>
      <c r="B29000" s="74" t="s">
        <v>8481</v>
      </c>
      <c r="C29000" s="74" t="s">
        <v>427</v>
      </c>
    </row>
    <row r="29001" spans="1:3">
      <c r="A29001" s="250">
        <v>67144</v>
      </c>
      <c r="B29001" s="74" t="s">
        <v>5254</v>
      </c>
      <c r="C29001" s="74" t="s">
        <v>427</v>
      </c>
    </row>
    <row r="29002" spans="1:3">
      <c r="A29002" s="250">
        <v>67146</v>
      </c>
      <c r="B29002" s="74" t="s">
        <v>14476</v>
      </c>
      <c r="C29002" s="74" t="s">
        <v>427</v>
      </c>
    </row>
    <row r="29003" spans="1:3">
      <c r="A29003" s="250">
        <v>67147</v>
      </c>
      <c r="B29003" s="74" t="s">
        <v>14620</v>
      </c>
      <c r="C29003" s="74" t="s">
        <v>427</v>
      </c>
    </row>
    <row r="29004" spans="1:3">
      <c r="A29004" s="250">
        <v>67149</v>
      </c>
      <c r="B29004" s="74" t="s">
        <v>5510</v>
      </c>
      <c r="C29004" s="74" t="s">
        <v>427</v>
      </c>
    </row>
    <row r="29005" spans="1:3">
      <c r="A29005" s="250">
        <v>67150</v>
      </c>
      <c r="B29005" s="74" t="s">
        <v>10674</v>
      </c>
      <c r="C29005" s="74" t="s">
        <v>427</v>
      </c>
    </row>
    <row r="29006" spans="1:3">
      <c r="A29006" s="250">
        <v>67151</v>
      </c>
      <c r="B29006" s="74" t="s">
        <v>3659</v>
      </c>
      <c r="C29006" s="74" t="s">
        <v>427</v>
      </c>
    </row>
    <row r="29007" spans="1:3">
      <c r="A29007" s="250">
        <v>67152</v>
      </c>
      <c r="B29007" s="74" t="s">
        <v>8439</v>
      </c>
      <c r="C29007" s="74" t="s">
        <v>427</v>
      </c>
    </row>
    <row r="29008" spans="1:3">
      <c r="A29008" s="250">
        <v>67154</v>
      </c>
      <c r="B29008" s="74" t="s">
        <v>12002</v>
      </c>
      <c r="C29008" s="74" t="s">
        <v>427</v>
      </c>
    </row>
    <row r="29009" spans="1:3">
      <c r="A29009" s="250">
        <v>67155</v>
      </c>
      <c r="B29009" s="74" t="s">
        <v>4376</v>
      </c>
      <c r="C29009" s="74" t="s">
        <v>427</v>
      </c>
    </row>
    <row r="29010" spans="1:3">
      <c r="A29010" s="250">
        <v>67156</v>
      </c>
      <c r="B29010" s="74" t="s">
        <v>4985</v>
      </c>
      <c r="C29010" s="74" t="s">
        <v>427</v>
      </c>
    </row>
    <row r="29011" spans="1:3">
      <c r="A29011" s="250">
        <v>67159</v>
      </c>
      <c r="B29011" s="74" t="s">
        <v>12005</v>
      </c>
      <c r="C29011" s="74" t="s">
        <v>427</v>
      </c>
    </row>
    <row r="29012" spans="1:3">
      <c r="A29012" s="250">
        <v>67201</v>
      </c>
      <c r="B29012" s="74" t="s">
        <v>14621</v>
      </c>
      <c r="C29012" s="74" t="s">
        <v>427</v>
      </c>
    </row>
    <row r="29013" spans="1:3">
      <c r="A29013" s="250">
        <v>67202</v>
      </c>
      <c r="B29013" s="74" t="s">
        <v>14621</v>
      </c>
      <c r="C29013" s="74" t="s">
        <v>427</v>
      </c>
    </row>
    <row r="29014" spans="1:3">
      <c r="A29014" s="250">
        <v>67203</v>
      </c>
      <c r="B29014" s="74" t="s">
        <v>14621</v>
      </c>
      <c r="C29014" s="74" t="s">
        <v>427</v>
      </c>
    </row>
    <row r="29015" spans="1:3">
      <c r="A29015" s="250">
        <v>67204</v>
      </c>
      <c r="B29015" s="74" t="s">
        <v>14621</v>
      </c>
      <c r="C29015" s="74" t="s">
        <v>427</v>
      </c>
    </row>
    <row r="29016" spans="1:3">
      <c r="A29016" s="250">
        <v>67205</v>
      </c>
      <c r="B29016" s="74" t="s">
        <v>14621</v>
      </c>
      <c r="C29016" s="74" t="s">
        <v>427</v>
      </c>
    </row>
    <row r="29017" spans="1:3">
      <c r="A29017" s="250">
        <v>67206</v>
      </c>
      <c r="B29017" s="74" t="s">
        <v>14621</v>
      </c>
      <c r="C29017" s="74" t="s">
        <v>427</v>
      </c>
    </row>
    <row r="29018" spans="1:3">
      <c r="A29018" s="250">
        <v>67207</v>
      </c>
      <c r="B29018" s="74" t="s">
        <v>14621</v>
      </c>
      <c r="C29018" s="74" t="s">
        <v>427</v>
      </c>
    </row>
    <row r="29019" spans="1:3">
      <c r="A29019" s="250">
        <v>67208</v>
      </c>
      <c r="B29019" s="74" t="s">
        <v>14621</v>
      </c>
      <c r="C29019" s="74" t="s">
        <v>427</v>
      </c>
    </row>
    <row r="29020" spans="1:3">
      <c r="A29020" s="250">
        <v>67209</v>
      </c>
      <c r="B29020" s="74" t="s">
        <v>14621</v>
      </c>
      <c r="C29020" s="74" t="s">
        <v>427</v>
      </c>
    </row>
    <row r="29021" spans="1:3">
      <c r="A29021" s="250">
        <v>67210</v>
      </c>
      <c r="B29021" s="74" t="s">
        <v>14621</v>
      </c>
      <c r="C29021" s="74" t="s">
        <v>427</v>
      </c>
    </row>
    <row r="29022" spans="1:3">
      <c r="A29022" s="250">
        <v>67211</v>
      </c>
      <c r="B29022" s="74" t="s">
        <v>14621</v>
      </c>
      <c r="C29022" s="74" t="s">
        <v>427</v>
      </c>
    </row>
    <row r="29023" spans="1:3">
      <c r="A29023" s="250">
        <v>67212</v>
      </c>
      <c r="B29023" s="74" t="s">
        <v>14621</v>
      </c>
      <c r="C29023" s="74" t="s">
        <v>427</v>
      </c>
    </row>
    <row r="29024" spans="1:3">
      <c r="A29024" s="250">
        <v>67213</v>
      </c>
      <c r="B29024" s="74" t="s">
        <v>14621</v>
      </c>
      <c r="C29024" s="74" t="s">
        <v>427</v>
      </c>
    </row>
    <row r="29025" spans="1:3">
      <c r="A29025" s="250">
        <v>67214</v>
      </c>
      <c r="B29025" s="74" t="s">
        <v>14621</v>
      </c>
      <c r="C29025" s="74" t="s">
        <v>427</v>
      </c>
    </row>
    <row r="29026" spans="1:3">
      <c r="A29026" s="250">
        <v>67215</v>
      </c>
      <c r="B29026" s="74" t="s">
        <v>14621</v>
      </c>
      <c r="C29026" s="74" t="s">
        <v>427</v>
      </c>
    </row>
    <row r="29027" spans="1:3">
      <c r="A29027" s="250">
        <v>67216</v>
      </c>
      <c r="B29027" s="74" t="s">
        <v>14621</v>
      </c>
      <c r="C29027" s="74" t="s">
        <v>427</v>
      </c>
    </row>
    <row r="29028" spans="1:3">
      <c r="A29028" s="250">
        <v>67217</v>
      </c>
      <c r="B29028" s="74" t="s">
        <v>14621</v>
      </c>
      <c r="C29028" s="74" t="s">
        <v>427</v>
      </c>
    </row>
    <row r="29029" spans="1:3">
      <c r="A29029" s="250">
        <v>67218</v>
      </c>
      <c r="B29029" s="74" t="s">
        <v>14621</v>
      </c>
      <c r="C29029" s="74" t="s">
        <v>427</v>
      </c>
    </row>
    <row r="29030" spans="1:3">
      <c r="A29030" s="250">
        <v>67219</v>
      </c>
      <c r="B29030" s="74" t="s">
        <v>14621</v>
      </c>
      <c r="C29030" s="74" t="s">
        <v>427</v>
      </c>
    </row>
    <row r="29031" spans="1:3">
      <c r="A29031" s="250">
        <v>67220</v>
      </c>
      <c r="B29031" s="74" t="s">
        <v>14621</v>
      </c>
      <c r="C29031" s="74" t="s">
        <v>427</v>
      </c>
    </row>
    <row r="29032" spans="1:3">
      <c r="A29032" s="250">
        <v>67221</v>
      </c>
      <c r="B29032" s="74" t="s">
        <v>14622</v>
      </c>
      <c r="C29032" s="74" t="s">
        <v>427</v>
      </c>
    </row>
    <row r="29033" spans="1:3">
      <c r="A29033" s="250">
        <v>67223</v>
      </c>
      <c r="B29033" s="74" t="s">
        <v>14621</v>
      </c>
      <c r="C29033" s="74" t="s">
        <v>427</v>
      </c>
    </row>
    <row r="29034" spans="1:3">
      <c r="A29034" s="250">
        <v>67226</v>
      </c>
      <c r="B29034" s="74" t="s">
        <v>14621</v>
      </c>
      <c r="C29034" s="74" t="s">
        <v>427</v>
      </c>
    </row>
    <row r="29035" spans="1:3">
      <c r="A29035" s="250">
        <v>67227</v>
      </c>
      <c r="B29035" s="74" t="s">
        <v>14621</v>
      </c>
      <c r="C29035" s="74" t="s">
        <v>427</v>
      </c>
    </row>
    <row r="29036" spans="1:3">
      <c r="A29036" s="250">
        <v>67228</v>
      </c>
      <c r="B29036" s="74" t="s">
        <v>14621</v>
      </c>
      <c r="C29036" s="74" t="s">
        <v>427</v>
      </c>
    </row>
    <row r="29037" spans="1:3">
      <c r="A29037" s="250">
        <v>67230</v>
      </c>
      <c r="B29037" s="74" t="s">
        <v>14621</v>
      </c>
      <c r="C29037" s="74" t="s">
        <v>427</v>
      </c>
    </row>
    <row r="29038" spans="1:3">
      <c r="A29038" s="250">
        <v>67232</v>
      </c>
      <c r="B29038" s="74" t="s">
        <v>14621</v>
      </c>
      <c r="C29038" s="74" t="s">
        <v>427</v>
      </c>
    </row>
    <row r="29039" spans="1:3">
      <c r="A29039" s="250">
        <v>67235</v>
      </c>
      <c r="B29039" s="74" t="s">
        <v>14621</v>
      </c>
      <c r="C29039" s="74" t="s">
        <v>427</v>
      </c>
    </row>
    <row r="29040" spans="1:3">
      <c r="A29040" s="250">
        <v>67260</v>
      </c>
      <c r="B29040" s="74" t="s">
        <v>14621</v>
      </c>
      <c r="C29040" s="74" t="s">
        <v>427</v>
      </c>
    </row>
    <row r="29041" spans="1:3">
      <c r="A29041" s="250">
        <v>67275</v>
      </c>
      <c r="B29041" s="74" t="s">
        <v>14621</v>
      </c>
      <c r="C29041" s="74" t="s">
        <v>427</v>
      </c>
    </row>
    <row r="29042" spans="1:3">
      <c r="A29042" s="250">
        <v>67276</v>
      </c>
      <c r="B29042" s="74" t="s">
        <v>14621</v>
      </c>
      <c r="C29042" s="74" t="s">
        <v>427</v>
      </c>
    </row>
    <row r="29043" spans="1:3">
      <c r="A29043" s="250">
        <v>67277</v>
      </c>
      <c r="B29043" s="74" t="s">
        <v>14621</v>
      </c>
      <c r="C29043" s="74" t="s">
        <v>427</v>
      </c>
    </row>
    <row r="29044" spans="1:3">
      <c r="A29044" s="250">
        <v>67278</v>
      </c>
      <c r="B29044" s="74" t="s">
        <v>14621</v>
      </c>
      <c r="C29044" s="74" t="s">
        <v>427</v>
      </c>
    </row>
    <row r="29045" spans="1:3">
      <c r="A29045" s="250">
        <v>67301</v>
      </c>
      <c r="B29045" s="74" t="s">
        <v>6364</v>
      </c>
      <c r="C29045" s="74" t="s">
        <v>427</v>
      </c>
    </row>
    <row r="29046" spans="1:3">
      <c r="A29046" s="250">
        <v>67330</v>
      </c>
      <c r="B29046" s="74" t="s">
        <v>2909</v>
      </c>
      <c r="C29046" s="74" t="s">
        <v>427</v>
      </c>
    </row>
    <row r="29047" spans="1:3">
      <c r="A29047" s="250">
        <v>67332</v>
      </c>
      <c r="B29047" s="74" t="s">
        <v>1296</v>
      </c>
      <c r="C29047" s="74" t="s">
        <v>427</v>
      </c>
    </row>
    <row r="29048" spans="1:3">
      <c r="A29048" s="250">
        <v>67333</v>
      </c>
      <c r="B29048" s="74" t="s">
        <v>14623</v>
      </c>
      <c r="C29048" s="74" t="s">
        <v>427</v>
      </c>
    </row>
    <row r="29049" spans="1:3">
      <c r="A29049" s="250">
        <v>67334</v>
      </c>
      <c r="B29049" s="74" t="s">
        <v>3853</v>
      </c>
      <c r="C29049" s="74" t="s">
        <v>427</v>
      </c>
    </row>
    <row r="29050" spans="1:3">
      <c r="A29050" s="250">
        <v>67335</v>
      </c>
      <c r="B29050" s="74" t="s">
        <v>14624</v>
      </c>
      <c r="C29050" s="74" t="s">
        <v>427</v>
      </c>
    </row>
    <row r="29051" spans="1:3">
      <c r="A29051" s="250">
        <v>67336</v>
      </c>
      <c r="B29051" s="74" t="s">
        <v>14625</v>
      </c>
      <c r="C29051" s="74" t="s">
        <v>427</v>
      </c>
    </row>
    <row r="29052" spans="1:3">
      <c r="A29052" s="250">
        <v>67337</v>
      </c>
      <c r="B29052" s="74" t="s">
        <v>14626</v>
      </c>
      <c r="C29052" s="74" t="s">
        <v>427</v>
      </c>
    </row>
    <row r="29053" spans="1:3">
      <c r="A29053" s="250">
        <v>67340</v>
      </c>
      <c r="B29053" s="74" t="s">
        <v>8050</v>
      </c>
      <c r="C29053" s="74" t="s">
        <v>427</v>
      </c>
    </row>
    <row r="29054" spans="1:3">
      <c r="A29054" s="250">
        <v>67341</v>
      </c>
      <c r="B29054" s="74" t="s">
        <v>1028</v>
      </c>
      <c r="C29054" s="74" t="s">
        <v>427</v>
      </c>
    </row>
    <row r="29055" spans="1:3">
      <c r="A29055" s="250">
        <v>67342</v>
      </c>
      <c r="B29055" s="74" t="s">
        <v>14627</v>
      </c>
      <c r="C29055" s="74" t="s">
        <v>427</v>
      </c>
    </row>
    <row r="29056" spans="1:3">
      <c r="A29056" s="250">
        <v>67344</v>
      </c>
      <c r="B29056" s="74" t="s">
        <v>14628</v>
      </c>
      <c r="C29056" s="74" t="s">
        <v>427</v>
      </c>
    </row>
    <row r="29057" spans="1:3">
      <c r="A29057" s="250">
        <v>67345</v>
      </c>
      <c r="B29057" s="74" t="s">
        <v>14629</v>
      </c>
      <c r="C29057" s="74" t="s">
        <v>427</v>
      </c>
    </row>
    <row r="29058" spans="1:3">
      <c r="A29058" s="250">
        <v>67346</v>
      </c>
      <c r="B29058" s="74" t="s">
        <v>14630</v>
      </c>
      <c r="C29058" s="74" t="s">
        <v>427</v>
      </c>
    </row>
    <row r="29059" spans="1:3">
      <c r="A29059" s="250">
        <v>67347</v>
      </c>
      <c r="B29059" s="74" t="s">
        <v>8279</v>
      </c>
      <c r="C29059" s="74" t="s">
        <v>427</v>
      </c>
    </row>
    <row r="29060" spans="1:3">
      <c r="A29060" s="250">
        <v>67349</v>
      </c>
      <c r="B29060" s="74" t="s">
        <v>4627</v>
      </c>
      <c r="C29060" s="74" t="s">
        <v>427</v>
      </c>
    </row>
    <row r="29061" spans="1:3">
      <c r="A29061" s="250">
        <v>67351</v>
      </c>
      <c r="B29061" s="74" t="s">
        <v>1701</v>
      </c>
      <c r="C29061" s="74" t="s">
        <v>427</v>
      </c>
    </row>
    <row r="29062" spans="1:3">
      <c r="A29062" s="250">
        <v>67352</v>
      </c>
      <c r="B29062" s="74" t="s">
        <v>14631</v>
      </c>
      <c r="C29062" s="74" t="s">
        <v>427</v>
      </c>
    </row>
    <row r="29063" spans="1:3">
      <c r="A29063" s="250">
        <v>67353</v>
      </c>
      <c r="B29063" s="74" t="s">
        <v>11263</v>
      </c>
      <c r="C29063" s="74" t="s">
        <v>427</v>
      </c>
    </row>
    <row r="29064" spans="1:3">
      <c r="A29064" s="250">
        <v>67354</v>
      </c>
      <c r="B29064" s="74" t="s">
        <v>14632</v>
      </c>
      <c r="C29064" s="74" t="s">
        <v>427</v>
      </c>
    </row>
    <row r="29065" spans="1:3">
      <c r="A29065" s="250">
        <v>67355</v>
      </c>
      <c r="B29065" s="74" t="s">
        <v>14633</v>
      </c>
      <c r="C29065" s="74" t="s">
        <v>427</v>
      </c>
    </row>
    <row r="29066" spans="1:3">
      <c r="A29066" s="250">
        <v>67356</v>
      </c>
      <c r="B29066" s="74" t="s">
        <v>3398</v>
      </c>
      <c r="C29066" s="74" t="s">
        <v>427</v>
      </c>
    </row>
    <row r="29067" spans="1:3">
      <c r="A29067" s="250">
        <v>67357</v>
      </c>
      <c r="B29067" s="74" t="s">
        <v>6921</v>
      </c>
      <c r="C29067" s="74" t="s">
        <v>427</v>
      </c>
    </row>
    <row r="29068" spans="1:3">
      <c r="A29068" s="250">
        <v>67360</v>
      </c>
      <c r="B29068" s="74" t="s">
        <v>1470</v>
      </c>
      <c r="C29068" s="74" t="s">
        <v>427</v>
      </c>
    </row>
    <row r="29069" spans="1:3">
      <c r="A29069" s="250">
        <v>67361</v>
      </c>
      <c r="B29069" s="74" t="s">
        <v>14634</v>
      </c>
      <c r="C29069" s="74" t="s">
        <v>427</v>
      </c>
    </row>
    <row r="29070" spans="1:3">
      <c r="A29070" s="250">
        <v>67363</v>
      </c>
      <c r="B29070" s="74" t="s">
        <v>4078</v>
      </c>
      <c r="C29070" s="74" t="s">
        <v>427</v>
      </c>
    </row>
    <row r="29071" spans="1:3">
      <c r="A29071" s="250">
        <v>67364</v>
      </c>
      <c r="B29071" s="74" t="s">
        <v>6028</v>
      </c>
      <c r="C29071" s="74" t="s">
        <v>427</v>
      </c>
    </row>
    <row r="29072" spans="1:3">
      <c r="A29072" s="250">
        <v>67401</v>
      </c>
      <c r="B29072" s="74" t="s">
        <v>4238</v>
      </c>
      <c r="C29072" s="74" t="s">
        <v>427</v>
      </c>
    </row>
    <row r="29073" spans="1:3">
      <c r="A29073" s="250">
        <v>67402</v>
      </c>
      <c r="B29073" s="74" t="s">
        <v>4238</v>
      </c>
      <c r="C29073" s="74" t="s">
        <v>427</v>
      </c>
    </row>
    <row r="29074" spans="1:3">
      <c r="A29074" s="250">
        <v>67410</v>
      </c>
      <c r="B29074" s="74" t="s">
        <v>14635</v>
      </c>
      <c r="C29074" s="74" t="s">
        <v>427</v>
      </c>
    </row>
    <row r="29075" spans="1:3">
      <c r="A29075" s="250">
        <v>67416</v>
      </c>
      <c r="B29075" s="74" t="s">
        <v>14636</v>
      </c>
      <c r="C29075" s="74" t="s">
        <v>427</v>
      </c>
    </row>
    <row r="29076" spans="1:3">
      <c r="A29076" s="250">
        <v>67417</v>
      </c>
      <c r="B29076" s="74" t="s">
        <v>1489</v>
      </c>
      <c r="C29076" s="74" t="s">
        <v>427</v>
      </c>
    </row>
    <row r="29077" spans="1:3">
      <c r="A29077" s="250">
        <v>67418</v>
      </c>
      <c r="B29077" s="74" t="s">
        <v>1729</v>
      </c>
      <c r="C29077" s="74" t="s">
        <v>427</v>
      </c>
    </row>
    <row r="29078" spans="1:3">
      <c r="A29078" s="250">
        <v>67420</v>
      </c>
      <c r="B29078" s="74" t="s">
        <v>10385</v>
      </c>
      <c r="C29078" s="74" t="s">
        <v>427</v>
      </c>
    </row>
    <row r="29079" spans="1:3">
      <c r="A29079" s="250">
        <v>67422</v>
      </c>
      <c r="B29079" s="74" t="s">
        <v>1229</v>
      </c>
      <c r="C29079" s="74" t="s">
        <v>427</v>
      </c>
    </row>
    <row r="29080" spans="1:3">
      <c r="A29080" s="250">
        <v>67423</v>
      </c>
      <c r="B29080" s="74" t="s">
        <v>838</v>
      </c>
      <c r="C29080" s="74" t="s">
        <v>427</v>
      </c>
    </row>
    <row r="29081" spans="1:3">
      <c r="A29081" s="250">
        <v>67425</v>
      </c>
      <c r="B29081" s="74" t="s">
        <v>4318</v>
      </c>
      <c r="C29081" s="74" t="s">
        <v>427</v>
      </c>
    </row>
    <row r="29082" spans="1:3">
      <c r="A29082" s="250">
        <v>67427</v>
      </c>
      <c r="B29082" s="74" t="s">
        <v>14637</v>
      </c>
      <c r="C29082" s="74" t="s">
        <v>427</v>
      </c>
    </row>
    <row r="29083" spans="1:3">
      <c r="A29083" s="250">
        <v>67428</v>
      </c>
      <c r="B29083" s="74" t="s">
        <v>866</v>
      </c>
      <c r="C29083" s="74" t="s">
        <v>427</v>
      </c>
    </row>
    <row r="29084" spans="1:3">
      <c r="A29084" s="250">
        <v>67430</v>
      </c>
      <c r="B29084" s="74" t="s">
        <v>14638</v>
      </c>
      <c r="C29084" s="74" t="s">
        <v>427</v>
      </c>
    </row>
    <row r="29085" spans="1:3">
      <c r="A29085" s="250">
        <v>67431</v>
      </c>
      <c r="B29085" s="74" t="s">
        <v>8787</v>
      </c>
      <c r="C29085" s="74" t="s">
        <v>427</v>
      </c>
    </row>
    <row r="29086" spans="1:3">
      <c r="A29086" s="250">
        <v>67432</v>
      </c>
      <c r="B29086" s="74" t="s">
        <v>10155</v>
      </c>
      <c r="C29086" s="74" t="s">
        <v>427</v>
      </c>
    </row>
    <row r="29087" spans="1:3">
      <c r="A29087" s="250">
        <v>67436</v>
      </c>
      <c r="B29087" s="74" t="s">
        <v>10596</v>
      </c>
      <c r="C29087" s="74" t="s">
        <v>427</v>
      </c>
    </row>
    <row r="29088" spans="1:3">
      <c r="A29088" s="250">
        <v>67437</v>
      </c>
      <c r="B29088" s="74" t="s">
        <v>13742</v>
      </c>
      <c r="C29088" s="74" t="s">
        <v>427</v>
      </c>
    </row>
    <row r="29089" spans="1:3">
      <c r="A29089" s="250">
        <v>67438</v>
      </c>
      <c r="B29089" s="74" t="s">
        <v>1304</v>
      </c>
      <c r="C29089" s="74" t="s">
        <v>427</v>
      </c>
    </row>
    <row r="29090" spans="1:3">
      <c r="A29090" s="250">
        <v>67439</v>
      </c>
      <c r="B29090" s="74" t="s">
        <v>1563</v>
      </c>
      <c r="C29090" s="74" t="s">
        <v>427</v>
      </c>
    </row>
    <row r="29091" spans="1:3">
      <c r="A29091" s="250">
        <v>67441</v>
      </c>
      <c r="B29091" s="74" t="s">
        <v>6981</v>
      </c>
      <c r="C29091" s="74" t="s">
        <v>427</v>
      </c>
    </row>
    <row r="29092" spans="1:3">
      <c r="A29092" s="250">
        <v>67442</v>
      </c>
      <c r="B29092" s="74" t="s">
        <v>14639</v>
      </c>
      <c r="C29092" s="74" t="s">
        <v>427</v>
      </c>
    </row>
    <row r="29093" spans="1:3">
      <c r="A29093" s="250">
        <v>67443</v>
      </c>
      <c r="B29093" s="74" t="s">
        <v>11699</v>
      </c>
      <c r="C29093" s="74" t="s">
        <v>427</v>
      </c>
    </row>
    <row r="29094" spans="1:3">
      <c r="A29094" s="250">
        <v>67444</v>
      </c>
      <c r="B29094" s="74" t="s">
        <v>3775</v>
      </c>
      <c r="C29094" s="74" t="s">
        <v>427</v>
      </c>
    </row>
    <row r="29095" spans="1:3">
      <c r="A29095" s="250">
        <v>67445</v>
      </c>
      <c r="B29095" s="74" t="s">
        <v>3047</v>
      </c>
      <c r="C29095" s="74" t="s">
        <v>427</v>
      </c>
    </row>
    <row r="29096" spans="1:3">
      <c r="A29096" s="250">
        <v>67446</v>
      </c>
      <c r="B29096" s="74" t="s">
        <v>14640</v>
      </c>
      <c r="C29096" s="74" t="s">
        <v>427</v>
      </c>
    </row>
    <row r="29097" spans="1:3">
      <c r="A29097" s="250">
        <v>67447</v>
      </c>
      <c r="B29097" s="74" t="s">
        <v>10339</v>
      </c>
      <c r="C29097" s="74" t="s">
        <v>427</v>
      </c>
    </row>
    <row r="29098" spans="1:3">
      <c r="A29098" s="250">
        <v>67448</v>
      </c>
      <c r="B29098" s="74" t="s">
        <v>10161</v>
      </c>
      <c r="C29098" s="74" t="s">
        <v>427</v>
      </c>
    </row>
    <row r="29099" spans="1:3">
      <c r="A29099" s="250">
        <v>67449</v>
      </c>
      <c r="B29099" s="74" t="s">
        <v>14641</v>
      </c>
      <c r="C29099" s="74" t="s">
        <v>427</v>
      </c>
    </row>
    <row r="29100" spans="1:3">
      <c r="A29100" s="250">
        <v>67450</v>
      </c>
      <c r="B29100" s="74" t="s">
        <v>14642</v>
      </c>
      <c r="C29100" s="74" t="s">
        <v>427</v>
      </c>
    </row>
    <row r="29101" spans="1:3">
      <c r="A29101" s="250">
        <v>67451</v>
      </c>
      <c r="B29101" s="74" t="s">
        <v>1111</v>
      </c>
      <c r="C29101" s="74" t="s">
        <v>427</v>
      </c>
    </row>
    <row r="29102" spans="1:3">
      <c r="A29102" s="250">
        <v>67452</v>
      </c>
      <c r="B29102" s="74" t="s">
        <v>3056</v>
      </c>
      <c r="C29102" s="74" t="s">
        <v>427</v>
      </c>
    </row>
    <row r="29103" spans="1:3">
      <c r="A29103" s="250">
        <v>67454</v>
      </c>
      <c r="B29103" s="74" t="s">
        <v>14643</v>
      </c>
      <c r="C29103" s="74" t="s">
        <v>427</v>
      </c>
    </row>
    <row r="29104" spans="1:3">
      <c r="A29104" s="250">
        <v>67455</v>
      </c>
      <c r="B29104" s="74" t="s">
        <v>800</v>
      </c>
      <c r="C29104" s="74" t="s">
        <v>427</v>
      </c>
    </row>
    <row r="29105" spans="1:3">
      <c r="A29105" s="250">
        <v>67456</v>
      </c>
      <c r="B29105" s="74" t="s">
        <v>14644</v>
      </c>
      <c r="C29105" s="74" t="s">
        <v>427</v>
      </c>
    </row>
    <row r="29106" spans="1:3">
      <c r="A29106" s="250">
        <v>67457</v>
      </c>
      <c r="B29106" s="74" t="s">
        <v>7744</v>
      </c>
      <c r="C29106" s="74" t="s">
        <v>427</v>
      </c>
    </row>
    <row r="29107" spans="1:3">
      <c r="A29107" s="250">
        <v>67458</v>
      </c>
      <c r="B29107" s="74" t="s">
        <v>14645</v>
      </c>
      <c r="C29107" s="74" t="s">
        <v>427</v>
      </c>
    </row>
    <row r="29108" spans="1:3">
      <c r="A29108" s="250">
        <v>67459</v>
      </c>
      <c r="B29108" s="74" t="s">
        <v>3562</v>
      </c>
      <c r="C29108" s="74" t="s">
        <v>427</v>
      </c>
    </row>
    <row r="29109" spans="1:3">
      <c r="A29109" s="250">
        <v>67460</v>
      </c>
      <c r="B29109" s="74" t="s">
        <v>14646</v>
      </c>
      <c r="C29109" s="74" t="s">
        <v>427</v>
      </c>
    </row>
    <row r="29110" spans="1:3">
      <c r="A29110" s="250">
        <v>67464</v>
      </c>
      <c r="B29110" s="74" t="s">
        <v>11426</v>
      </c>
      <c r="C29110" s="74" t="s">
        <v>427</v>
      </c>
    </row>
    <row r="29111" spans="1:3">
      <c r="A29111" s="250">
        <v>67466</v>
      </c>
      <c r="B29111" s="74" t="s">
        <v>14647</v>
      </c>
      <c r="C29111" s="74" t="s">
        <v>427</v>
      </c>
    </row>
    <row r="29112" spans="1:3">
      <c r="A29112" s="250">
        <v>67467</v>
      </c>
      <c r="B29112" s="74" t="s">
        <v>7497</v>
      </c>
      <c r="C29112" s="74" t="s">
        <v>427</v>
      </c>
    </row>
    <row r="29113" spans="1:3">
      <c r="A29113" s="250">
        <v>67468</v>
      </c>
      <c r="B29113" s="74" t="s">
        <v>2281</v>
      </c>
      <c r="C29113" s="74" t="s">
        <v>427</v>
      </c>
    </row>
    <row r="29114" spans="1:3">
      <c r="A29114" s="250">
        <v>67470</v>
      </c>
      <c r="B29114" s="74" t="s">
        <v>14142</v>
      </c>
      <c r="C29114" s="74" t="s">
        <v>427</v>
      </c>
    </row>
    <row r="29115" spans="1:3">
      <c r="A29115" s="250">
        <v>67473</v>
      </c>
      <c r="B29115" s="74" t="s">
        <v>14648</v>
      </c>
      <c r="C29115" s="74" t="s">
        <v>427</v>
      </c>
    </row>
    <row r="29116" spans="1:3">
      <c r="A29116" s="250">
        <v>67474</v>
      </c>
      <c r="B29116" s="74" t="s">
        <v>14649</v>
      </c>
      <c r="C29116" s="74" t="s">
        <v>427</v>
      </c>
    </row>
    <row r="29117" spans="1:3">
      <c r="A29117" s="250">
        <v>67475</v>
      </c>
      <c r="B29117" s="74" t="s">
        <v>12825</v>
      </c>
      <c r="C29117" s="74" t="s">
        <v>427</v>
      </c>
    </row>
    <row r="29118" spans="1:3">
      <c r="A29118" s="250">
        <v>67476</v>
      </c>
      <c r="B29118" s="74" t="s">
        <v>901</v>
      </c>
      <c r="C29118" s="74" t="s">
        <v>427</v>
      </c>
    </row>
    <row r="29119" spans="1:3">
      <c r="A29119" s="250">
        <v>67478</v>
      </c>
      <c r="B29119" s="74" t="s">
        <v>6957</v>
      </c>
      <c r="C29119" s="74" t="s">
        <v>427</v>
      </c>
    </row>
    <row r="29120" spans="1:3">
      <c r="A29120" s="250">
        <v>67480</v>
      </c>
      <c r="B29120" s="74" t="s">
        <v>14650</v>
      </c>
      <c r="C29120" s="74" t="s">
        <v>427</v>
      </c>
    </row>
    <row r="29121" spans="1:3">
      <c r="A29121" s="250">
        <v>67481</v>
      </c>
      <c r="B29121" s="74" t="s">
        <v>14651</v>
      </c>
      <c r="C29121" s="74" t="s">
        <v>427</v>
      </c>
    </row>
    <row r="29122" spans="1:3">
      <c r="A29122" s="250">
        <v>67482</v>
      </c>
      <c r="B29122" s="74" t="s">
        <v>4891</v>
      </c>
      <c r="C29122" s="74" t="s">
        <v>427</v>
      </c>
    </row>
    <row r="29123" spans="1:3">
      <c r="A29123" s="250">
        <v>67483</v>
      </c>
      <c r="B29123" s="74" t="s">
        <v>8487</v>
      </c>
      <c r="C29123" s="74" t="s">
        <v>427</v>
      </c>
    </row>
    <row r="29124" spans="1:3">
      <c r="A29124" s="250">
        <v>67484</v>
      </c>
      <c r="B29124" s="74" t="s">
        <v>14652</v>
      </c>
      <c r="C29124" s="74" t="s">
        <v>427</v>
      </c>
    </row>
    <row r="29125" spans="1:3">
      <c r="A29125" s="250">
        <v>67485</v>
      </c>
      <c r="B29125" s="74" t="s">
        <v>4581</v>
      </c>
      <c r="C29125" s="74" t="s">
        <v>427</v>
      </c>
    </row>
    <row r="29126" spans="1:3">
      <c r="A29126" s="250">
        <v>67487</v>
      </c>
      <c r="B29126" s="74" t="s">
        <v>828</v>
      </c>
      <c r="C29126" s="74" t="s">
        <v>427</v>
      </c>
    </row>
    <row r="29127" spans="1:3">
      <c r="A29127" s="250">
        <v>67490</v>
      </c>
      <c r="B29127" s="74" t="s">
        <v>3748</v>
      </c>
      <c r="C29127" s="74" t="s">
        <v>427</v>
      </c>
    </row>
    <row r="29128" spans="1:3">
      <c r="A29128" s="250">
        <v>67491</v>
      </c>
      <c r="B29128" s="74" t="s">
        <v>12557</v>
      </c>
      <c r="C29128" s="74" t="s">
        <v>427</v>
      </c>
    </row>
    <row r="29129" spans="1:3">
      <c r="A29129" s="250">
        <v>67492</v>
      </c>
      <c r="B29129" s="74" t="s">
        <v>2472</v>
      </c>
      <c r="C29129" s="74" t="s">
        <v>427</v>
      </c>
    </row>
    <row r="29130" spans="1:3">
      <c r="A29130" s="250">
        <v>67501</v>
      </c>
      <c r="B29130" s="74" t="s">
        <v>4212</v>
      </c>
      <c r="C29130" s="74" t="s">
        <v>427</v>
      </c>
    </row>
    <row r="29131" spans="1:3">
      <c r="A29131" s="250">
        <v>67502</v>
      </c>
      <c r="B29131" s="74" t="s">
        <v>4212</v>
      </c>
      <c r="C29131" s="74" t="s">
        <v>427</v>
      </c>
    </row>
    <row r="29132" spans="1:3">
      <c r="A29132" s="250">
        <v>67504</v>
      </c>
      <c r="B29132" s="74" t="s">
        <v>4212</v>
      </c>
      <c r="C29132" s="74" t="s">
        <v>427</v>
      </c>
    </row>
    <row r="29133" spans="1:3">
      <c r="A29133" s="250">
        <v>67505</v>
      </c>
      <c r="B29133" s="74" t="s">
        <v>14653</v>
      </c>
      <c r="C29133" s="74" t="s">
        <v>427</v>
      </c>
    </row>
    <row r="29134" spans="1:3">
      <c r="A29134" s="250">
        <v>67510</v>
      </c>
      <c r="B29134" s="74" t="s">
        <v>14654</v>
      </c>
      <c r="C29134" s="74" t="s">
        <v>427</v>
      </c>
    </row>
    <row r="29135" spans="1:3">
      <c r="A29135" s="250">
        <v>67511</v>
      </c>
      <c r="B29135" s="74" t="s">
        <v>14655</v>
      </c>
      <c r="C29135" s="74" t="s">
        <v>427</v>
      </c>
    </row>
    <row r="29136" spans="1:3">
      <c r="A29136" s="250">
        <v>67512</v>
      </c>
      <c r="B29136" s="74" t="s">
        <v>3668</v>
      </c>
      <c r="C29136" s="74" t="s">
        <v>427</v>
      </c>
    </row>
    <row r="29137" spans="1:3">
      <c r="A29137" s="250">
        <v>67513</v>
      </c>
      <c r="B29137" s="74" t="s">
        <v>3669</v>
      </c>
      <c r="C29137" s="74" t="s">
        <v>427</v>
      </c>
    </row>
    <row r="29138" spans="1:3">
      <c r="A29138" s="250">
        <v>67514</v>
      </c>
      <c r="B29138" s="74" t="s">
        <v>984</v>
      </c>
      <c r="C29138" s="74" t="s">
        <v>427</v>
      </c>
    </row>
    <row r="29139" spans="1:3">
      <c r="A29139" s="250">
        <v>67515</v>
      </c>
      <c r="B29139" s="74" t="s">
        <v>5652</v>
      </c>
      <c r="C29139" s="74" t="s">
        <v>427</v>
      </c>
    </row>
    <row r="29140" spans="1:3">
      <c r="A29140" s="250">
        <v>67516</v>
      </c>
      <c r="B29140" s="74" t="s">
        <v>14656</v>
      </c>
      <c r="C29140" s="74" t="s">
        <v>427</v>
      </c>
    </row>
    <row r="29141" spans="1:3">
      <c r="A29141" s="250">
        <v>67518</v>
      </c>
      <c r="B29141" s="74" t="s">
        <v>14657</v>
      </c>
      <c r="C29141" s="74" t="s">
        <v>427</v>
      </c>
    </row>
    <row r="29142" spans="1:3">
      <c r="A29142" s="250">
        <v>67519</v>
      </c>
      <c r="B29142" s="74" t="s">
        <v>10566</v>
      </c>
      <c r="C29142" s="74" t="s">
        <v>427</v>
      </c>
    </row>
    <row r="29143" spans="1:3">
      <c r="A29143" s="250">
        <v>67520</v>
      </c>
      <c r="B29143" s="74" t="s">
        <v>12946</v>
      </c>
      <c r="C29143" s="74" t="s">
        <v>427</v>
      </c>
    </row>
    <row r="29144" spans="1:3">
      <c r="A29144" s="250">
        <v>67521</v>
      </c>
      <c r="B29144" s="74" t="s">
        <v>14658</v>
      </c>
      <c r="C29144" s="74" t="s">
        <v>427</v>
      </c>
    </row>
    <row r="29145" spans="1:3">
      <c r="A29145" s="250">
        <v>67522</v>
      </c>
      <c r="B29145" s="74" t="s">
        <v>14659</v>
      </c>
      <c r="C29145" s="74" t="s">
        <v>427</v>
      </c>
    </row>
    <row r="29146" spans="1:3">
      <c r="A29146" s="250">
        <v>67523</v>
      </c>
      <c r="B29146" s="74" t="s">
        <v>3901</v>
      </c>
      <c r="C29146" s="74" t="s">
        <v>427</v>
      </c>
    </row>
    <row r="29147" spans="1:3">
      <c r="A29147" s="250">
        <v>67524</v>
      </c>
      <c r="B29147" s="74" t="s">
        <v>5657</v>
      </c>
      <c r="C29147" s="74" t="s">
        <v>427</v>
      </c>
    </row>
    <row r="29148" spans="1:3">
      <c r="A29148" s="250">
        <v>67525</v>
      </c>
      <c r="B29148" s="74" t="s">
        <v>14660</v>
      </c>
      <c r="C29148" s="74" t="s">
        <v>427</v>
      </c>
    </row>
    <row r="29149" spans="1:3">
      <c r="A29149" s="250">
        <v>67526</v>
      </c>
      <c r="B29149" s="74" t="s">
        <v>14661</v>
      </c>
      <c r="C29149" s="74" t="s">
        <v>427</v>
      </c>
    </row>
    <row r="29150" spans="1:3">
      <c r="A29150" s="250">
        <v>67529</v>
      </c>
      <c r="B29150" s="74" t="s">
        <v>2125</v>
      </c>
      <c r="C29150" s="74" t="s">
        <v>427</v>
      </c>
    </row>
    <row r="29151" spans="1:3">
      <c r="A29151" s="250">
        <v>67530</v>
      </c>
      <c r="B29151" s="74" t="s">
        <v>3551</v>
      </c>
      <c r="C29151" s="74" t="s">
        <v>427</v>
      </c>
    </row>
    <row r="29152" spans="1:3">
      <c r="A29152" s="250">
        <v>67543</v>
      </c>
      <c r="B29152" s="74" t="s">
        <v>14662</v>
      </c>
      <c r="C29152" s="74" t="s">
        <v>427</v>
      </c>
    </row>
    <row r="29153" spans="1:3">
      <c r="A29153" s="250">
        <v>67544</v>
      </c>
      <c r="B29153" s="74" t="s">
        <v>14663</v>
      </c>
      <c r="C29153" s="74" t="s">
        <v>427</v>
      </c>
    </row>
    <row r="29154" spans="1:3">
      <c r="A29154" s="250">
        <v>67545</v>
      </c>
      <c r="B29154" s="74" t="s">
        <v>792</v>
      </c>
      <c r="C29154" s="74" t="s">
        <v>427</v>
      </c>
    </row>
    <row r="29155" spans="1:3">
      <c r="A29155" s="250">
        <v>67546</v>
      </c>
      <c r="B29155" s="74" t="s">
        <v>7675</v>
      </c>
      <c r="C29155" s="74" t="s">
        <v>427</v>
      </c>
    </row>
    <row r="29156" spans="1:3">
      <c r="A29156" s="250">
        <v>67547</v>
      </c>
      <c r="B29156" s="74" t="s">
        <v>14664</v>
      </c>
      <c r="C29156" s="74" t="s">
        <v>427</v>
      </c>
    </row>
    <row r="29157" spans="1:3">
      <c r="A29157" s="250">
        <v>67548</v>
      </c>
      <c r="B29157" s="74" t="s">
        <v>6239</v>
      </c>
      <c r="C29157" s="74" t="s">
        <v>427</v>
      </c>
    </row>
    <row r="29158" spans="1:3">
      <c r="A29158" s="250">
        <v>67550</v>
      </c>
      <c r="B29158" s="74" t="s">
        <v>14665</v>
      </c>
      <c r="C29158" s="74" t="s">
        <v>427</v>
      </c>
    </row>
    <row r="29159" spans="1:3">
      <c r="A29159" s="250">
        <v>67552</v>
      </c>
      <c r="B29159" s="74" t="s">
        <v>3303</v>
      </c>
      <c r="C29159" s="74" t="s">
        <v>427</v>
      </c>
    </row>
    <row r="29160" spans="1:3">
      <c r="A29160" s="250">
        <v>67553</v>
      </c>
      <c r="B29160" s="74" t="s">
        <v>14666</v>
      </c>
      <c r="C29160" s="74" t="s">
        <v>427</v>
      </c>
    </row>
    <row r="29161" spans="1:3">
      <c r="A29161" s="250">
        <v>67554</v>
      </c>
      <c r="B29161" s="74" t="s">
        <v>2349</v>
      </c>
      <c r="C29161" s="74" t="s">
        <v>427</v>
      </c>
    </row>
    <row r="29162" spans="1:3">
      <c r="A29162" s="250">
        <v>67556</v>
      </c>
      <c r="B29162" s="74" t="s">
        <v>14667</v>
      </c>
      <c r="C29162" s="74" t="s">
        <v>427</v>
      </c>
    </row>
    <row r="29163" spans="1:3">
      <c r="A29163" s="250">
        <v>67557</v>
      </c>
      <c r="B29163" s="74" t="s">
        <v>14668</v>
      </c>
      <c r="C29163" s="74" t="s">
        <v>427</v>
      </c>
    </row>
    <row r="29164" spans="1:3">
      <c r="A29164" s="250">
        <v>67559</v>
      </c>
      <c r="B29164" s="74" t="s">
        <v>13079</v>
      </c>
      <c r="C29164" s="74" t="s">
        <v>427</v>
      </c>
    </row>
    <row r="29165" spans="1:3">
      <c r="A29165" s="250">
        <v>67560</v>
      </c>
      <c r="B29165" s="74" t="s">
        <v>14669</v>
      </c>
      <c r="C29165" s="74" t="s">
        <v>427</v>
      </c>
    </row>
    <row r="29166" spans="1:3">
      <c r="A29166" s="250">
        <v>67561</v>
      </c>
      <c r="B29166" s="74" t="s">
        <v>14670</v>
      </c>
      <c r="C29166" s="74" t="s">
        <v>427</v>
      </c>
    </row>
    <row r="29167" spans="1:3">
      <c r="A29167" s="250">
        <v>67563</v>
      </c>
      <c r="B29167" s="74" t="s">
        <v>14671</v>
      </c>
      <c r="C29167" s="74" t="s">
        <v>427</v>
      </c>
    </row>
    <row r="29168" spans="1:3">
      <c r="A29168" s="250">
        <v>67564</v>
      </c>
      <c r="B29168" s="74" t="s">
        <v>14672</v>
      </c>
      <c r="C29168" s="74" t="s">
        <v>427</v>
      </c>
    </row>
    <row r="29169" spans="1:3">
      <c r="A29169" s="250">
        <v>67565</v>
      </c>
      <c r="B29169" s="74" t="s">
        <v>657</v>
      </c>
      <c r="C29169" s="74" t="s">
        <v>427</v>
      </c>
    </row>
    <row r="29170" spans="1:3">
      <c r="A29170" s="250">
        <v>67566</v>
      </c>
      <c r="B29170" s="74" t="s">
        <v>9693</v>
      </c>
      <c r="C29170" s="74" t="s">
        <v>427</v>
      </c>
    </row>
    <row r="29171" spans="1:3">
      <c r="A29171" s="250">
        <v>67567</v>
      </c>
      <c r="B29171" s="74" t="s">
        <v>14673</v>
      </c>
      <c r="C29171" s="74" t="s">
        <v>427</v>
      </c>
    </row>
    <row r="29172" spans="1:3">
      <c r="A29172" s="250">
        <v>67568</v>
      </c>
      <c r="B29172" s="74" t="s">
        <v>13299</v>
      </c>
      <c r="C29172" s="74" t="s">
        <v>427</v>
      </c>
    </row>
    <row r="29173" spans="1:3">
      <c r="A29173" s="250">
        <v>67570</v>
      </c>
      <c r="B29173" s="74" t="s">
        <v>14674</v>
      </c>
      <c r="C29173" s="74" t="s">
        <v>427</v>
      </c>
    </row>
    <row r="29174" spans="1:3">
      <c r="A29174" s="250">
        <v>67572</v>
      </c>
      <c r="B29174" s="74" t="s">
        <v>5223</v>
      </c>
      <c r="C29174" s="74" t="s">
        <v>427</v>
      </c>
    </row>
    <row r="29175" spans="1:3">
      <c r="A29175" s="250">
        <v>67573</v>
      </c>
      <c r="B29175" s="74" t="s">
        <v>1170</v>
      </c>
      <c r="C29175" s="74" t="s">
        <v>427</v>
      </c>
    </row>
    <row r="29176" spans="1:3">
      <c r="A29176" s="250">
        <v>67574</v>
      </c>
      <c r="B29176" s="74" t="s">
        <v>14675</v>
      </c>
      <c r="C29176" s="74" t="s">
        <v>427</v>
      </c>
    </row>
    <row r="29177" spans="1:3">
      <c r="A29177" s="250">
        <v>67575</v>
      </c>
      <c r="B29177" s="74" t="s">
        <v>14676</v>
      </c>
      <c r="C29177" s="74" t="s">
        <v>427</v>
      </c>
    </row>
    <row r="29178" spans="1:3">
      <c r="A29178" s="250">
        <v>67576</v>
      </c>
      <c r="B29178" s="74" t="s">
        <v>10694</v>
      </c>
      <c r="C29178" s="74" t="s">
        <v>427</v>
      </c>
    </row>
    <row r="29179" spans="1:3">
      <c r="A29179" s="250">
        <v>67578</v>
      </c>
      <c r="B29179" s="74" t="s">
        <v>1961</v>
      </c>
      <c r="C29179" s="74" t="s">
        <v>427</v>
      </c>
    </row>
    <row r="29180" spans="1:3">
      <c r="A29180" s="250">
        <v>67579</v>
      </c>
      <c r="B29180" s="74" t="s">
        <v>763</v>
      </c>
      <c r="C29180" s="74" t="s">
        <v>427</v>
      </c>
    </row>
    <row r="29181" spans="1:3">
      <c r="A29181" s="250">
        <v>67581</v>
      </c>
      <c r="B29181" s="74" t="s">
        <v>14677</v>
      </c>
      <c r="C29181" s="74" t="s">
        <v>427</v>
      </c>
    </row>
    <row r="29182" spans="1:3">
      <c r="A29182" s="250">
        <v>67583</v>
      </c>
      <c r="B29182" s="74" t="s">
        <v>14678</v>
      </c>
      <c r="C29182" s="74" t="s">
        <v>427</v>
      </c>
    </row>
    <row r="29183" spans="1:3">
      <c r="A29183" s="250">
        <v>67584</v>
      </c>
      <c r="B29183" s="74" t="s">
        <v>3521</v>
      </c>
      <c r="C29183" s="74" t="s">
        <v>427</v>
      </c>
    </row>
    <row r="29184" spans="1:3">
      <c r="A29184" s="250">
        <v>67585</v>
      </c>
      <c r="B29184" s="74" t="s">
        <v>10757</v>
      </c>
      <c r="C29184" s="74" t="s">
        <v>427</v>
      </c>
    </row>
    <row r="29185" spans="1:3">
      <c r="A29185" s="250">
        <v>67601</v>
      </c>
      <c r="B29185" s="74" t="s">
        <v>7488</v>
      </c>
      <c r="C29185" s="74" t="s">
        <v>427</v>
      </c>
    </row>
    <row r="29186" spans="1:3">
      <c r="A29186" s="250">
        <v>67621</v>
      </c>
      <c r="B29186" s="74" t="s">
        <v>14679</v>
      </c>
      <c r="C29186" s="74" t="s">
        <v>427</v>
      </c>
    </row>
    <row r="29187" spans="1:3">
      <c r="A29187" s="250">
        <v>67622</v>
      </c>
      <c r="B29187" s="74" t="s">
        <v>12287</v>
      </c>
      <c r="C29187" s="74" t="s">
        <v>427</v>
      </c>
    </row>
    <row r="29188" spans="1:3">
      <c r="A29188" s="250">
        <v>67623</v>
      </c>
      <c r="B29188" s="74" t="s">
        <v>1293</v>
      </c>
      <c r="C29188" s="74" t="s">
        <v>427</v>
      </c>
    </row>
    <row r="29189" spans="1:3">
      <c r="A29189" s="250">
        <v>67625</v>
      </c>
      <c r="B29189" s="74" t="s">
        <v>14680</v>
      </c>
      <c r="C29189" s="74" t="s">
        <v>427</v>
      </c>
    </row>
    <row r="29190" spans="1:3">
      <c r="A29190" s="250">
        <v>67626</v>
      </c>
      <c r="B29190" s="74" t="s">
        <v>6684</v>
      </c>
      <c r="C29190" s="74" t="s">
        <v>427</v>
      </c>
    </row>
    <row r="29191" spans="1:3">
      <c r="A29191" s="250">
        <v>67627</v>
      </c>
      <c r="B29191" s="74" t="s">
        <v>14681</v>
      </c>
      <c r="C29191" s="74" t="s">
        <v>427</v>
      </c>
    </row>
    <row r="29192" spans="1:3">
      <c r="A29192" s="250">
        <v>67628</v>
      </c>
      <c r="B29192" s="74" t="s">
        <v>11301</v>
      </c>
      <c r="C29192" s="74" t="s">
        <v>427</v>
      </c>
    </row>
    <row r="29193" spans="1:3">
      <c r="A29193" s="250">
        <v>67629</v>
      </c>
      <c r="B29193" s="74" t="s">
        <v>2476</v>
      </c>
      <c r="C29193" s="74" t="s">
        <v>427</v>
      </c>
    </row>
    <row r="29194" spans="1:3">
      <c r="A29194" s="250">
        <v>67631</v>
      </c>
      <c r="B29194" s="74" t="s">
        <v>14682</v>
      </c>
      <c r="C29194" s="74" t="s">
        <v>427</v>
      </c>
    </row>
    <row r="29195" spans="1:3">
      <c r="A29195" s="250">
        <v>67632</v>
      </c>
      <c r="B29195" s="74" t="s">
        <v>14683</v>
      </c>
      <c r="C29195" s="74" t="s">
        <v>427</v>
      </c>
    </row>
    <row r="29196" spans="1:3">
      <c r="A29196" s="250">
        <v>67634</v>
      </c>
      <c r="B29196" s="74" t="s">
        <v>14684</v>
      </c>
      <c r="C29196" s="74" t="s">
        <v>427</v>
      </c>
    </row>
    <row r="29197" spans="1:3">
      <c r="A29197" s="250">
        <v>67635</v>
      </c>
      <c r="B29197" s="74" t="s">
        <v>1475</v>
      </c>
      <c r="C29197" s="74" t="s">
        <v>427</v>
      </c>
    </row>
    <row r="29198" spans="1:3">
      <c r="A29198" s="250">
        <v>67637</v>
      </c>
      <c r="B29198" s="74" t="s">
        <v>14685</v>
      </c>
      <c r="C29198" s="74" t="s">
        <v>427</v>
      </c>
    </row>
    <row r="29199" spans="1:3">
      <c r="A29199" s="250">
        <v>67638</v>
      </c>
      <c r="B29199" s="74" t="s">
        <v>11356</v>
      </c>
      <c r="C29199" s="74" t="s">
        <v>427</v>
      </c>
    </row>
    <row r="29200" spans="1:3">
      <c r="A29200" s="250">
        <v>67639</v>
      </c>
      <c r="B29200" s="74" t="s">
        <v>14686</v>
      </c>
      <c r="C29200" s="74" t="s">
        <v>427</v>
      </c>
    </row>
    <row r="29201" spans="1:3">
      <c r="A29201" s="250">
        <v>67640</v>
      </c>
      <c r="B29201" s="74" t="s">
        <v>1252</v>
      </c>
      <c r="C29201" s="74" t="s">
        <v>427</v>
      </c>
    </row>
    <row r="29202" spans="1:3">
      <c r="A29202" s="250">
        <v>67642</v>
      </c>
      <c r="B29202" s="74" t="s">
        <v>12460</v>
      </c>
      <c r="C29202" s="74" t="s">
        <v>427</v>
      </c>
    </row>
    <row r="29203" spans="1:3">
      <c r="A29203" s="250">
        <v>67643</v>
      </c>
      <c r="B29203" s="74" t="s">
        <v>8221</v>
      </c>
      <c r="C29203" s="74" t="s">
        <v>427</v>
      </c>
    </row>
    <row r="29204" spans="1:3">
      <c r="A29204" s="250">
        <v>67644</v>
      </c>
      <c r="B29204" s="74" t="s">
        <v>14687</v>
      </c>
      <c r="C29204" s="74" t="s">
        <v>427</v>
      </c>
    </row>
    <row r="29205" spans="1:3">
      <c r="A29205" s="250">
        <v>67645</v>
      </c>
      <c r="B29205" s="74" t="s">
        <v>14688</v>
      </c>
      <c r="C29205" s="74" t="s">
        <v>427</v>
      </c>
    </row>
    <row r="29206" spans="1:3">
      <c r="A29206" s="250">
        <v>67646</v>
      </c>
      <c r="B29206" s="74" t="s">
        <v>6736</v>
      </c>
      <c r="C29206" s="74" t="s">
        <v>427</v>
      </c>
    </row>
    <row r="29207" spans="1:3">
      <c r="A29207" s="250">
        <v>67647</v>
      </c>
      <c r="B29207" s="74" t="s">
        <v>1394</v>
      </c>
      <c r="C29207" s="74" t="s">
        <v>427</v>
      </c>
    </row>
    <row r="29208" spans="1:3">
      <c r="A29208" s="250">
        <v>67648</v>
      </c>
      <c r="B29208" s="74" t="s">
        <v>9968</v>
      </c>
      <c r="C29208" s="74" t="s">
        <v>427</v>
      </c>
    </row>
    <row r="29209" spans="1:3">
      <c r="A29209" s="250">
        <v>67649</v>
      </c>
      <c r="B29209" s="74" t="s">
        <v>5992</v>
      </c>
      <c r="C29209" s="74" t="s">
        <v>427</v>
      </c>
    </row>
    <row r="29210" spans="1:3">
      <c r="A29210" s="250">
        <v>67650</v>
      </c>
      <c r="B29210" s="74" t="s">
        <v>14689</v>
      </c>
      <c r="C29210" s="74" t="s">
        <v>427</v>
      </c>
    </row>
    <row r="29211" spans="1:3">
      <c r="A29211" s="250">
        <v>67651</v>
      </c>
      <c r="B29211" s="74" t="s">
        <v>14690</v>
      </c>
      <c r="C29211" s="74" t="s">
        <v>427</v>
      </c>
    </row>
    <row r="29212" spans="1:3">
      <c r="A29212" s="250">
        <v>67653</v>
      </c>
      <c r="B29212" s="74" t="s">
        <v>14691</v>
      </c>
      <c r="C29212" s="74" t="s">
        <v>427</v>
      </c>
    </row>
    <row r="29213" spans="1:3">
      <c r="A29213" s="250">
        <v>67654</v>
      </c>
      <c r="B29213" s="74" t="s">
        <v>1081</v>
      </c>
      <c r="C29213" s="74" t="s">
        <v>427</v>
      </c>
    </row>
    <row r="29214" spans="1:3">
      <c r="A29214" s="250">
        <v>67656</v>
      </c>
      <c r="B29214" s="74" t="s">
        <v>14692</v>
      </c>
      <c r="C29214" s="74" t="s">
        <v>427</v>
      </c>
    </row>
    <row r="29215" spans="1:3">
      <c r="A29215" s="250">
        <v>67657</v>
      </c>
      <c r="B29215" s="74" t="s">
        <v>14693</v>
      </c>
      <c r="C29215" s="74" t="s">
        <v>427</v>
      </c>
    </row>
    <row r="29216" spans="1:3">
      <c r="A29216" s="250">
        <v>67658</v>
      </c>
      <c r="B29216" s="74" t="s">
        <v>4877</v>
      </c>
      <c r="C29216" s="74" t="s">
        <v>427</v>
      </c>
    </row>
    <row r="29217" spans="1:3">
      <c r="A29217" s="250">
        <v>67659</v>
      </c>
      <c r="B29217" s="74" t="s">
        <v>14694</v>
      </c>
      <c r="C29217" s="74" t="s">
        <v>427</v>
      </c>
    </row>
    <row r="29218" spans="1:3">
      <c r="A29218" s="250">
        <v>67660</v>
      </c>
      <c r="B29218" s="74" t="s">
        <v>14695</v>
      </c>
      <c r="C29218" s="74" t="s">
        <v>427</v>
      </c>
    </row>
    <row r="29219" spans="1:3">
      <c r="A29219" s="250">
        <v>67661</v>
      </c>
      <c r="B29219" s="74" t="s">
        <v>2592</v>
      </c>
      <c r="C29219" s="74" t="s">
        <v>427</v>
      </c>
    </row>
    <row r="29220" spans="1:3">
      <c r="A29220" s="250">
        <v>67663</v>
      </c>
      <c r="B29220" s="74" t="s">
        <v>1078</v>
      </c>
      <c r="C29220" s="74" t="s">
        <v>427</v>
      </c>
    </row>
    <row r="29221" spans="1:3">
      <c r="A29221" s="250">
        <v>67664</v>
      </c>
      <c r="B29221" s="74" t="s">
        <v>14696</v>
      </c>
      <c r="C29221" s="74" t="s">
        <v>427</v>
      </c>
    </row>
    <row r="29222" spans="1:3">
      <c r="A29222" s="250">
        <v>67665</v>
      </c>
      <c r="B29222" s="74" t="s">
        <v>612</v>
      </c>
      <c r="C29222" s="74" t="s">
        <v>427</v>
      </c>
    </row>
    <row r="29223" spans="1:3">
      <c r="A29223" s="250">
        <v>67667</v>
      </c>
      <c r="B29223" s="74" t="s">
        <v>14697</v>
      </c>
      <c r="C29223" s="74" t="s">
        <v>427</v>
      </c>
    </row>
    <row r="29224" spans="1:3">
      <c r="A29224" s="250">
        <v>67669</v>
      </c>
      <c r="B29224" s="74" t="s">
        <v>2529</v>
      </c>
      <c r="C29224" s="74" t="s">
        <v>427</v>
      </c>
    </row>
    <row r="29225" spans="1:3">
      <c r="A29225" s="250">
        <v>67671</v>
      </c>
      <c r="B29225" s="74" t="s">
        <v>6250</v>
      </c>
      <c r="C29225" s="74" t="s">
        <v>427</v>
      </c>
    </row>
    <row r="29226" spans="1:3">
      <c r="A29226" s="250">
        <v>67672</v>
      </c>
      <c r="B29226" s="74" t="s">
        <v>14698</v>
      </c>
      <c r="C29226" s="74" t="s">
        <v>427</v>
      </c>
    </row>
    <row r="29227" spans="1:3">
      <c r="A29227" s="250">
        <v>67673</v>
      </c>
      <c r="B29227" s="74" t="s">
        <v>8364</v>
      </c>
      <c r="C29227" s="74" t="s">
        <v>427</v>
      </c>
    </row>
    <row r="29228" spans="1:3">
      <c r="A29228" s="250">
        <v>67674</v>
      </c>
      <c r="B29228" s="74" t="s">
        <v>6885</v>
      </c>
      <c r="C29228" s="74" t="s">
        <v>427</v>
      </c>
    </row>
    <row r="29229" spans="1:3">
      <c r="A29229" s="250">
        <v>67675</v>
      </c>
      <c r="B29229" s="74" t="s">
        <v>14699</v>
      </c>
      <c r="C29229" s="74" t="s">
        <v>427</v>
      </c>
    </row>
    <row r="29230" spans="1:3">
      <c r="A29230" s="250">
        <v>67701</v>
      </c>
      <c r="B29230" s="74" t="s">
        <v>12157</v>
      </c>
      <c r="C29230" s="74" t="s">
        <v>427</v>
      </c>
    </row>
    <row r="29231" spans="1:3">
      <c r="A29231" s="250">
        <v>67730</v>
      </c>
      <c r="B29231" s="74" t="s">
        <v>9191</v>
      </c>
      <c r="C29231" s="74" t="s">
        <v>427</v>
      </c>
    </row>
    <row r="29232" spans="1:3">
      <c r="A29232" s="250">
        <v>67731</v>
      </c>
      <c r="B29232" s="74" t="s">
        <v>14700</v>
      </c>
      <c r="C29232" s="74" t="s">
        <v>427</v>
      </c>
    </row>
    <row r="29233" spans="1:3">
      <c r="A29233" s="250">
        <v>67732</v>
      </c>
      <c r="B29233" s="74" t="s">
        <v>1023</v>
      </c>
      <c r="C29233" s="74" t="s">
        <v>427</v>
      </c>
    </row>
    <row r="29234" spans="1:3">
      <c r="A29234" s="250">
        <v>67733</v>
      </c>
      <c r="B29234" s="74" t="s">
        <v>14701</v>
      </c>
      <c r="C29234" s="74" t="s">
        <v>427</v>
      </c>
    </row>
    <row r="29235" spans="1:3">
      <c r="A29235" s="250">
        <v>67734</v>
      </c>
      <c r="B29235" s="74" t="s">
        <v>14702</v>
      </c>
      <c r="C29235" s="74" t="s">
        <v>427</v>
      </c>
    </row>
    <row r="29236" spans="1:3">
      <c r="A29236" s="250">
        <v>67735</v>
      </c>
      <c r="B29236" s="74" t="s">
        <v>8543</v>
      </c>
      <c r="C29236" s="74" t="s">
        <v>427</v>
      </c>
    </row>
    <row r="29237" spans="1:3">
      <c r="A29237" s="250">
        <v>67736</v>
      </c>
      <c r="B29237" s="74" t="s">
        <v>14703</v>
      </c>
      <c r="C29237" s="74" t="s">
        <v>427</v>
      </c>
    </row>
    <row r="29238" spans="1:3">
      <c r="A29238" s="250">
        <v>67737</v>
      </c>
      <c r="B29238" s="74" t="s">
        <v>14704</v>
      </c>
      <c r="C29238" s="74" t="s">
        <v>427</v>
      </c>
    </row>
    <row r="29239" spans="1:3">
      <c r="A29239" s="250">
        <v>67738</v>
      </c>
      <c r="B29239" s="74" t="s">
        <v>11509</v>
      </c>
      <c r="C29239" s="74" t="s">
        <v>427</v>
      </c>
    </row>
    <row r="29240" spans="1:3">
      <c r="A29240" s="250">
        <v>67739</v>
      </c>
      <c r="B29240" s="74" t="s">
        <v>4945</v>
      </c>
      <c r="C29240" s="74" t="s">
        <v>427</v>
      </c>
    </row>
    <row r="29241" spans="1:3">
      <c r="A29241" s="250">
        <v>67740</v>
      </c>
      <c r="B29241" s="74" t="s">
        <v>14705</v>
      </c>
      <c r="C29241" s="74" t="s">
        <v>427</v>
      </c>
    </row>
    <row r="29242" spans="1:3">
      <c r="A29242" s="250">
        <v>67741</v>
      </c>
      <c r="B29242" s="74" t="s">
        <v>14706</v>
      </c>
      <c r="C29242" s="74" t="s">
        <v>427</v>
      </c>
    </row>
    <row r="29243" spans="1:3">
      <c r="A29243" s="250">
        <v>67743</v>
      </c>
      <c r="B29243" s="74" t="s">
        <v>1513</v>
      </c>
      <c r="C29243" s="74" t="s">
        <v>427</v>
      </c>
    </row>
    <row r="29244" spans="1:3">
      <c r="A29244" s="250">
        <v>67744</v>
      </c>
      <c r="B29244" s="74" t="s">
        <v>14707</v>
      </c>
      <c r="C29244" s="74" t="s">
        <v>427</v>
      </c>
    </row>
    <row r="29245" spans="1:3">
      <c r="A29245" s="250">
        <v>67745</v>
      </c>
      <c r="B29245" s="74" t="s">
        <v>3993</v>
      </c>
      <c r="C29245" s="74" t="s">
        <v>427</v>
      </c>
    </row>
    <row r="29246" spans="1:3">
      <c r="A29246" s="250">
        <v>67747</v>
      </c>
      <c r="B29246" s="74" t="s">
        <v>14708</v>
      </c>
      <c r="C29246" s="74" t="s">
        <v>427</v>
      </c>
    </row>
    <row r="29247" spans="1:3">
      <c r="A29247" s="250">
        <v>67748</v>
      </c>
      <c r="B29247" s="74" t="s">
        <v>11104</v>
      </c>
      <c r="C29247" s="74" t="s">
        <v>427</v>
      </c>
    </row>
    <row r="29248" spans="1:3">
      <c r="A29248" s="250">
        <v>67749</v>
      </c>
      <c r="B29248" s="74" t="s">
        <v>10312</v>
      </c>
      <c r="C29248" s="74" t="s">
        <v>427</v>
      </c>
    </row>
    <row r="29249" spans="1:3">
      <c r="A29249" s="250">
        <v>67751</v>
      </c>
      <c r="B29249" s="74" t="s">
        <v>14709</v>
      </c>
      <c r="C29249" s="74" t="s">
        <v>427</v>
      </c>
    </row>
    <row r="29250" spans="1:3">
      <c r="A29250" s="250">
        <v>67752</v>
      </c>
      <c r="B29250" s="74" t="s">
        <v>14710</v>
      </c>
      <c r="C29250" s="74" t="s">
        <v>427</v>
      </c>
    </row>
    <row r="29251" spans="1:3">
      <c r="A29251" s="250">
        <v>67753</v>
      </c>
      <c r="B29251" s="74" t="s">
        <v>2995</v>
      </c>
      <c r="C29251" s="74" t="s">
        <v>427</v>
      </c>
    </row>
    <row r="29252" spans="1:3">
      <c r="A29252" s="250">
        <v>67756</v>
      </c>
      <c r="B29252" s="74" t="s">
        <v>1650</v>
      </c>
      <c r="C29252" s="74" t="s">
        <v>427</v>
      </c>
    </row>
    <row r="29253" spans="1:3">
      <c r="A29253" s="250">
        <v>67757</v>
      </c>
      <c r="B29253" s="74" t="s">
        <v>2856</v>
      </c>
      <c r="C29253" s="74" t="s">
        <v>427</v>
      </c>
    </row>
    <row r="29254" spans="1:3">
      <c r="A29254" s="250">
        <v>67758</v>
      </c>
      <c r="B29254" s="74" t="s">
        <v>3499</v>
      </c>
      <c r="C29254" s="74" t="s">
        <v>427</v>
      </c>
    </row>
    <row r="29255" spans="1:3">
      <c r="A29255" s="250">
        <v>67761</v>
      </c>
      <c r="B29255" s="74" t="s">
        <v>6961</v>
      </c>
      <c r="C29255" s="74" t="s">
        <v>427</v>
      </c>
    </row>
    <row r="29256" spans="1:3">
      <c r="A29256" s="250">
        <v>67762</v>
      </c>
      <c r="B29256" s="74" t="s">
        <v>14711</v>
      </c>
      <c r="C29256" s="74" t="s">
        <v>427</v>
      </c>
    </row>
    <row r="29257" spans="1:3">
      <c r="A29257" s="250">
        <v>67764</v>
      </c>
      <c r="B29257" s="74" t="s">
        <v>6832</v>
      </c>
      <c r="C29257" s="74" t="s">
        <v>427</v>
      </c>
    </row>
    <row r="29258" spans="1:3">
      <c r="A29258" s="250">
        <v>67801</v>
      </c>
      <c r="B29258" s="74" t="s">
        <v>14712</v>
      </c>
      <c r="C29258" s="74" t="s">
        <v>427</v>
      </c>
    </row>
    <row r="29259" spans="1:3">
      <c r="A29259" s="250">
        <v>67831</v>
      </c>
      <c r="B29259" s="74" t="s">
        <v>782</v>
      </c>
      <c r="C29259" s="74" t="s">
        <v>427</v>
      </c>
    </row>
    <row r="29260" spans="1:3">
      <c r="A29260" s="250">
        <v>67834</v>
      </c>
      <c r="B29260" s="74" t="s">
        <v>14273</v>
      </c>
      <c r="C29260" s="74" t="s">
        <v>427</v>
      </c>
    </row>
    <row r="29261" spans="1:3">
      <c r="A29261" s="250">
        <v>67835</v>
      </c>
      <c r="B29261" s="74" t="s">
        <v>14713</v>
      </c>
      <c r="C29261" s="74" t="s">
        <v>427</v>
      </c>
    </row>
    <row r="29262" spans="1:3">
      <c r="A29262" s="250">
        <v>67836</v>
      </c>
      <c r="B29262" s="74" t="s">
        <v>8169</v>
      </c>
      <c r="C29262" s="74" t="s">
        <v>427</v>
      </c>
    </row>
    <row r="29263" spans="1:3">
      <c r="A29263" s="250">
        <v>67837</v>
      </c>
      <c r="B29263" s="74" t="s">
        <v>8540</v>
      </c>
      <c r="C29263" s="74" t="s">
        <v>427</v>
      </c>
    </row>
    <row r="29264" spans="1:3">
      <c r="A29264" s="250">
        <v>67838</v>
      </c>
      <c r="B29264" s="74" t="s">
        <v>678</v>
      </c>
      <c r="C29264" s="74" t="s">
        <v>427</v>
      </c>
    </row>
    <row r="29265" spans="1:3">
      <c r="A29265" s="250">
        <v>67839</v>
      </c>
      <c r="B29265" s="74" t="s">
        <v>1065</v>
      </c>
      <c r="C29265" s="74" t="s">
        <v>427</v>
      </c>
    </row>
    <row r="29266" spans="1:3">
      <c r="A29266" s="250">
        <v>67840</v>
      </c>
      <c r="B29266" s="74" t="s">
        <v>2232</v>
      </c>
      <c r="C29266" s="74" t="s">
        <v>427</v>
      </c>
    </row>
    <row r="29267" spans="1:3">
      <c r="A29267" s="250">
        <v>67841</v>
      </c>
      <c r="B29267" s="74" t="s">
        <v>14714</v>
      </c>
      <c r="C29267" s="74" t="s">
        <v>427</v>
      </c>
    </row>
    <row r="29268" spans="1:3">
      <c r="A29268" s="250">
        <v>67842</v>
      </c>
      <c r="B29268" s="74" t="s">
        <v>6203</v>
      </c>
      <c r="C29268" s="74" t="s">
        <v>427</v>
      </c>
    </row>
    <row r="29269" spans="1:3">
      <c r="A29269" s="250">
        <v>67843</v>
      </c>
      <c r="B29269" s="74" t="s">
        <v>11603</v>
      </c>
      <c r="C29269" s="74" t="s">
        <v>427</v>
      </c>
    </row>
    <row r="29270" spans="1:3">
      <c r="A29270" s="250">
        <v>67844</v>
      </c>
      <c r="B29270" s="74" t="s">
        <v>10361</v>
      </c>
      <c r="C29270" s="74" t="s">
        <v>427</v>
      </c>
    </row>
    <row r="29271" spans="1:3">
      <c r="A29271" s="250">
        <v>67846</v>
      </c>
      <c r="B29271" s="74" t="s">
        <v>2769</v>
      </c>
      <c r="C29271" s="74" t="s">
        <v>427</v>
      </c>
    </row>
    <row r="29272" spans="1:3">
      <c r="A29272" s="250">
        <v>67849</v>
      </c>
      <c r="B29272" s="74" t="s">
        <v>14715</v>
      </c>
      <c r="C29272" s="74" t="s">
        <v>427</v>
      </c>
    </row>
    <row r="29273" spans="1:3">
      <c r="A29273" s="250">
        <v>67850</v>
      </c>
      <c r="B29273" s="74" t="s">
        <v>14716</v>
      </c>
      <c r="C29273" s="74" t="s">
        <v>427</v>
      </c>
    </row>
    <row r="29274" spans="1:3">
      <c r="A29274" s="250">
        <v>67851</v>
      </c>
      <c r="B29274" s="74" t="s">
        <v>9390</v>
      </c>
      <c r="C29274" s="74" t="s">
        <v>427</v>
      </c>
    </row>
    <row r="29275" spans="1:3">
      <c r="A29275" s="250">
        <v>67853</v>
      </c>
      <c r="B29275" s="74" t="s">
        <v>10642</v>
      </c>
      <c r="C29275" s="74" t="s">
        <v>427</v>
      </c>
    </row>
    <row r="29276" spans="1:3">
      <c r="A29276" s="250">
        <v>67854</v>
      </c>
      <c r="B29276" s="74" t="s">
        <v>14717</v>
      </c>
      <c r="C29276" s="74" t="s">
        <v>427</v>
      </c>
    </row>
    <row r="29277" spans="1:3">
      <c r="A29277" s="250">
        <v>67855</v>
      </c>
      <c r="B29277" s="74" t="s">
        <v>1847</v>
      </c>
      <c r="C29277" s="74" t="s">
        <v>427</v>
      </c>
    </row>
    <row r="29278" spans="1:3">
      <c r="A29278" s="250">
        <v>67857</v>
      </c>
      <c r="B29278" s="74" t="s">
        <v>3786</v>
      </c>
      <c r="C29278" s="74" t="s">
        <v>427</v>
      </c>
    </row>
    <row r="29279" spans="1:3">
      <c r="A29279" s="250">
        <v>67859</v>
      </c>
      <c r="B29279" s="74" t="s">
        <v>14718</v>
      </c>
      <c r="C29279" s="74" t="s">
        <v>427</v>
      </c>
    </row>
    <row r="29280" spans="1:3">
      <c r="A29280" s="250">
        <v>67860</v>
      </c>
      <c r="B29280" s="74" t="s">
        <v>14719</v>
      </c>
      <c r="C29280" s="74" t="s">
        <v>427</v>
      </c>
    </row>
    <row r="29281" spans="1:3">
      <c r="A29281" s="250">
        <v>67861</v>
      </c>
      <c r="B29281" s="74" t="s">
        <v>14720</v>
      </c>
      <c r="C29281" s="74" t="s">
        <v>427</v>
      </c>
    </row>
    <row r="29282" spans="1:3">
      <c r="A29282" s="250">
        <v>67862</v>
      </c>
      <c r="B29282" s="74" t="s">
        <v>14721</v>
      </c>
      <c r="C29282" s="74" t="s">
        <v>427</v>
      </c>
    </row>
    <row r="29283" spans="1:3">
      <c r="A29283" s="250">
        <v>67863</v>
      </c>
      <c r="B29283" s="74" t="s">
        <v>14722</v>
      </c>
      <c r="C29283" s="74" t="s">
        <v>427</v>
      </c>
    </row>
    <row r="29284" spans="1:3">
      <c r="A29284" s="250">
        <v>67864</v>
      </c>
      <c r="B29284" s="74" t="s">
        <v>14723</v>
      </c>
      <c r="C29284" s="74" t="s">
        <v>427</v>
      </c>
    </row>
    <row r="29285" spans="1:3">
      <c r="A29285" s="250">
        <v>67865</v>
      </c>
      <c r="B29285" s="74" t="s">
        <v>8601</v>
      </c>
      <c r="C29285" s="74" t="s">
        <v>427</v>
      </c>
    </row>
    <row r="29286" spans="1:3">
      <c r="A29286" s="250">
        <v>67867</v>
      </c>
      <c r="B29286" s="74" t="s">
        <v>3391</v>
      </c>
      <c r="C29286" s="74" t="s">
        <v>427</v>
      </c>
    </row>
    <row r="29287" spans="1:3">
      <c r="A29287" s="250">
        <v>67868</v>
      </c>
      <c r="B29287" s="74" t="s">
        <v>10804</v>
      </c>
      <c r="C29287" s="74" t="s">
        <v>427</v>
      </c>
    </row>
    <row r="29288" spans="1:3">
      <c r="A29288" s="250">
        <v>67869</v>
      </c>
      <c r="B29288" s="74" t="s">
        <v>8186</v>
      </c>
      <c r="C29288" s="74" t="s">
        <v>427</v>
      </c>
    </row>
    <row r="29289" spans="1:3">
      <c r="A29289" s="250">
        <v>67870</v>
      </c>
      <c r="B29289" s="74" t="s">
        <v>14724</v>
      </c>
      <c r="C29289" s="74" t="s">
        <v>427</v>
      </c>
    </row>
    <row r="29290" spans="1:3">
      <c r="A29290" s="250">
        <v>67871</v>
      </c>
      <c r="B29290" s="74" t="s">
        <v>14174</v>
      </c>
      <c r="C29290" s="74" t="s">
        <v>427</v>
      </c>
    </row>
    <row r="29291" spans="1:3">
      <c r="A29291" s="250">
        <v>67876</v>
      </c>
      <c r="B29291" s="74" t="s">
        <v>14725</v>
      </c>
      <c r="C29291" s="74" t="s">
        <v>427</v>
      </c>
    </row>
    <row r="29292" spans="1:3">
      <c r="A29292" s="250">
        <v>67877</v>
      </c>
      <c r="B29292" s="74" t="s">
        <v>13675</v>
      </c>
      <c r="C29292" s="74" t="s">
        <v>427</v>
      </c>
    </row>
    <row r="29293" spans="1:3">
      <c r="A29293" s="250">
        <v>67878</v>
      </c>
      <c r="B29293" s="74" t="s">
        <v>3428</v>
      </c>
      <c r="C29293" s="74" t="s">
        <v>427</v>
      </c>
    </row>
    <row r="29294" spans="1:3">
      <c r="A29294" s="250">
        <v>67879</v>
      </c>
      <c r="B29294" s="74" t="s">
        <v>14726</v>
      </c>
      <c r="C29294" s="74" t="s">
        <v>427</v>
      </c>
    </row>
    <row r="29295" spans="1:3">
      <c r="A29295" s="250">
        <v>67880</v>
      </c>
      <c r="B29295" s="74" t="s">
        <v>4686</v>
      </c>
      <c r="C29295" s="74" t="s">
        <v>427</v>
      </c>
    </row>
    <row r="29296" spans="1:3">
      <c r="A29296" s="250">
        <v>67882</v>
      </c>
      <c r="B29296" s="74" t="s">
        <v>12490</v>
      </c>
      <c r="C29296" s="74" t="s">
        <v>427</v>
      </c>
    </row>
    <row r="29297" spans="1:3">
      <c r="A29297" s="250">
        <v>67901</v>
      </c>
      <c r="B29297" s="74" t="s">
        <v>14306</v>
      </c>
      <c r="C29297" s="74" t="s">
        <v>427</v>
      </c>
    </row>
    <row r="29298" spans="1:3">
      <c r="A29298" s="250">
        <v>67905</v>
      </c>
      <c r="B29298" s="74" t="s">
        <v>14306</v>
      </c>
      <c r="C29298" s="74" t="s">
        <v>427</v>
      </c>
    </row>
    <row r="29299" spans="1:3">
      <c r="A29299" s="250">
        <v>67950</v>
      </c>
      <c r="B29299" s="74" t="s">
        <v>10711</v>
      </c>
      <c r="C29299" s="74" t="s">
        <v>427</v>
      </c>
    </row>
    <row r="29300" spans="1:3">
      <c r="A29300" s="250">
        <v>67951</v>
      </c>
      <c r="B29300" s="74" t="s">
        <v>14727</v>
      </c>
      <c r="C29300" s="74" t="s">
        <v>427</v>
      </c>
    </row>
    <row r="29301" spans="1:3">
      <c r="A29301" s="250">
        <v>67952</v>
      </c>
      <c r="B29301" s="74" t="s">
        <v>1851</v>
      </c>
      <c r="C29301" s="74" t="s">
        <v>427</v>
      </c>
    </row>
    <row r="29302" spans="1:3">
      <c r="A29302" s="250">
        <v>67953</v>
      </c>
      <c r="B29302" s="74" t="s">
        <v>4750</v>
      </c>
      <c r="C29302" s="74" t="s">
        <v>427</v>
      </c>
    </row>
    <row r="29303" spans="1:3">
      <c r="A29303" s="250">
        <v>67954</v>
      </c>
      <c r="B29303" s="74" t="s">
        <v>13085</v>
      </c>
      <c r="C29303" s="74" t="s">
        <v>427</v>
      </c>
    </row>
    <row r="29304" spans="1:3">
      <c r="A29304" s="250">
        <v>68001</v>
      </c>
      <c r="B29304" s="74" t="s">
        <v>14728</v>
      </c>
      <c r="C29304" s="74" t="s">
        <v>438</v>
      </c>
    </row>
    <row r="29305" spans="1:3">
      <c r="A29305" s="250">
        <v>68002</v>
      </c>
      <c r="B29305" s="74" t="s">
        <v>984</v>
      </c>
      <c r="C29305" s="74" t="s">
        <v>438</v>
      </c>
    </row>
    <row r="29306" spans="1:3">
      <c r="A29306" s="250">
        <v>68003</v>
      </c>
      <c r="B29306" s="74" t="s">
        <v>782</v>
      </c>
      <c r="C29306" s="74" t="s">
        <v>438</v>
      </c>
    </row>
    <row r="29307" spans="1:3">
      <c r="A29307" s="250">
        <v>68004</v>
      </c>
      <c r="B29307" s="74" t="s">
        <v>6574</v>
      </c>
      <c r="C29307" s="74" t="s">
        <v>438</v>
      </c>
    </row>
    <row r="29308" spans="1:3">
      <c r="A29308" s="250">
        <v>68005</v>
      </c>
      <c r="B29308" s="74" t="s">
        <v>9741</v>
      </c>
      <c r="C29308" s="74" t="s">
        <v>438</v>
      </c>
    </row>
    <row r="29309" spans="1:3">
      <c r="A29309" s="250">
        <v>68007</v>
      </c>
      <c r="B29309" s="74" t="s">
        <v>1229</v>
      </c>
      <c r="C29309" s="74" t="s">
        <v>438</v>
      </c>
    </row>
    <row r="29310" spans="1:3">
      <c r="A29310" s="250">
        <v>68008</v>
      </c>
      <c r="B29310" s="74" t="s">
        <v>6578</v>
      </c>
      <c r="C29310" s="74" t="s">
        <v>438</v>
      </c>
    </row>
    <row r="29311" spans="1:3">
      <c r="A29311" s="250">
        <v>68009</v>
      </c>
      <c r="B29311" s="74" t="s">
        <v>6578</v>
      </c>
      <c r="C29311" s="74" t="s">
        <v>438</v>
      </c>
    </row>
    <row r="29312" spans="1:3">
      <c r="A29312" s="250">
        <v>68010</v>
      </c>
      <c r="B29312" s="74" t="s">
        <v>14729</v>
      </c>
      <c r="C29312" s="74" t="s">
        <v>438</v>
      </c>
    </row>
    <row r="29313" spans="1:3">
      <c r="A29313" s="250">
        <v>68014</v>
      </c>
      <c r="B29313" s="74" t="s">
        <v>6740</v>
      </c>
      <c r="C29313" s="74" t="s">
        <v>438</v>
      </c>
    </row>
    <row r="29314" spans="1:3">
      <c r="A29314" s="250">
        <v>68015</v>
      </c>
      <c r="B29314" s="74" t="s">
        <v>14730</v>
      </c>
      <c r="C29314" s="74" t="s">
        <v>438</v>
      </c>
    </row>
    <row r="29315" spans="1:3">
      <c r="A29315" s="250">
        <v>68016</v>
      </c>
      <c r="B29315" s="74" t="s">
        <v>14731</v>
      </c>
      <c r="C29315" s="74" t="s">
        <v>438</v>
      </c>
    </row>
    <row r="29316" spans="1:3">
      <c r="A29316" s="250">
        <v>68017</v>
      </c>
      <c r="B29316" s="74" t="s">
        <v>11191</v>
      </c>
      <c r="C29316" s="74" t="s">
        <v>438</v>
      </c>
    </row>
    <row r="29317" spans="1:3">
      <c r="A29317" s="250">
        <v>68018</v>
      </c>
      <c r="B29317" s="74" t="s">
        <v>11194</v>
      </c>
      <c r="C29317" s="74" t="s">
        <v>438</v>
      </c>
    </row>
    <row r="29318" spans="1:3">
      <c r="A29318" s="250">
        <v>68019</v>
      </c>
      <c r="B29318" s="74" t="s">
        <v>14252</v>
      </c>
      <c r="C29318" s="74" t="s">
        <v>438</v>
      </c>
    </row>
    <row r="29319" spans="1:3">
      <c r="A29319" s="250">
        <v>68020</v>
      </c>
      <c r="B29319" s="74" t="s">
        <v>7862</v>
      </c>
      <c r="C29319" s="74" t="s">
        <v>438</v>
      </c>
    </row>
    <row r="29320" spans="1:3">
      <c r="A29320" s="250">
        <v>68022</v>
      </c>
      <c r="B29320" s="74" t="s">
        <v>6505</v>
      </c>
      <c r="C29320" s="74" t="s">
        <v>438</v>
      </c>
    </row>
    <row r="29321" spans="1:3">
      <c r="A29321" s="250">
        <v>68023</v>
      </c>
      <c r="B29321" s="74" t="s">
        <v>14732</v>
      </c>
      <c r="C29321" s="74" t="s">
        <v>438</v>
      </c>
    </row>
    <row r="29322" spans="1:3">
      <c r="A29322" s="250">
        <v>68025</v>
      </c>
      <c r="B29322" s="74" t="s">
        <v>1157</v>
      </c>
      <c r="C29322" s="74" t="s">
        <v>438</v>
      </c>
    </row>
    <row r="29323" spans="1:3">
      <c r="A29323" s="250">
        <v>68026</v>
      </c>
      <c r="B29323" s="74" t="s">
        <v>1157</v>
      </c>
      <c r="C29323" s="74" t="s">
        <v>438</v>
      </c>
    </row>
    <row r="29324" spans="1:3">
      <c r="A29324" s="250">
        <v>68028</v>
      </c>
      <c r="B29324" s="74" t="s">
        <v>6429</v>
      </c>
      <c r="C29324" s="74" t="s">
        <v>438</v>
      </c>
    </row>
    <row r="29325" spans="1:3">
      <c r="A29325" s="250">
        <v>68029</v>
      </c>
      <c r="B29325" s="74" t="s">
        <v>4390</v>
      </c>
      <c r="C29325" s="74" t="s">
        <v>438</v>
      </c>
    </row>
    <row r="29326" spans="1:3">
      <c r="A29326" s="250">
        <v>68030</v>
      </c>
      <c r="B29326" s="74" t="s">
        <v>3369</v>
      </c>
      <c r="C29326" s="74" t="s">
        <v>438</v>
      </c>
    </row>
    <row r="29327" spans="1:3">
      <c r="A29327" s="250">
        <v>68031</v>
      </c>
      <c r="B29327" s="74" t="s">
        <v>14733</v>
      </c>
      <c r="C29327" s="74" t="s">
        <v>438</v>
      </c>
    </row>
    <row r="29328" spans="1:3">
      <c r="A29328" s="250">
        <v>68033</v>
      </c>
      <c r="B29328" s="74" t="s">
        <v>3921</v>
      </c>
      <c r="C29328" s="74" t="s">
        <v>438</v>
      </c>
    </row>
    <row r="29329" spans="1:3">
      <c r="A29329" s="250">
        <v>68034</v>
      </c>
      <c r="B29329" s="74" t="s">
        <v>10845</v>
      </c>
      <c r="C29329" s="74" t="s">
        <v>438</v>
      </c>
    </row>
    <row r="29330" spans="1:3">
      <c r="A29330" s="250">
        <v>68036</v>
      </c>
      <c r="B29330" s="74" t="s">
        <v>743</v>
      </c>
      <c r="C29330" s="74" t="s">
        <v>438</v>
      </c>
    </row>
    <row r="29331" spans="1:3">
      <c r="A29331" s="250">
        <v>68037</v>
      </c>
      <c r="B29331" s="74" t="s">
        <v>7943</v>
      </c>
      <c r="C29331" s="74" t="s">
        <v>438</v>
      </c>
    </row>
    <row r="29332" spans="1:3">
      <c r="A29332" s="250">
        <v>68038</v>
      </c>
      <c r="B29332" s="74" t="s">
        <v>2349</v>
      </c>
      <c r="C29332" s="74" t="s">
        <v>438</v>
      </c>
    </row>
    <row r="29333" spans="1:3">
      <c r="A29333" s="250">
        <v>68039</v>
      </c>
      <c r="B29333" s="74" t="s">
        <v>10778</v>
      </c>
      <c r="C29333" s="74" t="s">
        <v>438</v>
      </c>
    </row>
    <row r="29334" spans="1:3">
      <c r="A29334" s="250">
        <v>68040</v>
      </c>
      <c r="B29334" s="74" t="s">
        <v>14734</v>
      </c>
      <c r="C29334" s="74" t="s">
        <v>438</v>
      </c>
    </row>
    <row r="29335" spans="1:3">
      <c r="A29335" s="250">
        <v>68041</v>
      </c>
      <c r="B29335" s="74" t="s">
        <v>14735</v>
      </c>
      <c r="C29335" s="74" t="s">
        <v>438</v>
      </c>
    </row>
    <row r="29336" spans="1:3">
      <c r="A29336" s="250">
        <v>68042</v>
      </c>
      <c r="B29336" s="74" t="s">
        <v>3387</v>
      </c>
      <c r="C29336" s="74" t="s">
        <v>438</v>
      </c>
    </row>
    <row r="29337" spans="1:3">
      <c r="A29337" s="250">
        <v>68044</v>
      </c>
      <c r="B29337" s="74" t="s">
        <v>14670</v>
      </c>
      <c r="C29337" s="74" t="s">
        <v>438</v>
      </c>
    </row>
    <row r="29338" spans="1:3">
      <c r="A29338" s="250">
        <v>68045</v>
      </c>
      <c r="B29338" s="74" t="s">
        <v>1121</v>
      </c>
      <c r="C29338" s="74" t="s">
        <v>438</v>
      </c>
    </row>
    <row r="29339" spans="1:3">
      <c r="A29339" s="250">
        <v>68046</v>
      </c>
      <c r="B29339" s="74" t="s">
        <v>14736</v>
      </c>
      <c r="C29339" s="74" t="s">
        <v>438</v>
      </c>
    </row>
    <row r="29340" spans="1:3">
      <c r="A29340" s="250">
        <v>68047</v>
      </c>
      <c r="B29340" s="74" t="s">
        <v>14737</v>
      </c>
      <c r="C29340" s="74" t="s">
        <v>438</v>
      </c>
    </row>
    <row r="29341" spans="1:3">
      <c r="A29341" s="250">
        <v>68048</v>
      </c>
      <c r="B29341" s="74" t="s">
        <v>14738</v>
      </c>
      <c r="C29341" s="74" t="s">
        <v>438</v>
      </c>
    </row>
    <row r="29342" spans="1:3">
      <c r="A29342" s="250">
        <v>68050</v>
      </c>
      <c r="B29342" s="74" t="s">
        <v>14739</v>
      </c>
      <c r="C29342" s="74" t="s">
        <v>438</v>
      </c>
    </row>
    <row r="29343" spans="1:3">
      <c r="A29343" s="250">
        <v>68055</v>
      </c>
      <c r="B29343" s="74" t="s">
        <v>14740</v>
      </c>
      <c r="C29343" s="74" t="s">
        <v>438</v>
      </c>
    </row>
    <row r="29344" spans="1:3">
      <c r="A29344" s="250">
        <v>68056</v>
      </c>
      <c r="B29344" s="74" t="s">
        <v>14741</v>
      </c>
      <c r="C29344" s="74" t="s">
        <v>438</v>
      </c>
    </row>
    <row r="29345" spans="1:3">
      <c r="A29345" s="250">
        <v>68057</v>
      </c>
      <c r="B29345" s="74" t="s">
        <v>14742</v>
      </c>
      <c r="C29345" s="74" t="s">
        <v>438</v>
      </c>
    </row>
    <row r="29346" spans="1:3">
      <c r="A29346" s="250">
        <v>68058</v>
      </c>
      <c r="B29346" s="74" t="s">
        <v>10726</v>
      </c>
      <c r="C29346" s="74" t="s">
        <v>438</v>
      </c>
    </row>
    <row r="29347" spans="1:3">
      <c r="A29347" s="250">
        <v>68059</v>
      </c>
      <c r="B29347" s="74" t="s">
        <v>634</v>
      </c>
      <c r="C29347" s="74" t="s">
        <v>438</v>
      </c>
    </row>
    <row r="29348" spans="1:3">
      <c r="A29348" s="250">
        <v>68061</v>
      </c>
      <c r="B29348" s="74" t="s">
        <v>14743</v>
      </c>
      <c r="C29348" s="74" t="s">
        <v>438</v>
      </c>
    </row>
    <row r="29349" spans="1:3">
      <c r="A29349" s="250">
        <v>68062</v>
      </c>
      <c r="B29349" s="74" t="s">
        <v>10126</v>
      </c>
      <c r="C29349" s="74" t="s">
        <v>438</v>
      </c>
    </row>
    <row r="29350" spans="1:3">
      <c r="A29350" s="250">
        <v>68063</v>
      </c>
      <c r="B29350" s="74" t="s">
        <v>14744</v>
      </c>
      <c r="C29350" s="74" t="s">
        <v>438</v>
      </c>
    </row>
    <row r="29351" spans="1:3">
      <c r="A29351" s="250">
        <v>68064</v>
      </c>
      <c r="B29351" s="74" t="s">
        <v>8963</v>
      </c>
      <c r="C29351" s="74" t="s">
        <v>438</v>
      </c>
    </row>
    <row r="29352" spans="1:3">
      <c r="A29352" s="250">
        <v>68065</v>
      </c>
      <c r="B29352" s="74" t="s">
        <v>8339</v>
      </c>
      <c r="C29352" s="74" t="s">
        <v>438</v>
      </c>
    </row>
    <row r="29353" spans="1:3">
      <c r="A29353" s="250">
        <v>68066</v>
      </c>
      <c r="B29353" s="74" t="s">
        <v>14745</v>
      </c>
      <c r="C29353" s="74" t="s">
        <v>438</v>
      </c>
    </row>
    <row r="29354" spans="1:3">
      <c r="A29354" s="250">
        <v>68067</v>
      </c>
      <c r="B29354" s="74" t="s">
        <v>14746</v>
      </c>
      <c r="C29354" s="74" t="s">
        <v>438</v>
      </c>
    </row>
    <row r="29355" spans="1:3">
      <c r="A29355" s="250">
        <v>68068</v>
      </c>
      <c r="B29355" s="74" t="s">
        <v>1215</v>
      </c>
      <c r="C29355" s="74" t="s">
        <v>438</v>
      </c>
    </row>
    <row r="29356" spans="1:3">
      <c r="A29356" s="250">
        <v>68069</v>
      </c>
      <c r="B29356" s="74" t="s">
        <v>3425</v>
      </c>
      <c r="C29356" s="74" t="s">
        <v>438</v>
      </c>
    </row>
    <row r="29357" spans="1:3">
      <c r="A29357" s="250">
        <v>68070</v>
      </c>
      <c r="B29357" s="74" t="s">
        <v>991</v>
      </c>
      <c r="C29357" s="74" t="s">
        <v>438</v>
      </c>
    </row>
    <row r="29358" spans="1:3">
      <c r="A29358" s="250">
        <v>68071</v>
      </c>
      <c r="B29358" s="74" t="s">
        <v>12354</v>
      </c>
      <c r="C29358" s="74" t="s">
        <v>438</v>
      </c>
    </row>
    <row r="29359" spans="1:3">
      <c r="A29359" s="250">
        <v>68072</v>
      </c>
      <c r="B29359" s="74" t="s">
        <v>2433</v>
      </c>
      <c r="C29359" s="74" t="s">
        <v>438</v>
      </c>
    </row>
    <row r="29360" spans="1:3">
      <c r="A29360" s="250">
        <v>68073</v>
      </c>
      <c r="B29360" s="74" t="s">
        <v>14747</v>
      </c>
      <c r="C29360" s="74" t="s">
        <v>438</v>
      </c>
    </row>
    <row r="29361" spans="1:3">
      <c r="A29361" s="250">
        <v>68101</v>
      </c>
      <c r="B29361" s="74" t="s">
        <v>8201</v>
      </c>
      <c r="C29361" s="74" t="s">
        <v>438</v>
      </c>
    </row>
    <row r="29362" spans="1:3">
      <c r="A29362" s="250">
        <v>68102</v>
      </c>
      <c r="B29362" s="74" t="s">
        <v>8201</v>
      </c>
      <c r="C29362" s="74" t="s">
        <v>438</v>
      </c>
    </row>
    <row r="29363" spans="1:3">
      <c r="A29363" s="250">
        <v>68103</v>
      </c>
      <c r="B29363" s="74" t="s">
        <v>8201</v>
      </c>
      <c r="C29363" s="74" t="s">
        <v>438</v>
      </c>
    </row>
    <row r="29364" spans="1:3">
      <c r="A29364" s="250">
        <v>68104</v>
      </c>
      <c r="B29364" s="74" t="s">
        <v>8201</v>
      </c>
      <c r="C29364" s="74" t="s">
        <v>438</v>
      </c>
    </row>
    <row r="29365" spans="1:3">
      <c r="A29365" s="250">
        <v>68105</v>
      </c>
      <c r="B29365" s="74" t="s">
        <v>8201</v>
      </c>
      <c r="C29365" s="74" t="s">
        <v>438</v>
      </c>
    </row>
    <row r="29366" spans="1:3">
      <c r="A29366" s="250">
        <v>68106</v>
      </c>
      <c r="B29366" s="74" t="s">
        <v>8201</v>
      </c>
      <c r="C29366" s="74" t="s">
        <v>438</v>
      </c>
    </row>
    <row r="29367" spans="1:3">
      <c r="A29367" s="250">
        <v>68107</v>
      </c>
      <c r="B29367" s="74" t="s">
        <v>8201</v>
      </c>
      <c r="C29367" s="74" t="s">
        <v>438</v>
      </c>
    </row>
    <row r="29368" spans="1:3">
      <c r="A29368" s="250">
        <v>68108</v>
      </c>
      <c r="B29368" s="74" t="s">
        <v>8201</v>
      </c>
      <c r="C29368" s="74" t="s">
        <v>438</v>
      </c>
    </row>
    <row r="29369" spans="1:3">
      <c r="A29369" s="250">
        <v>68109</v>
      </c>
      <c r="B29369" s="74" t="s">
        <v>8201</v>
      </c>
      <c r="C29369" s="74" t="s">
        <v>438</v>
      </c>
    </row>
    <row r="29370" spans="1:3">
      <c r="A29370" s="250">
        <v>68110</v>
      </c>
      <c r="B29370" s="74" t="s">
        <v>8201</v>
      </c>
      <c r="C29370" s="74" t="s">
        <v>438</v>
      </c>
    </row>
    <row r="29371" spans="1:3">
      <c r="A29371" s="250">
        <v>68111</v>
      </c>
      <c r="B29371" s="74" t="s">
        <v>8201</v>
      </c>
      <c r="C29371" s="74" t="s">
        <v>438</v>
      </c>
    </row>
    <row r="29372" spans="1:3">
      <c r="A29372" s="250">
        <v>68112</v>
      </c>
      <c r="B29372" s="74" t="s">
        <v>8201</v>
      </c>
      <c r="C29372" s="74" t="s">
        <v>438</v>
      </c>
    </row>
    <row r="29373" spans="1:3">
      <c r="A29373" s="250">
        <v>68113</v>
      </c>
      <c r="B29373" s="74" t="s">
        <v>14748</v>
      </c>
      <c r="C29373" s="74" t="s">
        <v>438</v>
      </c>
    </row>
    <row r="29374" spans="1:3">
      <c r="A29374" s="250">
        <v>68114</v>
      </c>
      <c r="B29374" s="74" t="s">
        <v>8201</v>
      </c>
      <c r="C29374" s="74" t="s">
        <v>438</v>
      </c>
    </row>
    <row r="29375" spans="1:3">
      <c r="A29375" s="250">
        <v>68116</v>
      </c>
      <c r="B29375" s="74" t="s">
        <v>8201</v>
      </c>
      <c r="C29375" s="74" t="s">
        <v>438</v>
      </c>
    </row>
    <row r="29376" spans="1:3">
      <c r="A29376" s="250">
        <v>68117</v>
      </c>
      <c r="B29376" s="74" t="s">
        <v>8201</v>
      </c>
      <c r="C29376" s="74" t="s">
        <v>438</v>
      </c>
    </row>
    <row r="29377" spans="1:3">
      <c r="A29377" s="250">
        <v>68118</v>
      </c>
      <c r="B29377" s="74" t="s">
        <v>8201</v>
      </c>
      <c r="C29377" s="74" t="s">
        <v>438</v>
      </c>
    </row>
    <row r="29378" spans="1:3">
      <c r="A29378" s="250">
        <v>68119</v>
      </c>
      <c r="B29378" s="74" t="s">
        <v>8201</v>
      </c>
      <c r="C29378" s="74" t="s">
        <v>438</v>
      </c>
    </row>
    <row r="29379" spans="1:3">
      <c r="A29379" s="250">
        <v>68120</v>
      </c>
      <c r="B29379" s="74" t="s">
        <v>8201</v>
      </c>
      <c r="C29379" s="74" t="s">
        <v>438</v>
      </c>
    </row>
    <row r="29380" spans="1:3">
      <c r="A29380" s="250">
        <v>68122</v>
      </c>
      <c r="B29380" s="74" t="s">
        <v>8201</v>
      </c>
      <c r="C29380" s="74" t="s">
        <v>438</v>
      </c>
    </row>
    <row r="29381" spans="1:3">
      <c r="A29381" s="250">
        <v>68123</v>
      </c>
      <c r="B29381" s="74" t="s">
        <v>9741</v>
      </c>
      <c r="C29381" s="74" t="s">
        <v>438</v>
      </c>
    </row>
    <row r="29382" spans="1:3">
      <c r="A29382" s="250">
        <v>68124</v>
      </c>
      <c r="B29382" s="74" t="s">
        <v>8201</v>
      </c>
      <c r="C29382" s="74" t="s">
        <v>438</v>
      </c>
    </row>
    <row r="29383" spans="1:3">
      <c r="A29383" s="250">
        <v>68127</v>
      </c>
      <c r="B29383" s="74" t="s">
        <v>8201</v>
      </c>
      <c r="C29383" s="74" t="s">
        <v>438</v>
      </c>
    </row>
    <row r="29384" spans="1:3">
      <c r="A29384" s="250">
        <v>68128</v>
      </c>
      <c r="B29384" s="74" t="s">
        <v>14749</v>
      </c>
      <c r="C29384" s="74" t="s">
        <v>438</v>
      </c>
    </row>
    <row r="29385" spans="1:3">
      <c r="A29385" s="250">
        <v>68130</v>
      </c>
      <c r="B29385" s="74" t="s">
        <v>8201</v>
      </c>
      <c r="C29385" s="74" t="s">
        <v>438</v>
      </c>
    </row>
    <row r="29386" spans="1:3">
      <c r="A29386" s="250">
        <v>68131</v>
      </c>
      <c r="B29386" s="74" t="s">
        <v>8201</v>
      </c>
      <c r="C29386" s="74" t="s">
        <v>438</v>
      </c>
    </row>
    <row r="29387" spans="1:3">
      <c r="A29387" s="250">
        <v>68132</v>
      </c>
      <c r="B29387" s="74" t="s">
        <v>8201</v>
      </c>
      <c r="C29387" s="74" t="s">
        <v>438</v>
      </c>
    </row>
    <row r="29388" spans="1:3">
      <c r="A29388" s="250">
        <v>68133</v>
      </c>
      <c r="B29388" s="74" t="s">
        <v>14736</v>
      </c>
      <c r="C29388" s="74" t="s">
        <v>438</v>
      </c>
    </row>
    <row r="29389" spans="1:3">
      <c r="A29389" s="250">
        <v>68134</v>
      </c>
      <c r="B29389" s="74" t="s">
        <v>8201</v>
      </c>
      <c r="C29389" s="74" t="s">
        <v>438</v>
      </c>
    </row>
    <row r="29390" spans="1:3">
      <c r="A29390" s="250">
        <v>68135</v>
      </c>
      <c r="B29390" s="74" t="s">
        <v>8201</v>
      </c>
      <c r="C29390" s="74" t="s">
        <v>438</v>
      </c>
    </row>
    <row r="29391" spans="1:3">
      <c r="A29391" s="250">
        <v>68136</v>
      </c>
      <c r="B29391" s="74" t="s">
        <v>8201</v>
      </c>
      <c r="C29391" s="74" t="s">
        <v>438</v>
      </c>
    </row>
    <row r="29392" spans="1:3">
      <c r="A29392" s="250">
        <v>68137</v>
      </c>
      <c r="B29392" s="74" t="s">
        <v>8201</v>
      </c>
      <c r="C29392" s="74" t="s">
        <v>438</v>
      </c>
    </row>
    <row r="29393" spans="1:3">
      <c r="A29393" s="250">
        <v>68138</v>
      </c>
      <c r="B29393" s="74" t="s">
        <v>8201</v>
      </c>
      <c r="C29393" s="74" t="s">
        <v>438</v>
      </c>
    </row>
    <row r="29394" spans="1:3">
      <c r="A29394" s="250">
        <v>68139</v>
      </c>
      <c r="B29394" s="74" t="s">
        <v>8201</v>
      </c>
      <c r="C29394" s="74" t="s">
        <v>438</v>
      </c>
    </row>
    <row r="29395" spans="1:3">
      <c r="A29395" s="250">
        <v>68142</v>
      </c>
      <c r="B29395" s="74" t="s">
        <v>8201</v>
      </c>
      <c r="C29395" s="74" t="s">
        <v>438</v>
      </c>
    </row>
    <row r="29396" spans="1:3">
      <c r="A29396" s="250">
        <v>68144</v>
      </c>
      <c r="B29396" s="74" t="s">
        <v>8201</v>
      </c>
      <c r="C29396" s="74" t="s">
        <v>438</v>
      </c>
    </row>
    <row r="29397" spans="1:3">
      <c r="A29397" s="250">
        <v>68145</v>
      </c>
      <c r="B29397" s="74" t="s">
        <v>8201</v>
      </c>
      <c r="C29397" s="74" t="s">
        <v>438</v>
      </c>
    </row>
    <row r="29398" spans="1:3">
      <c r="A29398" s="250">
        <v>68147</v>
      </c>
      <c r="B29398" s="74" t="s">
        <v>9741</v>
      </c>
      <c r="C29398" s="74" t="s">
        <v>438</v>
      </c>
    </row>
    <row r="29399" spans="1:3">
      <c r="A29399" s="250">
        <v>68152</v>
      </c>
      <c r="B29399" s="74" t="s">
        <v>8201</v>
      </c>
      <c r="C29399" s="74" t="s">
        <v>438</v>
      </c>
    </row>
    <row r="29400" spans="1:3">
      <c r="A29400" s="250">
        <v>68154</v>
      </c>
      <c r="B29400" s="74" t="s">
        <v>8201</v>
      </c>
      <c r="C29400" s="74" t="s">
        <v>438</v>
      </c>
    </row>
    <row r="29401" spans="1:3">
      <c r="A29401" s="250">
        <v>68155</v>
      </c>
      <c r="B29401" s="74" t="s">
        <v>8201</v>
      </c>
      <c r="C29401" s="74" t="s">
        <v>438</v>
      </c>
    </row>
    <row r="29402" spans="1:3">
      <c r="A29402" s="250">
        <v>68157</v>
      </c>
      <c r="B29402" s="74" t="s">
        <v>8201</v>
      </c>
      <c r="C29402" s="74" t="s">
        <v>438</v>
      </c>
    </row>
    <row r="29403" spans="1:3">
      <c r="A29403" s="250">
        <v>68164</v>
      </c>
      <c r="B29403" s="74" t="s">
        <v>8201</v>
      </c>
      <c r="C29403" s="74" t="s">
        <v>438</v>
      </c>
    </row>
    <row r="29404" spans="1:3">
      <c r="A29404" s="250">
        <v>68172</v>
      </c>
      <c r="B29404" s="74" t="s">
        <v>8201</v>
      </c>
      <c r="C29404" s="74" t="s">
        <v>438</v>
      </c>
    </row>
    <row r="29405" spans="1:3">
      <c r="A29405" s="250">
        <v>68175</v>
      </c>
      <c r="B29405" s="74" t="s">
        <v>8201</v>
      </c>
      <c r="C29405" s="74" t="s">
        <v>438</v>
      </c>
    </row>
    <row r="29406" spans="1:3">
      <c r="A29406" s="250">
        <v>68176</v>
      </c>
      <c r="B29406" s="74" t="s">
        <v>8201</v>
      </c>
      <c r="C29406" s="74" t="s">
        <v>438</v>
      </c>
    </row>
    <row r="29407" spans="1:3">
      <c r="A29407" s="250">
        <v>68178</v>
      </c>
      <c r="B29407" s="74" t="s">
        <v>8201</v>
      </c>
      <c r="C29407" s="74" t="s">
        <v>438</v>
      </c>
    </row>
    <row r="29408" spans="1:3">
      <c r="A29408" s="250">
        <v>68179</v>
      </c>
      <c r="B29408" s="74" t="s">
        <v>8201</v>
      </c>
      <c r="C29408" s="74" t="s">
        <v>438</v>
      </c>
    </row>
    <row r="29409" spans="1:3">
      <c r="A29409" s="250">
        <v>68180</v>
      </c>
      <c r="B29409" s="74" t="s">
        <v>8201</v>
      </c>
      <c r="C29409" s="74" t="s">
        <v>438</v>
      </c>
    </row>
    <row r="29410" spans="1:3">
      <c r="A29410" s="250">
        <v>68181</v>
      </c>
      <c r="B29410" s="74" t="s">
        <v>8201</v>
      </c>
      <c r="C29410" s="74" t="s">
        <v>438</v>
      </c>
    </row>
    <row r="29411" spans="1:3">
      <c r="A29411" s="250">
        <v>68182</v>
      </c>
      <c r="B29411" s="74" t="s">
        <v>8201</v>
      </c>
      <c r="C29411" s="74" t="s">
        <v>438</v>
      </c>
    </row>
    <row r="29412" spans="1:3">
      <c r="A29412" s="250">
        <v>68183</v>
      </c>
      <c r="B29412" s="74" t="s">
        <v>8201</v>
      </c>
      <c r="C29412" s="74" t="s">
        <v>438</v>
      </c>
    </row>
    <row r="29413" spans="1:3">
      <c r="A29413" s="250">
        <v>68197</v>
      </c>
      <c r="B29413" s="74" t="s">
        <v>8201</v>
      </c>
      <c r="C29413" s="74" t="s">
        <v>438</v>
      </c>
    </row>
    <row r="29414" spans="1:3">
      <c r="A29414" s="250">
        <v>68198</v>
      </c>
      <c r="B29414" s="74" t="s">
        <v>8201</v>
      </c>
      <c r="C29414" s="74" t="s">
        <v>438</v>
      </c>
    </row>
    <row r="29415" spans="1:3">
      <c r="A29415" s="250">
        <v>68301</v>
      </c>
      <c r="B29415" s="74" t="s">
        <v>638</v>
      </c>
      <c r="C29415" s="74" t="s">
        <v>438</v>
      </c>
    </row>
    <row r="29416" spans="1:3">
      <c r="A29416" s="250">
        <v>68303</v>
      </c>
      <c r="B29416" s="74" t="s">
        <v>4530</v>
      </c>
      <c r="C29416" s="74" t="s">
        <v>438</v>
      </c>
    </row>
    <row r="29417" spans="1:3">
      <c r="A29417" s="250">
        <v>68304</v>
      </c>
      <c r="B29417" s="74" t="s">
        <v>14750</v>
      </c>
      <c r="C29417" s="74" t="s">
        <v>438</v>
      </c>
    </row>
    <row r="29418" spans="1:3">
      <c r="A29418" s="250">
        <v>68305</v>
      </c>
      <c r="B29418" s="74" t="s">
        <v>724</v>
      </c>
      <c r="C29418" s="74" t="s">
        <v>438</v>
      </c>
    </row>
    <row r="29419" spans="1:3">
      <c r="A29419" s="250">
        <v>68307</v>
      </c>
      <c r="B29419" s="74" t="s">
        <v>3896</v>
      </c>
      <c r="C29419" s="74" t="s">
        <v>438</v>
      </c>
    </row>
    <row r="29420" spans="1:3">
      <c r="A29420" s="250">
        <v>68309</v>
      </c>
      <c r="B29420" s="74" t="s">
        <v>14751</v>
      </c>
      <c r="C29420" s="74" t="s">
        <v>438</v>
      </c>
    </row>
    <row r="29421" spans="1:3">
      <c r="A29421" s="250">
        <v>68310</v>
      </c>
      <c r="B29421" s="74" t="s">
        <v>8861</v>
      </c>
      <c r="C29421" s="74" t="s">
        <v>438</v>
      </c>
    </row>
    <row r="29422" spans="1:3">
      <c r="A29422" s="250">
        <v>68313</v>
      </c>
      <c r="B29422" s="74" t="s">
        <v>14752</v>
      </c>
      <c r="C29422" s="74" t="s">
        <v>438</v>
      </c>
    </row>
    <row r="29423" spans="1:3">
      <c r="A29423" s="250">
        <v>68314</v>
      </c>
      <c r="B29423" s="74" t="s">
        <v>6314</v>
      </c>
      <c r="C29423" s="74" t="s">
        <v>438</v>
      </c>
    </row>
    <row r="29424" spans="1:3">
      <c r="A29424" s="250">
        <v>68315</v>
      </c>
      <c r="B29424" s="74" t="s">
        <v>2296</v>
      </c>
      <c r="C29424" s="74" t="s">
        <v>438</v>
      </c>
    </row>
    <row r="29425" spans="1:3">
      <c r="A29425" s="250">
        <v>68316</v>
      </c>
      <c r="B29425" s="74" t="s">
        <v>5550</v>
      </c>
      <c r="C29425" s="74" t="s">
        <v>438</v>
      </c>
    </row>
    <row r="29426" spans="1:3">
      <c r="A29426" s="250">
        <v>68317</v>
      </c>
      <c r="B29426" s="74" t="s">
        <v>14753</v>
      </c>
      <c r="C29426" s="74" t="s">
        <v>438</v>
      </c>
    </row>
    <row r="29427" spans="1:3">
      <c r="A29427" s="250">
        <v>68318</v>
      </c>
      <c r="B29427" s="74" t="s">
        <v>9357</v>
      </c>
      <c r="C29427" s="74" t="s">
        <v>438</v>
      </c>
    </row>
    <row r="29428" spans="1:3">
      <c r="A29428" s="250">
        <v>68319</v>
      </c>
      <c r="B29428" s="74" t="s">
        <v>6497</v>
      </c>
      <c r="C29428" s="74" t="s">
        <v>438</v>
      </c>
    </row>
    <row r="29429" spans="1:3">
      <c r="A29429" s="250">
        <v>68320</v>
      </c>
      <c r="B29429" s="74" t="s">
        <v>14754</v>
      </c>
      <c r="C29429" s="74" t="s">
        <v>438</v>
      </c>
    </row>
    <row r="29430" spans="1:3">
      <c r="A29430" s="250">
        <v>68321</v>
      </c>
      <c r="B29430" s="74" t="s">
        <v>1493</v>
      </c>
      <c r="C29430" s="74" t="s">
        <v>438</v>
      </c>
    </row>
    <row r="29431" spans="1:3">
      <c r="A29431" s="250">
        <v>68322</v>
      </c>
      <c r="B29431" s="74" t="s">
        <v>14755</v>
      </c>
      <c r="C29431" s="74" t="s">
        <v>438</v>
      </c>
    </row>
    <row r="29432" spans="1:3">
      <c r="A29432" s="250">
        <v>68323</v>
      </c>
      <c r="B29432" s="74" t="s">
        <v>14756</v>
      </c>
      <c r="C29432" s="74" t="s">
        <v>438</v>
      </c>
    </row>
    <row r="29433" spans="1:3">
      <c r="A29433" s="250">
        <v>68324</v>
      </c>
      <c r="B29433" s="74" t="s">
        <v>14757</v>
      </c>
      <c r="C29433" s="74" t="s">
        <v>438</v>
      </c>
    </row>
    <row r="29434" spans="1:3">
      <c r="A29434" s="250">
        <v>68325</v>
      </c>
      <c r="B29434" s="74" t="s">
        <v>3758</v>
      </c>
      <c r="C29434" s="74" t="s">
        <v>438</v>
      </c>
    </row>
    <row r="29435" spans="1:3">
      <c r="A29435" s="250">
        <v>68326</v>
      </c>
      <c r="B29435" s="74" t="s">
        <v>11012</v>
      </c>
      <c r="C29435" s="74" t="s">
        <v>438</v>
      </c>
    </row>
    <row r="29436" spans="1:3">
      <c r="A29436" s="250">
        <v>68327</v>
      </c>
      <c r="B29436" s="74" t="s">
        <v>583</v>
      </c>
      <c r="C29436" s="74" t="s">
        <v>438</v>
      </c>
    </row>
    <row r="29437" spans="1:3">
      <c r="A29437" s="250">
        <v>68328</v>
      </c>
      <c r="B29437" s="74" t="s">
        <v>14758</v>
      </c>
      <c r="C29437" s="74" t="s">
        <v>438</v>
      </c>
    </row>
    <row r="29438" spans="1:3">
      <c r="A29438" s="250">
        <v>68329</v>
      </c>
      <c r="B29438" s="74" t="s">
        <v>12452</v>
      </c>
      <c r="C29438" s="74" t="s">
        <v>438</v>
      </c>
    </row>
    <row r="29439" spans="1:3">
      <c r="A29439" s="250">
        <v>68330</v>
      </c>
      <c r="B29439" s="74" t="s">
        <v>5747</v>
      </c>
      <c r="C29439" s="74" t="s">
        <v>438</v>
      </c>
    </row>
    <row r="29440" spans="1:3">
      <c r="A29440" s="250">
        <v>68331</v>
      </c>
      <c r="B29440" s="74" t="s">
        <v>3353</v>
      </c>
      <c r="C29440" s="74" t="s">
        <v>438</v>
      </c>
    </row>
    <row r="29441" spans="1:3">
      <c r="A29441" s="250">
        <v>68332</v>
      </c>
      <c r="B29441" s="74" t="s">
        <v>6785</v>
      </c>
      <c r="C29441" s="74" t="s">
        <v>438</v>
      </c>
    </row>
    <row r="29442" spans="1:3">
      <c r="A29442" s="250">
        <v>68333</v>
      </c>
      <c r="B29442" s="74" t="s">
        <v>13508</v>
      </c>
      <c r="C29442" s="74" t="s">
        <v>438</v>
      </c>
    </row>
    <row r="29443" spans="1:3">
      <c r="A29443" s="250">
        <v>68335</v>
      </c>
      <c r="B29443" s="74" t="s">
        <v>3605</v>
      </c>
      <c r="C29443" s="74" t="s">
        <v>438</v>
      </c>
    </row>
    <row r="29444" spans="1:3">
      <c r="A29444" s="250">
        <v>68336</v>
      </c>
      <c r="B29444" s="74" t="s">
        <v>14759</v>
      </c>
      <c r="C29444" s="74" t="s">
        <v>438</v>
      </c>
    </row>
    <row r="29445" spans="1:3">
      <c r="A29445" s="250">
        <v>68337</v>
      </c>
      <c r="B29445" s="74" t="s">
        <v>4101</v>
      </c>
      <c r="C29445" s="74" t="s">
        <v>438</v>
      </c>
    </row>
    <row r="29446" spans="1:3">
      <c r="A29446" s="250">
        <v>68338</v>
      </c>
      <c r="B29446" s="74" t="s">
        <v>14760</v>
      </c>
      <c r="C29446" s="74" t="s">
        <v>438</v>
      </c>
    </row>
    <row r="29447" spans="1:3">
      <c r="A29447" s="250">
        <v>68339</v>
      </c>
      <c r="B29447" s="74" t="s">
        <v>5751</v>
      </c>
      <c r="C29447" s="74" t="s">
        <v>438</v>
      </c>
    </row>
    <row r="29448" spans="1:3">
      <c r="A29448" s="250">
        <v>68340</v>
      </c>
      <c r="B29448" s="74" t="s">
        <v>10186</v>
      </c>
      <c r="C29448" s="74" t="s">
        <v>438</v>
      </c>
    </row>
    <row r="29449" spans="1:3">
      <c r="A29449" s="250">
        <v>68341</v>
      </c>
      <c r="B29449" s="74" t="s">
        <v>11918</v>
      </c>
      <c r="C29449" s="74" t="s">
        <v>438</v>
      </c>
    </row>
    <row r="29450" spans="1:3">
      <c r="A29450" s="250">
        <v>68342</v>
      </c>
      <c r="B29450" s="74" t="s">
        <v>14761</v>
      </c>
      <c r="C29450" s="74" t="s">
        <v>438</v>
      </c>
    </row>
    <row r="29451" spans="1:3">
      <c r="A29451" s="250">
        <v>68343</v>
      </c>
      <c r="B29451" s="74" t="s">
        <v>903</v>
      </c>
      <c r="C29451" s="74" t="s">
        <v>438</v>
      </c>
    </row>
    <row r="29452" spans="1:3">
      <c r="A29452" s="250">
        <v>68344</v>
      </c>
      <c r="B29452" s="74" t="s">
        <v>734</v>
      </c>
      <c r="C29452" s="74" t="s">
        <v>438</v>
      </c>
    </row>
    <row r="29453" spans="1:3">
      <c r="A29453" s="250">
        <v>68345</v>
      </c>
      <c r="B29453" s="74" t="s">
        <v>4314</v>
      </c>
      <c r="C29453" s="74" t="s">
        <v>438</v>
      </c>
    </row>
    <row r="29454" spans="1:3">
      <c r="A29454" s="250">
        <v>68346</v>
      </c>
      <c r="B29454" s="74" t="s">
        <v>4104</v>
      </c>
      <c r="C29454" s="74" t="s">
        <v>438</v>
      </c>
    </row>
    <row r="29455" spans="1:3">
      <c r="A29455" s="250">
        <v>68347</v>
      </c>
      <c r="B29455" s="74" t="s">
        <v>11153</v>
      </c>
      <c r="C29455" s="74" t="s">
        <v>438</v>
      </c>
    </row>
    <row r="29456" spans="1:3">
      <c r="A29456" s="250">
        <v>68348</v>
      </c>
      <c r="B29456" s="74" t="s">
        <v>6357</v>
      </c>
      <c r="C29456" s="74" t="s">
        <v>438</v>
      </c>
    </row>
    <row r="29457" spans="1:3">
      <c r="A29457" s="250">
        <v>68349</v>
      </c>
      <c r="B29457" s="74" t="s">
        <v>942</v>
      </c>
      <c r="C29457" s="74" t="s">
        <v>438</v>
      </c>
    </row>
    <row r="29458" spans="1:3">
      <c r="A29458" s="250">
        <v>68350</v>
      </c>
      <c r="B29458" s="74" t="s">
        <v>3614</v>
      </c>
      <c r="C29458" s="74" t="s">
        <v>438</v>
      </c>
    </row>
    <row r="29459" spans="1:3">
      <c r="A29459" s="250">
        <v>68351</v>
      </c>
      <c r="B29459" s="74" t="s">
        <v>1104</v>
      </c>
      <c r="C29459" s="74" t="s">
        <v>438</v>
      </c>
    </row>
    <row r="29460" spans="1:3">
      <c r="A29460" s="250">
        <v>68352</v>
      </c>
      <c r="B29460" s="74" t="s">
        <v>13744</v>
      </c>
      <c r="C29460" s="74" t="s">
        <v>438</v>
      </c>
    </row>
    <row r="29461" spans="1:3">
      <c r="A29461" s="250">
        <v>68354</v>
      </c>
      <c r="B29461" s="74" t="s">
        <v>6976</v>
      </c>
      <c r="C29461" s="74" t="s">
        <v>438</v>
      </c>
    </row>
    <row r="29462" spans="1:3">
      <c r="A29462" s="250">
        <v>68355</v>
      </c>
      <c r="B29462" s="74" t="s">
        <v>14762</v>
      </c>
      <c r="C29462" s="74" t="s">
        <v>438</v>
      </c>
    </row>
    <row r="29463" spans="1:3">
      <c r="A29463" s="250">
        <v>68357</v>
      </c>
      <c r="B29463" s="74" t="s">
        <v>14763</v>
      </c>
      <c r="C29463" s="74" t="s">
        <v>438</v>
      </c>
    </row>
    <row r="29464" spans="1:3">
      <c r="A29464" s="250">
        <v>68358</v>
      </c>
      <c r="B29464" s="74" t="s">
        <v>14764</v>
      </c>
      <c r="C29464" s="74" t="s">
        <v>438</v>
      </c>
    </row>
    <row r="29465" spans="1:3">
      <c r="A29465" s="250">
        <v>68359</v>
      </c>
      <c r="B29465" s="74" t="s">
        <v>14765</v>
      </c>
      <c r="C29465" s="74" t="s">
        <v>438</v>
      </c>
    </row>
    <row r="29466" spans="1:3">
      <c r="A29466" s="250">
        <v>68360</v>
      </c>
      <c r="B29466" s="74" t="s">
        <v>1695</v>
      </c>
      <c r="C29466" s="74" t="s">
        <v>438</v>
      </c>
    </row>
    <row r="29467" spans="1:3">
      <c r="A29467" s="250">
        <v>68361</v>
      </c>
      <c r="B29467" s="74" t="s">
        <v>3776</v>
      </c>
      <c r="C29467" s="74" t="s">
        <v>438</v>
      </c>
    </row>
    <row r="29468" spans="1:3">
      <c r="A29468" s="250">
        <v>68362</v>
      </c>
      <c r="B29468" s="74" t="s">
        <v>14766</v>
      </c>
      <c r="C29468" s="74" t="s">
        <v>438</v>
      </c>
    </row>
    <row r="29469" spans="1:3">
      <c r="A29469" s="250">
        <v>68364</v>
      </c>
      <c r="B29469" s="74" t="s">
        <v>14767</v>
      </c>
      <c r="C29469" s="74" t="s">
        <v>438</v>
      </c>
    </row>
    <row r="29470" spans="1:3">
      <c r="A29470" s="250">
        <v>68365</v>
      </c>
      <c r="B29470" s="74" t="s">
        <v>737</v>
      </c>
      <c r="C29470" s="74" t="s">
        <v>438</v>
      </c>
    </row>
    <row r="29471" spans="1:3">
      <c r="A29471" s="250">
        <v>68366</v>
      </c>
      <c r="B29471" s="74" t="s">
        <v>1448</v>
      </c>
      <c r="C29471" s="74" t="s">
        <v>438</v>
      </c>
    </row>
    <row r="29472" spans="1:3">
      <c r="A29472" s="250">
        <v>68367</v>
      </c>
      <c r="B29472" s="74" t="s">
        <v>7737</v>
      </c>
      <c r="C29472" s="74" t="s">
        <v>438</v>
      </c>
    </row>
    <row r="29473" spans="1:3">
      <c r="A29473" s="250">
        <v>68368</v>
      </c>
      <c r="B29473" s="74" t="s">
        <v>14768</v>
      </c>
      <c r="C29473" s="74" t="s">
        <v>438</v>
      </c>
    </row>
    <row r="29474" spans="1:3">
      <c r="A29474" s="250">
        <v>68370</v>
      </c>
      <c r="B29474" s="74" t="s">
        <v>1190</v>
      </c>
      <c r="C29474" s="74" t="s">
        <v>438</v>
      </c>
    </row>
    <row r="29475" spans="1:3">
      <c r="A29475" s="250">
        <v>68371</v>
      </c>
      <c r="B29475" s="74" t="s">
        <v>3556</v>
      </c>
      <c r="C29475" s="74" t="s">
        <v>438</v>
      </c>
    </row>
    <row r="29476" spans="1:3">
      <c r="A29476" s="250">
        <v>68372</v>
      </c>
      <c r="B29476" s="74" t="s">
        <v>9278</v>
      </c>
      <c r="C29476" s="74" t="s">
        <v>438</v>
      </c>
    </row>
    <row r="29477" spans="1:3">
      <c r="A29477" s="250">
        <v>68375</v>
      </c>
      <c r="B29477" s="74" t="s">
        <v>11461</v>
      </c>
      <c r="C29477" s="74" t="s">
        <v>438</v>
      </c>
    </row>
    <row r="29478" spans="1:3">
      <c r="A29478" s="250">
        <v>68376</v>
      </c>
      <c r="B29478" s="74" t="s">
        <v>9221</v>
      </c>
      <c r="C29478" s="74" t="s">
        <v>438</v>
      </c>
    </row>
    <row r="29479" spans="1:3">
      <c r="A29479" s="250">
        <v>68377</v>
      </c>
      <c r="B29479" s="74" t="s">
        <v>14769</v>
      </c>
      <c r="C29479" s="74" t="s">
        <v>438</v>
      </c>
    </row>
    <row r="29480" spans="1:3">
      <c r="A29480" s="250">
        <v>68378</v>
      </c>
      <c r="B29480" s="74" t="s">
        <v>1847</v>
      </c>
      <c r="C29480" s="74" t="s">
        <v>438</v>
      </c>
    </row>
    <row r="29481" spans="1:3">
      <c r="A29481" s="250">
        <v>68379</v>
      </c>
      <c r="B29481" s="74" t="s">
        <v>4629</v>
      </c>
      <c r="C29481" s="74" t="s">
        <v>438</v>
      </c>
    </row>
    <row r="29482" spans="1:3">
      <c r="A29482" s="250">
        <v>68380</v>
      </c>
      <c r="B29482" s="74" t="s">
        <v>1444</v>
      </c>
      <c r="C29482" s="74" t="s">
        <v>438</v>
      </c>
    </row>
    <row r="29483" spans="1:3">
      <c r="A29483" s="250">
        <v>68381</v>
      </c>
      <c r="B29483" s="74" t="s">
        <v>1701</v>
      </c>
      <c r="C29483" s="74" t="s">
        <v>438</v>
      </c>
    </row>
    <row r="29484" spans="1:3">
      <c r="A29484" s="250">
        <v>68382</v>
      </c>
      <c r="B29484" s="74" t="s">
        <v>5872</v>
      </c>
      <c r="C29484" s="74" t="s">
        <v>438</v>
      </c>
    </row>
    <row r="29485" spans="1:3">
      <c r="A29485" s="250">
        <v>68401</v>
      </c>
      <c r="B29485" s="74" t="s">
        <v>14770</v>
      </c>
      <c r="C29485" s="74" t="s">
        <v>438</v>
      </c>
    </row>
    <row r="29486" spans="1:3">
      <c r="A29486" s="250">
        <v>68402</v>
      </c>
      <c r="B29486" s="74" t="s">
        <v>8915</v>
      </c>
      <c r="C29486" s="74" t="s">
        <v>438</v>
      </c>
    </row>
    <row r="29487" spans="1:3">
      <c r="A29487" s="250">
        <v>68403</v>
      </c>
      <c r="B29487" s="74" t="s">
        <v>14771</v>
      </c>
      <c r="C29487" s="74" t="s">
        <v>438</v>
      </c>
    </row>
    <row r="29488" spans="1:3">
      <c r="A29488" s="250">
        <v>68404</v>
      </c>
      <c r="B29488" s="74" t="s">
        <v>14772</v>
      </c>
      <c r="C29488" s="74" t="s">
        <v>438</v>
      </c>
    </row>
    <row r="29489" spans="1:3">
      <c r="A29489" s="250">
        <v>68405</v>
      </c>
      <c r="B29489" s="74" t="s">
        <v>796</v>
      </c>
      <c r="C29489" s="74" t="s">
        <v>438</v>
      </c>
    </row>
    <row r="29490" spans="1:3">
      <c r="A29490" s="250">
        <v>68406</v>
      </c>
      <c r="B29490" s="74" t="s">
        <v>8324</v>
      </c>
      <c r="C29490" s="74" t="s">
        <v>438</v>
      </c>
    </row>
    <row r="29491" spans="1:3">
      <c r="A29491" s="250">
        <v>68407</v>
      </c>
      <c r="B29491" s="74" t="s">
        <v>8531</v>
      </c>
      <c r="C29491" s="74" t="s">
        <v>438</v>
      </c>
    </row>
    <row r="29492" spans="1:3">
      <c r="A29492" s="250">
        <v>68409</v>
      </c>
      <c r="B29492" s="74" t="s">
        <v>9947</v>
      </c>
      <c r="C29492" s="74" t="s">
        <v>438</v>
      </c>
    </row>
    <row r="29493" spans="1:3">
      <c r="A29493" s="250">
        <v>68410</v>
      </c>
      <c r="B29493" s="74" t="s">
        <v>14773</v>
      </c>
      <c r="C29493" s="74" t="s">
        <v>438</v>
      </c>
    </row>
    <row r="29494" spans="1:3">
      <c r="A29494" s="250">
        <v>68413</v>
      </c>
      <c r="B29494" s="74" t="s">
        <v>14774</v>
      </c>
      <c r="C29494" s="74" t="s">
        <v>438</v>
      </c>
    </row>
    <row r="29495" spans="1:3">
      <c r="A29495" s="250">
        <v>68414</v>
      </c>
      <c r="B29495" s="74" t="s">
        <v>11634</v>
      </c>
      <c r="C29495" s="74" t="s">
        <v>438</v>
      </c>
    </row>
    <row r="29496" spans="1:3">
      <c r="A29496" s="250">
        <v>68415</v>
      </c>
      <c r="B29496" s="74" t="s">
        <v>13526</v>
      </c>
      <c r="C29496" s="74" t="s">
        <v>438</v>
      </c>
    </row>
    <row r="29497" spans="1:3">
      <c r="A29497" s="250">
        <v>68416</v>
      </c>
      <c r="B29497" s="74" t="s">
        <v>14775</v>
      </c>
      <c r="C29497" s="74" t="s">
        <v>438</v>
      </c>
    </row>
    <row r="29498" spans="1:3">
      <c r="A29498" s="250">
        <v>68417</v>
      </c>
      <c r="B29498" s="74" t="s">
        <v>14776</v>
      </c>
      <c r="C29498" s="74" t="s">
        <v>438</v>
      </c>
    </row>
    <row r="29499" spans="1:3">
      <c r="A29499" s="250">
        <v>68418</v>
      </c>
      <c r="B29499" s="74" t="s">
        <v>1710</v>
      </c>
      <c r="C29499" s="74" t="s">
        <v>438</v>
      </c>
    </row>
    <row r="29500" spans="1:3">
      <c r="A29500" s="250">
        <v>68419</v>
      </c>
      <c r="B29500" s="74" t="s">
        <v>3881</v>
      </c>
      <c r="C29500" s="74" t="s">
        <v>438</v>
      </c>
    </row>
    <row r="29501" spans="1:3">
      <c r="A29501" s="250">
        <v>68420</v>
      </c>
      <c r="B29501" s="74" t="s">
        <v>14777</v>
      </c>
      <c r="C29501" s="74" t="s">
        <v>438</v>
      </c>
    </row>
    <row r="29502" spans="1:3">
      <c r="A29502" s="250">
        <v>68421</v>
      </c>
      <c r="B29502" s="74" t="s">
        <v>1470</v>
      </c>
      <c r="C29502" s="74" t="s">
        <v>438</v>
      </c>
    </row>
    <row r="29503" spans="1:3">
      <c r="A29503" s="250">
        <v>68422</v>
      </c>
      <c r="B29503" s="74" t="s">
        <v>14778</v>
      </c>
      <c r="C29503" s="74" t="s">
        <v>438</v>
      </c>
    </row>
    <row r="29504" spans="1:3">
      <c r="A29504" s="250">
        <v>68423</v>
      </c>
      <c r="B29504" s="74" t="s">
        <v>14779</v>
      </c>
      <c r="C29504" s="74" t="s">
        <v>438</v>
      </c>
    </row>
    <row r="29505" spans="1:3">
      <c r="A29505" s="250">
        <v>68424</v>
      </c>
      <c r="B29505" s="74" t="s">
        <v>956</v>
      </c>
      <c r="C29505" s="74" t="s">
        <v>438</v>
      </c>
    </row>
    <row r="29506" spans="1:3">
      <c r="A29506" s="250">
        <v>68428</v>
      </c>
      <c r="B29506" s="74" t="s">
        <v>1170</v>
      </c>
      <c r="C29506" s="74" t="s">
        <v>438</v>
      </c>
    </row>
    <row r="29507" spans="1:3">
      <c r="A29507" s="250">
        <v>68429</v>
      </c>
      <c r="B29507" s="74" t="s">
        <v>8094</v>
      </c>
      <c r="C29507" s="74" t="s">
        <v>438</v>
      </c>
    </row>
    <row r="29508" spans="1:3">
      <c r="A29508" s="250">
        <v>68430</v>
      </c>
      <c r="B29508" s="74" t="s">
        <v>14780</v>
      </c>
      <c r="C29508" s="74" t="s">
        <v>438</v>
      </c>
    </row>
    <row r="29509" spans="1:3">
      <c r="A29509" s="250">
        <v>68431</v>
      </c>
      <c r="B29509" s="74" t="s">
        <v>14781</v>
      </c>
      <c r="C29509" s="74" t="s">
        <v>438</v>
      </c>
    </row>
    <row r="29510" spans="1:3">
      <c r="A29510" s="250">
        <v>68433</v>
      </c>
      <c r="B29510" s="74" t="s">
        <v>858</v>
      </c>
      <c r="C29510" s="74" t="s">
        <v>438</v>
      </c>
    </row>
    <row r="29511" spans="1:3">
      <c r="A29511" s="250">
        <v>68434</v>
      </c>
      <c r="B29511" s="74" t="s">
        <v>4368</v>
      </c>
      <c r="C29511" s="74" t="s">
        <v>438</v>
      </c>
    </row>
    <row r="29512" spans="1:3">
      <c r="A29512" s="250">
        <v>68436</v>
      </c>
      <c r="B29512" s="74" t="s">
        <v>14782</v>
      </c>
      <c r="C29512" s="74" t="s">
        <v>438</v>
      </c>
    </row>
    <row r="29513" spans="1:3">
      <c r="A29513" s="250">
        <v>68437</v>
      </c>
      <c r="B29513" s="74" t="s">
        <v>14783</v>
      </c>
      <c r="C29513" s="74" t="s">
        <v>438</v>
      </c>
    </row>
    <row r="29514" spans="1:3">
      <c r="A29514" s="250">
        <v>68438</v>
      </c>
      <c r="B29514" s="74" t="s">
        <v>14784</v>
      </c>
      <c r="C29514" s="74" t="s">
        <v>438</v>
      </c>
    </row>
    <row r="29515" spans="1:3">
      <c r="A29515" s="250">
        <v>68439</v>
      </c>
      <c r="B29515" s="74" t="s">
        <v>14785</v>
      </c>
      <c r="C29515" s="74" t="s">
        <v>438</v>
      </c>
    </row>
    <row r="29516" spans="1:3">
      <c r="A29516" s="250">
        <v>68440</v>
      </c>
      <c r="B29516" s="74" t="s">
        <v>14786</v>
      </c>
      <c r="C29516" s="74" t="s">
        <v>438</v>
      </c>
    </row>
    <row r="29517" spans="1:3">
      <c r="A29517" s="250">
        <v>68441</v>
      </c>
      <c r="B29517" s="74" t="s">
        <v>14787</v>
      </c>
      <c r="C29517" s="74" t="s">
        <v>438</v>
      </c>
    </row>
    <row r="29518" spans="1:3">
      <c r="A29518" s="250">
        <v>68442</v>
      </c>
      <c r="B29518" s="74" t="s">
        <v>7461</v>
      </c>
      <c r="C29518" s="74" t="s">
        <v>438</v>
      </c>
    </row>
    <row r="29519" spans="1:3">
      <c r="A29519" s="250">
        <v>68443</v>
      </c>
      <c r="B29519" s="74" t="s">
        <v>763</v>
      </c>
      <c r="C29519" s="74" t="s">
        <v>438</v>
      </c>
    </row>
    <row r="29520" spans="1:3">
      <c r="A29520" s="250">
        <v>68444</v>
      </c>
      <c r="B29520" s="74" t="s">
        <v>14788</v>
      </c>
      <c r="C29520" s="74" t="s">
        <v>438</v>
      </c>
    </row>
    <row r="29521" spans="1:3">
      <c r="A29521" s="250">
        <v>68445</v>
      </c>
      <c r="B29521" s="74" t="s">
        <v>1833</v>
      </c>
      <c r="C29521" s="74" t="s">
        <v>438</v>
      </c>
    </row>
    <row r="29522" spans="1:3">
      <c r="A29522" s="250">
        <v>68446</v>
      </c>
      <c r="B29522" s="74" t="s">
        <v>3428</v>
      </c>
      <c r="C29522" s="74" t="s">
        <v>438</v>
      </c>
    </row>
    <row r="29523" spans="1:3">
      <c r="A29523" s="250">
        <v>68447</v>
      </c>
      <c r="B29523" s="74" t="s">
        <v>14789</v>
      </c>
      <c r="C29523" s="74" t="s">
        <v>438</v>
      </c>
    </row>
    <row r="29524" spans="1:3">
      <c r="A29524" s="250">
        <v>68448</v>
      </c>
      <c r="B29524" s="74" t="s">
        <v>4891</v>
      </c>
      <c r="C29524" s="74" t="s">
        <v>438</v>
      </c>
    </row>
    <row r="29525" spans="1:3">
      <c r="A29525" s="250">
        <v>68450</v>
      </c>
      <c r="B29525" s="74" t="s">
        <v>11248</v>
      </c>
      <c r="C29525" s="74" t="s">
        <v>438</v>
      </c>
    </row>
    <row r="29526" spans="1:3">
      <c r="A29526" s="250">
        <v>68452</v>
      </c>
      <c r="B29526" s="74" t="s">
        <v>14790</v>
      </c>
      <c r="C29526" s="74" t="s">
        <v>438</v>
      </c>
    </row>
    <row r="29527" spans="1:3">
      <c r="A29527" s="250">
        <v>68453</v>
      </c>
      <c r="B29527" s="74" t="s">
        <v>14791</v>
      </c>
      <c r="C29527" s="74" t="s">
        <v>438</v>
      </c>
    </row>
    <row r="29528" spans="1:3">
      <c r="A29528" s="250">
        <v>68454</v>
      </c>
      <c r="B29528" s="74" t="s">
        <v>3657</v>
      </c>
      <c r="C29528" s="74" t="s">
        <v>438</v>
      </c>
    </row>
    <row r="29529" spans="1:3">
      <c r="A29529" s="250">
        <v>68455</v>
      </c>
      <c r="B29529" s="74" t="s">
        <v>1346</v>
      </c>
      <c r="C29529" s="74" t="s">
        <v>438</v>
      </c>
    </row>
    <row r="29530" spans="1:3">
      <c r="A29530" s="250">
        <v>68456</v>
      </c>
      <c r="B29530" s="74" t="s">
        <v>3521</v>
      </c>
      <c r="C29530" s="74" t="s">
        <v>438</v>
      </c>
    </row>
    <row r="29531" spans="1:3">
      <c r="A29531" s="250">
        <v>68457</v>
      </c>
      <c r="B29531" s="74" t="s">
        <v>14792</v>
      </c>
      <c r="C29531" s="74" t="s">
        <v>438</v>
      </c>
    </row>
    <row r="29532" spans="1:3">
      <c r="A29532" s="250">
        <v>68458</v>
      </c>
      <c r="B29532" s="74" t="s">
        <v>12478</v>
      </c>
      <c r="C29532" s="74" t="s">
        <v>438</v>
      </c>
    </row>
    <row r="29533" spans="1:3">
      <c r="A29533" s="250">
        <v>68460</v>
      </c>
      <c r="B29533" s="74" t="s">
        <v>7341</v>
      </c>
      <c r="C29533" s="74" t="s">
        <v>438</v>
      </c>
    </row>
    <row r="29534" spans="1:3">
      <c r="A29534" s="250">
        <v>68461</v>
      </c>
      <c r="B29534" s="74" t="s">
        <v>3659</v>
      </c>
      <c r="C29534" s="74" t="s">
        <v>438</v>
      </c>
    </row>
    <row r="29535" spans="1:3">
      <c r="A29535" s="250">
        <v>68462</v>
      </c>
      <c r="B29535" s="74" t="s">
        <v>3950</v>
      </c>
      <c r="C29535" s="74" t="s">
        <v>438</v>
      </c>
    </row>
    <row r="29536" spans="1:3">
      <c r="A29536" s="250">
        <v>68463</v>
      </c>
      <c r="B29536" s="74" t="s">
        <v>14793</v>
      </c>
      <c r="C29536" s="74" t="s">
        <v>438</v>
      </c>
    </row>
    <row r="29537" spans="1:3">
      <c r="A29537" s="250">
        <v>68464</v>
      </c>
      <c r="B29537" s="74" t="s">
        <v>14794</v>
      </c>
      <c r="C29537" s="74" t="s">
        <v>438</v>
      </c>
    </row>
    <row r="29538" spans="1:3">
      <c r="A29538" s="250">
        <v>68465</v>
      </c>
      <c r="B29538" s="74" t="s">
        <v>14795</v>
      </c>
      <c r="C29538" s="74" t="s">
        <v>438</v>
      </c>
    </row>
    <row r="29539" spans="1:3">
      <c r="A29539" s="250">
        <v>68466</v>
      </c>
      <c r="B29539" s="74" t="s">
        <v>14796</v>
      </c>
      <c r="C29539" s="74" t="s">
        <v>438</v>
      </c>
    </row>
    <row r="29540" spans="1:3">
      <c r="A29540" s="250">
        <v>68467</v>
      </c>
      <c r="B29540" s="74" t="s">
        <v>1359</v>
      </c>
      <c r="C29540" s="74" t="s">
        <v>438</v>
      </c>
    </row>
    <row r="29541" spans="1:3">
      <c r="A29541" s="250">
        <v>68501</v>
      </c>
      <c r="B29541" s="74" t="s">
        <v>800</v>
      </c>
      <c r="C29541" s="74" t="s">
        <v>438</v>
      </c>
    </row>
    <row r="29542" spans="1:3">
      <c r="A29542" s="250">
        <v>68502</v>
      </c>
      <c r="B29542" s="74" t="s">
        <v>800</v>
      </c>
      <c r="C29542" s="74" t="s">
        <v>438</v>
      </c>
    </row>
    <row r="29543" spans="1:3">
      <c r="A29543" s="250">
        <v>68503</v>
      </c>
      <c r="B29543" s="74" t="s">
        <v>800</v>
      </c>
      <c r="C29543" s="74" t="s">
        <v>438</v>
      </c>
    </row>
    <row r="29544" spans="1:3">
      <c r="A29544" s="250">
        <v>68504</v>
      </c>
      <c r="B29544" s="74" t="s">
        <v>800</v>
      </c>
      <c r="C29544" s="74" t="s">
        <v>438</v>
      </c>
    </row>
    <row r="29545" spans="1:3">
      <c r="A29545" s="250">
        <v>68505</v>
      </c>
      <c r="B29545" s="74" t="s">
        <v>800</v>
      </c>
      <c r="C29545" s="74" t="s">
        <v>438</v>
      </c>
    </row>
    <row r="29546" spans="1:3">
      <c r="A29546" s="250">
        <v>68506</v>
      </c>
      <c r="B29546" s="74" t="s">
        <v>800</v>
      </c>
      <c r="C29546" s="74" t="s">
        <v>438</v>
      </c>
    </row>
    <row r="29547" spans="1:3">
      <c r="A29547" s="250">
        <v>68507</v>
      </c>
      <c r="B29547" s="74" t="s">
        <v>800</v>
      </c>
      <c r="C29547" s="74" t="s">
        <v>438</v>
      </c>
    </row>
    <row r="29548" spans="1:3">
      <c r="A29548" s="250">
        <v>68508</v>
      </c>
      <c r="B29548" s="74" t="s">
        <v>800</v>
      </c>
      <c r="C29548" s="74" t="s">
        <v>438</v>
      </c>
    </row>
    <row r="29549" spans="1:3">
      <c r="A29549" s="250">
        <v>68509</v>
      </c>
      <c r="B29549" s="74" t="s">
        <v>800</v>
      </c>
      <c r="C29549" s="74" t="s">
        <v>438</v>
      </c>
    </row>
    <row r="29550" spans="1:3">
      <c r="A29550" s="250">
        <v>68510</v>
      </c>
      <c r="B29550" s="74" t="s">
        <v>800</v>
      </c>
      <c r="C29550" s="74" t="s">
        <v>438</v>
      </c>
    </row>
    <row r="29551" spans="1:3">
      <c r="A29551" s="250">
        <v>68512</v>
      </c>
      <c r="B29551" s="74" t="s">
        <v>800</v>
      </c>
      <c r="C29551" s="74" t="s">
        <v>438</v>
      </c>
    </row>
    <row r="29552" spans="1:3">
      <c r="A29552" s="250">
        <v>68514</v>
      </c>
      <c r="B29552" s="74" t="s">
        <v>800</v>
      </c>
      <c r="C29552" s="74" t="s">
        <v>438</v>
      </c>
    </row>
    <row r="29553" spans="1:3">
      <c r="A29553" s="250">
        <v>68516</v>
      </c>
      <c r="B29553" s="74" t="s">
        <v>800</v>
      </c>
      <c r="C29553" s="74" t="s">
        <v>438</v>
      </c>
    </row>
    <row r="29554" spans="1:3">
      <c r="A29554" s="250">
        <v>68517</v>
      </c>
      <c r="B29554" s="74" t="s">
        <v>800</v>
      </c>
      <c r="C29554" s="74" t="s">
        <v>438</v>
      </c>
    </row>
    <row r="29555" spans="1:3">
      <c r="A29555" s="250">
        <v>68520</v>
      </c>
      <c r="B29555" s="74" t="s">
        <v>800</v>
      </c>
      <c r="C29555" s="74" t="s">
        <v>438</v>
      </c>
    </row>
    <row r="29556" spans="1:3">
      <c r="A29556" s="250">
        <v>68521</v>
      </c>
      <c r="B29556" s="74" t="s">
        <v>800</v>
      </c>
      <c r="C29556" s="74" t="s">
        <v>438</v>
      </c>
    </row>
    <row r="29557" spans="1:3">
      <c r="A29557" s="250">
        <v>68522</v>
      </c>
      <c r="B29557" s="74" t="s">
        <v>800</v>
      </c>
      <c r="C29557" s="74" t="s">
        <v>438</v>
      </c>
    </row>
    <row r="29558" spans="1:3">
      <c r="A29558" s="250">
        <v>68523</v>
      </c>
      <c r="B29558" s="74" t="s">
        <v>800</v>
      </c>
      <c r="C29558" s="74" t="s">
        <v>438</v>
      </c>
    </row>
    <row r="29559" spans="1:3">
      <c r="A29559" s="250">
        <v>68524</v>
      </c>
      <c r="B29559" s="74" t="s">
        <v>800</v>
      </c>
      <c r="C29559" s="74" t="s">
        <v>438</v>
      </c>
    </row>
    <row r="29560" spans="1:3">
      <c r="A29560" s="250">
        <v>68526</v>
      </c>
      <c r="B29560" s="74" t="s">
        <v>800</v>
      </c>
      <c r="C29560" s="74" t="s">
        <v>438</v>
      </c>
    </row>
    <row r="29561" spans="1:3">
      <c r="A29561" s="250">
        <v>68527</v>
      </c>
      <c r="B29561" s="74" t="s">
        <v>800</v>
      </c>
      <c r="C29561" s="74" t="s">
        <v>438</v>
      </c>
    </row>
    <row r="29562" spans="1:3">
      <c r="A29562" s="250">
        <v>68528</v>
      </c>
      <c r="B29562" s="74" t="s">
        <v>800</v>
      </c>
      <c r="C29562" s="74" t="s">
        <v>438</v>
      </c>
    </row>
    <row r="29563" spans="1:3">
      <c r="A29563" s="250">
        <v>68529</v>
      </c>
      <c r="B29563" s="74" t="s">
        <v>800</v>
      </c>
      <c r="C29563" s="74" t="s">
        <v>438</v>
      </c>
    </row>
    <row r="29564" spans="1:3">
      <c r="A29564" s="250">
        <v>68531</v>
      </c>
      <c r="B29564" s="74" t="s">
        <v>800</v>
      </c>
      <c r="C29564" s="74" t="s">
        <v>438</v>
      </c>
    </row>
    <row r="29565" spans="1:3">
      <c r="A29565" s="250">
        <v>68532</v>
      </c>
      <c r="B29565" s="74" t="s">
        <v>800</v>
      </c>
      <c r="C29565" s="74" t="s">
        <v>438</v>
      </c>
    </row>
    <row r="29566" spans="1:3">
      <c r="A29566" s="250">
        <v>68542</v>
      </c>
      <c r="B29566" s="74" t="s">
        <v>800</v>
      </c>
      <c r="C29566" s="74" t="s">
        <v>438</v>
      </c>
    </row>
    <row r="29567" spans="1:3">
      <c r="A29567" s="250">
        <v>68583</v>
      </c>
      <c r="B29567" s="74" t="s">
        <v>800</v>
      </c>
      <c r="C29567" s="74" t="s">
        <v>438</v>
      </c>
    </row>
    <row r="29568" spans="1:3">
      <c r="A29568" s="250">
        <v>68588</v>
      </c>
      <c r="B29568" s="74" t="s">
        <v>800</v>
      </c>
      <c r="C29568" s="74" t="s">
        <v>438</v>
      </c>
    </row>
    <row r="29569" spans="1:3">
      <c r="A29569" s="250">
        <v>68601</v>
      </c>
      <c r="B29569" s="74" t="s">
        <v>2376</v>
      </c>
      <c r="C29569" s="74" t="s">
        <v>438</v>
      </c>
    </row>
    <row r="29570" spans="1:3">
      <c r="A29570" s="250">
        <v>68602</v>
      </c>
      <c r="B29570" s="74" t="s">
        <v>2376</v>
      </c>
      <c r="C29570" s="74" t="s">
        <v>438</v>
      </c>
    </row>
    <row r="29571" spans="1:3">
      <c r="A29571" s="250">
        <v>68620</v>
      </c>
      <c r="B29571" s="74" t="s">
        <v>1093</v>
      </c>
      <c r="C29571" s="74" t="s">
        <v>438</v>
      </c>
    </row>
    <row r="29572" spans="1:3">
      <c r="A29572" s="250">
        <v>68621</v>
      </c>
      <c r="B29572" s="74" t="s">
        <v>11482</v>
      </c>
      <c r="C29572" s="74" t="s">
        <v>438</v>
      </c>
    </row>
    <row r="29573" spans="1:3">
      <c r="A29573" s="250">
        <v>68622</v>
      </c>
      <c r="B29573" s="74" t="s">
        <v>1296</v>
      </c>
      <c r="C29573" s="74" t="s">
        <v>438</v>
      </c>
    </row>
    <row r="29574" spans="1:3">
      <c r="A29574" s="250">
        <v>68623</v>
      </c>
      <c r="B29574" s="74" t="s">
        <v>1680</v>
      </c>
      <c r="C29574" s="74" t="s">
        <v>438</v>
      </c>
    </row>
    <row r="29575" spans="1:3">
      <c r="A29575" s="250">
        <v>68624</v>
      </c>
      <c r="B29575" s="74" t="s">
        <v>4532</v>
      </c>
      <c r="C29575" s="74" t="s">
        <v>438</v>
      </c>
    </row>
    <row r="29576" spans="1:3">
      <c r="A29576" s="250">
        <v>68626</v>
      </c>
      <c r="B29576" s="74" t="s">
        <v>2917</v>
      </c>
      <c r="C29576" s="74" t="s">
        <v>438</v>
      </c>
    </row>
    <row r="29577" spans="1:3">
      <c r="A29577" s="250">
        <v>68627</v>
      </c>
      <c r="B29577" s="74" t="s">
        <v>11878</v>
      </c>
      <c r="C29577" s="74" t="s">
        <v>438</v>
      </c>
    </row>
    <row r="29578" spans="1:3">
      <c r="A29578" s="250">
        <v>68628</v>
      </c>
      <c r="B29578" s="74" t="s">
        <v>14797</v>
      </c>
      <c r="C29578" s="74" t="s">
        <v>438</v>
      </c>
    </row>
    <row r="29579" spans="1:3">
      <c r="A29579" s="250">
        <v>68629</v>
      </c>
      <c r="B29579" s="74" t="s">
        <v>3764</v>
      </c>
      <c r="C29579" s="74" t="s">
        <v>438</v>
      </c>
    </row>
    <row r="29580" spans="1:3">
      <c r="A29580" s="250">
        <v>68631</v>
      </c>
      <c r="B29580" s="74" t="s">
        <v>6869</v>
      </c>
      <c r="C29580" s="74" t="s">
        <v>438</v>
      </c>
    </row>
    <row r="29581" spans="1:3">
      <c r="A29581" s="250">
        <v>68632</v>
      </c>
      <c r="B29581" s="74" t="s">
        <v>14798</v>
      </c>
      <c r="C29581" s="74" t="s">
        <v>438</v>
      </c>
    </row>
    <row r="29582" spans="1:3">
      <c r="A29582" s="250">
        <v>68633</v>
      </c>
      <c r="B29582" s="74" t="s">
        <v>12236</v>
      </c>
      <c r="C29582" s="74" t="s">
        <v>438</v>
      </c>
    </row>
    <row r="29583" spans="1:3">
      <c r="A29583" s="250">
        <v>68634</v>
      </c>
      <c r="B29583" s="74" t="s">
        <v>7669</v>
      </c>
      <c r="C29583" s="74" t="s">
        <v>438</v>
      </c>
    </row>
    <row r="29584" spans="1:3">
      <c r="A29584" s="250">
        <v>68635</v>
      </c>
      <c r="B29584" s="74" t="s">
        <v>13510</v>
      </c>
      <c r="C29584" s="74" t="s">
        <v>438</v>
      </c>
    </row>
    <row r="29585" spans="1:3">
      <c r="A29585" s="250">
        <v>68636</v>
      </c>
      <c r="B29585" s="74" t="s">
        <v>4511</v>
      </c>
      <c r="C29585" s="74" t="s">
        <v>438</v>
      </c>
    </row>
    <row r="29586" spans="1:3">
      <c r="A29586" s="250">
        <v>68637</v>
      </c>
      <c r="B29586" s="74" t="s">
        <v>14799</v>
      </c>
      <c r="C29586" s="74" t="s">
        <v>438</v>
      </c>
    </row>
    <row r="29587" spans="1:3">
      <c r="A29587" s="250">
        <v>68638</v>
      </c>
      <c r="B29587" s="74" t="s">
        <v>13102</v>
      </c>
      <c r="C29587" s="74" t="s">
        <v>438</v>
      </c>
    </row>
    <row r="29588" spans="1:3">
      <c r="A29588" s="250">
        <v>68640</v>
      </c>
      <c r="B29588" s="74" t="s">
        <v>3366</v>
      </c>
      <c r="C29588" s="74" t="s">
        <v>438</v>
      </c>
    </row>
    <row r="29589" spans="1:3">
      <c r="A29589" s="250">
        <v>68641</v>
      </c>
      <c r="B29589" s="74" t="s">
        <v>2691</v>
      </c>
      <c r="C29589" s="74" t="s">
        <v>438</v>
      </c>
    </row>
    <row r="29590" spans="1:3">
      <c r="A29590" s="250">
        <v>68642</v>
      </c>
      <c r="B29590" s="74" t="s">
        <v>14800</v>
      </c>
      <c r="C29590" s="74" t="s">
        <v>438</v>
      </c>
    </row>
    <row r="29591" spans="1:3">
      <c r="A29591" s="250">
        <v>68643</v>
      </c>
      <c r="B29591" s="74" t="s">
        <v>14801</v>
      </c>
      <c r="C29591" s="74" t="s">
        <v>438</v>
      </c>
    </row>
    <row r="29592" spans="1:3">
      <c r="A29592" s="250">
        <v>68644</v>
      </c>
      <c r="B29592" s="74" t="s">
        <v>13297</v>
      </c>
      <c r="C29592" s="74" t="s">
        <v>438</v>
      </c>
    </row>
    <row r="29593" spans="1:3">
      <c r="A29593" s="250">
        <v>68647</v>
      </c>
      <c r="B29593" s="74" t="s">
        <v>1284</v>
      </c>
      <c r="C29593" s="74" t="s">
        <v>438</v>
      </c>
    </row>
    <row r="29594" spans="1:3">
      <c r="A29594" s="250">
        <v>68648</v>
      </c>
      <c r="B29594" s="74" t="s">
        <v>14802</v>
      </c>
      <c r="C29594" s="74" t="s">
        <v>438</v>
      </c>
    </row>
    <row r="29595" spans="1:3">
      <c r="A29595" s="250">
        <v>68649</v>
      </c>
      <c r="B29595" s="74" t="s">
        <v>4909</v>
      </c>
      <c r="C29595" s="74" t="s">
        <v>438</v>
      </c>
    </row>
    <row r="29596" spans="1:3">
      <c r="A29596" s="250">
        <v>68651</v>
      </c>
      <c r="B29596" s="74" t="s">
        <v>4682</v>
      </c>
      <c r="C29596" s="74" t="s">
        <v>438</v>
      </c>
    </row>
    <row r="29597" spans="1:3">
      <c r="A29597" s="250">
        <v>68652</v>
      </c>
      <c r="B29597" s="74" t="s">
        <v>2988</v>
      </c>
      <c r="C29597" s="74" t="s">
        <v>438</v>
      </c>
    </row>
    <row r="29598" spans="1:3">
      <c r="A29598" s="250">
        <v>68653</v>
      </c>
      <c r="B29598" s="74" t="s">
        <v>14803</v>
      </c>
      <c r="C29598" s="74" t="s">
        <v>438</v>
      </c>
    </row>
    <row r="29599" spans="1:3">
      <c r="A29599" s="250">
        <v>68654</v>
      </c>
      <c r="B29599" s="74" t="s">
        <v>4489</v>
      </c>
      <c r="C29599" s="74" t="s">
        <v>438</v>
      </c>
    </row>
    <row r="29600" spans="1:3">
      <c r="A29600" s="250">
        <v>68655</v>
      </c>
      <c r="B29600" s="74" t="s">
        <v>9792</v>
      </c>
      <c r="C29600" s="74" t="s">
        <v>438</v>
      </c>
    </row>
    <row r="29601" spans="1:3">
      <c r="A29601" s="250">
        <v>68658</v>
      </c>
      <c r="B29601" s="74" t="s">
        <v>14804</v>
      </c>
      <c r="C29601" s="74" t="s">
        <v>438</v>
      </c>
    </row>
    <row r="29602" spans="1:3">
      <c r="A29602" s="250">
        <v>68659</v>
      </c>
      <c r="B29602" s="74" t="s">
        <v>2002</v>
      </c>
      <c r="C29602" s="74" t="s">
        <v>438</v>
      </c>
    </row>
    <row r="29603" spans="1:3">
      <c r="A29603" s="250">
        <v>68660</v>
      </c>
      <c r="B29603" s="74" t="s">
        <v>14805</v>
      </c>
      <c r="C29603" s="74" t="s">
        <v>438</v>
      </c>
    </row>
    <row r="29604" spans="1:3">
      <c r="A29604" s="250">
        <v>68661</v>
      </c>
      <c r="B29604" s="74" t="s">
        <v>6025</v>
      </c>
      <c r="C29604" s="74" t="s">
        <v>438</v>
      </c>
    </row>
    <row r="29605" spans="1:3">
      <c r="A29605" s="250">
        <v>68662</v>
      </c>
      <c r="B29605" s="74" t="s">
        <v>7335</v>
      </c>
      <c r="C29605" s="74" t="s">
        <v>438</v>
      </c>
    </row>
    <row r="29606" spans="1:3">
      <c r="A29606" s="250">
        <v>68663</v>
      </c>
      <c r="B29606" s="74" t="s">
        <v>3735</v>
      </c>
      <c r="C29606" s="74" t="s">
        <v>438</v>
      </c>
    </row>
    <row r="29607" spans="1:3">
      <c r="A29607" s="250">
        <v>68664</v>
      </c>
      <c r="B29607" s="74" t="s">
        <v>14806</v>
      </c>
      <c r="C29607" s="74" t="s">
        <v>438</v>
      </c>
    </row>
    <row r="29608" spans="1:3">
      <c r="A29608" s="250">
        <v>68665</v>
      </c>
      <c r="B29608" s="74" t="s">
        <v>11442</v>
      </c>
      <c r="C29608" s="74" t="s">
        <v>438</v>
      </c>
    </row>
    <row r="29609" spans="1:3">
      <c r="A29609" s="250">
        <v>68666</v>
      </c>
      <c r="B29609" s="74" t="s">
        <v>14807</v>
      </c>
      <c r="C29609" s="74" t="s">
        <v>438</v>
      </c>
    </row>
    <row r="29610" spans="1:3">
      <c r="A29610" s="250">
        <v>68667</v>
      </c>
      <c r="B29610" s="74" t="s">
        <v>3015</v>
      </c>
      <c r="C29610" s="74" t="s">
        <v>438</v>
      </c>
    </row>
    <row r="29611" spans="1:3">
      <c r="A29611" s="250">
        <v>68669</v>
      </c>
      <c r="B29611" s="74" t="s">
        <v>4686</v>
      </c>
      <c r="C29611" s="74" t="s">
        <v>438</v>
      </c>
    </row>
    <row r="29612" spans="1:3">
      <c r="A29612" s="250">
        <v>68701</v>
      </c>
      <c r="B29612" s="74" t="s">
        <v>886</v>
      </c>
      <c r="C29612" s="74" t="s">
        <v>438</v>
      </c>
    </row>
    <row r="29613" spans="1:3">
      <c r="A29613" s="250">
        <v>68702</v>
      </c>
      <c r="B29613" s="74" t="s">
        <v>886</v>
      </c>
      <c r="C29613" s="74" t="s">
        <v>438</v>
      </c>
    </row>
    <row r="29614" spans="1:3">
      <c r="A29614" s="250">
        <v>68710</v>
      </c>
      <c r="B29614" s="74" t="s">
        <v>5826</v>
      </c>
      <c r="C29614" s="74" t="s">
        <v>438</v>
      </c>
    </row>
    <row r="29615" spans="1:3">
      <c r="A29615" s="250">
        <v>68711</v>
      </c>
      <c r="B29615" s="74" t="s">
        <v>10466</v>
      </c>
      <c r="C29615" s="74" t="s">
        <v>438</v>
      </c>
    </row>
    <row r="29616" spans="1:3">
      <c r="A29616" s="250">
        <v>68713</v>
      </c>
      <c r="B29616" s="74" t="s">
        <v>1295</v>
      </c>
      <c r="C29616" s="74" t="s">
        <v>438</v>
      </c>
    </row>
    <row r="29617" spans="1:3">
      <c r="A29617" s="250">
        <v>68714</v>
      </c>
      <c r="B29617" s="74" t="s">
        <v>6255</v>
      </c>
      <c r="C29617" s="74" t="s">
        <v>438</v>
      </c>
    </row>
    <row r="29618" spans="1:3">
      <c r="A29618" s="250">
        <v>68715</v>
      </c>
      <c r="B29618" s="74" t="s">
        <v>11186</v>
      </c>
      <c r="C29618" s="74" t="s">
        <v>438</v>
      </c>
    </row>
    <row r="29619" spans="1:3">
      <c r="A29619" s="250">
        <v>68716</v>
      </c>
      <c r="B29619" s="74" t="s">
        <v>14808</v>
      </c>
      <c r="C29619" s="74" t="s">
        <v>438</v>
      </c>
    </row>
    <row r="29620" spans="1:3">
      <c r="A29620" s="250">
        <v>68717</v>
      </c>
      <c r="B29620" s="74" t="s">
        <v>9356</v>
      </c>
      <c r="C29620" s="74" t="s">
        <v>438</v>
      </c>
    </row>
    <row r="29621" spans="1:3">
      <c r="A29621" s="250">
        <v>68718</v>
      </c>
      <c r="B29621" s="74" t="s">
        <v>1933</v>
      </c>
      <c r="C29621" s="74" t="s">
        <v>438</v>
      </c>
    </row>
    <row r="29622" spans="1:3">
      <c r="A29622" s="250">
        <v>68719</v>
      </c>
      <c r="B29622" s="74" t="s">
        <v>5524</v>
      </c>
      <c r="C29622" s="74" t="s">
        <v>438</v>
      </c>
    </row>
    <row r="29623" spans="1:3">
      <c r="A29623" s="250">
        <v>68720</v>
      </c>
      <c r="B29623" s="74" t="s">
        <v>1370</v>
      </c>
      <c r="C29623" s="74" t="s">
        <v>438</v>
      </c>
    </row>
    <row r="29624" spans="1:3">
      <c r="A29624" s="250">
        <v>68722</v>
      </c>
      <c r="B29624" s="74" t="s">
        <v>13172</v>
      </c>
      <c r="C29624" s="74" t="s">
        <v>438</v>
      </c>
    </row>
    <row r="29625" spans="1:3">
      <c r="A29625" s="250">
        <v>68723</v>
      </c>
      <c r="B29625" s="74" t="s">
        <v>10113</v>
      </c>
      <c r="C29625" s="74" t="s">
        <v>438</v>
      </c>
    </row>
    <row r="29626" spans="1:3">
      <c r="A29626" s="250">
        <v>68724</v>
      </c>
      <c r="B29626" s="74" t="s">
        <v>9978</v>
      </c>
      <c r="C29626" s="74" t="s">
        <v>438</v>
      </c>
    </row>
    <row r="29627" spans="1:3">
      <c r="A29627" s="250">
        <v>68725</v>
      </c>
      <c r="B29627" s="74" t="s">
        <v>14809</v>
      </c>
      <c r="C29627" s="74" t="s">
        <v>438</v>
      </c>
    </row>
    <row r="29628" spans="1:3">
      <c r="A29628" s="250">
        <v>68726</v>
      </c>
      <c r="B29628" s="74" t="s">
        <v>7813</v>
      </c>
      <c r="C29628" s="74" t="s">
        <v>438</v>
      </c>
    </row>
    <row r="29629" spans="1:3">
      <c r="A29629" s="250">
        <v>68727</v>
      </c>
      <c r="B29629" s="74" t="s">
        <v>14810</v>
      </c>
      <c r="C29629" s="74" t="s">
        <v>438</v>
      </c>
    </row>
    <row r="29630" spans="1:3">
      <c r="A29630" s="250">
        <v>68728</v>
      </c>
      <c r="B29630" s="74" t="s">
        <v>787</v>
      </c>
      <c r="C29630" s="74" t="s">
        <v>438</v>
      </c>
    </row>
    <row r="29631" spans="1:3">
      <c r="A29631" s="250">
        <v>68729</v>
      </c>
      <c r="B29631" s="74" t="s">
        <v>3975</v>
      </c>
      <c r="C29631" s="74" t="s">
        <v>438</v>
      </c>
    </row>
    <row r="29632" spans="1:3">
      <c r="A29632" s="250">
        <v>68730</v>
      </c>
      <c r="B29632" s="74" t="s">
        <v>5689</v>
      </c>
      <c r="C29632" s="74" t="s">
        <v>438</v>
      </c>
    </row>
    <row r="29633" spans="1:3">
      <c r="A29633" s="250">
        <v>68731</v>
      </c>
      <c r="B29633" s="74" t="s">
        <v>11615</v>
      </c>
      <c r="C29633" s="74" t="s">
        <v>438</v>
      </c>
    </row>
    <row r="29634" spans="1:3">
      <c r="A29634" s="250">
        <v>68732</v>
      </c>
      <c r="B29634" s="74" t="s">
        <v>10025</v>
      </c>
      <c r="C29634" s="74" t="s">
        <v>438</v>
      </c>
    </row>
    <row r="29635" spans="1:3">
      <c r="A29635" s="250">
        <v>68733</v>
      </c>
      <c r="B29635" s="74" t="s">
        <v>2231</v>
      </c>
      <c r="C29635" s="74" t="s">
        <v>438</v>
      </c>
    </row>
    <row r="29636" spans="1:3">
      <c r="A29636" s="250">
        <v>68734</v>
      </c>
      <c r="B29636" s="74" t="s">
        <v>14811</v>
      </c>
      <c r="C29636" s="74" t="s">
        <v>438</v>
      </c>
    </row>
    <row r="29637" spans="1:3">
      <c r="A29637" s="250">
        <v>68735</v>
      </c>
      <c r="B29637" s="74" t="s">
        <v>6327</v>
      </c>
      <c r="C29637" s="74" t="s">
        <v>438</v>
      </c>
    </row>
    <row r="29638" spans="1:3">
      <c r="A29638" s="250">
        <v>68736</v>
      </c>
      <c r="B29638" s="74" t="s">
        <v>14812</v>
      </c>
      <c r="C29638" s="74" t="s">
        <v>438</v>
      </c>
    </row>
    <row r="29639" spans="1:3">
      <c r="A29639" s="250">
        <v>68738</v>
      </c>
      <c r="B29639" s="74" t="s">
        <v>14813</v>
      </c>
      <c r="C29639" s="74" t="s">
        <v>438</v>
      </c>
    </row>
    <row r="29640" spans="1:3">
      <c r="A29640" s="250">
        <v>68739</v>
      </c>
      <c r="B29640" s="74" t="s">
        <v>14814</v>
      </c>
      <c r="C29640" s="74" t="s">
        <v>438</v>
      </c>
    </row>
    <row r="29641" spans="1:3">
      <c r="A29641" s="250">
        <v>68740</v>
      </c>
      <c r="B29641" s="74" t="s">
        <v>14815</v>
      </c>
      <c r="C29641" s="74" t="s">
        <v>438</v>
      </c>
    </row>
    <row r="29642" spans="1:3">
      <c r="A29642" s="250">
        <v>68741</v>
      </c>
      <c r="B29642" s="74" t="s">
        <v>10364</v>
      </c>
      <c r="C29642" s="74" t="s">
        <v>438</v>
      </c>
    </row>
    <row r="29643" spans="1:3">
      <c r="A29643" s="250">
        <v>68742</v>
      </c>
      <c r="B29643" s="74" t="s">
        <v>7675</v>
      </c>
      <c r="C29643" s="74" t="s">
        <v>438</v>
      </c>
    </row>
    <row r="29644" spans="1:3">
      <c r="A29644" s="250">
        <v>68743</v>
      </c>
      <c r="B29644" s="74" t="s">
        <v>1318</v>
      </c>
      <c r="C29644" s="74" t="s">
        <v>438</v>
      </c>
    </row>
    <row r="29645" spans="1:3">
      <c r="A29645" s="250">
        <v>68745</v>
      </c>
      <c r="B29645" s="74" t="s">
        <v>2882</v>
      </c>
      <c r="C29645" s="74" t="s">
        <v>438</v>
      </c>
    </row>
    <row r="29646" spans="1:3">
      <c r="A29646" s="250">
        <v>68746</v>
      </c>
      <c r="B29646" s="74" t="s">
        <v>9690</v>
      </c>
      <c r="C29646" s="74" t="s">
        <v>438</v>
      </c>
    </row>
    <row r="29647" spans="1:3">
      <c r="A29647" s="250">
        <v>68747</v>
      </c>
      <c r="B29647" s="74" t="s">
        <v>14816</v>
      </c>
      <c r="C29647" s="74" t="s">
        <v>438</v>
      </c>
    </row>
    <row r="29648" spans="1:3">
      <c r="A29648" s="250">
        <v>68748</v>
      </c>
      <c r="B29648" s="74" t="s">
        <v>1320</v>
      </c>
      <c r="C29648" s="74" t="s">
        <v>438</v>
      </c>
    </row>
    <row r="29649" spans="1:3">
      <c r="A29649" s="250">
        <v>68749</v>
      </c>
      <c r="B29649" s="74" t="s">
        <v>14817</v>
      </c>
      <c r="C29649" s="74" t="s">
        <v>438</v>
      </c>
    </row>
    <row r="29650" spans="1:3">
      <c r="A29650" s="250">
        <v>68751</v>
      </c>
      <c r="B29650" s="74" t="s">
        <v>14818</v>
      </c>
      <c r="C29650" s="74" t="s">
        <v>438</v>
      </c>
    </row>
    <row r="29651" spans="1:3">
      <c r="A29651" s="250">
        <v>68752</v>
      </c>
      <c r="B29651" s="74" t="s">
        <v>14819</v>
      </c>
      <c r="C29651" s="74" t="s">
        <v>438</v>
      </c>
    </row>
    <row r="29652" spans="1:3">
      <c r="A29652" s="250">
        <v>68753</v>
      </c>
      <c r="B29652" s="74" t="s">
        <v>4680</v>
      </c>
      <c r="C29652" s="74" t="s">
        <v>438</v>
      </c>
    </row>
    <row r="29653" spans="1:3">
      <c r="A29653" s="250">
        <v>68755</v>
      </c>
      <c r="B29653" s="74" t="s">
        <v>14820</v>
      </c>
      <c r="C29653" s="74" t="s">
        <v>438</v>
      </c>
    </row>
    <row r="29654" spans="1:3">
      <c r="A29654" s="250">
        <v>68756</v>
      </c>
      <c r="B29654" s="74" t="s">
        <v>14821</v>
      </c>
      <c r="C29654" s="74" t="s">
        <v>438</v>
      </c>
    </row>
    <row r="29655" spans="1:3">
      <c r="A29655" s="250">
        <v>68757</v>
      </c>
      <c r="B29655" s="74" t="s">
        <v>1546</v>
      </c>
      <c r="C29655" s="74" t="s">
        <v>438</v>
      </c>
    </row>
    <row r="29656" spans="1:3">
      <c r="A29656" s="250">
        <v>68758</v>
      </c>
      <c r="B29656" s="74" t="s">
        <v>14822</v>
      </c>
      <c r="C29656" s="74" t="s">
        <v>438</v>
      </c>
    </row>
    <row r="29657" spans="1:3">
      <c r="A29657" s="250">
        <v>68759</v>
      </c>
      <c r="B29657" s="74" t="s">
        <v>1118</v>
      </c>
      <c r="C29657" s="74" t="s">
        <v>438</v>
      </c>
    </row>
    <row r="29658" spans="1:3">
      <c r="A29658" s="250">
        <v>68760</v>
      </c>
      <c r="B29658" s="74" t="s">
        <v>14823</v>
      </c>
      <c r="C29658" s="74" t="s">
        <v>438</v>
      </c>
    </row>
    <row r="29659" spans="1:3">
      <c r="A29659" s="250">
        <v>68761</v>
      </c>
      <c r="B29659" s="74" t="s">
        <v>2024</v>
      </c>
      <c r="C29659" s="74" t="s">
        <v>438</v>
      </c>
    </row>
    <row r="29660" spans="1:3">
      <c r="A29660" s="250">
        <v>68763</v>
      </c>
      <c r="B29660" s="74" t="s">
        <v>14824</v>
      </c>
      <c r="C29660" s="74" t="s">
        <v>438</v>
      </c>
    </row>
    <row r="29661" spans="1:3">
      <c r="A29661" s="250">
        <v>68764</v>
      </c>
      <c r="B29661" s="74" t="s">
        <v>11591</v>
      </c>
      <c r="C29661" s="74" t="s">
        <v>438</v>
      </c>
    </row>
    <row r="29662" spans="1:3">
      <c r="A29662" s="250">
        <v>68765</v>
      </c>
      <c r="B29662" s="74" t="s">
        <v>14825</v>
      </c>
      <c r="C29662" s="74" t="s">
        <v>438</v>
      </c>
    </row>
    <row r="29663" spans="1:3">
      <c r="A29663" s="250">
        <v>68766</v>
      </c>
      <c r="B29663" s="74" t="s">
        <v>6635</v>
      </c>
      <c r="C29663" s="74" t="s">
        <v>438</v>
      </c>
    </row>
    <row r="29664" spans="1:3">
      <c r="A29664" s="250">
        <v>68767</v>
      </c>
      <c r="B29664" s="74" t="s">
        <v>14826</v>
      </c>
      <c r="C29664" s="74" t="s">
        <v>438</v>
      </c>
    </row>
    <row r="29665" spans="1:3">
      <c r="A29665" s="250">
        <v>68768</v>
      </c>
      <c r="B29665" s="74" t="s">
        <v>14827</v>
      </c>
      <c r="C29665" s="74" t="s">
        <v>438</v>
      </c>
    </row>
    <row r="29666" spans="1:3">
      <c r="A29666" s="250">
        <v>68769</v>
      </c>
      <c r="B29666" s="74" t="s">
        <v>2867</v>
      </c>
      <c r="C29666" s="74" t="s">
        <v>438</v>
      </c>
    </row>
    <row r="29667" spans="1:3">
      <c r="A29667" s="250">
        <v>68770</v>
      </c>
      <c r="B29667" s="74" t="s">
        <v>14828</v>
      </c>
      <c r="C29667" s="74" t="s">
        <v>438</v>
      </c>
    </row>
    <row r="29668" spans="1:3">
      <c r="A29668" s="250">
        <v>68771</v>
      </c>
      <c r="B29668" s="74" t="s">
        <v>960</v>
      </c>
      <c r="C29668" s="74" t="s">
        <v>438</v>
      </c>
    </row>
    <row r="29669" spans="1:3">
      <c r="A29669" s="250">
        <v>68773</v>
      </c>
      <c r="B29669" s="74" t="s">
        <v>11741</v>
      </c>
      <c r="C29669" s="74" t="s">
        <v>438</v>
      </c>
    </row>
    <row r="29670" spans="1:3">
      <c r="A29670" s="250">
        <v>68774</v>
      </c>
      <c r="B29670" s="74" t="s">
        <v>14829</v>
      </c>
      <c r="C29670" s="74" t="s">
        <v>438</v>
      </c>
    </row>
    <row r="29671" spans="1:3">
      <c r="A29671" s="250">
        <v>68776</v>
      </c>
      <c r="B29671" s="74" t="s">
        <v>14830</v>
      </c>
      <c r="C29671" s="74" t="s">
        <v>438</v>
      </c>
    </row>
    <row r="29672" spans="1:3">
      <c r="A29672" s="250">
        <v>68777</v>
      </c>
      <c r="B29672" s="74" t="s">
        <v>762</v>
      </c>
      <c r="C29672" s="74" t="s">
        <v>438</v>
      </c>
    </row>
    <row r="29673" spans="1:3">
      <c r="A29673" s="250">
        <v>68778</v>
      </c>
      <c r="B29673" s="74" t="s">
        <v>14831</v>
      </c>
      <c r="C29673" s="74" t="s">
        <v>438</v>
      </c>
    </row>
    <row r="29674" spans="1:3">
      <c r="A29674" s="250">
        <v>68779</v>
      </c>
      <c r="B29674" s="74" t="s">
        <v>2602</v>
      </c>
      <c r="C29674" s="74" t="s">
        <v>438</v>
      </c>
    </row>
    <row r="29675" spans="1:3">
      <c r="A29675" s="250">
        <v>68780</v>
      </c>
      <c r="B29675" s="74" t="s">
        <v>6305</v>
      </c>
      <c r="C29675" s="74" t="s">
        <v>438</v>
      </c>
    </row>
    <row r="29676" spans="1:3">
      <c r="A29676" s="250">
        <v>68781</v>
      </c>
      <c r="B29676" s="74" t="s">
        <v>13875</v>
      </c>
      <c r="C29676" s="74" t="s">
        <v>438</v>
      </c>
    </row>
    <row r="29677" spans="1:3">
      <c r="A29677" s="250">
        <v>68783</v>
      </c>
      <c r="B29677" s="74" t="s">
        <v>14832</v>
      </c>
      <c r="C29677" s="74" t="s">
        <v>438</v>
      </c>
    </row>
    <row r="29678" spans="1:3">
      <c r="A29678" s="250">
        <v>68784</v>
      </c>
      <c r="B29678" s="74" t="s">
        <v>828</v>
      </c>
      <c r="C29678" s="74" t="s">
        <v>438</v>
      </c>
    </row>
    <row r="29679" spans="1:3">
      <c r="A29679" s="250">
        <v>68785</v>
      </c>
      <c r="B29679" s="74" t="s">
        <v>1855</v>
      </c>
      <c r="C29679" s="74" t="s">
        <v>438</v>
      </c>
    </row>
    <row r="29680" spans="1:3">
      <c r="A29680" s="250">
        <v>68786</v>
      </c>
      <c r="B29680" s="74" t="s">
        <v>14833</v>
      </c>
      <c r="C29680" s="74" t="s">
        <v>438</v>
      </c>
    </row>
    <row r="29681" spans="1:3">
      <c r="A29681" s="250">
        <v>68787</v>
      </c>
      <c r="B29681" s="74" t="s">
        <v>1464</v>
      </c>
      <c r="C29681" s="74" t="s">
        <v>438</v>
      </c>
    </row>
    <row r="29682" spans="1:3">
      <c r="A29682" s="250">
        <v>68788</v>
      </c>
      <c r="B29682" s="74" t="s">
        <v>2720</v>
      </c>
      <c r="C29682" s="74" t="s">
        <v>438</v>
      </c>
    </row>
    <row r="29683" spans="1:3">
      <c r="A29683" s="250">
        <v>68789</v>
      </c>
      <c r="B29683" s="74" t="s">
        <v>14834</v>
      </c>
      <c r="C29683" s="74" t="s">
        <v>438</v>
      </c>
    </row>
    <row r="29684" spans="1:3">
      <c r="A29684" s="250">
        <v>68790</v>
      </c>
      <c r="B29684" s="74" t="s">
        <v>14835</v>
      </c>
      <c r="C29684" s="74" t="s">
        <v>438</v>
      </c>
    </row>
    <row r="29685" spans="1:3">
      <c r="A29685" s="250">
        <v>68791</v>
      </c>
      <c r="B29685" s="74" t="s">
        <v>14836</v>
      </c>
      <c r="C29685" s="74" t="s">
        <v>438</v>
      </c>
    </row>
    <row r="29686" spans="1:3">
      <c r="A29686" s="250">
        <v>68792</v>
      </c>
      <c r="B29686" s="74" t="s">
        <v>14837</v>
      </c>
      <c r="C29686" s="74" t="s">
        <v>438</v>
      </c>
    </row>
    <row r="29687" spans="1:3">
      <c r="A29687" s="250">
        <v>68801</v>
      </c>
      <c r="B29687" s="74" t="s">
        <v>3711</v>
      </c>
      <c r="C29687" s="74" t="s">
        <v>438</v>
      </c>
    </row>
    <row r="29688" spans="1:3">
      <c r="A29688" s="250">
        <v>68802</v>
      </c>
      <c r="B29688" s="74" t="s">
        <v>3711</v>
      </c>
      <c r="C29688" s="74" t="s">
        <v>438</v>
      </c>
    </row>
    <row r="29689" spans="1:3">
      <c r="A29689" s="250">
        <v>68803</v>
      </c>
      <c r="B29689" s="74" t="s">
        <v>3711</v>
      </c>
      <c r="C29689" s="74" t="s">
        <v>438</v>
      </c>
    </row>
    <row r="29690" spans="1:3">
      <c r="A29690" s="250">
        <v>68810</v>
      </c>
      <c r="B29690" s="74" t="s">
        <v>14838</v>
      </c>
      <c r="C29690" s="74" t="s">
        <v>438</v>
      </c>
    </row>
    <row r="29691" spans="1:3">
      <c r="A29691" s="250">
        <v>68812</v>
      </c>
      <c r="B29691" s="74" t="s">
        <v>577</v>
      </c>
      <c r="C29691" s="74" t="s">
        <v>438</v>
      </c>
    </row>
    <row r="29692" spans="1:3">
      <c r="A29692" s="250">
        <v>68813</v>
      </c>
      <c r="B29692" s="74" t="s">
        <v>14839</v>
      </c>
      <c r="C29692" s="74" t="s">
        <v>438</v>
      </c>
    </row>
    <row r="29693" spans="1:3">
      <c r="A29693" s="250">
        <v>68814</v>
      </c>
      <c r="B29693" s="74" t="s">
        <v>14840</v>
      </c>
      <c r="C29693" s="74" t="s">
        <v>438</v>
      </c>
    </row>
    <row r="29694" spans="1:3">
      <c r="A29694" s="250">
        <v>68815</v>
      </c>
      <c r="B29694" s="74" t="s">
        <v>4258</v>
      </c>
      <c r="C29694" s="74" t="s">
        <v>438</v>
      </c>
    </row>
    <row r="29695" spans="1:3">
      <c r="A29695" s="250">
        <v>68816</v>
      </c>
      <c r="B29695" s="74" t="s">
        <v>8342</v>
      </c>
      <c r="C29695" s="74" t="s">
        <v>438</v>
      </c>
    </row>
    <row r="29696" spans="1:3">
      <c r="A29696" s="250">
        <v>68817</v>
      </c>
      <c r="B29696" s="74" t="s">
        <v>5637</v>
      </c>
      <c r="C29696" s="74" t="s">
        <v>438</v>
      </c>
    </row>
    <row r="29697" spans="1:3">
      <c r="A29697" s="250">
        <v>68818</v>
      </c>
      <c r="B29697" s="74" t="s">
        <v>1489</v>
      </c>
      <c r="C29697" s="74" t="s">
        <v>438</v>
      </c>
    </row>
    <row r="29698" spans="1:3">
      <c r="A29698" s="250">
        <v>68820</v>
      </c>
      <c r="B29698" s="74" t="s">
        <v>14841</v>
      </c>
      <c r="C29698" s="74" t="s">
        <v>438</v>
      </c>
    </row>
    <row r="29699" spans="1:3">
      <c r="A29699" s="250">
        <v>68821</v>
      </c>
      <c r="B29699" s="74" t="s">
        <v>1023</v>
      </c>
      <c r="C29699" s="74" t="s">
        <v>438</v>
      </c>
    </row>
    <row r="29700" spans="1:3">
      <c r="A29700" s="250">
        <v>68822</v>
      </c>
      <c r="B29700" s="74" t="s">
        <v>14842</v>
      </c>
      <c r="C29700" s="74" t="s">
        <v>438</v>
      </c>
    </row>
    <row r="29701" spans="1:3">
      <c r="A29701" s="250">
        <v>68823</v>
      </c>
      <c r="B29701" s="74" t="s">
        <v>14843</v>
      </c>
      <c r="C29701" s="74" t="s">
        <v>438</v>
      </c>
    </row>
    <row r="29702" spans="1:3">
      <c r="A29702" s="250">
        <v>68824</v>
      </c>
      <c r="B29702" s="74" t="s">
        <v>3034</v>
      </c>
      <c r="C29702" s="74" t="s">
        <v>438</v>
      </c>
    </row>
    <row r="29703" spans="1:3">
      <c r="A29703" s="250">
        <v>68825</v>
      </c>
      <c r="B29703" s="74" t="s">
        <v>5556</v>
      </c>
      <c r="C29703" s="74" t="s">
        <v>438</v>
      </c>
    </row>
    <row r="29704" spans="1:3">
      <c r="A29704" s="250">
        <v>68826</v>
      </c>
      <c r="B29704" s="74" t="s">
        <v>4347</v>
      </c>
      <c r="C29704" s="74" t="s">
        <v>438</v>
      </c>
    </row>
    <row r="29705" spans="1:3">
      <c r="A29705" s="250">
        <v>68827</v>
      </c>
      <c r="B29705" s="74" t="s">
        <v>8787</v>
      </c>
      <c r="C29705" s="74" t="s">
        <v>438</v>
      </c>
    </row>
    <row r="29706" spans="1:3">
      <c r="A29706" s="250">
        <v>68828</v>
      </c>
      <c r="B29706" s="74" t="s">
        <v>3230</v>
      </c>
      <c r="C29706" s="74" t="s">
        <v>438</v>
      </c>
    </row>
    <row r="29707" spans="1:3">
      <c r="A29707" s="250">
        <v>68831</v>
      </c>
      <c r="B29707" s="74" t="s">
        <v>14844</v>
      </c>
      <c r="C29707" s="74" t="s">
        <v>438</v>
      </c>
    </row>
    <row r="29708" spans="1:3">
      <c r="A29708" s="250">
        <v>68832</v>
      </c>
      <c r="B29708" s="74" t="s">
        <v>14208</v>
      </c>
      <c r="C29708" s="74" t="s">
        <v>438</v>
      </c>
    </row>
    <row r="29709" spans="1:3">
      <c r="A29709" s="250">
        <v>68833</v>
      </c>
      <c r="B29709" s="74" t="s">
        <v>14845</v>
      </c>
      <c r="C29709" s="74" t="s">
        <v>438</v>
      </c>
    </row>
    <row r="29710" spans="1:3">
      <c r="A29710" s="250">
        <v>68834</v>
      </c>
      <c r="B29710" s="74" t="s">
        <v>9933</v>
      </c>
      <c r="C29710" s="74" t="s">
        <v>438</v>
      </c>
    </row>
    <row r="29711" spans="1:3">
      <c r="A29711" s="250">
        <v>68835</v>
      </c>
      <c r="B29711" s="74" t="s">
        <v>3701</v>
      </c>
      <c r="C29711" s="74" t="s">
        <v>438</v>
      </c>
    </row>
    <row r="29712" spans="1:3">
      <c r="A29712" s="250">
        <v>68836</v>
      </c>
      <c r="B29712" s="74" t="s">
        <v>14846</v>
      </c>
      <c r="C29712" s="74" t="s">
        <v>438</v>
      </c>
    </row>
    <row r="29713" spans="1:3">
      <c r="A29713" s="250">
        <v>68837</v>
      </c>
      <c r="B29713" s="74" t="s">
        <v>10299</v>
      </c>
      <c r="C29713" s="74" t="s">
        <v>438</v>
      </c>
    </row>
    <row r="29714" spans="1:3">
      <c r="A29714" s="250">
        <v>68838</v>
      </c>
      <c r="B29714" s="74" t="s">
        <v>11095</v>
      </c>
      <c r="C29714" s="74" t="s">
        <v>438</v>
      </c>
    </row>
    <row r="29715" spans="1:3">
      <c r="A29715" s="250">
        <v>68840</v>
      </c>
      <c r="B29715" s="74" t="s">
        <v>12408</v>
      </c>
      <c r="C29715" s="74" t="s">
        <v>438</v>
      </c>
    </row>
    <row r="29716" spans="1:3">
      <c r="A29716" s="250">
        <v>68841</v>
      </c>
      <c r="B29716" s="74" t="s">
        <v>14847</v>
      </c>
      <c r="C29716" s="74" t="s">
        <v>438</v>
      </c>
    </row>
    <row r="29717" spans="1:3">
      <c r="A29717" s="250">
        <v>68842</v>
      </c>
      <c r="B29717" s="74" t="s">
        <v>5159</v>
      </c>
      <c r="C29717" s="74" t="s">
        <v>438</v>
      </c>
    </row>
    <row r="29718" spans="1:3">
      <c r="A29718" s="250">
        <v>68843</v>
      </c>
      <c r="B29718" s="74" t="s">
        <v>1315</v>
      </c>
      <c r="C29718" s="74" t="s">
        <v>438</v>
      </c>
    </row>
    <row r="29719" spans="1:3">
      <c r="A29719" s="250">
        <v>68844</v>
      </c>
      <c r="B29719" s="74" t="s">
        <v>9862</v>
      </c>
      <c r="C29719" s="74" t="s">
        <v>438</v>
      </c>
    </row>
    <row r="29720" spans="1:3">
      <c r="A29720" s="250">
        <v>68845</v>
      </c>
      <c r="B29720" s="74" t="s">
        <v>14233</v>
      </c>
      <c r="C29720" s="74" t="s">
        <v>438</v>
      </c>
    </row>
    <row r="29721" spans="1:3">
      <c r="A29721" s="250">
        <v>68846</v>
      </c>
      <c r="B29721" s="74" t="s">
        <v>14848</v>
      </c>
      <c r="C29721" s="74" t="s">
        <v>438</v>
      </c>
    </row>
    <row r="29722" spans="1:3">
      <c r="A29722" s="250">
        <v>68847</v>
      </c>
      <c r="B29722" s="74" t="s">
        <v>14233</v>
      </c>
      <c r="C29722" s="74" t="s">
        <v>438</v>
      </c>
    </row>
    <row r="29723" spans="1:3">
      <c r="A29723" s="250">
        <v>68848</v>
      </c>
      <c r="B29723" s="74" t="s">
        <v>14233</v>
      </c>
      <c r="C29723" s="74" t="s">
        <v>438</v>
      </c>
    </row>
    <row r="29724" spans="1:3">
      <c r="A29724" s="250">
        <v>68849</v>
      </c>
      <c r="B29724" s="74" t="s">
        <v>14233</v>
      </c>
      <c r="C29724" s="74" t="s">
        <v>438</v>
      </c>
    </row>
    <row r="29725" spans="1:3">
      <c r="A29725" s="250">
        <v>68850</v>
      </c>
      <c r="B29725" s="74" t="s">
        <v>966</v>
      </c>
      <c r="C29725" s="74" t="s">
        <v>438</v>
      </c>
    </row>
    <row r="29726" spans="1:3">
      <c r="A29726" s="250">
        <v>68852</v>
      </c>
      <c r="B29726" s="74" t="s">
        <v>1161</v>
      </c>
      <c r="C29726" s="74" t="s">
        <v>438</v>
      </c>
    </row>
    <row r="29727" spans="1:3">
      <c r="A29727" s="250">
        <v>68853</v>
      </c>
      <c r="B29727" s="74" t="s">
        <v>14849</v>
      </c>
      <c r="C29727" s="74" t="s">
        <v>438</v>
      </c>
    </row>
    <row r="29728" spans="1:3">
      <c r="A29728" s="250">
        <v>68854</v>
      </c>
      <c r="B29728" s="74" t="s">
        <v>11426</v>
      </c>
      <c r="C29728" s="74" t="s">
        <v>438</v>
      </c>
    </row>
    <row r="29729" spans="1:3">
      <c r="A29729" s="250">
        <v>68855</v>
      </c>
      <c r="B29729" s="74" t="s">
        <v>11566</v>
      </c>
      <c r="C29729" s="74" t="s">
        <v>438</v>
      </c>
    </row>
    <row r="29730" spans="1:3">
      <c r="A29730" s="250">
        <v>68856</v>
      </c>
      <c r="B29730" s="74" t="s">
        <v>13754</v>
      </c>
      <c r="C29730" s="74" t="s">
        <v>438</v>
      </c>
    </row>
    <row r="29731" spans="1:3">
      <c r="A29731" s="250">
        <v>68858</v>
      </c>
      <c r="B29731" s="74" t="s">
        <v>12882</v>
      </c>
      <c r="C29731" s="74" t="s">
        <v>438</v>
      </c>
    </row>
    <row r="29732" spans="1:3">
      <c r="A29732" s="250">
        <v>68859</v>
      </c>
      <c r="B29732" s="74" t="s">
        <v>14850</v>
      </c>
      <c r="C29732" s="74" t="s">
        <v>438</v>
      </c>
    </row>
    <row r="29733" spans="1:3">
      <c r="A29733" s="250">
        <v>68860</v>
      </c>
      <c r="B29733" s="74" t="s">
        <v>12112</v>
      </c>
      <c r="C29733" s="74" t="s">
        <v>438</v>
      </c>
    </row>
    <row r="29734" spans="1:3">
      <c r="A29734" s="250">
        <v>68861</v>
      </c>
      <c r="B29734" s="74" t="s">
        <v>3931</v>
      </c>
      <c r="C29734" s="74" t="s">
        <v>438</v>
      </c>
    </row>
    <row r="29735" spans="1:3">
      <c r="A29735" s="250">
        <v>68862</v>
      </c>
      <c r="B29735" s="74" t="s">
        <v>14851</v>
      </c>
      <c r="C29735" s="74" t="s">
        <v>438</v>
      </c>
    </row>
    <row r="29736" spans="1:3">
      <c r="A29736" s="250">
        <v>68863</v>
      </c>
      <c r="B29736" s="74" t="s">
        <v>14852</v>
      </c>
      <c r="C29736" s="74" t="s">
        <v>438</v>
      </c>
    </row>
    <row r="29737" spans="1:3">
      <c r="A29737" s="250">
        <v>68864</v>
      </c>
      <c r="B29737" s="74" t="s">
        <v>526</v>
      </c>
      <c r="C29737" s="74" t="s">
        <v>438</v>
      </c>
    </row>
    <row r="29738" spans="1:3">
      <c r="A29738" s="250">
        <v>68865</v>
      </c>
      <c r="B29738" s="74" t="s">
        <v>1711</v>
      </c>
      <c r="C29738" s="74" t="s">
        <v>438</v>
      </c>
    </row>
    <row r="29739" spans="1:3">
      <c r="A29739" s="250">
        <v>68866</v>
      </c>
      <c r="B29739" s="74" t="s">
        <v>14504</v>
      </c>
      <c r="C29739" s="74" t="s">
        <v>438</v>
      </c>
    </row>
    <row r="29740" spans="1:3">
      <c r="A29740" s="250">
        <v>68869</v>
      </c>
      <c r="B29740" s="74" t="s">
        <v>9652</v>
      </c>
      <c r="C29740" s="74" t="s">
        <v>438</v>
      </c>
    </row>
    <row r="29741" spans="1:3">
      <c r="A29741" s="250">
        <v>68870</v>
      </c>
      <c r="B29741" s="74" t="s">
        <v>2207</v>
      </c>
      <c r="C29741" s="74" t="s">
        <v>438</v>
      </c>
    </row>
    <row r="29742" spans="1:3">
      <c r="A29742" s="250">
        <v>68871</v>
      </c>
      <c r="B29742" s="74" t="s">
        <v>1128</v>
      </c>
      <c r="C29742" s="74" t="s">
        <v>438</v>
      </c>
    </row>
    <row r="29743" spans="1:3">
      <c r="A29743" s="250">
        <v>68872</v>
      </c>
      <c r="B29743" s="74" t="s">
        <v>13873</v>
      </c>
      <c r="C29743" s="74" t="s">
        <v>438</v>
      </c>
    </row>
    <row r="29744" spans="1:3">
      <c r="A29744" s="250">
        <v>68873</v>
      </c>
      <c r="B29744" s="74" t="s">
        <v>6341</v>
      </c>
      <c r="C29744" s="74" t="s">
        <v>438</v>
      </c>
    </row>
    <row r="29745" spans="1:3">
      <c r="A29745" s="250">
        <v>68874</v>
      </c>
      <c r="B29745" s="74" t="s">
        <v>7925</v>
      </c>
      <c r="C29745" s="74" t="s">
        <v>438</v>
      </c>
    </row>
    <row r="29746" spans="1:3">
      <c r="A29746" s="250">
        <v>68875</v>
      </c>
      <c r="B29746" s="74" t="s">
        <v>7847</v>
      </c>
      <c r="C29746" s="74" t="s">
        <v>438</v>
      </c>
    </row>
    <row r="29747" spans="1:3">
      <c r="A29747" s="250">
        <v>68876</v>
      </c>
      <c r="B29747" s="74" t="s">
        <v>2067</v>
      </c>
      <c r="C29747" s="74" t="s">
        <v>438</v>
      </c>
    </row>
    <row r="29748" spans="1:3">
      <c r="A29748" s="250">
        <v>68878</v>
      </c>
      <c r="B29748" s="74" t="s">
        <v>1472</v>
      </c>
      <c r="C29748" s="74" t="s">
        <v>438</v>
      </c>
    </row>
    <row r="29749" spans="1:3">
      <c r="A29749" s="250">
        <v>68879</v>
      </c>
      <c r="B29749" s="74" t="s">
        <v>5195</v>
      </c>
      <c r="C29749" s="74" t="s">
        <v>438</v>
      </c>
    </row>
    <row r="29750" spans="1:3">
      <c r="A29750" s="250">
        <v>68881</v>
      </c>
      <c r="B29750" s="74" t="s">
        <v>10108</v>
      </c>
      <c r="C29750" s="74" t="s">
        <v>438</v>
      </c>
    </row>
    <row r="29751" spans="1:3">
      <c r="A29751" s="250">
        <v>68882</v>
      </c>
      <c r="B29751" s="74" t="s">
        <v>14853</v>
      </c>
      <c r="C29751" s="74" t="s">
        <v>438</v>
      </c>
    </row>
    <row r="29752" spans="1:3">
      <c r="A29752" s="250">
        <v>68883</v>
      </c>
      <c r="B29752" s="74" t="s">
        <v>13833</v>
      </c>
      <c r="C29752" s="74" t="s">
        <v>438</v>
      </c>
    </row>
    <row r="29753" spans="1:3">
      <c r="A29753" s="250">
        <v>68901</v>
      </c>
      <c r="B29753" s="74" t="s">
        <v>3368</v>
      </c>
      <c r="C29753" s="74" t="s">
        <v>438</v>
      </c>
    </row>
    <row r="29754" spans="1:3">
      <c r="A29754" s="250">
        <v>68902</v>
      </c>
      <c r="B29754" s="74" t="s">
        <v>3368</v>
      </c>
      <c r="C29754" s="74" t="s">
        <v>438</v>
      </c>
    </row>
    <row r="29755" spans="1:3">
      <c r="A29755" s="250">
        <v>68920</v>
      </c>
      <c r="B29755" s="74" t="s">
        <v>3841</v>
      </c>
      <c r="C29755" s="74" t="s">
        <v>438</v>
      </c>
    </row>
    <row r="29756" spans="1:3">
      <c r="A29756" s="250">
        <v>68922</v>
      </c>
      <c r="B29756" s="74" t="s">
        <v>7425</v>
      </c>
      <c r="C29756" s="74" t="s">
        <v>438</v>
      </c>
    </row>
    <row r="29757" spans="1:3">
      <c r="A29757" s="250">
        <v>68923</v>
      </c>
      <c r="B29757" s="74" t="s">
        <v>3895</v>
      </c>
      <c r="C29757" s="74" t="s">
        <v>438</v>
      </c>
    </row>
    <row r="29758" spans="1:3">
      <c r="A29758" s="250">
        <v>68924</v>
      </c>
      <c r="B29758" s="74" t="s">
        <v>14514</v>
      </c>
      <c r="C29758" s="74" t="s">
        <v>438</v>
      </c>
    </row>
    <row r="29759" spans="1:3">
      <c r="A29759" s="250">
        <v>68925</v>
      </c>
      <c r="B29759" s="74" t="s">
        <v>13003</v>
      </c>
      <c r="C29759" s="74" t="s">
        <v>438</v>
      </c>
    </row>
    <row r="29760" spans="1:3">
      <c r="A29760" s="250">
        <v>68926</v>
      </c>
      <c r="B29760" s="74" t="s">
        <v>14854</v>
      </c>
      <c r="C29760" s="74" t="s">
        <v>438</v>
      </c>
    </row>
    <row r="29761" spans="1:3">
      <c r="A29761" s="250">
        <v>68927</v>
      </c>
      <c r="B29761" s="74" t="s">
        <v>14182</v>
      </c>
      <c r="C29761" s="74" t="s">
        <v>438</v>
      </c>
    </row>
    <row r="29762" spans="1:3">
      <c r="A29762" s="250">
        <v>68928</v>
      </c>
      <c r="B29762" s="74" t="s">
        <v>14855</v>
      </c>
      <c r="C29762" s="74" t="s">
        <v>438</v>
      </c>
    </row>
    <row r="29763" spans="1:3">
      <c r="A29763" s="250">
        <v>68929</v>
      </c>
      <c r="B29763" s="74" t="s">
        <v>3032</v>
      </c>
      <c r="C29763" s="74" t="s">
        <v>438</v>
      </c>
    </row>
    <row r="29764" spans="1:3">
      <c r="A29764" s="250">
        <v>68930</v>
      </c>
      <c r="B29764" s="74" t="s">
        <v>1570</v>
      </c>
      <c r="C29764" s="74" t="s">
        <v>438</v>
      </c>
    </row>
    <row r="29765" spans="1:3">
      <c r="A29765" s="250">
        <v>68932</v>
      </c>
      <c r="B29765" s="74" t="s">
        <v>3904</v>
      </c>
      <c r="C29765" s="74" t="s">
        <v>438</v>
      </c>
    </row>
    <row r="29766" spans="1:3">
      <c r="A29766" s="250">
        <v>68933</v>
      </c>
      <c r="B29766" s="74" t="s">
        <v>10155</v>
      </c>
      <c r="C29766" s="74" t="s">
        <v>438</v>
      </c>
    </row>
    <row r="29767" spans="1:3">
      <c r="A29767" s="250">
        <v>68934</v>
      </c>
      <c r="B29767" s="74" t="s">
        <v>14856</v>
      </c>
      <c r="C29767" s="74" t="s">
        <v>438</v>
      </c>
    </row>
    <row r="29768" spans="1:3">
      <c r="A29768" s="250">
        <v>68935</v>
      </c>
      <c r="B29768" s="74" t="s">
        <v>8254</v>
      </c>
      <c r="C29768" s="74" t="s">
        <v>438</v>
      </c>
    </row>
    <row r="29769" spans="1:3">
      <c r="A29769" s="250">
        <v>68936</v>
      </c>
      <c r="B29769" s="74" t="s">
        <v>2567</v>
      </c>
      <c r="C29769" s="74" t="s">
        <v>438</v>
      </c>
    </row>
    <row r="29770" spans="1:3">
      <c r="A29770" s="250">
        <v>68937</v>
      </c>
      <c r="B29770" s="74" t="s">
        <v>2451</v>
      </c>
      <c r="C29770" s="74" t="s">
        <v>438</v>
      </c>
    </row>
    <row r="29771" spans="1:3">
      <c r="A29771" s="250">
        <v>68938</v>
      </c>
      <c r="B29771" s="74" t="s">
        <v>1694</v>
      </c>
      <c r="C29771" s="74" t="s">
        <v>438</v>
      </c>
    </row>
    <row r="29772" spans="1:3">
      <c r="A29772" s="250">
        <v>68939</v>
      </c>
      <c r="B29772" s="74" t="s">
        <v>873</v>
      </c>
      <c r="C29772" s="74" t="s">
        <v>438</v>
      </c>
    </row>
    <row r="29773" spans="1:3">
      <c r="A29773" s="250">
        <v>68940</v>
      </c>
      <c r="B29773" s="74" t="s">
        <v>14857</v>
      </c>
      <c r="C29773" s="74" t="s">
        <v>438</v>
      </c>
    </row>
    <row r="29774" spans="1:3">
      <c r="A29774" s="250">
        <v>68941</v>
      </c>
      <c r="B29774" s="74" t="s">
        <v>14858</v>
      </c>
      <c r="C29774" s="74" t="s">
        <v>438</v>
      </c>
    </row>
    <row r="29775" spans="1:3">
      <c r="A29775" s="250">
        <v>68942</v>
      </c>
      <c r="B29775" s="74" t="s">
        <v>14859</v>
      </c>
      <c r="C29775" s="74" t="s">
        <v>438</v>
      </c>
    </row>
    <row r="29776" spans="1:3">
      <c r="A29776" s="250">
        <v>68943</v>
      </c>
      <c r="B29776" s="74" t="s">
        <v>6279</v>
      </c>
      <c r="C29776" s="74" t="s">
        <v>438</v>
      </c>
    </row>
    <row r="29777" spans="1:3">
      <c r="A29777" s="250">
        <v>68944</v>
      </c>
      <c r="B29777" s="74" t="s">
        <v>710</v>
      </c>
      <c r="C29777" s="74" t="s">
        <v>438</v>
      </c>
    </row>
    <row r="29778" spans="1:3">
      <c r="A29778" s="250">
        <v>68945</v>
      </c>
      <c r="B29778" s="74" t="s">
        <v>14860</v>
      </c>
      <c r="C29778" s="74" t="s">
        <v>438</v>
      </c>
    </row>
    <row r="29779" spans="1:3">
      <c r="A29779" s="250">
        <v>68946</v>
      </c>
      <c r="B29779" s="74" t="s">
        <v>14861</v>
      </c>
      <c r="C29779" s="74" t="s">
        <v>438</v>
      </c>
    </row>
    <row r="29780" spans="1:3">
      <c r="A29780" s="250">
        <v>68947</v>
      </c>
      <c r="B29780" s="74" t="s">
        <v>14862</v>
      </c>
      <c r="C29780" s="74" t="s">
        <v>438</v>
      </c>
    </row>
    <row r="29781" spans="1:3">
      <c r="A29781" s="250">
        <v>68948</v>
      </c>
      <c r="B29781" s="74" t="s">
        <v>946</v>
      </c>
      <c r="C29781" s="74" t="s">
        <v>438</v>
      </c>
    </row>
    <row r="29782" spans="1:3">
      <c r="A29782" s="250">
        <v>68949</v>
      </c>
      <c r="B29782" s="74" t="s">
        <v>14863</v>
      </c>
      <c r="C29782" s="74" t="s">
        <v>438</v>
      </c>
    </row>
    <row r="29783" spans="1:3">
      <c r="A29783" s="250">
        <v>68950</v>
      </c>
      <c r="B29783" s="74" t="s">
        <v>11701</v>
      </c>
      <c r="C29783" s="74" t="s">
        <v>438</v>
      </c>
    </row>
    <row r="29784" spans="1:3">
      <c r="A29784" s="250">
        <v>68952</v>
      </c>
      <c r="B29784" s="74" t="s">
        <v>14864</v>
      </c>
      <c r="C29784" s="74" t="s">
        <v>438</v>
      </c>
    </row>
    <row r="29785" spans="1:3">
      <c r="A29785" s="250">
        <v>68954</v>
      </c>
      <c r="B29785" s="74" t="s">
        <v>14865</v>
      </c>
      <c r="C29785" s="74" t="s">
        <v>438</v>
      </c>
    </row>
    <row r="29786" spans="1:3">
      <c r="A29786" s="250">
        <v>68955</v>
      </c>
      <c r="B29786" s="74" t="s">
        <v>14866</v>
      </c>
      <c r="C29786" s="74" t="s">
        <v>438</v>
      </c>
    </row>
    <row r="29787" spans="1:3">
      <c r="A29787" s="250">
        <v>68956</v>
      </c>
      <c r="B29787" s="74" t="s">
        <v>14867</v>
      </c>
      <c r="C29787" s="74" t="s">
        <v>438</v>
      </c>
    </row>
    <row r="29788" spans="1:3">
      <c r="A29788" s="250">
        <v>68957</v>
      </c>
      <c r="B29788" s="74" t="s">
        <v>815</v>
      </c>
      <c r="C29788" s="74" t="s">
        <v>438</v>
      </c>
    </row>
    <row r="29789" spans="1:3">
      <c r="A29789" s="250">
        <v>68958</v>
      </c>
      <c r="B29789" s="74" t="s">
        <v>14868</v>
      </c>
      <c r="C29789" s="74" t="s">
        <v>438</v>
      </c>
    </row>
    <row r="29790" spans="1:3">
      <c r="A29790" s="250">
        <v>68959</v>
      </c>
      <c r="B29790" s="74" t="s">
        <v>6811</v>
      </c>
      <c r="C29790" s="74" t="s">
        <v>438</v>
      </c>
    </row>
    <row r="29791" spans="1:3">
      <c r="A29791" s="250">
        <v>68960</v>
      </c>
      <c r="B29791" s="74" t="s">
        <v>14869</v>
      </c>
      <c r="C29791" s="74" t="s">
        <v>438</v>
      </c>
    </row>
    <row r="29792" spans="1:3">
      <c r="A29792" s="250">
        <v>68961</v>
      </c>
      <c r="B29792" s="74" t="s">
        <v>1238</v>
      </c>
      <c r="C29792" s="74" t="s">
        <v>438</v>
      </c>
    </row>
    <row r="29793" spans="1:3">
      <c r="A29793" s="250">
        <v>68964</v>
      </c>
      <c r="B29793" s="74" t="s">
        <v>14870</v>
      </c>
      <c r="C29793" s="74" t="s">
        <v>438</v>
      </c>
    </row>
    <row r="29794" spans="1:3">
      <c r="A29794" s="250">
        <v>68966</v>
      </c>
      <c r="B29794" s="74" t="s">
        <v>1042</v>
      </c>
      <c r="C29794" s="74" t="s">
        <v>438</v>
      </c>
    </row>
    <row r="29795" spans="1:3">
      <c r="A29795" s="250">
        <v>68967</v>
      </c>
      <c r="B29795" s="74" t="s">
        <v>754</v>
      </c>
      <c r="C29795" s="74" t="s">
        <v>438</v>
      </c>
    </row>
    <row r="29796" spans="1:3">
      <c r="A29796" s="250">
        <v>68969</v>
      </c>
      <c r="B29796" s="74" t="s">
        <v>14871</v>
      </c>
      <c r="C29796" s="74" t="s">
        <v>438</v>
      </c>
    </row>
    <row r="29797" spans="1:3">
      <c r="A29797" s="250">
        <v>68970</v>
      </c>
      <c r="B29797" s="74" t="s">
        <v>14872</v>
      </c>
      <c r="C29797" s="74" t="s">
        <v>438</v>
      </c>
    </row>
    <row r="29798" spans="1:3">
      <c r="A29798" s="250">
        <v>68971</v>
      </c>
      <c r="B29798" s="74" t="s">
        <v>14873</v>
      </c>
      <c r="C29798" s="74" t="s">
        <v>438</v>
      </c>
    </row>
    <row r="29799" spans="1:3">
      <c r="A29799" s="250">
        <v>68972</v>
      </c>
      <c r="B29799" s="74" t="s">
        <v>1953</v>
      </c>
      <c r="C29799" s="74" t="s">
        <v>438</v>
      </c>
    </row>
    <row r="29800" spans="1:3">
      <c r="A29800" s="250">
        <v>68973</v>
      </c>
      <c r="B29800" s="74" t="s">
        <v>2151</v>
      </c>
      <c r="C29800" s="74" t="s">
        <v>438</v>
      </c>
    </row>
    <row r="29801" spans="1:3">
      <c r="A29801" s="250">
        <v>68974</v>
      </c>
      <c r="B29801" s="74" t="s">
        <v>8475</v>
      </c>
      <c r="C29801" s="74" t="s">
        <v>438</v>
      </c>
    </row>
    <row r="29802" spans="1:3">
      <c r="A29802" s="250">
        <v>68975</v>
      </c>
      <c r="B29802" s="74" t="s">
        <v>14874</v>
      </c>
      <c r="C29802" s="74" t="s">
        <v>438</v>
      </c>
    </row>
    <row r="29803" spans="1:3">
      <c r="A29803" s="250">
        <v>68976</v>
      </c>
      <c r="B29803" s="74" t="s">
        <v>1149</v>
      </c>
      <c r="C29803" s="74" t="s">
        <v>438</v>
      </c>
    </row>
    <row r="29804" spans="1:3">
      <c r="A29804" s="250">
        <v>68977</v>
      </c>
      <c r="B29804" s="74" t="s">
        <v>1789</v>
      </c>
      <c r="C29804" s="74" t="s">
        <v>438</v>
      </c>
    </row>
    <row r="29805" spans="1:3">
      <c r="A29805" s="250">
        <v>68978</v>
      </c>
      <c r="B29805" s="74" t="s">
        <v>11744</v>
      </c>
      <c r="C29805" s="74" t="s">
        <v>438</v>
      </c>
    </row>
    <row r="29806" spans="1:3">
      <c r="A29806" s="250">
        <v>68979</v>
      </c>
      <c r="B29806" s="74" t="s">
        <v>774</v>
      </c>
      <c r="C29806" s="74" t="s">
        <v>438</v>
      </c>
    </row>
    <row r="29807" spans="1:3">
      <c r="A29807" s="250">
        <v>68980</v>
      </c>
      <c r="B29807" s="74" t="s">
        <v>2078</v>
      </c>
      <c r="C29807" s="74" t="s">
        <v>438</v>
      </c>
    </row>
    <row r="29808" spans="1:3">
      <c r="A29808" s="250">
        <v>68981</v>
      </c>
      <c r="B29808" s="74" t="s">
        <v>10793</v>
      </c>
      <c r="C29808" s="74" t="s">
        <v>438</v>
      </c>
    </row>
    <row r="29809" spans="1:3">
      <c r="A29809" s="250">
        <v>68982</v>
      </c>
      <c r="B29809" s="74" t="s">
        <v>4341</v>
      </c>
      <c r="C29809" s="74" t="s">
        <v>438</v>
      </c>
    </row>
    <row r="29810" spans="1:3">
      <c r="A29810" s="250">
        <v>69001</v>
      </c>
      <c r="B29810" s="74" t="s">
        <v>14875</v>
      </c>
      <c r="C29810" s="74" t="s">
        <v>438</v>
      </c>
    </row>
    <row r="29811" spans="1:3">
      <c r="A29811" s="250">
        <v>69020</v>
      </c>
      <c r="B29811" s="74" t="s">
        <v>6494</v>
      </c>
      <c r="C29811" s="74" t="s">
        <v>438</v>
      </c>
    </row>
    <row r="29812" spans="1:3">
      <c r="A29812" s="250">
        <v>69021</v>
      </c>
      <c r="B29812" s="74" t="s">
        <v>14876</v>
      </c>
      <c r="C29812" s="74" t="s">
        <v>438</v>
      </c>
    </row>
    <row r="29813" spans="1:3">
      <c r="A29813" s="250">
        <v>69022</v>
      </c>
      <c r="B29813" s="74" t="s">
        <v>914</v>
      </c>
      <c r="C29813" s="74" t="s">
        <v>438</v>
      </c>
    </row>
    <row r="29814" spans="1:3">
      <c r="A29814" s="250">
        <v>69023</v>
      </c>
      <c r="B29814" s="74" t="s">
        <v>4197</v>
      </c>
      <c r="C29814" s="74" t="s">
        <v>438</v>
      </c>
    </row>
    <row r="29815" spans="1:3">
      <c r="A29815" s="250">
        <v>69024</v>
      </c>
      <c r="B29815" s="74" t="s">
        <v>13262</v>
      </c>
      <c r="C29815" s="74" t="s">
        <v>438</v>
      </c>
    </row>
    <row r="29816" spans="1:3">
      <c r="A29816" s="250">
        <v>69025</v>
      </c>
      <c r="B29816" s="74" t="s">
        <v>11406</v>
      </c>
      <c r="C29816" s="74" t="s">
        <v>438</v>
      </c>
    </row>
    <row r="29817" spans="1:3">
      <c r="A29817" s="250">
        <v>69026</v>
      </c>
      <c r="B29817" s="74" t="s">
        <v>1184</v>
      </c>
      <c r="C29817" s="74" t="s">
        <v>438</v>
      </c>
    </row>
    <row r="29818" spans="1:3">
      <c r="A29818" s="250">
        <v>69027</v>
      </c>
      <c r="B29818" s="74" t="s">
        <v>14877</v>
      </c>
      <c r="C29818" s="74" t="s">
        <v>438</v>
      </c>
    </row>
    <row r="29819" spans="1:3">
      <c r="A29819" s="250">
        <v>69028</v>
      </c>
      <c r="B29819" s="74" t="s">
        <v>1693</v>
      </c>
      <c r="C29819" s="74" t="s">
        <v>438</v>
      </c>
    </row>
    <row r="29820" spans="1:3">
      <c r="A29820" s="250">
        <v>69029</v>
      </c>
      <c r="B29820" s="74" t="s">
        <v>14878</v>
      </c>
      <c r="C29820" s="74" t="s">
        <v>438</v>
      </c>
    </row>
    <row r="29821" spans="1:3">
      <c r="A29821" s="250">
        <v>69030</v>
      </c>
      <c r="B29821" s="74" t="s">
        <v>14879</v>
      </c>
      <c r="C29821" s="74" t="s">
        <v>438</v>
      </c>
    </row>
    <row r="29822" spans="1:3">
      <c r="A29822" s="250">
        <v>69032</v>
      </c>
      <c r="B29822" s="74" t="s">
        <v>14880</v>
      </c>
      <c r="C29822" s="74" t="s">
        <v>438</v>
      </c>
    </row>
    <row r="29823" spans="1:3">
      <c r="A29823" s="250">
        <v>69033</v>
      </c>
      <c r="B29823" s="74" t="s">
        <v>4026</v>
      </c>
      <c r="C29823" s="74" t="s">
        <v>438</v>
      </c>
    </row>
    <row r="29824" spans="1:3">
      <c r="A29824" s="250">
        <v>69034</v>
      </c>
      <c r="B29824" s="74" t="s">
        <v>3988</v>
      </c>
      <c r="C29824" s="74" t="s">
        <v>438</v>
      </c>
    </row>
    <row r="29825" spans="1:3">
      <c r="A29825" s="250">
        <v>69036</v>
      </c>
      <c r="B29825" s="74" t="s">
        <v>1280</v>
      </c>
      <c r="C29825" s="74" t="s">
        <v>438</v>
      </c>
    </row>
    <row r="29826" spans="1:3">
      <c r="A29826" s="250">
        <v>69037</v>
      </c>
      <c r="B29826" s="74" t="s">
        <v>12758</v>
      </c>
      <c r="C29826" s="74" t="s">
        <v>438</v>
      </c>
    </row>
    <row r="29827" spans="1:3">
      <c r="A29827" s="250">
        <v>69038</v>
      </c>
      <c r="B29827" s="74" t="s">
        <v>2223</v>
      </c>
      <c r="C29827" s="74" t="s">
        <v>438</v>
      </c>
    </row>
    <row r="29828" spans="1:3">
      <c r="A29828" s="250">
        <v>69039</v>
      </c>
      <c r="B29828" s="74" t="s">
        <v>7042</v>
      </c>
      <c r="C29828" s="74" t="s">
        <v>438</v>
      </c>
    </row>
    <row r="29829" spans="1:3">
      <c r="A29829" s="250">
        <v>69040</v>
      </c>
      <c r="B29829" s="74" t="s">
        <v>12687</v>
      </c>
      <c r="C29829" s="74" t="s">
        <v>438</v>
      </c>
    </row>
    <row r="29830" spans="1:3">
      <c r="A29830" s="250">
        <v>69041</v>
      </c>
      <c r="B29830" s="74" t="s">
        <v>14881</v>
      </c>
      <c r="C29830" s="74" t="s">
        <v>438</v>
      </c>
    </row>
    <row r="29831" spans="1:3">
      <c r="A29831" s="250">
        <v>69042</v>
      </c>
      <c r="B29831" s="74" t="s">
        <v>14882</v>
      </c>
      <c r="C29831" s="74" t="s">
        <v>438</v>
      </c>
    </row>
    <row r="29832" spans="1:3">
      <c r="A29832" s="250">
        <v>69043</v>
      </c>
      <c r="B29832" s="74" t="s">
        <v>1721</v>
      </c>
      <c r="C29832" s="74" t="s">
        <v>438</v>
      </c>
    </row>
    <row r="29833" spans="1:3">
      <c r="A29833" s="250">
        <v>69044</v>
      </c>
      <c r="B29833" s="74" t="s">
        <v>2532</v>
      </c>
      <c r="C29833" s="74" t="s">
        <v>438</v>
      </c>
    </row>
    <row r="29834" spans="1:3">
      <c r="A29834" s="250">
        <v>69045</v>
      </c>
      <c r="B29834" s="74" t="s">
        <v>14883</v>
      </c>
      <c r="C29834" s="74" t="s">
        <v>438</v>
      </c>
    </row>
    <row r="29835" spans="1:3">
      <c r="A29835" s="250">
        <v>69046</v>
      </c>
      <c r="B29835" s="74" t="s">
        <v>8678</v>
      </c>
      <c r="C29835" s="74" t="s">
        <v>438</v>
      </c>
    </row>
    <row r="29836" spans="1:3">
      <c r="A29836" s="250">
        <v>69101</v>
      </c>
      <c r="B29836" s="74" t="s">
        <v>14884</v>
      </c>
      <c r="C29836" s="74" t="s">
        <v>438</v>
      </c>
    </row>
    <row r="29837" spans="1:3">
      <c r="A29837" s="250">
        <v>69103</v>
      </c>
      <c r="B29837" s="74" t="s">
        <v>14884</v>
      </c>
      <c r="C29837" s="74" t="s">
        <v>438</v>
      </c>
    </row>
    <row r="29838" spans="1:3">
      <c r="A29838" s="250">
        <v>69120</v>
      </c>
      <c r="B29838" s="74" t="s">
        <v>5652</v>
      </c>
      <c r="C29838" s="74" t="s">
        <v>438</v>
      </c>
    </row>
    <row r="29839" spans="1:3">
      <c r="A29839" s="250">
        <v>69121</v>
      </c>
      <c r="B29839" s="74" t="s">
        <v>9109</v>
      </c>
      <c r="C29839" s="74" t="s">
        <v>438</v>
      </c>
    </row>
    <row r="29840" spans="1:3">
      <c r="A29840" s="250">
        <v>69122</v>
      </c>
      <c r="B29840" s="74" t="s">
        <v>6867</v>
      </c>
      <c r="C29840" s="74" t="s">
        <v>438</v>
      </c>
    </row>
    <row r="29841" spans="1:3">
      <c r="A29841" s="250">
        <v>69123</v>
      </c>
      <c r="B29841" s="74" t="s">
        <v>13307</v>
      </c>
      <c r="C29841" s="74" t="s">
        <v>438</v>
      </c>
    </row>
    <row r="29842" spans="1:3">
      <c r="A29842" s="250">
        <v>69125</v>
      </c>
      <c r="B29842" s="74" t="s">
        <v>14885</v>
      </c>
      <c r="C29842" s="74" t="s">
        <v>438</v>
      </c>
    </row>
    <row r="29843" spans="1:3">
      <c r="A29843" s="250">
        <v>69127</v>
      </c>
      <c r="B29843" s="74" t="s">
        <v>12293</v>
      </c>
      <c r="C29843" s="74" t="s">
        <v>438</v>
      </c>
    </row>
    <row r="29844" spans="1:3">
      <c r="A29844" s="250">
        <v>69128</v>
      </c>
      <c r="B29844" s="74" t="s">
        <v>8459</v>
      </c>
      <c r="C29844" s="74" t="s">
        <v>438</v>
      </c>
    </row>
    <row r="29845" spans="1:3">
      <c r="A29845" s="250">
        <v>69129</v>
      </c>
      <c r="B29845" s="74" t="s">
        <v>9672</v>
      </c>
      <c r="C29845" s="74" t="s">
        <v>438</v>
      </c>
    </row>
    <row r="29846" spans="1:3">
      <c r="A29846" s="250">
        <v>69130</v>
      </c>
      <c r="B29846" s="74" t="s">
        <v>14886</v>
      </c>
      <c r="C29846" s="74" t="s">
        <v>438</v>
      </c>
    </row>
    <row r="29847" spans="1:3">
      <c r="A29847" s="250">
        <v>69131</v>
      </c>
      <c r="B29847" s="74" t="s">
        <v>643</v>
      </c>
      <c r="C29847" s="74" t="s">
        <v>438</v>
      </c>
    </row>
    <row r="29848" spans="1:3">
      <c r="A29848" s="250">
        <v>69132</v>
      </c>
      <c r="B29848" s="74" t="s">
        <v>11732</v>
      </c>
      <c r="C29848" s="74" t="s">
        <v>438</v>
      </c>
    </row>
    <row r="29849" spans="1:3">
      <c r="A29849" s="250">
        <v>69133</v>
      </c>
      <c r="B29849" s="74" t="s">
        <v>13981</v>
      </c>
      <c r="C29849" s="74" t="s">
        <v>438</v>
      </c>
    </row>
    <row r="29850" spans="1:3">
      <c r="A29850" s="250">
        <v>69134</v>
      </c>
      <c r="B29850" s="74" t="s">
        <v>11158</v>
      </c>
      <c r="C29850" s="74" t="s">
        <v>438</v>
      </c>
    </row>
    <row r="29851" spans="1:3">
      <c r="A29851" s="250">
        <v>69135</v>
      </c>
      <c r="B29851" s="74" t="s">
        <v>14887</v>
      </c>
      <c r="C29851" s="74" t="s">
        <v>438</v>
      </c>
    </row>
    <row r="29852" spans="1:3">
      <c r="A29852" s="250">
        <v>69138</v>
      </c>
      <c r="B29852" s="74" t="s">
        <v>14888</v>
      </c>
      <c r="C29852" s="74" t="s">
        <v>438</v>
      </c>
    </row>
    <row r="29853" spans="1:3">
      <c r="A29853" s="250">
        <v>69140</v>
      </c>
      <c r="B29853" s="74" t="s">
        <v>8402</v>
      </c>
      <c r="C29853" s="74" t="s">
        <v>438</v>
      </c>
    </row>
    <row r="29854" spans="1:3">
      <c r="A29854" s="250">
        <v>69141</v>
      </c>
      <c r="B29854" s="74" t="s">
        <v>8742</v>
      </c>
      <c r="C29854" s="74" t="s">
        <v>438</v>
      </c>
    </row>
    <row r="29855" spans="1:3">
      <c r="A29855" s="250">
        <v>69142</v>
      </c>
      <c r="B29855" s="74" t="s">
        <v>14889</v>
      </c>
      <c r="C29855" s="74" t="s">
        <v>438</v>
      </c>
    </row>
    <row r="29856" spans="1:3">
      <c r="A29856" s="250">
        <v>69143</v>
      </c>
      <c r="B29856" s="74" t="s">
        <v>4707</v>
      </c>
      <c r="C29856" s="74" t="s">
        <v>438</v>
      </c>
    </row>
    <row r="29857" spans="1:3">
      <c r="A29857" s="250">
        <v>69144</v>
      </c>
      <c r="B29857" s="74" t="s">
        <v>10737</v>
      </c>
      <c r="C29857" s="74" t="s">
        <v>438</v>
      </c>
    </row>
    <row r="29858" spans="1:3">
      <c r="A29858" s="250">
        <v>69145</v>
      </c>
      <c r="B29858" s="74" t="s">
        <v>6518</v>
      </c>
      <c r="C29858" s="74" t="s">
        <v>438</v>
      </c>
    </row>
    <row r="29859" spans="1:3">
      <c r="A29859" s="250">
        <v>69146</v>
      </c>
      <c r="B29859" s="74" t="s">
        <v>4716</v>
      </c>
      <c r="C29859" s="74" t="s">
        <v>438</v>
      </c>
    </row>
    <row r="29860" spans="1:3">
      <c r="A29860" s="250">
        <v>69147</v>
      </c>
      <c r="B29860" s="74" t="s">
        <v>14890</v>
      </c>
      <c r="C29860" s="74" t="s">
        <v>438</v>
      </c>
    </row>
    <row r="29861" spans="1:3">
      <c r="A29861" s="250">
        <v>69148</v>
      </c>
      <c r="B29861" s="74" t="s">
        <v>14891</v>
      </c>
      <c r="C29861" s="74" t="s">
        <v>438</v>
      </c>
    </row>
    <row r="29862" spans="1:3">
      <c r="A29862" s="250">
        <v>69149</v>
      </c>
      <c r="B29862" s="74" t="s">
        <v>12957</v>
      </c>
      <c r="C29862" s="74" t="s">
        <v>438</v>
      </c>
    </row>
    <row r="29863" spans="1:3">
      <c r="A29863" s="250">
        <v>69150</v>
      </c>
      <c r="B29863" s="74" t="s">
        <v>3563</v>
      </c>
      <c r="C29863" s="74" t="s">
        <v>438</v>
      </c>
    </row>
    <row r="29864" spans="1:3">
      <c r="A29864" s="250">
        <v>69151</v>
      </c>
      <c r="B29864" s="74" t="s">
        <v>10665</v>
      </c>
      <c r="C29864" s="74" t="s">
        <v>438</v>
      </c>
    </row>
    <row r="29865" spans="1:3">
      <c r="A29865" s="250">
        <v>69152</v>
      </c>
      <c r="B29865" s="74" t="s">
        <v>14892</v>
      </c>
      <c r="C29865" s="74" t="s">
        <v>438</v>
      </c>
    </row>
    <row r="29866" spans="1:3">
      <c r="A29866" s="250">
        <v>69153</v>
      </c>
      <c r="B29866" s="74" t="s">
        <v>14893</v>
      </c>
      <c r="C29866" s="74" t="s">
        <v>438</v>
      </c>
    </row>
    <row r="29867" spans="1:3">
      <c r="A29867" s="250">
        <v>69154</v>
      </c>
      <c r="B29867" s="74" t="s">
        <v>12325</v>
      </c>
      <c r="C29867" s="74" t="s">
        <v>438</v>
      </c>
    </row>
    <row r="29868" spans="1:3">
      <c r="A29868" s="250">
        <v>69155</v>
      </c>
      <c r="B29868" s="74" t="s">
        <v>777</v>
      </c>
      <c r="C29868" s="74" t="s">
        <v>438</v>
      </c>
    </row>
    <row r="29869" spans="1:3">
      <c r="A29869" s="250">
        <v>69156</v>
      </c>
      <c r="B29869" s="74" t="s">
        <v>12117</v>
      </c>
      <c r="C29869" s="74" t="s">
        <v>438</v>
      </c>
    </row>
    <row r="29870" spans="1:3">
      <c r="A29870" s="250">
        <v>69157</v>
      </c>
      <c r="B29870" s="74" t="s">
        <v>14894</v>
      </c>
      <c r="C29870" s="74" t="s">
        <v>438</v>
      </c>
    </row>
    <row r="29871" spans="1:3">
      <c r="A29871" s="250">
        <v>69160</v>
      </c>
      <c r="B29871" s="74" t="s">
        <v>3646</v>
      </c>
      <c r="C29871" s="74" t="s">
        <v>438</v>
      </c>
    </row>
    <row r="29872" spans="1:3">
      <c r="A29872" s="250">
        <v>69161</v>
      </c>
      <c r="B29872" s="74" t="s">
        <v>4492</v>
      </c>
      <c r="C29872" s="74" t="s">
        <v>438</v>
      </c>
    </row>
    <row r="29873" spans="1:3">
      <c r="A29873" s="250">
        <v>69162</v>
      </c>
      <c r="B29873" s="74" t="s">
        <v>3646</v>
      </c>
      <c r="C29873" s="74" t="s">
        <v>438</v>
      </c>
    </row>
    <row r="29874" spans="1:3">
      <c r="A29874" s="250">
        <v>69163</v>
      </c>
      <c r="B29874" s="74" t="s">
        <v>8059</v>
      </c>
      <c r="C29874" s="74" t="s">
        <v>438</v>
      </c>
    </row>
    <row r="29875" spans="1:3">
      <c r="A29875" s="250">
        <v>69165</v>
      </c>
      <c r="B29875" s="74" t="s">
        <v>6214</v>
      </c>
      <c r="C29875" s="74" t="s">
        <v>438</v>
      </c>
    </row>
    <row r="29876" spans="1:3">
      <c r="A29876" s="250">
        <v>69166</v>
      </c>
      <c r="B29876" s="74" t="s">
        <v>14895</v>
      </c>
      <c r="C29876" s="74" t="s">
        <v>438</v>
      </c>
    </row>
    <row r="29877" spans="1:3">
      <c r="A29877" s="250">
        <v>69167</v>
      </c>
      <c r="B29877" s="74" t="s">
        <v>7579</v>
      </c>
      <c r="C29877" s="74" t="s">
        <v>438</v>
      </c>
    </row>
    <row r="29878" spans="1:3">
      <c r="A29878" s="250">
        <v>69168</v>
      </c>
      <c r="B29878" s="74" t="s">
        <v>4526</v>
      </c>
      <c r="C29878" s="74" t="s">
        <v>438</v>
      </c>
    </row>
    <row r="29879" spans="1:3">
      <c r="A29879" s="250">
        <v>69169</v>
      </c>
      <c r="B29879" s="74" t="s">
        <v>6961</v>
      </c>
      <c r="C29879" s="74" t="s">
        <v>438</v>
      </c>
    </row>
    <row r="29880" spans="1:3">
      <c r="A29880" s="250">
        <v>69170</v>
      </c>
      <c r="B29880" s="74" t="s">
        <v>1052</v>
      </c>
      <c r="C29880" s="74" t="s">
        <v>438</v>
      </c>
    </row>
    <row r="29881" spans="1:3">
      <c r="A29881" s="250">
        <v>69171</v>
      </c>
      <c r="B29881" s="74" t="s">
        <v>14896</v>
      </c>
      <c r="C29881" s="74" t="s">
        <v>438</v>
      </c>
    </row>
    <row r="29882" spans="1:3">
      <c r="A29882" s="250">
        <v>69190</v>
      </c>
      <c r="B29882" s="74" t="s">
        <v>12325</v>
      </c>
      <c r="C29882" s="74" t="s">
        <v>438</v>
      </c>
    </row>
    <row r="29883" spans="1:3">
      <c r="A29883" s="250">
        <v>69201</v>
      </c>
      <c r="B29883" s="74" t="s">
        <v>14897</v>
      </c>
      <c r="C29883" s="74" t="s">
        <v>438</v>
      </c>
    </row>
    <row r="29884" spans="1:3">
      <c r="A29884" s="250">
        <v>69210</v>
      </c>
      <c r="B29884" s="74" t="s">
        <v>11836</v>
      </c>
      <c r="C29884" s="74" t="s">
        <v>438</v>
      </c>
    </row>
    <row r="29885" spans="1:3">
      <c r="A29885" s="250">
        <v>69211</v>
      </c>
      <c r="B29885" s="74" t="s">
        <v>14898</v>
      </c>
      <c r="C29885" s="74" t="s">
        <v>438</v>
      </c>
    </row>
    <row r="29886" spans="1:3">
      <c r="A29886" s="250">
        <v>69212</v>
      </c>
      <c r="B29886" s="74" t="s">
        <v>12780</v>
      </c>
      <c r="C29886" s="74" t="s">
        <v>438</v>
      </c>
    </row>
    <row r="29887" spans="1:3">
      <c r="A29887" s="250">
        <v>69214</v>
      </c>
      <c r="B29887" s="74" t="s">
        <v>2969</v>
      </c>
      <c r="C29887" s="74" t="s">
        <v>438</v>
      </c>
    </row>
    <row r="29888" spans="1:3">
      <c r="A29888" s="250">
        <v>69216</v>
      </c>
      <c r="B29888" s="74" t="s">
        <v>14899</v>
      </c>
      <c r="C29888" s="74" t="s">
        <v>438</v>
      </c>
    </row>
    <row r="29889" spans="1:3">
      <c r="A29889" s="250">
        <v>69217</v>
      </c>
      <c r="B29889" s="74" t="s">
        <v>14900</v>
      </c>
      <c r="C29889" s="74" t="s">
        <v>438</v>
      </c>
    </row>
    <row r="29890" spans="1:3">
      <c r="A29890" s="250">
        <v>69218</v>
      </c>
      <c r="B29890" s="74" t="s">
        <v>14901</v>
      </c>
      <c r="C29890" s="74" t="s">
        <v>438</v>
      </c>
    </row>
    <row r="29891" spans="1:3">
      <c r="A29891" s="250">
        <v>69219</v>
      </c>
      <c r="B29891" s="74" t="s">
        <v>14902</v>
      </c>
      <c r="C29891" s="74" t="s">
        <v>438</v>
      </c>
    </row>
    <row r="29892" spans="1:3">
      <c r="A29892" s="250">
        <v>69220</v>
      </c>
      <c r="B29892" s="74" t="s">
        <v>8157</v>
      </c>
      <c r="C29892" s="74" t="s">
        <v>438</v>
      </c>
    </row>
    <row r="29893" spans="1:3">
      <c r="A29893" s="250">
        <v>69221</v>
      </c>
      <c r="B29893" s="74" t="s">
        <v>12628</v>
      </c>
      <c r="C29893" s="74" t="s">
        <v>438</v>
      </c>
    </row>
    <row r="29894" spans="1:3">
      <c r="A29894" s="250">
        <v>69301</v>
      </c>
      <c r="B29894" s="74" t="s">
        <v>7424</v>
      </c>
      <c r="C29894" s="74" t="s">
        <v>438</v>
      </c>
    </row>
    <row r="29895" spans="1:3">
      <c r="A29895" s="250">
        <v>69331</v>
      </c>
      <c r="B29895" s="74" t="s">
        <v>12443</v>
      </c>
      <c r="C29895" s="74" t="s">
        <v>438</v>
      </c>
    </row>
    <row r="29896" spans="1:3">
      <c r="A29896" s="250">
        <v>69333</v>
      </c>
      <c r="B29896" s="74" t="s">
        <v>702</v>
      </c>
      <c r="C29896" s="74" t="s">
        <v>438</v>
      </c>
    </row>
    <row r="29897" spans="1:3">
      <c r="A29897" s="250">
        <v>69334</v>
      </c>
      <c r="B29897" s="74" t="s">
        <v>7016</v>
      </c>
      <c r="C29897" s="74" t="s">
        <v>438</v>
      </c>
    </row>
    <row r="29898" spans="1:3">
      <c r="A29898" s="250">
        <v>69335</v>
      </c>
      <c r="B29898" s="74" t="s">
        <v>1682</v>
      </c>
      <c r="C29898" s="74" t="s">
        <v>438</v>
      </c>
    </row>
    <row r="29899" spans="1:3">
      <c r="A29899" s="250">
        <v>69336</v>
      </c>
      <c r="B29899" s="74" t="s">
        <v>2077</v>
      </c>
      <c r="C29899" s="74" t="s">
        <v>438</v>
      </c>
    </row>
    <row r="29900" spans="1:3">
      <c r="A29900" s="250">
        <v>69337</v>
      </c>
      <c r="B29900" s="74" t="s">
        <v>14903</v>
      </c>
      <c r="C29900" s="74" t="s">
        <v>438</v>
      </c>
    </row>
    <row r="29901" spans="1:3">
      <c r="A29901" s="250">
        <v>69339</v>
      </c>
      <c r="B29901" s="74" t="s">
        <v>6935</v>
      </c>
      <c r="C29901" s="74" t="s">
        <v>438</v>
      </c>
    </row>
    <row r="29902" spans="1:3">
      <c r="A29902" s="250">
        <v>69340</v>
      </c>
      <c r="B29902" s="74" t="s">
        <v>1563</v>
      </c>
      <c r="C29902" s="74" t="s">
        <v>438</v>
      </c>
    </row>
    <row r="29903" spans="1:3">
      <c r="A29903" s="250">
        <v>69341</v>
      </c>
      <c r="B29903" s="74" t="s">
        <v>14904</v>
      </c>
      <c r="C29903" s="74" t="s">
        <v>438</v>
      </c>
    </row>
    <row r="29904" spans="1:3">
      <c r="A29904" s="250">
        <v>69343</v>
      </c>
      <c r="B29904" s="74" t="s">
        <v>4995</v>
      </c>
      <c r="C29904" s="74" t="s">
        <v>438</v>
      </c>
    </row>
    <row r="29905" spans="1:3">
      <c r="A29905" s="250">
        <v>69345</v>
      </c>
      <c r="B29905" s="74" t="s">
        <v>4757</v>
      </c>
      <c r="C29905" s="74" t="s">
        <v>438</v>
      </c>
    </row>
    <row r="29906" spans="1:3">
      <c r="A29906" s="250">
        <v>69346</v>
      </c>
      <c r="B29906" s="74" t="s">
        <v>1386</v>
      </c>
      <c r="C29906" s="74" t="s">
        <v>438</v>
      </c>
    </row>
    <row r="29907" spans="1:3">
      <c r="A29907" s="250">
        <v>69347</v>
      </c>
      <c r="B29907" s="74" t="s">
        <v>14905</v>
      </c>
      <c r="C29907" s="74" t="s">
        <v>438</v>
      </c>
    </row>
    <row r="29908" spans="1:3">
      <c r="A29908" s="250">
        <v>69348</v>
      </c>
      <c r="B29908" s="74" t="s">
        <v>14906</v>
      </c>
      <c r="C29908" s="74" t="s">
        <v>438</v>
      </c>
    </row>
    <row r="29909" spans="1:3">
      <c r="A29909" s="250">
        <v>69350</v>
      </c>
      <c r="B29909" s="74" t="s">
        <v>1021</v>
      </c>
      <c r="C29909" s="74" t="s">
        <v>438</v>
      </c>
    </row>
    <row r="29910" spans="1:3">
      <c r="A29910" s="250">
        <v>69351</v>
      </c>
      <c r="B29910" s="74" t="s">
        <v>2085</v>
      </c>
      <c r="C29910" s="74" t="s">
        <v>438</v>
      </c>
    </row>
    <row r="29911" spans="1:3">
      <c r="A29911" s="250">
        <v>69352</v>
      </c>
      <c r="B29911" s="74" t="s">
        <v>7680</v>
      </c>
      <c r="C29911" s="74" t="s">
        <v>438</v>
      </c>
    </row>
    <row r="29912" spans="1:3">
      <c r="A29912" s="250">
        <v>69353</v>
      </c>
      <c r="B29912" s="74" t="s">
        <v>14907</v>
      </c>
      <c r="C29912" s="74" t="s">
        <v>438</v>
      </c>
    </row>
    <row r="29913" spans="1:3">
      <c r="A29913" s="250">
        <v>69354</v>
      </c>
      <c r="B29913" s="74" t="s">
        <v>14908</v>
      </c>
      <c r="C29913" s="74" t="s">
        <v>438</v>
      </c>
    </row>
    <row r="29914" spans="1:3">
      <c r="A29914" s="250">
        <v>69355</v>
      </c>
      <c r="B29914" s="74" t="s">
        <v>14909</v>
      </c>
      <c r="C29914" s="74" t="s">
        <v>438</v>
      </c>
    </row>
    <row r="29915" spans="1:3">
      <c r="A29915" s="250">
        <v>69356</v>
      </c>
      <c r="B29915" s="74" t="s">
        <v>14910</v>
      </c>
      <c r="C29915" s="74" t="s">
        <v>438</v>
      </c>
    </row>
    <row r="29916" spans="1:3">
      <c r="A29916" s="250">
        <v>69357</v>
      </c>
      <c r="B29916" s="74" t="s">
        <v>8057</v>
      </c>
      <c r="C29916" s="74" t="s">
        <v>438</v>
      </c>
    </row>
    <row r="29917" spans="1:3">
      <c r="A29917" s="250">
        <v>69358</v>
      </c>
      <c r="B29917" s="74" t="s">
        <v>1702</v>
      </c>
      <c r="C29917" s="74" t="s">
        <v>438</v>
      </c>
    </row>
    <row r="29918" spans="1:3">
      <c r="A29918" s="250">
        <v>69360</v>
      </c>
      <c r="B29918" s="74" t="s">
        <v>3817</v>
      </c>
      <c r="C29918" s="74" t="s">
        <v>438</v>
      </c>
    </row>
    <row r="29919" spans="1:3">
      <c r="A29919" s="250">
        <v>69361</v>
      </c>
      <c r="B29919" s="74" t="s">
        <v>14911</v>
      </c>
      <c r="C29919" s="74" t="s">
        <v>438</v>
      </c>
    </row>
    <row r="29920" spans="1:3">
      <c r="A29920" s="250">
        <v>69363</v>
      </c>
      <c r="B29920" s="74" t="s">
        <v>14911</v>
      </c>
      <c r="C29920" s="74" t="s">
        <v>438</v>
      </c>
    </row>
    <row r="29921" spans="1:3">
      <c r="A29921" s="250">
        <v>69365</v>
      </c>
      <c r="B29921" s="74" t="s">
        <v>14912</v>
      </c>
      <c r="C29921" s="74" t="s">
        <v>438</v>
      </c>
    </row>
    <row r="29922" spans="1:3">
      <c r="A29922" s="250">
        <v>69366</v>
      </c>
      <c r="B29922" s="74" t="s">
        <v>965</v>
      </c>
      <c r="C29922" s="74" t="s">
        <v>438</v>
      </c>
    </row>
    <row r="29923" spans="1:3">
      <c r="A29923" s="250">
        <v>69367</v>
      </c>
      <c r="B29923" s="74" t="s">
        <v>4251</v>
      </c>
      <c r="C29923" s="74" t="s">
        <v>438</v>
      </c>
    </row>
    <row r="29924" spans="1:3">
      <c r="A29924" s="250">
        <v>70001</v>
      </c>
      <c r="B29924" s="74" t="s">
        <v>14913</v>
      </c>
      <c r="C29924" s="74" t="s">
        <v>429</v>
      </c>
    </row>
    <row r="29925" spans="1:3">
      <c r="A29925" s="250">
        <v>70002</v>
      </c>
      <c r="B29925" s="74" t="s">
        <v>14913</v>
      </c>
      <c r="C29925" s="74" t="s">
        <v>429</v>
      </c>
    </row>
    <row r="29926" spans="1:3">
      <c r="A29926" s="250">
        <v>70003</v>
      </c>
      <c r="B29926" s="74" t="s">
        <v>14913</v>
      </c>
      <c r="C29926" s="74" t="s">
        <v>429</v>
      </c>
    </row>
    <row r="29927" spans="1:3">
      <c r="A29927" s="250">
        <v>70004</v>
      </c>
      <c r="B29927" s="74" t="s">
        <v>14913</v>
      </c>
      <c r="C29927" s="74" t="s">
        <v>429</v>
      </c>
    </row>
    <row r="29928" spans="1:3">
      <c r="A29928" s="250">
        <v>70005</v>
      </c>
      <c r="B29928" s="74" t="s">
        <v>14913</v>
      </c>
      <c r="C29928" s="74" t="s">
        <v>429</v>
      </c>
    </row>
    <row r="29929" spans="1:3">
      <c r="A29929" s="250">
        <v>70006</v>
      </c>
      <c r="B29929" s="74" t="s">
        <v>14913</v>
      </c>
      <c r="C29929" s="74" t="s">
        <v>429</v>
      </c>
    </row>
    <row r="29930" spans="1:3">
      <c r="A29930" s="250">
        <v>70009</v>
      </c>
      <c r="B29930" s="74" t="s">
        <v>14913</v>
      </c>
      <c r="C29930" s="74" t="s">
        <v>429</v>
      </c>
    </row>
    <row r="29931" spans="1:3">
      <c r="A29931" s="250">
        <v>70010</v>
      </c>
      <c r="B29931" s="74" t="s">
        <v>14913</v>
      </c>
      <c r="C29931" s="74" t="s">
        <v>429</v>
      </c>
    </row>
    <row r="29932" spans="1:3">
      <c r="A29932" s="250">
        <v>70011</v>
      </c>
      <c r="B29932" s="74" t="s">
        <v>14913</v>
      </c>
      <c r="C29932" s="74" t="s">
        <v>429</v>
      </c>
    </row>
    <row r="29933" spans="1:3">
      <c r="A29933" s="250">
        <v>70030</v>
      </c>
      <c r="B29933" s="74" t="s">
        <v>14914</v>
      </c>
      <c r="C29933" s="74" t="s">
        <v>429</v>
      </c>
    </row>
    <row r="29934" spans="1:3">
      <c r="A29934" s="250">
        <v>70031</v>
      </c>
      <c r="B29934" s="74" t="s">
        <v>14915</v>
      </c>
      <c r="C29934" s="74" t="s">
        <v>429</v>
      </c>
    </row>
    <row r="29935" spans="1:3">
      <c r="A29935" s="250">
        <v>70032</v>
      </c>
      <c r="B29935" s="74" t="s">
        <v>8163</v>
      </c>
      <c r="C29935" s="74" t="s">
        <v>429</v>
      </c>
    </row>
    <row r="29936" spans="1:3">
      <c r="A29936" s="250">
        <v>70033</v>
      </c>
      <c r="B29936" s="74" t="s">
        <v>14913</v>
      </c>
      <c r="C29936" s="74" t="s">
        <v>429</v>
      </c>
    </row>
    <row r="29937" spans="1:3">
      <c r="A29937" s="250">
        <v>70036</v>
      </c>
      <c r="B29937" s="74" t="s">
        <v>14916</v>
      </c>
      <c r="C29937" s="74" t="s">
        <v>429</v>
      </c>
    </row>
    <row r="29938" spans="1:3">
      <c r="A29938" s="250">
        <v>70037</v>
      </c>
      <c r="B29938" s="74" t="s">
        <v>14917</v>
      </c>
      <c r="C29938" s="74" t="s">
        <v>429</v>
      </c>
    </row>
    <row r="29939" spans="1:3">
      <c r="A29939" s="250">
        <v>70038</v>
      </c>
      <c r="B29939" s="74" t="s">
        <v>14918</v>
      </c>
      <c r="C29939" s="74" t="s">
        <v>429</v>
      </c>
    </row>
    <row r="29940" spans="1:3">
      <c r="A29940" s="250">
        <v>70039</v>
      </c>
      <c r="B29940" s="74" t="s">
        <v>14919</v>
      </c>
      <c r="C29940" s="74" t="s">
        <v>429</v>
      </c>
    </row>
    <row r="29941" spans="1:3">
      <c r="A29941" s="250">
        <v>70040</v>
      </c>
      <c r="B29941" s="74" t="s">
        <v>14920</v>
      </c>
      <c r="C29941" s="74" t="s">
        <v>429</v>
      </c>
    </row>
    <row r="29942" spans="1:3">
      <c r="A29942" s="250">
        <v>70041</v>
      </c>
      <c r="B29942" s="74" t="s">
        <v>14921</v>
      </c>
      <c r="C29942" s="74" t="s">
        <v>429</v>
      </c>
    </row>
    <row r="29943" spans="1:3">
      <c r="A29943" s="250">
        <v>70043</v>
      </c>
      <c r="B29943" s="74" t="s">
        <v>14922</v>
      </c>
      <c r="C29943" s="74" t="s">
        <v>429</v>
      </c>
    </row>
    <row r="29944" spans="1:3">
      <c r="A29944" s="250">
        <v>70044</v>
      </c>
      <c r="B29944" s="74" t="s">
        <v>14922</v>
      </c>
      <c r="C29944" s="74" t="s">
        <v>429</v>
      </c>
    </row>
    <row r="29945" spans="1:3">
      <c r="A29945" s="250">
        <v>70047</v>
      </c>
      <c r="B29945" s="74" t="s">
        <v>14923</v>
      </c>
      <c r="C29945" s="74" t="s">
        <v>429</v>
      </c>
    </row>
    <row r="29946" spans="1:3">
      <c r="A29946" s="250">
        <v>70049</v>
      </c>
      <c r="B29946" s="74" t="s">
        <v>14924</v>
      </c>
      <c r="C29946" s="74" t="s">
        <v>429</v>
      </c>
    </row>
    <row r="29947" spans="1:3">
      <c r="A29947" s="250">
        <v>70050</v>
      </c>
      <c r="B29947" s="74" t="s">
        <v>8639</v>
      </c>
      <c r="C29947" s="74" t="s">
        <v>429</v>
      </c>
    </row>
    <row r="29948" spans="1:3">
      <c r="A29948" s="250">
        <v>70051</v>
      </c>
      <c r="B29948" s="74" t="s">
        <v>14925</v>
      </c>
      <c r="C29948" s="74" t="s">
        <v>429</v>
      </c>
    </row>
    <row r="29949" spans="1:3">
      <c r="A29949" s="250">
        <v>70052</v>
      </c>
      <c r="B29949" s="74" t="s">
        <v>14926</v>
      </c>
      <c r="C29949" s="74" t="s">
        <v>429</v>
      </c>
    </row>
    <row r="29950" spans="1:3">
      <c r="A29950" s="250">
        <v>70053</v>
      </c>
      <c r="B29950" s="74" t="s">
        <v>6429</v>
      </c>
      <c r="C29950" s="74" t="s">
        <v>429</v>
      </c>
    </row>
    <row r="29951" spans="1:3">
      <c r="A29951" s="250">
        <v>70054</v>
      </c>
      <c r="B29951" s="74" t="s">
        <v>6429</v>
      </c>
      <c r="C29951" s="74" t="s">
        <v>429</v>
      </c>
    </row>
    <row r="29952" spans="1:3">
      <c r="A29952" s="250">
        <v>70055</v>
      </c>
      <c r="B29952" s="74" t="s">
        <v>14913</v>
      </c>
      <c r="C29952" s="74" t="s">
        <v>429</v>
      </c>
    </row>
    <row r="29953" spans="1:3">
      <c r="A29953" s="250">
        <v>70056</v>
      </c>
      <c r="B29953" s="74" t="s">
        <v>6429</v>
      </c>
      <c r="C29953" s="74" t="s">
        <v>429</v>
      </c>
    </row>
    <row r="29954" spans="1:3">
      <c r="A29954" s="250">
        <v>70057</v>
      </c>
      <c r="B29954" s="74" t="s">
        <v>14927</v>
      </c>
      <c r="C29954" s="74" t="s">
        <v>429</v>
      </c>
    </row>
    <row r="29955" spans="1:3">
      <c r="A29955" s="250">
        <v>70058</v>
      </c>
      <c r="B29955" s="74" t="s">
        <v>11511</v>
      </c>
      <c r="C29955" s="74" t="s">
        <v>429</v>
      </c>
    </row>
    <row r="29956" spans="1:3">
      <c r="A29956" s="250">
        <v>70059</v>
      </c>
      <c r="B29956" s="74" t="s">
        <v>11511</v>
      </c>
      <c r="C29956" s="74" t="s">
        <v>429</v>
      </c>
    </row>
    <row r="29957" spans="1:3">
      <c r="A29957" s="250">
        <v>70060</v>
      </c>
      <c r="B29957" s="74" t="s">
        <v>14913</v>
      </c>
      <c r="C29957" s="74" t="s">
        <v>429</v>
      </c>
    </row>
    <row r="29958" spans="1:3">
      <c r="A29958" s="250">
        <v>70062</v>
      </c>
      <c r="B29958" s="74" t="s">
        <v>14928</v>
      </c>
      <c r="C29958" s="74" t="s">
        <v>429</v>
      </c>
    </row>
    <row r="29959" spans="1:3">
      <c r="A29959" s="250">
        <v>70063</v>
      </c>
      <c r="B29959" s="74" t="s">
        <v>14928</v>
      </c>
      <c r="C29959" s="74" t="s">
        <v>429</v>
      </c>
    </row>
    <row r="29960" spans="1:3">
      <c r="A29960" s="250">
        <v>70064</v>
      </c>
      <c r="B29960" s="74" t="s">
        <v>14928</v>
      </c>
      <c r="C29960" s="74" t="s">
        <v>429</v>
      </c>
    </row>
    <row r="29961" spans="1:3">
      <c r="A29961" s="250">
        <v>70065</v>
      </c>
      <c r="B29961" s="74" t="s">
        <v>14928</v>
      </c>
      <c r="C29961" s="74" t="s">
        <v>429</v>
      </c>
    </row>
    <row r="29962" spans="1:3">
      <c r="A29962" s="250">
        <v>70067</v>
      </c>
      <c r="B29962" s="74" t="s">
        <v>14929</v>
      </c>
      <c r="C29962" s="74" t="s">
        <v>429</v>
      </c>
    </row>
    <row r="29963" spans="1:3">
      <c r="A29963" s="250">
        <v>70068</v>
      </c>
      <c r="B29963" s="74" t="s">
        <v>13791</v>
      </c>
      <c r="C29963" s="74" t="s">
        <v>429</v>
      </c>
    </row>
    <row r="29964" spans="1:3">
      <c r="A29964" s="250">
        <v>70069</v>
      </c>
      <c r="B29964" s="74" t="s">
        <v>13791</v>
      </c>
      <c r="C29964" s="74" t="s">
        <v>429</v>
      </c>
    </row>
    <row r="29965" spans="1:3">
      <c r="A29965" s="250">
        <v>70070</v>
      </c>
      <c r="B29965" s="74" t="s">
        <v>14930</v>
      </c>
      <c r="C29965" s="74" t="s">
        <v>429</v>
      </c>
    </row>
    <row r="29966" spans="1:3">
      <c r="A29966" s="250">
        <v>70071</v>
      </c>
      <c r="B29966" s="74" t="s">
        <v>14931</v>
      </c>
      <c r="C29966" s="74" t="s">
        <v>429</v>
      </c>
    </row>
    <row r="29967" spans="1:3">
      <c r="A29967" s="250">
        <v>70072</v>
      </c>
      <c r="B29967" s="74" t="s">
        <v>14932</v>
      </c>
      <c r="C29967" s="74" t="s">
        <v>429</v>
      </c>
    </row>
    <row r="29968" spans="1:3">
      <c r="A29968" s="250">
        <v>70073</v>
      </c>
      <c r="B29968" s="74" t="s">
        <v>14932</v>
      </c>
      <c r="C29968" s="74" t="s">
        <v>429</v>
      </c>
    </row>
    <row r="29969" spans="1:3">
      <c r="A29969" s="250">
        <v>70075</v>
      </c>
      <c r="B29969" s="74" t="s">
        <v>14933</v>
      </c>
      <c r="C29969" s="74" t="s">
        <v>429</v>
      </c>
    </row>
    <row r="29970" spans="1:3">
      <c r="A29970" s="250">
        <v>70076</v>
      </c>
      <c r="B29970" s="74" t="s">
        <v>5810</v>
      </c>
      <c r="C29970" s="74" t="s">
        <v>429</v>
      </c>
    </row>
    <row r="29971" spans="1:3">
      <c r="A29971" s="250">
        <v>70078</v>
      </c>
      <c r="B29971" s="74" t="s">
        <v>14934</v>
      </c>
      <c r="C29971" s="74" t="s">
        <v>429</v>
      </c>
    </row>
    <row r="29972" spans="1:3">
      <c r="A29972" s="250">
        <v>70079</v>
      </c>
      <c r="B29972" s="74" t="s">
        <v>14935</v>
      </c>
      <c r="C29972" s="74" t="s">
        <v>429</v>
      </c>
    </row>
    <row r="29973" spans="1:3">
      <c r="A29973" s="250">
        <v>70080</v>
      </c>
      <c r="B29973" s="74" t="s">
        <v>14936</v>
      </c>
      <c r="C29973" s="74" t="s">
        <v>429</v>
      </c>
    </row>
    <row r="29974" spans="1:3">
      <c r="A29974" s="250">
        <v>70081</v>
      </c>
      <c r="B29974" s="74" t="s">
        <v>14937</v>
      </c>
      <c r="C29974" s="74" t="s">
        <v>429</v>
      </c>
    </row>
    <row r="29975" spans="1:3">
      <c r="A29975" s="250">
        <v>70082</v>
      </c>
      <c r="B29975" s="74" t="s">
        <v>14938</v>
      </c>
      <c r="C29975" s="74" t="s">
        <v>429</v>
      </c>
    </row>
    <row r="29976" spans="1:3">
      <c r="A29976" s="250">
        <v>70083</v>
      </c>
      <c r="B29976" s="74" t="s">
        <v>14939</v>
      </c>
      <c r="C29976" s="74" t="s">
        <v>429</v>
      </c>
    </row>
    <row r="29977" spans="1:3">
      <c r="A29977" s="250">
        <v>70084</v>
      </c>
      <c r="B29977" s="74" t="s">
        <v>13277</v>
      </c>
      <c r="C29977" s="74" t="s">
        <v>429</v>
      </c>
    </row>
    <row r="29978" spans="1:3">
      <c r="A29978" s="250">
        <v>70085</v>
      </c>
      <c r="B29978" s="74" t="s">
        <v>14940</v>
      </c>
      <c r="C29978" s="74" t="s">
        <v>429</v>
      </c>
    </row>
    <row r="29979" spans="1:3">
      <c r="A29979" s="250">
        <v>70086</v>
      </c>
      <c r="B29979" s="74" t="s">
        <v>2853</v>
      </c>
      <c r="C29979" s="74" t="s">
        <v>429</v>
      </c>
    </row>
    <row r="29980" spans="1:3">
      <c r="A29980" s="250">
        <v>70087</v>
      </c>
      <c r="B29980" s="74" t="s">
        <v>14941</v>
      </c>
      <c r="C29980" s="74" t="s">
        <v>429</v>
      </c>
    </row>
    <row r="29981" spans="1:3">
      <c r="A29981" s="250">
        <v>70090</v>
      </c>
      <c r="B29981" s="74" t="s">
        <v>14942</v>
      </c>
      <c r="C29981" s="74" t="s">
        <v>429</v>
      </c>
    </row>
    <row r="29982" spans="1:3">
      <c r="A29982" s="250">
        <v>70091</v>
      </c>
      <c r="B29982" s="74" t="s">
        <v>8562</v>
      </c>
      <c r="C29982" s="74" t="s">
        <v>429</v>
      </c>
    </row>
    <row r="29983" spans="1:3">
      <c r="A29983" s="250">
        <v>70092</v>
      </c>
      <c r="B29983" s="74" t="s">
        <v>14943</v>
      </c>
      <c r="C29983" s="74" t="s">
        <v>429</v>
      </c>
    </row>
    <row r="29984" spans="1:3">
      <c r="A29984" s="250">
        <v>70093</v>
      </c>
      <c r="B29984" s="74" t="s">
        <v>14917</v>
      </c>
      <c r="C29984" s="74" t="s">
        <v>429</v>
      </c>
    </row>
    <row r="29985" spans="1:3">
      <c r="A29985" s="250">
        <v>70094</v>
      </c>
      <c r="B29985" s="74" t="s">
        <v>14944</v>
      </c>
      <c r="C29985" s="74" t="s">
        <v>429</v>
      </c>
    </row>
    <row r="29986" spans="1:3">
      <c r="A29986" s="250">
        <v>70096</v>
      </c>
      <c r="B29986" s="74" t="s">
        <v>14944</v>
      </c>
      <c r="C29986" s="74" t="s">
        <v>429</v>
      </c>
    </row>
    <row r="29987" spans="1:3">
      <c r="A29987" s="250">
        <v>70097</v>
      </c>
      <c r="B29987" s="74" t="s">
        <v>14928</v>
      </c>
      <c r="C29987" s="74" t="s">
        <v>429</v>
      </c>
    </row>
    <row r="29988" spans="1:3">
      <c r="A29988" s="250">
        <v>70112</v>
      </c>
      <c r="B29988" s="74" t="s">
        <v>14945</v>
      </c>
      <c r="C29988" s="74" t="s">
        <v>429</v>
      </c>
    </row>
    <row r="29989" spans="1:3">
      <c r="A29989" s="250">
        <v>70113</v>
      </c>
      <c r="B29989" s="74" t="s">
        <v>14945</v>
      </c>
      <c r="C29989" s="74" t="s">
        <v>429</v>
      </c>
    </row>
    <row r="29990" spans="1:3">
      <c r="A29990" s="250">
        <v>70114</v>
      </c>
      <c r="B29990" s="74" t="s">
        <v>14945</v>
      </c>
      <c r="C29990" s="74" t="s">
        <v>429</v>
      </c>
    </row>
    <row r="29991" spans="1:3">
      <c r="A29991" s="250">
        <v>70115</v>
      </c>
      <c r="B29991" s="74" t="s">
        <v>14945</v>
      </c>
      <c r="C29991" s="74" t="s">
        <v>429</v>
      </c>
    </row>
    <row r="29992" spans="1:3">
      <c r="A29992" s="250">
        <v>70116</v>
      </c>
      <c r="B29992" s="74" t="s">
        <v>14945</v>
      </c>
      <c r="C29992" s="74" t="s">
        <v>429</v>
      </c>
    </row>
    <row r="29993" spans="1:3">
      <c r="A29993" s="250">
        <v>70117</v>
      </c>
      <c r="B29993" s="74" t="s">
        <v>14945</v>
      </c>
      <c r="C29993" s="74" t="s">
        <v>429</v>
      </c>
    </row>
    <row r="29994" spans="1:3">
      <c r="A29994" s="250">
        <v>70118</v>
      </c>
      <c r="B29994" s="74" t="s">
        <v>14945</v>
      </c>
      <c r="C29994" s="74" t="s">
        <v>429</v>
      </c>
    </row>
    <row r="29995" spans="1:3">
      <c r="A29995" s="250">
        <v>70119</v>
      </c>
      <c r="B29995" s="74" t="s">
        <v>14945</v>
      </c>
      <c r="C29995" s="74" t="s">
        <v>429</v>
      </c>
    </row>
    <row r="29996" spans="1:3">
      <c r="A29996" s="250">
        <v>70121</v>
      </c>
      <c r="B29996" s="74" t="s">
        <v>14945</v>
      </c>
      <c r="C29996" s="74" t="s">
        <v>429</v>
      </c>
    </row>
    <row r="29997" spans="1:3">
      <c r="A29997" s="250">
        <v>70122</v>
      </c>
      <c r="B29997" s="74" t="s">
        <v>14945</v>
      </c>
      <c r="C29997" s="74" t="s">
        <v>429</v>
      </c>
    </row>
    <row r="29998" spans="1:3">
      <c r="A29998" s="250">
        <v>70123</v>
      </c>
      <c r="B29998" s="74" t="s">
        <v>14945</v>
      </c>
      <c r="C29998" s="74" t="s">
        <v>429</v>
      </c>
    </row>
    <row r="29999" spans="1:3">
      <c r="A29999" s="250">
        <v>70124</v>
      </c>
      <c r="B29999" s="74" t="s">
        <v>14945</v>
      </c>
      <c r="C29999" s="74" t="s">
        <v>429</v>
      </c>
    </row>
    <row r="30000" spans="1:3">
      <c r="A30000" s="250">
        <v>70125</v>
      </c>
      <c r="B30000" s="74" t="s">
        <v>14945</v>
      </c>
      <c r="C30000" s="74" t="s">
        <v>429</v>
      </c>
    </row>
    <row r="30001" spans="1:3">
      <c r="A30001" s="250">
        <v>70126</v>
      </c>
      <c r="B30001" s="74" t="s">
        <v>14945</v>
      </c>
      <c r="C30001" s="74" t="s">
        <v>429</v>
      </c>
    </row>
    <row r="30002" spans="1:3">
      <c r="A30002" s="250">
        <v>70127</v>
      </c>
      <c r="B30002" s="74" t="s">
        <v>14945</v>
      </c>
      <c r="C30002" s="74" t="s">
        <v>429</v>
      </c>
    </row>
    <row r="30003" spans="1:3">
      <c r="A30003" s="250">
        <v>70128</v>
      </c>
      <c r="B30003" s="74" t="s">
        <v>14945</v>
      </c>
      <c r="C30003" s="74" t="s">
        <v>429</v>
      </c>
    </row>
    <row r="30004" spans="1:3">
      <c r="A30004" s="250">
        <v>70129</v>
      </c>
      <c r="B30004" s="74" t="s">
        <v>14945</v>
      </c>
      <c r="C30004" s="74" t="s">
        <v>429</v>
      </c>
    </row>
    <row r="30005" spans="1:3">
      <c r="A30005" s="250">
        <v>70130</v>
      </c>
      <c r="B30005" s="74" t="s">
        <v>14945</v>
      </c>
      <c r="C30005" s="74" t="s">
        <v>429</v>
      </c>
    </row>
    <row r="30006" spans="1:3">
      <c r="A30006" s="250">
        <v>70131</v>
      </c>
      <c r="B30006" s="74" t="s">
        <v>14945</v>
      </c>
      <c r="C30006" s="74" t="s">
        <v>429</v>
      </c>
    </row>
    <row r="30007" spans="1:3">
      <c r="A30007" s="250">
        <v>70139</v>
      </c>
      <c r="B30007" s="74" t="s">
        <v>14945</v>
      </c>
      <c r="C30007" s="74" t="s">
        <v>429</v>
      </c>
    </row>
    <row r="30008" spans="1:3">
      <c r="A30008" s="250">
        <v>70140</v>
      </c>
      <c r="B30008" s="74" t="s">
        <v>14945</v>
      </c>
      <c r="C30008" s="74" t="s">
        <v>429</v>
      </c>
    </row>
    <row r="30009" spans="1:3">
      <c r="A30009" s="250">
        <v>70141</v>
      </c>
      <c r="B30009" s="74" t="s">
        <v>14945</v>
      </c>
      <c r="C30009" s="74" t="s">
        <v>429</v>
      </c>
    </row>
    <row r="30010" spans="1:3">
      <c r="A30010" s="250">
        <v>70142</v>
      </c>
      <c r="B30010" s="74" t="s">
        <v>14945</v>
      </c>
      <c r="C30010" s="74" t="s">
        <v>429</v>
      </c>
    </row>
    <row r="30011" spans="1:3">
      <c r="A30011" s="250">
        <v>70143</v>
      </c>
      <c r="B30011" s="74" t="s">
        <v>14945</v>
      </c>
      <c r="C30011" s="74" t="s">
        <v>429</v>
      </c>
    </row>
    <row r="30012" spans="1:3">
      <c r="A30012" s="250">
        <v>70145</v>
      </c>
      <c r="B30012" s="74" t="s">
        <v>14945</v>
      </c>
      <c r="C30012" s="74" t="s">
        <v>429</v>
      </c>
    </row>
    <row r="30013" spans="1:3">
      <c r="A30013" s="250">
        <v>70146</v>
      </c>
      <c r="B30013" s="74" t="s">
        <v>14945</v>
      </c>
      <c r="C30013" s="74" t="s">
        <v>429</v>
      </c>
    </row>
    <row r="30014" spans="1:3">
      <c r="A30014" s="250">
        <v>70148</v>
      </c>
      <c r="B30014" s="74" t="s">
        <v>14945</v>
      </c>
      <c r="C30014" s="74" t="s">
        <v>429</v>
      </c>
    </row>
    <row r="30015" spans="1:3">
      <c r="A30015" s="250">
        <v>70149</v>
      </c>
      <c r="B30015" s="74" t="s">
        <v>14945</v>
      </c>
      <c r="C30015" s="74" t="s">
        <v>429</v>
      </c>
    </row>
    <row r="30016" spans="1:3">
      <c r="A30016" s="250">
        <v>70150</v>
      </c>
      <c r="B30016" s="74" t="s">
        <v>14945</v>
      </c>
      <c r="C30016" s="74" t="s">
        <v>429</v>
      </c>
    </row>
    <row r="30017" spans="1:3">
      <c r="A30017" s="250">
        <v>70151</v>
      </c>
      <c r="B30017" s="74" t="s">
        <v>14945</v>
      </c>
      <c r="C30017" s="74" t="s">
        <v>429</v>
      </c>
    </row>
    <row r="30018" spans="1:3">
      <c r="A30018" s="250">
        <v>70152</v>
      </c>
      <c r="B30018" s="74" t="s">
        <v>14945</v>
      </c>
      <c r="C30018" s="74" t="s">
        <v>429</v>
      </c>
    </row>
    <row r="30019" spans="1:3">
      <c r="A30019" s="250">
        <v>70153</v>
      </c>
      <c r="B30019" s="74" t="s">
        <v>14945</v>
      </c>
      <c r="C30019" s="74" t="s">
        <v>429</v>
      </c>
    </row>
    <row r="30020" spans="1:3">
      <c r="A30020" s="250">
        <v>70154</v>
      </c>
      <c r="B30020" s="74" t="s">
        <v>14945</v>
      </c>
      <c r="C30020" s="74" t="s">
        <v>429</v>
      </c>
    </row>
    <row r="30021" spans="1:3">
      <c r="A30021" s="250">
        <v>70156</v>
      </c>
      <c r="B30021" s="74" t="s">
        <v>14945</v>
      </c>
      <c r="C30021" s="74" t="s">
        <v>429</v>
      </c>
    </row>
    <row r="30022" spans="1:3">
      <c r="A30022" s="250">
        <v>70157</v>
      </c>
      <c r="B30022" s="74" t="s">
        <v>14945</v>
      </c>
      <c r="C30022" s="74" t="s">
        <v>429</v>
      </c>
    </row>
    <row r="30023" spans="1:3">
      <c r="A30023" s="250">
        <v>70158</v>
      </c>
      <c r="B30023" s="74" t="s">
        <v>14945</v>
      </c>
      <c r="C30023" s="74" t="s">
        <v>429</v>
      </c>
    </row>
    <row r="30024" spans="1:3">
      <c r="A30024" s="250">
        <v>70159</v>
      </c>
      <c r="B30024" s="74" t="s">
        <v>14945</v>
      </c>
      <c r="C30024" s="74" t="s">
        <v>429</v>
      </c>
    </row>
    <row r="30025" spans="1:3">
      <c r="A30025" s="250">
        <v>70160</v>
      </c>
      <c r="B30025" s="74" t="s">
        <v>14945</v>
      </c>
      <c r="C30025" s="74" t="s">
        <v>429</v>
      </c>
    </row>
    <row r="30026" spans="1:3">
      <c r="A30026" s="250">
        <v>70161</v>
      </c>
      <c r="B30026" s="74" t="s">
        <v>14945</v>
      </c>
      <c r="C30026" s="74" t="s">
        <v>429</v>
      </c>
    </row>
    <row r="30027" spans="1:3">
      <c r="A30027" s="250">
        <v>70162</v>
      </c>
      <c r="B30027" s="74" t="s">
        <v>14945</v>
      </c>
      <c r="C30027" s="74" t="s">
        <v>429</v>
      </c>
    </row>
    <row r="30028" spans="1:3">
      <c r="A30028" s="250">
        <v>70163</v>
      </c>
      <c r="B30028" s="74" t="s">
        <v>14945</v>
      </c>
      <c r="C30028" s="74" t="s">
        <v>429</v>
      </c>
    </row>
    <row r="30029" spans="1:3">
      <c r="A30029" s="250">
        <v>70164</v>
      </c>
      <c r="B30029" s="74" t="s">
        <v>14945</v>
      </c>
      <c r="C30029" s="74" t="s">
        <v>429</v>
      </c>
    </row>
    <row r="30030" spans="1:3">
      <c r="A30030" s="250">
        <v>70165</v>
      </c>
      <c r="B30030" s="74" t="s">
        <v>14945</v>
      </c>
      <c r="C30030" s="74" t="s">
        <v>429</v>
      </c>
    </row>
    <row r="30031" spans="1:3">
      <c r="A30031" s="250">
        <v>70166</v>
      </c>
      <c r="B30031" s="74" t="s">
        <v>14945</v>
      </c>
      <c r="C30031" s="74" t="s">
        <v>429</v>
      </c>
    </row>
    <row r="30032" spans="1:3">
      <c r="A30032" s="250">
        <v>70167</v>
      </c>
      <c r="B30032" s="74" t="s">
        <v>14945</v>
      </c>
      <c r="C30032" s="74" t="s">
        <v>429</v>
      </c>
    </row>
    <row r="30033" spans="1:3">
      <c r="A30033" s="250">
        <v>70170</v>
      </c>
      <c r="B30033" s="74" t="s">
        <v>14945</v>
      </c>
      <c r="C30033" s="74" t="s">
        <v>429</v>
      </c>
    </row>
    <row r="30034" spans="1:3">
      <c r="A30034" s="250">
        <v>70172</v>
      </c>
      <c r="B30034" s="74" t="s">
        <v>14945</v>
      </c>
      <c r="C30034" s="74" t="s">
        <v>429</v>
      </c>
    </row>
    <row r="30035" spans="1:3">
      <c r="A30035" s="250">
        <v>70174</v>
      </c>
      <c r="B30035" s="74" t="s">
        <v>14945</v>
      </c>
      <c r="C30035" s="74" t="s">
        <v>429</v>
      </c>
    </row>
    <row r="30036" spans="1:3">
      <c r="A30036" s="250">
        <v>70175</v>
      </c>
      <c r="B30036" s="74" t="s">
        <v>14945</v>
      </c>
      <c r="C30036" s="74" t="s">
        <v>429</v>
      </c>
    </row>
    <row r="30037" spans="1:3">
      <c r="A30037" s="250">
        <v>70176</v>
      </c>
      <c r="B30037" s="74" t="s">
        <v>14945</v>
      </c>
      <c r="C30037" s="74" t="s">
        <v>429</v>
      </c>
    </row>
    <row r="30038" spans="1:3">
      <c r="A30038" s="250">
        <v>70177</v>
      </c>
      <c r="B30038" s="74" t="s">
        <v>14945</v>
      </c>
      <c r="C30038" s="74" t="s">
        <v>429</v>
      </c>
    </row>
    <row r="30039" spans="1:3">
      <c r="A30039" s="250">
        <v>70178</v>
      </c>
      <c r="B30039" s="74" t="s">
        <v>14945</v>
      </c>
      <c r="C30039" s="74" t="s">
        <v>429</v>
      </c>
    </row>
    <row r="30040" spans="1:3">
      <c r="A30040" s="250">
        <v>70179</v>
      </c>
      <c r="B30040" s="74" t="s">
        <v>14945</v>
      </c>
      <c r="C30040" s="74" t="s">
        <v>429</v>
      </c>
    </row>
    <row r="30041" spans="1:3">
      <c r="A30041" s="250">
        <v>70181</v>
      </c>
      <c r="B30041" s="74" t="s">
        <v>14945</v>
      </c>
      <c r="C30041" s="74" t="s">
        <v>429</v>
      </c>
    </row>
    <row r="30042" spans="1:3">
      <c r="A30042" s="250">
        <v>70182</v>
      </c>
      <c r="B30042" s="74" t="s">
        <v>14945</v>
      </c>
      <c r="C30042" s="74" t="s">
        <v>429</v>
      </c>
    </row>
    <row r="30043" spans="1:3">
      <c r="A30043" s="250">
        <v>70183</v>
      </c>
      <c r="B30043" s="74" t="s">
        <v>14945</v>
      </c>
      <c r="C30043" s="74" t="s">
        <v>429</v>
      </c>
    </row>
    <row r="30044" spans="1:3">
      <c r="A30044" s="250">
        <v>70184</v>
      </c>
      <c r="B30044" s="74" t="s">
        <v>14945</v>
      </c>
      <c r="C30044" s="74" t="s">
        <v>429</v>
      </c>
    </row>
    <row r="30045" spans="1:3">
      <c r="A30045" s="250">
        <v>70185</v>
      </c>
      <c r="B30045" s="74" t="s">
        <v>14945</v>
      </c>
      <c r="C30045" s="74" t="s">
        <v>429</v>
      </c>
    </row>
    <row r="30046" spans="1:3">
      <c r="A30046" s="250">
        <v>70186</v>
      </c>
      <c r="B30046" s="74" t="s">
        <v>14945</v>
      </c>
      <c r="C30046" s="74" t="s">
        <v>429</v>
      </c>
    </row>
    <row r="30047" spans="1:3">
      <c r="A30047" s="250">
        <v>70187</v>
      </c>
      <c r="B30047" s="74" t="s">
        <v>14945</v>
      </c>
      <c r="C30047" s="74" t="s">
        <v>429</v>
      </c>
    </row>
    <row r="30048" spans="1:3">
      <c r="A30048" s="250">
        <v>70189</v>
      </c>
      <c r="B30048" s="74" t="s">
        <v>14945</v>
      </c>
      <c r="C30048" s="74" t="s">
        <v>429</v>
      </c>
    </row>
    <row r="30049" spans="1:3">
      <c r="A30049" s="250">
        <v>70190</v>
      </c>
      <c r="B30049" s="74" t="s">
        <v>14945</v>
      </c>
      <c r="C30049" s="74" t="s">
        <v>429</v>
      </c>
    </row>
    <row r="30050" spans="1:3">
      <c r="A30050" s="250">
        <v>70195</v>
      </c>
      <c r="B30050" s="74" t="s">
        <v>14945</v>
      </c>
      <c r="C30050" s="74" t="s">
        <v>429</v>
      </c>
    </row>
    <row r="30051" spans="1:3">
      <c r="A30051" s="250">
        <v>70301</v>
      </c>
      <c r="B30051" s="74" t="s">
        <v>14946</v>
      </c>
      <c r="C30051" s="74" t="s">
        <v>429</v>
      </c>
    </row>
    <row r="30052" spans="1:3">
      <c r="A30052" s="250">
        <v>70302</v>
      </c>
      <c r="B30052" s="74" t="s">
        <v>14946</v>
      </c>
      <c r="C30052" s="74" t="s">
        <v>429</v>
      </c>
    </row>
    <row r="30053" spans="1:3">
      <c r="A30053" s="250">
        <v>70310</v>
      </c>
      <c r="B30053" s="74" t="s">
        <v>14946</v>
      </c>
      <c r="C30053" s="74" t="s">
        <v>429</v>
      </c>
    </row>
    <row r="30054" spans="1:3">
      <c r="A30054" s="250">
        <v>70339</v>
      </c>
      <c r="B30054" s="74" t="s">
        <v>14947</v>
      </c>
      <c r="C30054" s="74" t="s">
        <v>429</v>
      </c>
    </row>
    <row r="30055" spans="1:3">
      <c r="A30055" s="250">
        <v>70340</v>
      </c>
      <c r="B30055" s="74" t="s">
        <v>10466</v>
      </c>
      <c r="C30055" s="74" t="s">
        <v>429</v>
      </c>
    </row>
    <row r="30056" spans="1:3">
      <c r="A30056" s="250">
        <v>70341</v>
      </c>
      <c r="B30056" s="74" t="s">
        <v>14948</v>
      </c>
      <c r="C30056" s="74" t="s">
        <v>429</v>
      </c>
    </row>
    <row r="30057" spans="1:3">
      <c r="A30057" s="250">
        <v>70342</v>
      </c>
      <c r="B30057" s="74" t="s">
        <v>1351</v>
      </c>
      <c r="C30057" s="74" t="s">
        <v>429</v>
      </c>
    </row>
    <row r="30058" spans="1:3">
      <c r="A30058" s="250">
        <v>70343</v>
      </c>
      <c r="B30058" s="74" t="s">
        <v>14949</v>
      </c>
      <c r="C30058" s="74" t="s">
        <v>429</v>
      </c>
    </row>
    <row r="30059" spans="1:3">
      <c r="A30059" s="250">
        <v>70344</v>
      </c>
      <c r="B30059" s="74" t="s">
        <v>14950</v>
      </c>
      <c r="C30059" s="74" t="s">
        <v>429</v>
      </c>
    </row>
    <row r="30060" spans="1:3">
      <c r="A30060" s="250">
        <v>70345</v>
      </c>
      <c r="B30060" s="74" t="s">
        <v>14951</v>
      </c>
      <c r="C30060" s="74" t="s">
        <v>429</v>
      </c>
    </row>
    <row r="30061" spans="1:3">
      <c r="A30061" s="250">
        <v>70346</v>
      </c>
      <c r="B30061" s="74" t="s">
        <v>14952</v>
      </c>
      <c r="C30061" s="74" t="s">
        <v>429</v>
      </c>
    </row>
    <row r="30062" spans="1:3">
      <c r="A30062" s="250">
        <v>70352</v>
      </c>
      <c r="B30062" s="74" t="s">
        <v>14953</v>
      </c>
      <c r="C30062" s="74" t="s">
        <v>429</v>
      </c>
    </row>
    <row r="30063" spans="1:3">
      <c r="A30063" s="250">
        <v>70353</v>
      </c>
      <c r="B30063" s="74" t="s">
        <v>14954</v>
      </c>
      <c r="C30063" s="74" t="s">
        <v>429</v>
      </c>
    </row>
    <row r="30064" spans="1:3">
      <c r="A30064" s="250">
        <v>70354</v>
      </c>
      <c r="B30064" s="74" t="s">
        <v>14955</v>
      </c>
      <c r="C30064" s="74" t="s">
        <v>429</v>
      </c>
    </row>
    <row r="30065" spans="1:3">
      <c r="A30065" s="250">
        <v>70355</v>
      </c>
      <c r="B30065" s="74" t="s">
        <v>14956</v>
      </c>
      <c r="C30065" s="74" t="s">
        <v>429</v>
      </c>
    </row>
    <row r="30066" spans="1:3">
      <c r="A30066" s="250">
        <v>70356</v>
      </c>
      <c r="B30066" s="74" t="s">
        <v>5239</v>
      </c>
      <c r="C30066" s="74" t="s">
        <v>429</v>
      </c>
    </row>
    <row r="30067" spans="1:3">
      <c r="A30067" s="250">
        <v>70357</v>
      </c>
      <c r="B30067" s="74" t="s">
        <v>14957</v>
      </c>
      <c r="C30067" s="74" t="s">
        <v>429</v>
      </c>
    </row>
    <row r="30068" spans="1:3">
      <c r="A30068" s="250">
        <v>70358</v>
      </c>
      <c r="B30068" s="74" t="s">
        <v>1633</v>
      </c>
      <c r="C30068" s="74" t="s">
        <v>429</v>
      </c>
    </row>
    <row r="30069" spans="1:3">
      <c r="A30069" s="250">
        <v>70359</v>
      </c>
      <c r="B30069" s="74" t="s">
        <v>1385</v>
      </c>
      <c r="C30069" s="74" t="s">
        <v>429</v>
      </c>
    </row>
    <row r="30070" spans="1:3">
      <c r="A30070" s="250">
        <v>70360</v>
      </c>
      <c r="B30070" s="74" t="s">
        <v>14958</v>
      </c>
      <c r="C30070" s="74" t="s">
        <v>429</v>
      </c>
    </row>
    <row r="30071" spans="1:3">
      <c r="A30071" s="250">
        <v>70361</v>
      </c>
      <c r="B30071" s="74" t="s">
        <v>14958</v>
      </c>
      <c r="C30071" s="74" t="s">
        <v>429</v>
      </c>
    </row>
    <row r="30072" spans="1:3">
      <c r="A30072" s="250">
        <v>70363</v>
      </c>
      <c r="B30072" s="74" t="s">
        <v>14958</v>
      </c>
      <c r="C30072" s="74" t="s">
        <v>429</v>
      </c>
    </row>
    <row r="30073" spans="1:3">
      <c r="A30073" s="250">
        <v>70364</v>
      </c>
      <c r="B30073" s="74" t="s">
        <v>14958</v>
      </c>
      <c r="C30073" s="74" t="s">
        <v>429</v>
      </c>
    </row>
    <row r="30074" spans="1:3">
      <c r="A30074" s="250">
        <v>70371</v>
      </c>
      <c r="B30074" s="74" t="s">
        <v>14959</v>
      </c>
      <c r="C30074" s="74" t="s">
        <v>429</v>
      </c>
    </row>
    <row r="30075" spans="1:3">
      <c r="A30075" s="250">
        <v>70372</v>
      </c>
      <c r="B30075" s="74" t="s">
        <v>14960</v>
      </c>
      <c r="C30075" s="74" t="s">
        <v>429</v>
      </c>
    </row>
    <row r="30076" spans="1:3">
      <c r="A30076" s="250">
        <v>70373</v>
      </c>
      <c r="B30076" s="74" t="s">
        <v>14961</v>
      </c>
      <c r="C30076" s="74" t="s">
        <v>429</v>
      </c>
    </row>
    <row r="30077" spans="1:3">
      <c r="A30077" s="250">
        <v>70374</v>
      </c>
      <c r="B30077" s="74" t="s">
        <v>3717</v>
      </c>
      <c r="C30077" s="74" t="s">
        <v>429</v>
      </c>
    </row>
    <row r="30078" spans="1:3">
      <c r="A30078" s="250">
        <v>70375</v>
      </c>
      <c r="B30078" s="74" t="s">
        <v>6084</v>
      </c>
      <c r="C30078" s="74" t="s">
        <v>429</v>
      </c>
    </row>
    <row r="30079" spans="1:3">
      <c r="A30079" s="250">
        <v>70377</v>
      </c>
      <c r="B30079" s="74" t="s">
        <v>14962</v>
      </c>
      <c r="C30079" s="74" t="s">
        <v>429</v>
      </c>
    </row>
    <row r="30080" spans="1:3">
      <c r="A30080" s="250">
        <v>70380</v>
      </c>
      <c r="B30080" s="74" t="s">
        <v>9395</v>
      </c>
      <c r="C30080" s="74" t="s">
        <v>429</v>
      </c>
    </row>
    <row r="30081" spans="1:3">
      <c r="A30081" s="250">
        <v>70381</v>
      </c>
      <c r="B30081" s="74" t="s">
        <v>9395</v>
      </c>
      <c r="C30081" s="74" t="s">
        <v>429</v>
      </c>
    </row>
    <row r="30082" spans="1:3">
      <c r="A30082" s="250">
        <v>70390</v>
      </c>
      <c r="B30082" s="74" t="s">
        <v>14963</v>
      </c>
      <c r="C30082" s="74" t="s">
        <v>429</v>
      </c>
    </row>
    <row r="30083" spans="1:3">
      <c r="A30083" s="250">
        <v>70391</v>
      </c>
      <c r="B30083" s="74" t="s">
        <v>14964</v>
      </c>
      <c r="C30083" s="74" t="s">
        <v>429</v>
      </c>
    </row>
    <row r="30084" spans="1:3">
      <c r="A30084" s="250">
        <v>70392</v>
      </c>
      <c r="B30084" s="74" t="s">
        <v>3134</v>
      </c>
      <c r="C30084" s="74" t="s">
        <v>429</v>
      </c>
    </row>
    <row r="30085" spans="1:3">
      <c r="A30085" s="250">
        <v>70393</v>
      </c>
      <c r="B30085" s="74" t="s">
        <v>14965</v>
      </c>
      <c r="C30085" s="74" t="s">
        <v>429</v>
      </c>
    </row>
    <row r="30086" spans="1:3">
      <c r="A30086" s="250">
        <v>70394</v>
      </c>
      <c r="B30086" s="74" t="s">
        <v>14966</v>
      </c>
      <c r="C30086" s="74" t="s">
        <v>429</v>
      </c>
    </row>
    <row r="30087" spans="1:3">
      <c r="A30087" s="250">
        <v>70395</v>
      </c>
      <c r="B30087" s="74" t="s">
        <v>14967</v>
      </c>
      <c r="C30087" s="74" t="s">
        <v>429</v>
      </c>
    </row>
    <row r="30088" spans="1:3">
      <c r="A30088" s="250">
        <v>70397</v>
      </c>
      <c r="B30088" s="74" t="s">
        <v>14968</v>
      </c>
      <c r="C30088" s="74" t="s">
        <v>429</v>
      </c>
    </row>
    <row r="30089" spans="1:3">
      <c r="A30089" s="250">
        <v>70401</v>
      </c>
      <c r="B30089" s="74" t="s">
        <v>3553</v>
      </c>
      <c r="C30089" s="74" t="s">
        <v>429</v>
      </c>
    </row>
    <row r="30090" spans="1:3">
      <c r="A30090" s="250">
        <v>70402</v>
      </c>
      <c r="B30090" s="74" t="s">
        <v>3553</v>
      </c>
      <c r="C30090" s="74" t="s">
        <v>429</v>
      </c>
    </row>
    <row r="30091" spans="1:3">
      <c r="A30091" s="250">
        <v>70403</v>
      </c>
      <c r="B30091" s="74" t="s">
        <v>3553</v>
      </c>
      <c r="C30091" s="74" t="s">
        <v>429</v>
      </c>
    </row>
    <row r="30092" spans="1:3">
      <c r="A30092" s="250">
        <v>70404</v>
      </c>
      <c r="B30092" s="74" t="s">
        <v>3553</v>
      </c>
      <c r="C30092" s="74" t="s">
        <v>429</v>
      </c>
    </row>
    <row r="30093" spans="1:3">
      <c r="A30093" s="250">
        <v>70420</v>
      </c>
      <c r="B30093" s="74" t="s">
        <v>14969</v>
      </c>
      <c r="C30093" s="74" t="s">
        <v>429</v>
      </c>
    </row>
    <row r="30094" spans="1:3">
      <c r="A30094" s="250">
        <v>70421</v>
      </c>
      <c r="B30094" s="74" t="s">
        <v>14970</v>
      </c>
      <c r="C30094" s="74" t="s">
        <v>429</v>
      </c>
    </row>
    <row r="30095" spans="1:3">
      <c r="A30095" s="250">
        <v>70422</v>
      </c>
      <c r="B30095" s="74" t="s">
        <v>14971</v>
      </c>
      <c r="C30095" s="74" t="s">
        <v>429</v>
      </c>
    </row>
    <row r="30096" spans="1:3">
      <c r="A30096" s="250">
        <v>70426</v>
      </c>
      <c r="B30096" s="74" t="s">
        <v>14972</v>
      </c>
      <c r="C30096" s="74" t="s">
        <v>429</v>
      </c>
    </row>
    <row r="30097" spans="1:3">
      <c r="A30097" s="250">
        <v>70427</v>
      </c>
      <c r="B30097" s="74" t="s">
        <v>14973</v>
      </c>
      <c r="C30097" s="74" t="s">
        <v>429</v>
      </c>
    </row>
    <row r="30098" spans="1:3">
      <c r="A30098" s="250">
        <v>70429</v>
      </c>
      <c r="B30098" s="74" t="s">
        <v>14973</v>
      </c>
      <c r="C30098" s="74" t="s">
        <v>429</v>
      </c>
    </row>
    <row r="30099" spans="1:3">
      <c r="A30099" s="250">
        <v>70431</v>
      </c>
      <c r="B30099" s="74" t="s">
        <v>9658</v>
      </c>
      <c r="C30099" s="74" t="s">
        <v>429</v>
      </c>
    </row>
    <row r="30100" spans="1:3">
      <c r="A30100" s="250">
        <v>70433</v>
      </c>
      <c r="B30100" s="74" t="s">
        <v>4668</v>
      </c>
      <c r="C30100" s="74" t="s">
        <v>429</v>
      </c>
    </row>
    <row r="30101" spans="1:3">
      <c r="A30101" s="250">
        <v>70434</v>
      </c>
      <c r="B30101" s="74" t="s">
        <v>4668</v>
      </c>
      <c r="C30101" s="74" t="s">
        <v>429</v>
      </c>
    </row>
    <row r="30102" spans="1:3">
      <c r="A30102" s="250">
        <v>70435</v>
      </c>
      <c r="B30102" s="74" t="s">
        <v>4668</v>
      </c>
      <c r="C30102" s="74" t="s">
        <v>429</v>
      </c>
    </row>
    <row r="30103" spans="1:3">
      <c r="A30103" s="250">
        <v>70436</v>
      </c>
      <c r="B30103" s="74" t="s">
        <v>14974</v>
      </c>
      <c r="C30103" s="74" t="s">
        <v>429</v>
      </c>
    </row>
    <row r="30104" spans="1:3">
      <c r="A30104" s="250">
        <v>70437</v>
      </c>
      <c r="B30104" s="74" t="s">
        <v>5333</v>
      </c>
      <c r="C30104" s="74" t="s">
        <v>429</v>
      </c>
    </row>
    <row r="30105" spans="1:3">
      <c r="A30105" s="250">
        <v>70438</v>
      </c>
      <c r="B30105" s="74" t="s">
        <v>7147</v>
      </c>
      <c r="C30105" s="74" t="s">
        <v>429</v>
      </c>
    </row>
    <row r="30106" spans="1:3">
      <c r="A30106" s="250">
        <v>70441</v>
      </c>
      <c r="B30106" s="74" t="s">
        <v>4185</v>
      </c>
      <c r="C30106" s="74" t="s">
        <v>429</v>
      </c>
    </row>
    <row r="30107" spans="1:3">
      <c r="A30107" s="250">
        <v>70442</v>
      </c>
      <c r="B30107" s="74" t="s">
        <v>14975</v>
      </c>
      <c r="C30107" s="74" t="s">
        <v>429</v>
      </c>
    </row>
    <row r="30108" spans="1:3">
      <c r="A30108" s="250">
        <v>70443</v>
      </c>
      <c r="B30108" s="74" t="s">
        <v>6364</v>
      </c>
      <c r="C30108" s="74" t="s">
        <v>429</v>
      </c>
    </row>
    <row r="30109" spans="1:3">
      <c r="A30109" s="250">
        <v>70444</v>
      </c>
      <c r="B30109" s="74" t="s">
        <v>14976</v>
      </c>
      <c r="C30109" s="74" t="s">
        <v>429</v>
      </c>
    </row>
    <row r="30110" spans="1:3">
      <c r="A30110" s="250">
        <v>70445</v>
      </c>
      <c r="B30110" s="74" t="s">
        <v>14977</v>
      </c>
      <c r="C30110" s="74" t="s">
        <v>429</v>
      </c>
    </row>
    <row r="30111" spans="1:3">
      <c r="A30111" s="250">
        <v>70446</v>
      </c>
      <c r="B30111" s="74" t="s">
        <v>14978</v>
      </c>
      <c r="C30111" s="74" t="s">
        <v>429</v>
      </c>
    </row>
    <row r="30112" spans="1:3">
      <c r="A30112" s="250">
        <v>70447</v>
      </c>
      <c r="B30112" s="74" t="s">
        <v>9071</v>
      </c>
      <c r="C30112" s="74" t="s">
        <v>429</v>
      </c>
    </row>
    <row r="30113" spans="1:3">
      <c r="A30113" s="250">
        <v>70448</v>
      </c>
      <c r="B30113" s="74" t="s">
        <v>14979</v>
      </c>
      <c r="C30113" s="74" t="s">
        <v>429</v>
      </c>
    </row>
    <row r="30114" spans="1:3">
      <c r="A30114" s="250">
        <v>70449</v>
      </c>
      <c r="B30114" s="74" t="s">
        <v>14980</v>
      </c>
      <c r="C30114" s="74" t="s">
        <v>429</v>
      </c>
    </row>
    <row r="30115" spans="1:3">
      <c r="A30115" s="250">
        <v>70450</v>
      </c>
      <c r="B30115" s="74" t="s">
        <v>9969</v>
      </c>
      <c r="C30115" s="74" t="s">
        <v>429</v>
      </c>
    </row>
    <row r="30116" spans="1:3">
      <c r="A30116" s="250">
        <v>70451</v>
      </c>
      <c r="B30116" s="74" t="s">
        <v>14981</v>
      </c>
      <c r="C30116" s="74" t="s">
        <v>429</v>
      </c>
    </row>
    <row r="30117" spans="1:3">
      <c r="A30117" s="250">
        <v>70452</v>
      </c>
      <c r="B30117" s="74" t="s">
        <v>2700</v>
      </c>
      <c r="C30117" s="74" t="s">
        <v>429</v>
      </c>
    </row>
    <row r="30118" spans="1:3">
      <c r="A30118" s="250">
        <v>70453</v>
      </c>
      <c r="B30118" s="74" t="s">
        <v>5012</v>
      </c>
      <c r="C30118" s="74" t="s">
        <v>429</v>
      </c>
    </row>
    <row r="30119" spans="1:3">
      <c r="A30119" s="250">
        <v>70454</v>
      </c>
      <c r="B30119" s="74" t="s">
        <v>14982</v>
      </c>
      <c r="C30119" s="74" t="s">
        <v>429</v>
      </c>
    </row>
    <row r="30120" spans="1:3">
      <c r="A30120" s="250">
        <v>70455</v>
      </c>
      <c r="B30120" s="74" t="s">
        <v>14983</v>
      </c>
      <c r="C30120" s="74" t="s">
        <v>429</v>
      </c>
    </row>
    <row r="30121" spans="1:3">
      <c r="A30121" s="250">
        <v>70456</v>
      </c>
      <c r="B30121" s="74" t="s">
        <v>2151</v>
      </c>
      <c r="C30121" s="74" t="s">
        <v>429</v>
      </c>
    </row>
    <row r="30122" spans="1:3">
      <c r="A30122" s="250">
        <v>70457</v>
      </c>
      <c r="B30122" s="74" t="s">
        <v>4304</v>
      </c>
      <c r="C30122" s="74" t="s">
        <v>429</v>
      </c>
    </row>
    <row r="30123" spans="1:3">
      <c r="A30123" s="250">
        <v>70458</v>
      </c>
      <c r="B30123" s="74" t="s">
        <v>14984</v>
      </c>
      <c r="C30123" s="74" t="s">
        <v>429</v>
      </c>
    </row>
    <row r="30124" spans="1:3">
      <c r="A30124" s="250">
        <v>70459</v>
      </c>
      <c r="B30124" s="74" t="s">
        <v>14984</v>
      </c>
      <c r="C30124" s="74" t="s">
        <v>429</v>
      </c>
    </row>
    <row r="30125" spans="1:3">
      <c r="A30125" s="250">
        <v>70460</v>
      </c>
      <c r="B30125" s="74" t="s">
        <v>14984</v>
      </c>
      <c r="C30125" s="74" t="s">
        <v>429</v>
      </c>
    </row>
    <row r="30126" spans="1:3">
      <c r="A30126" s="250">
        <v>70461</v>
      </c>
      <c r="B30126" s="74" t="s">
        <v>14984</v>
      </c>
      <c r="C30126" s="74" t="s">
        <v>429</v>
      </c>
    </row>
    <row r="30127" spans="1:3">
      <c r="A30127" s="250">
        <v>70462</v>
      </c>
      <c r="B30127" s="74" t="s">
        <v>634</v>
      </c>
      <c r="C30127" s="74" t="s">
        <v>429</v>
      </c>
    </row>
    <row r="30128" spans="1:3">
      <c r="A30128" s="250">
        <v>70463</v>
      </c>
      <c r="B30128" s="74" t="s">
        <v>14985</v>
      </c>
      <c r="C30128" s="74" t="s">
        <v>429</v>
      </c>
    </row>
    <row r="30129" spans="1:3">
      <c r="A30129" s="250">
        <v>70464</v>
      </c>
      <c r="B30129" s="74" t="s">
        <v>14986</v>
      </c>
      <c r="C30129" s="74" t="s">
        <v>429</v>
      </c>
    </row>
    <row r="30130" spans="1:3">
      <c r="A30130" s="250">
        <v>70465</v>
      </c>
      <c r="B30130" s="74" t="s">
        <v>14987</v>
      </c>
      <c r="C30130" s="74" t="s">
        <v>429</v>
      </c>
    </row>
    <row r="30131" spans="1:3">
      <c r="A30131" s="250">
        <v>70466</v>
      </c>
      <c r="B30131" s="74" t="s">
        <v>14988</v>
      </c>
      <c r="C30131" s="74" t="s">
        <v>429</v>
      </c>
    </row>
    <row r="30132" spans="1:3">
      <c r="A30132" s="250">
        <v>70467</v>
      </c>
      <c r="B30132" s="74" t="s">
        <v>14989</v>
      </c>
      <c r="C30132" s="74" t="s">
        <v>429</v>
      </c>
    </row>
    <row r="30133" spans="1:3">
      <c r="A30133" s="250">
        <v>70469</v>
      </c>
      <c r="B30133" s="74" t="s">
        <v>14984</v>
      </c>
      <c r="C30133" s="74" t="s">
        <v>429</v>
      </c>
    </row>
    <row r="30134" spans="1:3">
      <c r="A30134" s="250">
        <v>70470</v>
      </c>
      <c r="B30134" s="74" t="s">
        <v>14979</v>
      </c>
      <c r="C30134" s="74" t="s">
        <v>429</v>
      </c>
    </row>
    <row r="30135" spans="1:3">
      <c r="A30135" s="250">
        <v>70471</v>
      </c>
      <c r="B30135" s="74" t="s">
        <v>14979</v>
      </c>
      <c r="C30135" s="74" t="s">
        <v>429</v>
      </c>
    </row>
    <row r="30136" spans="1:3">
      <c r="A30136" s="250">
        <v>70500</v>
      </c>
      <c r="B30136" s="74" t="s">
        <v>2315</v>
      </c>
      <c r="C30136" s="74" t="s">
        <v>429</v>
      </c>
    </row>
    <row r="30137" spans="1:3">
      <c r="A30137" s="250">
        <v>70501</v>
      </c>
      <c r="B30137" s="74" t="s">
        <v>2315</v>
      </c>
      <c r="C30137" s="74" t="s">
        <v>429</v>
      </c>
    </row>
    <row r="30138" spans="1:3">
      <c r="A30138" s="250">
        <v>70502</v>
      </c>
      <c r="B30138" s="74" t="s">
        <v>2315</v>
      </c>
      <c r="C30138" s="74" t="s">
        <v>429</v>
      </c>
    </row>
    <row r="30139" spans="1:3">
      <c r="A30139" s="250">
        <v>70503</v>
      </c>
      <c r="B30139" s="74" t="s">
        <v>2315</v>
      </c>
      <c r="C30139" s="74" t="s">
        <v>429</v>
      </c>
    </row>
    <row r="30140" spans="1:3">
      <c r="A30140" s="250">
        <v>70504</v>
      </c>
      <c r="B30140" s="74" t="s">
        <v>2315</v>
      </c>
      <c r="C30140" s="74" t="s">
        <v>429</v>
      </c>
    </row>
    <row r="30141" spans="1:3">
      <c r="A30141" s="250">
        <v>70505</v>
      </c>
      <c r="B30141" s="74" t="s">
        <v>2315</v>
      </c>
      <c r="C30141" s="74" t="s">
        <v>429</v>
      </c>
    </row>
    <row r="30142" spans="1:3">
      <c r="A30142" s="250">
        <v>70506</v>
      </c>
      <c r="B30142" s="74" t="s">
        <v>2315</v>
      </c>
      <c r="C30142" s="74" t="s">
        <v>429</v>
      </c>
    </row>
    <row r="30143" spans="1:3">
      <c r="A30143" s="250">
        <v>70507</v>
      </c>
      <c r="B30143" s="74" t="s">
        <v>2315</v>
      </c>
      <c r="C30143" s="74" t="s">
        <v>429</v>
      </c>
    </row>
    <row r="30144" spans="1:3">
      <c r="A30144" s="250">
        <v>70508</v>
      </c>
      <c r="B30144" s="74" t="s">
        <v>2315</v>
      </c>
      <c r="C30144" s="74" t="s">
        <v>429</v>
      </c>
    </row>
    <row r="30145" spans="1:3">
      <c r="A30145" s="250">
        <v>70509</v>
      </c>
      <c r="B30145" s="74" t="s">
        <v>2315</v>
      </c>
      <c r="C30145" s="74" t="s">
        <v>429</v>
      </c>
    </row>
    <row r="30146" spans="1:3">
      <c r="A30146" s="250">
        <v>70510</v>
      </c>
      <c r="B30146" s="74" t="s">
        <v>7763</v>
      </c>
      <c r="C30146" s="74" t="s">
        <v>429</v>
      </c>
    </row>
    <row r="30147" spans="1:3">
      <c r="A30147" s="250">
        <v>70511</v>
      </c>
      <c r="B30147" s="74" t="s">
        <v>7763</v>
      </c>
      <c r="C30147" s="74" t="s">
        <v>429</v>
      </c>
    </row>
    <row r="30148" spans="1:3">
      <c r="A30148" s="250">
        <v>70512</v>
      </c>
      <c r="B30148" s="74" t="s">
        <v>14990</v>
      </c>
      <c r="C30148" s="74" t="s">
        <v>429</v>
      </c>
    </row>
    <row r="30149" spans="1:3">
      <c r="A30149" s="250">
        <v>70513</v>
      </c>
      <c r="B30149" s="74" t="s">
        <v>14991</v>
      </c>
      <c r="C30149" s="74" t="s">
        <v>429</v>
      </c>
    </row>
    <row r="30150" spans="1:3">
      <c r="A30150" s="250">
        <v>70514</v>
      </c>
      <c r="B30150" s="74" t="s">
        <v>2765</v>
      </c>
      <c r="C30150" s="74" t="s">
        <v>429</v>
      </c>
    </row>
    <row r="30151" spans="1:3">
      <c r="A30151" s="250">
        <v>70515</v>
      </c>
      <c r="B30151" s="74" t="s">
        <v>14992</v>
      </c>
      <c r="C30151" s="74" t="s">
        <v>429</v>
      </c>
    </row>
    <row r="30152" spans="1:3">
      <c r="A30152" s="250">
        <v>70516</v>
      </c>
      <c r="B30152" s="74" t="s">
        <v>11271</v>
      </c>
      <c r="C30152" s="74" t="s">
        <v>429</v>
      </c>
    </row>
    <row r="30153" spans="1:3">
      <c r="A30153" s="250">
        <v>70517</v>
      </c>
      <c r="B30153" s="74" t="s">
        <v>14993</v>
      </c>
      <c r="C30153" s="74" t="s">
        <v>429</v>
      </c>
    </row>
    <row r="30154" spans="1:3">
      <c r="A30154" s="250">
        <v>70518</v>
      </c>
      <c r="B30154" s="74" t="s">
        <v>14994</v>
      </c>
      <c r="C30154" s="74" t="s">
        <v>429</v>
      </c>
    </row>
    <row r="30155" spans="1:3">
      <c r="A30155" s="250">
        <v>70519</v>
      </c>
      <c r="B30155" s="74" t="s">
        <v>14995</v>
      </c>
      <c r="C30155" s="74" t="s">
        <v>429</v>
      </c>
    </row>
    <row r="30156" spans="1:3">
      <c r="A30156" s="250">
        <v>70520</v>
      </c>
      <c r="B30156" s="74" t="s">
        <v>14996</v>
      </c>
      <c r="C30156" s="74" t="s">
        <v>429</v>
      </c>
    </row>
    <row r="30157" spans="1:3">
      <c r="A30157" s="250">
        <v>70521</v>
      </c>
      <c r="B30157" s="74" t="s">
        <v>10064</v>
      </c>
      <c r="C30157" s="74" t="s">
        <v>429</v>
      </c>
    </row>
    <row r="30158" spans="1:3">
      <c r="A30158" s="250">
        <v>70522</v>
      </c>
      <c r="B30158" s="74" t="s">
        <v>1024</v>
      </c>
      <c r="C30158" s="74" t="s">
        <v>429</v>
      </c>
    </row>
    <row r="30159" spans="1:3">
      <c r="A30159" s="250">
        <v>70523</v>
      </c>
      <c r="B30159" s="74" t="s">
        <v>14997</v>
      </c>
      <c r="C30159" s="74" t="s">
        <v>429</v>
      </c>
    </row>
    <row r="30160" spans="1:3">
      <c r="A30160" s="250">
        <v>70524</v>
      </c>
      <c r="B30160" s="74" t="s">
        <v>14998</v>
      </c>
      <c r="C30160" s="74" t="s">
        <v>429</v>
      </c>
    </row>
    <row r="30161" spans="1:3">
      <c r="A30161" s="250">
        <v>70525</v>
      </c>
      <c r="B30161" s="74" t="s">
        <v>14999</v>
      </c>
      <c r="C30161" s="74" t="s">
        <v>429</v>
      </c>
    </row>
    <row r="30162" spans="1:3">
      <c r="A30162" s="250">
        <v>70526</v>
      </c>
      <c r="B30162" s="74" t="s">
        <v>15000</v>
      </c>
      <c r="C30162" s="74" t="s">
        <v>429</v>
      </c>
    </row>
    <row r="30163" spans="1:3">
      <c r="A30163" s="250">
        <v>70527</v>
      </c>
      <c r="B30163" s="74" t="s">
        <v>15000</v>
      </c>
      <c r="C30163" s="74" t="s">
        <v>429</v>
      </c>
    </row>
    <row r="30164" spans="1:3">
      <c r="A30164" s="250">
        <v>70528</v>
      </c>
      <c r="B30164" s="74" t="s">
        <v>15001</v>
      </c>
      <c r="C30164" s="74" t="s">
        <v>429</v>
      </c>
    </row>
    <row r="30165" spans="1:3">
      <c r="A30165" s="250">
        <v>70529</v>
      </c>
      <c r="B30165" s="74" t="s">
        <v>15002</v>
      </c>
      <c r="C30165" s="74" t="s">
        <v>429</v>
      </c>
    </row>
    <row r="30166" spans="1:3">
      <c r="A30166" s="250">
        <v>70531</v>
      </c>
      <c r="B30166" s="74" t="s">
        <v>12813</v>
      </c>
      <c r="C30166" s="74" t="s">
        <v>429</v>
      </c>
    </row>
    <row r="30167" spans="1:3">
      <c r="A30167" s="250">
        <v>70532</v>
      </c>
      <c r="B30167" s="74" t="s">
        <v>4353</v>
      </c>
      <c r="C30167" s="74" t="s">
        <v>429</v>
      </c>
    </row>
    <row r="30168" spans="1:3">
      <c r="A30168" s="250">
        <v>70533</v>
      </c>
      <c r="B30168" s="74" t="s">
        <v>15003</v>
      </c>
      <c r="C30168" s="74" t="s">
        <v>429</v>
      </c>
    </row>
    <row r="30169" spans="1:3">
      <c r="A30169" s="250">
        <v>70534</v>
      </c>
      <c r="B30169" s="74" t="s">
        <v>15004</v>
      </c>
      <c r="C30169" s="74" t="s">
        <v>429</v>
      </c>
    </row>
    <row r="30170" spans="1:3">
      <c r="A30170" s="250">
        <v>70535</v>
      </c>
      <c r="B30170" s="74" t="s">
        <v>14396</v>
      </c>
      <c r="C30170" s="74" t="s">
        <v>429</v>
      </c>
    </row>
    <row r="30171" spans="1:3">
      <c r="A30171" s="250">
        <v>70537</v>
      </c>
      <c r="B30171" s="74" t="s">
        <v>15005</v>
      </c>
      <c r="C30171" s="74" t="s">
        <v>429</v>
      </c>
    </row>
    <row r="30172" spans="1:3">
      <c r="A30172" s="250">
        <v>70538</v>
      </c>
      <c r="B30172" s="74" t="s">
        <v>873</v>
      </c>
      <c r="C30172" s="74" t="s">
        <v>429</v>
      </c>
    </row>
    <row r="30173" spans="1:3">
      <c r="A30173" s="250">
        <v>70540</v>
      </c>
      <c r="B30173" s="74" t="s">
        <v>2769</v>
      </c>
      <c r="C30173" s="74" t="s">
        <v>429</v>
      </c>
    </row>
    <row r="30174" spans="1:3">
      <c r="A30174" s="250">
        <v>70541</v>
      </c>
      <c r="B30174" s="74" t="s">
        <v>15006</v>
      </c>
      <c r="C30174" s="74" t="s">
        <v>429</v>
      </c>
    </row>
    <row r="30175" spans="1:3">
      <c r="A30175" s="250">
        <v>70542</v>
      </c>
      <c r="B30175" s="74" t="s">
        <v>15007</v>
      </c>
      <c r="C30175" s="74" t="s">
        <v>429</v>
      </c>
    </row>
    <row r="30176" spans="1:3">
      <c r="A30176" s="250">
        <v>70543</v>
      </c>
      <c r="B30176" s="74" t="s">
        <v>15008</v>
      </c>
      <c r="C30176" s="74" t="s">
        <v>429</v>
      </c>
    </row>
    <row r="30177" spans="1:3">
      <c r="A30177" s="250">
        <v>70544</v>
      </c>
      <c r="B30177" s="74" t="s">
        <v>15009</v>
      </c>
      <c r="C30177" s="74" t="s">
        <v>429</v>
      </c>
    </row>
    <row r="30178" spans="1:3">
      <c r="A30178" s="250">
        <v>70546</v>
      </c>
      <c r="B30178" s="74" t="s">
        <v>8221</v>
      </c>
      <c r="C30178" s="74" t="s">
        <v>429</v>
      </c>
    </row>
    <row r="30179" spans="1:3">
      <c r="A30179" s="250">
        <v>70548</v>
      </c>
      <c r="B30179" s="74" t="s">
        <v>15010</v>
      </c>
      <c r="C30179" s="74" t="s">
        <v>429</v>
      </c>
    </row>
    <row r="30180" spans="1:3">
      <c r="A30180" s="250">
        <v>70549</v>
      </c>
      <c r="B30180" s="74" t="s">
        <v>15011</v>
      </c>
      <c r="C30180" s="74" t="s">
        <v>429</v>
      </c>
    </row>
    <row r="30181" spans="1:3">
      <c r="A30181" s="250">
        <v>70550</v>
      </c>
      <c r="B30181" s="74" t="s">
        <v>15012</v>
      </c>
      <c r="C30181" s="74" t="s">
        <v>429</v>
      </c>
    </row>
    <row r="30182" spans="1:3">
      <c r="A30182" s="250">
        <v>70551</v>
      </c>
      <c r="B30182" s="74" t="s">
        <v>15013</v>
      </c>
      <c r="C30182" s="74" t="s">
        <v>429</v>
      </c>
    </row>
    <row r="30183" spans="1:3">
      <c r="A30183" s="250">
        <v>70552</v>
      </c>
      <c r="B30183" s="74" t="s">
        <v>15014</v>
      </c>
      <c r="C30183" s="74" t="s">
        <v>429</v>
      </c>
    </row>
    <row r="30184" spans="1:3">
      <c r="A30184" s="250">
        <v>70554</v>
      </c>
      <c r="B30184" s="74" t="s">
        <v>15015</v>
      </c>
      <c r="C30184" s="74" t="s">
        <v>429</v>
      </c>
    </row>
    <row r="30185" spans="1:3">
      <c r="A30185" s="250">
        <v>70555</v>
      </c>
      <c r="B30185" s="74" t="s">
        <v>11707</v>
      </c>
      <c r="C30185" s="74" t="s">
        <v>429</v>
      </c>
    </row>
    <row r="30186" spans="1:3">
      <c r="A30186" s="250">
        <v>70556</v>
      </c>
      <c r="B30186" s="74" t="s">
        <v>15016</v>
      </c>
      <c r="C30186" s="74" t="s">
        <v>429</v>
      </c>
    </row>
    <row r="30187" spans="1:3">
      <c r="A30187" s="250">
        <v>70558</v>
      </c>
      <c r="B30187" s="74" t="s">
        <v>927</v>
      </c>
      <c r="C30187" s="74" t="s">
        <v>429</v>
      </c>
    </row>
    <row r="30188" spans="1:3">
      <c r="A30188" s="250">
        <v>70559</v>
      </c>
      <c r="B30188" s="74" t="s">
        <v>15017</v>
      </c>
      <c r="C30188" s="74" t="s">
        <v>429</v>
      </c>
    </row>
    <row r="30189" spans="1:3">
      <c r="A30189" s="250">
        <v>70560</v>
      </c>
      <c r="B30189" s="74" t="s">
        <v>15018</v>
      </c>
      <c r="C30189" s="74" t="s">
        <v>429</v>
      </c>
    </row>
    <row r="30190" spans="1:3">
      <c r="A30190" s="250">
        <v>70562</v>
      </c>
      <c r="B30190" s="74" t="s">
        <v>15018</v>
      </c>
      <c r="C30190" s="74" t="s">
        <v>429</v>
      </c>
    </row>
    <row r="30191" spans="1:3">
      <c r="A30191" s="250">
        <v>70563</v>
      </c>
      <c r="B30191" s="74" t="s">
        <v>15018</v>
      </c>
      <c r="C30191" s="74" t="s">
        <v>429</v>
      </c>
    </row>
    <row r="30192" spans="1:3">
      <c r="A30192" s="250">
        <v>70569</v>
      </c>
      <c r="B30192" s="74" t="s">
        <v>7626</v>
      </c>
      <c r="C30192" s="74" t="s">
        <v>429</v>
      </c>
    </row>
    <row r="30193" spans="1:3">
      <c r="A30193" s="250">
        <v>70570</v>
      </c>
      <c r="B30193" s="74" t="s">
        <v>15019</v>
      </c>
      <c r="C30193" s="74" t="s">
        <v>429</v>
      </c>
    </row>
    <row r="30194" spans="1:3">
      <c r="A30194" s="250">
        <v>70571</v>
      </c>
      <c r="B30194" s="74" t="s">
        <v>15019</v>
      </c>
      <c r="C30194" s="74" t="s">
        <v>429</v>
      </c>
    </row>
    <row r="30195" spans="1:3">
      <c r="A30195" s="250">
        <v>70575</v>
      </c>
      <c r="B30195" s="74" t="s">
        <v>1602</v>
      </c>
      <c r="C30195" s="74" t="s">
        <v>429</v>
      </c>
    </row>
    <row r="30196" spans="1:3">
      <c r="A30196" s="250">
        <v>70576</v>
      </c>
      <c r="B30196" s="74" t="s">
        <v>15020</v>
      </c>
      <c r="C30196" s="74" t="s">
        <v>429</v>
      </c>
    </row>
    <row r="30197" spans="1:3">
      <c r="A30197" s="250">
        <v>70577</v>
      </c>
      <c r="B30197" s="74" t="s">
        <v>15021</v>
      </c>
      <c r="C30197" s="74" t="s">
        <v>429</v>
      </c>
    </row>
    <row r="30198" spans="1:3">
      <c r="A30198" s="250">
        <v>70578</v>
      </c>
      <c r="B30198" s="74" t="s">
        <v>15022</v>
      </c>
      <c r="C30198" s="74" t="s">
        <v>429</v>
      </c>
    </row>
    <row r="30199" spans="1:3">
      <c r="A30199" s="250">
        <v>70580</v>
      </c>
      <c r="B30199" s="74" t="s">
        <v>15023</v>
      </c>
      <c r="C30199" s="74" t="s">
        <v>429</v>
      </c>
    </row>
    <row r="30200" spans="1:3">
      <c r="A30200" s="250">
        <v>70581</v>
      </c>
      <c r="B30200" s="74" t="s">
        <v>6252</v>
      </c>
      <c r="C30200" s="74" t="s">
        <v>429</v>
      </c>
    </row>
    <row r="30201" spans="1:3">
      <c r="A30201" s="250">
        <v>70582</v>
      </c>
      <c r="B30201" s="74" t="s">
        <v>15024</v>
      </c>
      <c r="C30201" s="74" t="s">
        <v>429</v>
      </c>
    </row>
    <row r="30202" spans="1:3">
      <c r="A30202" s="250">
        <v>70583</v>
      </c>
      <c r="B30202" s="74" t="s">
        <v>9348</v>
      </c>
      <c r="C30202" s="74" t="s">
        <v>429</v>
      </c>
    </row>
    <row r="30203" spans="1:3">
      <c r="A30203" s="250">
        <v>70584</v>
      </c>
      <c r="B30203" s="74" t="s">
        <v>1614</v>
      </c>
      <c r="C30203" s="74" t="s">
        <v>429</v>
      </c>
    </row>
    <row r="30204" spans="1:3">
      <c r="A30204" s="250">
        <v>70585</v>
      </c>
      <c r="B30204" s="74" t="s">
        <v>15025</v>
      </c>
      <c r="C30204" s="74" t="s">
        <v>429</v>
      </c>
    </row>
    <row r="30205" spans="1:3">
      <c r="A30205" s="250">
        <v>70586</v>
      </c>
      <c r="B30205" s="74" t="s">
        <v>15026</v>
      </c>
      <c r="C30205" s="74" t="s">
        <v>429</v>
      </c>
    </row>
    <row r="30206" spans="1:3">
      <c r="A30206" s="250">
        <v>70589</v>
      </c>
      <c r="B30206" s="74" t="s">
        <v>1215</v>
      </c>
      <c r="C30206" s="74" t="s">
        <v>429</v>
      </c>
    </row>
    <row r="30207" spans="1:3">
      <c r="A30207" s="250">
        <v>70591</v>
      </c>
      <c r="B30207" s="74" t="s">
        <v>15027</v>
      </c>
      <c r="C30207" s="74" t="s">
        <v>429</v>
      </c>
    </row>
    <row r="30208" spans="1:3">
      <c r="A30208" s="250">
        <v>70592</v>
      </c>
      <c r="B30208" s="74" t="s">
        <v>3216</v>
      </c>
      <c r="C30208" s="74" t="s">
        <v>429</v>
      </c>
    </row>
    <row r="30209" spans="1:3">
      <c r="A30209" s="250">
        <v>70593</v>
      </c>
      <c r="B30209" s="74" t="s">
        <v>2315</v>
      </c>
      <c r="C30209" s="74" t="s">
        <v>429</v>
      </c>
    </row>
    <row r="30210" spans="1:3">
      <c r="A30210" s="250">
        <v>70595</v>
      </c>
      <c r="B30210" s="74" t="s">
        <v>2315</v>
      </c>
      <c r="C30210" s="74" t="s">
        <v>429</v>
      </c>
    </row>
    <row r="30211" spans="1:3">
      <c r="A30211" s="250">
        <v>70596</v>
      </c>
      <c r="B30211" s="74" t="s">
        <v>2315</v>
      </c>
      <c r="C30211" s="74" t="s">
        <v>429</v>
      </c>
    </row>
    <row r="30212" spans="1:3">
      <c r="A30212" s="250">
        <v>70598</v>
      </c>
      <c r="B30212" s="74" t="s">
        <v>2315</v>
      </c>
      <c r="C30212" s="74" t="s">
        <v>429</v>
      </c>
    </row>
    <row r="30213" spans="1:3">
      <c r="A30213" s="250">
        <v>70601</v>
      </c>
      <c r="B30213" s="74" t="s">
        <v>15028</v>
      </c>
      <c r="C30213" s="74" t="s">
        <v>429</v>
      </c>
    </row>
    <row r="30214" spans="1:3">
      <c r="A30214" s="250">
        <v>70602</v>
      </c>
      <c r="B30214" s="74" t="s">
        <v>15028</v>
      </c>
      <c r="C30214" s="74" t="s">
        <v>429</v>
      </c>
    </row>
    <row r="30215" spans="1:3">
      <c r="A30215" s="250">
        <v>70605</v>
      </c>
      <c r="B30215" s="74" t="s">
        <v>15028</v>
      </c>
      <c r="C30215" s="74" t="s">
        <v>429</v>
      </c>
    </row>
    <row r="30216" spans="1:3">
      <c r="A30216" s="250">
        <v>70606</v>
      </c>
      <c r="B30216" s="74" t="s">
        <v>15028</v>
      </c>
      <c r="C30216" s="74" t="s">
        <v>429</v>
      </c>
    </row>
    <row r="30217" spans="1:3">
      <c r="A30217" s="250">
        <v>70607</v>
      </c>
      <c r="B30217" s="74" t="s">
        <v>15028</v>
      </c>
      <c r="C30217" s="74" t="s">
        <v>429</v>
      </c>
    </row>
    <row r="30218" spans="1:3">
      <c r="A30218" s="250">
        <v>70609</v>
      </c>
      <c r="B30218" s="74" t="s">
        <v>15028</v>
      </c>
      <c r="C30218" s="74" t="s">
        <v>429</v>
      </c>
    </row>
    <row r="30219" spans="1:3">
      <c r="A30219" s="250">
        <v>70611</v>
      </c>
      <c r="B30219" s="74" t="s">
        <v>15028</v>
      </c>
      <c r="C30219" s="74" t="s">
        <v>429</v>
      </c>
    </row>
    <row r="30220" spans="1:3">
      <c r="A30220" s="250">
        <v>70612</v>
      </c>
      <c r="B30220" s="74" t="s">
        <v>15028</v>
      </c>
      <c r="C30220" s="74" t="s">
        <v>429</v>
      </c>
    </row>
    <row r="30221" spans="1:3">
      <c r="A30221" s="250">
        <v>70615</v>
      </c>
      <c r="B30221" s="74" t="s">
        <v>15028</v>
      </c>
      <c r="C30221" s="74" t="s">
        <v>429</v>
      </c>
    </row>
    <row r="30222" spans="1:3">
      <c r="A30222" s="250">
        <v>70616</v>
      </c>
      <c r="B30222" s="74" t="s">
        <v>15028</v>
      </c>
      <c r="C30222" s="74" t="s">
        <v>429</v>
      </c>
    </row>
    <row r="30223" spans="1:3">
      <c r="A30223" s="250">
        <v>70629</v>
      </c>
      <c r="B30223" s="74" t="s">
        <v>15028</v>
      </c>
      <c r="C30223" s="74" t="s">
        <v>429</v>
      </c>
    </row>
    <row r="30224" spans="1:3">
      <c r="A30224" s="250">
        <v>70630</v>
      </c>
      <c r="B30224" s="74" t="s">
        <v>14162</v>
      </c>
      <c r="C30224" s="74" t="s">
        <v>429</v>
      </c>
    </row>
    <row r="30225" spans="1:3">
      <c r="A30225" s="250">
        <v>70631</v>
      </c>
      <c r="B30225" s="74" t="s">
        <v>3902</v>
      </c>
      <c r="C30225" s="74" t="s">
        <v>429</v>
      </c>
    </row>
    <row r="30226" spans="1:3">
      <c r="A30226" s="250">
        <v>70632</v>
      </c>
      <c r="B30226" s="74" t="s">
        <v>15029</v>
      </c>
      <c r="C30226" s="74" t="s">
        <v>429</v>
      </c>
    </row>
    <row r="30227" spans="1:3">
      <c r="A30227" s="250">
        <v>70633</v>
      </c>
      <c r="B30227" s="74" t="s">
        <v>15030</v>
      </c>
      <c r="C30227" s="74" t="s">
        <v>429</v>
      </c>
    </row>
    <row r="30228" spans="1:3">
      <c r="A30228" s="250">
        <v>70634</v>
      </c>
      <c r="B30228" s="74" t="s">
        <v>15031</v>
      </c>
      <c r="C30228" s="74" t="s">
        <v>429</v>
      </c>
    </row>
    <row r="30229" spans="1:3">
      <c r="A30229" s="250">
        <v>70637</v>
      </c>
      <c r="B30229" s="74" t="s">
        <v>6598</v>
      </c>
      <c r="C30229" s="74" t="s">
        <v>429</v>
      </c>
    </row>
    <row r="30230" spans="1:3">
      <c r="A30230" s="250">
        <v>70638</v>
      </c>
      <c r="B30230" s="74" t="s">
        <v>2176</v>
      </c>
      <c r="C30230" s="74" t="s">
        <v>429</v>
      </c>
    </row>
    <row r="30231" spans="1:3">
      <c r="A30231" s="250">
        <v>70639</v>
      </c>
      <c r="B30231" s="74" t="s">
        <v>6665</v>
      </c>
      <c r="C30231" s="74" t="s">
        <v>429</v>
      </c>
    </row>
    <row r="30232" spans="1:3">
      <c r="A30232" s="250">
        <v>70640</v>
      </c>
      <c r="B30232" s="74" t="s">
        <v>11065</v>
      </c>
      <c r="C30232" s="74" t="s">
        <v>429</v>
      </c>
    </row>
    <row r="30233" spans="1:3">
      <c r="A30233" s="250">
        <v>70643</v>
      </c>
      <c r="B30233" s="74" t="s">
        <v>15032</v>
      </c>
      <c r="C30233" s="74" t="s">
        <v>429</v>
      </c>
    </row>
    <row r="30234" spans="1:3">
      <c r="A30234" s="250">
        <v>70644</v>
      </c>
      <c r="B30234" s="74" t="s">
        <v>8402</v>
      </c>
      <c r="C30234" s="74" t="s">
        <v>429</v>
      </c>
    </row>
    <row r="30235" spans="1:3">
      <c r="A30235" s="250">
        <v>70645</v>
      </c>
      <c r="B30235" s="74" t="s">
        <v>15033</v>
      </c>
      <c r="C30235" s="74" t="s">
        <v>429</v>
      </c>
    </row>
    <row r="30236" spans="1:3">
      <c r="A30236" s="250">
        <v>70646</v>
      </c>
      <c r="B30236" s="74" t="s">
        <v>6065</v>
      </c>
      <c r="C30236" s="74" t="s">
        <v>429</v>
      </c>
    </row>
    <row r="30237" spans="1:3">
      <c r="A30237" s="250">
        <v>70647</v>
      </c>
      <c r="B30237" s="74" t="s">
        <v>15034</v>
      </c>
      <c r="C30237" s="74" t="s">
        <v>429</v>
      </c>
    </row>
    <row r="30238" spans="1:3">
      <c r="A30238" s="250">
        <v>70648</v>
      </c>
      <c r="B30238" s="74" t="s">
        <v>15035</v>
      </c>
      <c r="C30238" s="74" t="s">
        <v>429</v>
      </c>
    </row>
    <row r="30239" spans="1:3">
      <c r="A30239" s="250">
        <v>70650</v>
      </c>
      <c r="B30239" s="74" t="s">
        <v>15036</v>
      </c>
      <c r="C30239" s="74" t="s">
        <v>429</v>
      </c>
    </row>
    <row r="30240" spans="1:3">
      <c r="A30240" s="250">
        <v>70651</v>
      </c>
      <c r="B30240" s="74" t="s">
        <v>15037</v>
      </c>
      <c r="C30240" s="74" t="s">
        <v>429</v>
      </c>
    </row>
    <row r="30241" spans="1:3">
      <c r="A30241" s="250">
        <v>70652</v>
      </c>
      <c r="B30241" s="74" t="s">
        <v>12755</v>
      </c>
      <c r="C30241" s="74" t="s">
        <v>429</v>
      </c>
    </row>
    <row r="30242" spans="1:3">
      <c r="A30242" s="250">
        <v>70653</v>
      </c>
      <c r="B30242" s="74" t="s">
        <v>15038</v>
      </c>
      <c r="C30242" s="74" t="s">
        <v>429</v>
      </c>
    </row>
    <row r="30243" spans="1:3">
      <c r="A30243" s="250">
        <v>70654</v>
      </c>
      <c r="B30243" s="74" t="s">
        <v>15039</v>
      </c>
      <c r="C30243" s="74" t="s">
        <v>429</v>
      </c>
    </row>
    <row r="30244" spans="1:3">
      <c r="A30244" s="250">
        <v>70655</v>
      </c>
      <c r="B30244" s="74" t="s">
        <v>10312</v>
      </c>
      <c r="C30244" s="74" t="s">
        <v>429</v>
      </c>
    </row>
    <row r="30245" spans="1:3">
      <c r="A30245" s="250">
        <v>70656</v>
      </c>
      <c r="B30245" s="74" t="s">
        <v>15040</v>
      </c>
      <c r="C30245" s="74" t="s">
        <v>429</v>
      </c>
    </row>
    <row r="30246" spans="1:3">
      <c r="A30246" s="250">
        <v>70657</v>
      </c>
      <c r="B30246" s="74" t="s">
        <v>15041</v>
      </c>
      <c r="C30246" s="74" t="s">
        <v>429</v>
      </c>
    </row>
    <row r="30247" spans="1:3">
      <c r="A30247" s="250">
        <v>70658</v>
      </c>
      <c r="B30247" s="74" t="s">
        <v>15042</v>
      </c>
      <c r="C30247" s="74" t="s">
        <v>429</v>
      </c>
    </row>
    <row r="30248" spans="1:3">
      <c r="A30248" s="250">
        <v>70659</v>
      </c>
      <c r="B30248" s="74" t="s">
        <v>15043</v>
      </c>
      <c r="C30248" s="74" t="s">
        <v>429</v>
      </c>
    </row>
    <row r="30249" spans="1:3">
      <c r="A30249" s="250">
        <v>70660</v>
      </c>
      <c r="B30249" s="74" t="s">
        <v>15044</v>
      </c>
      <c r="C30249" s="74" t="s">
        <v>429</v>
      </c>
    </row>
    <row r="30250" spans="1:3">
      <c r="A30250" s="250">
        <v>70661</v>
      </c>
      <c r="B30250" s="74" t="s">
        <v>15045</v>
      </c>
      <c r="C30250" s="74" t="s">
        <v>429</v>
      </c>
    </row>
    <row r="30251" spans="1:3">
      <c r="A30251" s="250">
        <v>70662</v>
      </c>
      <c r="B30251" s="74" t="s">
        <v>15046</v>
      </c>
      <c r="C30251" s="74" t="s">
        <v>429</v>
      </c>
    </row>
    <row r="30252" spans="1:3">
      <c r="A30252" s="250">
        <v>70663</v>
      </c>
      <c r="B30252" s="74" t="s">
        <v>9592</v>
      </c>
      <c r="C30252" s="74" t="s">
        <v>429</v>
      </c>
    </row>
    <row r="30253" spans="1:3">
      <c r="A30253" s="250">
        <v>70664</v>
      </c>
      <c r="B30253" s="74" t="s">
        <v>9592</v>
      </c>
      <c r="C30253" s="74" t="s">
        <v>429</v>
      </c>
    </row>
    <row r="30254" spans="1:3">
      <c r="A30254" s="250">
        <v>70665</v>
      </c>
      <c r="B30254" s="74" t="s">
        <v>9592</v>
      </c>
      <c r="C30254" s="74" t="s">
        <v>429</v>
      </c>
    </row>
    <row r="30255" spans="1:3">
      <c r="A30255" s="250">
        <v>70668</v>
      </c>
      <c r="B30255" s="74" t="s">
        <v>6310</v>
      </c>
      <c r="C30255" s="74" t="s">
        <v>429</v>
      </c>
    </row>
    <row r="30256" spans="1:3">
      <c r="A30256" s="250">
        <v>70669</v>
      </c>
      <c r="B30256" s="74" t="s">
        <v>10330</v>
      </c>
      <c r="C30256" s="74" t="s">
        <v>429</v>
      </c>
    </row>
    <row r="30257" spans="1:3">
      <c r="A30257" s="250">
        <v>70704</v>
      </c>
      <c r="B30257" s="74" t="s">
        <v>7035</v>
      </c>
      <c r="C30257" s="74" t="s">
        <v>429</v>
      </c>
    </row>
    <row r="30258" spans="1:3">
      <c r="A30258" s="250">
        <v>70706</v>
      </c>
      <c r="B30258" s="74" t="s">
        <v>15047</v>
      </c>
      <c r="C30258" s="74" t="s">
        <v>429</v>
      </c>
    </row>
    <row r="30259" spans="1:3">
      <c r="A30259" s="250">
        <v>70707</v>
      </c>
      <c r="B30259" s="74" t="s">
        <v>15048</v>
      </c>
      <c r="C30259" s="74" t="s">
        <v>429</v>
      </c>
    </row>
    <row r="30260" spans="1:3">
      <c r="A30260" s="250">
        <v>70710</v>
      </c>
      <c r="B30260" s="74" t="s">
        <v>15049</v>
      </c>
      <c r="C30260" s="74" t="s">
        <v>429</v>
      </c>
    </row>
    <row r="30261" spans="1:3">
      <c r="A30261" s="250">
        <v>70711</v>
      </c>
      <c r="B30261" s="74" t="s">
        <v>1896</v>
      </c>
      <c r="C30261" s="74" t="s">
        <v>429</v>
      </c>
    </row>
    <row r="30262" spans="1:3">
      <c r="A30262" s="250">
        <v>70712</v>
      </c>
      <c r="B30262" s="74" t="s">
        <v>3670</v>
      </c>
      <c r="C30262" s="74" t="s">
        <v>429</v>
      </c>
    </row>
    <row r="30263" spans="1:3">
      <c r="A30263" s="250">
        <v>70714</v>
      </c>
      <c r="B30263" s="74" t="s">
        <v>7035</v>
      </c>
      <c r="C30263" s="74" t="s">
        <v>429</v>
      </c>
    </row>
    <row r="30264" spans="1:3">
      <c r="A30264" s="250">
        <v>70715</v>
      </c>
      <c r="B30264" s="74" t="s">
        <v>15050</v>
      </c>
      <c r="C30264" s="74" t="s">
        <v>429</v>
      </c>
    </row>
    <row r="30265" spans="1:3">
      <c r="A30265" s="250">
        <v>70718</v>
      </c>
      <c r="B30265" s="74" t="s">
        <v>15051</v>
      </c>
      <c r="C30265" s="74" t="s">
        <v>429</v>
      </c>
    </row>
    <row r="30266" spans="1:3">
      <c r="A30266" s="250">
        <v>70719</v>
      </c>
      <c r="B30266" s="74" t="s">
        <v>15052</v>
      </c>
      <c r="C30266" s="74" t="s">
        <v>429</v>
      </c>
    </row>
    <row r="30267" spans="1:3">
      <c r="A30267" s="250">
        <v>70721</v>
      </c>
      <c r="B30267" s="74" t="s">
        <v>15053</v>
      </c>
      <c r="C30267" s="74" t="s">
        <v>429</v>
      </c>
    </row>
    <row r="30268" spans="1:3">
      <c r="A30268" s="250">
        <v>70722</v>
      </c>
      <c r="B30268" s="74" t="s">
        <v>732</v>
      </c>
      <c r="C30268" s="74" t="s">
        <v>429</v>
      </c>
    </row>
    <row r="30269" spans="1:3">
      <c r="A30269" s="250">
        <v>70723</v>
      </c>
      <c r="B30269" s="74" t="s">
        <v>15054</v>
      </c>
      <c r="C30269" s="74" t="s">
        <v>429</v>
      </c>
    </row>
    <row r="30270" spans="1:3">
      <c r="A30270" s="250">
        <v>70725</v>
      </c>
      <c r="B30270" s="74" t="s">
        <v>15055</v>
      </c>
      <c r="C30270" s="74" t="s">
        <v>429</v>
      </c>
    </row>
    <row r="30271" spans="1:3">
      <c r="A30271" s="250">
        <v>70726</v>
      </c>
      <c r="B30271" s="74" t="s">
        <v>15047</v>
      </c>
      <c r="C30271" s="74" t="s">
        <v>429</v>
      </c>
    </row>
    <row r="30272" spans="1:3">
      <c r="A30272" s="250">
        <v>70727</v>
      </c>
      <c r="B30272" s="74" t="s">
        <v>15047</v>
      </c>
      <c r="C30272" s="74" t="s">
        <v>429</v>
      </c>
    </row>
    <row r="30273" spans="1:3">
      <c r="A30273" s="250">
        <v>70728</v>
      </c>
      <c r="B30273" s="74" t="s">
        <v>15056</v>
      </c>
      <c r="C30273" s="74" t="s">
        <v>429</v>
      </c>
    </row>
    <row r="30274" spans="1:3">
      <c r="A30274" s="250">
        <v>70729</v>
      </c>
      <c r="B30274" s="74" t="s">
        <v>15057</v>
      </c>
      <c r="C30274" s="74" t="s">
        <v>429</v>
      </c>
    </row>
    <row r="30275" spans="1:3">
      <c r="A30275" s="250">
        <v>70730</v>
      </c>
      <c r="B30275" s="74" t="s">
        <v>6604</v>
      </c>
      <c r="C30275" s="74" t="s">
        <v>429</v>
      </c>
    </row>
    <row r="30276" spans="1:3">
      <c r="A30276" s="250">
        <v>70732</v>
      </c>
      <c r="B30276" s="74" t="s">
        <v>15058</v>
      </c>
      <c r="C30276" s="74" t="s">
        <v>429</v>
      </c>
    </row>
    <row r="30277" spans="1:3">
      <c r="A30277" s="250">
        <v>70733</v>
      </c>
      <c r="B30277" s="74" t="s">
        <v>15059</v>
      </c>
      <c r="C30277" s="74" t="s">
        <v>429</v>
      </c>
    </row>
    <row r="30278" spans="1:3">
      <c r="A30278" s="250">
        <v>70734</v>
      </c>
      <c r="B30278" s="74" t="s">
        <v>15060</v>
      </c>
      <c r="C30278" s="74" t="s">
        <v>429</v>
      </c>
    </row>
    <row r="30279" spans="1:3">
      <c r="A30279" s="250">
        <v>70736</v>
      </c>
      <c r="B30279" s="74" t="s">
        <v>15061</v>
      </c>
      <c r="C30279" s="74" t="s">
        <v>429</v>
      </c>
    </row>
    <row r="30280" spans="1:3">
      <c r="A30280" s="250">
        <v>70737</v>
      </c>
      <c r="B30280" s="74" t="s">
        <v>15048</v>
      </c>
      <c r="C30280" s="74" t="s">
        <v>429</v>
      </c>
    </row>
    <row r="30281" spans="1:3">
      <c r="A30281" s="250">
        <v>70738</v>
      </c>
      <c r="B30281" s="74" t="s">
        <v>4265</v>
      </c>
      <c r="C30281" s="74" t="s">
        <v>429</v>
      </c>
    </row>
    <row r="30282" spans="1:3">
      <c r="A30282" s="250">
        <v>70739</v>
      </c>
      <c r="B30282" s="74" t="s">
        <v>15062</v>
      </c>
      <c r="C30282" s="74" t="s">
        <v>429</v>
      </c>
    </row>
    <row r="30283" spans="1:3">
      <c r="A30283" s="250">
        <v>70740</v>
      </c>
      <c r="B30283" s="74" t="s">
        <v>15063</v>
      </c>
      <c r="C30283" s="74" t="s">
        <v>429</v>
      </c>
    </row>
    <row r="30284" spans="1:3">
      <c r="A30284" s="250">
        <v>70743</v>
      </c>
      <c r="B30284" s="74" t="s">
        <v>15064</v>
      </c>
      <c r="C30284" s="74" t="s">
        <v>429</v>
      </c>
    </row>
    <row r="30285" spans="1:3">
      <c r="A30285" s="250">
        <v>70744</v>
      </c>
      <c r="B30285" s="74" t="s">
        <v>738</v>
      </c>
      <c r="C30285" s="74" t="s">
        <v>429</v>
      </c>
    </row>
    <row r="30286" spans="1:3">
      <c r="A30286" s="250">
        <v>70747</v>
      </c>
      <c r="B30286" s="74" t="s">
        <v>15065</v>
      </c>
      <c r="C30286" s="74" t="s">
        <v>429</v>
      </c>
    </row>
    <row r="30287" spans="1:3">
      <c r="A30287" s="250">
        <v>70748</v>
      </c>
      <c r="B30287" s="74" t="s">
        <v>1318</v>
      </c>
      <c r="C30287" s="74" t="s">
        <v>429</v>
      </c>
    </row>
    <row r="30288" spans="1:3">
      <c r="A30288" s="250">
        <v>70749</v>
      </c>
      <c r="B30288" s="74" t="s">
        <v>15066</v>
      </c>
      <c r="C30288" s="74" t="s">
        <v>429</v>
      </c>
    </row>
    <row r="30289" spans="1:3">
      <c r="A30289" s="250">
        <v>70750</v>
      </c>
      <c r="B30289" s="74" t="s">
        <v>15067</v>
      </c>
      <c r="C30289" s="74" t="s">
        <v>429</v>
      </c>
    </row>
    <row r="30290" spans="1:3">
      <c r="A30290" s="250">
        <v>70752</v>
      </c>
      <c r="B30290" s="74" t="s">
        <v>8151</v>
      </c>
      <c r="C30290" s="74" t="s">
        <v>429</v>
      </c>
    </row>
    <row r="30291" spans="1:3">
      <c r="A30291" s="250">
        <v>70753</v>
      </c>
      <c r="B30291" s="74" t="s">
        <v>15068</v>
      </c>
      <c r="C30291" s="74" t="s">
        <v>429</v>
      </c>
    </row>
    <row r="30292" spans="1:3">
      <c r="A30292" s="250">
        <v>70754</v>
      </c>
      <c r="B30292" s="74" t="s">
        <v>2135</v>
      </c>
      <c r="C30292" s="74" t="s">
        <v>429</v>
      </c>
    </row>
    <row r="30293" spans="1:3">
      <c r="A30293" s="250">
        <v>70755</v>
      </c>
      <c r="B30293" s="74" t="s">
        <v>3791</v>
      </c>
      <c r="C30293" s="74" t="s">
        <v>429</v>
      </c>
    </row>
    <row r="30294" spans="1:3">
      <c r="A30294" s="250">
        <v>70756</v>
      </c>
      <c r="B30294" s="74" t="s">
        <v>15069</v>
      </c>
      <c r="C30294" s="74" t="s">
        <v>429</v>
      </c>
    </row>
    <row r="30295" spans="1:3">
      <c r="A30295" s="250">
        <v>70757</v>
      </c>
      <c r="B30295" s="74" t="s">
        <v>15070</v>
      </c>
      <c r="C30295" s="74" t="s">
        <v>429</v>
      </c>
    </row>
    <row r="30296" spans="1:3">
      <c r="A30296" s="250">
        <v>70759</v>
      </c>
      <c r="B30296" s="74" t="s">
        <v>5578</v>
      </c>
      <c r="C30296" s="74" t="s">
        <v>429</v>
      </c>
    </row>
    <row r="30297" spans="1:3">
      <c r="A30297" s="250">
        <v>70760</v>
      </c>
      <c r="B30297" s="74" t="s">
        <v>15071</v>
      </c>
      <c r="C30297" s="74" t="s">
        <v>429</v>
      </c>
    </row>
    <row r="30298" spans="1:3">
      <c r="A30298" s="250">
        <v>70761</v>
      </c>
      <c r="B30298" s="74" t="s">
        <v>890</v>
      </c>
      <c r="C30298" s="74" t="s">
        <v>429</v>
      </c>
    </row>
    <row r="30299" spans="1:3">
      <c r="A30299" s="250">
        <v>70762</v>
      </c>
      <c r="B30299" s="74" t="s">
        <v>15072</v>
      </c>
      <c r="C30299" s="74" t="s">
        <v>429</v>
      </c>
    </row>
    <row r="30300" spans="1:3">
      <c r="A30300" s="250">
        <v>70763</v>
      </c>
      <c r="B30300" s="74" t="s">
        <v>15073</v>
      </c>
      <c r="C30300" s="74" t="s">
        <v>429</v>
      </c>
    </row>
    <row r="30301" spans="1:3">
      <c r="A30301" s="250">
        <v>70764</v>
      </c>
      <c r="B30301" s="74" t="s">
        <v>15074</v>
      </c>
      <c r="C30301" s="74" t="s">
        <v>429</v>
      </c>
    </row>
    <row r="30302" spans="1:3">
      <c r="A30302" s="250">
        <v>70765</v>
      </c>
      <c r="B30302" s="74" t="s">
        <v>15074</v>
      </c>
      <c r="C30302" s="74" t="s">
        <v>429</v>
      </c>
    </row>
    <row r="30303" spans="1:3">
      <c r="A30303" s="250">
        <v>70767</v>
      </c>
      <c r="B30303" s="74" t="s">
        <v>15075</v>
      </c>
      <c r="C30303" s="74" t="s">
        <v>429</v>
      </c>
    </row>
    <row r="30304" spans="1:3">
      <c r="A30304" s="250">
        <v>70769</v>
      </c>
      <c r="B30304" s="74" t="s">
        <v>15076</v>
      </c>
      <c r="C30304" s="74" t="s">
        <v>429</v>
      </c>
    </row>
    <row r="30305" spans="1:3">
      <c r="A30305" s="250">
        <v>70770</v>
      </c>
      <c r="B30305" s="74" t="s">
        <v>15077</v>
      </c>
      <c r="C30305" s="74" t="s">
        <v>429</v>
      </c>
    </row>
    <row r="30306" spans="1:3">
      <c r="A30306" s="250">
        <v>70772</v>
      </c>
      <c r="B30306" s="74" t="s">
        <v>2759</v>
      </c>
      <c r="C30306" s="74" t="s">
        <v>429</v>
      </c>
    </row>
    <row r="30307" spans="1:3">
      <c r="A30307" s="250">
        <v>70773</v>
      </c>
      <c r="B30307" s="74" t="s">
        <v>15078</v>
      </c>
      <c r="C30307" s="74" t="s">
        <v>429</v>
      </c>
    </row>
    <row r="30308" spans="1:3">
      <c r="A30308" s="250">
        <v>70774</v>
      </c>
      <c r="B30308" s="74" t="s">
        <v>15079</v>
      </c>
      <c r="C30308" s="74" t="s">
        <v>429</v>
      </c>
    </row>
    <row r="30309" spans="1:3">
      <c r="A30309" s="250">
        <v>70775</v>
      </c>
      <c r="B30309" s="74" t="s">
        <v>13908</v>
      </c>
      <c r="C30309" s="74" t="s">
        <v>429</v>
      </c>
    </row>
    <row r="30310" spans="1:3">
      <c r="A30310" s="250">
        <v>70776</v>
      </c>
      <c r="B30310" s="74" t="s">
        <v>15080</v>
      </c>
      <c r="C30310" s="74" t="s">
        <v>429</v>
      </c>
    </row>
    <row r="30311" spans="1:3">
      <c r="A30311" s="250">
        <v>70777</v>
      </c>
      <c r="B30311" s="74" t="s">
        <v>15081</v>
      </c>
      <c r="C30311" s="74" t="s">
        <v>429</v>
      </c>
    </row>
    <row r="30312" spans="1:3">
      <c r="A30312" s="250">
        <v>70778</v>
      </c>
      <c r="B30312" s="74" t="s">
        <v>1610</v>
      </c>
      <c r="C30312" s="74" t="s">
        <v>429</v>
      </c>
    </row>
    <row r="30313" spans="1:3">
      <c r="A30313" s="250">
        <v>70780</v>
      </c>
      <c r="B30313" s="74" t="s">
        <v>15082</v>
      </c>
      <c r="C30313" s="74" t="s">
        <v>429</v>
      </c>
    </row>
    <row r="30314" spans="1:3">
      <c r="A30314" s="250">
        <v>70782</v>
      </c>
      <c r="B30314" s="74" t="s">
        <v>9323</v>
      </c>
      <c r="C30314" s="74" t="s">
        <v>429</v>
      </c>
    </row>
    <row r="30315" spans="1:3">
      <c r="A30315" s="250">
        <v>70783</v>
      </c>
      <c r="B30315" s="74" t="s">
        <v>15083</v>
      </c>
      <c r="C30315" s="74" t="s">
        <v>429</v>
      </c>
    </row>
    <row r="30316" spans="1:3">
      <c r="A30316" s="250">
        <v>70784</v>
      </c>
      <c r="B30316" s="74" t="s">
        <v>828</v>
      </c>
      <c r="C30316" s="74" t="s">
        <v>429</v>
      </c>
    </row>
    <row r="30317" spans="1:3">
      <c r="A30317" s="250">
        <v>70785</v>
      </c>
      <c r="B30317" s="74" t="s">
        <v>6885</v>
      </c>
      <c r="C30317" s="74" t="s">
        <v>429</v>
      </c>
    </row>
    <row r="30318" spans="1:3">
      <c r="A30318" s="250">
        <v>70786</v>
      </c>
      <c r="B30318" s="74" t="s">
        <v>8675</v>
      </c>
      <c r="C30318" s="74" t="s">
        <v>429</v>
      </c>
    </row>
    <row r="30319" spans="1:3">
      <c r="A30319" s="250">
        <v>70787</v>
      </c>
      <c r="B30319" s="74" t="s">
        <v>15084</v>
      </c>
      <c r="C30319" s="74" t="s">
        <v>429</v>
      </c>
    </row>
    <row r="30320" spans="1:3">
      <c r="A30320" s="250">
        <v>70788</v>
      </c>
      <c r="B30320" s="74" t="s">
        <v>15085</v>
      </c>
      <c r="C30320" s="74" t="s">
        <v>429</v>
      </c>
    </row>
    <row r="30321" spans="1:3">
      <c r="A30321" s="250">
        <v>70789</v>
      </c>
      <c r="B30321" s="74" t="s">
        <v>3748</v>
      </c>
      <c r="C30321" s="74" t="s">
        <v>429</v>
      </c>
    </row>
    <row r="30322" spans="1:3">
      <c r="A30322" s="250">
        <v>70791</v>
      </c>
      <c r="B30322" s="74" t="s">
        <v>15086</v>
      </c>
      <c r="C30322" s="74" t="s">
        <v>429</v>
      </c>
    </row>
    <row r="30323" spans="1:3">
      <c r="A30323" s="250">
        <v>70792</v>
      </c>
      <c r="B30323" s="74" t="s">
        <v>15087</v>
      </c>
      <c r="C30323" s="74" t="s">
        <v>429</v>
      </c>
    </row>
    <row r="30324" spans="1:3">
      <c r="A30324" s="250">
        <v>70801</v>
      </c>
      <c r="B30324" s="74" t="s">
        <v>15088</v>
      </c>
      <c r="C30324" s="74" t="s">
        <v>429</v>
      </c>
    </row>
    <row r="30325" spans="1:3">
      <c r="A30325" s="250">
        <v>70802</v>
      </c>
      <c r="B30325" s="74" t="s">
        <v>15088</v>
      </c>
      <c r="C30325" s="74" t="s">
        <v>429</v>
      </c>
    </row>
    <row r="30326" spans="1:3">
      <c r="A30326" s="250">
        <v>70803</v>
      </c>
      <c r="B30326" s="74" t="s">
        <v>15088</v>
      </c>
      <c r="C30326" s="74" t="s">
        <v>429</v>
      </c>
    </row>
    <row r="30327" spans="1:3">
      <c r="A30327" s="250">
        <v>70804</v>
      </c>
      <c r="B30327" s="74" t="s">
        <v>15088</v>
      </c>
      <c r="C30327" s="74" t="s">
        <v>429</v>
      </c>
    </row>
    <row r="30328" spans="1:3">
      <c r="A30328" s="250">
        <v>70805</v>
      </c>
      <c r="B30328" s="74" t="s">
        <v>15088</v>
      </c>
      <c r="C30328" s="74" t="s">
        <v>429</v>
      </c>
    </row>
    <row r="30329" spans="1:3">
      <c r="A30329" s="250">
        <v>70806</v>
      </c>
      <c r="B30329" s="74" t="s">
        <v>15088</v>
      </c>
      <c r="C30329" s="74" t="s">
        <v>429</v>
      </c>
    </row>
    <row r="30330" spans="1:3">
      <c r="A30330" s="250">
        <v>70807</v>
      </c>
      <c r="B30330" s="74" t="s">
        <v>15088</v>
      </c>
      <c r="C30330" s="74" t="s">
        <v>429</v>
      </c>
    </row>
    <row r="30331" spans="1:3">
      <c r="A30331" s="250">
        <v>70808</v>
      </c>
      <c r="B30331" s="74" t="s">
        <v>15088</v>
      </c>
      <c r="C30331" s="74" t="s">
        <v>429</v>
      </c>
    </row>
    <row r="30332" spans="1:3">
      <c r="A30332" s="250">
        <v>70809</v>
      </c>
      <c r="B30332" s="74" t="s">
        <v>15088</v>
      </c>
      <c r="C30332" s="74" t="s">
        <v>429</v>
      </c>
    </row>
    <row r="30333" spans="1:3">
      <c r="A30333" s="250">
        <v>70810</v>
      </c>
      <c r="B30333" s="74" t="s">
        <v>15088</v>
      </c>
      <c r="C30333" s="74" t="s">
        <v>429</v>
      </c>
    </row>
    <row r="30334" spans="1:3">
      <c r="A30334" s="250">
        <v>70811</v>
      </c>
      <c r="B30334" s="74" t="s">
        <v>15088</v>
      </c>
      <c r="C30334" s="74" t="s">
        <v>429</v>
      </c>
    </row>
    <row r="30335" spans="1:3">
      <c r="A30335" s="250">
        <v>70812</v>
      </c>
      <c r="B30335" s="74" t="s">
        <v>15088</v>
      </c>
      <c r="C30335" s="74" t="s">
        <v>429</v>
      </c>
    </row>
    <row r="30336" spans="1:3">
      <c r="A30336" s="250">
        <v>70813</v>
      </c>
      <c r="B30336" s="74" t="s">
        <v>15088</v>
      </c>
      <c r="C30336" s="74" t="s">
        <v>429</v>
      </c>
    </row>
    <row r="30337" spans="1:3">
      <c r="A30337" s="250">
        <v>70814</v>
      </c>
      <c r="B30337" s="74" t="s">
        <v>15088</v>
      </c>
      <c r="C30337" s="74" t="s">
        <v>429</v>
      </c>
    </row>
    <row r="30338" spans="1:3">
      <c r="A30338" s="250">
        <v>70815</v>
      </c>
      <c r="B30338" s="74" t="s">
        <v>15088</v>
      </c>
      <c r="C30338" s="74" t="s">
        <v>429</v>
      </c>
    </row>
    <row r="30339" spans="1:3">
      <c r="A30339" s="250">
        <v>70816</v>
      </c>
      <c r="B30339" s="74" t="s">
        <v>15088</v>
      </c>
      <c r="C30339" s="74" t="s">
        <v>429</v>
      </c>
    </row>
    <row r="30340" spans="1:3">
      <c r="A30340" s="250">
        <v>70817</v>
      </c>
      <c r="B30340" s="74" t="s">
        <v>15088</v>
      </c>
      <c r="C30340" s="74" t="s">
        <v>429</v>
      </c>
    </row>
    <row r="30341" spans="1:3">
      <c r="A30341" s="250">
        <v>70818</v>
      </c>
      <c r="B30341" s="74" t="s">
        <v>15088</v>
      </c>
      <c r="C30341" s="74" t="s">
        <v>429</v>
      </c>
    </row>
    <row r="30342" spans="1:3">
      <c r="A30342" s="250">
        <v>70819</v>
      </c>
      <c r="B30342" s="74" t="s">
        <v>15088</v>
      </c>
      <c r="C30342" s="74" t="s">
        <v>429</v>
      </c>
    </row>
    <row r="30343" spans="1:3">
      <c r="A30343" s="250">
        <v>70820</v>
      </c>
      <c r="B30343" s="74" t="s">
        <v>15088</v>
      </c>
      <c r="C30343" s="74" t="s">
        <v>429</v>
      </c>
    </row>
    <row r="30344" spans="1:3">
      <c r="A30344" s="250">
        <v>70821</v>
      </c>
      <c r="B30344" s="74" t="s">
        <v>15088</v>
      </c>
      <c r="C30344" s="74" t="s">
        <v>429</v>
      </c>
    </row>
    <row r="30345" spans="1:3">
      <c r="A30345" s="250">
        <v>70822</v>
      </c>
      <c r="B30345" s="74" t="s">
        <v>15088</v>
      </c>
      <c r="C30345" s="74" t="s">
        <v>429</v>
      </c>
    </row>
    <row r="30346" spans="1:3">
      <c r="A30346" s="250">
        <v>70823</v>
      </c>
      <c r="B30346" s="74" t="s">
        <v>15088</v>
      </c>
      <c r="C30346" s="74" t="s">
        <v>429</v>
      </c>
    </row>
    <row r="30347" spans="1:3">
      <c r="A30347" s="250">
        <v>70825</v>
      </c>
      <c r="B30347" s="74" t="s">
        <v>15088</v>
      </c>
      <c r="C30347" s="74" t="s">
        <v>429</v>
      </c>
    </row>
    <row r="30348" spans="1:3">
      <c r="A30348" s="250">
        <v>70826</v>
      </c>
      <c r="B30348" s="74" t="s">
        <v>15088</v>
      </c>
      <c r="C30348" s="74" t="s">
        <v>429</v>
      </c>
    </row>
    <row r="30349" spans="1:3">
      <c r="A30349" s="250">
        <v>70827</v>
      </c>
      <c r="B30349" s="74" t="s">
        <v>15088</v>
      </c>
      <c r="C30349" s="74" t="s">
        <v>429</v>
      </c>
    </row>
    <row r="30350" spans="1:3">
      <c r="A30350" s="250">
        <v>70831</v>
      </c>
      <c r="B30350" s="74" t="s">
        <v>15088</v>
      </c>
      <c r="C30350" s="74" t="s">
        <v>429</v>
      </c>
    </row>
    <row r="30351" spans="1:3">
      <c r="A30351" s="250">
        <v>70833</v>
      </c>
      <c r="B30351" s="74" t="s">
        <v>15088</v>
      </c>
      <c r="C30351" s="74" t="s">
        <v>429</v>
      </c>
    </row>
    <row r="30352" spans="1:3">
      <c r="A30352" s="250">
        <v>70835</v>
      </c>
      <c r="B30352" s="74" t="s">
        <v>15088</v>
      </c>
      <c r="C30352" s="74" t="s">
        <v>429</v>
      </c>
    </row>
    <row r="30353" spans="1:3">
      <c r="A30353" s="250">
        <v>70836</v>
      </c>
      <c r="B30353" s="74" t="s">
        <v>15088</v>
      </c>
      <c r="C30353" s="74" t="s">
        <v>429</v>
      </c>
    </row>
    <row r="30354" spans="1:3">
      <c r="A30354" s="250">
        <v>70837</v>
      </c>
      <c r="B30354" s="74" t="s">
        <v>15088</v>
      </c>
      <c r="C30354" s="74" t="s">
        <v>429</v>
      </c>
    </row>
    <row r="30355" spans="1:3">
      <c r="A30355" s="250">
        <v>70873</v>
      </c>
      <c r="B30355" s="74" t="s">
        <v>15088</v>
      </c>
      <c r="C30355" s="74" t="s">
        <v>429</v>
      </c>
    </row>
    <row r="30356" spans="1:3">
      <c r="A30356" s="250">
        <v>70874</v>
      </c>
      <c r="B30356" s="74" t="s">
        <v>15088</v>
      </c>
      <c r="C30356" s="74" t="s">
        <v>429</v>
      </c>
    </row>
    <row r="30357" spans="1:3">
      <c r="A30357" s="250">
        <v>70879</v>
      </c>
      <c r="B30357" s="74" t="s">
        <v>15088</v>
      </c>
      <c r="C30357" s="74" t="s">
        <v>429</v>
      </c>
    </row>
    <row r="30358" spans="1:3">
      <c r="A30358" s="250">
        <v>70883</v>
      </c>
      <c r="B30358" s="74" t="s">
        <v>15088</v>
      </c>
      <c r="C30358" s="74" t="s">
        <v>429</v>
      </c>
    </row>
    <row r="30359" spans="1:3">
      <c r="A30359" s="250">
        <v>70884</v>
      </c>
      <c r="B30359" s="74" t="s">
        <v>15088</v>
      </c>
      <c r="C30359" s="74" t="s">
        <v>429</v>
      </c>
    </row>
    <row r="30360" spans="1:3">
      <c r="A30360" s="250">
        <v>70891</v>
      </c>
      <c r="B30360" s="74" t="s">
        <v>15088</v>
      </c>
      <c r="C30360" s="74" t="s">
        <v>429</v>
      </c>
    </row>
    <row r="30361" spans="1:3">
      <c r="A30361" s="250">
        <v>70892</v>
      </c>
      <c r="B30361" s="74" t="s">
        <v>15088</v>
      </c>
      <c r="C30361" s="74" t="s">
        <v>429</v>
      </c>
    </row>
    <row r="30362" spans="1:3">
      <c r="A30362" s="250">
        <v>70893</v>
      </c>
      <c r="B30362" s="74" t="s">
        <v>15088</v>
      </c>
      <c r="C30362" s="74" t="s">
        <v>429</v>
      </c>
    </row>
    <row r="30363" spans="1:3">
      <c r="A30363" s="250">
        <v>70894</v>
      </c>
      <c r="B30363" s="74" t="s">
        <v>15088</v>
      </c>
      <c r="C30363" s="74" t="s">
        <v>429</v>
      </c>
    </row>
    <row r="30364" spans="1:3">
      <c r="A30364" s="250">
        <v>70895</v>
      </c>
      <c r="B30364" s="74" t="s">
        <v>15088</v>
      </c>
      <c r="C30364" s="74" t="s">
        <v>429</v>
      </c>
    </row>
    <row r="30365" spans="1:3">
      <c r="A30365" s="250">
        <v>70896</v>
      </c>
      <c r="B30365" s="74" t="s">
        <v>15088</v>
      </c>
      <c r="C30365" s="74" t="s">
        <v>429</v>
      </c>
    </row>
    <row r="30366" spans="1:3">
      <c r="A30366" s="250">
        <v>70898</v>
      </c>
      <c r="B30366" s="74" t="s">
        <v>15088</v>
      </c>
      <c r="C30366" s="74" t="s">
        <v>429</v>
      </c>
    </row>
    <row r="30367" spans="1:3">
      <c r="A30367" s="250">
        <v>71001</v>
      </c>
      <c r="B30367" s="74" t="s">
        <v>4258</v>
      </c>
      <c r="C30367" s="74" t="s">
        <v>429</v>
      </c>
    </row>
    <row r="30368" spans="1:3">
      <c r="A30368" s="250">
        <v>71002</v>
      </c>
      <c r="B30368" s="74" t="s">
        <v>782</v>
      </c>
      <c r="C30368" s="74" t="s">
        <v>429</v>
      </c>
    </row>
    <row r="30369" spans="1:3">
      <c r="A30369" s="250">
        <v>71003</v>
      </c>
      <c r="B30369" s="74" t="s">
        <v>1678</v>
      </c>
      <c r="C30369" s="74" t="s">
        <v>429</v>
      </c>
    </row>
    <row r="30370" spans="1:3">
      <c r="A30370" s="250">
        <v>71004</v>
      </c>
      <c r="B30370" s="74" t="s">
        <v>9810</v>
      </c>
      <c r="C30370" s="74" t="s">
        <v>429</v>
      </c>
    </row>
    <row r="30371" spans="1:3">
      <c r="A30371" s="250">
        <v>71006</v>
      </c>
      <c r="B30371" s="74" t="s">
        <v>4938</v>
      </c>
      <c r="C30371" s="74" t="s">
        <v>429</v>
      </c>
    </row>
    <row r="30372" spans="1:3">
      <c r="A30372" s="250">
        <v>71007</v>
      </c>
      <c r="B30372" s="74" t="s">
        <v>2075</v>
      </c>
      <c r="C30372" s="74" t="s">
        <v>429</v>
      </c>
    </row>
    <row r="30373" spans="1:3">
      <c r="A30373" s="250">
        <v>71008</v>
      </c>
      <c r="B30373" s="74" t="s">
        <v>15089</v>
      </c>
      <c r="C30373" s="74" t="s">
        <v>429</v>
      </c>
    </row>
    <row r="30374" spans="1:3">
      <c r="A30374" s="250">
        <v>71009</v>
      </c>
      <c r="B30374" s="74" t="s">
        <v>4615</v>
      </c>
      <c r="C30374" s="74" t="s">
        <v>429</v>
      </c>
    </row>
    <row r="30375" spans="1:3">
      <c r="A30375" s="250">
        <v>71016</v>
      </c>
      <c r="B30375" s="74" t="s">
        <v>15090</v>
      </c>
      <c r="C30375" s="74" t="s">
        <v>429</v>
      </c>
    </row>
    <row r="30376" spans="1:3">
      <c r="A30376" s="250">
        <v>71018</v>
      </c>
      <c r="B30376" s="74" t="s">
        <v>15091</v>
      </c>
      <c r="C30376" s="74" t="s">
        <v>429</v>
      </c>
    </row>
    <row r="30377" spans="1:3">
      <c r="A30377" s="250">
        <v>71019</v>
      </c>
      <c r="B30377" s="74" t="s">
        <v>15092</v>
      </c>
      <c r="C30377" s="74" t="s">
        <v>429</v>
      </c>
    </row>
    <row r="30378" spans="1:3">
      <c r="A30378" s="250">
        <v>71021</v>
      </c>
      <c r="B30378" s="74" t="s">
        <v>6229</v>
      </c>
      <c r="C30378" s="74" t="s">
        <v>429</v>
      </c>
    </row>
    <row r="30379" spans="1:3">
      <c r="A30379" s="250">
        <v>71023</v>
      </c>
      <c r="B30379" s="74" t="s">
        <v>15093</v>
      </c>
      <c r="C30379" s="74" t="s">
        <v>429</v>
      </c>
    </row>
    <row r="30380" spans="1:3">
      <c r="A30380" s="250">
        <v>71024</v>
      </c>
      <c r="B30380" s="74" t="s">
        <v>15094</v>
      </c>
      <c r="C30380" s="74" t="s">
        <v>429</v>
      </c>
    </row>
    <row r="30381" spans="1:3">
      <c r="A30381" s="250">
        <v>71027</v>
      </c>
      <c r="B30381" s="74" t="s">
        <v>15095</v>
      </c>
      <c r="C30381" s="74" t="s">
        <v>429</v>
      </c>
    </row>
    <row r="30382" spans="1:3">
      <c r="A30382" s="250">
        <v>71028</v>
      </c>
      <c r="B30382" s="74" t="s">
        <v>15096</v>
      </c>
      <c r="C30382" s="74" t="s">
        <v>429</v>
      </c>
    </row>
    <row r="30383" spans="1:3">
      <c r="A30383" s="250">
        <v>71029</v>
      </c>
      <c r="B30383" s="74" t="s">
        <v>14379</v>
      </c>
      <c r="C30383" s="74" t="s">
        <v>429</v>
      </c>
    </row>
    <row r="30384" spans="1:3">
      <c r="A30384" s="250">
        <v>71030</v>
      </c>
      <c r="B30384" s="74" t="s">
        <v>9524</v>
      </c>
      <c r="C30384" s="74" t="s">
        <v>429</v>
      </c>
    </row>
    <row r="30385" spans="1:3">
      <c r="A30385" s="250">
        <v>71031</v>
      </c>
      <c r="B30385" s="74" t="s">
        <v>15097</v>
      </c>
      <c r="C30385" s="74" t="s">
        <v>429</v>
      </c>
    </row>
    <row r="30386" spans="1:3">
      <c r="A30386" s="250">
        <v>71032</v>
      </c>
      <c r="B30386" s="74" t="s">
        <v>15098</v>
      </c>
      <c r="C30386" s="74" t="s">
        <v>429</v>
      </c>
    </row>
    <row r="30387" spans="1:3">
      <c r="A30387" s="250">
        <v>71033</v>
      </c>
      <c r="B30387" s="74" t="s">
        <v>1448</v>
      </c>
      <c r="C30387" s="74" t="s">
        <v>429</v>
      </c>
    </row>
    <row r="30388" spans="1:3">
      <c r="A30388" s="250">
        <v>71034</v>
      </c>
      <c r="B30388" s="74" t="s">
        <v>15099</v>
      </c>
      <c r="C30388" s="74" t="s">
        <v>429</v>
      </c>
    </row>
    <row r="30389" spans="1:3">
      <c r="A30389" s="250">
        <v>71037</v>
      </c>
      <c r="B30389" s="74" t="s">
        <v>15100</v>
      </c>
      <c r="C30389" s="74" t="s">
        <v>429</v>
      </c>
    </row>
    <row r="30390" spans="1:3">
      <c r="A30390" s="250">
        <v>71038</v>
      </c>
      <c r="B30390" s="74" t="s">
        <v>5895</v>
      </c>
      <c r="C30390" s="74" t="s">
        <v>429</v>
      </c>
    </row>
    <row r="30391" spans="1:3">
      <c r="A30391" s="250">
        <v>71039</v>
      </c>
      <c r="B30391" s="74" t="s">
        <v>8831</v>
      </c>
      <c r="C30391" s="74" t="s">
        <v>429</v>
      </c>
    </row>
    <row r="30392" spans="1:3">
      <c r="A30392" s="250">
        <v>71040</v>
      </c>
      <c r="B30392" s="74" t="s">
        <v>3369</v>
      </c>
      <c r="C30392" s="74" t="s">
        <v>429</v>
      </c>
    </row>
    <row r="30393" spans="1:3">
      <c r="A30393" s="250">
        <v>71043</v>
      </c>
      <c r="B30393" s="74" t="s">
        <v>15101</v>
      </c>
      <c r="C30393" s="74" t="s">
        <v>429</v>
      </c>
    </row>
    <row r="30394" spans="1:3">
      <c r="A30394" s="250">
        <v>71044</v>
      </c>
      <c r="B30394" s="74" t="s">
        <v>11018</v>
      </c>
      <c r="C30394" s="74" t="s">
        <v>429</v>
      </c>
    </row>
    <row r="30395" spans="1:3">
      <c r="A30395" s="250">
        <v>71045</v>
      </c>
      <c r="B30395" s="74" t="s">
        <v>1113</v>
      </c>
      <c r="C30395" s="74" t="s">
        <v>429</v>
      </c>
    </row>
    <row r="30396" spans="1:3">
      <c r="A30396" s="250">
        <v>71046</v>
      </c>
      <c r="B30396" s="74" t="s">
        <v>15102</v>
      </c>
      <c r="C30396" s="74" t="s">
        <v>429</v>
      </c>
    </row>
    <row r="30397" spans="1:3">
      <c r="A30397" s="250">
        <v>71047</v>
      </c>
      <c r="B30397" s="74" t="s">
        <v>15103</v>
      </c>
      <c r="C30397" s="74" t="s">
        <v>429</v>
      </c>
    </row>
    <row r="30398" spans="1:3">
      <c r="A30398" s="250">
        <v>71048</v>
      </c>
      <c r="B30398" s="74" t="s">
        <v>1254</v>
      </c>
      <c r="C30398" s="74" t="s">
        <v>429</v>
      </c>
    </row>
    <row r="30399" spans="1:3">
      <c r="A30399" s="250">
        <v>71049</v>
      </c>
      <c r="B30399" s="74" t="s">
        <v>10776</v>
      </c>
      <c r="C30399" s="74" t="s">
        <v>429</v>
      </c>
    </row>
    <row r="30400" spans="1:3">
      <c r="A30400" s="250">
        <v>71050</v>
      </c>
      <c r="B30400" s="74" t="s">
        <v>15104</v>
      </c>
      <c r="C30400" s="74" t="s">
        <v>429</v>
      </c>
    </row>
    <row r="30401" spans="1:3">
      <c r="A30401" s="250">
        <v>71051</v>
      </c>
      <c r="B30401" s="74" t="s">
        <v>11979</v>
      </c>
      <c r="C30401" s="74" t="s">
        <v>429</v>
      </c>
    </row>
    <row r="30402" spans="1:3">
      <c r="A30402" s="250">
        <v>71052</v>
      </c>
      <c r="B30402" s="74" t="s">
        <v>879</v>
      </c>
      <c r="C30402" s="74" t="s">
        <v>429</v>
      </c>
    </row>
    <row r="30403" spans="1:3">
      <c r="A30403" s="250">
        <v>71055</v>
      </c>
      <c r="B30403" s="74" t="s">
        <v>6811</v>
      </c>
      <c r="C30403" s="74" t="s">
        <v>429</v>
      </c>
    </row>
    <row r="30404" spans="1:3">
      <c r="A30404" s="250">
        <v>71058</v>
      </c>
      <c r="B30404" s="74" t="s">
        <v>6811</v>
      </c>
      <c r="C30404" s="74" t="s">
        <v>429</v>
      </c>
    </row>
    <row r="30405" spans="1:3">
      <c r="A30405" s="250">
        <v>71060</v>
      </c>
      <c r="B30405" s="74" t="s">
        <v>15105</v>
      </c>
      <c r="C30405" s="74" t="s">
        <v>429</v>
      </c>
    </row>
    <row r="30406" spans="1:3">
      <c r="A30406" s="250">
        <v>71061</v>
      </c>
      <c r="B30406" s="74" t="s">
        <v>4473</v>
      </c>
      <c r="C30406" s="74" t="s">
        <v>429</v>
      </c>
    </row>
    <row r="30407" spans="1:3">
      <c r="A30407" s="250">
        <v>71063</v>
      </c>
      <c r="B30407" s="74" t="s">
        <v>15106</v>
      </c>
      <c r="C30407" s="74" t="s">
        <v>429</v>
      </c>
    </row>
    <row r="30408" spans="1:3">
      <c r="A30408" s="250">
        <v>71064</v>
      </c>
      <c r="B30408" s="74" t="s">
        <v>15107</v>
      </c>
      <c r="C30408" s="74" t="s">
        <v>429</v>
      </c>
    </row>
    <row r="30409" spans="1:3">
      <c r="A30409" s="250">
        <v>71065</v>
      </c>
      <c r="B30409" s="74" t="s">
        <v>7214</v>
      </c>
      <c r="C30409" s="74" t="s">
        <v>429</v>
      </c>
    </row>
    <row r="30410" spans="1:3">
      <c r="A30410" s="250">
        <v>71066</v>
      </c>
      <c r="B30410" s="74" t="s">
        <v>6099</v>
      </c>
      <c r="C30410" s="74" t="s">
        <v>429</v>
      </c>
    </row>
    <row r="30411" spans="1:3">
      <c r="A30411" s="250">
        <v>71067</v>
      </c>
      <c r="B30411" s="74" t="s">
        <v>755</v>
      </c>
      <c r="C30411" s="74" t="s">
        <v>429</v>
      </c>
    </row>
    <row r="30412" spans="1:3">
      <c r="A30412" s="250">
        <v>71068</v>
      </c>
      <c r="B30412" s="74" t="s">
        <v>4301</v>
      </c>
      <c r="C30412" s="74" t="s">
        <v>429</v>
      </c>
    </row>
    <row r="30413" spans="1:3">
      <c r="A30413" s="250">
        <v>71069</v>
      </c>
      <c r="B30413" s="74" t="s">
        <v>15108</v>
      </c>
      <c r="C30413" s="74" t="s">
        <v>429</v>
      </c>
    </row>
    <row r="30414" spans="1:3">
      <c r="A30414" s="250">
        <v>71070</v>
      </c>
      <c r="B30414" s="74" t="s">
        <v>11025</v>
      </c>
      <c r="C30414" s="74" t="s">
        <v>429</v>
      </c>
    </row>
    <row r="30415" spans="1:3">
      <c r="A30415" s="250">
        <v>71071</v>
      </c>
      <c r="B30415" s="74" t="s">
        <v>15109</v>
      </c>
      <c r="C30415" s="74" t="s">
        <v>429</v>
      </c>
    </row>
    <row r="30416" spans="1:3">
      <c r="A30416" s="250">
        <v>71072</v>
      </c>
      <c r="B30416" s="74" t="s">
        <v>15110</v>
      </c>
      <c r="C30416" s="74" t="s">
        <v>429</v>
      </c>
    </row>
    <row r="30417" spans="1:3">
      <c r="A30417" s="250">
        <v>71073</v>
      </c>
      <c r="B30417" s="74" t="s">
        <v>9443</v>
      </c>
      <c r="C30417" s="74" t="s">
        <v>429</v>
      </c>
    </row>
    <row r="30418" spans="1:3">
      <c r="A30418" s="250">
        <v>71075</v>
      </c>
      <c r="B30418" s="74" t="s">
        <v>15111</v>
      </c>
      <c r="C30418" s="74" t="s">
        <v>429</v>
      </c>
    </row>
    <row r="30419" spans="1:3">
      <c r="A30419" s="250">
        <v>71078</v>
      </c>
      <c r="B30419" s="74" t="s">
        <v>7462</v>
      </c>
      <c r="C30419" s="74" t="s">
        <v>429</v>
      </c>
    </row>
    <row r="30420" spans="1:3">
      <c r="A30420" s="250">
        <v>71079</v>
      </c>
      <c r="B30420" s="74" t="s">
        <v>7127</v>
      </c>
      <c r="C30420" s="74" t="s">
        <v>429</v>
      </c>
    </row>
    <row r="30421" spans="1:3">
      <c r="A30421" s="250">
        <v>71080</v>
      </c>
      <c r="B30421" s="74" t="s">
        <v>5195</v>
      </c>
      <c r="C30421" s="74" t="s">
        <v>429</v>
      </c>
    </row>
    <row r="30422" spans="1:3">
      <c r="A30422" s="250">
        <v>71082</v>
      </c>
      <c r="B30422" s="74" t="s">
        <v>12940</v>
      </c>
      <c r="C30422" s="74" t="s">
        <v>429</v>
      </c>
    </row>
    <row r="30423" spans="1:3">
      <c r="A30423" s="250">
        <v>71101</v>
      </c>
      <c r="B30423" s="74" t="s">
        <v>15112</v>
      </c>
      <c r="C30423" s="74" t="s">
        <v>429</v>
      </c>
    </row>
    <row r="30424" spans="1:3">
      <c r="A30424" s="250">
        <v>71102</v>
      </c>
      <c r="B30424" s="74" t="s">
        <v>15112</v>
      </c>
      <c r="C30424" s="74" t="s">
        <v>429</v>
      </c>
    </row>
    <row r="30425" spans="1:3">
      <c r="A30425" s="250">
        <v>71103</v>
      </c>
      <c r="B30425" s="74" t="s">
        <v>15112</v>
      </c>
      <c r="C30425" s="74" t="s">
        <v>429</v>
      </c>
    </row>
    <row r="30426" spans="1:3">
      <c r="A30426" s="250">
        <v>71104</v>
      </c>
      <c r="B30426" s="74" t="s">
        <v>15112</v>
      </c>
      <c r="C30426" s="74" t="s">
        <v>429</v>
      </c>
    </row>
    <row r="30427" spans="1:3">
      <c r="A30427" s="250">
        <v>71105</v>
      </c>
      <c r="B30427" s="74" t="s">
        <v>15112</v>
      </c>
      <c r="C30427" s="74" t="s">
        <v>429</v>
      </c>
    </row>
    <row r="30428" spans="1:3">
      <c r="A30428" s="250">
        <v>71106</v>
      </c>
      <c r="B30428" s="74" t="s">
        <v>15112</v>
      </c>
      <c r="C30428" s="74" t="s">
        <v>429</v>
      </c>
    </row>
    <row r="30429" spans="1:3">
      <c r="A30429" s="250">
        <v>71107</v>
      </c>
      <c r="B30429" s="74" t="s">
        <v>15112</v>
      </c>
      <c r="C30429" s="74" t="s">
        <v>429</v>
      </c>
    </row>
    <row r="30430" spans="1:3">
      <c r="A30430" s="250">
        <v>71108</v>
      </c>
      <c r="B30430" s="74" t="s">
        <v>15112</v>
      </c>
      <c r="C30430" s="74" t="s">
        <v>429</v>
      </c>
    </row>
    <row r="30431" spans="1:3">
      <c r="A30431" s="250">
        <v>71109</v>
      </c>
      <c r="B30431" s="74" t="s">
        <v>15112</v>
      </c>
      <c r="C30431" s="74" t="s">
        <v>429</v>
      </c>
    </row>
    <row r="30432" spans="1:3">
      <c r="A30432" s="250">
        <v>71110</v>
      </c>
      <c r="B30432" s="74" t="s">
        <v>15113</v>
      </c>
      <c r="C30432" s="74" t="s">
        <v>429</v>
      </c>
    </row>
    <row r="30433" spans="1:3">
      <c r="A30433" s="250">
        <v>71111</v>
      </c>
      <c r="B30433" s="74" t="s">
        <v>15114</v>
      </c>
      <c r="C30433" s="74" t="s">
        <v>429</v>
      </c>
    </row>
    <row r="30434" spans="1:3">
      <c r="A30434" s="250">
        <v>71112</v>
      </c>
      <c r="B30434" s="74" t="s">
        <v>15114</v>
      </c>
      <c r="C30434" s="74" t="s">
        <v>429</v>
      </c>
    </row>
    <row r="30435" spans="1:3">
      <c r="A30435" s="250">
        <v>71113</v>
      </c>
      <c r="B30435" s="74" t="s">
        <v>15114</v>
      </c>
      <c r="C30435" s="74" t="s">
        <v>429</v>
      </c>
    </row>
    <row r="30436" spans="1:3">
      <c r="A30436" s="250">
        <v>71115</v>
      </c>
      <c r="B30436" s="74" t="s">
        <v>15112</v>
      </c>
      <c r="C30436" s="74" t="s">
        <v>429</v>
      </c>
    </row>
    <row r="30437" spans="1:3">
      <c r="A30437" s="250">
        <v>71118</v>
      </c>
      <c r="B30437" s="74" t="s">
        <v>15112</v>
      </c>
      <c r="C30437" s="74" t="s">
        <v>429</v>
      </c>
    </row>
    <row r="30438" spans="1:3">
      <c r="A30438" s="250">
        <v>71119</v>
      </c>
      <c r="B30438" s="74" t="s">
        <v>15112</v>
      </c>
      <c r="C30438" s="74" t="s">
        <v>429</v>
      </c>
    </row>
    <row r="30439" spans="1:3">
      <c r="A30439" s="250">
        <v>71120</v>
      </c>
      <c r="B30439" s="74" t="s">
        <v>15112</v>
      </c>
      <c r="C30439" s="74" t="s">
        <v>429</v>
      </c>
    </row>
    <row r="30440" spans="1:3">
      <c r="A30440" s="250">
        <v>71129</v>
      </c>
      <c r="B30440" s="74" t="s">
        <v>15112</v>
      </c>
      <c r="C30440" s="74" t="s">
        <v>429</v>
      </c>
    </row>
    <row r="30441" spans="1:3">
      <c r="A30441" s="250">
        <v>71130</v>
      </c>
      <c r="B30441" s="74" t="s">
        <v>15112</v>
      </c>
      <c r="C30441" s="74" t="s">
        <v>429</v>
      </c>
    </row>
    <row r="30442" spans="1:3">
      <c r="A30442" s="250">
        <v>71133</v>
      </c>
      <c r="B30442" s="74" t="s">
        <v>15112</v>
      </c>
      <c r="C30442" s="74" t="s">
        <v>429</v>
      </c>
    </row>
    <row r="30443" spans="1:3">
      <c r="A30443" s="250">
        <v>71134</v>
      </c>
      <c r="B30443" s="74" t="s">
        <v>15112</v>
      </c>
      <c r="C30443" s="74" t="s">
        <v>429</v>
      </c>
    </row>
    <row r="30444" spans="1:3">
      <c r="A30444" s="250">
        <v>71135</v>
      </c>
      <c r="B30444" s="74" t="s">
        <v>15112</v>
      </c>
      <c r="C30444" s="74" t="s">
        <v>429</v>
      </c>
    </row>
    <row r="30445" spans="1:3">
      <c r="A30445" s="250">
        <v>71136</v>
      </c>
      <c r="B30445" s="74" t="s">
        <v>15112</v>
      </c>
      <c r="C30445" s="74" t="s">
        <v>429</v>
      </c>
    </row>
    <row r="30446" spans="1:3">
      <c r="A30446" s="250">
        <v>71137</v>
      </c>
      <c r="B30446" s="74" t="s">
        <v>15112</v>
      </c>
      <c r="C30446" s="74" t="s">
        <v>429</v>
      </c>
    </row>
    <row r="30447" spans="1:3">
      <c r="A30447" s="250">
        <v>71138</v>
      </c>
      <c r="B30447" s="74" t="s">
        <v>15112</v>
      </c>
      <c r="C30447" s="74" t="s">
        <v>429</v>
      </c>
    </row>
    <row r="30448" spans="1:3">
      <c r="A30448" s="250">
        <v>71148</v>
      </c>
      <c r="B30448" s="74" t="s">
        <v>15112</v>
      </c>
      <c r="C30448" s="74" t="s">
        <v>429</v>
      </c>
    </row>
    <row r="30449" spans="1:3">
      <c r="A30449" s="250">
        <v>71149</v>
      </c>
      <c r="B30449" s="74" t="s">
        <v>15112</v>
      </c>
      <c r="C30449" s="74" t="s">
        <v>429</v>
      </c>
    </row>
    <row r="30450" spans="1:3">
      <c r="A30450" s="250">
        <v>71150</v>
      </c>
      <c r="B30450" s="74" t="s">
        <v>15112</v>
      </c>
      <c r="C30450" s="74" t="s">
        <v>429</v>
      </c>
    </row>
    <row r="30451" spans="1:3">
      <c r="A30451" s="250">
        <v>71151</v>
      </c>
      <c r="B30451" s="74" t="s">
        <v>15112</v>
      </c>
      <c r="C30451" s="74" t="s">
        <v>429</v>
      </c>
    </row>
    <row r="30452" spans="1:3">
      <c r="A30452" s="250">
        <v>71152</v>
      </c>
      <c r="B30452" s="74" t="s">
        <v>15112</v>
      </c>
      <c r="C30452" s="74" t="s">
        <v>429</v>
      </c>
    </row>
    <row r="30453" spans="1:3">
      <c r="A30453" s="250">
        <v>71153</v>
      </c>
      <c r="B30453" s="74" t="s">
        <v>15112</v>
      </c>
      <c r="C30453" s="74" t="s">
        <v>429</v>
      </c>
    </row>
    <row r="30454" spans="1:3">
      <c r="A30454" s="250">
        <v>71154</v>
      </c>
      <c r="B30454" s="74" t="s">
        <v>15112</v>
      </c>
      <c r="C30454" s="74" t="s">
        <v>429</v>
      </c>
    </row>
    <row r="30455" spans="1:3">
      <c r="A30455" s="250">
        <v>71156</v>
      </c>
      <c r="B30455" s="74" t="s">
        <v>15112</v>
      </c>
      <c r="C30455" s="74" t="s">
        <v>429</v>
      </c>
    </row>
    <row r="30456" spans="1:3">
      <c r="A30456" s="250">
        <v>71161</v>
      </c>
      <c r="B30456" s="74" t="s">
        <v>15112</v>
      </c>
      <c r="C30456" s="74" t="s">
        <v>429</v>
      </c>
    </row>
    <row r="30457" spans="1:3">
      <c r="A30457" s="250">
        <v>71162</v>
      </c>
      <c r="B30457" s="74" t="s">
        <v>15112</v>
      </c>
      <c r="C30457" s="74" t="s">
        <v>429</v>
      </c>
    </row>
    <row r="30458" spans="1:3">
      <c r="A30458" s="250">
        <v>71163</v>
      </c>
      <c r="B30458" s="74" t="s">
        <v>15112</v>
      </c>
      <c r="C30458" s="74" t="s">
        <v>429</v>
      </c>
    </row>
    <row r="30459" spans="1:3">
      <c r="A30459" s="250">
        <v>71164</v>
      </c>
      <c r="B30459" s="74" t="s">
        <v>15112</v>
      </c>
      <c r="C30459" s="74" t="s">
        <v>429</v>
      </c>
    </row>
    <row r="30460" spans="1:3">
      <c r="A30460" s="250">
        <v>71165</v>
      </c>
      <c r="B30460" s="74" t="s">
        <v>15112</v>
      </c>
      <c r="C30460" s="74" t="s">
        <v>429</v>
      </c>
    </row>
    <row r="30461" spans="1:3">
      <c r="A30461" s="250">
        <v>71166</v>
      </c>
      <c r="B30461" s="74" t="s">
        <v>15112</v>
      </c>
      <c r="C30461" s="74" t="s">
        <v>429</v>
      </c>
    </row>
    <row r="30462" spans="1:3">
      <c r="A30462" s="250">
        <v>71171</v>
      </c>
      <c r="B30462" s="74" t="s">
        <v>15114</v>
      </c>
      <c r="C30462" s="74" t="s">
        <v>429</v>
      </c>
    </row>
    <row r="30463" spans="1:3">
      <c r="A30463" s="250">
        <v>71172</v>
      </c>
      <c r="B30463" s="74" t="s">
        <v>15114</v>
      </c>
      <c r="C30463" s="74" t="s">
        <v>429</v>
      </c>
    </row>
    <row r="30464" spans="1:3">
      <c r="A30464" s="250">
        <v>71201</v>
      </c>
      <c r="B30464" s="74" t="s">
        <v>1284</v>
      </c>
      <c r="C30464" s="74" t="s">
        <v>429</v>
      </c>
    </row>
    <row r="30465" spans="1:3">
      <c r="A30465" s="250">
        <v>71202</v>
      </c>
      <c r="B30465" s="74" t="s">
        <v>1284</v>
      </c>
      <c r="C30465" s="74" t="s">
        <v>429</v>
      </c>
    </row>
    <row r="30466" spans="1:3">
      <c r="A30466" s="250">
        <v>71203</v>
      </c>
      <c r="B30466" s="74" t="s">
        <v>1284</v>
      </c>
      <c r="C30466" s="74" t="s">
        <v>429</v>
      </c>
    </row>
    <row r="30467" spans="1:3">
      <c r="A30467" s="250">
        <v>71207</v>
      </c>
      <c r="B30467" s="74" t="s">
        <v>1284</v>
      </c>
      <c r="C30467" s="74" t="s">
        <v>429</v>
      </c>
    </row>
    <row r="30468" spans="1:3">
      <c r="A30468" s="250">
        <v>71208</v>
      </c>
      <c r="B30468" s="74" t="s">
        <v>1284</v>
      </c>
      <c r="C30468" s="74" t="s">
        <v>429</v>
      </c>
    </row>
    <row r="30469" spans="1:3">
      <c r="A30469" s="250">
        <v>71209</v>
      </c>
      <c r="B30469" s="74" t="s">
        <v>1284</v>
      </c>
      <c r="C30469" s="74" t="s">
        <v>429</v>
      </c>
    </row>
    <row r="30470" spans="1:3">
      <c r="A30470" s="250">
        <v>71210</v>
      </c>
      <c r="B30470" s="74" t="s">
        <v>1284</v>
      </c>
      <c r="C30470" s="74" t="s">
        <v>429</v>
      </c>
    </row>
    <row r="30471" spans="1:3">
      <c r="A30471" s="250">
        <v>71211</v>
      </c>
      <c r="B30471" s="74" t="s">
        <v>1284</v>
      </c>
      <c r="C30471" s="74" t="s">
        <v>429</v>
      </c>
    </row>
    <row r="30472" spans="1:3">
      <c r="A30472" s="250">
        <v>71212</v>
      </c>
      <c r="B30472" s="74" t="s">
        <v>1284</v>
      </c>
      <c r="C30472" s="74" t="s">
        <v>429</v>
      </c>
    </row>
    <row r="30473" spans="1:3">
      <c r="A30473" s="250">
        <v>71213</v>
      </c>
      <c r="B30473" s="74" t="s">
        <v>1284</v>
      </c>
      <c r="C30473" s="74" t="s">
        <v>429</v>
      </c>
    </row>
    <row r="30474" spans="1:3">
      <c r="A30474" s="250">
        <v>71217</v>
      </c>
      <c r="B30474" s="74" t="s">
        <v>1284</v>
      </c>
      <c r="C30474" s="74" t="s">
        <v>429</v>
      </c>
    </row>
    <row r="30475" spans="1:3">
      <c r="A30475" s="250">
        <v>71218</v>
      </c>
      <c r="B30475" s="74" t="s">
        <v>15115</v>
      </c>
      <c r="C30475" s="74" t="s">
        <v>429</v>
      </c>
    </row>
    <row r="30476" spans="1:3">
      <c r="A30476" s="250">
        <v>71219</v>
      </c>
      <c r="B30476" s="74" t="s">
        <v>15116</v>
      </c>
      <c r="C30476" s="74" t="s">
        <v>429</v>
      </c>
    </row>
    <row r="30477" spans="1:3">
      <c r="A30477" s="250">
        <v>71220</v>
      </c>
      <c r="B30477" s="74" t="s">
        <v>15117</v>
      </c>
      <c r="C30477" s="74" t="s">
        <v>429</v>
      </c>
    </row>
    <row r="30478" spans="1:3">
      <c r="A30478" s="250">
        <v>71221</v>
      </c>
      <c r="B30478" s="74" t="s">
        <v>15117</v>
      </c>
      <c r="C30478" s="74" t="s">
        <v>429</v>
      </c>
    </row>
    <row r="30479" spans="1:3">
      <c r="A30479" s="250">
        <v>71222</v>
      </c>
      <c r="B30479" s="74" t="s">
        <v>15118</v>
      </c>
      <c r="C30479" s="74" t="s">
        <v>429</v>
      </c>
    </row>
    <row r="30480" spans="1:3">
      <c r="A30480" s="250">
        <v>71223</v>
      </c>
      <c r="B30480" s="74" t="s">
        <v>15119</v>
      </c>
      <c r="C30480" s="74" t="s">
        <v>429</v>
      </c>
    </row>
    <row r="30481" spans="1:3">
      <c r="A30481" s="250">
        <v>71225</v>
      </c>
      <c r="B30481" s="74" t="s">
        <v>8025</v>
      </c>
      <c r="C30481" s="74" t="s">
        <v>429</v>
      </c>
    </row>
    <row r="30482" spans="1:3">
      <c r="A30482" s="250">
        <v>71226</v>
      </c>
      <c r="B30482" s="74" t="s">
        <v>1025</v>
      </c>
      <c r="C30482" s="74" t="s">
        <v>429</v>
      </c>
    </row>
    <row r="30483" spans="1:3">
      <c r="A30483" s="250">
        <v>71227</v>
      </c>
      <c r="B30483" s="74" t="s">
        <v>15120</v>
      </c>
      <c r="C30483" s="74" t="s">
        <v>429</v>
      </c>
    </row>
    <row r="30484" spans="1:3">
      <c r="A30484" s="250">
        <v>71229</v>
      </c>
      <c r="B30484" s="74" t="s">
        <v>15121</v>
      </c>
      <c r="C30484" s="74" t="s">
        <v>429</v>
      </c>
    </row>
    <row r="30485" spans="1:3">
      <c r="A30485" s="250">
        <v>71230</v>
      </c>
      <c r="B30485" s="74" t="s">
        <v>15122</v>
      </c>
      <c r="C30485" s="74" t="s">
        <v>429</v>
      </c>
    </row>
    <row r="30486" spans="1:3">
      <c r="A30486" s="250">
        <v>71232</v>
      </c>
      <c r="B30486" s="74" t="s">
        <v>3608</v>
      </c>
      <c r="C30486" s="74" t="s">
        <v>429</v>
      </c>
    </row>
    <row r="30487" spans="1:3">
      <c r="A30487" s="250">
        <v>71233</v>
      </c>
      <c r="B30487" s="74" t="s">
        <v>4813</v>
      </c>
      <c r="C30487" s="74" t="s">
        <v>429</v>
      </c>
    </row>
    <row r="30488" spans="1:3">
      <c r="A30488" s="250">
        <v>71234</v>
      </c>
      <c r="B30488" s="74" t="s">
        <v>3610</v>
      </c>
      <c r="C30488" s="74" t="s">
        <v>429</v>
      </c>
    </row>
    <row r="30489" spans="1:3">
      <c r="A30489" s="250">
        <v>71235</v>
      </c>
      <c r="B30489" s="74" t="s">
        <v>15123</v>
      </c>
      <c r="C30489" s="74" t="s">
        <v>429</v>
      </c>
    </row>
    <row r="30490" spans="1:3">
      <c r="A30490" s="250">
        <v>71237</v>
      </c>
      <c r="B30490" s="74" t="s">
        <v>15124</v>
      </c>
      <c r="C30490" s="74" t="s">
        <v>429</v>
      </c>
    </row>
    <row r="30491" spans="1:3">
      <c r="A30491" s="250">
        <v>71238</v>
      </c>
      <c r="B30491" s="74" t="s">
        <v>15125</v>
      </c>
      <c r="C30491" s="74" t="s">
        <v>429</v>
      </c>
    </row>
    <row r="30492" spans="1:3">
      <c r="A30492" s="250">
        <v>71240</v>
      </c>
      <c r="B30492" s="74" t="s">
        <v>10934</v>
      </c>
      <c r="C30492" s="74" t="s">
        <v>429</v>
      </c>
    </row>
    <row r="30493" spans="1:3">
      <c r="A30493" s="250">
        <v>71241</v>
      </c>
      <c r="B30493" s="74" t="s">
        <v>15126</v>
      </c>
      <c r="C30493" s="74" t="s">
        <v>429</v>
      </c>
    </row>
    <row r="30494" spans="1:3">
      <c r="A30494" s="250">
        <v>71242</v>
      </c>
      <c r="B30494" s="74" t="s">
        <v>6426</v>
      </c>
      <c r="C30494" s="74" t="s">
        <v>429</v>
      </c>
    </row>
    <row r="30495" spans="1:3">
      <c r="A30495" s="250">
        <v>71243</v>
      </c>
      <c r="B30495" s="74" t="s">
        <v>15127</v>
      </c>
      <c r="C30495" s="74" t="s">
        <v>429</v>
      </c>
    </row>
    <row r="30496" spans="1:3">
      <c r="A30496" s="250">
        <v>71245</v>
      </c>
      <c r="B30496" s="74" t="s">
        <v>15128</v>
      </c>
      <c r="C30496" s="74" t="s">
        <v>429</v>
      </c>
    </row>
    <row r="30497" spans="1:3">
      <c r="A30497" s="250">
        <v>71247</v>
      </c>
      <c r="B30497" s="74" t="s">
        <v>15129</v>
      </c>
      <c r="C30497" s="74" t="s">
        <v>429</v>
      </c>
    </row>
    <row r="30498" spans="1:3">
      <c r="A30498" s="250">
        <v>71249</v>
      </c>
      <c r="B30498" s="74" t="s">
        <v>15130</v>
      </c>
      <c r="C30498" s="74" t="s">
        <v>429</v>
      </c>
    </row>
    <row r="30499" spans="1:3">
      <c r="A30499" s="250">
        <v>71250</v>
      </c>
      <c r="B30499" s="74" t="s">
        <v>8941</v>
      </c>
      <c r="C30499" s="74" t="s">
        <v>429</v>
      </c>
    </row>
    <row r="30500" spans="1:3">
      <c r="A30500" s="250">
        <v>71251</v>
      </c>
      <c r="B30500" s="74" t="s">
        <v>1591</v>
      </c>
      <c r="C30500" s="74" t="s">
        <v>429</v>
      </c>
    </row>
    <row r="30501" spans="1:3">
      <c r="A30501" s="250">
        <v>71253</v>
      </c>
      <c r="B30501" s="74" t="s">
        <v>10088</v>
      </c>
      <c r="C30501" s="74" t="s">
        <v>429</v>
      </c>
    </row>
    <row r="30502" spans="1:3">
      <c r="A30502" s="250">
        <v>71254</v>
      </c>
      <c r="B30502" s="74" t="s">
        <v>15131</v>
      </c>
      <c r="C30502" s="74" t="s">
        <v>429</v>
      </c>
    </row>
    <row r="30503" spans="1:3">
      <c r="A30503" s="250">
        <v>71256</v>
      </c>
      <c r="B30503" s="74" t="s">
        <v>15132</v>
      </c>
      <c r="C30503" s="74" t="s">
        <v>429</v>
      </c>
    </row>
    <row r="30504" spans="1:3">
      <c r="A30504" s="250">
        <v>71259</v>
      </c>
      <c r="B30504" s="74" t="s">
        <v>15133</v>
      </c>
      <c r="C30504" s="74" t="s">
        <v>429</v>
      </c>
    </row>
    <row r="30505" spans="1:3">
      <c r="A30505" s="250">
        <v>71260</v>
      </c>
      <c r="B30505" s="74" t="s">
        <v>1071</v>
      </c>
      <c r="C30505" s="74" t="s">
        <v>429</v>
      </c>
    </row>
    <row r="30506" spans="1:3">
      <c r="A30506" s="250">
        <v>71261</v>
      </c>
      <c r="B30506" s="74" t="s">
        <v>15134</v>
      </c>
      <c r="C30506" s="74" t="s">
        <v>429</v>
      </c>
    </row>
    <row r="30507" spans="1:3">
      <c r="A30507" s="250">
        <v>71263</v>
      </c>
      <c r="B30507" s="74" t="s">
        <v>9987</v>
      </c>
      <c r="C30507" s="74" t="s">
        <v>429</v>
      </c>
    </row>
    <row r="30508" spans="1:3">
      <c r="A30508" s="250">
        <v>71264</v>
      </c>
      <c r="B30508" s="74" t="s">
        <v>2198</v>
      </c>
      <c r="C30508" s="74" t="s">
        <v>429</v>
      </c>
    </row>
    <row r="30509" spans="1:3">
      <c r="A30509" s="250">
        <v>71266</v>
      </c>
      <c r="B30509" s="74" t="s">
        <v>9151</v>
      </c>
      <c r="C30509" s="74" t="s">
        <v>429</v>
      </c>
    </row>
    <row r="30510" spans="1:3">
      <c r="A30510" s="250">
        <v>71268</v>
      </c>
      <c r="B30510" s="74" t="s">
        <v>8155</v>
      </c>
      <c r="C30510" s="74" t="s">
        <v>429</v>
      </c>
    </row>
    <row r="30511" spans="1:3">
      <c r="A30511" s="250">
        <v>71269</v>
      </c>
      <c r="B30511" s="74" t="s">
        <v>14243</v>
      </c>
      <c r="C30511" s="74" t="s">
        <v>429</v>
      </c>
    </row>
    <row r="30512" spans="1:3">
      <c r="A30512" s="250">
        <v>71270</v>
      </c>
      <c r="B30512" s="74" t="s">
        <v>15135</v>
      </c>
      <c r="C30512" s="74" t="s">
        <v>429</v>
      </c>
    </row>
    <row r="30513" spans="1:3">
      <c r="A30513" s="250">
        <v>71272</v>
      </c>
      <c r="B30513" s="74" t="s">
        <v>15135</v>
      </c>
      <c r="C30513" s="74" t="s">
        <v>429</v>
      </c>
    </row>
    <row r="30514" spans="1:3">
      <c r="A30514" s="250">
        <v>71273</v>
      </c>
      <c r="B30514" s="74" t="s">
        <v>15135</v>
      </c>
      <c r="C30514" s="74" t="s">
        <v>429</v>
      </c>
    </row>
    <row r="30515" spans="1:3">
      <c r="A30515" s="250">
        <v>71275</v>
      </c>
      <c r="B30515" s="74" t="s">
        <v>15136</v>
      </c>
      <c r="C30515" s="74" t="s">
        <v>429</v>
      </c>
    </row>
    <row r="30516" spans="1:3">
      <c r="A30516" s="250">
        <v>71276</v>
      </c>
      <c r="B30516" s="74" t="s">
        <v>15137</v>
      </c>
      <c r="C30516" s="74" t="s">
        <v>429</v>
      </c>
    </row>
    <row r="30517" spans="1:3">
      <c r="A30517" s="250">
        <v>71277</v>
      </c>
      <c r="B30517" s="74" t="s">
        <v>15138</v>
      </c>
      <c r="C30517" s="74" t="s">
        <v>429</v>
      </c>
    </row>
    <row r="30518" spans="1:3">
      <c r="A30518" s="250">
        <v>71279</v>
      </c>
      <c r="B30518" s="74" t="s">
        <v>15139</v>
      </c>
      <c r="C30518" s="74" t="s">
        <v>429</v>
      </c>
    </row>
    <row r="30519" spans="1:3">
      <c r="A30519" s="250">
        <v>71280</v>
      </c>
      <c r="B30519" s="74" t="s">
        <v>15140</v>
      </c>
      <c r="C30519" s="74" t="s">
        <v>429</v>
      </c>
    </row>
    <row r="30520" spans="1:3">
      <c r="A30520" s="250">
        <v>71281</v>
      </c>
      <c r="B30520" s="74" t="s">
        <v>15141</v>
      </c>
      <c r="C30520" s="74" t="s">
        <v>429</v>
      </c>
    </row>
    <row r="30521" spans="1:3">
      <c r="A30521" s="250">
        <v>71282</v>
      </c>
      <c r="B30521" s="74" t="s">
        <v>15142</v>
      </c>
      <c r="C30521" s="74" t="s">
        <v>429</v>
      </c>
    </row>
    <row r="30522" spans="1:3">
      <c r="A30522" s="250">
        <v>71284</v>
      </c>
      <c r="B30522" s="74" t="s">
        <v>15142</v>
      </c>
      <c r="C30522" s="74" t="s">
        <v>429</v>
      </c>
    </row>
    <row r="30523" spans="1:3">
      <c r="A30523" s="250">
        <v>71286</v>
      </c>
      <c r="B30523" s="74" t="s">
        <v>15143</v>
      </c>
      <c r="C30523" s="74" t="s">
        <v>429</v>
      </c>
    </row>
    <row r="30524" spans="1:3">
      <c r="A30524" s="250">
        <v>71291</v>
      </c>
      <c r="B30524" s="74" t="s">
        <v>3427</v>
      </c>
      <c r="C30524" s="74" t="s">
        <v>429</v>
      </c>
    </row>
    <row r="30525" spans="1:3">
      <c r="A30525" s="250">
        <v>71292</v>
      </c>
      <c r="B30525" s="74" t="s">
        <v>3427</v>
      </c>
      <c r="C30525" s="74" t="s">
        <v>429</v>
      </c>
    </row>
    <row r="30526" spans="1:3">
      <c r="A30526" s="250">
        <v>71294</v>
      </c>
      <c r="B30526" s="74" t="s">
        <v>3427</v>
      </c>
      <c r="C30526" s="74" t="s">
        <v>429</v>
      </c>
    </row>
    <row r="30527" spans="1:3">
      <c r="A30527" s="250">
        <v>71295</v>
      </c>
      <c r="B30527" s="74" t="s">
        <v>7660</v>
      </c>
      <c r="C30527" s="74" t="s">
        <v>429</v>
      </c>
    </row>
    <row r="30528" spans="1:3">
      <c r="A30528" s="250">
        <v>71301</v>
      </c>
      <c r="B30528" s="74" t="s">
        <v>4530</v>
      </c>
      <c r="C30528" s="74" t="s">
        <v>429</v>
      </c>
    </row>
    <row r="30529" spans="1:3">
      <c r="A30529" s="250">
        <v>71302</v>
      </c>
      <c r="B30529" s="74" t="s">
        <v>4530</v>
      </c>
      <c r="C30529" s="74" t="s">
        <v>429</v>
      </c>
    </row>
    <row r="30530" spans="1:3">
      <c r="A30530" s="250">
        <v>71303</v>
      </c>
      <c r="B30530" s="74" t="s">
        <v>4530</v>
      </c>
      <c r="C30530" s="74" t="s">
        <v>429</v>
      </c>
    </row>
    <row r="30531" spans="1:3">
      <c r="A30531" s="250">
        <v>71306</v>
      </c>
      <c r="B30531" s="74" t="s">
        <v>4530</v>
      </c>
      <c r="C30531" s="74" t="s">
        <v>429</v>
      </c>
    </row>
    <row r="30532" spans="1:3">
      <c r="A30532" s="250">
        <v>71307</v>
      </c>
      <c r="B30532" s="74" t="s">
        <v>4530</v>
      </c>
      <c r="C30532" s="74" t="s">
        <v>429</v>
      </c>
    </row>
    <row r="30533" spans="1:3">
      <c r="A30533" s="250">
        <v>71309</v>
      </c>
      <c r="B30533" s="74" t="s">
        <v>4530</v>
      </c>
      <c r="C30533" s="74" t="s">
        <v>429</v>
      </c>
    </row>
    <row r="30534" spans="1:3">
      <c r="A30534" s="250">
        <v>71315</v>
      </c>
      <c r="B30534" s="74" t="s">
        <v>4530</v>
      </c>
      <c r="C30534" s="74" t="s">
        <v>429</v>
      </c>
    </row>
    <row r="30535" spans="1:3">
      <c r="A30535" s="250">
        <v>71316</v>
      </c>
      <c r="B30535" s="74" t="s">
        <v>4186</v>
      </c>
      <c r="C30535" s="74" t="s">
        <v>429</v>
      </c>
    </row>
    <row r="30536" spans="1:3">
      <c r="A30536" s="250">
        <v>71320</v>
      </c>
      <c r="B30536" s="74" t="s">
        <v>15144</v>
      </c>
      <c r="C30536" s="74" t="s">
        <v>429</v>
      </c>
    </row>
    <row r="30537" spans="1:3">
      <c r="A30537" s="250">
        <v>71322</v>
      </c>
      <c r="B30537" s="74" t="s">
        <v>15145</v>
      </c>
      <c r="C30537" s="74" t="s">
        <v>429</v>
      </c>
    </row>
    <row r="30538" spans="1:3">
      <c r="A30538" s="250">
        <v>71323</v>
      </c>
      <c r="B30538" s="74" t="s">
        <v>6933</v>
      </c>
      <c r="C30538" s="74" t="s">
        <v>429</v>
      </c>
    </row>
    <row r="30539" spans="1:3">
      <c r="A30539" s="250">
        <v>71324</v>
      </c>
      <c r="B30539" s="74" t="s">
        <v>5657</v>
      </c>
      <c r="C30539" s="74" t="s">
        <v>429</v>
      </c>
    </row>
    <row r="30540" spans="1:3">
      <c r="A30540" s="250">
        <v>71325</v>
      </c>
      <c r="B30540" s="74" t="s">
        <v>15146</v>
      </c>
      <c r="C30540" s="74" t="s">
        <v>429</v>
      </c>
    </row>
    <row r="30541" spans="1:3">
      <c r="A30541" s="250">
        <v>71326</v>
      </c>
      <c r="B30541" s="74" t="s">
        <v>2476</v>
      </c>
      <c r="C30541" s="74" t="s">
        <v>429</v>
      </c>
    </row>
    <row r="30542" spans="1:3">
      <c r="A30542" s="250">
        <v>71327</v>
      </c>
      <c r="B30542" s="74" t="s">
        <v>15147</v>
      </c>
      <c r="C30542" s="74" t="s">
        <v>429</v>
      </c>
    </row>
    <row r="30543" spans="1:3">
      <c r="A30543" s="250">
        <v>71328</v>
      </c>
      <c r="B30543" s="74" t="s">
        <v>15148</v>
      </c>
      <c r="C30543" s="74" t="s">
        <v>429</v>
      </c>
    </row>
    <row r="30544" spans="1:3">
      <c r="A30544" s="250">
        <v>71329</v>
      </c>
      <c r="B30544" s="74" t="s">
        <v>10598</v>
      </c>
      <c r="C30544" s="74" t="s">
        <v>429</v>
      </c>
    </row>
    <row r="30545" spans="1:3">
      <c r="A30545" s="250">
        <v>71330</v>
      </c>
      <c r="B30545" s="74" t="s">
        <v>12610</v>
      </c>
      <c r="C30545" s="74" t="s">
        <v>429</v>
      </c>
    </row>
    <row r="30546" spans="1:3">
      <c r="A30546" s="250">
        <v>71331</v>
      </c>
      <c r="B30546" s="74" t="s">
        <v>12745</v>
      </c>
      <c r="C30546" s="74" t="s">
        <v>429</v>
      </c>
    </row>
    <row r="30547" spans="1:3">
      <c r="A30547" s="250">
        <v>71333</v>
      </c>
      <c r="B30547" s="74" t="s">
        <v>6233</v>
      </c>
      <c r="C30547" s="74" t="s">
        <v>429</v>
      </c>
    </row>
    <row r="30548" spans="1:3">
      <c r="A30548" s="250">
        <v>71334</v>
      </c>
      <c r="B30548" s="74" t="s">
        <v>15149</v>
      </c>
      <c r="C30548" s="74" t="s">
        <v>429</v>
      </c>
    </row>
    <row r="30549" spans="1:3">
      <c r="A30549" s="250">
        <v>71336</v>
      </c>
      <c r="B30549" s="74" t="s">
        <v>5122</v>
      </c>
      <c r="C30549" s="74" t="s">
        <v>429</v>
      </c>
    </row>
    <row r="30550" spans="1:3">
      <c r="A30550" s="250">
        <v>71339</v>
      </c>
      <c r="B30550" s="74" t="s">
        <v>2188</v>
      </c>
      <c r="C30550" s="74" t="s">
        <v>429</v>
      </c>
    </row>
    <row r="30551" spans="1:3">
      <c r="A30551" s="250">
        <v>71340</v>
      </c>
      <c r="B30551" s="74" t="s">
        <v>5983</v>
      </c>
      <c r="C30551" s="74" t="s">
        <v>429</v>
      </c>
    </row>
    <row r="30552" spans="1:3">
      <c r="A30552" s="250">
        <v>71341</v>
      </c>
      <c r="B30552" s="74" t="s">
        <v>15150</v>
      </c>
      <c r="C30552" s="74" t="s">
        <v>429</v>
      </c>
    </row>
    <row r="30553" spans="1:3">
      <c r="A30553" s="250">
        <v>71342</v>
      </c>
      <c r="B30553" s="74" t="s">
        <v>15151</v>
      </c>
      <c r="C30553" s="74" t="s">
        <v>429</v>
      </c>
    </row>
    <row r="30554" spans="1:3">
      <c r="A30554" s="250">
        <v>71343</v>
      </c>
      <c r="B30554" s="74" t="s">
        <v>1819</v>
      </c>
      <c r="C30554" s="74" t="s">
        <v>429</v>
      </c>
    </row>
    <row r="30555" spans="1:3">
      <c r="A30555" s="250">
        <v>71345</v>
      </c>
      <c r="B30555" s="74" t="s">
        <v>15152</v>
      </c>
      <c r="C30555" s="74" t="s">
        <v>429</v>
      </c>
    </row>
    <row r="30556" spans="1:3">
      <c r="A30556" s="250">
        <v>71346</v>
      </c>
      <c r="B30556" s="74" t="s">
        <v>15153</v>
      </c>
      <c r="C30556" s="74" t="s">
        <v>429</v>
      </c>
    </row>
    <row r="30557" spans="1:3">
      <c r="A30557" s="250">
        <v>71348</v>
      </c>
      <c r="B30557" s="74" t="s">
        <v>15154</v>
      </c>
      <c r="C30557" s="74" t="s">
        <v>429</v>
      </c>
    </row>
    <row r="30558" spans="1:3">
      <c r="A30558" s="250">
        <v>71350</v>
      </c>
      <c r="B30558" s="74" t="s">
        <v>15155</v>
      </c>
      <c r="C30558" s="74" t="s">
        <v>429</v>
      </c>
    </row>
    <row r="30559" spans="1:3">
      <c r="A30559" s="250">
        <v>71351</v>
      </c>
      <c r="B30559" s="74" t="s">
        <v>15156</v>
      </c>
      <c r="C30559" s="74" t="s">
        <v>429</v>
      </c>
    </row>
    <row r="30560" spans="1:3">
      <c r="A30560" s="250">
        <v>71353</v>
      </c>
      <c r="B30560" s="74" t="s">
        <v>2830</v>
      </c>
      <c r="C30560" s="74" t="s">
        <v>429</v>
      </c>
    </row>
    <row r="30561" spans="1:3">
      <c r="A30561" s="250">
        <v>71354</v>
      </c>
      <c r="B30561" s="74" t="s">
        <v>654</v>
      </c>
      <c r="C30561" s="74" t="s">
        <v>429</v>
      </c>
    </row>
    <row r="30562" spans="1:3">
      <c r="A30562" s="250">
        <v>71355</v>
      </c>
      <c r="B30562" s="74" t="s">
        <v>15157</v>
      </c>
      <c r="C30562" s="74" t="s">
        <v>429</v>
      </c>
    </row>
    <row r="30563" spans="1:3">
      <c r="A30563" s="250">
        <v>71356</v>
      </c>
      <c r="B30563" s="74" t="s">
        <v>7920</v>
      </c>
      <c r="C30563" s="74" t="s">
        <v>429</v>
      </c>
    </row>
    <row r="30564" spans="1:3">
      <c r="A30564" s="250">
        <v>71357</v>
      </c>
      <c r="B30564" s="74" t="s">
        <v>15158</v>
      </c>
      <c r="C30564" s="74" t="s">
        <v>429</v>
      </c>
    </row>
    <row r="30565" spans="1:3">
      <c r="A30565" s="250">
        <v>71358</v>
      </c>
      <c r="B30565" s="74" t="s">
        <v>7923</v>
      </c>
      <c r="C30565" s="74" t="s">
        <v>429</v>
      </c>
    </row>
    <row r="30566" spans="1:3">
      <c r="A30566" s="250">
        <v>71359</v>
      </c>
      <c r="B30566" s="74" t="s">
        <v>5286</v>
      </c>
      <c r="C30566" s="74" t="s">
        <v>429</v>
      </c>
    </row>
    <row r="30567" spans="1:3">
      <c r="A30567" s="250">
        <v>71360</v>
      </c>
      <c r="B30567" s="74" t="s">
        <v>5286</v>
      </c>
      <c r="C30567" s="74" t="s">
        <v>429</v>
      </c>
    </row>
    <row r="30568" spans="1:3">
      <c r="A30568" s="250">
        <v>71361</v>
      </c>
      <c r="B30568" s="74" t="s">
        <v>5286</v>
      </c>
      <c r="C30568" s="74" t="s">
        <v>429</v>
      </c>
    </row>
    <row r="30569" spans="1:3">
      <c r="A30569" s="250">
        <v>71362</v>
      </c>
      <c r="B30569" s="74" t="s">
        <v>15159</v>
      </c>
      <c r="C30569" s="74" t="s">
        <v>429</v>
      </c>
    </row>
    <row r="30570" spans="1:3">
      <c r="A30570" s="250">
        <v>71363</v>
      </c>
      <c r="B30570" s="74" t="s">
        <v>15160</v>
      </c>
      <c r="C30570" s="74" t="s">
        <v>429</v>
      </c>
    </row>
    <row r="30571" spans="1:3">
      <c r="A30571" s="250">
        <v>71365</v>
      </c>
      <c r="B30571" s="74" t="s">
        <v>3082</v>
      </c>
      <c r="C30571" s="74" t="s">
        <v>429</v>
      </c>
    </row>
    <row r="30572" spans="1:3">
      <c r="A30572" s="250">
        <v>71366</v>
      </c>
      <c r="B30572" s="74" t="s">
        <v>9258</v>
      </c>
      <c r="C30572" s="74" t="s">
        <v>429</v>
      </c>
    </row>
    <row r="30573" spans="1:3">
      <c r="A30573" s="250">
        <v>71367</v>
      </c>
      <c r="B30573" s="74" t="s">
        <v>15161</v>
      </c>
      <c r="C30573" s="74" t="s">
        <v>429</v>
      </c>
    </row>
    <row r="30574" spans="1:3">
      <c r="A30574" s="250">
        <v>71368</v>
      </c>
      <c r="B30574" s="74" t="s">
        <v>15162</v>
      </c>
      <c r="C30574" s="74" t="s">
        <v>429</v>
      </c>
    </row>
    <row r="30575" spans="1:3">
      <c r="A30575" s="250">
        <v>71369</v>
      </c>
      <c r="B30575" s="74" t="s">
        <v>15163</v>
      </c>
      <c r="C30575" s="74" t="s">
        <v>429</v>
      </c>
    </row>
    <row r="30576" spans="1:3">
      <c r="A30576" s="250">
        <v>71371</v>
      </c>
      <c r="B30576" s="74" t="s">
        <v>15164</v>
      </c>
      <c r="C30576" s="74" t="s">
        <v>429</v>
      </c>
    </row>
    <row r="30577" spans="1:3">
      <c r="A30577" s="250">
        <v>71373</v>
      </c>
      <c r="B30577" s="74" t="s">
        <v>7958</v>
      </c>
      <c r="C30577" s="74" t="s">
        <v>429</v>
      </c>
    </row>
    <row r="30578" spans="1:3">
      <c r="A30578" s="250">
        <v>71375</v>
      </c>
      <c r="B30578" s="74" t="s">
        <v>15165</v>
      </c>
      <c r="C30578" s="74" t="s">
        <v>429</v>
      </c>
    </row>
    <row r="30579" spans="1:3">
      <c r="A30579" s="250">
        <v>71377</v>
      </c>
      <c r="B30579" s="74" t="s">
        <v>15166</v>
      </c>
      <c r="C30579" s="74" t="s">
        <v>429</v>
      </c>
    </row>
    <row r="30580" spans="1:3">
      <c r="A30580" s="250">
        <v>71378</v>
      </c>
      <c r="B30580" s="74" t="s">
        <v>14836</v>
      </c>
      <c r="C30580" s="74" t="s">
        <v>429</v>
      </c>
    </row>
    <row r="30581" spans="1:3">
      <c r="A30581" s="250">
        <v>71401</v>
      </c>
      <c r="B30581" s="74" t="s">
        <v>15167</v>
      </c>
      <c r="C30581" s="74" t="s">
        <v>429</v>
      </c>
    </row>
    <row r="30582" spans="1:3">
      <c r="A30582" s="250">
        <v>71403</v>
      </c>
      <c r="B30582" s="74" t="s">
        <v>15168</v>
      </c>
      <c r="C30582" s="74" t="s">
        <v>429</v>
      </c>
    </row>
    <row r="30583" spans="1:3">
      <c r="A30583" s="250">
        <v>71404</v>
      </c>
      <c r="B30583" s="74" t="s">
        <v>3895</v>
      </c>
      <c r="C30583" s="74" t="s">
        <v>429</v>
      </c>
    </row>
    <row r="30584" spans="1:3">
      <c r="A30584" s="250">
        <v>71405</v>
      </c>
      <c r="B30584" s="74" t="s">
        <v>15169</v>
      </c>
      <c r="C30584" s="74" t="s">
        <v>429</v>
      </c>
    </row>
    <row r="30585" spans="1:3">
      <c r="A30585" s="250">
        <v>71406</v>
      </c>
      <c r="B30585" s="74" t="s">
        <v>986</v>
      </c>
      <c r="C30585" s="74" t="s">
        <v>429</v>
      </c>
    </row>
    <row r="30586" spans="1:3">
      <c r="A30586" s="250">
        <v>71407</v>
      </c>
      <c r="B30586" s="74" t="s">
        <v>11089</v>
      </c>
      <c r="C30586" s="74" t="s">
        <v>429</v>
      </c>
    </row>
    <row r="30587" spans="1:3">
      <c r="A30587" s="250">
        <v>71409</v>
      </c>
      <c r="B30587" s="74" t="s">
        <v>5934</v>
      </c>
      <c r="C30587" s="74" t="s">
        <v>429</v>
      </c>
    </row>
    <row r="30588" spans="1:3">
      <c r="A30588" s="250">
        <v>71410</v>
      </c>
      <c r="B30588" s="74" t="s">
        <v>4536</v>
      </c>
      <c r="C30588" s="74" t="s">
        <v>429</v>
      </c>
    </row>
    <row r="30589" spans="1:3">
      <c r="A30589" s="250">
        <v>71411</v>
      </c>
      <c r="B30589" s="74" t="s">
        <v>15170</v>
      </c>
      <c r="C30589" s="74" t="s">
        <v>429</v>
      </c>
    </row>
    <row r="30590" spans="1:3">
      <c r="A30590" s="250">
        <v>71414</v>
      </c>
      <c r="B30590" s="74" t="s">
        <v>3683</v>
      </c>
      <c r="C30590" s="74" t="s">
        <v>429</v>
      </c>
    </row>
    <row r="30591" spans="1:3">
      <c r="A30591" s="250">
        <v>71415</v>
      </c>
      <c r="B30591" s="74" t="s">
        <v>14797</v>
      </c>
      <c r="C30591" s="74" t="s">
        <v>429</v>
      </c>
    </row>
    <row r="30592" spans="1:3">
      <c r="A30592" s="250">
        <v>71416</v>
      </c>
      <c r="B30592" s="74" t="s">
        <v>15171</v>
      </c>
      <c r="C30592" s="74" t="s">
        <v>429</v>
      </c>
    </row>
    <row r="30593" spans="1:3">
      <c r="A30593" s="250">
        <v>71417</v>
      </c>
      <c r="B30593" s="74" t="s">
        <v>6980</v>
      </c>
      <c r="C30593" s="74" t="s">
        <v>429</v>
      </c>
    </row>
    <row r="30594" spans="1:3">
      <c r="A30594" s="250">
        <v>71418</v>
      </c>
      <c r="B30594" s="74" t="s">
        <v>1985</v>
      </c>
      <c r="C30594" s="74" t="s">
        <v>429</v>
      </c>
    </row>
    <row r="30595" spans="1:3">
      <c r="A30595" s="250">
        <v>71419</v>
      </c>
      <c r="B30595" s="74" t="s">
        <v>7664</v>
      </c>
      <c r="C30595" s="74" t="s">
        <v>429</v>
      </c>
    </row>
    <row r="30596" spans="1:3">
      <c r="A30596" s="250">
        <v>71422</v>
      </c>
      <c r="B30596" s="74" t="s">
        <v>13347</v>
      </c>
      <c r="C30596" s="74" t="s">
        <v>429</v>
      </c>
    </row>
    <row r="30597" spans="1:3">
      <c r="A30597" s="250">
        <v>71423</v>
      </c>
      <c r="B30597" s="74" t="s">
        <v>15172</v>
      </c>
      <c r="C30597" s="74" t="s">
        <v>429</v>
      </c>
    </row>
    <row r="30598" spans="1:3">
      <c r="A30598" s="250">
        <v>71424</v>
      </c>
      <c r="B30598" s="74" t="s">
        <v>2481</v>
      </c>
      <c r="C30598" s="74" t="s">
        <v>429</v>
      </c>
    </row>
    <row r="30599" spans="1:3">
      <c r="A30599" s="250">
        <v>71425</v>
      </c>
      <c r="B30599" s="74" t="s">
        <v>6981</v>
      </c>
      <c r="C30599" s="74" t="s">
        <v>429</v>
      </c>
    </row>
    <row r="30600" spans="1:3">
      <c r="A30600" s="250">
        <v>71426</v>
      </c>
      <c r="B30600" s="74" t="s">
        <v>4450</v>
      </c>
      <c r="C30600" s="74" t="s">
        <v>429</v>
      </c>
    </row>
    <row r="30601" spans="1:3">
      <c r="A30601" s="250">
        <v>71427</v>
      </c>
      <c r="B30601" s="74" t="s">
        <v>6997</v>
      </c>
      <c r="C30601" s="74" t="s">
        <v>429</v>
      </c>
    </row>
    <row r="30602" spans="1:3">
      <c r="A30602" s="250">
        <v>71428</v>
      </c>
      <c r="B30602" s="74" t="s">
        <v>9414</v>
      </c>
      <c r="C30602" s="74" t="s">
        <v>429</v>
      </c>
    </row>
    <row r="30603" spans="1:3">
      <c r="A30603" s="250">
        <v>71429</v>
      </c>
      <c r="B30603" s="74" t="s">
        <v>15173</v>
      </c>
      <c r="C30603" s="74" t="s">
        <v>429</v>
      </c>
    </row>
    <row r="30604" spans="1:3">
      <c r="A30604" s="250">
        <v>71430</v>
      </c>
      <c r="B30604" s="74" t="s">
        <v>5666</v>
      </c>
      <c r="C30604" s="74" t="s">
        <v>429</v>
      </c>
    </row>
    <row r="30605" spans="1:3">
      <c r="A30605" s="250">
        <v>71431</v>
      </c>
      <c r="B30605" s="74" t="s">
        <v>707</v>
      </c>
      <c r="C30605" s="74" t="s">
        <v>429</v>
      </c>
    </row>
    <row r="30606" spans="1:3">
      <c r="A30606" s="250">
        <v>71432</v>
      </c>
      <c r="B30606" s="74" t="s">
        <v>813</v>
      </c>
      <c r="C30606" s="74" t="s">
        <v>429</v>
      </c>
    </row>
    <row r="30607" spans="1:3">
      <c r="A30607" s="250">
        <v>71433</v>
      </c>
      <c r="B30607" s="74" t="s">
        <v>15174</v>
      </c>
      <c r="C30607" s="74" t="s">
        <v>429</v>
      </c>
    </row>
    <row r="30608" spans="1:3">
      <c r="A30608" s="250">
        <v>71434</v>
      </c>
      <c r="B30608" s="74" t="s">
        <v>15175</v>
      </c>
      <c r="C30608" s="74" t="s">
        <v>429</v>
      </c>
    </row>
    <row r="30609" spans="1:3">
      <c r="A30609" s="250">
        <v>71435</v>
      </c>
      <c r="B30609" s="74" t="s">
        <v>7855</v>
      </c>
      <c r="C30609" s="74" t="s">
        <v>429</v>
      </c>
    </row>
    <row r="30610" spans="1:3">
      <c r="A30610" s="250">
        <v>71438</v>
      </c>
      <c r="B30610" s="74" t="s">
        <v>15176</v>
      </c>
      <c r="C30610" s="74" t="s">
        <v>429</v>
      </c>
    </row>
    <row r="30611" spans="1:3">
      <c r="A30611" s="250">
        <v>71439</v>
      </c>
      <c r="B30611" s="74" t="s">
        <v>15177</v>
      </c>
      <c r="C30611" s="74" t="s">
        <v>429</v>
      </c>
    </row>
    <row r="30612" spans="1:3">
      <c r="A30612" s="250">
        <v>71440</v>
      </c>
      <c r="B30612" s="74" t="s">
        <v>15178</v>
      </c>
      <c r="C30612" s="74" t="s">
        <v>429</v>
      </c>
    </row>
    <row r="30613" spans="1:3">
      <c r="A30613" s="250">
        <v>71441</v>
      </c>
      <c r="B30613" s="74" t="s">
        <v>7403</v>
      </c>
      <c r="C30613" s="74" t="s">
        <v>429</v>
      </c>
    </row>
    <row r="30614" spans="1:3">
      <c r="A30614" s="250">
        <v>71443</v>
      </c>
      <c r="B30614" s="74" t="s">
        <v>15179</v>
      </c>
      <c r="C30614" s="74" t="s">
        <v>429</v>
      </c>
    </row>
    <row r="30615" spans="1:3">
      <c r="A30615" s="250">
        <v>71446</v>
      </c>
      <c r="B30615" s="74" t="s">
        <v>7622</v>
      </c>
      <c r="C30615" s="74" t="s">
        <v>429</v>
      </c>
    </row>
    <row r="30616" spans="1:3">
      <c r="A30616" s="250">
        <v>71447</v>
      </c>
      <c r="B30616" s="74" t="s">
        <v>9422</v>
      </c>
      <c r="C30616" s="74" t="s">
        <v>429</v>
      </c>
    </row>
    <row r="30617" spans="1:3">
      <c r="A30617" s="250">
        <v>71448</v>
      </c>
      <c r="B30617" s="74" t="s">
        <v>15180</v>
      </c>
      <c r="C30617" s="74" t="s">
        <v>429</v>
      </c>
    </row>
    <row r="30618" spans="1:3">
      <c r="A30618" s="250">
        <v>71449</v>
      </c>
      <c r="B30618" s="74" t="s">
        <v>15181</v>
      </c>
      <c r="C30618" s="74" t="s">
        <v>429</v>
      </c>
    </row>
    <row r="30619" spans="1:3">
      <c r="A30619" s="250">
        <v>71450</v>
      </c>
      <c r="B30619" s="74" t="s">
        <v>15182</v>
      </c>
      <c r="C30619" s="74" t="s">
        <v>429</v>
      </c>
    </row>
    <row r="30620" spans="1:3">
      <c r="A30620" s="250">
        <v>71452</v>
      </c>
      <c r="B30620" s="74" t="s">
        <v>924</v>
      </c>
      <c r="C30620" s="74" t="s">
        <v>429</v>
      </c>
    </row>
    <row r="30621" spans="1:3">
      <c r="A30621" s="250">
        <v>71454</v>
      </c>
      <c r="B30621" s="74" t="s">
        <v>1821</v>
      </c>
      <c r="C30621" s="74" t="s">
        <v>429</v>
      </c>
    </row>
    <row r="30622" spans="1:3">
      <c r="A30622" s="250">
        <v>71455</v>
      </c>
      <c r="B30622" s="74" t="s">
        <v>12378</v>
      </c>
      <c r="C30622" s="74" t="s">
        <v>429</v>
      </c>
    </row>
    <row r="30623" spans="1:3">
      <c r="A30623" s="250">
        <v>71456</v>
      </c>
      <c r="B30623" s="74" t="s">
        <v>9432</v>
      </c>
      <c r="C30623" s="74" t="s">
        <v>429</v>
      </c>
    </row>
    <row r="30624" spans="1:3">
      <c r="A30624" s="250">
        <v>71457</v>
      </c>
      <c r="B30624" s="74" t="s">
        <v>15183</v>
      </c>
      <c r="C30624" s="74" t="s">
        <v>429</v>
      </c>
    </row>
    <row r="30625" spans="1:3">
      <c r="A30625" s="250">
        <v>71458</v>
      </c>
      <c r="B30625" s="74" t="s">
        <v>15183</v>
      </c>
      <c r="C30625" s="74" t="s">
        <v>429</v>
      </c>
    </row>
    <row r="30626" spans="1:3">
      <c r="A30626" s="250">
        <v>71459</v>
      </c>
      <c r="B30626" s="74" t="s">
        <v>15184</v>
      </c>
      <c r="C30626" s="74" t="s">
        <v>429</v>
      </c>
    </row>
    <row r="30627" spans="1:3">
      <c r="A30627" s="250">
        <v>71460</v>
      </c>
      <c r="B30627" s="74" t="s">
        <v>15185</v>
      </c>
      <c r="C30627" s="74" t="s">
        <v>429</v>
      </c>
    </row>
    <row r="30628" spans="1:3">
      <c r="A30628" s="250">
        <v>71461</v>
      </c>
      <c r="B30628" s="74" t="s">
        <v>15186</v>
      </c>
      <c r="C30628" s="74" t="s">
        <v>429</v>
      </c>
    </row>
    <row r="30629" spans="1:3">
      <c r="A30629" s="250">
        <v>71462</v>
      </c>
      <c r="B30629" s="74" t="s">
        <v>14001</v>
      </c>
      <c r="C30629" s="74" t="s">
        <v>429</v>
      </c>
    </row>
    <row r="30630" spans="1:3">
      <c r="A30630" s="250">
        <v>71463</v>
      </c>
      <c r="B30630" s="74" t="s">
        <v>2024</v>
      </c>
      <c r="C30630" s="74" t="s">
        <v>429</v>
      </c>
    </row>
    <row r="30631" spans="1:3">
      <c r="A30631" s="250">
        <v>71465</v>
      </c>
      <c r="B30631" s="74" t="s">
        <v>15187</v>
      </c>
      <c r="C30631" s="74" t="s">
        <v>429</v>
      </c>
    </row>
    <row r="30632" spans="1:3">
      <c r="A30632" s="250">
        <v>71466</v>
      </c>
      <c r="B30632" s="74" t="s">
        <v>657</v>
      </c>
      <c r="C30632" s="74" t="s">
        <v>429</v>
      </c>
    </row>
    <row r="30633" spans="1:3">
      <c r="A30633" s="250">
        <v>71467</v>
      </c>
      <c r="B30633" s="74" t="s">
        <v>12961</v>
      </c>
      <c r="C30633" s="74" t="s">
        <v>429</v>
      </c>
    </row>
    <row r="30634" spans="1:3">
      <c r="A30634" s="250">
        <v>71468</v>
      </c>
      <c r="B30634" s="74" t="s">
        <v>15188</v>
      </c>
      <c r="C30634" s="74" t="s">
        <v>429</v>
      </c>
    </row>
    <row r="30635" spans="1:3">
      <c r="A30635" s="250">
        <v>71469</v>
      </c>
      <c r="B30635" s="74" t="s">
        <v>15189</v>
      </c>
      <c r="C30635" s="74" t="s">
        <v>429</v>
      </c>
    </row>
    <row r="30636" spans="1:3">
      <c r="A30636" s="250">
        <v>71471</v>
      </c>
      <c r="B30636" s="74" t="s">
        <v>15190</v>
      </c>
      <c r="C30636" s="74" t="s">
        <v>429</v>
      </c>
    </row>
    <row r="30637" spans="1:3">
      <c r="A30637" s="250">
        <v>71472</v>
      </c>
      <c r="B30637" s="74" t="s">
        <v>15191</v>
      </c>
      <c r="C30637" s="74" t="s">
        <v>429</v>
      </c>
    </row>
    <row r="30638" spans="1:3">
      <c r="A30638" s="250">
        <v>71473</v>
      </c>
      <c r="B30638" s="74" t="s">
        <v>15192</v>
      </c>
      <c r="C30638" s="74" t="s">
        <v>429</v>
      </c>
    </row>
    <row r="30639" spans="1:3">
      <c r="A30639" s="250">
        <v>71474</v>
      </c>
      <c r="B30639" s="74" t="s">
        <v>6957</v>
      </c>
      <c r="C30639" s="74" t="s">
        <v>429</v>
      </c>
    </row>
    <row r="30640" spans="1:3">
      <c r="A30640" s="250">
        <v>71475</v>
      </c>
      <c r="B30640" s="74" t="s">
        <v>15193</v>
      </c>
      <c r="C30640" s="74" t="s">
        <v>429</v>
      </c>
    </row>
    <row r="30641" spans="1:3">
      <c r="A30641" s="250">
        <v>71477</v>
      </c>
      <c r="B30641" s="74" t="s">
        <v>4685</v>
      </c>
      <c r="C30641" s="74" t="s">
        <v>429</v>
      </c>
    </row>
    <row r="30642" spans="1:3">
      <c r="A30642" s="250">
        <v>71479</v>
      </c>
      <c r="B30642" s="74" t="s">
        <v>15194</v>
      </c>
      <c r="C30642" s="74" t="s">
        <v>429</v>
      </c>
    </row>
    <row r="30643" spans="1:3">
      <c r="A30643" s="250">
        <v>71480</v>
      </c>
      <c r="B30643" s="74" t="s">
        <v>15195</v>
      </c>
      <c r="C30643" s="74" t="s">
        <v>429</v>
      </c>
    </row>
    <row r="30644" spans="1:3">
      <c r="A30644" s="250">
        <v>71483</v>
      </c>
      <c r="B30644" s="74" t="s">
        <v>15196</v>
      </c>
      <c r="C30644" s="74" t="s">
        <v>429</v>
      </c>
    </row>
    <row r="30645" spans="1:3">
      <c r="A30645" s="250">
        <v>71485</v>
      </c>
      <c r="B30645" s="74" t="s">
        <v>12004</v>
      </c>
      <c r="C30645" s="74" t="s">
        <v>429</v>
      </c>
    </row>
    <row r="30646" spans="1:3">
      <c r="A30646" s="250">
        <v>71486</v>
      </c>
      <c r="B30646" s="74" t="s">
        <v>15197</v>
      </c>
      <c r="C30646" s="74" t="s">
        <v>429</v>
      </c>
    </row>
    <row r="30647" spans="1:3">
      <c r="A30647" s="250">
        <v>71496</v>
      </c>
      <c r="B30647" s="74" t="s">
        <v>7622</v>
      </c>
      <c r="C30647" s="74" t="s">
        <v>429</v>
      </c>
    </row>
    <row r="30648" spans="1:3">
      <c r="A30648" s="250">
        <v>71497</v>
      </c>
      <c r="B30648" s="74" t="s">
        <v>15183</v>
      </c>
      <c r="C30648" s="74" t="s">
        <v>429</v>
      </c>
    </row>
    <row r="30649" spans="1:3">
      <c r="A30649" s="250">
        <v>71601</v>
      </c>
      <c r="B30649" s="74" t="s">
        <v>15198</v>
      </c>
      <c r="C30649" s="74" t="s">
        <v>415</v>
      </c>
    </row>
    <row r="30650" spans="1:3">
      <c r="A30650" s="250">
        <v>71602</v>
      </c>
      <c r="B30650" s="74" t="s">
        <v>5708</v>
      </c>
      <c r="C30650" s="74" t="s">
        <v>415</v>
      </c>
    </row>
    <row r="30651" spans="1:3">
      <c r="A30651" s="250">
        <v>71603</v>
      </c>
      <c r="B30651" s="74" t="s">
        <v>15198</v>
      </c>
      <c r="C30651" s="74" t="s">
        <v>415</v>
      </c>
    </row>
    <row r="30652" spans="1:3">
      <c r="A30652" s="250">
        <v>71611</v>
      </c>
      <c r="B30652" s="74" t="s">
        <v>15198</v>
      </c>
      <c r="C30652" s="74" t="s">
        <v>415</v>
      </c>
    </row>
    <row r="30653" spans="1:3">
      <c r="A30653" s="250">
        <v>71612</v>
      </c>
      <c r="B30653" s="74" t="s">
        <v>5708</v>
      </c>
      <c r="C30653" s="74" t="s">
        <v>415</v>
      </c>
    </row>
    <row r="30654" spans="1:3">
      <c r="A30654" s="250">
        <v>71613</v>
      </c>
      <c r="B30654" s="74" t="s">
        <v>15198</v>
      </c>
      <c r="C30654" s="74" t="s">
        <v>415</v>
      </c>
    </row>
    <row r="30655" spans="1:3">
      <c r="A30655" s="250">
        <v>71630</v>
      </c>
      <c r="B30655" s="74" t="s">
        <v>14589</v>
      </c>
      <c r="C30655" s="74" t="s">
        <v>415</v>
      </c>
    </row>
    <row r="30656" spans="1:3">
      <c r="A30656" s="250">
        <v>71631</v>
      </c>
      <c r="B30656" s="74" t="s">
        <v>8782</v>
      </c>
      <c r="C30656" s="74" t="s">
        <v>415</v>
      </c>
    </row>
    <row r="30657" spans="1:3">
      <c r="A30657" s="250">
        <v>71635</v>
      </c>
      <c r="B30657" s="74" t="s">
        <v>15199</v>
      </c>
      <c r="C30657" s="74" t="s">
        <v>415</v>
      </c>
    </row>
    <row r="30658" spans="1:3">
      <c r="A30658" s="250">
        <v>71638</v>
      </c>
      <c r="B30658" s="74" t="s">
        <v>15200</v>
      </c>
      <c r="C30658" s="74" t="s">
        <v>415</v>
      </c>
    </row>
    <row r="30659" spans="1:3">
      <c r="A30659" s="250">
        <v>71639</v>
      </c>
      <c r="B30659" s="74" t="s">
        <v>9298</v>
      </c>
      <c r="C30659" s="74" t="s">
        <v>415</v>
      </c>
    </row>
    <row r="30660" spans="1:3">
      <c r="A30660" s="250">
        <v>71640</v>
      </c>
      <c r="B30660" s="74" t="s">
        <v>14432</v>
      </c>
      <c r="C30660" s="74" t="s">
        <v>415</v>
      </c>
    </row>
    <row r="30661" spans="1:3">
      <c r="A30661" s="250">
        <v>71642</v>
      </c>
      <c r="B30661" s="74" t="s">
        <v>15201</v>
      </c>
      <c r="C30661" s="74" t="s">
        <v>415</v>
      </c>
    </row>
    <row r="30662" spans="1:3">
      <c r="A30662" s="250">
        <v>71643</v>
      </c>
      <c r="B30662" s="74" t="s">
        <v>15202</v>
      </c>
      <c r="C30662" s="74" t="s">
        <v>415</v>
      </c>
    </row>
    <row r="30663" spans="1:3">
      <c r="A30663" s="250">
        <v>71644</v>
      </c>
      <c r="B30663" s="74" t="s">
        <v>8801</v>
      </c>
      <c r="C30663" s="74" t="s">
        <v>415</v>
      </c>
    </row>
    <row r="30664" spans="1:3">
      <c r="A30664" s="250">
        <v>71646</v>
      </c>
      <c r="B30664" s="74" t="s">
        <v>2188</v>
      </c>
      <c r="C30664" s="74" t="s">
        <v>415</v>
      </c>
    </row>
    <row r="30665" spans="1:3">
      <c r="A30665" s="250">
        <v>71647</v>
      </c>
      <c r="B30665" s="74" t="s">
        <v>4427</v>
      </c>
      <c r="C30665" s="74" t="s">
        <v>415</v>
      </c>
    </row>
    <row r="30666" spans="1:3">
      <c r="A30666" s="250">
        <v>71651</v>
      </c>
      <c r="B30666" s="74" t="s">
        <v>5898</v>
      </c>
      <c r="C30666" s="74" t="s">
        <v>415</v>
      </c>
    </row>
    <row r="30667" spans="1:3">
      <c r="A30667" s="250">
        <v>71652</v>
      </c>
      <c r="B30667" s="74" t="s">
        <v>8130</v>
      </c>
      <c r="C30667" s="74" t="s">
        <v>415</v>
      </c>
    </row>
    <row r="30668" spans="1:3">
      <c r="A30668" s="250">
        <v>71653</v>
      </c>
      <c r="B30668" s="74" t="s">
        <v>10689</v>
      </c>
      <c r="C30668" s="74" t="s">
        <v>415</v>
      </c>
    </row>
    <row r="30669" spans="1:3">
      <c r="A30669" s="250">
        <v>71654</v>
      </c>
      <c r="B30669" s="74" t="s">
        <v>15203</v>
      </c>
      <c r="C30669" s="74" t="s">
        <v>415</v>
      </c>
    </row>
    <row r="30670" spans="1:3">
      <c r="A30670" s="250">
        <v>71655</v>
      </c>
      <c r="B30670" s="74" t="s">
        <v>1639</v>
      </c>
      <c r="C30670" s="74" t="s">
        <v>415</v>
      </c>
    </row>
    <row r="30671" spans="1:3">
      <c r="A30671" s="250">
        <v>71656</v>
      </c>
      <c r="B30671" s="74" t="s">
        <v>1639</v>
      </c>
      <c r="C30671" s="74" t="s">
        <v>415</v>
      </c>
    </row>
    <row r="30672" spans="1:3">
      <c r="A30672" s="250">
        <v>71657</v>
      </c>
      <c r="B30672" s="74" t="s">
        <v>1639</v>
      </c>
      <c r="C30672" s="74" t="s">
        <v>415</v>
      </c>
    </row>
    <row r="30673" spans="1:3">
      <c r="A30673" s="250">
        <v>71658</v>
      </c>
      <c r="B30673" s="74" t="s">
        <v>2645</v>
      </c>
      <c r="C30673" s="74" t="s">
        <v>415</v>
      </c>
    </row>
    <row r="30674" spans="1:3">
      <c r="A30674" s="250">
        <v>71659</v>
      </c>
      <c r="B30674" s="74" t="s">
        <v>1851</v>
      </c>
      <c r="C30674" s="74" t="s">
        <v>415</v>
      </c>
    </row>
    <row r="30675" spans="1:3">
      <c r="A30675" s="250">
        <v>71660</v>
      </c>
      <c r="B30675" s="74" t="s">
        <v>15204</v>
      </c>
      <c r="C30675" s="74" t="s">
        <v>415</v>
      </c>
    </row>
    <row r="30676" spans="1:3">
      <c r="A30676" s="250">
        <v>71661</v>
      </c>
      <c r="B30676" s="74" t="s">
        <v>15205</v>
      </c>
      <c r="C30676" s="74" t="s">
        <v>415</v>
      </c>
    </row>
    <row r="30677" spans="1:3">
      <c r="A30677" s="250">
        <v>71662</v>
      </c>
      <c r="B30677" s="74" t="s">
        <v>6899</v>
      </c>
      <c r="C30677" s="74" t="s">
        <v>415</v>
      </c>
    </row>
    <row r="30678" spans="1:3">
      <c r="A30678" s="250">
        <v>71663</v>
      </c>
      <c r="B30678" s="74" t="s">
        <v>1429</v>
      </c>
      <c r="C30678" s="74" t="s">
        <v>415</v>
      </c>
    </row>
    <row r="30679" spans="1:3">
      <c r="A30679" s="250">
        <v>71665</v>
      </c>
      <c r="B30679" s="74" t="s">
        <v>15206</v>
      </c>
      <c r="C30679" s="74" t="s">
        <v>415</v>
      </c>
    </row>
    <row r="30680" spans="1:3">
      <c r="A30680" s="250">
        <v>71666</v>
      </c>
      <c r="B30680" s="74" t="s">
        <v>15207</v>
      </c>
      <c r="C30680" s="74" t="s">
        <v>415</v>
      </c>
    </row>
    <row r="30681" spans="1:3">
      <c r="A30681" s="250">
        <v>71667</v>
      </c>
      <c r="B30681" s="74" t="s">
        <v>10789</v>
      </c>
      <c r="C30681" s="74" t="s">
        <v>415</v>
      </c>
    </row>
    <row r="30682" spans="1:3">
      <c r="A30682" s="250">
        <v>71670</v>
      </c>
      <c r="B30682" s="74" t="s">
        <v>15208</v>
      </c>
      <c r="C30682" s="74" t="s">
        <v>415</v>
      </c>
    </row>
    <row r="30683" spans="1:3">
      <c r="A30683" s="250">
        <v>71671</v>
      </c>
      <c r="B30683" s="74" t="s">
        <v>622</v>
      </c>
      <c r="C30683" s="74" t="s">
        <v>415</v>
      </c>
    </row>
    <row r="30684" spans="1:3">
      <c r="A30684" s="250">
        <v>71674</v>
      </c>
      <c r="B30684" s="74" t="s">
        <v>8675</v>
      </c>
      <c r="C30684" s="74" t="s">
        <v>415</v>
      </c>
    </row>
    <row r="30685" spans="1:3">
      <c r="A30685" s="250">
        <v>71675</v>
      </c>
      <c r="B30685" s="74" t="s">
        <v>15209</v>
      </c>
      <c r="C30685" s="74" t="s">
        <v>415</v>
      </c>
    </row>
    <row r="30686" spans="1:3">
      <c r="A30686" s="250">
        <v>71676</v>
      </c>
      <c r="B30686" s="74" t="s">
        <v>1219</v>
      </c>
      <c r="C30686" s="74" t="s">
        <v>415</v>
      </c>
    </row>
    <row r="30687" spans="1:3">
      <c r="A30687" s="250">
        <v>71677</v>
      </c>
      <c r="B30687" s="74" t="s">
        <v>832</v>
      </c>
      <c r="C30687" s="74" t="s">
        <v>415</v>
      </c>
    </row>
    <row r="30688" spans="1:3">
      <c r="A30688" s="250">
        <v>71678</v>
      </c>
      <c r="B30688" s="74" t="s">
        <v>6183</v>
      </c>
      <c r="C30688" s="74" t="s">
        <v>415</v>
      </c>
    </row>
    <row r="30689" spans="1:3">
      <c r="A30689" s="250">
        <v>71701</v>
      </c>
      <c r="B30689" s="74" t="s">
        <v>1660</v>
      </c>
      <c r="C30689" s="74" t="s">
        <v>415</v>
      </c>
    </row>
    <row r="30690" spans="1:3">
      <c r="A30690" s="250">
        <v>71711</v>
      </c>
      <c r="B30690" s="74" t="s">
        <v>1660</v>
      </c>
      <c r="C30690" s="74" t="s">
        <v>415</v>
      </c>
    </row>
    <row r="30691" spans="1:3">
      <c r="A30691" s="250">
        <v>71720</v>
      </c>
      <c r="B30691" s="74" t="s">
        <v>15210</v>
      </c>
      <c r="C30691" s="74" t="s">
        <v>415</v>
      </c>
    </row>
    <row r="30692" spans="1:3">
      <c r="A30692" s="250">
        <v>71721</v>
      </c>
      <c r="B30692" s="74" t="s">
        <v>15211</v>
      </c>
      <c r="C30692" s="74" t="s">
        <v>415</v>
      </c>
    </row>
    <row r="30693" spans="1:3">
      <c r="A30693" s="250">
        <v>71722</v>
      </c>
      <c r="B30693" s="74" t="s">
        <v>9093</v>
      </c>
      <c r="C30693" s="74" t="s">
        <v>415</v>
      </c>
    </row>
    <row r="30694" spans="1:3">
      <c r="A30694" s="250">
        <v>71724</v>
      </c>
      <c r="B30694" s="74" t="s">
        <v>15212</v>
      </c>
      <c r="C30694" s="74" t="s">
        <v>415</v>
      </c>
    </row>
    <row r="30695" spans="1:3">
      <c r="A30695" s="250">
        <v>71725</v>
      </c>
      <c r="B30695" s="74" t="s">
        <v>3531</v>
      </c>
      <c r="C30695" s="74" t="s">
        <v>415</v>
      </c>
    </row>
    <row r="30696" spans="1:3">
      <c r="A30696" s="250">
        <v>71726</v>
      </c>
      <c r="B30696" s="74" t="s">
        <v>15213</v>
      </c>
      <c r="C30696" s="74" t="s">
        <v>415</v>
      </c>
    </row>
    <row r="30697" spans="1:3">
      <c r="A30697" s="250">
        <v>71728</v>
      </c>
      <c r="B30697" s="74" t="s">
        <v>11406</v>
      </c>
      <c r="C30697" s="74" t="s">
        <v>415</v>
      </c>
    </row>
    <row r="30698" spans="1:3">
      <c r="A30698" s="250">
        <v>71730</v>
      </c>
      <c r="B30698" s="74" t="s">
        <v>14599</v>
      </c>
      <c r="C30698" s="74" t="s">
        <v>415</v>
      </c>
    </row>
    <row r="30699" spans="1:3">
      <c r="A30699" s="250">
        <v>71731</v>
      </c>
      <c r="B30699" s="74" t="s">
        <v>14599</v>
      </c>
      <c r="C30699" s="74" t="s">
        <v>415</v>
      </c>
    </row>
    <row r="30700" spans="1:3">
      <c r="A30700" s="250">
        <v>71740</v>
      </c>
      <c r="B30700" s="74" t="s">
        <v>2231</v>
      </c>
      <c r="C30700" s="74" t="s">
        <v>415</v>
      </c>
    </row>
    <row r="30701" spans="1:3">
      <c r="A30701" s="250">
        <v>71742</v>
      </c>
      <c r="B30701" s="74" t="s">
        <v>14812</v>
      </c>
      <c r="C30701" s="74" t="s">
        <v>415</v>
      </c>
    </row>
    <row r="30702" spans="1:3">
      <c r="A30702" s="250">
        <v>71743</v>
      </c>
      <c r="B30702" s="74" t="s">
        <v>15214</v>
      </c>
      <c r="C30702" s="74" t="s">
        <v>415</v>
      </c>
    </row>
    <row r="30703" spans="1:3">
      <c r="A30703" s="250">
        <v>71744</v>
      </c>
      <c r="B30703" s="74" t="s">
        <v>1315</v>
      </c>
      <c r="C30703" s="74" t="s">
        <v>415</v>
      </c>
    </row>
    <row r="30704" spans="1:3">
      <c r="A30704" s="250">
        <v>71745</v>
      </c>
      <c r="B30704" s="74" t="s">
        <v>15215</v>
      </c>
      <c r="C30704" s="74" t="s">
        <v>415</v>
      </c>
    </row>
    <row r="30705" spans="1:3">
      <c r="A30705" s="250">
        <v>71747</v>
      </c>
      <c r="B30705" s="74" t="s">
        <v>15216</v>
      </c>
      <c r="C30705" s="74" t="s">
        <v>415</v>
      </c>
    </row>
    <row r="30706" spans="1:3">
      <c r="A30706" s="250">
        <v>71748</v>
      </c>
      <c r="B30706" s="74" t="s">
        <v>15217</v>
      </c>
      <c r="C30706" s="74" t="s">
        <v>415</v>
      </c>
    </row>
    <row r="30707" spans="1:3">
      <c r="A30707" s="250">
        <v>71749</v>
      </c>
      <c r="B30707" s="74" t="s">
        <v>8198</v>
      </c>
      <c r="C30707" s="74" t="s">
        <v>415</v>
      </c>
    </row>
    <row r="30708" spans="1:3">
      <c r="A30708" s="250">
        <v>71750</v>
      </c>
      <c r="B30708" s="74" t="s">
        <v>14234</v>
      </c>
      <c r="C30708" s="74" t="s">
        <v>415</v>
      </c>
    </row>
    <row r="30709" spans="1:3">
      <c r="A30709" s="250">
        <v>71751</v>
      </c>
      <c r="B30709" s="74" t="s">
        <v>15218</v>
      </c>
      <c r="C30709" s="74" t="s">
        <v>415</v>
      </c>
    </row>
    <row r="30710" spans="1:3">
      <c r="A30710" s="250">
        <v>71752</v>
      </c>
      <c r="B30710" s="74" t="s">
        <v>15219</v>
      </c>
      <c r="C30710" s="74" t="s">
        <v>415</v>
      </c>
    </row>
    <row r="30711" spans="1:3">
      <c r="A30711" s="250">
        <v>71753</v>
      </c>
      <c r="B30711" s="74" t="s">
        <v>2398</v>
      </c>
      <c r="C30711" s="74" t="s">
        <v>415</v>
      </c>
    </row>
    <row r="30712" spans="1:3">
      <c r="A30712" s="250">
        <v>71754</v>
      </c>
      <c r="B30712" s="74" t="s">
        <v>2398</v>
      </c>
      <c r="C30712" s="74" t="s">
        <v>415</v>
      </c>
    </row>
    <row r="30713" spans="1:3">
      <c r="A30713" s="250">
        <v>71758</v>
      </c>
      <c r="B30713" s="74" t="s">
        <v>1881</v>
      </c>
      <c r="C30713" s="74" t="s">
        <v>415</v>
      </c>
    </row>
    <row r="30714" spans="1:3">
      <c r="A30714" s="250">
        <v>71759</v>
      </c>
      <c r="B30714" s="74" t="s">
        <v>15220</v>
      </c>
      <c r="C30714" s="74" t="s">
        <v>415</v>
      </c>
    </row>
    <row r="30715" spans="1:3">
      <c r="A30715" s="250">
        <v>71762</v>
      </c>
      <c r="B30715" s="74" t="s">
        <v>15221</v>
      </c>
      <c r="C30715" s="74" t="s">
        <v>415</v>
      </c>
    </row>
    <row r="30716" spans="1:3">
      <c r="A30716" s="250">
        <v>71763</v>
      </c>
      <c r="B30716" s="74" t="s">
        <v>15222</v>
      </c>
      <c r="C30716" s="74" t="s">
        <v>415</v>
      </c>
    </row>
    <row r="30717" spans="1:3">
      <c r="A30717" s="250">
        <v>71764</v>
      </c>
      <c r="B30717" s="74" t="s">
        <v>8019</v>
      </c>
      <c r="C30717" s="74" t="s">
        <v>415</v>
      </c>
    </row>
    <row r="30718" spans="1:3">
      <c r="A30718" s="250">
        <v>71765</v>
      </c>
      <c r="B30718" s="74" t="s">
        <v>1722</v>
      </c>
      <c r="C30718" s="74" t="s">
        <v>415</v>
      </c>
    </row>
    <row r="30719" spans="1:3">
      <c r="A30719" s="250">
        <v>71766</v>
      </c>
      <c r="B30719" s="74" t="s">
        <v>1218</v>
      </c>
      <c r="C30719" s="74" t="s">
        <v>415</v>
      </c>
    </row>
    <row r="30720" spans="1:3">
      <c r="A30720" s="250">
        <v>71768</v>
      </c>
      <c r="B30720" s="74" t="s">
        <v>14599</v>
      </c>
      <c r="C30720" s="74" t="s">
        <v>415</v>
      </c>
    </row>
    <row r="30721" spans="1:3">
      <c r="A30721" s="250">
        <v>71770</v>
      </c>
      <c r="B30721" s="74" t="s">
        <v>8364</v>
      </c>
      <c r="C30721" s="74" t="s">
        <v>415</v>
      </c>
    </row>
    <row r="30722" spans="1:3">
      <c r="A30722" s="250">
        <v>71772</v>
      </c>
      <c r="B30722" s="74" t="s">
        <v>15223</v>
      </c>
      <c r="C30722" s="74" t="s">
        <v>415</v>
      </c>
    </row>
    <row r="30723" spans="1:3">
      <c r="A30723" s="250">
        <v>71801</v>
      </c>
      <c r="B30723" s="74" t="s">
        <v>1111</v>
      </c>
      <c r="C30723" s="74" t="s">
        <v>415</v>
      </c>
    </row>
    <row r="30724" spans="1:3">
      <c r="A30724" s="250">
        <v>71802</v>
      </c>
      <c r="B30724" s="74" t="s">
        <v>1111</v>
      </c>
      <c r="C30724" s="74" t="s">
        <v>415</v>
      </c>
    </row>
    <row r="30725" spans="1:3">
      <c r="A30725" s="250">
        <v>71820</v>
      </c>
      <c r="B30725" s="74" t="s">
        <v>15224</v>
      </c>
      <c r="C30725" s="74" t="s">
        <v>415</v>
      </c>
    </row>
    <row r="30726" spans="1:3">
      <c r="A30726" s="250">
        <v>71822</v>
      </c>
      <c r="B30726" s="74" t="s">
        <v>15225</v>
      </c>
      <c r="C30726" s="74" t="s">
        <v>415</v>
      </c>
    </row>
    <row r="30727" spans="1:3">
      <c r="A30727" s="250">
        <v>71823</v>
      </c>
      <c r="B30727" s="74" t="s">
        <v>15226</v>
      </c>
      <c r="C30727" s="74" t="s">
        <v>415</v>
      </c>
    </row>
    <row r="30728" spans="1:3">
      <c r="A30728" s="250">
        <v>71825</v>
      </c>
      <c r="B30728" s="74" t="s">
        <v>15227</v>
      </c>
      <c r="C30728" s="74" t="s">
        <v>415</v>
      </c>
    </row>
    <row r="30729" spans="1:3">
      <c r="A30729" s="250">
        <v>71826</v>
      </c>
      <c r="B30729" s="74" t="s">
        <v>1490</v>
      </c>
      <c r="C30729" s="74" t="s">
        <v>415</v>
      </c>
    </row>
    <row r="30730" spans="1:3">
      <c r="A30730" s="250">
        <v>71827</v>
      </c>
      <c r="B30730" s="74" t="s">
        <v>9573</v>
      </c>
      <c r="C30730" s="74" t="s">
        <v>415</v>
      </c>
    </row>
    <row r="30731" spans="1:3">
      <c r="A30731" s="250">
        <v>71828</v>
      </c>
      <c r="B30731" s="74" t="s">
        <v>15228</v>
      </c>
      <c r="C30731" s="74" t="s">
        <v>415</v>
      </c>
    </row>
    <row r="30732" spans="1:3">
      <c r="A30732" s="250">
        <v>71831</v>
      </c>
      <c r="B30732" s="74" t="s">
        <v>2376</v>
      </c>
      <c r="C30732" s="74" t="s">
        <v>415</v>
      </c>
    </row>
    <row r="30733" spans="1:3">
      <c r="A30733" s="250">
        <v>71832</v>
      </c>
      <c r="B30733" s="74" t="s">
        <v>15229</v>
      </c>
      <c r="C30733" s="74" t="s">
        <v>415</v>
      </c>
    </row>
    <row r="30734" spans="1:3">
      <c r="A30734" s="250">
        <v>71833</v>
      </c>
      <c r="B30734" s="74" t="s">
        <v>15230</v>
      </c>
      <c r="C30734" s="74" t="s">
        <v>415</v>
      </c>
    </row>
    <row r="30735" spans="1:3">
      <c r="A30735" s="250">
        <v>71834</v>
      </c>
      <c r="B30735" s="74" t="s">
        <v>15231</v>
      </c>
      <c r="C30735" s="74" t="s">
        <v>415</v>
      </c>
    </row>
    <row r="30736" spans="1:3">
      <c r="A30736" s="250">
        <v>71835</v>
      </c>
      <c r="B30736" s="74" t="s">
        <v>14811</v>
      </c>
      <c r="C30736" s="74" t="s">
        <v>415</v>
      </c>
    </row>
    <row r="30737" spans="1:3">
      <c r="A30737" s="250">
        <v>71836</v>
      </c>
      <c r="B30737" s="74" t="s">
        <v>15232</v>
      </c>
      <c r="C30737" s="74" t="s">
        <v>415</v>
      </c>
    </row>
    <row r="30738" spans="1:3">
      <c r="A30738" s="250">
        <v>71837</v>
      </c>
      <c r="B30738" s="74" t="s">
        <v>15233</v>
      </c>
      <c r="C30738" s="74" t="s">
        <v>415</v>
      </c>
    </row>
    <row r="30739" spans="1:3">
      <c r="A30739" s="250">
        <v>71838</v>
      </c>
      <c r="B30739" s="74" t="s">
        <v>3365</v>
      </c>
      <c r="C30739" s="74" t="s">
        <v>415</v>
      </c>
    </row>
    <row r="30740" spans="1:3">
      <c r="A30740" s="250">
        <v>71839</v>
      </c>
      <c r="B30740" s="74" t="s">
        <v>15234</v>
      </c>
      <c r="C30740" s="74" t="s">
        <v>415</v>
      </c>
    </row>
    <row r="30741" spans="1:3">
      <c r="A30741" s="250">
        <v>71840</v>
      </c>
      <c r="B30741" s="74" t="s">
        <v>3366</v>
      </c>
      <c r="C30741" s="74" t="s">
        <v>415</v>
      </c>
    </row>
    <row r="30742" spans="1:3">
      <c r="A30742" s="250">
        <v>71841</v>
      </c>
      <c r="B30742" s="74" t="s">
        <v>15235</v>
      </c>
      <c r="C30742" s="74" t="s">
        <v>415</v>
      </c>
    </row>
    <row r="30743" spans="1:3">
      <c r="A30743" s="250">
        <v>71842</v>
      </c>
      <c r="B30743" s="74" t="s">
        <v>7618</v>
      </c>
      <c r="C30743" s="74" t="s">
        <v>415</v>
      </c>
    </row>
    <row r="30744" spans="1:3">
      <c r="A30744" s="250">
        <v>71844</v>
      </c>
      <c r="B30744" s="74" t="s">
        <v>15236</v>
      </c>
      <c r="C30744" s="74" t="s">
        <v>415</v>
      </c>
    </row>
    <row r="30745" spans="1:3">
      <c r="A30745" s="250">
        <v>71845</v>
      </c>
      <c r="B30745" s="74" t="s">
        <v>5387</v>
      </c>
      <c r="C30745" s="74" t="s">
        <v>415</v>
      </c>
    </row>
    <row r="30746" spans="1:3">
      <c r="A30746" s="250">
        <v>71846</v>
      </c>
      <c r="B30746" s="74" t="s">
        <v>15237</v>
      </c>
      <c r="C30746" s="74" t="s">
        <v>415</v>
      </c>
    </row>
    <row r="30747" spans="1:3">
      <c r="A30747" s="250">
        <v>71847</v>
      </c>
      <c r="B30747" s="74" t="s">
        <v>15238</v>
      </c>
      <c r="C30747" s="74" t="s">
        <v>415</v>
      </c>
    </row>
    <row r="30748" spans="1:3">
      <c r="A30748" s="250">
        <v>71851</v>
      </c>
      <c r="B30748" s="74" t="s">
        <v>4639</v>
      </c>
      <c r="C30748" s="74" t="s">
        <v>415</v>
      </c>
    </row>
    <row r="30749" spans="1:3">
      <c r="A30749" s="250">
        <v>71852</v>
      </c>
      <c r="B30749" s="74" t="s">
        <v>7206</v>
      </c>
      <c r="C30749" s="74" t="s">
        <v>415</v>
      </c>
    </row>
    <row r="30750" spans="1:3">
      <c r="A30750" s="250">
        <v>71853</v>
      </c>
      <c r="B30750" s="74" t="s">
        <v>11533</v>
      </c>
      <c r="C30750" s="74" t="s">
        <v>415</v>
      </c>
    </row>
    <row r="30751" spans="1:3">
      <c r="A30751" s="250">
        <v>71854</v>
      </c>
      <c r="B30751" s="74" t="s">
        <v>15239</v>
      </c>
      <c r="C30751" s="74" t="s">
        <v>415</v>
      </c>
    </row>
    <row r="30752" spans="1:3">
      <c r="A30752" s="250">
        <v>71855</v>
      </c>
      <c r="B30752" s="74" t="s">
        <v>15240</v>
      </c>
      <c r="C30752" s="74" t="s">
        <v>415</v>
      </c>
    </row>
    <row r="30753" spans="1:3">
      <c r="A30753" s="250">
        <v>71857</v>
      </c>
      <c r="B30753" s="74" t="s">
        <v>11136</v>
      </c>
      <c r="C30753" s="74" t="s">
        <v>415</v>
      </c>
    </row>
    <row r="30754" spans="1:3">
      <c r="A30754" s="250">
        <v>71858</v>
      </c>
      <c r="B30754" s="74" t="s">
        <v>15241</v>
      </c>
      <c r="C30754" s="74" t="s">
        <v>415</v>
      </c>
    </row>
    <row r="30755" spans="1:3">
      <c r="A30755" s="250">
        <v>71859</v>
      </c>
      <c r="B30755" s="74" t="s">
        <v>7220</v>
      </c>
      <c r="C30755" s="74" t="s">
        <v>415</v>
      </c>
    </row>
    <row r="30756" spans="1:3">
      <c r="A30756" s="250">
        <v>71860</v>
      </c>
      <c r="B30756" s="74" t="s">
        <v>15242</v>
      </c>
      <c r="C30756" s="74" t="s">
        <v>415</v>
      </c>
    </row>
    <row r="30757" spans="1:3">
      <c r="A30757" s="250">
        <v>71861</v>
      </c>
      <c r="B30757" s="74" t="s">
        <v>5195</v>
      </c>
      <c r="C30757" s="74" t="s">
        <v>415</v>
      </c>
    </row>
    <row r="30758" spans="1:3">
      <c r="A30758" s="250">
        <v>71862</v>
      </c>
      <c r="B30758" s="74" t="s">
        <v>1215</v>
      </c>
      <c r="C30758" s="74" t="s">
        <v>415</v>
      </c>
    </row>
    <row r="30759" spans="1:3">
      <c r="A30759" s="250">
        <v>71864</v>
      </c>
      <c r="B30759" s="74" t="s">
        <v>14065</v>
      </c>
      <c r="C30759" s="74" t="s">
        <v>415</v>
      </c>
    </row>
    <row r="30760" spans="1:3">
      <c r="A30760" s="250">
        <v>71865</v>
      </c>
      <c r="B30760" s="74" t="s">
        <v>1173</v>
      </c>
      <c r="C30760" s="74" t="s">
        <v>415</v>
      </c>
    </row>
    <row r="30761" spans="1:3">
      <c r="A30761" s="250">
        <v>71866</v>
      </c>
      <c r="B30761" s="74" t="s">
        <v>920</v>
      </c>
      <c r="C30761" s="74" t="s">
        <v>415</v>
      </c>
    </row>
    <row r="30762" spans="1:3">
      <c r="A30762" s="250">
        <v>71901</v>
      </c>
      <c r="B30762" s="74" t="s">
        <v>15243</v>
      </c>
      <c r="C30762" s="74" t="s">
        <v>415</v>
      </c>
    </row>
    <row r="30763" spans="1:3">
      <c r="A30763" s="250">
        <v>71902</v>
      </c>
      <c r="B30763" s="74" t="s">
        <v>15243</v>
      </c>
      <c r="C30763" s="74" t="s">
        <v>415</v>
      </c>
    </row>
    <row r="30764" spans="1:3">
      <c r="A30764" s="250">
        <v>71903</v>
      </c>
      <c r="B30764" s="74" t="s">
        <v>15243</v>
      </c>
      <c r="C30764" s="74" t="s">
        <v>415</v>
      </c>
    </row>
    <row r="30765" spans="1:3">
      <c r="A30765" s="250">
        <v>71909</v>
      </c>
      <c r="B30765" s="74" t="s">
        <v>15244</v>
      </c>
      <c r="C30765" s="74" t="s">
        <v>415</v>
      </c>
    </row>
    <row r="30766" spans="1:3">
      <c r="A30766" s="250">
        <v>71910</v>
      </c>
      <c r="B30766" s="74" t="s">
        <v>15244</v>
      </c>
      <c r="C30766" s="74" t="s">
        <v>415</v>
      </c>
    </row>
    <row r="30767" spans="1:3">
      <c r="A30767" s="250">
        <v>71913</v>
      </c>
      <c r="B30767" s="74" t="s">
        <v>15243</v>
      </c>
      <c r="C30767" s="74" t="s">
        <v>415</v>
      </c>
    </row>
    <row r="30768" spans="1:3">
      <c r="A30768" s="250">
        <v>71914</v>
      </c>
      <c r="B30768" s="74" t="s">
        <v>15243</v>
      </c>
      <c r="C30768" s="74" t="s">
        <v>415</v>
      </c>
    </row>
    <row r="30769" spans="1:3">
      <c r="A30769" s="250">
        <v>71920</v>
      </c>
      <c r="B30769" s="74" t="s">
        <v>2225</v>
      </c>
      <c r="C30769" s="74" t="s">
        <v>415</v>
      </c>
    </row>
    <row r="30770" spans="1:3">
      <c r="A30770" s="250">
        <v>71921</v>
      </c>
      <c r="B30770" s="74" t="s">
        <v>4041</v>
      </c>
      <c r="C30770" s="74" t="s">
        <v>415</v>
      </c>
    </row>
    <row r="30771" spans="1:3">
      <c r="A30771" s="250">
        <v>71922</v>
      </c>
      <c r="B30771" s="74" t="s">
        <v>15245</v>
      </c>
      <c r="C30771" s="74" t="s">
        <v>415</v>
      </c>
    </row>
    <row r="30772" spans="1:3">
      <c r="A30772" s="250">
        <v>71923</v>
      </c>
      <c r="B30772" s="74" t="s">
        <v>15246</v>
      </c>
      <c r="C30772" s="74" t="s">
        <v>415</v>
      </c>
    </row>
    <row r="30773" spans="1:3">
      <c r="A30773" s="250">
        <v>71929</v>
      </c>
      <c r="B30773" s="74" t="s">
        <v>13127</v>
      </c>
      <c r="C30773" s="74" t="s">
        <v>415</v>
      </c>
    </row>
    <row r="30774" spans="1:3">
      <c r="A30774" s="250">
        <v>71932</v>
      </c>
      <c r="B30774" s="74" t="s">
        <v>15247</v>
      </c>
      <c r="C30774" s="74" t="s">
        <v>415</v>
      </c>
    </row>
    <row r="30775" spans="1:3">
      <c r="A30775" s="250">
        <v>71933</v>
      </c>
      <c r="B30775" s="74" t="s">
        <v>15248</v>
      </c>
      <c r="C30775" s="74" t="s">
        <v>415</v>
      </c>
    </row>
    <row r="30776" spans="1:3">
      <c r="A30776" s="250">
        <v>71935</v>
      </c>
      <c r="B30776" s="74" t="s">
        <v>15249</v>
      </c>
      <c r="C30776" s="74" t="s">
        <v>415</v>
      </c>
    </row>
    <row r="30777" spans="1:3">
      <c r="A30777" s="250">
        <v>71937</v>
      </c>
      <c r="B30777" s="74" t="s">
        <v>15250</v>
      </c>
      <c r="C30777" s="74" t="s">
        <v>415</v>
      </c>
    </row>
    <row r="30778" spans="1:3">
      <c r="A30778" s="250">
        <v>71940</v>
      </c>
      <c r="B30778" s="74" t="s">
        <v>15251</v>
      </c>
      <c r="C30778" s="74" t="s">
        <v>415</v>
      </c>
    </row>
    <row r="30779" spans="1:3">
      <c r="A30779" s="250">
        <v>71941</v>
      </c>
      <c r="B30779" s="74" t="s">
        <v>10710</v>
      </c>
      <c r="C30779" s="74" t="s">
        <v>415</v>
      </c>
    </row>
    <row r="30780" spans="1:3">
      <c r="A30780" s="250">
        <v>71942</v>
      </c>
      <c r="B30780" s="74" t="s">
        <v>1543</v>
      </c>
      <c r="C30780" s="74" t="s">
        <v>415</v>
      </c>
    </row>
    <row r="30781" spans="1:3">
      <c r="A30781" s="250">
        <v>71943</v>
      </c>
      <c r="B30781" s="74" t="s">
        <v>2187</v>
      </c>
      <c r="C30781" s="74" t="s">
        <v>415</v>
      </c>
    </row>
    <row r="30782" spans="1:3">
      <c r="A30782" s="250">
        <v>71944</v>
      </c>
      <c r="B30782" s="74" t="s">
        <v>15252</v>
      </c>
      <c r="C30782" s="74" t="s">
        <v>415</v>
      </c>
    </row>
    <row r="30783" spans="1:3">
      <c r="A30783" s="250">
        <v>71945</v>
      </c>
      <c r="B30783" s="74" t="s">
        <v>598</v>
      </c>
      <c r="C30783" s="74" t="s">
        <v>415</v>
      </c>
    </row>
    <row r="30784" spans="1:3">
      <c r="A30784" s="250">
        <v>71949</v>
      </c>
      <c r="B30784" s="74" t="s">
        <v>15253</v>
      </c>
      <c r="C30784" s="74" t="s">
        <v>415</v>
      </c>
    </row>
    <row r="30785" spans="1:3">
      <c r="A30785" s="250">
        <v>71950</v>
      </c>
      <c r="B30785" s="74" t="s">
        <v>10139</v>
      </c>
      <c r="C30785" s="74" t="s">
        <v>415</v>
      </c>
    </row>
    <row r="30786" spans="1:3">
      <c r="A30786" s="250">
        <v>71951</v>
      </c>
      <c r="B30786" s="74" t="s">
        <v>15243</v>
      </c>
      <c r="C30786" s="74" t="s">
        <v>415</v>
      </c>
    </row>
    <row r="30787" spans="1:3">
      <c r="A30787" s="250">
        <v>71952</v>
      </c>
      <c r="B30787" s="74" t="s">
        <v>7817</v>
      </c>
      <c r="C30787" s="74" t="s">
        <v>415</v>
      </c>
    </row>
    <row r="30788" spans="1:3">
      <c r="A30788" s="250">
        <v>71953</v>
      </c>
      <c r="B30788" s="74" t="s">
        <v>15254</v>
      </c>
      <c r="C30788" s="74" t="s">
        <v>415</v>
      </c>
    </row>
    <row r="30789" spans="1:3">
      <c r="A30789" s="250">
        <v>71956</v>
      </c>
      <c r="B30789" s="74" t="s">
        <v>15255</v>
      </c>
      <c r="C30789" s="74" t="s">
        <v>415</v>
      </c>
    </row>
    <row r="30790" spans="1:3">
      <c r="A30790" s="250">
        <v>71957</v>
      </c>
      <c r="B30790" s="74" t="s">
        <v>15256</v>
      </c>
      <c r="C30790" s="74" t="s">
        <v>415</v>
      </c>
    </row>
    <row r="30791" spans="1:3">
      <c r="A30791" s="250">
        <v>71958</v>
      </c>
      <c r="B30791" s="74" t="s">
        <v>7205</v>
      </c>
      <c r="C30791" s="74" t="s">
        <v>415</v>
      </c>
    </row>
    <row r="30792" spans="1:3">
      <c r="A30792" s="250">
        <v>71959</v>
      </c>
      <c r="B30792" s="74" t="s">
        <v>15257</v>
      </c>
      <c r="C30792" s="74" t="s">
        <v>415</v>
      </c>
    </row>
    <row r="30793" spans="1:3">
      <c r="A30793" s="250">
        <v>71960</v>
      </c>
      <c r="B30793" s="74" t="s">
        <v>7368</v>
      </c>
      <c r="C30793" s="74" t="s">
        <v>415</v>
      </c>
    </row>
    <row r="30794" spans="1:3">
      <c r="A30794" s="250">
        <v>71961</v>
      </c>
      <c r="B30794" s="74" t="s">
        <v>11376</v>
      </c>
      <c r="C30794" s="74" t="s">
        <v>415</v>
      </c>
    </row>
    <row r="30795" spans="1:3">
      <c r="A30795" s="250">
        <v>71962</v>
      </c>
      <c r="B30795" s="74" t="s">
        <v>9371</v>
      </c>
      <c r="C30795" s="74" t="s">
        <v>415</v>
      </c>
    </row>
    <row r="30796" spans="1:3">
      <c r="A30796" s="250">
        <v>71964</v>
      </c>
      <c r="B30796" s="74" t="s">
        <v>15258</v>
      </c>
      <c r="C30796" s="74" t="s">
        <v>415</v>
      </c>
    </row>
    <row r="30797" spans="1:3">
      <c r="A30797" s="250">
        <v>71965</v>
      </c>
      <c r="B30797" s="74" t="s">
        <v>15259</v>
      </c>
      <c r="C30797" s="74" t="s">
        <v>415</v>
      </c>
    </row>
    <row r="30798" spans="1:3">
      <c r="A30798" s="250">
        <v>71966</v>
      </c>
      <c r="B30798" s="74" t="s">
        <v>11376</v>
      </c>
      <c r="C30798" s="74" t="s">
        <v>415</v>
      </c>
    </row>
    <row r="30799" spans="1:3">
      <c r="A30799" s="250">
        <v>71968</v>
      </c>
      <c r="B30799" s="74" t="s">
        <v>11741</v>
      </c>
      <c r="C30799" s="74" t="s">
        <v>415</v>
      </c>
    </row>
    <row r="30800" spans="1:3">
      <c r="A30800" s="250">
        <v>71969</v>
      </c>
      <c r="B30800" s="74" t="s">
        <v>7223</v>
      </c>
      <c r="C30800" s="74" t="s">
        <v>415</v>
      </c>
    </row>
    <row r="30801" spans="1:3">
      <c r="A30801" s="250">
        <v>71970</v>
      </c>
      <c r="B30801" s="74" t="s">
        <v>15260</v>
      </c>
      <c r="C30801" s="74" t="s">
        <v>415</v>
      </c>
    </row>
    <row r="30802" spans="1:3">
      <c r="A30802" s="250">
        <v>71971</v>
      </c>
      <c r="B30802" s="74" t="s">
        <v>15261</v>
      </c>
      <c r="C30802" s="74" t="s">
        <v>415</v>
      </c>
    </row>
    <row r="30803" spans="1:3">
      <c r="A30803" s="250">
        <v>71972</v>
      </c>
      <c r="B30803" s="74" t="s">
        <v>15262</v>
      </c>
      <c r="C30803" s="74" t="s">
        <v>415</v>
      </c>
    </row>
    <row r="30804" spans="1:3">
      <c r="A30804" s="250">
        <v>71973</v>
      </c>
      <c r="B30804" s="74" t="s">
        <v>15263</v>
      </c>
      <c r="C30804" s="74" t="s">
        <v>415</v>
      </c>
    </row>
    <row r="30805" spans="1:3">
      <c r="A30805" s="250">
        <v>71998</v>
      </c>
      <c r="B30805" s="74" t="s">
        <v>15246</v>
      </c>
      <c r="C30805" s="74" t="s">
        <v>415</v>
      </c>
    </row>
    <row r="30806" spans="1:3">
      <c r="A30806" s="250">
        <v>71999</v>
      </c>
      <c r="B30806" s="74" t="s">
        <v>15246</v>
      </c>
      <c r="C30806" s="74" t="s">
        <v>415</v>
      </c>
    </row>
    <row r="30807" spans="1:3">
      <c r="A30807" s="250">
        <v>72001</v>
      </c>
      <c r="B30807" s="74" t="s">
        <v>15264</v>
      </c>
      <c r="C30807" s="74" t="s">
        <v>415</v>
      </c>
    </row>
    <row r="30808" spans="1:3">
      <c r="A30808" s="250">
        <v>72002</v>
      </c>
      <c r="B30808" s="74" t="s">
        <v>3669</v>
      </c>
      <c r="C30808" s="74" t="s">
        <v>415</v>
      </c>
    </row>
    <row r="30809" spans="1:3">
      <c r="A30809" s="250">
        <v>72003</v>
      </c>
      <c r="B30809" s="74" t="s">
        <v>15265</v>
      </c>
      <c r="C30809" s="74" t="s">
        <v>415</v>
      </c>
    </row>
    <row r="30810" spans="1:3">
      <c r="A30810" s="250">
        <v>72004</v>
      </c>
      <c r="B30810" s="74" t="s">
        <v>15266</v>
      </c>
      <c r="C30810" s="74" t="s">
        <v>415</v>
      </c>
    </row>
    <row r="30811" spans="1:3">
      <c r="A30811" s="250">
        <v>72005</v>
      </c>
      <c r="B30811" s="74" t="s">
        <v>15267</v>
      </c>
      <c r="C30811" s="74" t="s">
        <v>415</v>
      </c>
    </row>
    <row r="30812" spans="1:3">
      <c r="A30812" s="250">
        <v>72006</v>
      </c>
      <c r="B30812" s="74" t="s">
        <v>1473</v>
      </c>
      <c r="C30812" s="74" t="s">
        <v>415</v>
      </c>
    </row>
    <row r="30813" spans="1:3">
      <c r="A30813" s="250">
        <v>72007</v>
      </c>
      <c r="B30813" s="74" t="s">
        <v>4587</v>
      </c>
      <c r="C30813" s="74" t="s">
        <v>415</v>
      </c>
    </row>
    <row r="30814" spans="1:3">
      <c r="A30814" s="250">
        <v>72010</v>
      </c>
      <c r="B30814" s="74" t="s">
        <v>15268</v>
      </c>
      <c r="C30814" s="74" t="s">
        <v>415</v>
      </c>
    </row>
    <row r="30815" spans="1:3">
      <c r="A30815" s="250">
        <v>72011</v>
      </c>
      <c r="B30815" s="74" t="s">
        <v>15269</v>
      </c>
      <c r="C30815" s="74" t="s">
        <v>415</v>
      </c>
    </row>
    <row r="30816" spans="1:3">
      <c r="A30816" s="250">
        <v>72012</v>
      </c>
      <c r="B30816" s="74" t="s">
        <v>15270</v>
      </c>
      <c r="C30816" s="74" t="s">
        <v>415</v>
      </c>
    </row>
    <row r="30817" spans="1:3">
      <c r="A30817" s="250">
        <v>72013</v>
      </c>
      <c r="B30817" s="74" t="s">
        <v>15271</v>
      </c>
      <c r="C30817" s="74" t="s">
        <v>415</v>
      </c>
    </row>
    <row r="30818" spans="1:3">
      <c r="A30818" s="250">
        <v>72014</v>
      </c>
      <c r="B30818" s="74" t="s">
        <v>15272</v>
      </c>
      <c r="C30818" s="74" t="s">
        <v>415</v>
      </c>
    </row>
    <row r="30819" spans="1:3">
      <c r="A30819" s="250">
        <v>72015</v>
      </c>
      <c r="B30819" s="74" t="s">
        <v>4938</v>
      </c>
      <c r="C30819" s="74" t="s">
        <v>415</v>
      </c>
    </row>
    <row r="30820" spans="1:3">
      <c r="A30820" s="250">
        <v>72016</v>
      </c>
      <c r="B30820" s="74" t="s">
        <v>12561</v>
      </c>
      <c r="C30820" s="74" t="s">
        <v>415</v>
      </c>
    </row>
    <row r="30821" spans="1:3">
      <c r="A30821" s="250">
        <v>72017</v>
      </c>
      <c r="B30821" s="74" t="s">
        <v>7085</v>
      </c>
      <c r="C30821" s="74" t="s">
        <v>415</v>
      </c>
    </row>
    <row r="30822" spans="1:3">
      <c r="A30822" s="250">
        <v>72018</v>
      </c>
      <c r="B30822" s="74" t="s">
        <v>4938</v>
      </c>
      <c r="C30822" s="74" t="s">
        <v>415</v>
      </c>
    </row>
    <row r="30823" spans="1:3">
      <c r="A30823" s="250">
        <v>72019</v>
      </c>
      <c r="B30823" s="74" t="s">
        <v>4938</v>
      </c>
      <c r="C30823" s="74" t="s">
        <v>415</v>
      </c>
    </row>
    <row r="30824" spans="1:3">
      <c r="A30824" s="250">
        <v>72020</v>
      </c>
      <c r="B30824" s="74" t="s">
        <v>1097</v>
      </c>
      <c r="C30824" s="74" t="s">
        <v>415</v>
      </c>
    </row>
    <row r="30825" spans="1:3">
      <c r="A30825" s="250">
        <v>72021</v>
      </c>
      <c r="B30825" s="74" t="s">
        <v>15273</v>
      </c>
      <c r="C30825" s="74" t="s">
        <v>415</v>
      </c>
    </row>
    <row r="30826" spans="1:3">
      <c r="A30826" s="250">
        <v>72022</v>
      </c>
      <c r="B30826" s="74" t="s">
        <v>8763</v>
      </c>
      <c r="C30826" s="74" t="s">
        <v>415</v>
      </c>
    </row>
    <row r="30827" spans="1:3">
      <c r="A30827" s="250">
        <v>72023</v>
      </c>
      <c r="B30827" s="74" t="s">
        <v>1840</v>
      </c>
      <c r="C30827" s="74" t="s">
        <v>415</v>
      </c>
    </row>
    <row r="30828" spans="1:3">
      <c r="A30828" s="250">
        <v>72024</v>
      </c>
      <c r="B30828" s="74" t="s">
        <v>786</v>
      </c>
      <c r="C30828" s="74" t="s">
        <v>415</v>
      </c>
    </row>
    <row r="30829" spans="1:3">
      <c r="A30829" s="250">
        <v>72025</v>
      </c>
      <c r="B30829" s="74" t="s">
        <v>15274</v>
      </c>
      <c r="C30829" s="74" t="s">
        <v>415</v>
      </c>
    </row>
    <row r="30830" spans="1:3">
      <c r="A30830" s="250">
        <v>72026</v>
      </c>
      <c r="B30830" s="74" t="s">
        <v>15275</v>
      </c>
      <c r="C30830" s="74" t="s">
        <v>415</v>
      </c>
    </row>
    <row r="30831" spans="1:3">
      <c r="A30831" s="250">
        <v>72027</v>
      </c>
      <c r="B30831" s="74" t="s">
        <v>15276</v>
      </c>
      <c r="C30831" s="74" t="s">
        <v>415</v>
      </c>
    </row>
    <row r="30832" spans="1:3">
      <c r="A30832" s="250">
        <v>72028</v>
      </c>
      <c r="B30832" s="74" t="s">
        <v>15277</v>
      </c>
      <c r="C30832" s="74" t="s">
        <v>415</v>
      </c>
    </row>
    <row r="30833" spans="1:3">
      <c r="A30833" s="250">
        <v>72029</v>
      </c>
      <c r="B30833" s="74" t="s">
        <v>3763</v>
      </c>
      <c r="C30833" s="74" t="s">
        <v>415</v>
      </c>
    </row>
    <row r="30834" spans="1:3">
      <c r="A30834" s="250">
        <v>72030</v>
      </c>
      <c r="B30834" s="74" t="s">
        <v>3350</v>
      </c>
      <c r="C30834" s="74" t="s">
        <v>415</v>
      </c>
    </row>
    <row r="30835" spans="1:3">
      <c r="A30835" s="250">
        <v>72031</v>
      </c>
      <c r="B30835" s="74" t="s">
        <v>732</v>
      </c>
      <c r="C30835" s="74" t="s">
        <v>415</v>
      </c>
    </row>
    <row r="30836" spans="1:3">
      <c r="A30836" s="250">
        <v>72032</v>
      </c>
      <c r="B30836" s="74" t="s">
        <v>677</v>
      </c>
      <c r="C30836" s="74" t="s">
        <v>415</v>
      </c>
    </row>
    <row r="30837" spans="1:3">
      <c r="A30837" s="250">
        <v>72033</v>
      </c>
      <c r="B30837" s="74" t="s">
        <v>677</v>
      </c>
      <c r="C30837" s="74" t="s">
        <v>415</v>
      </c>
    </row>
    <row r="30838" spans="1:3">
      <c r="A30838" s="250">
        <v>72034</v>
      </c>
      <c r="B30838" s="74" t="s">
        <v>677</v>
      </c>
      <c r="C30838" s="74" t="s">
        <v>415</v>
      </c>
    </row>
    <row r="30839" spans="1:3">
      <c r="A30839" s="250">
        <v>72035</v>
      </c>
      <c r="B30839" s="74" t="s">
        <v>677</v>
      </c>
      <c r="C30839" s="74" t="s">
        <v>415</v>
      </c>
    </row>
    <row r="30840" spans="1:3">
      <c r="A30840" s="250">
        <v>72036</v>
      </c>
      <c r="B30840" s="74" t="s">
        <v>15278</v>
      </c>
      <c r="C30840" s="74" t="s">
        <v>415</v>
      </c>
    </row>
    <row r="30841" spans="1:3">
      <c r="A30841" s="250">
        <v>72037</v>
      </c>
      <c r="B30841" s="74" t="s">
        <v>8864</v>
      </c>
      <c r="C30841" s="74" t="s">
        <v>415</v>
      </c>
    </row>
    <row r="30842" spans="1:3">
      <c r="A30842" s="250">
        <v>72038</v>
      </c>
      <c r="B30842" s="74" t="s">
        <v>15279</v>
      </c>
      <c r="C30842" s="74" t="s">
        <v>415</v>
      </c>
    </row>
    <row r="30843" spans="1:3">
      <c r="A30843" s="250">
        <v>72039</v>
      </c>
      <c r="B30843" s="74" t="s">
        <v>5154</v>
      </c>
      <c r="C30843" s="74" t="s">
        <v>415</v>
      </c>
    </row>
    <row r="30844" spans="1:3">
      <c r="A30844" s="250">
        <v>72040</v>
      </c>
      <c r="B30844" s="74" t="s">
        <v>14152</v>
      </c>
      <c r="C30844" s="74" t="s">
        <v>415</v>
      </c>
    </row>
    <row r="30845" spans="1:3">
      <c r="A30845" s="250">
        <v>72041</v>
      </c>
      <c r="B30845" s="74" t="s">
        <v>15280</v>
      </c>
      <c r="C30845" s="74" t="s">
        <v>415</v>
      </c>
    </row>
    <row r="30846" spans="1:3">
      <c r="A30846" s="250">
        <v>72042</v>
      </c>
      <c r="B30846" s="74" t="s">
        <v>11918</v>
      </c>
      <c r="C30846" s="74" t="s">
        <v>415</v>
      </c>
    </row>
    <row r="30847" spans="1:3">
      <c r="A30847" s="250">
        <v>72043</v>
      </c>
      <c r="B30847" s="74" t="s">
        <v>15281</v>
      </c>
      <c r="C30847" s="74" t="s">
        <v>415</v>
      </c>
    </row>
    <row r="30848" spans="1:3">
      <c r="A30848" s="250">
        <v>72044</v>
      </c>
      <c r="B30848" s="74" t="s">
        <v>5328</v>
      </c>
      <c r="C30848" s="74" t="s">
        <v>415</v>
      </c>
    </row>
    <row r="30849" spans="1:3">
      <c r="A30849" s="250">
        <v>72045</v>
      </c>
      <c r="B30849" s="74" t="s">
        <v>13743</v>
      </c>
      <c r="C30849" s="74" t="s">
        <v>415</v>
      </c>
    </row>
    <row r="30850" spans="1:3">
      <c r="A30850" s="250">
        <v>72046</v>
      </c>
      <c r="B30850" s="74" t="s">
        <v>15282</v>
      </c>
      <c r="C30850" s="74" t="s">
        <v>415</v>
      </c>
    </row>
    <row r="30851" spans="1:3">
      <c r="A30851" s="250">
        <v>72047</v>
      </c>
      <c r="B30851" s="74" t="s">
        <v>4703</v>
      </c>
      <c r="C30851" s="74" t="s">
        <v>415</v>
      </c>
    </row>
    <row r="30852" spans="1:3">
      <c r="A30852" s="250">
        <v>72048</v>
      </c>
      <c r="B30852" s="74" t="s">
        <v>6604</v>
      </c>
      <c r="C30852" s="74" t="s">
        <v>415</v>
      </c>
    </row>
    <row r="30853" spans="1:3">
      <c r="A30853" s="250">
        <v>72051</v>
      </c>
      <c r="B30853" s="74" t="s">
        <v>15283</v>
      </c>
      <c r="C30853" s="74" t="s">
        <v>415</v>
      </c>
    </row>
    <row r="30854" spans="1:3">
      <c r="A30854" s="250">
        <v>72052</v>
      </c>
      <c r="B30854" s="74" t="s">
        <v>7149</v>
      </c>
      <c r="C30854" s="74" t="s">
        <v>415</v>
      </c>
    </row>
    <row r="30855" spans="1:3">
      <c r="A30855" s="250">
        <v>72053</v>
      </c>
      <c r="B30855" s="74" t="s">
        <v>15284</v>
      </c>
      <c r="C30855" s="74" t="s">
        <v>415</v>
      </c>
    </row>
    <row r="30856" spans="1:3">
      <c r="A30856" s="250">
        <v>72055</v>
      </c>
      <c r="B30856" s="74" t="s">
        <v>4674</v>
      </c>
      <c r="C30856" s="74" t="s">
        <v>415</v>
      </c>
    </row>
    <row r="30857" spans="1:3">
      <c r="A30857" s="250">
        <v>72057</v>
      </c>
      <c r="B30857" s="74" t="s">
        <v>15285</v>
      </c>
      <c r="C30857" s="74" t="s">
        <v>415</v>
      </c>
    </row>
    <row r="30858" spans="1:3">
      <c r="A30858" s="250">
        <v>72058</v>
      </c>
      <c r="B30858" s="74" t="s">
        <v>9009</v>
      </c>
      <c r="C30858" s="74" t="s">
        <v>415</v>
      </c>
    </row>
    <row r="30859" spans="1:3">
      <c r="A30859" s="250">
        <v>72059</v>
      </c>
      <c r="B30859" s="74" t="s">
        <v>11016</v>
      </c>
      <c r="C30859" s="74" t="s">
        <v>415</v>
      </c>
    </row>
    <row r="30860" spans="1:3">
      <c r="A30860" s="250">
        <v>72060</v>
      </c>
      <c r="B30860" s="74" t="s">
        <v>15286</v>
      </c>
      <c r="C30860" s="74" t="s">
        <v>415</v>
      </c>
    </row>
    <row r="30861" spans="1:3">
      <c r="A30861" s="250">
        <v>72061</v>
      </c>
      <c r="B30861" s="74" t="s">
        <v>15287</v>
      </c>
      <c r="C30861" s="74" t="s">
        <v>415</v>
      </c>
    </row>
    <row r="30862" spans="1:3">
      <c r="A30862" s="250">
        <v>72063</v>
      </c>
      <c r="B30862" s="74" t="s">
        <v>15288</v>
      </c>
      <c r="C30862" s="74" t="s">
        <v>415</v>
      </c>
    </row>
    <row r="30863" spans="1:3">
      <c r="A30863" s="250">
        <v>72064</v>
      </c>
      <c r="B30863" s="74" t="s">
        <v>13135</v>
      </c>
      <c r="C30863" s="74" t="s">
        <v>415</v>
      </c>
    </row>
    <row r="30864" spans="1:3">
      <c r="A30864" s="250">
        <v>72065</v>
      </c>
      <c r="B30864" s="74" t="s">
        <v>6509</v>
      </c>
      <c r="C30864" s="74" t="s">
        <v>415</v>
      </c>
    </row>
    <row r="30865" spans="1:3">
      <c r="A30865" s="250">
        <v>72066</v>
      </c>
      <c r="B30865" s="74" t="s">
        <v>15289</v>
      </c>
      <c r="C30865" s="74" t="s">
        <v>415</v>
      </c>
    </row>
    <row r="30866" spans="1:3">
      <c r="A30866" s="250">
        <v>72067</v>
      </c>
      <c r="B30866" s="74" t="s">
        <v>15290</v>
      </c>
      <c r="C30866" s="74" t="s">
        <v>415</v>
      </c>
    </row>
    <row r="30867" spans="1:3">
      <c r="A30867" s="250">
        <v>72068</v>
      </c>
      <c r="B30867" s="74" t="s">
        <v>15291</v>
      </c>
      <c r="C30867" s="74" t="s">
        <v>415</v>
      </c>
    </row>
    <row r="30868" spans="1:3">
      <c r="A30868" s="250">
        <v>72069</v>
      </c>
      <c r="B30868" s="74" t="s">
        <v>15292</v>
      </c>
      <c r="C30868" s="74" t="s">
        <v>415</v>
      </c>
    </row>
    <row r="30869" spans="1:3">
      <c r="A30869" s="250">
        <v>72070</v>
      </c>
      <c r="B30869" s="74" t="s">
        <v>4063</v>
      </c>
      <c r="C30869" s="74" t="s">
        <v>415</v>
      </c>
    </row>
    <row r="30870" spans="1:3">
      <c r="A30870" s="250">
        <v>72072</v>
      </c>
      <c r="B30870" s="74" t="s">
        <v>15293</v>
      </c>
      <c r="C30870" s="74" t="s">
        <v>415</v>
      </c>
    </row>
    <row r="30871" spans="1:3">
      <c r="A30871" s="250">
        <v>72073</v>
      </c>
      <c r="B30871" s="74" t="s">
        <v>14800</v>
      </c>
      <c r="C30871" s="74" t="s">
        <v>415</v>
      </c>
    </row>
    <row r="30872" spans="1:3">
      <c r="A30872" s="250">
        <v>72074</v>
      </c>
      <c r="B30872" s="74" t="s">
        <v>3056</v>
      </c>
      <c r="C30872" s="74" t="s">
        <v>415</v>
      </c>
    </row>
    <row r="30873" spans="1:3">
      <c r="A30873" s="250">
        <v>72075</v>
      </c>
      <c r="B30873" s="74" t="s">
        <v>15294</v>
      </c>
      <c r="C30873" s="74" t="s">
        <v>415</v>
      </c>
    </row>
    <row r="30874" spans="1:3">
      <c r="A30874" s="250">
        <v>72076</v>
      </c>
      <c r="B30874" s="74" t="s">
        <v>1782</v>
      </c>
      <c r="C30874" s="74" t="s">
        <v>415</v>
      </c>
    </row>
    <row r="30875" spans="1:3">
      <c r="A30875" s="250">
        <v>72078</v>
      </c>
      <c r="B30875" s="74" t="s">
        <v>1782</v>
      </c>
      <c r="C30875" s="74" t="s">
        <v>415</v>
      </c>
    </row>
    <row r="30876" spans="1:3">
      <c r="A30876" s="250">
        <v>72079</v>
      </c>
      <c r="B30876" s="74" t="s">
        <v>740</v>
      </c>
      <c r="C30876" s="74" t="s">
        <v>415</v>
      </c>
    </row>
    <row r="30877" spans="1:3">
      <c r="A30877" s="250">
        <v>72080</v>
      </c>
      <c r="B30877" s="74" t="s">
        <v>10228</v>
      </c>
      <c r="C30877" s="74" t="s">
        <v>415</v>
      </c>
    </row>
    <row r="30878" spans="1:3">
      <c r="A30878" s="250">
        <v>72081</v>
      </c>
      <c r="B30878" s="74" t="s">
        <v>15295</v>
      </c>
      <c r="C30878" s="74" t="s">
        <v>415</v>
      </c>
    </row>
    <row r="30879" spans="1:3">
      <c r="A30879" s="250">
        <v>72082</v>
      </c>
      <c r="B30879" s="74" t="s">
        <v>11581</v>
      </c>
      <c r="C30879" s="74" t="s">
        <v>415</v>
      </c>
    </row>
    <row r="30880" spans="1:3">
      <c r="A30880" s="250">
        <v>72083</v>
      </c>
      <c r="B30880" s="74" t="s">
        <v>15296</v>
      </c>
      <c r="C30880" s="74" t="s">
        <v>415</v>
      </c>
    </row>
    <row r="30881" spans="1:3">
      <c r="A30881" s="250">
        <v>72084</v>
      </c>
      <c r="B30881" s="74" t="s">
        <v>4867</v>
      </c>
      <c r="C30881" s="74" t="s">
        <v>415</v>
      </c>
    </row>
    <row r="30882" spans="1:3">
      <c r="A30882" s="250">
        <v>72085</v>
      </c>
      <c r="B30882" s="74" t="s">
        <v>15297</v>
      </c>
      <c r="C30882" s="74" t="s">
        <v>415</v>
      </c>
    </row>
    <row r="30883" spans="1:3">
      <c r="A30883" s="250">
        <v>72086</v>
      </c>
      <c r="B30883" s="74" t="s">
        <v>15298</v>
      </c>
      <c r="C30883" s="74" t="s">
        <v>415</v>
      </c>
    </row>
    <row r="30884" spans="1:3">
      <c r="A30884" s="250">
        <v>72087</v>
      </c>
      <c r="B30884" s="74" t="s">
        <v>12376</v>
      </c>
      <c r="C30884" s="74" t="s">
        <v>415</v>
      </c>
    </row>
    <row r="30885" spans="1:3">
      <c r="A30885" s="250">
        <v>72088</v>
      </c>
      <c r="B30885" s="74" t="s">
        <v>15299</v>
      </c>
      <c r="C30885" s="74" t="s">
        <v>415</v>
      </c>
    </row>
    <row r="30886" spans="1:3">
      <c r="A30886" s="250">
        <v>72089</v>
      </c>
      <c r="B30886" s="74" t="s">
        <v>8763</v>
      </c>
      <c r="C30886" s="74" t="s">
        <v>415</v>
      </c>
    </row>
    <row r="30887" spans="1:3">
      <c r="A30887" s="250">
        <v>72099</v>
      </c>
      <c r="B30887" s="74" t="s">
        <v>15300</v>
      </c>
      <c r="C30887" s="74" t="s">
        <v>415</v>
      </c>
    </row>
    <row r="30888" spans="1:3">
      <c r="A30888" s="250">
        <v>72101</v>
      </c>
      <c r="B30888" s="74" t="s">
        <v>15301</v>
      </c>
      <c r="C30888" s="74" t="s">
        <v>415</v>
      </c>
    </row>
    <row r="30889" spans="1:3">
      <c r="A30889" s="250">
        <v>72102</v>
      </c>
      <c r="B30889" s="74" t="s">
        <v>8084</v>
      </c>
      <c r="C30889" s="74" t="s">
        <v>415</v>
      </c>
    </row>
    <row r="30890" spans="1:3">
      <c r="A30890" s="250">
        <v>72103</v>
      </c>
      <c r="B30890" s="74" t="s">
        <v>15302</v>
      </c>
      <c r="C30890" s="74" t="s">
        <v>415</v>
      </c>
    </row>
    <row r="30891" spans="1:3">
      <c r="A30891" s="250">
        <v>72104</v>
      </c>
      <c r="B30891" s="74" t="s">
        <v>5391</v>
      </c>
      <c r="C30891" s="74" t="s">
        <v>415</v>
      </c>
    </row>
    <row r="30892" spans="1:3">
      <c r="A30892" s="250">
        <v>72105</v>
      </c>
      <c r="B30892" s="74" t="s">
        <v>15303</v>
      </c>
      <c r="C30892" s="74" t="s">
        <v>415</v>
      </c>
    </row>
    <row r="30893" spans="1:3">
      <c r="A30893" s="250">
        <v>72106</v>
      </c>
      <c r="B30893" s="74" t="s">
        <v>15304</v>
      </c>
      <c r="C30893" s="74" t="s">
        <v>415</v>
      </c>
    </row>
    <row r="30894" spans="1:3">
      <c r="A30894" s="250">
        <v>72107</v>
      </c>
      <c r="B30894" s="74" t="s">
        <v>15305</v>
      </c>
      <c r="C30894" s="74" t="s">
        <v>415</v>
      </c>
    </row>
    <row r="30895" spans="1:3">
      <c r="A30895" s="250">
        <v>72108</v>
      </c>
      <c r="B30895" s="74" t="s">
        <v>1284</v>
      </c>
      <c r="C30895" s="74" t="s">
        <v>415</v>
      </c>
    </row>
    <row r="30896" spans="1:3">
      <c r="A30896" s="250">
        <v>72110</v>
      </c>
      <c r="B30896" s="74" t="s">
        <v>15306</v>
      </c>
      <c r="C30896" s="74" t="s">
        <v>415</v>
      </c>
    </row>
    <row r="30897" spans="1:3">
      <c r="A30897" s="250">
        <v>72111</v>
      </c>
      <c r="B30897" s="74" t="s">
        <v>1481</v>
      </c>
      <c r="C30897" s="74" t="s">
        <v>415</v>
      </c>
    </row>
    <row r="30898" spans="1:3">
      <c r="A30898" s="250">
        <v>72112</v>
      </c>
      <c r="B30898" s="74" t="s">
        <v>1118</v>
      </c>
      <c r="C30898" s="74" t="s">
        <v>415</v>
      </c>
    </row>
    <row r="30899" spans="1:3">
      <c r="A30899" s="250">
        <v>72113</v>
      </c>
      <c r="B30899" s="74" t="s">
        <v>15307</v>
      </c>
      <c r="C30899" s="74" t="s">
        <v>415</v>
      </c>
    </row>
    <row r="30900" spans="1:3">
      <c r="A30900" s="250">
        <v>72114</v>
      </c>
      <c r="B30900" s="74" t="s">
        <v>15308</v>
      </c>
      <c r="C30900" s="74" t="s">
        <v>415</v>
      </c>
    </row>
    <row r="30901" spans="1:3">
      <c r="A30901" s="250">
        <v>72115</v>
      </c>
      <c r="B30901" s="74" t="s">
        <v>15308</v>
      </c>
      <c r="C30901" s="74" t="s">
        <v>415</v>
      </c>
    </row>
    <row r="30902" spans="1:3">
      <c r="A30902" s="250">
        <v>72116</v>
      </c>
      <c r="B30902" s="74" t="s">
        <v>15308</v>
      </c>
      <c r="C30902" s="74" t="s">
        <v>415</v>
      </c>
    </row>
    <row r="30903" spans="1:3">
      <c r="A30903" s="250">
        <v>72117</v>
      </c>
      <c r="B30903" s="74" t="s">
        <v>15308</v>
      </c>
      <c r="C30903" s="74" t="s">
        <v>415</v>
      </c>
    </row>
    <row r="30904" spans="1:3">
      <c r="A30904" s="250">
        <v>72118</v>
      </c>
      <c r="B30904" s="74" t="s">
        <v>15308</v>
      </c>
      <c r="C30904" s="74" t="s">
        <v>415</v>
      </c>
    </row>
    <row r="30905" spans="1:3">
      <c r="A30905" s="250">
        <v>72119</v>
      </c>
      <c r="B30905" s="74" t="s">
        <v>15308</v>
      </c>
      <c r="C30905" s="74" t="s">
        <v>415</v>
      </c>
    </row>
    <row r="30906" spans="1:3">
      <c r="A30906" s="250">
        <v>72120</v>
      </c>
      <c r="B30906" s="74" t="s">
        <v>5774</v>
      </c>
      <c r="C30906" s="74" t="s">
        <v>415</v>
      </c>
    </row>
    <row r="30907" spans="1:3">
      <c r="A30907" s="250">
        <v>72121</v>
      </c>
      <c r="B30907" s="74" t="s">
        <v>15309</v>
      </c>
      <c r="C30907" s="74" t="s">
        <v>415</v>
      </c>
    </row>
    <row r="30908" spans="1:3">
      <c r="A30908" s="250">
        <v>72122</v>
      </c>
      <c r="B30908" s="74" t="s">
        <v>15310</v>
      </c>
      <c r="C30908" s="74" t="s">
        <v>415</v>
      </c>
    </row>
    <row r="30909" spans="1:3">
      <c r="A30909" s="250">
        <v>72123</v>
      </c>
      <c r="B30909" s="74" t="s">
        <v>3134</v>
      </c>
      <c r="C30909" s="74" t="s">
        <v>415</v>
      </c>
    </row>
    <row r="30910" spans="1:3">
      <c r="A30910" s="250">
        <v>72124</v>
      </c>
      <c r="B30910" s="74" t="s">
        <v>15308</v>
      </c>
      <c r="C30910" s="74" t="s">
        <v>415</v>
      </c>
    </row>
    <row r="30911" spans="1:3">
      <c r="A30911" s="250">
        <v>72125</v>
      </c>
      <c r="B30911" s="74" t="s">
        <v>1602</v>
      </c>
      <c r="C30911" s="74" t="s">
        <v>415</v>
      </c>
    </row>
    <row r="30912" spans="1:3">
      <c r="A30912" s="250">
        <v>72126</v>
      </c>
      <c r="B30912" s="74" t="s">
        <v>5854</v>
      </c>
      <c r="C30912" s="74" t="s">
        <v>415</v>
      </c>
    </row>
    <row r="30913" spans="1:3">
      <c r="A30913" s="250">
        <v>72127</v>
      </c>
      <c r="B30913" s="74" t="s">
        <v>15311</v>
      </c>
      <c r="C30913" s="74" t="s">
        <v>415</v>
      </c>
    </row>
    <row r="30914" spans="1:3">
      <c r="A30914" s="250">
        <v>72128</v>
      </c>
      <c r="B30914" s="74" t="s">
        <v>15312</v>
      </c>
      <c r="C30914" s="74" t="s">
        <v>415</v>
      </c>
    </row>
    <row r="30915" spans="1:3">
      <c r="A30915" s="250">
        <v>72129</v>
      </c>
      <c r="B30915" s="74" t="s">
        <v>3076</v>
      </c>
      <c r="C30915" s="74" t="s">
        <v>415</v>
      </c>
    </row>
    <row r="30916" spans="1:3">
      <c r="A30916" s="250">
        <v>72130</v>
      </c>
      <c r="B30916" s="74" t="s">
        <v>15313</v>
      </c>
      <c r="C30916" s="74" t="s">
        <v>415</v>
      </c>
    </row>
    <row r="30917" spans="1:3">
      <c r="A30917" s="250">
        <v>72131</v>
      </c>
      <c r="B30917" s="74" t="s">
        <v>8155</v>
      </c>
      <c r="C30917" s="74" t="s">
        <v>415</v>
      </c>
    </row>
    <row r="30918" spans="1:3">
      <c r="A30918" s="250">
        <v>72132</v>
      </c>
      <c r="B30918" s="74" t="s">
        <v>3489</v>
      </c>
      <c r="C30918" s="74" t="s">
        <v>415</v>
      </c>
    </row>
    <row r="30919" spans="1:3">
      <c r="A30919" s="250">
        <v>72133</v>
      </c>
      <c r="B30919" s="74" t="s">
        <v>15314</v>
      </c>
      <c r="C30919" s="74" t="s">
        <v>415</v>
      </c>
    </row>
    <row r="30920" spans="1:3">
      <c r="A30920" s="250">
        <v>72134</v>
      </c>
      <c r="B30920" s="74" t="s">
        <v>15315</v>
      </c>
      <c r="C30920" s="74" t="s">
        <v>415</v>
      </c>
    </row>
    <row r="30921" spans="1:3">
      <c r="A30921" s="250">
        <v>72135</v>
      </c>
      <c r="B30921" s="74" t="s">
        <v>11546</v>
      </c>
      <c r="C30921" s="74" t="s">
        <v>415</v>
      </c>
    </row>
    <row r="30922" spans="1:3">
      <c r="A30922" s="250">
        <v>72136</v>
      </c>
      <c r="B30922" s="74" t="s">
        <v>15316</v>
      </c>
      <c r="C30922" s="74" t="s">
        <v>415</v>
      </c>
    </row>
    <row r="30923" spans="1:3">
      <c r="A30923" s="250">
        <v>72137</v>
      </c>
      <c r="B30923" s="74" t="s">
        <v>15317</v>
      </c>
      <c r="C30923" s="74" t="s">
        <v>415</v>
      </c>
    </row>
    <row r="30924" spans="1:3">
      <c r="A30924" s="250">
        <v>72139</v>
      </c>
      <c r="B30924" s="74" t="s">
        <v>612</v>
      </c>
      <c r="C30924" s="74" t="s">
        <v>415</v>
      </c>
    </row>
    <row r="30925" spans="1:3">
      <c r="A30925" s="250">
        <v>72140</v>
      </c>
      <c r="B30925" s="74" t="s">
        <v>6340</v>
      </c>
      <c r="C30925" s="74" t="s">
        <v>415</v>
      </c>
    </row>
    <row r="30926" spans="1:3">
      <c r="A30926" s="250">
        <v>72141</v>
      </c>
      <c r="B30926" s="74" t="s">
        <v>2003</v>
      </c>
      <c r="C30926" s="74" t="s">
        <v>415</v>
      </c>
    </row>
    <row r="30927" spans="1:3">
      <c r="A30927" s="250">
        <v>72142</v>
      </c>
      <c r="B30927" s="74" t="s">
        <v>9348</v>
      </c>
      <c r="C30927" s="74" t="s">
        <v>415</v>
      </c>
    </row>
    <row r="30928" spans="1:3">
      <c r="A30928" s="250">
        <v>72143</v>
      </c>
      <c r="B30928" s="74" t="s">
        <v>15318</v>
      </c>
      <c r="C30928" s="74" t="s">
        <v>415</v>
      </c>
    </row>
    <row r="30929" spans="1:3">
      <c r="A30929" s="250">
        <v>72145</v>
      </c>
      <c r="B30929" s="74" t="s">
        <v>15318</v>
      </c>
      <c r="C30929" s="74" t="s">
        <v>415</v>
      </c>
    </row>
    <row r="30930" spans="1:3">
      <c r="A30930" s="250">
        <v>72149</v>
      </c>
      <c r="B30930" s="74" t="s">
        <v>15318</v>
      </c>
      <c r="C30930" s="74" t="s">
        <v>415</v>
      </c>
    </row>
    <row r="30931" spans="1:3">
      <c r="A30931" s="250">
        <v>72150</v>
      </c>
      <c r="B30931" s="74" t="s">
        <v>1651</v>
      </c>
      <c r="C30931" s="74" t="s">
        <v>415</v>
      </c>
    </row>
    <row r="30932" spans="1:3">
      <c r="A30932" s="250">
        <v>72152</v>
      </c>
      <c r="B30932" s="74" t="s">
        <v>3501</v>
      </c>
      <c r="C30932" s="74" t="s">
        <v>415</v>
      </c>
    </row>
    <row r="30933" spans="1:3">
      <c r="A30933" s="250">
        <v>72153</v>
      </c>
      <c r="B30933" s="74" t="s">
        <v>716</v>
      </c>
      <c r="C30933" s="74" t="s">
        <v>415</v>
      </c>
    </row>
    <row r="30934" spans="1:3">
      <c r="A30934" s="250">
        <v>72156</v>
      </c>
      <c r="B30934" s="74" t="s">
        <v>15319</v>
      </c>
      <c r="C30934" s="74" t="s">
        <v>415</v>
      </c>
    </row>
    <row r="30935" spans="1:3">
      <c r="A30935" s="250">
        <v>72157</v>
      </c>
      <c r="B30935" s="74" t="s">
        <v>634</v>
      </c>
      <c r="C30935" s="74" t="s">
        <v>415</v>
      </c>
    </row>
    <row r="30936" spans="1:3">
      <c r="A30936" s="250">
        <v>72158</v>
      </c>
      <c r="B30936" s="74" t="s">
        <v>4938</v>
      </c>
      <c r="C30936" s="74" t="s">
        <v>415</v>
      </c>
    </row>
    <row r="30937" spans="1:3">
      <c r="A30937" s="250">
        <v>72160</v>
      </c>
      <c r="B30937" s="74" t="s">
        <v>15320</v>
      </c>
      <c r="C30937" s="74" t="s">
        <v>415</v>
      </c>
    </row>
    <row r="30938" spans="1:3">
      <c r="A30938" s="250">
        <v>72164</v>
      </c>
      <c r="B30938" s="74" t="s">
        <v>15321</v>
      </c>
      <c r="C30938" s="74" t="s">
        <v>415</v>
      </c>
    </row>
    <row r="30939" spans="1:3">
      <c r="A30939" s="250">
        <v>72165</v>
      </c>
      <c r="B30939" s="74" t="s">
        <v>15322</v>
      </c>
      <c r="C30939" s="74" t="s">
        <v>415</v>
      </c>
    </row>
    <row r="30940" spans="1:3">
      <c r="A30940" s="250">
        <v>72166</v>
      </c>
      <c r="B30940" s="74" t="s">
        <v>15323</v>
      </c>
      <c r="C30940" s="74" t="s">
        <v>415</v>
      </c>
    </row>
    <row r="30941" spans="1:3">
      <c r="A30941" s="250">
        <v>72167</v>
      </c>
      <c r="B30941" s="74" t="s">
        <v>15324</v>
      </c>
      <c r="C30941" s="74" t="s">
        <v>415</v>
      </c>
    </row>
    <row r="30942" spans="1:3">
      <c r="A30942" s="250">
        <v>72168</v>
      </c>
      <c r="B30942" s="74" t="s">
        <v>7872</v>
      </c>
      <c r="C30942" s="74" t="s">
        <v>415</v>
      </c>
    </row>
    <row r="30943" spans="1:3">
      <c r="A30943" s="250">
        <v>72169</v>
      </c>
      <c r="B30943" s="74" t="s">
        <v>9351</v>
      </c>
      <c r="C30943" s="74" t="s">
        <v>415</v>
      </c>
    </row>
    <row r="30944" spans="1:3">
      <c r="A30944" s="250">
        <v>72170</v>
      </c>
      <c r="B30944" s="74" t="s">
        <v>13342</v>
      </c>
      <c r="C30944" s="74" t="s">
        <v>415</v>
      </c>
    </row>
    <row r="30945" spans="1:3">
      <c r="A30945" s="250">
        <v>72173</v>
      </c>
      <c r="B30945" s="74" t="s">
        <v>15325</v>
      </c>
      <c r="C30945" s="74" t="s">
        <v>415</v>
      </c>
    </row>
    <row r="30946" spans="1:3">
      <c r="A30946" s="250">
        <v>72175</v>
      </c>
      <c r="B30946" s="74" t="s">
        <v>15326</v>
      </c>
      <c r="C30946" s="74" t="s">
        <v>415</v>
      </c>
    </row>
    <row r="30947" spans="1:3">
      <c r="A30947" s="250">
        <v>72176</v>
      </c>
      <c r="B30947" s="74" t="s">
        <v>7656</v>
      </c>
      <c r="C30947" s="74" t="s">
        <v>415</v>
      </c>
    </row>
    <row r="30948" spans="1:3">
      <c r="A30948" s="250">
        <v>72178</v>
      </c>
      <c r="B30948" s="74" t="s">
        <v>2720</v>
      </c>
      <c r="C30948" s="74" t="s">
        <v>415</v>
      </c>
    </row>
    <row r="30949" spans="1:3">
      <c r="A30949" s="250">
        <v>72179</v>
      </c>
      <c r="B30949" s="74" t="s">
        <v>15327</v>
      </c>
      <c r="C30949" s="74" t="s">
        <v>415</v>
      </c>
    </row>
    <row r="30950" spans="1:3">
      <c r="A30950" s="250">
        <v>72180</v>
      </c>
      <c r="B30950" s="74" t="s">
        <v>13964</v>
      </c>
      <c r="C30950" s="74" t="s">
        <v>415</v>
      </c>
    </row>
    <row r="30951" spans="1:3">
      <c r="A30951" s="250">
        <v>72181</v>
      </c>
      <c r="B30951" s="74" t="s">
        <v>10416</v>
      </c>
      <c r="C30951" s="74" t="s">
        <v>415</v>
      </c>
    </row>
    <row r="30952" spans="1:3">
      <c r="A30952" s="250">
        <v>72182</v>
      </c>
      <c r="B30952" s="74" t="s">
        <v>12490</v>
      </c>
      <c r="C30952" s="74" t="s">
        <v>415</v>
      </c>
    </row>
    <row r="30953" spans="1:3">
      <c r="A30953" s="250">
        <v>72183</v>
      </c>
      <c r="B30953" s="74" t="s">
        <v>4842</v>
      </c>
      <c r="C30953" s="74" t="s">
        <v>415</v>
      </c>
    </row>
    <row r="30954" spans="1:3">
      <c r="A30954" s="250">
        <v>72189</v>
      </c>
      <c r="B30954" s="74" t="s">
        <v>15301</v>
      </c>
      <c r="C30954" s="74" t="s">
        <v>415</v>
      </c>
    </row>
    <row r="30955" spans="1:3">
      <c r="A30955" s="250">
        <v>72190</v>
      </c>
      <c r="B30955" s="74" t="s">
        <v>15308</v>
      </c>
      <c r="C30955" s="74" t="s">
        <v>415</v>
      </c>
    </row>
    <row r="30956" spans="1:3">
      <c r="A30956" s="250">
        <v>72198</v>
      </c>
      <c r="B30956" s="74" t="s">
        <v>15308</v>
      </c>
      <c r="C30956" s="74" t="s">
        <v>415</v>
      </c>
    </row>
    <row r="30957" spans="1:3">
      <c r="A30957" s="250">
        <v>72199</v>
      </c>
      <c r="B30957" s="74" t="s">
        <v>15308</v>
      </c>
      <c r="C30957" s="74" t="s">
        <v>415</v>
      </c>
    </row>
    <row r="30958" spans="1:3">
      <c r="A30958" s="250">
        <v>72201</v>
      </c>
      <c r="B30958" s="74" t="s">
        <v>7745</v>
      </c>
      <c r="C30958" s="74" t="s">
        <v>415</v>
      </c>
    </row>
    <row r="30959" spans="1:3">
      <c r="A30959" s="250">
        <v>72202</v>
      </c>
      <c r="B30959" s="74" t="s">
        <v>7745</v>
      </c>
      <c r="C30959" s="74" t="s">
        <v>415</v>
      </c>
    </row>
    <row r="30960" spans="1:3">
      <c r="A30960" s="250">
        <v>72203</v>
      </c>
      <c r="B30960" s="74" t="s">
        <v>7745</v>
      </c>
      <c r="C30960" s="74" t="s">
        <v>415</v>
      </c>
    </row>
    <row r="30961" spans="1:3">
      <c r="A30961" s="250">
        <v>72204</v>
      </c>
      <c r="B30961" s="74" t="s">
        <v>7745</v>
      </c>
      <c r="C30961" s="74" t="s">
        <v>415</v>
      </c>
    </row>
    <row r="30962" spans="1:3">
      <c r="A30962" s="250">
        <v>72205</v>
      </c>
      <c r="B30962" s="74" t="s">
        <v>7745</v>
      </c>
      <c r="C30962" s="74" t="s">
        <v>415</v>
      </c>
    </row>
    <row r="30963" spans="1:3">
      <c r="A30963" s="250">
        <v>72206</v>
      </c>
      <c r="B30963" s="74" t="s">
        <v>7745</v>
      </c>
      <c r="C30963" s="74" t="s">
        <v>415</v>
      </c>
    </row>
    <row r="30964" spans="1:3">
      <c r="A30964" s="250">
        <v>72207</v>
      </c>
      <c r="B30964" s="74" t="s">
        <v>7745</v>
      </c>
      <c r="C30964" s="74" t="s">
        <v>415</v>
      </c>
    </row>
    <row r="30965" spans="1:3">
      <c r="A30965" s="250">
        <v>72209</v>
      </c>
      <c r="B30965" s="74" t="s">
        <v>7745</v>
      </c>
      <c r="C30965" s="74" t="s">
        <v>415</v>
      </c>
    </row>
    <row r="30966" spans="1:3">
      <c r="A30966" s="250">
        <v>72210</v>
      </c>
      <c r="B30966" s="74" t="s">
        <v>7745</v>
      </c>
      <c r="C30966" s="74" t="s">
        <v>415</v>
      </c>
    </row>
    <row r="30967" spans="1:3">
      <c r="A30967" s="250">
        <v>72211</v>
      </c>
      <c r="B30967" s="74" t="s">
        <v>7745</v>
      </c>
      <c r="C30967" s="74" t="s">
        <v>415</v>
      </c>
    </row>
    <row r="30968" spans="1:3">
      <c r="A30968" s="250">
        <v>72212</v>
      </c>
      <c r="B30968" s="74" t="s">
        <v>7745</v>
      </c>
      <c r="C30968" s="74" t="s">
        <v>415</v>
      </c>
    </row>
    <row r="30969" spans="1:3">
      <c r="A30969" s="250">
        <v>72214</v>
      </c>
      <c r="B30969" s="74" t="s">
        <v>7745</v>
      </c>
      <c r="C30969" s="74" t="s">
        <v>415</v>
      </c>
    </row>
    <row r="30970" spans="1:3">
      <c r="A30970" s="250">
        <v>72215</v>
      </c>
      <c r="B30970" s="74" t="s">
        <v>7745</v>
      </c>
      <c r="C30970" s="74" t="s">
        <v>415</v>
      </c>
    </row>
    <row r="30971" spans="1:3">
      <c r="A30971" s="250">
        <v>72216</v>
      </c>
      <c r="B30971" s="74" t="s">
        <v>7745</v>
      </c>
      <c r="C30971" s="74" t="s">
        <v>415</v>
      </c>
    </row>
    <row r="30972" spans="1:3">
      <c r="A30972" s="250">
        <v>72217</v>
      </c>
      <c r="B30972" s="74" t="s">
        <v>7745</v>
      </c>
      <c r="C30972" s="74" t="s">
        <v>415</v>
      </c>
    </row>
    <row r="30973" spans="1:3">
      <c r="A30973" s="250">
        <v>72219</v>
      </c>
      <c r="B30973" s="74" t="s">
        <v>7745</v>
      </c>
      <c r="C30973" s="74" t="s">
        <v>415</v>
      </c>
    </row>
    <row r="30974" spans="1:3">
      <c r="A30974" s="250">
        <v>72221</v>
      </c>
      <c r="B30974" s="74" t="s">
        <v>7745</v>
      </c>
      <c r="C30974" s="74" t="s">
        <v>415</v>
      </c>
    </row>
    <row r="30975" spans="1:3">
      <c r="A30975" s="250">
        <v>72222</v>
      </c>
      <c r="B30975" s="74" t="s">
        <v>7745</v>
      </c>
      <c r="C30975" s="74" t="s">
        <v>415</v>
      </c>
    </row>
    <row r="30976" spans="1:3">
      <c r="A30976" s="250">
        <v>72223</v>
      </c>
      <c r="B30976" s="74" t="s">
        <v>7745</v>
      </c>
      <c r="C30976" s="74" t="s">
        <v>415</v>
      </c>
    </row>
    <row r="30977" spans="1:3">
      <c r="A30977" s="250">
        <v>72225</v>
      </c>
      <c r="B30977" s="74" t="s">
        <v>7745</v>
      </c>
      <c r="C30977" s="74" t="s">
        <v>415</v>
      </c>
    </row>
    <row r="30978" spans="1:3">
      <c r="A30978" s="250">
        <v>72227</v>
      </c>
      <c r="B30978" s="74" t="s">
        <v>7745</v>
      </c>
      <c r="C30978" s="74" t="s">
        <v>415</v>
      </c>
    </row>
    <row r="30979" spans="1:3">
      <c r="A30979" s="250">
        <v>72231</v>
      </c>
      <c r="B30979" s="74" t="s">
        <v>7745</v>
      </c>
      <c r="C30979" s="74" t="s">
        <v>415</v>
      </c>
    </row>
    <row r="30980" spans="1:3">
      <c r="A30980" s="250">
        <v>72260</v>
      </c>
      <c r="B30980" s="74" t="s">
        <v>7745</v>
      </c>
      <c r="C30980" s="74" t="s">
        <v>415</v>
      </c>
    </row>
    <row r="30981" spans="1:3">
      <c r="A30981" s="250">
        <v>72295</v>
      </c>
      <c r="B30981" s="74" t="s">
        <v>7745</v>
      </c>
      <c r="C30981" s="74" t="s">
        <v>415</v>
      </c>
    </row>
    <row r="30982" spans="1:3">
      <c r="A30982" s="250">
        <v>72301</v>
      </c>
      <c r="B30982" s="74" t="s">
        <v>15328</v>
      </c>
      <c r="C30982" s="74" t="s">
        <v>415</v>
      </c>
    </row>
    <row r="30983" spans="1:3">
      <c r="A30983" s="250">
        <v>72303</v>
      </c>
      <c r="B30983" s="74" t="s">
        <v>15328</v>
      </c>
      <c r="C30983" s="74" t="s">
        <v>415</v>
      </c>
    </row>
    <row r="30984" spans="1:3">
      <c r="A30984" s="250">
        <v>72310</v>
      </c>
      <c r="B30984" s="74" t="s">
        <v>15329</v>
      </c>
      <c r="C30984" s="74" t="s">
        <v>415</v>
      </c>
    </row>
    <row r="30985" spans="1:3">
      <c r="A30985" s="250">
        <v>72311</v>
      </c>
      <c r="B30985" s="74" t="s">
        <v>15330</v>
      </c>
      <c r="C30985" s="74" t="s">
        <v>415</v>
      </c>
    </row>
    <row r="30986" spans="1:3">
      <c r="A30986" s="250">
        <v>72312</v>
      </c>
      <c r="B30986" s="74" t="s">
        <v>1898</v>
      </c>
      <c r="C30986" s="74" t="s">
        <v>415</v>
      </c>
    </row>
    <row r="30987" spans="1:3">
      <c r="A30987" s="250">
        <v>72313</v>
      </c>
      <c r="B30987" s="74" t="s">
        <v>6255</v>
      </c>
      <c r="C30987" s="74" t="s">
        <v>415</v>
      </c>
    </row>
    <row r="30988" spans="1:3">
      <c r="A30988" s="250">
        <v>72315</v>
      </c>
      <c r="B30988" s="74" t="s">
        <v>15331</v>
      </c>
      <c r="C30988" s="74" t="s">
        <v>415</v>
      </c>
    </row>
    <row r="30989" spans="1:3">
      <c r="A30989" s="250">
        <v>72316</v>
      </c>
      <c r="B30989" s="74" t="s">
        <v>15331</v>
      </c>
      <c r="C30989" s="74" t="s">
        <v>415</v>
      </c>
    </row>
    <row r="30990" spans="1:3">
      <c r="A30990" s="250">
        <v>72319</v>
      </c>
      <c r="B30990" s="74" t="s">
        <v>15332</v>
      </c>
      <c r="C30990" s="74" t="s">
        <v>415</v>
      </c>
    </row>
    <row r="30991" spans="1:3">
      <c r="A30991" s="250">
        <v>72320</v>
      </c>
      <c r="B30991" s="74" t="s">
        <v>15333</v>
      </c>
      <c r="C30991" s="74" t="s">
        <v>415</v>
      </c>
    </row>
    <row r="30992" spans="1:3">
      <c r="A30992" s="250">
        <v>72321</v>
      </c>
      <c r="B30992" s="74" t="s">
        <v>15334</v>
      </c>
      <c r="C30992" s="74" t="s">
        <v>415</v>
      </c>
    </row>
    <row r="30993" spans="1:3">
      <c r="A30993" s="250">
        <v>72322</v>
      </c>
      <c r="B30993" s="74" t="s">
        <v>2113</v>
      </c>
      <c r="C30993" s="74" t="s">
        <v>415</v>
      </c>
    </row>
    <row r="30994" spans="1:3">
      <c r="A30994" s="250">
        <v>72324</v>
      </c>
      <c r="B30994" s="74" t="s">
        <v>776</v>
      </c>
      <c r="C30994" s="74" t="s">
        <v>415</v>
      </c>
    </row>
    <row r="30995" spans="1:3">
      <c r="A30995" s="250">
        <v>72325</v>
      </c>
      <c r="B30995" s="74" t="s">
        <v>15335</v>
      </c>
      <c r="C30995" s="74" t="s">
        <v>415</v>
      </c>
    </row>
    <row r="30996" spans="1:3">
      <c r="A30996" s="250">
        <v>72326</v>
      </c>
      <c r="B30996" s="74" t="s">
        <v>15336</v>
      </c>
      <c r="C30996" s="74" t="s">
        <v>415</v>
      </c>
    </row>
    <row r="30997" spans="1:3">
      <c r="A30997" s="250">
        <v>72327</v>
      </c>
      <c r="B30997" s="74" t="s">
        <v>10961</v>
      </c>
      <c r="C30997" s="74" t="s">
        <v>415</v>
      </c>
    </row>
    <row r="30998" spans="1:3">
      <c r="A30998" s="250">
        <v>72328</v>
      </c>
      <c r="B30998" s="74" t="s">
        <v>15337</v>
      </c>
      <c r="C30998" s="74" t="s">
        <v>415</v>
      </c>
    </row>
    <row r="30999" spans="1:3">
      <c r="A30999" s="250">
        <v>72329</v>
      </c>
      <c r="B30999" s="74" t="s">
        <v>15338</v>
      </c>
      <c r="C30999" s="74" t="s">
        <v>415</v>
      </c>
    </row>
    <row r="31000" spans="1:3">
      <c r="A31000" s="250">
        <v>72330</v>
      </c>
      <c r="B31000" s="74" t="s">
        <v>15339</v>
      </c>
      <c r="C31000" s="74" t="s">
        <v>415</v>
      </c>
    </row>
    <row r="31001" spans="1:3">
      <c r="A31001" s="250">
        <v>72331</v>
      </c>
      <c r="B31001" s="74" t="s">
        <v>15340</v>
      </c>
      <c r="C31001" s="74" t="s">
        <v>415</v>
      </c>
    </row>
    <row r="31002" spans="1:3">
      <c r="A31002" s="250">
        <v>72332</v>
      </c>
      <c r="B31002" s="74" t="s">
        <v>15341</v>
      </c>
      <c r="C31002" s="74" t="s">
        <v>415</v>
      </c>
    </row>
    <row r="31003" spans="1:3">
      <c r="A31003" s="250">
        <v>72333</v>
      </c>
      <c r="B31003" s="74" t="s">
        <v>15342</v>
      </c>
      <c r="C31003" s="74" t="s">
        <v>415</v>
      </c>
    </row>
    <row r="31004" spans="1:3">
      <c r="A31004" s="250">
        <v>72335</v>
      </c>
      <c r="B31004" s="74" t="s">
        <v>15343</v>
      </c>
      <c r="C31004" s="74" t="s">
        <v>415</v>
      </c>
    </row>
    <row r="31005" spans="1:3">
      <c r="A31005" s="250">
        <v>72336</v>
      </c>
      <c r="B31005" s="74" t="s">
        <v>15343</v>
      </c>
      <c r="C31005" s="74" t="s">
        <v>415</v>
      </c>
    </row>
    <row r="31006" spans="1:3">
      <c r="A31006" s="250">
        <v>72338</v>
      </c>
      <c r="B31006" s="74" t="s">
        <v>15344</v>
      </c>
      <c r="C31006" s="74" t="s">
        <v>415</v>
      </c>
    </row>
    <row r="31007" spans="1:3">
      <c r="A31007" s="250">
        <v>72339</v>
      </c>
      <c r="B31007" s="74" t="s">
        <v>15345</v>
      </c>
      <c r="C31007" s="74" t="s">
        <v>415</v>
      </c>
    </row>
    <row r="31008" spans="1:3">
      <c r="A31008" s="250">
        <v>72340</v>
      </c>
      <c r="B31008" s="74" t="s">
        <v>12845</v>
      </c>
      <c r="C31008" s="74" t="s">
        <v>415</v>
      </c>
    </row>
    <row r="31009" spans="1:3">
      <c r="A31009" s="250">
        <v>72341</v>
      </c>
      <c r="B31009" s="74" t="s">
        <v>15346</v>
      </c>
      <c r="C31009" s="74" t="s">
        <v>415</v>
      </c>
    </row>
    <row r="31010" spans="1:3">
      <c r="A31010" s="250">
        <v>72342</v>
      </c>
      <c r="B31010" s="74" t="s">
        <v>3555</v>
      </c>
      <c r="C31010" s="74" t="s">
        <v>415</v>
      </c>
    </row>
    <row r="31011" spans="1:3">
      <c r="A31011" s="250">
        <v>72346</v>
      </c>
      <c r="B31011" s="74" t="s">
        <v>15347</v>
      </c>
      <c r="C31011" s="74" t="s">
        <v>415</v>
      </c>
    </row>
    <row r="31012" spans="1:3">
      <c r="A31012" s="250">
        <v>72347</v>
      </c>
      <c r="B31012" s="74" t="s">
        <v>15348</v>
      </c>
      <c r="C31012" s="74" t="s">
        <v>415</v>
      </c>
    </row>
    <row r="31013" spans="1:3">
      <c r="A31013" s="250">
        <v>72348</v>
      </c>
      <c r="B31013" s="74" t="s">
        <v>15349</v>
      </c>
      <c r="C31013" s="74" t="s">
        <v>415</v>
      </c>
    </row>
    <row r="31014" spans="1:3">
      <c r="A31014" s="250">
        <v>72350</v>
      </c>
      <c r="B31014" s="74" t="s">
        <v>15350</v>
      </c>
      <c r="C31014" s="74" t="s">
        <v>415</v>
      </c>
    </row>
    <row r="31015" spans="1:3">
      <c r="A31015" s="250">
        <v>72351</v>
      </c>
      <c r="B31015" s="74" t="s">
        <v>15351</v>
      </c>
      <c r="C31015" s="74" t="s">
        <v>415</v>
      </c>
    </row>
    <row r="31016" spans="1:3">
      <c r="A31016" s="250">
        <v>72352</v>
      </c>
      <c r="B31016" s="74" t="s">
        <v>7447</v>
      </c>
      <c r="C31016" s="74" t="s">
        <v>415</v>
      </c>
    </row>
    <row r="31017" spans="1:3">
      <c r="A31017" s="250">
        <v>72353</v>
      </c>
      <c r="B31017" s="74" t="s">
        <v>15352</v>
      </c>
      <c r="C31017" s="74" t="s">
        <v>415</v>
      </c>
    </row>
    <row r="31018" spans="1:3">
      <c r="A31018" s="250">
        <v>72354</v>
      </c>
      <c r="B31018" s="74" t="s">
        <v>15353</v>
      </c>
      <c r="C31018" s="74" t="s">
        <v>415</v>
      </c>
    </row>
    <row r="31019" spans="1:3">
      <c r="A31019" s="250">
        <v>72355</v>
      </c>
      <c r="B31019" s="74" t="s">
        <v>15354</v>
      </c>
      <c r="C31019" s="74" t="s">
        <v>415</v>
      </c>
    </row>
    <row r="31020" spans="1:3">
      <c r="A31020" s="250">
        <v>72358</v>
      </c>
      <c r="B31020" s="74" t="s">
        <v>15355</v>
      </c>
      <c r="C31020" s="74" t="s">
        <v>415</v>
      </c>
    </row>
    <row r="31021" spans="1:3">
      <c r="A31021" s="250">
        <v>72359</v>
      </c>
      <c r="B31021" s="74" t="s">
        <v>1320</v>
      </c>
      <c r="C31021" s="74" t="s">
        <v>415</v>
      </c>
    </row>
    <row r="31022" spans="1:3">
      <c r="A31022" s="250">
        <v>72360</v>
      </c>
      <c r="B31022" s="74" t="s">
        <v>4064</v>
      </c>
      <c r="C31022" s="74" t="s">
        <v>415</v>
      </c>
    </row>
    <row r="31023" spans="1:3">
      <c r="A31023" s="250">
        <v>72364</v>
      </c>
      <c r="B31023" s="74" t="s">
        <v>1071</v>
      </c>
      <c r="C31023" s="74" t="s">
        <v>415</v>
      </c>
    </row>
    <row r="31024" spans="1:3">
      <c r="A31024" s="250">
        <v>72365</v>
      </c>
      <c r="B31024" s="74" t="s">
        <v>15356</v>
      </c>
      <c r="C31024" s="74" t="s">
        <v>415</v>
      </c>
    </row>
    <row r="31025" spans="1:3">
      <c r="A31025" s="250">
        <v>72366</v>
      </c>
      <c r="B31025" s="74" t="s">
        <v>15357</v>
      </c>
      <c r="C31025" s="74" t="s">
        <v>415</v>
      </c>
    </row>
    <row r="31026" spans="1:3">
      <c r="A31026" s="250">
        <v>72367</v>
      </c>
      <c r="B31026" s="74" t="s">
        <v>15358</v>
      </c>
      <c r="C31026" s="74" t="s">
        <v>415</v>
      </c>
    </row>
    <row r="31027" spans="1:3">
      <c r="A31027" s="250">
        <v>72368</v>
      </c>
      <c r="B31027" s="74" t="s">
        <v>13820</v>
      </c>
      <c r="C31027" s="74" t="s">
        <v>415</v>
      </c>
    </row>
    <row r="31028" spans="1:3">
      <c r="A31028" s="250">
        <v>72369</v>
      </c>
      <c r="B31028" s="74" t="s">
        <v>3483</v>
      </c>
      <c r="C31028" s="74" t="s">
        <v>415</v>
      </c>
    </row>
    <row r="31029" spans="1:3">
      <c r="A31029" s="250">
        <v>72370</v>
      </c>
      <c r="B31029" s="74" t="s">
        <v>4682</v>
      </c>
      <c r="C31029" s="74" t="s">
        <v>415</v>
      </c>
    </row>
    <row r="31030" spans="1:3">
      <c r="A31030" s="250">
        <v>72372</v>
      </c>
      <c r="B31030" s="74" t="s">
        <v>6878</v>
      </c>
      <c r="C31030" s="74" t="s">
        <v>415</v>
      </c>
    </row>
    <row r="31031" spans="1:3">
      <c r="A31031" s="250">
        <v>72373</v>
      </c>
      <c r="B31031" s="74" t="s">
        <v>15359</v>
      </c>
      <c r="C31031" s="74" t="s">
        <v>415</v>
      </c>
    </row>
    <row r="31032" spans="1:3">
      <c r="A31032" s="250">
        <v>72374</v>
      </c>
      <c r="B31032" s="74" t="s">
        <v>13620</v>
      </c>
      <c r="C31032" s="74" t="s">
        <v>415</v>
      </c>
    </row>
    <row r="31033" spans="1:3">
      <c r="A31033" s="250">
        <v>72376</v>
      </c>
      <c r="B31033" s="74" t="s">
        <v>1887</v>
      </c>
      <c r="C31033" s="74" t="s">
        <v>415</v>
      </c>
    </row>
    <row r="31034" spans="1:3">
      <c r="A31034" s="250">
        <v>72377</v>
      </c>
      <c r="B31034" s="74" t="s">
        <v>15360</v>
      </c>
      <c r="C31034" s="74" t="s">
        <v>415</v>
      </c>
    </row>
    <row r="31035" spans="1:3">
      <c r="A31035" s="250">
        <v>72379</v>
      </c>
      <c r="B31035" s="74" t="s">
        <v>15361</v>
      </c>
      <c r="C31035" s="74" t="s">
        <v>415</v>
      </c>
    </row>
    <row r="31036" spans="1:3">
      <c r="A31036" s="250">
        <v>72383</v>
      </c>
      <c r="B31036" s="74" t="s">
        <v>1463</v>
      </c>
      <c r="C31036" s="74" t="s">
        <v>415</v>
      </c>
    </row>
    <row r="31037" spans="1:3">
      <c r="A31037" s="250">
        <v>72384</v>
      </c>
      <c r="B31037" s="74" t="s">
        <v>15362</v>
      </c>
      <c r="C31037" s="74" t="s">
        <v>415</v>
      </c>
    </row>
    <row r="31038" spans="1:3">
      <c r="A31038" s="250">
        <v>72386</v>
      </c>
      <c r="B31038" s="74" t="s">
        <v>15363</v>
      </c>
      <c r="C31038" s="74" t="s">
        <v>415</v>
      </c>
    </row>
    <row r="31039" spans="1:3">
      <c r="A31039" s="250">
        <v>72387</v>
      </c>
      <c r="B31039" s="74" t="s">
        <v>15364</v>
      </c>
      <c r="C31039" s="74" t="s">
        <v>415</v>
      </c>
    </row>
    <row r="31040" spans="1:3">
      <c r="A31040" s="250">
        <v>72389</v>
      </c>
      <c r="B31040" s="74" t="s">
        <v>10794</v>
      </c>
      <c r="C31040" s="74" t="s">
        <v>415</v>
      </c>
    </row>
    <row r="31041" spans="1:3">
      <c r="A31041" s="250">
        <v>72390</v>
      </c>
      <c r="B31041" s="74" t="s">
        <v>15365</v>
      </c>
      <c r="C31041" s="74" t="s">
        <v>415</v>
      </c>
    </row>
    <row r="31042" spans="1:3">
      <c r="A31042" s="250">
        <v>72391</v>
      </c>
      <c r="B31042" s="74" t="s">
        <v>15366</v>
      </c>
      <c r="C31042" s="74" t="s">
        <v>415</v>
      </c>
    </row>
    <row r="31043" spans="1:3">
      <c r="A31043" s="250">
        <v>72392</v>
      </c>
      <c r="B31043" s="74" t="s">
        <v>15367</v>
      </c>
      <c r="C31043" s="74" t="s">
        <v>415</v>
      </c>
    </row>
    <row r="31044" spans="1:3">
      <c r="A31044" s="250">
        <v>72394</v>
      </c>
      <c r="B31044" s="74" t="s">
        <v>15368</v>
      </c>
      <c r="C31044" s="74" t="s">
        <v>415</v>
      </c>
    </row>
    <row r="31045" spans="1:3">
      <c r="A31045" s="250">
        <v>72395</v>
      </c>
      <c r="B31045" s="74" t="s">
        <v>3748</v>
      </c>
      <c r="C31045" s="74" t="s">
        <v>415</v>
      </c>
    </row>
    <row r="31046" spans="1:3">
      <c r="A31046" s="250">
        <v>72396</v>
      </c>
      <c r="B31046" s="74" t="s">
        <v>15369</v>
      </c>
      <c r="C31046" s="74" t="s">
        <v>415</v>
      </c>
    </row>
    <row r="31047" spans="1:3">
      <c r="A31047" s="250">
        <v>72401</v>
      </c>
      <c r="B31047" s="74" t="s">
        <v>1591</v>
      </c>
      <c r="C31047" s="74" t="s">
        <v>415</v>
      </c>
    </row>
    <row r="31048" spans="1:3">
      <c r="A31048" s="250">
        <v>72402</v>
      </c>
      <c r="B31048" s="74" t="s">
        <v>1591</v>
      </c>
      <c r="C31048" s="74" t="s">
        <v>415</v>
      </c>
    </row>
    <row r="31049" spans="1:3">
      <c r="A31049" s="250">
        <v>72403</v>
      </c>
      <c r="B31049" s="74" t="s">
        <v>1591</v>
      </c>
      <c r="C31049" s="74" t="s">
        <v>415</v>
      </c>
    </row>
    <row r="31050" spans="1:3">
      <c r="A31050" s="250">
        <v>72404</v>
      </c>
      <c r="B31050" s="74" t="s">
        <v>1591</v>
      </c>
      <c r="C31050" s="74" t="s">
        <v>415</v>
      </c>
    </row>
    <row r="31051" spans="1:3">
      <c r="A31051" s="250">
        <v>72410</v>
      </c>
      <c r="B31051" s="74" t="s">
        <v>15370</v>
      </c>
      <c r="C31051" s="74" t="s">
        <v>415</v>
      </c>
    </row>
    <row r="31052" spans="1:3">
      <c r="A31052" s="250">
        <v>72411</v>
      </c>
      <c r="B31052" s="74" t="s">
        <v>15371</v>
      </c>
      <c r="C31052" s="74" t="s">
        <v>415</v>
      </c>
    </row>
    <row r="31053" spans="1:3">
      <c r="A31053" s="250">
        <v>72412</v>
      </c>
      <c r="B31053" s="74" t="s">
        <v>9997</v>
      </c>
      <c r="C31053" s="74" t="s">
        <v>415</v>
      </c>
    </row>
    <row r="31054" spans="1:3">
      <c r="A31054" s="250">
        <v>72413</v>
      </c>
      <c r="B31054" s="74" t="s">
        <v>15372</v>
      </c>
      <c r="C31054" s="74" t="s">
        <v>415</v>
      </c>
    </row>
    <row r="31055" spans="1:3">
      <c r="A31055" s="250">
        <v>72414</v>
      </c>
      <c r="B31055" s="74" t="s">
        <v>15373</v>
      </c>
      <c r="C31055" s="74" t="s">
        <v>415</v>
      </c>
    </row>
    <row r="31056" spans="1:3">
      <c r="A31056" s="250">
        <v>72415</v>
      </c>
      <c r="B31056" s="74" t="s">
        <v>15374</v>
      </c>
      <c r="C31056" s="74" t="s">
        <v>415</v>
      </c>
    </row>
    <row r="31057" spans="1:3">
      <c r="A31057" s="250">
        <v>72416</v>
      </c>
      <c r="B31057" s="74" t="s">
        <v>15375</v>
      </c>
      <c r="C31057" s="74" t="s">
        <v>415</v>
      </c>
    </row>
    <row r="31058" spans="1:3">
      <c r="A31058" s="250">
        <v>72417</v>
      </c>
      <c r="B31058" s="74" t="s">
        <v>15376</v>
      </c>
      <c r="C31058" s="74" t="s">
        <v>415</v>
      </c>
    </row>
    <row r="31059" spans="1:3">
      <c r="A31059" s="250">
        <v>72419</v>
      </c>
      <c r="B31059" s="74" t="s">
        <v>15377</v>
      </c>
      <c r="C31059" s="74" t="s">
        <v>415</v>
      </c>
    </row>
    <row r="31060" spans="1:3">
      <c r="A31060" s="250">
        <v>72421</v>
      </c>
      <c r="B31060" s="74" t="s">
        <v>15378</v>
      </c>
      <c r="C31060" s="74" t="s">
        <v>415</v>
      </c>
    </row>
    <row r="31061" spans="1:3">
      <c r="A31061" s="250">
        <v>72422</v>
      </c>
      <c r="B31061" s="74" t="s">
        <v>3911</v>
      </c>
      <c r="C31061" s="74" t="s">
        <v>415</v>
      </c>
    </row>
    <row r="31062" spans="1:3">
      <c r="A31062" s="250">
        <v>72424</v>
      </c>
      <c r="B31062" s="74" t="s">
        <v>15379</v>
      </c>
      <c r="C31062" s="74" t="s">
        <v>415</v>
      </c>
    </row>
    <row r="31063" spans="1:3">
      <c r="A31063" s="250">
        <v>72425</v>
      </c>
      <c r="B31063" s="74" t="s">
        <v>15380</v>
      </c>
      <c r="C31063" s="74" t="s">
        <v>415</v>
      </c>
    </row>
    <row r="31064" spans="1:3">
      <c r="A31064" s="250">
        <v>72426</v>
      </c>
      <c r="B31064" s="74" t="s">
        <v>13371</v>
      </c>
      <c r="C31064" s="74" t="s">
        <v>415</v>
      </c>
    </row>
    <row r="31065" spans="1:3">
      <c r="A31065" s="250">
        <v>72427</v>
      </c>
      <c r="B31065" s="74" t="s">
        <v>15381</v>
      </c>
      <c r="C31065" s="74" t="s">
        <v>415</v>
      </c>
    </row>
    <row r="31066" spans="1:3">
      <c r="A31066" s="250">
        <v>72428</v>
      </c>
      <c r="B31066" s="74" t="s">
        <v>7548</v>
      </c>
      <c r="C31066" s="74" t="s">
        <v>415</v>
      </c>
    </row>
    <row r="31067" spans="1:3">
      <c r="A31067" s="250">
        <v>72429</v>
      </c>
      <c r="B31067" s="74" t="s">
        <v>4450</v>
      </c>
      <c r="C31067" s="74" t="s">
        <v>415</v>
      </c>
    </row>
    <row r="31068" spans="1:3">
      <c r="A31068" s="250">
        <v>72430</v>
      </c>
      <c r="B31068" s="74" t="s">
        <v>5871</v>
      </c>
      <c r="C31068" s="74" t="s">
        <v>415</v>
      </c>
    </row>
    <row r="31069" spans="1:3">
      <c r="A31069" s="250">
        <v>72431</v>
      </c>
      <c r="B31069" s="74" t="s">
        <v>15382</v>
      </c>
      <c r="C31069" s="74" t="s">
        <v>415</v>
      </c>
    </row>
    <row r="31070" spans="1:3">
      <c r="A31070" s="250">
        <v>72432</v>
      </c>
      <c r="B31070" s="74" t="s">
        <v>4757</v>
      </c>
      <c r="C31070" s="74" t="s">
        <v>415</v>
      </c>
    </row>
    <row r="31071" spans="1:3">
      <c r="A31071" s="250">
        <v>72433</v>
      </c>
      <c r="B31071" s="74" t="s">
        <v>14705</v>
      </c>
      <c r="C31071" s="74" t="s">
        <v>415</v>
      </c>
    </row>
    <row r="31072" spans="1:3">
      <c r="A31072" s="250">
        <v>72434</v>
      </c>
      <c r="B31072" s="74" t="s">
        <v>15383</v>
      </c>
      <c r="C31072" s="74" t="s">
        <v>415</v>
      </c>
    </row>
    <row r="31073" spans="1:3">
      <c r="A31073" s="250">
        <v>72435</v>
      </c>
      <c r="B31073" s="74" t="s">
        <v>15384</v>
      </c>
      <c r="C31073" s="74" t="s">
        <v>415</v>
      </c>
    </row>
    <row r="31074" spans="1:3">
      <c r="A31074" s="250">
        <v>72436</v>
      </c>
      <c r="B31074" s="74" t="s">
        <v>15385</v>
      </c>
      <c r="C31074" s="74" t="s">
        <v>415</v>
      </c>
    </row>
    <row r="31075" spans="1:3">
      <c r="A31075" s="250">
        <v>72437</v>
      </c>
      <c r="B31075" s="74" t="s">
        <v>4516</v>
      </c>
      <c r="C31075" s="74" t="s">
        <v>415</v>
      </c>
    </row>
    <row r="31076" spans="1:3">
      <c r="A31076" s="250">
        <v>72438</v>
      </c>
      <c r="B31076" s="74" t="s">
        <v>15386</v>
      </c>
      <c r="C31076" s="74" t="s">
        <v>415</v>
      </c>
    </row>
    <row r="31077" spans="1:3">
      <c r="A31077" s="250">
        <v>72439</v>
      </c>
      <c r="B31077" s="74" t="s">
        <v>15387</v>
      </c>
      <c r="C31077" s="74" t="s">
        <v>415</v>
      </c>
    </row>
    <row r="31078" spans="1:3">
      <c r="A31078" s="250">
        <v>72440</v>
      </c>
      <c r="B31078" s="74" t="s">
        <v>833</v>
      </c>
      <c r="C31078" s="74" t="s">
        <v>415</v>
      </c>
    </row>
    <row r="31079" spans="1:3">
      <c r="A31079" s="250">
        <v>72441</v>
      </c>
      <c r="B31079" s="74" t="s">
        <v>15388</v>
      </c>
      <c r="C31079" s="74" t="s">
        <v>415</v>
      </c>
    </row>
    <row r="31080" spans="1:3">
      <c r="A31080" s="250">
        <v>72442</v>
      </c>
      <c r="B31080" s="74" t="s">
        <v>15389</v>
      </c>
      <c r="C31080" s="74" t="s">
        <v>415</v>
      </c>
    </row>
    <row r="31081" spans="1:3">
      <c r="A31081" s="250">
        <v>72443</v>
      </c>
      <c r="B31081" s="74" t="s">
        <v>15390</v>
      </c>
      <c r="C31081" s="74" t="s">
        <v>415</v>
      </c>
    </row>
    <row r="31082" spans="1:3">
      <c r="A31082" s="250">
        <v>72444</v>
      </c>
      <c r="B31082" s="74" t="s">
        <v>794</v>
      </c>
      <c r="C31082" s="74" t="s">
        <v>415</v>
      </c>
    </row>
    <row r="31083" spans="1:3">
      <c r="A31083" s="250">
        <v>72445</v>
      </c>
      <c r="B31083" s="74" t="s">
        <v>7750</v>
      </c>
      <c r="C31083" s="74" t="s">
        <v>415</v>
      </c>
    </row>
    <row r="31084" spans="1:3">
      <c r="A31084" s="250">
        <v>72447</v>
      </c>
      <c r="B31084" s="74" t="s">
        <v>15391</v>
      </c>
      <c r="C31084" s="74" t="s">
        <v>415</v>
      </c>
    </row>
    <row r="31085" spans="1:3">
      <c r="A31085" s="250">
        <v>72449</v>
      </c>
      <c r="B31085" s="74" t="s">
        <v>15392</v>
      </c>
      <c r="C31085" s="74" t="s">
        <v>415</v>
      </c>
    </row>
    <row r="31086" spans="1:3">
      <c r="A31086" s="250">
        <v>72450</v>
      </c>
      <c r="B31086" s="74" t="s">
        <v>15393</v>
      </c>
      <c r="C31086" s="74" t="s">
        <v>415</v>
      </c>
    </row>
    <row r="31087" spans="1:3">
      <c r="A31087" s="250">
        <v>72451</v>
      </c>
      <c r="B31087" s="74" t="s">
        <v>15393</v>
      </c>
      <c r="C31087" s="74" t="s">
        <v>415</v>
      </c>
    </row>
    <row r="31088" spans="1:3">
      <c r="A31088" s="250">
        <v>72453</v>
      </c>
      <c r="B31088" s="74" t="s">
        <v>15394</v>
      </c>
      <c r="C31088" s="74" t="s">
        <v>415</v>
      </c>
    </row>
    <row r="31089" spans="1:3">
      <c r="A31089" s="250">
        <v>72454</v>
      </c>
      <c r="B31089" s="74" t="s">
        <v>15395</v>
      </c>
      <c r="C31089" s="74" t="s">
        <v>415</v>
      </c>
    </row>
    <row r="31090" spans="1:3">
      <c r="A31090" s="250">
        <v>72455</v>
      </c>
      <c r="B31090" s="74" t="s">
        <v>6468</v>
      </c>
      <c r="C31090" s="74" t="s">
        <v>415</v>
      </c>
    </row>
    <row r="31091" spans="1:3">
      <c r="A31091" s="250">
        <v>72456</v>
      </c>
      <c r="B31091" s="74" t="s">
        <v>15396</v>
      </c>
      <c r="C31091" s="74" t="s">
        <v>415</v>
      </c>
    </row>
    <row r="31092" spans="1:3">
      <c r="A31092" s="250">
        <v>72457</v>
      </c>
      <c r="B31092" s="74" t="s">
        <v>15397</v>
      </c>
      <c r="C31092" s="74" t="s">
        <v>415</v>
      </c>
    </row>
    <row r="31093" spans="1:3">
      <c r="A31093" s="250">
        <v>72458</v>
      </c>
      <c r="B31093" s="74" t="s">
        <v>6099</v>
      </c>
      <c r="C31093" s="74" t="s">
        <v>415</v>
      </c>
    </row>
    <row r="31094" spans="1:3">
      <c r="A31094" s="250">
        <v>72459</v>
      </c>
      <c r="B31094" s="74" t="s">
        <v>15398</v>
      </c>
      <c r="C31094" s="74" t="s">
        <v>415</v>
      </c>
    </row>
    <row r="31095" spans="1:3">
      <c r="A31095" s="250">
        <v>72460</v>
      </c>
      <c r="B31095" s="74" t="s">
        <v>15399</v>
      </c>
      <c r="C31095" s="74" t="s">
        <v>415</v>
      </c>
    </row>
    <row r="31096" spans="1:3">
      <c r="A31096" s="250">
        <v>72461</v>
      </c>
      <c r="B31096" s="74" t="s">
        <v>4235</v>
      </c>
      <c r="C31096" s="74" t="s">
        <v>415</v>
      </c>
    </row>
    <row r="31097" spans="1:3">
      <c r="A31097" s="250">
        <v>72462</v>
      </c>
      <c r="B31097" s="74" t="s">
        <v>15400</v>
      </c>
      <c r="C31097" s="74" t="s">
        <v>415</v>
      </c>
    </row>
    <row r="31098" spans="1:3">
      <c r="A31098" s="250">
        <v>72464</v>
      </c>
      <c r="B31098" s="74" t="s">
        <v>1650</v>
      </c>
      <c r="C31098" s="74" t="s">
        <v>415</v>
      </c>
    </row>
    <row r="31099" spans="1:3">
      <c r="A31099" s="250">
        <v>72465</v>
      </c>
      <c r="B31099" s="74" t="s">
        <v>1609</v>
      </c>
      <c r="C31099" s="74" t="s">
        <v>415</v>
      </c>
    </row>
    <row r="31100" spans="1:3">
      <c r="A31100" s="250">
        <v>72466</v>
      </c>
      <c r="B31100" s="74" t="s">
        <v>6884</v>
      </c>
      <c r="C31100" s="74" t="s">
        <v>415</v>
      </c>
    </row>
    <row r="31101" spans="1:3">
      <c r="A31101" s="250">
        <v>72467</v>
      </c>
      <c r="B31101" s="74" t="s">
        <v>15401</v>
      </c>
      <c r="C31101" s="74" t="s">
        <v>415</v>
      </c>
    </row>
    <row r="31102" spans="1:3">
      <c r="A31102" s="250">
        <v>72469</v>
      </c>
      <c r="B31102" s="74" t="s">
        <v>15402</v>
      </c>
      <c r="C31102" s="74" t="s">
        <v>415</v>
      </c>
    </row>
    <row r="31103" spans="1:3">
      <c r="A31103" s="250">
        <v>72470</v>
      </c>
      <c r="B31103" s="74" t="s">
        <v>14411</v>
      </c>
      <c r="C31103" s="74" t="s">
        <v>415</v>
      </c>
    </row>
    <row r="31104" spans="1:3">
      <c r="A31104" s="250">
        <v>72471</v>
      </c>
      <c r="B31104" s="74" t="s">
        <v>15403</v>
      </c>
      <c r="C31104" s="74" t="s">
        <v>415</v>
      </c>
    </row>
    <row r="31105" spans="1:3">
      <c r="A31105" s="250">
        <v>72472</v>
      </c>
      <c r="B31105" s="74" t="s">
        <v>15404</v>
      </c>
      <c r="C31105" s="74" t="s">
        <v>415</v>
      </c>
    </row>
    <row r="31106" spans="1:3">
      <c r="A31106" s="250">
        <v>72473</v>
      </c>
      <c r="B31106" s="74" t="s">
        <v>15405</v>
      </c>
      <c r="C31106" s="74" t="s">
        <v>415</v>
      </c>
    </row>
    <row r="31107" spans="1:3">
      <c r="A31107" s="250">
        <v>72474</v>
      </c>
      <c r="B31107" s="74" t="s">
        <v>11929</v>
      </c>
      <c r="C31107" s="74" t="s">
        <v>415</v>
      </c>
    </row>
    <row r="31108" spans="1:3">
      <c r="A31108" s="250">
        <v>72475</v>
      </c>
      <c r="B31108" s="74" t="s">
        <v>15406</v>
      </c>
      <c r="C31108" s="74" t="s">
        <v>415</v>
      </c>
    </row>
    <row r="31109" spans="1:3">
      <c r="A31109" s="250">
        <v>72476</v>
      </c>
      <c r="B31109" s="74" t="s">
        <v>15407</v>
      </c>
      <c r="C31109" s="74" t="s">
        <v>415</v>
      </c>
    </row>
    <row r="31110" spans="1:3">
      <c r="A31110" s="250">
        <v>72478</v>
      </c>
      <c r="B31110" s="74" t="s">
        <v>6409</v>
      </c>
      <c r="C31110" s="74" t="s">
        <v>415</v>
      </c>
    </row>
    <row r="31111" spans="1:3">
      <c r="A31111" s="250">
        <v>72479</v>
      </c>
      <c r="B31111" s="74" t="s">
        <v>15408</v>
      </c>
      <c r="C31111" s="74" t="s">
        <v>415</v>
      </c>
    </row>
    <row r="31112" spans="1:3">
      <c r="A31112" s="250">
        <v>72482</v>
      </c>
      <c r="B31112" s="74" t="s">
        <v>15409</v>
      </c>
      <c r="C31112" s="74" t="s">
        <v>415</v>
      </c>
    </row>
    <row r="31113" spans="1:3">
      <c r="A31113" s="250">
        <v>72501</v>
      </c>
      <c r="B31113" s="74" t="s">
        <v>6005</v>
      </c>
      <c r="C31113" s="74" t="s">
        <v>415</v>
      </c>
    </row>
    <row r="31114" spans="1:3">
      <c r="A31114" s="250">
        <v>72503</v>
      </c>
      <c r="B31114" s="74" t="s">
        <v>6005</v>
      </c>
      <c r="C31114" s="74" t="s">
        <v>415</v>
      </c>
    </row>
    <row r="31115" spans="1:3">
      <c r="A31115" s="250">
        <v>72512</v>
      </c>
      <c r="B31115" s="74" t="s">
        <v>15410</v>
      </c>
      <c r="C31115" s="74" t="s">
        <v>415</v>
      </c>
    </row>
    <row r="31116" spans="1:3">
      <c r="A31116" s="250">
        <v>72513</v>
      </c>
      <c r="B31116" s="74" t="s">
        <v>15411</v>
      </c>
      <c r="C31116" s="74" t="s">
        <v>415</v>
      </c>
    </row>
    <row r="31117" spans="1:3">
      <c r="A31117" s="250">
        <v>72515</v>
      </c>
      <c r="B31117" s="74" t="s">
        <v>15412</v>
      </c>
      <c r="C31117" s="74" t="s">
        <v>415</v>
      </c>
    </row>
    <row r="31118" spans="1:3">
      <c r="A31118" s="250">
        <v>72517</v>
      </c>
      <c r="B31118" s="74" t="s">
        <v>15413</v>
      </c>
      <c r="C31118" s="74" t="s">
        <v>415</v>
      </c>
    </row>
    <row r="31119" spans="1:3">
      <c r="A31119" s="250">
        <v>72519</v>
      </c>
      <c r="B31119" s="74" t="s">
        <v>15414</v>
      </c>
      <c r="C31119" s="74" t="s">
        <v>415</v>
      </c>
    </row>
    <row r="31120" spans="1:3">
      <c r="A31120" s="250">
        <v>72520</v>
      </c>
      <c r="B31120" s="74" t="s">
        <v>15415</v>
      </c>
      <c r="C31120" s="74" t="s">
        <v>415</v>
      </c>
    </row>
    <row r="31121" spans="1:3">
      <c r="A31121" s="250">
        <v>72521</v>
      </c>
      <c r="B31121" s="74" t="s">
        <v>9958</v>
      </c>
      <c r="C31121" s="74" t="s">
        <v>415</v>
      </c>
    </row>
    <row r="31122" spans="1:3">
      <c r="A31122" s="250">
        <v>72522</v>
      </c>
      <c r="B31122" s="74" t="s">
        <v>1806</v>
      </c>
      <c r="C31122" s="74" t="s">
        <v>415</v>
      </c>
    </row>
    <row r="31123" spans="1:3">
      <c r="A31123" s="250">
        <v>72523</v>
      </c>
      <c r="B31123" s="74" t="s">
        <v>787</v>
      </c>
      <c r="C31123" s="74" t="s">
        <v>415</v>
      </c>
    </row>
    <row r="31124" spans="1:3">
      <c r="A31124" s="250">
        <v>72524</v>
      </c>
      <c r="B31124" s="74" t="s">
        <v>15416</v>
      </c>
      <c r="C31124" s="74" t="s">
        <v>415</v>
      </c>
    </row>
    <row r="31125" spans="1:3">
      <c r="A31125" s="250">
        <v>72525</v>
      </c>
      <c r="B31125" s="74" t="s">
        <v>15417</v>
      </c>
      <c r="C31125" s="74" t="s">
        <v>415</v>
      </c>
    </row>
    <row r="31126" spans="1:3">
      <c r="A31126" s="250">
        <v>72526</v>
      </c>
      <c r="B31126" s="74" t="s">
        <v>15418</v>
      </c>
      <c r="C31126" s="74" t="s">
        <v>415</v>
      </c>
    </row>
    <row r="31127" spans="1:3">
      <c r="A31127" s="250">
        <v>72527</v>
      </c>
      <c r="B31127" s="74" t="s">
        <v>15419</v>
      </c>
      <c r="C31127" s="74" t="s">
        <v>415</v>
      </c>
    </row>
    <row r="31128" spans="1:3">
      <c r="A31128" s="250">
        <v>72528</v>
      </c>
      <c r="B31128" s="74" t="s">
        <v>15420</v>
      </c>
      <c r="C31128" s="74" t="s">
        <v>415</v>
      </c>
    </row>
    <row r="31129" spans="1:3">
      <c r="A31129" s="250">
        <v>72529</v>
      </c>
      <c r="B31129" s="74" t="s">
        <v>15417</v>
      </c>
      <c r="C31129" s="74" t="s">
        <v>415</v>
      </c>
    </row>
    <row r="31130" spans="1:3">
      <c r="A31130" s="250">
        <v>72530</v>
      </c>
      <c r="B31130" s="74" t="s">
        <v>15421</v>
      </c>
      <c r="C31130" s="74" t="s">
        <v>415</v>
      </c>
    </row>
    <row r="31131" spans="1:3">
      <c r="A31131" s="250">
        <v>72531</v>
      </c>
      <c r="B31131" s="74" t="s">
        <v>2176</v>
      </c>
      <c r="C31131" s="74" t="s">
        <v>415</v>
      </c>
    </row>
    <row r="31132" spans="1:3">
      <c r="A31132" s="250">
        <v>72532</v>
      </c>
      <c r="B31132" s="74" t="s">
        <v>15422</v>
      </c>
      <c r="C31132" s="74" t="s">
        <v>415</v>
      </c>
    </row>
    <row r="31133" spans="1:3">
      <c r="A31133" s="250">
        <v>72533</v>
      </c>
      <c r="B31133" s="74" t="s">
        <v>15423</v>
      </c>
      <c r="C31133" s="74" t="s">
        <v>415</v>
      </c>
    </row>
    <row r="31134" spans="1:3">
      <c r="A31134" s="250">
        <v>72534</v>
      </c>
      <c r="B31134" s="74" t="s">
        <v>15424</v>
      </c>
      <c r="C31134" s="74" t="s">
        <v>415</v>
      </c>
    </row>
    <row r="31135" spans="1:3">
      <c r="A31135" s="250">
        <v>72536</v>
      </c>
      <c r="B31135" s="74" t="s">
        <v>873</v>
      </c>
      <c r="C31135" s="74" t="s">
        <v>415</v>
      </c>
    </row>
    <row r="31136" spans="1:3">
      <c r="A31136" s="250">
        <v>72537</v>
      </c>
      <c r="B31136" s="74" t="s">
        <v>9964</v>
      </c>
      <c r="C31136" s="74" t="s">
        <v>415</v>
      </c>
    </row>
    <row r="31137" spans="1:3">
      <c r="A31137" s="250">
        <v>72538</v>
      </c>
      <c r="B31137" s="74" t="s">
        <v>15425</v>
      </c>
      <c r="C31137" s="74" t="s">
        <v>415</v>
      </c>
    </row>
    <row r="31138" spans="1:3">
      <c r="A31138" s="250">
        <v>72539</v>
      </c>
      <c r="B31138" s="74" t="s">
        <v>9736</v>
      </c>
      <c r="C31138" s="74" t="s">
        <v>415</v>
      </c>
    </row>
    <row r="31139" spans="1:3">
      <c r="A31139" s="250">
        <v>72540</v>
      </c>
      <c r="B31139" s="74" t="s">
        <v>15426</v>
      </c>
      <c r="C31139" s="74" t="s">
        <v>415</v>
      </c>
    </row>
    <row r="31140" spans="1:3">
      <c r="A31140" s="250">
        <v>72542</v>
      </c>
      <c r="B31140" s="74" t="s">
        <v>6279</v>
      </c>
      <c r="C31140" s="74" t="s">
        <v>415</v>
      </c>
    </row>
    <row r="31141" spans="1:3">
      <c r="A31141" s="250">
        <v>72543</v>
      </c>
      <c r="B31141" s="74" t="s">
        <v>15427</v>
      </c>
      <c r="C31141" s="74" t="s">
        <v>415</v>
      </c>
    </row>
    <row r="31142" spans="1:3">
      <c r="A31142" s="250">
        <v>72544</v>
      </c>
      <c r="B31142" s="74" t="s">
        <v>3556</v>
      </c>
      <c r="C31142" s="74" t="s">
        <v>415</v>
      </c>
    </row>
    <row r="31143" spans="1:3">
      <c r="A31143" s="250">
        <v>72545</v>
      </c>
      <c r="B31143" s="74" t="s">
        <v>15427</v>
      </c>
      <c r="C31143" s="74" t="s">
        <v>415</v>
      </c>
    </row>
    <row r="31144" spans="1:3">
      <c r="A31144" s="250">
        <v>72546</v>
      </c>
      <c r="B31144" s="74" t="s">
        <v>11018</v>
      </c>
      <c r="C31144" s="74" t="s">
        <v>415</v>
      </c>
    </row>
    <row r="31145" spans="1:3">
      <c r="A31145" s="250">
        <v>72550</v>
      </c>
      <c r="B31145" s="74" t="s">
        <v>5905</v>
      </c>
      <c r="C31145" s="74" t="s">
        <v>415</v>
      </c>
    </row>
    <row r="31146" spans="1:3">
      <c r="A31146" s="250">
        <v>72553</v>
      </c>
      <c r="B31146" s="74" t="s">
        <v>15428</v>
      </c>
      <c r="C31146" s="74" t="s">
        <v>415</v>
      </c>
    </row>
    <row r="31147" spans="1:3">
      <c r="A31147" s="250">
        <v>72554</v>
      </c>
      <c r="B31147" s="74" t="s">
        <v>15429</v>
      </c>
      <c r="C31147" s="74" t="s">
        <v>415</v>
      </c>
    </row>
    <row r="31148" spans="1:3">
      <c r="A31148" s="250">
        <v>72555</v>
      </c>
      <c r="B31148" s="74" t="s">
        <v>15430</v>
      </c>
      <c r="C31148" s="74" t="s">
        <v>415</v>
      </c>
    </row>
    <row r="31149" spans="1:3">
      <c r="A31149" s="250">
        <v>72556</v>
      </c>
      <c r="B31149" s="74" t="s">
        <v>8393</v>
      </c>
      <c r="C31149" s="74" t="s">
        <v>415</v>
      </c>
    </row>
    <row r="31150" spans="1:3">
      <c r="A31150" s="250">
        <v>72560</v>
      </c>
      <c r="B31150" s="74" t="s">
        <v>14405</v>
      </c>
      <c r="C31150" s="74" t="s">
        <v>415</v>
      </c>
    </row>
    <row r="31151" spans="1:3">
      <c r="A31151" s="250">
        <v>72561</v>
      </c>
      <c r="B31151" s="74" t="s">
        <v>4226</v>
      </c>
      <c r="C31151" s="74" t="s">
        <v>415</v>
      </c>
    </row>
    <row r="31152" spans="1:3">
      <c r="A31152" s="250">
        <v>72562</v>
      </c>
      <c r="B31152" s="74" t="s">
        <v>2172</v>
      </c>
      <c r="C31152" s="74" t="s">
        <v>415</v>
      </c>
    </row>
    <row r="31153" spans="1:3">
      <c r="A31153" s="250">
        <v>72564</v>
      </c>
      <c r="B31153" s="74" t="s">
        <v>15431</v>
      </c>
      <c r="C31153" s="74" t="s">
        <v>415</v>
      </c>
    </row>
    <row r="31154" spans="1:3">
      <c r="A31154" s="250">
        <v>72565</v>
      </c>
      <c r="B31154" s="74" t="s">
        <v>754</v>
      </c>
      <c r="C31154" s="74" t="s">
        <v>415</v>
      </c>
    </row>
    <row r="31155" spans="1:3">
      <c r="A31155" s="250">
        <v>72566</v>
      </c>
      <c r="B31155" s="74" t="s">
        <v>5286</v>
      </c>
      <c r="C31155" s="74" t="s">
        <v>415</v>
      </c>
    </row>
    <row r="31156" spans="1:3">
      <c r="A31156" s="250">
        <v>72567</v>
      </c>
      <c r="B31156" s="74" t="s">
        <v>8660</v>
      </c>
      <c r="C31156" s="74" t="s">
        <v>415</v>
      </c>
    </row>
    <row r="31157" spans="1:3">
      <c r="A31157" s="250">
        <v>72568</v>
      </c>
      <c r="B31157" s="74" t="s">
        <v>13960</v>
      </c>
      <c r="C31157" s="74" t="s">
        <v>415</v>
      </c>
    </row>
    <row r="31158" spans="1:3">
      <c r="A31158" s="250">
        <v>72569</v>
      </c>
      <c r="B31158" s="74" t="s">
        <v>3161</v>
      </c>
      <c r="C31158" s="74" t="s">
        <v>415</v>
      </c>
    </row>
    <row r="31159" spans="1:3">
      <c r="A31159" s="250">
        <v>72571</v>
      </c>
      <c r="B31159" s="74" t="s">
        <v>15432</v>
      </c>
      <c r="C31159" s="74" t="s">
        <v>415</v>
      </c>
    </row>
    <row r="31160" spans="1:3">
      <c r="A31160" s="250">
        <v>72572</v>
      </c>
      <c r="B31160" s="74" t="s">
        <v>15433</v>
      </c>
      <c r="C31160" s="74" t="s">
        <v>415</v>
      </c>
    </row>
    <row r="31161" spans="1:3">
      <c r="A31161" s="250">
        <v>72573</v>
      </c>
      <c r="B31161" s="74" t="s">
        <v>15434</v>
      </c>
      <c r="C31161" s="74" t="s">
        <v>415</v>
      </c>
    </row>
    <row r="31162" spans="1:3">
      <c r="A31162" s="250">
        <v>72575</v>
      </c>
      <c r="B31162" s="74" t="s">
        <v>15435</v>
      </c>
      <c r="C31162" s="74" t="s">
        <v>415</v>
      </c>
    </row>
    <row r="31163" spans="1:3">
      <c r="A31163" s="250">
        <v>72576</v>
      </c>
      <c r="B31163" s="74" t="s">
        <v>858</v>
      </c>
      <c r="C31163" s="74" t="s">
        <v>415</v>
      </c>
    </row>
    <row r="31164" spans="1:3">
      <c r="A31164" s="250">
        <v>72577</v>
      </c>
      <c r="B31164" s="74" t="s">
        <v>3646</v>
      </c>
      <c r="C31164" s="74" t="s">
        <v>415</v>
      </c>
    </row>
    <row r="31165" spans="1:3">
      <c r="A31165" s="250">
        <v>72578</v>
      </c>
      <c r="B31165" s="74" t="s">
        <v>15436</v>
      </c>
      <c r="C31165" s="74" t="s">
        <v>415</v>
      </c>
    </row>
    <row r="31166" spans="1:3">
      <c r="A31166" s="250">
        <v>72579</v>
      </c>
      <c r="B31166" s="74" t="s">
        <v>15437</v>
      </c>
      <c r="C31166" s="74" t="s">
        <v>415</v>
      </c>
    </row>
    <row r="31167" spans="1:3">
      <c r="A31167" s="250">
        <v>72581</v>
      </c>
      <c r="B31167" s="74" t="s">
        <v>15438</v>
      </c>
      <c r="C31167" s="74" t="s">
        <v>415</v>
      </c>
    </row>
    <row r="31168" spans="1:3">
      <c r="A31168" s="250">
        <v>72583</v>
      </c>
      <c r="B31168" s="74" t="s">
        <v>5510</v>
      </c>
      <c r="C31168" s="74" t="s">
        <v>415</v>
      </c>
    </row>
    <row r="31169" spans="1:3">
      <c r="A31169" s="250">
        <v>72584</v>
      </c>
      <c r="B31169" s="74" t="s">
        <v>15439</v>
      </c>
      <c r="C31169" s="74" t="s">
        <v>415</v>
      </c>
    </row>
    <row r="31170" spans="1:3">
      <c r="A31170" s="250">
        <v>72585</v>
      </c>
      <c r="B31170" s="74" t="s">
        <v>15440</v>
      </c>
      <c r="C31170" s="74" t="s">
        <v>415</v>
      </c>
    </row>
    <row r="31171" spans="1:3">
      <c r="A31171" s="250">
        <v>72587</v>
      </c>
      <c r="B31171" s="74" t="s">
        <v>15441</v>
      </c>
      <c r="C31171" s="74" t="s">
        <v>415</v>
      </c>
    </row>
    <row r="31172" spans="1:3">
      <c r="A31172" s="250">
        <v>72601</v>
      </c>
      <c r="B31172" s="74" t="s">
        <v>1386</v>
      </c>
      <c r="C31172" s="74" t="s">
        <v>415</v>
      </c>
    </row>
    <row r="31173" spans="1:3">
      <c r="A31173" s="250">
        <v>72602</v>
      </c>
      <c r="B31173" s="74" t="s">
        <v>1386</v>
      </c>
      <c r="C31173" s="74" t="s">
        <v>415</v>
      </c>
    </row>
    <row r="31174" spans="1:3">
      <c r="A31174" s="250">
        <v>72611</v>
      </c>
      <c r="B31174" s="74" t="s">
        <v>11339</v>
      </c>
      <c r="C31174" s="74" t="s">
        <v>415</v>
      </c>
    </row>
    <row r="31175" spans="1:3">
      <c r="A31175" s="250">
        <v>72613</v>
      </c>
      <c r="B31175" s="74" t="s">
        <v>3962</v>
      </c>
      <c r="C31175" s="74" t="s">
        <v>415</v>
      </c>
    </row>
    <row r="31176" spans="1:3">
      <c r="A31176" s="250">
        <v>72615</v>
      </c>
      <c r="B31176" s="74" t="s">
        <v>15442</v>
      </c>
      <c r="C31176" s="74" t="s">
        <v>415</v>
      </c>
    </row>
    <row r="31177" spans="1:3">
      <c r="A31177" s="250">
        <v>72616</v>
      </c>
      <c r="B31177" s="74" t="s">
        <v>5933</v>
      </c>
      <c r="C31177" s="74" t="s">
        <v>415</v>
      </c>
    </row>
    <row r="31178" spans="1:3">
      <c r="A31178" s="250">
        <v>72617</v>
      </c>
      <c r="B31178" s="74" t="s">
        <v>15443</v>
      </c>
      <c r="C31178" s="74" t="s">
        <v>415</v>
      </c>
    </row>
    <row r="31179" spans="1:3">
      <c r="A31179" s="250">
        <v>72619</v>
      </c>
      <c r="B31179" s="74" t="s">
        <v>15444</v>
      </c>
      <c r="C31179" s="74" t="s">
        <v>415</v>
      </c>
    </row>
    <row r="31180" spans="1:3">
      <c r="A31180" s="250">
        <v>72623</v>
      </c>
      <c r="B31180" s="74" t="s">
        <v>15445</v>
      </c>
      <c r="C31180" s="74" t="s">
        <v>415</v>
      </c>
    </row>
    <row r="31181" spans="1:3">
      <c r="A31181" s="250">
        <v>72624</v>
      </c>
      <c r="B31181" s="74" t="s">
        <v>5562</v>
      </c>
      <c r="C31181" s="74" t="s">
        <v>415</v>
      </c>
    </row>
    <row r="31182" spans="1:3">
      <c r="A31182" s="250">
        <v>72626</v>
      </c>
      <c r="B31182" s="74" t="s">
        <v>15446</v>
      </c>
      <c r="C31182" s="74" t="s">
        <v>415</v>
      </c>
    </row>
    <row r="31183" spans="1:3">
      <c r="A31183" s="250">
        <v>72628</v>
      </c>
      <c r="B31183" s="74" t="s">
        <v>15447</v>
      </c>
      <c r="C31183" s="74" t="s">
        <v>415</v>
      </c>
    </row>
    <row r="31184" spans="1:3">
      <c r="A31184" s="250">
        <v>72629</v>
      </c>
      <c r="B31184" s="74" t="s">
        <v>15448</v>
      </c>
      <c r="C31184" s="74" t="s">
        <v>415</v>
      </c>
    </row>
    <row r="31185" spans="1:3">
      <c r="A31185" s="250">
        <v>72630</v>
      </c>
      <c r="B31185" s="74" t="s">
        <v>15449</v>
      </c>
      <c r="C31185" s="74" t="s">
        <v>415</v>
      </c>
    </row>
    <row r="31186" spans="1:3">
      <c r="A31186" s="250">
        <v>72631</v>
      </c>
      <c r="B31186" s="74" t="s">
        <v>15450</v>
      </c>
      <c r="C31186" s="74" t="s">
        <v>415</v>
      </c>
    </row>
    <row r="31187" spans="1:3">
      <c r="A31187" s="250">
        <v>72632</v>
      </c>
      <c r="B31187" s="74" t="s">
        <v>15450</v>
      </c>
      <c r="C31187" s="74" t="s">
        <v>415</v>
      </c>
    </row>
    <row r="31188" spans="1:3">
      <c r="A31188" s="250">
        <v>72633</v>
      </c>
      <c r="B31188" s="74" t="s">
        <v>14433</v>
      </c>
      <c r="C31188" s="74" t="s">
        <v>415</v>
      </c>
    </row>
    <row r="31189" spans="1:3">
      <c r="A31189" s="250">
        <v>72634</v>
      </c>
      <c r="B31189" s="74" t="s">
        <v>15451</v>
      </c>
      <c r="C31189" s="74" t="s">
        <v>415</v>
      </c>
    </row>
    <row r="31190" spans="1:3">
      <c r="A31190" s="250">
        <v>72635</v>
      </c>
      <c r="B31190" s="74" t="s">
        <v>15452</v>
      </c>
      <c r="C31190" s="74" t="s">
        <v>415</v>
      </c>
    </row>
    <row r="31191" spans="1:3">
      <c r="A31191" s="250">
        <v>72636</v>
      </c>
      <c r="B31191" s="74" t="s">
        <v>5122</v>
      </c>
      <c r="C31191" s="74" t="s">
        <v>415</v>
      </c>
    </row>
    <row r="31192" spans="1:3">
      <c r="A31192" s="250">
        <v>72638</v>
      </c>
      <c r="B31192" s="74" t="s">
        <v>15453</v>
      </c>
      <c r="C31192" s="74" t="s">
        <v>415</v>
      </c>
    </row>
    <row r="31193" spans="1:3">
      <c r="A31193" s="250">
        <v>72639</v>
      </c>
      <c r="B31193" s="74" t="s">
        <v>15454</v>
      </c>
      <c r="C31193" s="74" t="s">
        <v>415</v>
      </c>
    </row>
    <row r="31194" spans="1:3">
      <c r="A31194" s="250">
        <v>72640</v>
      </c>
      <c r="B31194" s="74" t="s">
        <v>15455</v>
      </c>
      <c r="C31194" s="74" t="s">
        <v>415</v>
      </c>
    </row>
    <row r="31195" spans="1:3">
      <c r="A31195" s="250">
        <v>72641</v>
      </c>
      <c r="B31195" s="74" t="s">
        <v>3922</v>
      </c>
      <c r="C31195" s="74" t="s">
        <v>415</v>
      </c>
    </row>
    <row r="31196" spans="1:3">
      <c r="A31196" s="250">
        <v>72642</v>
      </c>
      <c r="B31196" s="74" t="s">
        <v>7360</v>
      </c>
      <c r="C31196" s="74" t="s">
        <v>415</v>
      </c>
    </row>
    <row r="31197" spans="1:3">
      <c r="A31197" s="250">
        <v>72644</v>
      </c>
      <c r="B31197" s="74" t="s">
        <v>15456</v>
      </c>
      <c r="C31197" s="74" t="s">
        <v>415</v>
      </c>
    </row>
    <row r="31198" spans="1:3">
      <c r="A31198" s="250">
        <v>72645</v>
      </c>
      <c r="B31198" s="74" t="s">
        <v>6839</v>
      </c>
      <c r="C31198" s="74" t="s">
        <v>415</v>
      </c>
    </row>
    <row r="31199" spans="1:3">
      <c r="A31199" s="250">
        <v>72648</v>
      </c>
      <c r="B31199" s="74" t="s">
        <v>15457</v>
      </c>
      <c r="C31199" s="74" t="s">
        <v>415</v>
      </c>
    </row>
    <row r="31200" spans="1:3">
      <c r="A31200" s="250">
        <v>72650</v>
      </c>
      <c r="B31200" s="74" t="s">
        <v>5516</v>
      </c>
      <c r="C31200" s="74" t="s">
        <v>415</v>
      </c>
    </row>
    <row r="31201" spans="1:3">
      <c r="A31201" s="250">
        <v>72651</v>
      </c>
      <c r="B31201" s="74" t="s">
        <v>3995</v>
      </c>
      <c r="C31201" s="74" t="s">
        <v>415</v>
      </c>
    </row>
    <row r="31202" spans="1:3">
      <c r="A31202" s="250">
        <v>72653</v>
      </c>
      <c r="B31202" s="74" t="s">
        <v>7564</v>
      </c>
      <c r="C31202" s="74" t="s">
        <v>415</v>
      </c>
    </row>
    <row r="31203" spans="1:3">
      <c r="A31203" s="250">
        <v>72654</v>
      </c>
      <c r="B31203" s="74" t="s">
        <v>7564</v>
      </c>
      <c r="C31203" s="74" t="s">
        <v>415</v>
      </c>
    </row>
    <row r="31204" spans="1:3">
      <c r="A31204" s="250">
        <v>72655</v>
      </c>
      <c r="B31204" s="74" t="s">
        <v>15458</v>
      </c>
      <c r="C31204" s="74" t="s">
        <v>415</v>
      </c>
    </row>
    <row r="31205" spans="1:3">
      <c r="A31205" s="250">
        <v>72657</v>
      </c>
      <c r="B31205" s="74" t="s">
        <v>15459</v>
      </c>
      <c r="C31205" s="74" t="s">
        <v>415</v>
      </c>
    </row>
    <row r="31206" spans="1:3">
      <c r="A31206" s="250">
        <v>72658</v>
      </c>
      <c r="B31206" s="74" t="s">
        <v>15460</v>
      </c>
      <c r="C31206" s="74" t="s">
        <v>415</v>
      </c>
    </row>
    <row r="31207" spans="1:3">
      <c r="A31207" s="250">
        <v>72659</v>
      </c>
      <c r="B31207" s="74" t="s">
        <v>15460</v>
      </c>
      <c r="C31207" s="74" t="s">
        <v>415</v>
      </c>
    </row>
    <row r="31208" spans="1:3">
      <c r="A31208" s="250">
        <v>72660</v>
      </c>
      <c r="B31208" s="74" t="s">
        <v>9987</v>
      </c>
      <c r="C31208" s="74" t="s">
        <v>415</v>
      </c>
    </row>
    <row r="31209" spans="1:3">
      <c r="A31209" s="250">
        <v>72661</v>
      </c>
      <c r="B31209" s="74" t="s">
        <v>1121</v>
      </c>
      <c r="C31209" s="74" t="s">
        <v>415</v>
      </c>
    </row>
    <row r="31210" spans="1:3">
      <c r="A31210" s="250">
        <v>72662</v>
      </c>
      <c r="B31210" s="74" t="s">
        <v>8201</v>
      </c>
      <c r="C31210" s="74" t="s">
        <v>415</v>
      </c>
    </row>
    <row r="31211" spans="1:3">
      <c r="A31211" s="250">
        <v>72663</v>
      </c>
      <c r="B31211" s="74" t="s">
        <v>15461</v>
      </c>
      <c r="C31211" s="74" t="s">
        <v>415</v>
      </c>
    </row>
    <row r="31212" spans="1:3">
      <c r="A31212" s="250">
        <v>72666</v>
      </c>
      <c r="B31212" s="74" t="s">
        <v>15462</v>
      </c>
      <c r="C31212" s="74" t="s">
        <v>415</v>
      </c>
    </row>
    <row r="31213" spans="1:3">
      <c r="A31213" s="250">
        <v>72668</v>
      </c>
      <c r="B31213" s="74" t="s">
        <v>15463</v>
      </c>
      <c r="C31213" s="74" t="s">
        <v>415</v>
      </c>
    </row>
    <row r="31214" spans="1:3">
      <c r="A31214" s="250">
        <v>72669</v>
      </c>
      <c r="B31214" s="74" t="s">
        <v>15464</v>
      </c>
      <c r="C31214" s="74" t="s">
        <v>415</v>
      </c>
    </row>
    <row r="31215" spans="1:3">
      <c r="A31215" s="250">
        <v>72670</v>
      </c>
      <c r="B31215" s="74" t="s">
        <v>14828</v>
      </c>
      <c r="C31215" s="74" t="s">
        <v>415</v>
      </c>
    </row>
    <row r="31216" spans="1:3">
      <c r="A31216" s="250">
        <v>72672</v>
      </c>
      <c r="B31216" s="74" t="s">
        <v>15465</v>
      </c>
      <c r="C31216" s="74" t="s">
        <v>415</v>
      </c>
    </row>
    <row r="31217" spans="1:3">
      <c r="A31217" s="250">
        <v>72675</v>
      </c>
      <c r="B31217" s="74" t="s">
        <v>10750</v>
      </c>
      <c r="C31217" s="74" t="s">
        <v>415</v>
      </c>
    </row>
    <row r="31218" spans="1:3">
      <c r="A31218" s="250">
        <v>72677</v>
      </c>
      <c r="B31218" s="74" t="s">
        <v>2335</v>
      </c>
      <c r="C31218" s="74" t="s">
        <v>415</v>
      </c>
    </row>
    <row r="31219" spans="1:3">
      <c r="A31219" s="250">
        <v>72679</v>
      </c>
      <c r="B31219" s="74" t="s">
        <v>15466</v>
      </c>
      <c r="C31219" s="74" t="s">
        <v>415</v>
      </c>
    </row>
    <row r="31220" spans="1:3">
      <c r="A31220" s="250">
        <v>72680</v>
      </c>
      <c r="B31220" s="74" t="s">
        <v>15459</v>
      </c>
      <c r="C31220" s="74" t="s">
        <v>415</v>
      </c>
    </row>
    <row r="31221" spans="1:3">
      <c r="A31221" s="250">
        <v>72682</v>
      </c>
      <c r="B31221" s="74" t="s">
        <v>12832</v>
      </c>
      <c r="C31221" s="74" t="s">
        <v>415</v>
      </c>
    </row>
    <row r="31222" spans="1:3">
      <c r="A31222" s="250">
        <v>72683</v>
      </c>
      <c r="B31222" s="74" t="s">
        <v>15467</v>
      </c>
      <c r="C31222" s="74" t="s">
        <v>415</v>
      </c>
    </row>
    <row r="31223" spans="1:3">
      <c r="A31223" s="250">
        <v>72685</v>
      </c>
      <c r="B31223" s="74" t="s">
        <v>15468</v>
      </c>
      <c r="C31223" s="74" t="s">
        <v>415</v>
      </c>
    </row>
    <row r="31224" spans="1:3">
      <c r="A31224" s="250">
        <v>72686</v>
      </c>
      <c r="B31224" s="74" t="s">
        <v>15469</v>
      </c>
      <c r="C31224" s="74" t="s">
        <v>415</v>
      </c>
    </row>
    <row r="31225" spans="1:3">
      <c r="A31225" s="250">
        <v>72687</v>
      </c>
      <c r="B31225" s="74" t="s">
        <v>15470</v>
      </c>
      <c r="C31225" s="74" t="s">
        <v>415</v>
      </c>
    </row>
    <row r="31226" spans="1:3">
      <c r="A31226" s="250">
        <v>72701</v>
      </c>
      <c r="B31226" s="74" t="s">
        <v>3363</v>
      </c>
      <c r="C31226" s="74" t="s">
        <v>415</v>
      </c>
    </row>
    <row r="31227" spans="1:3">
      <c r="A31227" s="250">
        <v>72702</v>
      </c>
      <c r="B31227" s="74" t="s">
        <v>3363</v>
      </c>
      <c r="C31227" s="74" t="s">
        <v>415</v>
      </c>
    </row>
    <row r="31228" spans="1:3">
      <c r="A31228" s="250">
        <v>72703</v>
      </c>
      <c r="B31228" s="74" t="s">
        <v>3363</v>
      </c>
      <c r="C31228" s="74" t="s">
        <v>415</v>
      </c>
    </row>
    <row r="31229" spans="1:3">
      <c r="A31229" s="250">
        <v>72704</v>
      </c>
      <c r="B31229" s="74" t="s">
        <v>3363</v>
      </c>
      <c r="C31229" s="74" t="s">
        <v>415</v>
      </c>
    </row>
    <row r="31230" spans="1:3">
      <c r="A31230" s="250">
        <v>72711</v>
      </c>
      <c r="B31230" s="74" t="s">
        <v>3896</v>
      </c>
      <c r="C31230" s="74" t="s">
        <v>415</v>
      </c>
    </row>
    <row r="31231" spans="1:3">
      <c r="A31231" s="250">
        <v>72712</v>
      </c>
      <c r="B31231" s="74" t="s">
        <v>5932</v>
      </c>
      <c r="C31231" s="74" t="s">
        <v>415</v>
      </c>
    </row>
    <row r="31232" spans="1:3">
      <c r="A31232" s="250">
        <v>72714</v>
      </c>
      <c r="B31232" s="74" t="s">
        <v>15471</v>
      </c>
      <c r="C31232" s="74" t="s">
        <v>415</v>
      </c>
    </row>
    <row r="31233" spans="1:3">
      <c r="A31233" s="250">
        <v>72715</v>
      </c>
      <c r="B31233" s="74" t="s">
        <v>15471</v>
      </c>
      <c r="C31233" s="74" t="s">
        <v>415</v>
      </c>
    </row>
    <row r="31234" spans="1:3">
      <c r="A31234" s="250">
        <v>72716</v>
      </c>
      <c r="B31234" s="74" t="s">
        <v>5932</v>
      </c>
      <c r="C31234" s="74" t="s">
        <v>415</v>
      </c>
    </row>
    <row r="31235" spans="1:3">
      <c r="A31235" s="250">
        <v>72717</v>
      </c>
      <c r="B31235" s="74" t="s">
        <v>15472</v>
      </c>
      <c r="C31235" s="74" t="s">
        <v>415</v>
      </c>
    </row>
    <row r="31236" spans="1:3">
      <c r="A31236" s="250">
        <v>72718</v>
      </c>
      <c r="B31236" s="74" t="s">
        <v>15473</v>
      </c>
      <c r="C31236" s="74" t="s">
        <v>415</v>
      </c>
    </row>
    <row r="31237" spans="1:3">
      <c r="A31237" s="250">
        <v>72719</v>
      </c>
      <c r="B31237" s="74" t="s">
        <v>15474</v>
      </c>
      <c r="C31237" s="74" t="s">
        <v>415</v>
      </c>
    </row>
    <row r="31238" spans="1:3">
      <c r="A31238" s="250">
        <v>72721</v>
      </c>
      <c r="B31238" s="74" t="s">
        <v>9872</v>
      </c>
      <c r="C31238" s="74" t="s">
        <v>415</v>
      </c>
    </row>
    <row r="31239" spans="1:3">
      <c r="A31239" s="250">
        <v>72722</v>
      </c>
      <c r="B31239" s="74" t="s">
        <v>7862</v>
      </c>
      <c r="C31239" s="74" t="s">
        <v>415</v>
      </c>
    </row>
    <row r="31240" spans="1:3">
      <c r="A31240" s="250">
        <v>72727</v>
      </c>
      <c r="B31240" s="74" t="s">
        <v>1186</v>
      </c>
      <c r="C31240" s="74" t="s">
        <v>415</v>
      </c>
    </row>
    <row r="31241" spans="1:3">
      <c r="A31241" s="250">
        <v>72728</v>
      </c>
      <c r="B31241" s="74" t="s">
        <v>15475</v>
      </c>
      <c r="C31241" s="74" t="s">
        <v>415</v>
      </c>
    </row>
    <row r="31242" spans="1:3">
      <c r="A31242" s="250">
        <v>72729</v>
      </c>
      <c r="B31242" s="74" t="s">
        <v>10926</v>
      </c>
      <c r="C31242" s="74" t="s">
        <v>415</v>
      </c>
    </row>
    <row r="31243" spans="1:3">
      <c r="A31243" s="250">
        <v>72730</v>
      </c>
      <c r="B31243" s="74" t="s">
        <v>1309</v>
      </c>
      <c r="C31243" s="74" t="s">
        <v>415</v>
      </c>
    </row>
    <row r="31244" spans="1:3">
      <c r="A31244" s="250">
        <v>72732</v>
      </c>
      <c r="B31244" s="74" t="s">
        <v>2125</v>
      </c>
      <c r="C31244" s="74" t="s">
        <v>415</v>
      </c>
    </row>
    <row r="31245" spans="1:3">
      <c r="A31245" s="250">
        <v>72733</v>
      </c>
      <c r="B31245" s="74" t="s">
        <v>15476</v>
      </c>
      <c r="C31245" s="74" t="s">
        <v>415</v>
      </c>
    </row>
    <row r="31246" spans="1:3">
      <c r="A31246" s="250">
        <v>72734</v>
      </c>
      <c r="B31246" s="74" t="s">
        <v>14254</v>
      </c>
      <c r="C31246" s="74" t="s">
        <v>415</v>
      </c>
    </row>
    <row r="31247" spans="1:3">
      <c r="A31247" s="250">
        <v>72735</v>
      </c>
      <c r="B31247" s="74" t="s">
        <v>592</v>
      </c>
      <c r="C31247" s="74" t="s">
        <v>415</v>
      </c>
    </row>
    <row r="31248" spans="1:3">
      <c r="A31248" s="250">
        <v>72736</v>
      </c>
      <c r="B31248" s="74" t="s">
        <v>15477</v>
      </c>
      <c r="C31248" s="74" t="s">
        <v>415</v>
      </c>
    </row>
    <row r="31249" spans="1:3">
      <c r="A31249" s="250">
        <v>72737</v>
      </c>
      <c r="B31249" s="74" t="s">
        <v>1313</v>
      </c>
      <c r="C31249" s="74" t="s">
        <v>415</v>
      </c>
    </row>
    <row r="31250" spans="1:3">
      <c r="A31250" s="250">
        <v>72738</v>
      </c>
      <c r="B31250" s="74" t="s">
        <v>15478</v>
      </c>
      <c r="C31250" s="74" t="s">
        <v>415</v>
      </c>
    </row>
    <row r="31251" spans="1:3">
      <c r="A31251" s="250">
        <v>72739</v>
      </c>
      <c r="B31251" s="74" t="s">
        <v>15479</v>
      </c>
      <c r="C31251" s="74" t="s">
        <v>415</v>
      </c>
    </row>
    <row r="31252" spans="1:3">
      <c r="A31252" s="250">
        <v>72740</v>
      </c>
      <c r="B31252" s="74" t="s">
        <v>8758</v>
      </c>
      <c r="C31252" s="74" t="s">
        <v>415</v>
      </c>
    </row>
    <row r="31253" spans="1:3">
      <c r="A31253" s="250">
        <v>72741</v>
      </c>
      <c r="B31253" s="74" t="s">
        <v>1847</v>
      </c>
      <c r="C31253" s="74" t="s">
        <v>415</v>
      </c>
    </row>
    <row r="31254" spans="1:3">
      <c r="A31254" s="250">
        <v>72742</v>
      </c>
      <c r="B31254" s="74" t="s">
        <v>957</v>
      </c>
      <c r="C31254" s="74" t="s">
        <v>415</v>
      </c>
    </row>
    <row r="31255" spans="1:3">
      <c r="A31255" s="250">
        <v>72744</v>
      </c>
      <c r="B31255" s="74" t="s">
        <v>800</v>
      </c>
      <c r="C31255" s="74" t="s">
        <v>415</v>
      </c>
    </row>
    <row r="31256" spans="1:3">
      <c r="A31256" s="250">
        <v>72745</v>
      </c>
      <c r="B31256" s="74" t="s">
        <v>818</v>
      </c>
      <c r="C31256" s="74" t="s">
        <v>415</v>
      </c>
    </row>
    <row r="31257" spans="1:3">
      <c r="A31257" s="250">
        <v>72747</v>
      </c>
      <c r="B31257" s="74" t="s">
        <v>7041</v>
      </c>
      <c r="C31257" s="74" t="s">
        <v>415</v>
      </c>
    </row>
    <row r="31258" spans="1:3">
      <c r="A31258" s="250">
        <v>72749</v>
      </c>
      <c r="B31258" s="74" t="s">
        <v>7920</v>
      </c>
      <c r="C31258" s="74" t="s">
        <v>415</v>
      </c>
    </row>
    <row r="31259" spans="1:3">
      <c r="A31259" s="250">
        <v>72751</v>
      </c>
      <c r="B31259" s="74" t="s">
        <v>15480</v>
      </c>
      <c r="C31259" s="74" t="s">
        <v>415</v>
      </c>
    </row>
    <row r="31260" spans="1:3">
      <c r="A31260" s="250">
        <v>72752</v>
      </c>
      <c r="B31260" s="74" t="s">
        <v>15481</v>
      </c>
      <c r="C31260" s="74" t="s">
        <v>415</v>
      </c>
    </row>
    <row r="31261" spans="1:3">
      <c r="A31261" s="250">
        <v>72753</v>
      </c>
      <c r="B31261" s="74" t="s">
        <v>15482</v>
      </c>
      <c r="C31261" s="74" t="s">
        <v>415</v>
      </c>
    </row>
    <row r="31262" spans="1:3">
      <c r="A31262" s="250">
        <v>72756</v>
      </c>
      <c r="B31262" s="74" t="s">
        <v>2002</v>
      </c>
      <c r="C31262" s="74" t="s">
        <v>415</v>
      </c>
    </row>
    <row r="31263" spans="1:3">
      <c r="A31263" s="250">
        <v>72757</v>
      </c>
      <c r="B31263" s="74" t="s">
        <v>2002</v>
      </c>
      <c r="C31263" s="74" t="s">
        <v>415</v>
      </c>
    </row>
    <row r="31264" spans="1:3">
      <c r="A31264" s="250">
        <v>72758</v>
      </c>
      <c r="B31264" s="74" t="s">
        <v>2002</v>
      </c>
      <c r="C31264" s="74" t="s">
        <v>415</v>
      </c>
    </row>
    <row r="31265" spans="1:3">
      <c r="A31265" s="250">
        <v>72760</v>
      </c>
      <c r="B31265" s="74" t="s">
        <v>6341</v>
      </c>
      <c r="C31265" s="74" t="s">
        <v>415</v>
      </c>
    </row>
    <row r="31266" spans="1:3">
      <c r="A31266" s="250">
        <v>72761</v>
      </c>
      <c r="B31266" s="74" t="s">
        <v>15483</v>
      </c>
      <c r="C31266" s="74" t="s">
        <v>415</v>
      </c>
    </row>
    <row r="31267" spans="1:3">
      <c r="A31267" s="250">
        <v>72762</v>
      </c>
      <c r="B31267" s="74" t="s">
        <v>4036</v>
      </c>
      <c r="C31267" s="74" t="s">
        <v>415</v>
      </c>
    </row>
    <row r="31268" spans="1:3">
      <c r="A31268" s="250">
        <v>72764</v>
      </c>
      <c r="B31268" s="74" t="s">
        <v>4036</v>
      </c>
      <c r="C31268" s="74" t="s">
        <v>415</v>
      </c>
    </row>
    <row r="31269" spans="1:3">
      <c r="A31269" s="250">
        <v>72765</v>
      </c>
      <c r="B31269" s="74" t="s">
        <v>4036</v>
      </c>
      <c r="C31269" s="74" t="s">
        <v>415</v>
      </c>
    </row>
    <row r="31270" spans="1:3">
      <c r="A31270" s="250">
        <v>72766</v>
      </c>
      <c r="B31270" s="74" t="s">
        <v>4036</v>
      </c>
      <c r="C31270" s="74" t="s">
        <v>415</v>
      </c>
    </row>
    <row r="31271" spans="1:3">
      <c r="A31271" s="250">
        <v>72768</v>
      </c>
      <c r="B31271" s="74" t="s">
        <v>10445</v>
      </c>
      <c r="C31271" s="74" t="s">
        <v>415</v>
      </c>
    </row>
    <row r="31272" spans="1:3">
      <c r="A31272" s="250">
        <v>72769</v>
      </c>
      <c r="B31272" s="74" t="s">
        <v>15484</v>
      </c>
      <c r="C31272" s="74" t="s">
        <v>415</v>
      </c>
    </row>
    <row r="31273" spans="1:3">
      <c r="A31273" s="250">
        <v>72770</v>
      </c>
      <c r="B31273" s="74" t="s">
        <v>15485</v>
      </c>
      <c r="C31273" s="74" t="s">
        <v>415</v>
      </c>
    </row>
    <row r="31274" spans="1:3">
      <c r="A31274" s="250">
        <v>72773</v>
      </c>
      <c r="B31274" s="74" t="s">
        <v>1617</v>
      </c>
      <c r="C31274" s="74" t="s">
        <v>415</v>
      </c>
    </row>
    <row r="31275" spans="1:3">
      <c r="A31275" s="250">
        <v>72774</v>
      </c>
      <c r="B31275" s="74" t="s">
        <v>15486</v>
      </c>
      <c r="C31275" s="74" t="s">
        <v>415</v>
      </c>
    </row>
    <row r="31276" spans="1:3">
      <c r="A31276" s="250">
        <v>72776</v>
      </c>
      <c r="B31276" s="74" t="s">
        <v>15487</v>
      </c>
      <c r="C31276" s="74" t="s">
        <v>415</v>
      </c>
    </row>
    <row r="31277" spans="1:3">
      <c r="A31277" s="250">
        <v>72801</v>
      </c>
      <c r="B31277" s="74" t="s">
        <v>7718</v>
      </c>
      <c r="C31277" s="74" t="s">
        <v>415</v>
      </c>
    </row>
    <row r="31278" spans="1:3">
      <c r="A31278" s="250">
        <v>72802</v>
      </c>
      <c r="B31278" s="74" t="s">
        <v>7718</v>
      </c>
      <c r="C31278" s="74" t="s">
        <v>415</v>
      </c>
    </row>
    <row r="31279" spans="1:3">
      <c r="A31279" s="250">
        <v>72811</v>
      </c>
      <c r="B31279" s="74" t="s">
        <v>7718</v>
      </c>
      <c r="C31279" s="74" t="s">
        <v>415</v>
      </c>
    </row>
    <row r="31280" spans="1:3">
      <c r="A31280" s="250">
        <v>72812</v>
      </c>
      <c r="B31280" s="74" t="s">
        <v>7718</v>
      </c>
      <c r="C31280" s="74" t="s">
        <v>415</v>
      </c>
    </row>
    <row r="31281" spans="1:3">
      <c r="A31281" s="250">
        <v>72820</v>
      </c>
      <c r="B31281" s="74" t="s">
        <v>15488</v>
      </c>
      <c r="C31281" s="74" t="s">
        <v>415</v>
      </c>
    </row>
    <row r="31282" spans="1:3">
      <c r="A31282" s="250">
        <v>72821</v>
      </c>
      <c r="B31282" s="74" t="s">
        <v>15489</v>
      </c>
      <c r="C31282" s="74" t="s">
        <v>415</v>
      </c>
    </row>
    <row r="31283" spans="1:3">
      <c r="A31283" s="250">
        <v>72823</v>
      </c>
      <c r="B31283" s="74" t="s">
        <v>6345</v>
      </c>
      <c r="C31283" s="74" t="s">
        <v>415</v>
      </c>
    </row>
    <row r="31284" spans="1:3">
      <c r="A31284" s="250">
        <v>72824</v>
      </c>
      <c r="B31284" s="74" t="s">
        <v>2173</v>
      </c>
      <c r="C31284" s="74" t="s">
        <v>415</v>
      </c>
    </row>
    <row r="31285" spans="1:3">
      <c r="A31285" s="250">
        <v>72826</v>
      </c>
      <c r="B31285" s="74" t="s">
        <v>9290</v>
      </c>
      <c r="C31285" s="74" t="s">
        <v>415</v>
      </c>
    </row>
    <row r="31286" spans="1:3">
      <c r="A31286" s="250">
        <v>72827</v>
      </c>
      <c r="B31286" s="74" t="s">
        <v>7830</v>
      </c>
      <c r="C31286" s="74" t="s">
        <v>415</v>
      </c>
    </row>
    <row r="31287" spans="1:3">
      <c r="A31287" s="250">
        <v>72828</v>
      </c>
      <c r="B31287" s="74" t="s">
        <v>12052</v>
      </c>
      <c r="C31287" s="74" t="s">
        <v>415</v>
      </c>
    </row>
    <row r="31288" spans="1:3">
      <c r="A31288" s="250">
        <v>72829</v>
      </c>
      <c r="B31288" s="74" t="s">
        <v>1024</v>
      </c>
      <c r="C31288" s="74" t="s">
        <v>415</v>
      </c>
    </row>
    <row r="31289" spans="1:3">
      <c r="A31289" s="250">
        <v>72830</v>
      </c>
      <c r="B31289" s="74" t="s">
        <v>2926</v>
      </c>
      <c r="C31289" s="74" t="s">
        <v>415</v>
      </c>
    </row>
    <row r="31290" spans="1:3">
      <c r="A31290" s="250">
        <v>72832</v>
      </c>
      <c r="B31290" s="74" t="s">
        <v>15490</v>
      </c>
      <c r="C31290" s="74" t="s">
        <v>415</v>
      </c>
    </row>
    <row r="31291" spans="1:3">
      <c r="A31291" s="250">
        <v>72833</v>
      </c>
      <c r="B31291" s="74" t="s">
        <v>1302</v>
      </c>
      <c r="C31291" s="74" t="s">
        <v>415</v>
      </c>
    </row>
    <row r="31292" spans="1:3">
      <c r="A31292" s="250">
        <v>72834</v>
      </c>
      <c r="B31292" s="74" t="s">
        <v>15491</v>
      </c>
      <c r="C31292" s="74" t="s">
        <v>415</v>
      </c>
    </row>
    <row r="31293" spans="1:3">
      <c r="A31293" s="250">
        <v>72835</v>
      </c>
      <c r="B31293" s="74" t="s">
        <v>2303</v>
      </c>
      <c r="C31293" s="74" t="s">
        <v>415</v>
      </c>
    </row>
    <row r="31294" spans="1:3">
      <c r="A31294" s="250">
        <v>72837</v>
      </c>
      <c r="B31294" s="74" t="s">
        <v>869</v>
      </c>
      <c r="C31294" s="74" t="s">
        <v>415</v>
      </c>
    </row>
    <row r="31295" spans="1:3">
      <c r="A31295" s="250">
        <v>72838</v>
      </c>
      <c r="B31295" s="74" t="s">
        <v>15492</v>
      </c>
      <c r="C31295" s="74" t="s">
        <v>415</v>
      </c>
    </row>
    <row r="31296" spans="1:3">
      <c r="A31296" s="250">
        <v>72839</v>
      </c>
      <c r="B31296" s="74" t="s">
        <v>15493</v>
      </c>
      <c r="C31296" s="74" t="s">
        <v>415</v>
      </c>
    </row>
    <row r="31297" spans="1:3">
      <c r="A31297" s="250">
        <v>72840</v>
      </c>
      <c r="B31297" s="74" t="s">
        <v>15494</v>
      </c>
      <c r="C31297" s="74" t="s">
        <v>415</v>
      </c>
    </row>
    <row r="31298" spans="1:3">
      <c r="A31298" s="250">
        <v>72841</v>
      </c>
      <c r="B31298" s="74" t="s">
        <v>11511</v>
      </c>
      <c r="C31298" s="74" t="s">
        <v>415</v>
      </c>
    </row>
    <row r="31299" spans="1:3">
      <c r="A31299" s="250">
        <v>72842</v>
      </c>
      <c r="B31299" s="74" t="s">
        <v>8279</v>
      </c>
      <c r="C31299" s="74" t="s">
        <v>415</v>
      </c>
    </row>
    <row r="31300" spans="1:3">
      <c r="A31300" s="250">
        <v>72843</v>
      </c>
      <c r="B31300" s="74" t="s">
        <v>3915</v>
      </c>
      <c r="C31300" s="74" t="s">
        <v>415</v>
      </c>
    </row>
    <row r="31301" spans="1:3">
      <c r="A31301" s="250">
        <v>72845</v>
      </c>
      <c r="B31301" s="74" t="s">
        <v>4677</v>
      </c>
      <c r="C31301" s="74" t="s">
        <v>415</v>
      </c>
    </row>
    <row r="31302" spans="1:3">
      <c r="A31302" s="250">
        <v>72846</v>
      </c>
      <c r="B31302" s="74" t="s">
        <v>4632</v>
      </c>
      <c r="C31302" s="74" t="s">
        <v>415</v>
      </c>
    </row>
    <row r="31303" spans="1:3">
      <c r="A31303" s="250">
        <v>72847</v>
      </c>
      <c r="B31303" s="74" t="s">
        <v>6625</v>
      </c>
      <c r="C31303" s="74" t="s">
        <v>415</v>
      </c>
    </row>
    <row r="31304" spans="1:3">
      <c r="A31304" s="250">
        <v>72851</v>
      </c>
      <c r="B31304" s="74" t="s">
        <v>15495</v>
      </c>
      <c r="C31304" s="74" t="s">
        <v>415</v>
      </c>
    </row>
    <row r="31305" spans="1:3">
      <c r="A31305" s="250">
        <v>72852</v>
      </c>
      <c r="B31305" s="74" t="s">
        <v>15496</v>
      </c>
      <c r="C31305" s="74" t="s">
        <v>415</v>
      </c>
    </row>
    <row r="31306" spans="1:3">
      <c r="A31306" s="250">
        <v>72853</v>
      </c>
      <c r="B31306" s="74" t="s">
        <v>15497</v>
      </c>
      <c r="C31306" s="74" t="s">
        <v>415</v>
      </c>
    </row>
    <row r="31307" spans="1:3">
      <c r="A31307" s="250">
        <v>72854</v>
      </c>
      <c r="B31307" s="74" t="s">
        <v>15498</v>
      </c>
      <c r="C31307" s="74" t="s">
        <v>415</v>
      </c>
    </row>
    <row r="31308" spans="1:3">
      <c r="A31308" s="250">
        <v>72855</v>
      </c>
      <c r="B31308" s="74" t="s">
        <v>1459</v>
      </c>
      <c r="C31308" s="74" t="s">
        <v>415</v>
      </c>
    </row>
    <row r="31309" spans="1:3">
      <c r="A31309" s="250">
        <v>72856</v>
      </c>
      <c r="B31309" s="74" t="s">
        <v>15499</v>
      </c>
      <c r="C31309" s="74" t="s">
        <v>415</v>
      </c>
    </row>
    <row r="31310" spans="1:3">
      <c r="A31310" s="250">
        <v>72857</v>
      </c>
      <c r="B31310" s="74" t="s">
        <v>2867</v>
      </c>
      <c r="C31310" s="74" t="s">
        <v>415</v>
      </c>
    </row>
    <row r="31311" spans="1:3">
      <c r="A31311" s="250">
        <v>72858</v>
      </c>
      <c r="B31311" s="74" t="s">
        <v>4986</v>
      </c>
      <c r="C31311" s="74" t="s">
        <v>415</v>
      </c>
    </row>
    <row r="31312" spans="1:3">
      <c r="A31312" s="250">
        <v>72860</v>
      </c>
      <c r="B31312" s="74" t="s">
        <v>15500</v>
      </c>
      <c r="C31312" s="74" t="s">
        <v>415</v>
      </c>
    </row>
    <row r="31313" spans="1:3">
      <c r="A31313" s="250">
        <v>72863</v>
      </c>
      <c r="B31313" s="74" t="s">
        <v>5193</v>
      </c>
      <c r="C31313" s="74" t="s">
        <v>415</v>
      </c>
    </row>
    <row r="31314" spans="1:3">
      <c r="A31314" s="250">
        <v>72865</v>
      </c>
      <c r="B31314" s="74" t="s">
        <v>15501</v>
      </c>
      <c r="C31314" s="74" t="s">
        <v>415</v>
      </c>
    </row>
    <row r="31315" spans="1:3">
      <c r="A31315" s="250">
        <v>72901</v>
      </c>
      <c r="B31315" s="74" t="s">
        <v>13226</v>
      </c>
      <c r="C31315" s="74" t="s">
        <v>415</v>
      </c>
    </row>
    <row r="31316" spans="1:3">
      <c r="A31316" s="250">
        <v>72902</v>
      </c>
      <c r="B31316" s="74" t="s">
        <v>13226</v>
      </c>
      <c r="C31316" s="74" t="s">
        <v>415</v>
      </c>
    </row>
    <row r="31317" spans="1:3">
      <c r="A31317" s="250">
        <v>72903</v>
      </c>
      <c r="B31317" s="74" t="s">
        <v>13226</v>
      </c>
      <c r="C31317" s="74" t="s">
        <v>415</v>
      </c>
    </row>
    <row r="31318" spans="1:3">
      <c r="A31318" s="250">
        <v>72904</v>
      </c>
      <c r="B31318" s="74" t="s">
        <v>13226</v>
      </c>
      <c r="C31318" s="74" t="s">
        <v>415</v>
      </c>
    </row>
    <row r="31319" spans="1:3">
      <c r="A31319" s="250">
        <v>72905</v>
      </c>
      <c r="B31319" s="74" t="s">
        <v>13226</v>
      </c>
      <c r="C31319" s="74" t="s">
        <v>415</v>
      </c>
    </row>
    <row r="31320" spans="1:3">
      <c r="A31320" s="250">
        <v>72906</v>
      </c>
      <c r="B31320" s="74" t="s">
        <v>13226</v>
      </c>
      <c r="C31320" s="74" t="s">
        <v>415</v>
      </c>
    </row>
    <row r="31321" spans="1:3">
      <c r="A31321" s="250">
        <v>72908</v>
      </c>
      <c r="B31321" s="74" t="s">
        <v>13226</v>
      </c>
      <c r="C31321" s="74" t="s">
        <v>415</v>
      </c>
    </row>
    <row r="31322" spans="1:3">
      <c r="A31322" s="250">
        <v>72913</v>
      </c>
      <c r="B31322" s="74" t="s">
        <v>13226</v>
      </c>
      <c r="C31322" s="74" t="s">
        <v>415</v>
      </c>
    </row>
    <row r="31323" spans="1:3">
      <c r="A31323" s="250">
        <v>72914</v>
      </c>
      <c r="B31323" s="74" t="s">
        <v>13226</v>
      </c>
      <c r="C31323" s="74" t="s">
        <v>415</v>
      </c>
    </row>
    <row r="31324" spans="1:3">
      <c r="A31324" s="250">
        <v>72916</v>
      </c>
      <c r="B31324" s="74" t="s">
        <v>13226</v>
      </c>
      <c r="C31324" s="74" t="s">
        <v>415</v>
      </c>
    </row>
    <row r="31325" spans="1:3">
      <c r="A31325" s="250">
        <v>72917</v>
      </c>
      <c r="B31325" s="74" t="s">
        <v>13226</v>
      </c>
      <c r="C31325" s="74" t="s">
        <v>415</v>
      </c>
    </row>
    <row r="31326" spans="1:3">
      <c r="A31326" s="250">
        <v>72918</v>
      </c>
      <c r="B31326" s="74" t="s">
        <v>13226</v>
      </c>
      <c r="C31326" s="74" t="s">
        <v>415</v>
      </c>
    </row>
    <row r="31327" spans="1:3">
      <c r="A31327" s="250">
        <v>72919</v>
      </c>
      <c r="B31327" s="74" t="s">
        <v>13226</v>
      </c>
      <c r="C31327" s="74" t="s">
        <v>415</v>
      </c>
    </row>
    <row r="31328" spans="1:3">
      <c r="A31328" s="250">
        <v>72921</v>
      </c>
      <c r="B31328" s="74" t="s">
        <v>3841</v>
      </c>
      <c r="C31328" s="74" t="s">
        <v>415</v>
      </c>
    </row>
    <row r="31329" spans="1:3">
      <c r="A31329" s="250">
        <v>72923</v>
      </c>
      <c r="B31329" s="74" t="s">
        <v>15502</v>
      </c>
      <c r="C31329" s="74" t="s">
        <v>415</v>
      </c>
    </row>
    <row r="31330" spans="1:3">
      <c r="A31330" s="250">
        <v>72926</v>
      </c>
      <c r="B31330" s="74" t="s">
        <v>14022</v>
      </c>
      <c r="C31330" s="74" t="s">
        <v>415</v>
      </c>
    </row>
    <row r="31331" spans="1:3">
      <c r="A31331" s="250">
        <v>72927</v>
      </c>
      <c r="B31331" s="74" t="s">
        <v>9358</v>
      </c>
      <c r="C31331" s="74" t="s">
        <v>415</v>
      </c>
    </row>
    <row r="31332" spans="1:3">
      <c r="A31332" s="250">
        <v>72928</v>
      </c>
      <c r="B31332" s="74" t="s">
        <v>11271</v>
      </c>
      <c r="C31332" s="74" t="s">
        <v>415</v>
      </c>
    </row>
    <row r="31333" spans="1:3">
      <c r="A31333" s="250">
        <v>72930</v>
      </c>
      <c r="B31333" s="74" t="s">
        <v>4049</v>
      </c>
      <c r="C31333" s="74" t="s">
        <v>415</v>
      </c>
    </row>
    <row r="31334" spans="1:3">
      <c r="A31334" s="250">
        <v>72932</v>
      </c>
      <c r="B31334" s="74" t="s">
        <v>2475</v>
      </c>
      <c r="C31334" s="74" t="s">
        <v>415</v>
      </c>
    </row>
    <row r="31335" spans="1:3">
      <c r="A31335" s="250">
        <v>72933</v>
      </c>
      <c r="B31335" s="74" t="s">
        <v>1498</v>
      </c>
      <c r="C31335" s="74" t="s">
        <v>415</v>
      </c>
    </row>
    <row r="31336" spans="1:3">
      <c r="A31336" s="250">
        <v>72934</v>
      </c>
      <c r="B31336" s="74" t="s">
        <v>583</v>
      </c>
      <c r="C31336" s="74" t="s">
        <v>415</v>
      </c>
    </row>
    <row r="31337" spans="1:3">
      <c r="A31337" s="250">
        <v>72935</v>
      </c>
      <c r="B31337" s="74" t="s">
        <v>9214</v>
      </c>
      <c r="C31337" s="74" t="s">
        <v>415</v>
      </c>
    </row>
    <row r="31338" spans="1:3">
      <c r="A31338" s="250">
        <v>72936</v>
      </c>
      <c r="B31338" s="74" t="s">
        <v>1448</v>
      </c>
      <c r="C31338" s="74" t="s">
        <v>415</v>
      </c>
    </row>
    <row r="31339" spans="1:3">
      <c r="A31339" s="250">
        <v>72937</v>
      </c>
      <c r="B31339" s="74" t="s">
        <v>15503</v>
      </c>
      <c r="C31339" s="74" t="s">
        <v>415</v>
      </c>
    </row>
    <row r="31340" spans="1:3">
      <c r="A31340" s="250">
        <v>72938</v>
      </c>
      <c r="B31340" s="74" t="s">
        <v>1737</v>
      </c>
      <c r="C31340" s="74" t="s">
        <v>415</v>
      </c>
    </row>
    <row r="31341" spans="1:3">
      <c r="A31341" s="250">
        <v>72940</v>
      </c>
      <c r="B31341" s="74" t="s">
        <v>601</v>
      </c>
      <c r="C31341" s="74" t="s">
        <v>415</v>
      </c>
    </row>
    <row r="31342" spans="1:3">
      <c r="A31342" s="250">
        <v>72941</v>
      </c>
      <c r="B31342" s="74" t="s">
        <v>15504</v>
      </c>
      <c r="C31342" s="74" t="s">
        <v>415</v>
      </c>
    </row>
    <row r="31343" spans="1:3">
      <c r="A31343" s="250">
        <v>72943</v>
      </c>
      <c r="B31343" s="74" t="s">
        <v>15505</v>
      </c>
      <c r="C31343" s="74" t="s">
        <v>415</v>
      </c>
    </row>
    <row r="31344" spans="1:3">
      <c r="A31344" s="250">
        <v>72944</v>
      </c>
      <c r="B31344" s="74" t="s">
        <v>879</v>
      </c>
      <c r="C31344" s="74" t="s">
        <v>415</v>
      </c>
    </row>
    <row r="31345" spans="1:3">
      <c r="A31345" s="250">
        <v>72945</v>
      </c>
      <c r="B31345" s="74" t="s">
        <v>3994</v>
      </c>
      <c r="C31345" s="74" t="s">
        <v>415</v>
      </c>
    </row>
    <row r="31346" spans="1:3">
      <c r="A31346" s="250">
        <v>72946</v>
      </c>
      <c r="B31346" s="74" t="s">
        <v>15506</v>
      </c>
      <c r="C31346" s="74" t="s">
        <v>415</v>
      </c>
    </row>
    <row r="31347" spans="1:3">
      <c r="A31347" s="250">
        <v>72947</v>
      </c>
      <c r="B31347" s="74" t="s">
        <v>8511</v>
      </c>
      <c r="C31347" s="74" t="s">
        <v>415</v>
      </c>
    </row>
    <row r="31348" spans="1:3">
      <c r="A31348" s="250">
        <v>72948</v>
      </c>
      <c r="B31348" s="74" t="s">
        <v>15507</v>
      </c>
      <c r="C31348" s="74" t="s">
        <v>415</v>
      </c>
    </row>
    <row r="31349" spans="1:3">
      <c r="A31349" s="250">
        <v>72949</v>
      </c>
      <c r="B31349" s="74" t="s">
        <v>8852</v>
      </c>
      <c r="C31349" s="74" t="s">
        <v>415</v>
      </c>
    </row>
    <row r="31350" spans="1:3">
      <c r="A31350" s="250">
        <v>72950</v>
      </c>
      <c r="B31350" s="74" t="s">
        <v>14881</v>
      </c>
      <c r="C31350" s="74" t="s">
        <v>415</v>
      </c>
    </row>
    <row r="31351" spans="1:3">
      <c r="A31351" s="250">
        <v>72951</v>
      </c>
      <c r="B31351" s="74" t="s">
        <v>15508</v>
      </c>
      <c r="C31351" s="74" t="s">
        <v>415</v>
      </c>
    </row>
    <row r="31352" spans="1:3">
      <c r="A31352" s="250">
        <v>72952</v>
      </c>
      <c r="B31352" s="74" t="s">
        <v>15509</v>
      </c>
      <c r="C31352" s="74" t="s">
        <v>415</v>
      </c>
    </row>
    <row r="31353" spans="1:3">
      <c r="A31353" s="250">
        <v>72955</v>
      </c>
      <c r="B31353" s="74" t="s">
        <v>4089</v>
      </c>
      <c r="C31353" s="74" t="s">
        <v>415</v>
      </c>
    </row>
    <row r="31354" spans="1:3">
      <c r="A31354" s="250">
        <v>72956</v>
      </c>
      <c r="B31354" s="74" t="s">
        <v>1658</v>
      </c>
      <c r="C31354" s="74" t="s">
        <v>415</v>
      </c>
    </row>
    <row r="31355" spans="1:3">
      <c r="A31355" s="250">
        <v>72957</v>
      </c>
      <c r="B31355" s="74" t="s">
        <v>1658</v>
      </c>
      <c r="C31355" s="74" t="s">
        <v>415</v>
      </c>
    </row>
    <row r="31356" spans="1:3">
      <c r="A31356" s="250">
        <v>72958</v>
      </c>
      <c r="B31356" s="74" t="s">
        <v>10674</v>
      </c>
      <c r="C31356" s="74" t="s">
        <v>415</v>
      </c>
    </row>
    <row r="31357" spans="1:3">
      <c r="A31357" s="250">
        <v>72959</v>
      </c>
      <c r="B31357" s="74" t="s">
        <v>2433</v>
      </c>
      <c r="C31357" s="74" t="s">
        <v>415</v>
      </c>
    </row>
    <row r="31358" spans="1:3">
      <c r="A31358" s="250">
        <v>73001</v>
      </c>
      <c r="B31358" s="74" t="s">
        <v>14655</v>
      </c>
      <c r="C31358" s="74" t="s">
        <v>447</v>
      </c>
    </row>
    <row r="31359" spans="1:3">
      <c r="A31359" s="250">
        <v>73002</v>
      </c>
      <c r="B31359" s="74" t="s">
        <v>15510</v>
      </c>
      <c r="C31359" s="74" t="s">
        <v>447</v>
      </c>
    </row>
    <row r="31360" spans="1:3">
      <c r="A31360" s="250">
        <v>73003</v>
      </c>
      <c r="B31360" s="74" t="s">
        <v>6790</v>
      </c>
      <c r="C31360" s="74" t="s">
        <v>447</v>
      </c>
    </row>
    <row r="31361" spans="1:3">
      <c r="A31361" s="250">
        <v>73004</v>
      </c>
      <c r="B31361" s="74" t="s">
        <v>15511</v>
      </c>
      <c r="C31361" s="74" t="s">
        <v>447</v>
      </c>
    </row>
    <row r="31362" spans="1:3">
      <c r="A31362" s="250">
        <v>73005</v>
      </c>
      <c r="B31362" s="74" t="s">
        <v>15512</v>
      </c>
      <c r="C31362" s="74" t="s">
        <v>447</v>
      </c>
    </row>
    <row r="31363" spans="1:3">
      <c r="A31363" s="250">
        <v>73006</v>
      </c>
      <c r="B31363" s="74" t="s">
        <v>15513</v>
      </c>
      <c r="C31363" s="74" t="s">
        <v>447</v>
      </c>
    </row>
    <row r="31364" spans="1:3">
      <c r="A31364" s="250">
        <v>73007</v>
      </c>
      <c r="B31364" s="74" t="s">
        <v>4258</v>
      </c>
      <c r="C31364" s="74" t="s">
        <v>447</v>
      </c>
    </row>
    <row r="31365" spans="1:3">
      <c r="A31365" s="250">
        <v>73008</v>
      </c>
      <c r="B31365" s="74" t="s">
        <v>2075</v>
      </c>
      <c r="C31365" s="74" t="s">
        <v>447</v>
      </c>
    </row>
    <row r="31366" spans="1:3">
      <c r="A31366" s="250">
        <v>73009</v>
      </c>
      <c r="B31366" s="74" t="s">
        <v>15514</v>
      </c>
      <c r="C31366" s="74" t="s">
        <v>447</v>
      </c>
    </row>
    <row r="31367" spans="1:3">
      <c r="A31367" s="250">
        <v>73010</v>
      </c>
      <c r="B31367" s="74" t="s">
        <v>4615</v>
      </c>
      <c r="C31367" s="74" t="s">
        <v>447</v>
      </c>
    </row>
    <row r="31368" spans="1:3">
      <c r="A31368" s="250">
        <v>73011</v>
      </c>
      <c r="B31368" s="74" t="s">
        <v>1490</v>
      </c>
      <c r="C31368" s="74" t="s">
        <v>447</v>
      </c>
    </row>
    <row r="31369" spans="1:3">
      <c r="A31369" s="250">
        <v>73012</v>
      </c>
      <c r="B31369" s="74" t="s">
        <v>6790</v>
      </c>
      <c r="C31369" s="74" t="s">
        <v>447</v>
      </c>
    </row>
    <row r="31370" spans="1:3">
      <c r="A31370" s="250">
        <v>73013</v>
      </c>
      <c r="B31370" s="74" t="s">
        <v>6790</v>
      </c>
      <c r="C31370" s="74" t="s">
        <v>447</v>
      </c>
    </row>
    <row r="31371" spans="1:3">
      <c r="A31371" s="250">
        <v>73014</v>
      </c>
      <c r="B31371" s="74" t="s">
        <v>4196</v>
      </c>
      <c r="C31371" s="74" t="s">
        <v>447</v>
      </c>
    </row>
    <row r="31372" spans="1:3">
      <c r="A31372" s="250">
        <v>73015</v>
      </c>
      <c r="B31372" s="74" t="s">
        <v>4019</v>
      </c>
      <c r="C31372" s="74" t="s">
        <v>447</v>
      </c>
    </row>
    <row r="31373" spans="1:3">
      <c r="A31373" s="250">
        <v>73016</v>
      </c>
      <c r="B31373" s="74" t="s">
        <v>15515</v>
      </c>
      <c r="C31373" s="74" t="s">
        <v>447</v>
      </c>
    </row>
    <row r="31374" spans="1:3">
      <c r="A31374" s="250">
        <v>73017</v>
      </c>
      <c r="B31374" s="74" t="s">
        <v>15516</v>
      </c>
      <c r="C31374" s="74" t="s">
        <v>447</v>
      </c>
    </row>
    <row r="31375" spans="1:3">
      <c r="A31375" s="250">
        <v>73018</v>
      </c>
      <c r="B31375" s="74" t="s">
        <v>15517</v>
      </c>
      <c r="C31375" s="74" t="s">
        <v>447</v>
      </c>
    </row>
    <row r="31376" spans="1:3">
      <c r="A31376" s="250">
        <v>73019</v>
      </c>
      <c r="B31376" s="74" t="s">
        <v>7368</v>
      </c>
      <c r="C31376" s="74" t="s">
        <v>447</v>
      </c>
    </row>
    <row r="31377" spans="1:3">
      <c r="A31377" s="250">
        <v>73020</v>
      </c>
      <c r="B31377" s="74" t="s">
        <v>15277</v>
      </c>
      <c r="C31377" s="74" t="s">
        <v>447</v>
      </c>
    </row>
    <row r="31378" spans="1:3">
      <c r="A31378" s="250">
        <v>73021</v>
      </c>
      <c r="B31378" s="74" t="s">
        <v>14492</v>
      </c>
      <c r="C31378" s="74" t="s">
        <v>447</v>
      </c>
    </row>
    <row r="31379" spans="1:3">
      <c r="A31379" s="250">
        <v>73022</v>
      </c>
      <c r="B31379" s="74" t="s">
        <v>15518</v>
      </c>
      <c r="C31379" s="74" t="s">
        <v>447</v>
      </c>
    </row>
    <row r="31380" spans="1:3">
      <c r="A31380" s="250">
        <v>73023</v>
      </c>
      <c r="B31380" s="74" t="s">
        <v>15517</v>
      </c>
      <c r="C31380" s="74" t="s">
        <v>447</v>
      </c>
    </row>
    <row r="31381" spans="1:3">
      <c r="A31381" s="250">
        <v>73024</v>
      </c>
      <c r="B31381" s="74" t="s">
        <v>15519</v>
      </c>
      <c r="C31381" s="74" t="s">
        <v>447</v>
      </c>
    </row>
    <row r="31382" spans="1:3">
      <c r="A31382" s="250">
        <v>73025</v>
      </c>
      <c r="B31382" s="74" t="s">
        <v>6790</v>
      </c>
      <c r="C31382" s="74" t="s">
        <v>447</v>
      </c>
    </row>
    <row r="31383" spans="1:3">
      <c r="A31383" s="250">
        <v>73026</v>
      </c>
      <c r="B31383" s="74" t="s">
        <v>7368</v>
      </c>
      <c r="C31383" s="74" t="s">
        <v>447</v>
      </c>
    </row>
    <row r="31384" spans="1:3">
      <c r="A31384" s="250">
        <v>73027</v>
      </c>
      <c r="B31384" s="74" t="s">
        <v>15520</v>
      </c>
      <c r="C31384" s="74" t="s">
        <v>447</v>
      </c>
    </row>
    <row r="31385" spans="1:3">
      <c r="A31385" s="250">
        <v>73028</v>
      </c>
      <c r="B31385" s="74" t="s">
        <v>3984</v>
      </c>
      <c r="C31385" s="74" t="s">
        <v>447</v>
      </c>
    </row>
    <row r="31386" spans="1:3">
      <c r="A31386" s="250">
        <v>73029</v>
      </c>
      <c r="B31386" s="74" t="s">
        <v>15521</v>
      </c>
      <c r="C31386" s="74" t="s">
        <v>447</v>
      </c>
    </row>
    <row r="31387" spans="1:3">
      <c r="A31387" s="250">
        <v>73030</v>
      </c>
      <c r="B31387" s="74" t="s">
        <v>6907</v>
      </c>
      <c r="C31387" s="74" t="s">
        <v>447</v>
      </c>
    </row>
    <row r="31388" spans="1:3">
      <c r="A31388" s="250">
        <v>73031</v>
      </c>
      <c r="B31388" s="74" t="s">
        <v>15522</v>
      </c>
      <c r="C31388" s="74" t="s">
        <v>447</v>
      </c>
    </row>
    <row r="31389" spans="1:3">
      <c r="A31389" s="250">
        <v>73032</v>
      </c>
      <c r="B31389" s="74" t="s">
        <v>11575</v>
      </c>
      <c r="C31389" s="74" t="s">
        <v>447</v>
      </c>
    </row>
    <row r="31390" spans="1:3">
      <c r="A31390" s="250">
        <v>73033</v>
      </c>
      <c r="B31390" s="74" t="s">
        <v>15523</v>
      </c>
      <c r="C31390" s="74" t="s">
        <v>447</v>
      </c>
    </row>
    <row r="31391" spans="1:3">
      <c r="A31391" s="250">
        <v>73034</v>
      </c>
      <c r="B31391" s="74" t="s">
        <v>6790</v>
      </c>
      <c r="C31391" s="74" t="s">
        <v>447</v>
      </c>
    </row>
    <row r="31392" spans="1:3">
      <c r="A31392" s="250">
        <v>73036</v>
      </c>
      <c r="B31392" s="74" t="s">
        <v>15524</v>
      </c>
      <c r="C31392" s="74" t="s">
        <v>447</v>
      </c>
    </row>
    <row r="31393" spans="1:3">
      <c r="A31393" s="250">
        <v>73038</v>
      </c>
      <c r="B31393" s="74" t="s">
        <v>15525</v>
      </c>
      <c r="C31393" s="74" t="s">
        <v>447</v>
      </c>
    </row>
    <row r="31394" spans="1:3">
      <c r="A31394" s="250">
        <v>73039</v>
      </c>
      <c r="B31394" s="74" t="s">
        <v>6907</v>
      </c>
      <c r="C31394" s="74" t="s">
        <v>447</v>
      </c>
    </row>
    <row r="31395" spans="1:3">
      <c r="A31395" s="250">
        <v>73040</v>
      </c>
      <c r="B31395" s="74" t="s">
        <v>15526</v>
      </c>
      <c r="C31395" s="74" t="s">
        <v>447</v>
      </c>
    </row>
    <row r="31396" spans="1:3">
      <c r="A31396" s="250">
        <v>73041</v>
      </c>
      <c r="B31396" s="74" t="s">
        <v>15527</v>
      </c>
      <c r="C31396" s="74" t="s">
        <v>447</v>
      </c>
    </row>
    <row r="31397" spans="1:3">
      <c r="A31397" s="250">
        <v>73042</v>
      </c>
      <c r="B31397" s="74" t="s">
        <v>15528</v>
      </c>
      <c r="C31397" s="74" t="s">
        <v>447</v>
      </c>
    </row>
    <row r="31398" spans="1:3">
      <c r="A31398" s="250">
        <v>73043</v>
      </c>
      <c r="B31398" s="74" t="s">
        <v>670</v>
      </c>
      <c r="C31398" s="74" t="s">
        <v>447</v>
      </c>
    </row>
    <row r="31399" spans="1:3">
      <c r="A31399" s="250">
        <v>73044</v>
      </c>
      <c r="B31399" s="74" t="s">
        <v>9983</v>
      </c>
      <c r="C31399" s="74" t="s">
        <v>447</v>
      </c>
    </row>
    <row r="31400" spans="1:3">
      <c r="A31400" s="250">
        <v>73045</v>
      </c>
      <c r="B31400" s="74" t="s">
        <v>15529</v>
      </c>
      <c r="C31400" s="74" t="s">
        <v>447</v>
      </c>
    </row>
    <row r="31401" spans="1:3">
      <c r="A31401" s="250">
        <v>73047</v>
      </c>
      <c r="B31401" s="74" t="s">
        <v>5988</v>
      </c>
      <c r="C31401" s="74" t="s">
        <v>447</v>
      </c>
    </row>
    <row r="31402" spans="1:3">
      <c r="A31402" s="250">
        <v>73048</v>
      </c>
      <c r="B31402" s="74" t="s">
        <v>15530</v>
      </c>
      <c r="C31402" s="74" t="s">
        <v>447</v>
      </c>
    </row>
    <row r="31403" spans="1:3">
      <c r="A31403" s="250">
        <v>73049</v>
      </c>
      <c r="B31403" s="74" t="s">
        <v>8941</v>
      </c>
      <c r="C31403" s="74" t="s">
        <v>447</v>
      </c>
    </row>
    <row r="31404" spans="1:3">
      <c r="A31404" s="250">
        <v>73050</v>
      </c>
      <c r="B31404" s="74" t="s">
        <v>8747</v>
      </c>
      <c r="C31404" s="74" t="s">
        <v>447</v>
      </c>
    </row>
    <row r="31405" spans="1:3">
      <c r="A31405" s="250">
        <v>73051</v>
      </c>
      <c r="B31405" s="74" t="s">
        <v>966</v>
      </c>
      <c r="C31405" s="74" t="s">
        <v>447</v>
      </c>
    </row>
    <row r="31406" spans="1:3">
      <c r="A31406" s="250">
        <v>73052</v>
      </c>
      <c r="B31406" s="74" t="s">
        <v>13297</v>
      </c>
      <c r="C31406" s="74" t="s">
        <v>447</v>
      </c>
    </row>
    <row r="31407" spans="1:3">
      <c r="A31407" s="250">
        <v>73053</v>
      </c>
      <c r="B31407" s="74" t="s">
        <v>15531</v>
      </c>
      <c r="C31407" s="74" t="s">
        <v>447</v>
      </c>
    </row>
    <row r="31408" spans="1:3">
      <c r="A31408" s="250">
        <v>73054</v>
      </c>
      <c r="B31408" s="74" t="s">
        <v>11320</v>
      </c>
      <c r="C31408" s="74" t="s">
        <v>447</v>
      </c>
    </row>
    <row r="31409" spans="1:3">
      <c r="A31409" s="250">
        <v>73055</v>
      </c>
      <c r="B31409" s="74" t="s">
        <v>1237</v>
      </c>
      <c r="C31409" s="74" t="s">
        <v>447</v>
      </c>
    </row>
    <row r="31410" spans="1:3">
      <c r="A31410" s="250">
        <v>73056</v>
      </c>
      <c r="B31410" s="74" t="s">
        <v>5516</v>
      </c>
      <c r="C31410" s="74" t="s">
        <v>447</v>
      </c>
    </row>
    <row r="31411" spans="1:3">
      <c r="A31411" s="250">
        <v>73057</v>
      </c>
      <c r="B31411" s="74" t="s">
        <v>7041</v>
      </c>
      <c r="C31411" s="74" t="s">
        <v>447</v>
      </c>
    </row>
    <row r="31412" spans="1:3">
      <c r="A31412" s="250">
        <v>73058</v>
      </c>
      <c r="B31412" s="74" t="s">
        <v>3388</v>
      </c>
      <c r="C31412" s="74" t="s">
        <v>447</v>
      </c>
    </row>
    <row r="31413" spans="1:3">
      <c r="A31413" s="250">
        <v>73059</v>
      </c>
      <c r="B31413" s="74" t="s">
        <v>15532</v>
      </c>
      <c r="C31413" s="74" t="s">
        <v>447</v>
      </c>
    </row>
    <row r="31414" spans="1:3">
      <c r="A31414" s="250">
        <v>73061</v>
      </c>
      <c r="B31414" s="74" t="s">
        <v>9073</v>
      </c>
      <c r="C31414" s="74" t="s">
        <v>447</v>
      </c>
    </row>
    <row r="31415" spans="1:3">
      <c r="A31415" s="250">
        <v>73062</v>
      </c>
      <c r="B31415" s="74" t="s">
        <v>14405</v>
      </c>
      <c r="C31415" s="74" t="s">
        <v>447</v>
      </c>
    </row>
    <row r="31416" spans="1:3">
      <c r="A31416" s="250">
        <v>73063</v>
      </c>
      <c r="B31416" s="74" t="s">
        <v>15533</v>
      </c>
      <c r="C31416" s="74" t="s">
        <v>447</v>
      </c>
    </row>
    <row r="31417" spans="1:3">
      <c r="A31417" s="250">
        <v>73064</v>
      </c>
      <c r="B31417" s="74" t="s">
        <v>15534</v>
      </c>
      <c r="C31417" s="74" t="s">
        <v>447</v>
      </c>
    </row>
    <row r="31418" spans="1:3">
      <c r="A31418" s="250">
        <v>73065</v>
      </c>
      <c r="B31418" s="74" t="s">
        <v>1546</v>
      </c>
      <c r="C31418" s="74" t="s">
        <v>447</v>
      </c>
    </row>
    <row r="31419" spans="1:3">
      <c r="A31419" s="250">
        <v>73066</v>
      </c>
      <c r="B31419" s="74" t="s">
        <v>15535</v>
      </c>
      <c r="C31419" s="74" t="s">
        <v>447</v>
      </c>
    </row>
    <row r="31420" spans="1:3">
      <c r="A31420" s="250">
        <v>73067</v>
      </c>
      <c r="B31420" s="74" t="s">
        <v>15536</v>
      </c>
      <c r="C31420" s="74" t="s">
        <v>447</v>
      </c>
    </row>
    <row r="31421" spans="1:3">
      <c r="A31421" s="250">
        <v>73068</v>
      </c>
      <c r="B31421" s="74" t="s">
        <v>14001</v>
      </c>
      <c r="C31421" s="74" t="s">
        <v>447</v>
      </c>
    </row>
    <row r="31422" spans="1:3">
      <c r="A31422" s="250">
        <v>73069</v>
      </c>
      <c r="B31422" s="74" t="s">
        <v>7368</v>
      </c>
      <c r="C31422" s="74" t="s">
        <v>447</v>
      </c>
    </row>
    <row r="31423" spans="1:3">
      <c r="A31423" s="250">
        <v>73070</v>
      </c>
      <c r="B31423" s="74" t="s">
        <v>7368</v>
      </c>
      <c r="C31423" s="74" t="s">
        <v>447</v>
      </c>
    </row>
    <row r="31424" spans="1:3">
      <c r="A31424" s="250">
        <v>73071</v>
      </c>
      <c r="B31424" s="74" t="s">
        <v>7368</v>
      </c>
      <c r="C31424" s="74" t="s">
        <v>447</v>
      </c>
    </row>
    <row r="31425" spans="1:3">
      <c r="A31425" s="250">
        <v>73072</v>
      </c>
      <c r="B31425" s="74" t="s">
        <v>7368</v>
      </c>
      <c r="C31425" s="74" t="s">
        <v>447</v>
      </c>
    </row>
    <row r="31426" spans="1:3">
      <c r="A31426" s="250">
        <v>73073</v>
      </c>
      <c r="B31426" s="74" t="s">
        <v>6950</v>
      </c>
      <c r="C31426" s="74" t="s">
        <v>447</v>
      </c>
    </row>
    <row r="31427" spans="1:3">
      <c r="A31427" s="250">
        <v>73074</v>
      </c>
      <c r="B31427" s="74" t="s">
        <v>5366</v>
      </c>
      <c r="C31427" s="74" t="s">
        <v>447</v>
      </c>
    </row>
    <row r="31428" spans="1:3">
      <c r="A31428" s="250">
        <v>73075</v>
      </c>
      <c r="B31428" s="74" t="s">
        <v>15537</v>
      </c>
      <c r="C31428" s="74" t="s">
        <v>447</v>
      </c>
    </row>
    <row r="31429" spans="1:3">
      <c r="A31429" s="250">
        <v>73077</v>
      </c>
      <c r="B31429" s="74" t="s">
        <v>1602</v>
      </c>
      <c r="C31429" s="74" t="s">
        <v>447</v>
      </c>
    </row>
    <row r="31430" spans="1:3">
      <c r="A31430" s="250">
        <v>73078</v>
      </c>
      <c r="B31430" s="74" t="s">
        <v>7028</v>
      </c>
      <c r="C31430" s="74" t="s">
        <v>447</v>
      </c>
    </row>
    <row r="31431" spans="1:3">
      <c r="A31431" s="250">
        <v>73079</v>
      </c>
      <c r="B31431" s="74" t="s">
        <v>1009</v>
      </c>
      <c r="C31431" s="74" t="s">
        <v>447</v>
      </c>
    </row>
    <row r="31432" spans="1:3">
      <c r="A31432" s="250">
        <v>73080</v>
      </c>
      <c r="B31432" s="74" t="s">
        <v>14321</v>
      </c>
      <c r="C31432" s="74" t="s">
        <v>447</v>
      </c>
    </row>
    <row r="31433" spans="1:3">
      <c r="A31433" s="250">
        <v>73082</v>
      </c>
      <c r="B31433" s="74" t="s">
        <v>15538</v>
      </c>
      <c r="C31433" s="74" t="s">
        <v>447</v>
      </c>
    </row>
    <row r="31434" spans="1:3">
      <c r="A31434" s="250">
        <v>73083</v>
      </c>
      <c r="B31434" s="74" t="s">
        <v>6790</v>
      </c>
      <c r="C31434" s="74" t="s">
        <v>447</v>
      </c>
    </row>
    <row r="31435" spans="1:3">
      <c r="A31435" s="250">
        <v>73084</v>
      </c>
      <c r="B31435" s="74" t="s">
        <v>762</v>
      </c>
      <c r="C31435" s="74" t="s">
        <v>447</v>
      </c>
    </row>
    <row r="31436" spans="1:3">
      <c r="A31436" s="250">
        <v>73085</v>
      </c>
      <c r="B31436" s="74" t="s">
        <v>4254</v>
      </c>
      <c r="C31436" s="74" t="s">
        <v>447</v>
      </c>
    </row>
    <row r="31437" spans="1:3">
      <c r="A31437" s="250">
        <v>73086</v>
      </c>
      <c r="B31437" s="74" t="s">
        <v>9592</v>
      </c>
      <c r="C31437" s="74" t="s">
        <v>447</v>
      </c>
    </row>
    <row r="31438" spans="1:3">
      <c r="A31438" s="250">
        <v>73089</v>
      </c>
      <c r="B31438" s="74" t="s">
        <v>13124</v>
      </c>
      <c r="C31438" s="74" t="s">
        <v>447</v>
      </c>
    </row>
    <row r="31439" spans="1:3">
      <c r="A31439" s="250">
        <v>73090</v>
      </c>
      <c r="B31439" s="74" t="s">
        <v>2166</v>
      </c>
      <c r="C31439" s="74" t="s">
        <v>447</v>
      </c>
    </row>
    <row r="31440" spans="1:3">
      <c r="A31440" s="250">
        <v>73092</v>
      </c>
      <c r="B31440" s="74" t="s">
        <v>15539</v>
      </c>
      <c r="C31440" s="74" t="s">
        <v>447</v>
      </c>
    </row>
    <row r="31441" spans="1:3">
      <c r="A31441" s="250">
        <v>73093</v>
      </c>
      <c r="B31441" s="74" t="s">
        <v>1215</v>
      </c>
      <c r="C31441" s="74" t="s">
        <v>447</v>
      </c>
    </row>
    <row r="31442" spans="1:3">
      <c r="A31442" s="250">
        <v>73094</v>
      </c>
      <c r="B31442" s="74" t="s">
        <v>15540</v>
      </c>
      <c r="C31442" s="74" t="s">
        <v>447</v>
      </c>
    </row>
    <row r="31443" spans="1:3">
      <c r="A31443" s="250">
        <v>73095</v>
      </c>
      <c r="B31443" s="74" t="s">
        <v>1464</v>
      </c>
      <c r="C31443" s="74" t="s">
        <v>447</v>
      </c>
    </row>
    <row r="31444" spans="1:3">
      <c r="A31444" s="250">
        <v>73096</v>
      </c>
      <c r="B31444" s="74" t="s">
        <v>15541</v>
      </c>
      <c r="C31444" s="74" t="s">
        <v>447</v>
      </c>
    </row>
    <row r="31445" spans="1:3">
      <c r="A31445" s="250">
        <v>73097</v>
      </c>
      <c r="B31445" s="74" t="s">
        <v>4437</v>
      </c>
      <c r="C31445" s="74" t="s">
        <v>447</v>
      </c>
    </row>
    <row r="31446" spans="1:3">
      <c r="A31446" s="250">
        <v>73098</v>
      </c>
      <c r="B31446" s="74" t="s">
        <v>5365</v>
      </c>
      <c r="C31446" s="74" t="s">
        <v>447</v>
      </c>
    </row>
    <row r="31447" spans="1:3">
      <c r="A31447" s="250">
        <v>73099</v>
      </c>
      <c r="B31447" s="74" t="s">
        <v>4254</v>
      </c>
      <c r="C31447" s="74" t="s">
        <v>447</v>
      </c>
    </row>
    <row r="31448" spans="1:3">
      <c r="A31448" s="250">
        <v>73101</v>
      </c>
      <c r="B31448" s="74" t="s">
        <v>15542</v>
      </c>
      <c r="C31448" s="74" t="s">
        <v>447</v>
      </c>
    </row>
    <row r="31449" spans="1:3">
      <c r="A31449" s="250">
        <v>73102</v>
      </c>
      <c r="B31449" s="74" t="s">
        <v>15542</v>
      </c>
      <c r="C31449" s="74" t="s">
        <v>447</v>
      </c>
    </row>
    <row r="31450" spans="1:3">
      <c r="A31450" s="250">
        <v>73103</v>
      </c>
      <c r="B31450" s="74" t="s">
        <v>15542</v>
      </c>
      <c r="C31450" s="74" t="s">
        <v>447</v>
      </c>
    </row>
    <row r="31451" spans="1:3">
      <c r="A31451" s="250">
        <v>73104</v>
      </c>
      <c r="B31451" s="74" t="s">
        <v>15542</v>
      </c>
      <c r="C31451" s="74" t="s">
        <v>447</v>
      </c>
    </row>
    <row r="31452" spans="1:3">
      <c r="A31452" s="250">
        <v>73105</v>
      </c>
      <c r="B31452" s="74" t="s">
        <v>15542</v>
      </c>
      <c r="C31452" s="74" t="s">
        <v>447</v>
      </c>
    </row>
    <row r="31453" spans="1:3">
      <c r="A31453" s="250">
        <v>73106</v>
      </c>
      <c r="B31453" s="74" t="s">
        <v>15542</v>
      </c>
      <c r="C31453" s="74" t="s">
        <v>447</v>
      </c>
    </row>
    <row r="31454" spans="1:3">
      <c r="A31454" s="250">
        <v>73107</v>
      </c>
      <c r="B31454" s="74" t="s">
        <v>15542</v>
      </c>
      <c r="C31454" s="74" t="s">
        <v>447</v>
      </c>
    </row>
    <row r="31455" spans="1:3">
      <c r="A31455" s="250">
        <v>73108</v>
      </c>
      <c r="B31455" s="74" t="s">
        <v>15542</v>
      </c>
      <c r="C31455" s="74" t="s">
        <v>447</v>
      </c>
    </row>
    <row r="31456" spans="1:3">
      <c r="A31456" s="250">
        <v>73109</v>
      </c>
      <c r="B31456" s="74" t="s">
        <v>15542</v>
      </c>
      <c r="C31456" s="74" t="s">
        <v>447</v>
      </c>
    </row>
    <row r="31457" spans="1:3">
      <c r="A31457" s="250">
        <v>73110</v>
      </c>
      <c r="B31457" s="74" t="s">
        <v>15542</v>
      </c>
      <c r="C31457" s="74" t="s">
        <v>447</v>
      </c>
    </row>
    <row r="31458" spans="1:3">
      <c r="A31458" s="250">
        <v>73111</v>
      </c>
      <c r="B31458" s="74" t="s">
        <v>15542</v>
      </c>
      <c r="C31458" s="74" t="s">
        <v>447</v>
      </c>
    </row>
    <row r="31459" spans="1:3">
      <c r="A31459" s="250">
        <v>73112</v>
      </c>
      <c r="B31459" s="74" t="s">
        <v>15542</v>
      </c>
      <c r="C31459" s="74" t="s">
        <v>447</v>
      </c>
    </row>
    <row r="31460" spans="1:3">
      <c r="A31460" s="250">
        <v>73113</v>
      </c>
      <c r="B31460" s="74" t="s">
        <v>15542</v>
      </c>
      <c r="C31460" s="74" t="s">
        <v>447</v>
      </c>
    </row>
    <row r="31461" spans="1:3">
      <c r="A31461" s="250">
        <v>73114</v>
      </c>
      <c r="B31461" s="74" t="s">
        <v>15542</v>
      </c>
      <c r="C31461" s="74" t="s">
        <v>447</v>
      </c>
    </row>
    <row r="31462" spans="1:3">
      <c r="A31462" s="250">
        <v>73115</v>
      </c>
      <c r="B31462" s="74" t="s">
        <v>15542</v>
      </c>
      <c r="C31462" s="74" t="s">
        <v>447</v>
      </c>
    </row>
    <row r="31463" spans="1:3">
      <c r="A31463" s="250">
        <v>73116</v>
      </c>
      <c r="B31463" s="74" t="s">
        <v>15542</v>
      </c>
      <c r="C31463" s="74" t="s">
        <v>447</v>
      </c>
    </row>
    <row r="31464" spans="1:3">
      <c r="A31464" s="250">
        <v>73117</v>
      </c>
      <c r="B31464" s="74" t="s">
        <v>15542</v>
      </c>
      <c r="C31464" s="74" t="s">
        <v>447</v>
      </c>
    </row>
    <row r="31465" spans="1:3">
      <c r="A31465" s="250">
        <v>73118</v>
      </c>
      <c r="B31465" s="74" t="s">
        <v>15542</v>
      </c>
      <c r="C31465" s="74" t="s">
        <v>447</v>
      </c>
    </row>
    <row r="31466" spans="1:3">
      <c r="A31466" s="250">
        <v>73119</v>
      </c>
      <c r="B31466" s="74" t="s">
        <v>15542</v>
      </c>
      <c r="C31466" s="74" t="s">
        <v>447</v>
      </c>
    </row>
    <row r="31467" spans="1:3">
      <c r="A31467" s="250">
        <v>73120</v>
      </c>
      <c r="B31467" s="74" t="s">
        <v>15542</v>
      </c>
      <c r="C31467" s="74" t="s">
        <v>447</v>
      </c>
    </row>
    <row r="31468" spans="1:3">
      <c r="A31468" s="250">
        <v>73121</v>
      </c>
      <c r="B31468" s="74" t="s">
        <v>15542</v>
      </c>
      <c r="C31468" s="74" t="s">
        <v>447</v>
      </c>
    </row>
    <row r="31469" spans="1:3">
      <c r="A31469" s="250">
        <v>73122</v>
      </c>
      <c r="B31469" s="74" t="s">
        <v>15542</v>
      </c>
      <c r="C31469" s="74" t="s">
        <v>447</v>
      </c>
    </row>
    <row r="31470" spans="1:3">
      <c r="A31470" s="250">
        <v>73123</v>
      </c>
      <c r="B31470" s="74" t="s">
        <v>15542</v>
      </c>
      <c r="C31470" s="74" t="s">
        <v>447</v>
      </c>
    </row>
    <row r="31471" spans="1:3">
      <c r="A31471" s="250">
        <v>73124</v>
      </c>
      <c r="B31471" s="74" t="s">
        <v>15542</v>
      </c>
      <c r="C31471" s="74" t="s">
        <v>447</v>
      </c>
    </row>
    <row r="31472" spans="1:3">
      <c r="A31472" s="250">
        <v>73125</v>
      </c>
      <c r="B31472" s="74" t="s">
        <v>15542</v>
      </c>
      <c r="C31472" s="74" t="s">
        <v>447</v>
      </c>
    </row>
    <row r="31473" spans="1:3">
      <c r="A31473" s="250">
        <v>73126</v>
      </c>
      <c r="B31473" s="74" t="s">
        <v>15542</v>
      </c>
      <c r="C31473" s="74" t="s">
        <v>447</v>
      </c>
    </row>
    <row r="31474" spans="1:3">
      <c r="A31474" s="250">
        <v>73127</v>
      </c>
      <c r="B31474" s="74" t="s">
        <v>15542</v>
      </c>
      <c r="C31474" s="74" t="s">
        <v>447</v>
      </c>
    </row>
    <row r="31475" spans="1:3">
      <c r="A31475" s="250">
        <v>73128</v>
      </c>
      <c r="B31475" s="74" t="s">
        <v>15542</v>
      </c>
      <c r="C31475" s="74" t="s">
        <v>447</v>
      </c>
    </row>
    <row r="31476" spans="1:3">
      <c r="A31476" s="250">
        <v>73129</v>
      </c>
      <c r="B31476" s="74" t="s">
        <v>15542</v>
      </c>
      <c r="C31476" s="74" t="s">
        <v>447</v>
      </c>
    </row>
    <row r="31477" spans="1:3">
      <c r="A31477" s="250">
        <v>73130</v>
      </c>
      <c r="B31477" s="74" t="s">
        <v>15542</v>
      </c>
      <c r="C31477" s="74" t="s">
        <v>447</v>
      </c>
    </row>
    <row r="31478" spans="1:3">
      <c r="A31478" s="250">
        <v>73131</v>
      </c>
      <c r="B31478" s="74" t="s">
        <v>15542</v>
      </c>
      <c r="C31478" s="74" t="s">
        <v>447</v>
      </c>
    </row>
    <row r="31479" spans="1:3">
      <c r="A31479" s="250">
        <v>73132</v>
      </c>
      <c r="B31479" s="74" t="s">
        <v>15542</v>
      </c>
      <c r="C31479" s="74" t="s">
        <v>447</v>
      </c>
    </row>
    <row r="31480" spans="1:3">
      <c r="A31480" s="250">
        <v>73134</v>
      </c>
      <c r="B31480" s="74" t="s">
        <v>15542</v>
      </c>
      <c r="C31480" s="74" t="s">
        <v>447</v>
      </c>
    </row>
    <row r="31481" spans="1:3">
      <c r="A31481" s="250">
        <v>73135</v>
      </c>
      <c r="B31481" s="74" t="s">
        <v>15542</v>
      </c>
      <c r="C31481" s="74" t="s">
        <v>447</v>
      </c>
    </row>
    <row r="31482" spans="1:3">
      <c r="A31482" s="250">
        <v>73136</v>
      </c>
      <c r="B31482" s="74" t="s">
        <v>15542</v>
      </c>
      <c r="C31482" s="74" t="s">
        <v>447</v>
      </c>
    </row>
    <row r="31483" spans="1:3">
      <c r="A31483" s="250">
        <v>73137</v>
      </c>
      <c r="B31483" s="74" t="s">
        <v>15542</v>
      </c>
      <c r="C31483" s="74" t="s">
        <v>447</v>
      </c>
    </row>
    <row r="31484" spans="1:3">
      <c r="A31484" s="250">
        <v>73139</v>
      </c>
      <c r="B31484" s="74" t="s">
        <v>15542</v>
      </c>
      <c r="C31484" s="74" t="s">
        <v>447</v>
      </c>
    </row>
    <row r="31485" spans="1:3">
      <c r="A31485" s="250">
        <v>73140</v>
      </c>
      <c r="B31485" s="74" t="s">
        <v>15542</v>
      </c>
      <c r="C31485" s="74" t="s">
        <v>447</v>
      </c>
    </row>
    <row r="31486" spans="1:3">
      <c r="A31486" s="250">
        <v>73141</v>
      </c>
      <c r="B31486" s="74" t="s">
        <v>15542</v>
      </c>
      <c r="C31486" s="74" t="s">
        <v>447</v>
      </c>
    </row>
    <row r="31487" spans="1:3">
      <c r="A31487" s="250">
        <v>73142</v>
      </c>
      <c r="B31487" s="74" t="s">
        <v>15542</v>
      </c>
      <c r="C31487" s="74" t="s">
        <v>447</v>
      </c>
    </row>
    <row r="31488" spans="1:3">
      <c r="A31488" s="250">
        <v>73143</v>
      </c>
      <c r="B31488" s="74" t="s">
        <v>15542</v>
      </c>
      <c r="C31488" s="74" t="s">
        <v>447</v>
      </c>
    </row>
    <row r="31489" spans="1:3">
      <c r="A31489" s="250">
        <v>73144</v>
      </c>
      <c r="B31489" s="74" t="s">
        <v>15542</v>
      </c>
      <c r="C31489" s="74" t="s">
        <v>447</v>
      </c>
    </row>
    <row r="31490" spans="1:3">
      <c r="A31490" s="250">
        <v>73145</v>
      </c>
      <c r="B31490" s="74" t="s">
        <v>15542</v>
      </c>
      <c r="C31490" s="74" t="s">
        <v>447</v>
      </c>
    </row>
    <row r="31491" spans="1:3">
      <c r="A31491" s="250">
        <v>73146</v>
      </c>
      <c r="B31491" s="74" t="s">
        <v>15542</v>
      </c>
      <c r="C31491" s="74" t="s">
        <v>447</v>
      </c>
    </row>
    <row r="31492" spans="1:3">
      <c r="A31492" s="250">
        <v>73147</v>
      </c>
      <c r="B31492" s="74" t="s">
        <v>15542</v>
      </c>
      <c r="C31492" s="74" t="s">
        <v>447</v>
      </c>
    </row>
    <row r="31493" spans="1:3">
      <c r="A31493" s="250">
        <v>73148</v>
      </c>
      <c r="B31493" s="74" t="s">
        <v>15542</v>
      </c>
      <c r="C31493" s="74" t="s">
        <v>447</v>
      </c>
    </row>
    <row r="31494" spans="1:3">
      <c r="A31494" s="250">
        <v>73149</v>
      </c>
      <c r="B31494" s="74" t="s">
        <v>15542</v>
      </c>
      <c r="C31494" s="74" t="s">
        <v>447</v>
      </c>
    </row>
    <row r="31495" spans="1:3">
      <c r="A31495" s="250">
        <v>73150</v>
      </c>
      <c r="B31495" s="74" t="s">
        <v>15542</v>
      </c>
      <c r="C31495" s="74" t="s">
        <v>447</v>
      </c>
    </row>
    <row r="31496" spans="1:3">
      <c r="A31496" s="250">
        <v>73151</v>
      </c>
      <c r="B31496" s="74" t="s">
        <v>15542</v>
      </c>
      <c r="C31496" s="74" t="s">
        <v>447</v>
      </c>
    </row>
    <row r="31497" spans="1:3">
      <c r="A31497" s="250">
        <v>73152</v>
      </c>
      <c r="B31497" s="74" t="s">
        <v>15542</v>
      </c>
      <c r="C31497" s="74" t="s">
        <v>447</v>
      </c>
    </row>
    <row r="31498" spans="1:3">
      <c r="A31498" s="250">
        <v>73153</v>
      </c>
      <c r="B31498" s="74" t="s">
        <v>15542</v>
      </c>
      <c r="C31498" s="74" t="s">
        <v>447</v>
      </c>
    </row>
    <row r="31499" spans="1:3">
      <c r="A31499" s="250">
        <v>73154</v>
      </c>
      <c r="B31499" s="74" t="s">
        <v>15542</v>
      </c>
      <c r="C31499" s="74" t="s">
        <v>447</v>
      </c>
    </row>
    <row r="31500" spans="1:3">
      <c r="A31500" s="250">
        <v>73155</v>
      </c>
      <c r="B31500" s="74" t="s">
        <v>15542</v>
      </c>
      <c r="C31500" s="74" t="s">
        <v>447</v>
      </c>
    </row>
    <row r="31501" spans="1:3">
      <c r="A31501" s="250">
        <v>73156</v>
      </c>
      <c r="B31501" s="74" t="s">
        <v>15542</v>
      </c>
      <c r="C31501" s="74" t="s">
        <v>447</v>
      </c>
    </row>
    <row r="31502" spans="1:3">
      <c r="A31502" s="250">
        <v>73157</v>
      </c>
      <c r="B31502" s="74" t="s">
        <v>15542</v>
      </c>
      <c r="C31502" s="74" t="s">
        <v>447</v>
      </c>
    </row>
    <row r="31503" spans="1:3">
      <c r="A31503" s="250">
        <v>73159</v>
      </c>
      <c r="B31503" s="74" t="s">
        <v>15542</v>
      </c>
      <c r="C31503" s="74" t="s">
        <v>447</v>
      </c>
    </row>
    <row r="31504" spans="1:3">
      <c r="A31504" s="250">
        <v>73160</v>
      </c>
      <c r="B31504" s="74" t="s">
        <v>15542</v>
      </c>
      <c r="C31504" s="74" t="s">
        <v>447</v>
      </c>
    </row>
    <row r="31505" spans="1:3">
      <c r="A31505" s="250">
        <v>73162</v>
      </c>
      <c r="B31505" s="74" t="s">
        <v>15542</v>
      </c>
      <c r="C31505" s="74" t="s">
        <v>447</v>
      </c>
    </row>
    <row r="31506" spans="1:3">
      <c r="A31506" s="250">
        <v>73163</v>
      </c>
      <c r="B31506" s="74" t="s">
        <v>15542</v>
      </c>
      <c r="C31506" s="74" t="s">
        <v>447</v>
      </c>
    </row>
    <row r="31507" spans="1:3">
      <c r="A31507" s="250">
        <v>73164</v>
      </c>
      <c r="B31507" s="74" t="s">
        <v>15542</v>
      </c>
      <c r="C31507" s="74" t="s">
        <v>447</v>
      </c>
    </row>
    <row r="31508" spans="1:3">
      <c r="A31508" s="250">
        <v>73165</v>
      </c>
      <c r="B31508" s="74" t="s">
        <v>15542</v>
      </c>
      <c r="C31508" s="74" t="s">
        <v>447</v>
      </c>
    </row>
    <row r="31509" spans="1:3">
      <c r="A31509" s="250">
        <v>73167</v>
      </c>
      <c r="B31509" s="74" t="s">
        <v>15542</v>
      </c>
      <c r="C31509" s="74" t="s">
        <v>447</v>
      </c>
    </row>
    <row r="31510" spans="1:3">
      <c r="A31510" s="250">
        <v>73169</v>
      </c>
      <c r="B31510" s="74" t="s">
        <v>15542</v>
      </c>
      <c r="C31510" s="74" t="s">
        <v>447</v>
      </c>
    </row>
    <row r="31511" spans="1:3">
      <c r="A31511" s="250">
        <v>73170</v>
      </c>
      <c r="B31511" s="74" t="s">
        <v>15542</v>
      </c>
      <c r="C31511" s="74" t="s">
        <v>447</v>
      </c>
    </row>
    <row r="31512" spans="1:3">
      <c r="A31512" s="250">
        <v>73172</v>
      </c>
      <c r="B31512" s="74" t="s">
        <v>15542</v>
      </c>
      <c r="C31512" s="74" t="s">
        <v>447</v>
      </c>
    </row>
    <row r="31513" spans="1:3">
      <c r="A31513" s="250">
        <v>73173</v>
      </c>
      <c r="B31513" s="74" t="s">
        <v>15542</v>
      </c>
      <c r="C31513" s="74" t="s">
        <v>447</v>
      </c>
    </row>
    <row r="31514" spans="1:3">
      <c r="A31514" s="250">
        <v>73178</v>
      </c>
      <c r="B31514" s="74" t="s">
        <v>15542</v>
      </c>
      <c r="C31514" s="74" t="s">
        <v>447</v>
      </c>
    </row>
    <row r="31515" spans="1:3">
      <c r="A31515" s="250">
        <v>73179</v>
      </c>
      <c r="B31515" s="74" t="s">
        <v>15542</v>
      </c>
      <c r="C31515" s="74" t="s">
        <v>447</v>
      </c>
    </row>
    <row r="31516" spans="1:3">
      <c r="A31516" s="250">
        <v>73184</v>
      </c>
      <c r="B31516" s="74" t="s">
        <v>15542</v>
      </c>
      <c r="C31516" s="74" t="s">
        <v>447</v>
      </c>
    </row>
    <row r="31517" spans="1:3">
      <c r="A31517" s="250">
        <v>73185</v>
      </c>
      <c r="B31517" s="74" t="s">
        <v>15542</v>
      </c>
      <c r="C31517" s="74" t="s">
        <v>447</v>
      </c>
    </row>
    <row r="31518" spans="1:3">
      <c r="A31518" s="250">
        <v>73189</v>
      </c>
      <c r="B31518" s="74" t="s">
        <v>15542</v>
      </c>
      <c r="C31518" s="74" t="s">
        <v>447</v>
      </c>
    </row>
    <row r="31519" spans="1:3">
      <c r="A31519" s="250">
        <v>73190</v>
      </c>
      <c r="B31519" s="74" t="s">
        <v>15542</v>
      </c>
      <c r="C31519" s="74" t="s">
        <v>447</v>
      </c>
    </row>
    <row r="31520" spans="1:3">
      <c r="A31520" s="250">
        <v>73193</v>
      </c>
      <c r="B31520" s="74" t="s">
        <v>15542</v>
      </c>
      <c r="C31520" s="74" t="s">
        <v>447</v>
      </c>
    </row>
    <row r="31521" spans="1:3">
      <c r="A31521" s="250">
        <v>73194</v>
      </c>
      <c r="B31521" s="74" t="s">
        <v>15542</v>
      </c>
      <c r="C31521" s="74" t="s">
        <v>447</v>
      </c>
    </row>
    <row r="31522" spans="1:3">
      <c r="A31522" s="250">
        <v>73195</v>
      </c>
      <c r="B31522" s="74" t="s">
        <v>15542</v>
      </c>
      <c r="C31522" s="74" t="s">
        <v>447</v>
      </c>
    </row>
    <row r="31523" spans="1:3">
      <c r="A31523" s="250">
        <v>73196</v>
      </c>
      <c r="B31523" s="74" t="s">
        <v>15542</v>
      </c>
      <c r="C31523" s="74" t="s">
        <v>447</v>
      </c>
    </row>
    <row r="31524" spans="1:3">
      <c r="A31524" s="250">
        <v>73197</v>
      </c>
      <c r="B31524" s="74" t="s">
        <v>15542</v>
      </c>
      <c r="C31524" s="74" t="s">
        <v>447</v>
      </c>
    </row>
    <row r="31525" spans="1:3">
      <c r="A31525" s="250">
        <v>73198</v>
      </c>
      <c r="B31525" s="74" t="s">
        <v>15542</v>
      </c>
      <c r="C31525" s="74" t="s">
        <v>447</v>
      </c>
    </row>
    <row r="31526" spans="1:3">
      <c r="A31526" s="250">
        <v>73199</v>
      </c>
      <c r="B31526" s="74" t="s">
        <v>15542</v>
      </c>
      <c r="C31526" s="74" t="s">
        <v>447</v>
      </c>
    </row>
    <row r="31527" spans="1:3">
      <c r="A31527" s="250">
        <v>73301</v>
      </c>
      <c r="B31527" s="74" t="s">
        <v>4587</v>
      </c>
      <c r="C31527" s="74" t="s">
        <v>453</v>
      </c>
    </row>
    <row r="31528" spans="1:3">
      <c r="A31528" s="250">
        <v>73344</v>
      </c>
      <c r="B31528" s="74" t="s">
        <v>4587</v>
      </c>
      <c r="C31528" s="74" t="s">
        <v>453</v>
      </c>
    </row>
    <row r="31529" spans="1:3">
      <c r="A31529" s="250">
        <v>73401</v>
      </c>
      <c r="B31529" s="74" t="s">
        <v>5311</v>
      </c>
      <c r="C31529" s="74" t="s">
        <v>447</v>
      </c>
    </row>
    <row r="31530" spans="1:3">
      <c r="A31530" s="250">
        <v>73402</v>
      </c>
      <c r="B31530" s="74" t="s">
        <v>5311</v>
      </c>
      <c r="C31530" s="74" t="s">
        <v>447</v>
      </c>
    </row>
    <row r="31531" spans="1:3">
      <c r="A31531" s="250">
        <v>73403</v>
      </c>
      <c r="B31531" s="74" t="s">
        <v>5311</v>
      </c>
      <c r="C31531" s="74" t="s">
        <v>447</v>
      </c>
    </row>
    <row r="31532" spans="1:3">
      <c r="A31532" s="250">
        <v>73425</v>
      </c>
      <c r="B31532" s="74" t="s">
        <v>15543</v>
      </c>
      <c r="C31532" s="74" t="s">
        <v>447</v>
      </c>
    </row>
    <row r="31533" spans="1:3">
      <c r="A31533" s="250">
        <v>73430</v>
      </c>
      <c r="B31533" s="74" t="s">
        <v>15544</v>
      </c>
      <c r="C31533" s="74" t="s">
        <v>447</v>
      </c>
    </row>
    <row r="31534" spans="1:3">
      <c r="A31534" s="250">
        <v>73432</v>
      </c>
      <c r="B31534" s="74" t="s">
        <v>8461</v>
      </c>
      <c r="C31534" s="74" t="s">
        <v>447</v>
      </c>
    </row>
    <row r="31535" spans="1:3">
      <c r="A31535" s="250">
        <v>73433</v>
      </c>
      <c r="B31535" s="74" t="s">
        <v>15545</v>
      </c>
      <c r="C31535" s="74" t="s">
        <v>447</v>
      </c>
    </row>
    <row r="31536" spans="1:3">
      <c r="A31536" s="250">
        <v>73434</v>
      </c>
      <c r="B31536" s="74" t="s">
        <v>1106</v>
      </c>
      <c r="C31536" s="74" t="s">
        <v>447</v>
      </c>
    </row>
    <row r="31537" spans="1:3">
      <c r="A31537" s="250">
        <v>73435</v>
      </c>
      <c r="B31537" s="74" t="s">
        <v>15283</v>
      </c>
      <c r="C31537" s="74" t="s">
        <v>447</v>
      </c>
    </row>
    <row r="31538" spans="1:3">
      <c r="A31538" s="250">
        <v>73436</v>
      </c>
      <c r="B31538" s="74" t="s">
        <v>15546</v>
      </c>
      <c r="C31538" s="74" t="s">
        <v>447</v>
      </c>
    </row>
    <row r="31539" spans="1:3">
      <c r="A31539" s="250">
        <v>73437</v>
      </c>
      <c r="B31539" s="74" t="s">
        <v>7098</v>
      </c>
      <c r="C31539" s="74" t="s">
        <v>447</v>
      </c>
    </row>
    <row r="31540" spans="1:3">
      <c r="A31540" s="250">
        <v>73438</v>
      </c>
      <c r="B31540" s="74" t="s">
        <v>15547</v>
      </c>
      <c r="C31540" s="74" t="s">
        <v>447</v>
      </c>
    </row>
    <row r="31541" spans="1:3">
      <c r="A31541" s="250">
        <v>73439</v>
      </c>
      <c r="B31541" s="74" t="s">
        <v>957</v>
      </c>
      <c r="C31541" s="74" t="s">
        <v>447</v>
      </c>
    </row>
    <row r="31542" spans="1:3">
      <c r="A31542" s="250">
        <v>73440</v>
      </c>
      <c r="B31542" s="74" t="s">
        <v>1280</v>
      </c>
      <c r="C31542" s="74" t="s">
        <v>447</v>
      </c>
    </row>
    <row r="31543" spans="1:3">
      <c r="A31543" s="250">
        <v>73441</v>
      </c>
      <c r="B31543" s="74" t="s">
        <v>3872</v>
      </c>
      <c r="C31543" s="74" t="s">
        <v>447</v>
      </c>
    </row>
    <row r="31544" spans="1:3">
      <c r="A31544" s="250">
        <v>73442</v>
      </c>
      <c r="B31544" s="74" t="s">
        <v>15548</v>
      </c>
      <c r="C31544" s="74" t="s">
        <v>447</v>
      </c>
    </row>
    <row r="31545" spans="1:3">
      <c r="A31545" s="250">
        <v>73443</v>
      </c>
      <c r="B31545" s="74" t="s">
        <v>15549</v>
      </c>
      <c r="C31545" s="74" t="s">
        <v>447</v>
      </c>
    </row>
    <row r="31546" spans="1:3">
      <c r="A31546" s="250">
        <v>73444</v>
      </c>
      <c r="B31546" s="74" t="s">
        <v>13660</v>
      </c>
      <c r="C31546" s="74" t="s">
        <v>447</v>
      </c>
    </row>
    <row r="31547" spans="1:3">
      <c r="A31547" s="250">
        <v>73446</v>
      </c>
      <c r="B31547" s="74" t="s">
        <v>15550</v>
      </c>
      <c r="C31547" s="74" t="s">
        <v>447</v>
      </c>
    </row>
    <row r="31548" spans="1:3">
      <c r="A31548" s="250">
        <v>73447</v>
      </c>
      <c r="B31548" s="74" t="s">
        <v>3564</v>
      </c>
      <c r="C31548" s="74" t="s">
        <v>447</v>
      </c>
    </row>
    <row r="31549" spans="1:3">
      <c r="A31549" s="250">
        <v>73448</v>
      </c>
      <c r="B31549" s="74" t="s">
        <v>3385</v>
      </c>
      <c r="C31549" s="74" t="s">
        <v>447</v>
      </c>
    </row>
    <row r="31550" spans="1:3">
      <c r="A31550" s="250">
        <v>73449</v>
      </c>
      <c r="B31550" s="74" t="s">
        <v>14735</v>
      </c>
      <c r="C31550" s="74" t="s">
        <v>447</v>
      </c>
    </row>
    <row r="31551" spans="1:3">
      <c r="A31551" s="250">
        <v>73450</v>
      </c>
      <c r="B31551" s="74" t="s">
        <v>9946</v>
      </c>
      <c r="C31551" s="74" t="s">
        <v>447</v>
      </c>
    </row>
    <row r="31552" spans="1:3">
      <c r="A31552" s="250">
        <v>73451</v>
      </c>
      <c r="B31552" s="74" t="s">
        <v>5311</v>
      </c>
      <c r="C31552" s="74" t="s">
        <v>447</v>
      </c>
    </row>
    <row r="31553" spans="1:3">
      <c r="A31553" s="250">
        <v>73453</v>
      </c>
      <c r="B31553" s="74" t="s">
        <v>14537</v>
      </c>
      <c r="C31553" s="74" t="s">
        <v>447</v>
      </c>
    </row>
    <row r="31554" spans="1:3">
      <c r="A31554" s="250">
        <v>73454</v>
      </c>
      <c r="B31554" s="74" t="s">
        <v>5311</v>
      </c>
      <c r="C31554" s="74" t="s">
        <v>447</v>
      </c>
    </row>
    <row r="31555" spans="1:3">
      <c r="A31555" s="250">
        <v>73455</v>
      </c>
      <c r="B31555" s="74" t="s">
        <v>15551</v>
      </c>
      <c r="C31555" s="74" t="s">
        <v>447</v>
      </c>
    </row>
    <row r="31556" spans="1:3">
      <c r="A31556" s="250">
        <v>73456</v>
      </c>
      <c r="B31556" s="74" t="s">
        <v>13363</v>
      </c>
      <c r="C31556" s="74" t="s">
        <v>447</v>
      </c>
    </row>
    <row r="31557" spans="1:3">
      <c r="A31557" s="250">
        <v>73458</v>
      </c>
      <c r="B31557" s="74" t="s">
        <v>15552</v>
      </c>
      <c r="C31557" s="74" t="s">
        <v>447</v>
      </c>
    </row>
    <row r="31558" spans="1:3">
      <c r="A31558" s="250">
        <v>73459</v>
      </c>
      <c r="B31558" s="74" t="s">
        <v>15553</v>
      </c>
      <c r="C31558" s="74" t="s">
        <v>447</v>
      </c>
    </row>
    <row r="31559" spans="1:3">
      <c r="A31559" s="250">
        <v>73460</v>
      </c>
      <c r="B31559" s="74" t="s">
        <v>9374</v>
      </c>
      <c r="C31559" s="74" t="s">
        <v>447</v>
      </c>
    </row>
    <row r="31560" spans="1:3">
      <c r="A31560" s="250">
        <v>73461</v>
      </c>
      <c r="B31560" s="74" t="s">
        <v>15554</v>
      </c>
      <c r="C31560" s="74" t="s">
        <v>447</v>
      </c>
    </row>
    <row r="31561" spans="1:3">
      <c r="A31561" s="250">
        <v>73463</v>
      </c>
      <c r="B31561" s="74" t="s">
        <v>3748</v>
      </c>
      <c r="C31561" s="74" t="s">
        <v>447</v>
      </c>
    </row>
    <row r="31562" spans="1:3">
      <c r="A31562" s="250">
        <v>73481</v>
      </c>
      <c r="B31562" s="74" t="s">
        <v>15555</v>
      </c>
      <c r="C31562" s="74" t="s">
        <v>447</v>
      </c>
    </row>
    <row r="31563" spans="1:3">
      <c r="A31563" s="250">
        <v>73487</v>
      </c>
      <c r="B31563" s="74" t="s">
        <v>15556</v>
      </c>
      <c r="C31563" s="74" t="s">
        <v>447</v>
      </c>
    </row>
    <row r="31564" spans="1:3">
      <c r="A31564" s="250">
        <v>73488</v>
      </c>
      <c r="B31564" s="74" t="s">
        <v>15557</v>
      </c>
      <c r="C31564" s="74" t="s">
        <v>447</v>
      </c>
    </row>
    <row r="31565" spans="1:3">
      <c r="A31565" s="250">
        <v>73491</v>
      </c>
      <c r="B31565" s="74" t="s">
        <v>15558</v>
      </c>
      <c r="C31565" s="74" t="s">
        <v>447</v>
      </c>
    </row>
    <row r="31566" spans="1:3">
      <c r="A31566" s="250">
        <v>73501</v>
      </c>
      <c r="B31566" s="74" t="s">
        <v>5243</v>
      </c>
      <c r="C31566" s="74" t="s">
        <v>447</v>
      </c>
    </row>
    <row r="31567" spans="1:3">
      <c r="A31567" s="250">
        <v>73502</v>
      </c>
      <c r="B31567" s="74" t="s">
        <v>5243</v>
      </c>
      <c r="C31567" s="74" t="s">
        <v>447</v>
      </c>
    </row>
    <row r="31568" spans="1:3">
      <c r="A31568" s="250">
        <v>73503</v>
      </c>
      <c r="B31568" s="74" t="s">
        <v>15559</v>
      </c>
      <c r="C31568" s="74" t="s">
        <v>447</v>
      </c>
    </row>
    <row r="31569" spans="1:3">
      <c r="A31569" s="250">
        <v>73505</v>
      </c>
      <c r="B31569" s="74" t="s">
        <v>5243</v>
      </c>
      <c r="C31569" s="74" t="s">
        <v>447</v>
      </c>
    </row>
    <row r="31570" spans="1:3">
      <c r="A31570" s="250">
        <v>73506</v>
      </c>
      <c r="B31570" s="74" t="s">
        <v>5243</v>
      </c>
      <c r="C31570" s="74" t="s">
        <v>447</v>
      </c>
    </row>
    <row r="31571" spans="1:3">
      <c r="A31571" s="250">
        <v>73507</v>
      </c>
      <c r="B31571" s="74" t="s">
        <v>5243</v>
      </c>
      <c r="C31571" s="74" t="s">
        <v>447</v>
      </c>
    </row>
    <row r="31572" spans="1:3">
      <c r="A31572" s="250">
        <v>73520</v>
      </c>
      <c r="B31572" s="74" t="s">
        <v>15560</v>
      </c>
      <c r="C31572" s="74" t="s">
        <v>447</v>
      </c>
    </row>
    <row r="31573" spans="1:3">
      <c r="A31573" s="250">
        <v>73521</v>
      </c>
      <c r="B31573" s="74" t="s">
        <v>15489</v>
      </c>
      <c r="C31573" s="74" t="s">
        <v>447</v>
      </c>
    </row>
    <row r="31574" spans="1:3">
      <c r="A31574" s="250">
        <v>73522</v>
      </c>
      <c r="B31574" s="74" t="s">
        <v>15489</v>
      </c>
      <c r="C31574" s="74" t="s">
        <v>447</v>
      </c>
    </row>
    <row r="31575" spans="1:3">
      <c r="A31575" s="250">
        <v>73523</v>
      </c>
      <c r="B31575" s="74" t="s">
        <v>15561</v>
      </c>
      <c r="C31575" s="74" t="s">
        <v>447</v>
      </c>
    </row>
    <row r="31576" spans="1:3">
      <c r="A31576" s="250">
        <v>73526</v>
      </c>
      <c r="B31576" s="74" t="s">
        <v>6578</v>
      </c>
      <c r="C31576" s="74" t="s">
        <v>447</v>
      </c>
    </row>
    <row r="31577" spans="1:3">
      <c r="A31577" s="250">
        <v>73527</v>
      </c>
      <c r="B31577" s="74" t="s">
        <v>15562</v>
      </c>
      <c r="C31577" s="74" t="s">
        <v>447</v>
      </c>
    </row>
    <row r="31578" spans="1:3">
      <c r="A31578" s="250">
        <v>73528</v>
      </c>
      <c r="B31578" s="74" t="s">
        <v>9091</v>
      </c>
      <c r="C31578" s="74" t="s">
        <v>447</v>
      </c>
    </row>
    <row r="31579" spans="1:3">
      <c r="A31579" s="250">
        <v>73529</v>
      </c>
      <c r="B31579" s="74" t="s">
        <v>15563</v>
      </c>
      <c r="C31579" s="74" t="s">
        <v>447</v>
      </c>
    </row>
    <row r="31580" spans="1:3">
      <c r="A31580" s="250">
        <v>73530</v>
      </c>
      <c r="B31580" s="74" t="s">
        <v>7299</v>
      </c>
      <c r="C31580" s="74" t="s">
        <v>447</v>
      </c>
    </row>
    <row r="31581" spans="1:3">
      <c r="A31581" s="250">
        <v>73531</v>
      </c>
      <c r="B31581" s="74" t="s">
        <v>15564</v>
      </c>
      <c r="C31581" s="74" t="s">
        <v>447</v>
      </c>
    </row>
    <row r="31582" spans="1:3">
      <c r="A31582" s="250">
        <v>73532</v>
      </c>
      <c r="B31582" s="74" t="s">
        <v>14394</v>
      </c>
      <c r="C31582" s="74" t="s">
        <v>447</v>
      </c>
    </row>
    <row r="31583" spans="1:3">
      <c r="A31583" s="250">
        <v>73533</v>
      </c>
      <c r="B31583" s="74" t="s">
        <v>7669</v>
      </c>
      <c r="C31583" s="74" t="s">
        <v>447</v>
      </c>
    </row>
    <row r="31584" spans="1:3">
      <c r="A31584" s="250">
        <v>73534</v>
      </c>
      <c r="B31584" s="74" t="s">
        <v>7669</v>
      </c>
      <c r="C31584" s="74" t="s">
        <v>447</v>
      </c>
    </row>
    <row r="31585" spans="1:3">
      <c r="A31585" s="250">
        <v>73536</v>
      </c>
      <c r="B31585" s="74" t="s">
        <v>7669</v>
      </c>
      <c r="C31585" s="74" t="s">
        <v>447</v>
      </c>
    </row>
    <row r="31586" spans="1:3">
      <c r="A31586" s="250">
        <v>73537</v>
      </c>
      <c r="B31586" s="74" t="s">
        <v>10497</v>
      </c>
      <c r="C31586" s="74" t="s">
        <v>447</v>
      </c>
    </row>
    <row r="31587" spans="1:3">
      <c r="A31587" s="250">
        <v>73538</v>
      </c>
      <c r="B31587" s="74" t="s">
        <v>4511</v>
      </c>
      <c r="C31587" s="74" t="s">
        <v>447</v>
      </c>
    </row>
    <row r="31588" spans="1:3">
      <c r="A31588" s="250">
        <v>73539</v>
      </c>
      <c r="B31588" s="74" t="s">
        <v>2481</v>
      </c>
      <c r="C31588" s="74" t="s">
        <v>447</v>
      </c>
    </row>
    <row r="31589" spans="1:3">
      <c r="A31589" s="250">
        <v>73540</v>
      </c>
      <c r="B31589" s="74" t="s">
        <v>15565</v>
      </c>
      <c r="C31589" s="74" t="s">
        <v>447</v>
      </c>
    </row>
    <row r="31590" spans="1:3">
      <c r="A31590" s="250">
        <v>73541</v>
      </c>
      <c r="B31590" s="74" t="s">
        <v>7550</v>
      </c>
      <c r="C31590" s="74" t="s">
        <v>447</v>
      </c>
    </row>
    <row r="31591" spans="1:3">
      <c r="A31591" s="250">
        <v>73542</v>
      </c>
      <c r="B31591" s="74" t="s">
        <v>5417</v>
      </c>
      <c r="C31591" s="74" t="s">
        <v>447</v>
      </c>
    </row>
    <row r="31592" spans="1:3">
      <c r="A31592" s="250">
        <v>73543</v>
      </c>
      <c r="B31592" s="74" t="s">
        <v>15566</v>
      </c>
      <c r="C31592" s="74" t="s">
        <v>447</v>
      </c>
    </row>
    <row r="31593" spans="1:3">
      <c r="A31593" s="250">
        <v>73544</v>
      </c>
      <c r="B31593" s="74" t="s">
        <v>15202</v>
      </c>
      <c r="C31593" s="74" t="s">
        <v>447</v>
      </c>
    </row>
    <row r="31594" spans="1:3">
      <c r="A31594" s="250">
        <v>73546</v>
      </c>
      <c r="B31594" s="74" t="s">
        <v>15567</v>
      </c>
      <c r="C31594" s="74" t="s">
        <v>447</v>
      </c>
    </row>
    <row r="31595" spans="1:3">
      <c r="A31595" s="250">
        <v>73547</v>
      </c>
      <c r="B31595" s="74" t="s">
        <v>15568</v>
      </c>
      <c r="C31595" s="74" t="s">
        <v>447</v>
      </c>
    </row>
    <row r="31596" spans="1:3">
      <c r="A31596" s="250">
        <v>73548</v>
      </c>
      <c r="B31596" s="74" t="s">
        <v>3368</v>
      </c>
      <c r="C31596" s="74" t="s">
        <v>447</v>
      </c>
    </row>
    <row r="31597" spans="1:3">
      <c r="A31597" s="250">
        <v>73549</v>
      </c>
      <c r="B31597" s="74" t="s">
        <v>15569</v>
      </c>
      <c r="C31597" s="74" t="s">
        <v>447</v>
      </c>
    </row>
    <row r="31598" spans="1:3">
      <c r="A31598" s="250">
        <v>73550</v>
      </c>
      <c r="B31598" s="74" t="s">
        <v>1160</v>
      </c>
      <c r="C31598" s="74" t="s">
        <v>447</v>
      </c>
    </row>
    <row r="31599" spans="1:3">
      <c r="A31599" s="250">
        <v>73551</v>
      </c>
      <c r="B31599" s="74" t="s">
        <v>7198</v>
      </c>
      <c r="C31599" s="74" t="s">
        <v>447</v>
      </c>
    </row>
    <row r="31600" spans="1:3">
      <c r="A31600" s="250">
        <v>73552</v>
      </c>
      <c r="B31600" s="74" t="s">
        <v>15570</v>
      </c>
      <c r="C31600" s="74" t="s">
        <v>447</v>
      </c>
    </row>
    <row r="31601" spans="1:3">
      <c r="A31601" s="250">
        <v>73553</v>
      </c>
      <c r="B31601" s="74" t="s">
        <v>10475</v>
      </c>
      <c r="C31601" s="74" t="s">
        <v>447</v>
      </c>
    </row>
    <row r="31602" spans="1:3">
      <c r="A31602" s="250">
        <v>73554</v>
      </c>
      <c r="B31602" s="74" t="s">
        <v>15571</v>
      </c>
      <c r="C31602" s="74" t="s">
        <v>447</v>
      </c>
    </row>
    <row r="31603" spans="1:3">
      <c r="A31603" s="250">
        <v>73555</v>
      </c>
      <c r="B31603" s="74" t="s">
        <v>10026</v>
      </c>
      <c r="C31603" s="74" t="s">
        <v>447</v>
      </c>
    </row>
    <row r="31604" spans="1:3">
      <c r="A31604" s="250">
        <v>73556</v>
      </c>
      <c r="B31604" s="74" t="s">
        <v>9753</v>
      </c>
      <c r="C31604" s="74" t="s">
        <v>447</v>
      </c>
    </row>
    <row r="31605" spans="1:3">
      <c r="A31605" s="250">
        <v>73557</v>
      </c>
      <c r="B31605" s="74" t="s">
        <v>15572</v>
      </c>
      <c r="C31605" s="74" t="s">
        <v>447</v>
      </c>
    </row>
    <row r="31606" spans="1:3">
      <c r="A31606" s="250">
        <v>73558</v>
      </c>
      <c r="B31606" s="74" t="s">
        <v>15573</v>
      </c>
      <c r="C31606" s="74" t="s">
        <v>447</v>
      </c>
    </row>
    <row r="31607" spans="1:3">
      <c r="A31607" s="250">
        <v>73559</v>
      </c>
      <c r="B31607" s="74" t="s">
        <v>15574</v>
      </c>
      <c r="C31607" s="74" t="s">
        <v>447</v>
      </c>
    </row>
    <row r="31608" spans="1:3">
      <c r="A31608" s="250">
        <v>73560</v>
      </c>
      <c r="B31608" s="74" t="s">
        <v>8230</v>
      </c>
      <c r="C31608" s="74" t="s">
        <v>447</v>
      </c>
    </row>
    <row r="31609" spans="1:3">
      <c r="A31609" s="250">
        <v>73561</v>
      </c>
      <c r="B31609" s="74" t="s">
        <v>15072</v>
      </c>
      <c r="C31609" s="74" t="s">
        <v>447</v>
      </c>
    </row>
    <row r="31610" spans="1:3">
      <c r="A31610" s="250">
        <v>73562</v>
      </c>
      <c r="B31610" s="74" t="s">
        <v>15575</v>
      </c>
      <c r="C31610" s="74" t="s">
        <v>447</v>
      </c>
    </row>
    <row r="31611" spans="1:3">
      <c r="A31611" s="250">
        <v>73564</v>
      </c>
      <c r="B31611" s="74" t="s">
        <v>2525</v>
      </c>
      <c r="C31611" s="74" t="s">
        <v>447</v>
      </c>
    </row>
    <row r="31612" spans="1:3">
      <c r="A31612" s="250">
        <v>73565</v>
      </c>
      <c r="B31612" s="74" t="s">
        <v>11866</v>
      </c>
      <c r="C31612" s="74" t="s">
        <v>447</v>
      </c>
    </row>
    <row r="31613" spans="1:3">
      <c r="A31613" s="250">
        <v>73566</v>
      </c>
      <c r="B31613" s="74" t="s">
        <v>14806</v>
      </c>
      <c r="C31613" s="74" t="s">
        <v>447</v>
      </c>
    </row>
    <row r="31614" spans="1:3">
      <c r="A31614" s="250">
        <v>73567</v>
      </c>
      <c r="B31614" s="74" t="s">
        <v>763</v>
      </c>
      <c r="C31614" s="74" t="s">
        <v>447</v>
      </c>
    </row>
    <row r="31615" spans="1:3">
      <c r="A31615" s="250">
        <v>73568</v>
      </c>
      <c r="B31615" s="74" t="s">
        <v>1172</v>
      </c>
      <c r="C31615" s="74" t="s">
        <v>447</v>
      </c>
    </row>
    <row r="31616" spans="1:3">
      <c r="A31616" s="250">
        <v>73569</v>
      </c>
      <c r="B31616" s="74" t="s">
        <v>15576</v>
      </c>
      <c r="C31616" s="74" t="s">
        <v>447</v>
      </c>
    </row>
    <row r="31617" spans="1:3">
      <c r="A31617" s="250">
        <v>73570</v>
      </c>
      <c r="B31617" s="74" t="s">
        <v>4581</v>
      </c>
      <c r="C31617" s="74" t="s">
        <v>447</v>
      </c>
    </row>
    <row r="31618" spans="1:3">
      <c r="A31618" s="250">
        <v>73571</v>
      </c>
      <c r="B31618" s="74" t="s">
        <v>15577</v>
      </c>
      <c r="C31618" s="74" t="s">
        <v>447</v>
      </c>
    </row>
    <row r="31619" spans="1:3">
      <c r="A31619" s="250">
        <v>73572</v>
      </c>
      <c r="B31619" s="74" t="s">
        <v>15578</v>
      </c>
      <c r="C31619" s="74" t="s">
        <v>447</v>
      </c>
    </row>
    <row r="31620" spans="1:3">
      <c r="A31620" s="250">
        <v>73573</v>
      </c>
      <c r="B31620" s="74" t="s">
        <v>15579</v>
      </c>
      <c r="C31620" s="74" t="s">
        <v>447</v>
      </c>
    </row>
    <row r="31621" spans="1:3">
      <c r="A31621" s="250">
        <v>73601</v>
      </c>
      <c r="B31621" s="74" t="s">
        <v>732</v>
      </c>
      <c r="C31621" s="74" t="s">
        <v>447</v>
      </c>
    </row>
    <row r="31622" spans="1:3">
      <c r="A31622" s="250">
        <v>73620</v>
      </c>
      <c r="B31622" s="74" t="s">
        <v>15580</v>
      </c>
      <c r="C31622" s="74" t="s">
        <v>447</v>
      </c>
    </row>
    <row r="31623" spans="1:3">
      <c r="A31623" s="250">
        <v>73622</v>
      </c>
      <c r="B31623" s="74" t="s">
        <v>15581</v>
      </c>
      <c r="C31623" s="74" t="s">
        <v>447</v>
      </c>
    </row>
    <row r="31624" spans="1:3">
      <c r="A31624" s="250">
        <v>73624</v>
      </c>
      <c r="B31624" s="74" t="s">
        <v>15582</v>
      </c>
      <c r="C31624" s="74" t="s">
        <v>447</v>
      </c>
    </row>
    <row r="31625" spans="1:3">
      <c r="A31625" s="250">
        <v>73625</v>
      </c>
      <c r="B31625" s="74" t="s">
        <v>2183</v>
      </c>
      <c r="C31625" s="74" t="s">
        <v>447</v>
      </c>
    </row>
    <row r="31626" spans="1:3">
      <c r="A31626" s="250">
        <v>73626</v>
      </c>
      <c r="B31626" s="74" t="s">
        <v>15583</v>
      </c>
      <c r="C31626" s="74" t="s">
        <v>447</v>
      </c>
    </row>
    <row r="31627" spans="1:3">
      <c r="A31627" s="250">
        <v>73627</v>
      </c>
      <c r="B31627" s="74" t="s">
        <v>9747</v>
      </c>
      <c r="C31627" s="74" t="s">
        <v>447</v>
      </c>
    </row>
    <row r="31628" spans="1:3">
      <c r="A31628" s="250">
        <v>73628</v>
      </c>
      <c r="B31628" s="74" t="s">
        <v>15584</v>
      </c>
      <c r="C31628" s="74" t="s">
        <v>447</v>
      </c>
    </row>
    <row r="31629" spans="1:3">
      <c r="A31629" s="250">
        <v>73632</v>
      </c>
      <c r="B31629" s="74" t="s">
        <v>15585</v>
      </c>
      <c r="C31629" s="74" t="s">
        <v>447</v>
      </c>
    </row>
    <row r="31630" spans="1:3">
      <c r="A31630" s="250">
        <v>73638</v>
      </c>
      <c r="B31630" s="74" t="s">
        <v>6935</v>
      </c>
      <c r="C31630" s="74" t="s">
        <v>447</v>
      </c>
    </row>
    <row r="31631" spans="1:3">
      <c r="A31631" s="250">
        <v>73639</v>
      </c>
      <c r="B31631" s="74" t="s">
        <v>4589</v>
      </c>
      <c r="C31631" s="74" t="s">
        <v>447</v>
      </c>
    </row>
    <row r="31632" spans="1:3">
      <c r="A31632" s="250">
        <v>73641</v>
      </c>
      <c r="B31632" s="74" t="s">
        <v>15586</v>
      </c>
      <c r="C31632" s="74" t="s">
        <v>447</v>
      </c>
    </row>
    <row r="31633" spans="1:3">
      <c r="A31633" s="250">
        <v>73642</v>
      </c>
      <c r="B31633" s="74" t="s">
        <v>1304</v>
      </c>
      <c r="C31633" s="74" t="s">
        <v>447</v>
      </c>
    </row>
    <row r="31634" spans="1:3">
      <c r="A31634" s="250">
        <v>73644</v>
      </c>
      <c r="B31634" s="74" t="s">
        <v>14628</v>
      </c>
      <c r="C31634" s="74" t="s">
        <v>447</v>
      </c>
    </row>
    <row r="31635" spans="1:3">
      <c r="A31635" s="250">
        <v>73645</v>
      </c>
      <c r="B31635" s="74" t="s">
        <v>15587</v>
      </c>
      <c r="C31635" s="74" t="s">
        <v>447</v>
      </c>
    </row>
    <row r="31636" spans="1:3">
      <c r="A31636" s="250">
        <v>73646</v>
      </c>
      <c r="B31636" s="74" t="s">
        <v>15588</v>
      </c>
      <c r="C31636" s="74" t="s">
        <v>447</v>
      </c>
    </row>
    <row r="31637" spans="1:3">
      <c r="A31637" s="250">
        <v>73647</v>
      </c>
      <c r="B31637" s="74" t="s">
        <v>15589</v>
      </c>
      <c r="C31637" s="74" t="s">
        <v>447</v>
      </c>
    </row>
    <row r="31638" spans="1:3">
      <c r="A31638" s="250">
        <v>73648</v>
      </c>
      <c r="B31638" s="74" t="s">
        <v>14628</v>
      </c>
      <c r="C31638" s="74" t="s">
        <v>447</v>
      </c>
    </row>
    <row r="31639" spans="1:3">
      <c r="A31639" s="250">
        <v>73650</v>
      </c>
      <c r="B31639" s="74" t="s">
        <v>15590</v>
      </c>
      <c r="C31639" s="74" t="s">
        <v>447</v>
      </c>
    </row>
    <row r="31640" spans="1:3">
      <c r="A31640" s="250">
        <v>73651</v>
      </c>
      <c r="B31640" s="74" t="s">
        <v>3622</v>
      </c>
      <c r="C31640" s="74" t="s">
        <v>447</v>
      </c>
    </row>
    <row r="31641" spans="1:3">
      <c r="A31641" s="250">
        <v>73654</v>
      </c>
      <c r="B31641" s="74" t="s">
        <v>15591</v>
      </c>
      <c r="C31641" s="74" t="s">
        <v>447</v>
      </c>
    </row>
    <row r="31642" spans="1:3">
      <c r="A31642" s="250">
        <v>73655</v>
      </c>
      <c r="B31642" s="74" t="s">
        <v>15592</v>
      </c>
      <c r="C31642" s="74" t="s">
        <v>447</v>
      </c>
    </row>
    <row r="31643" spans="1:3">
      <c r="A31643" s="250">
        <v>73658</v>
      </c>
      <c r="B31643" s="74" t="s">
        <v>6466</v>
      </c>
      <c r="C31643" s="74" t="s">
        <v>447</v>
      </c>
    </row>
    <row r="31644" spans="1:3">
      <c r="A31644" s="250">
        <v>73659</v>
      </c>
      <c r="B31644" s="74" t="s">
        <v>2000</v>
      </c>
      <c r="C31644" s="74" t="s">
        <v>447</v>
      </c>
    </row>
    <row r="31645" spans="1:3">
      <c r="A31645" s="250">
        <v>73660</v>
      </c>
      <c r="B31645" s="74" t="s">
        <v>15593</v>
      </c>
      <c r="C31645" s="74" t="s">
        <v>447</v>
      </c>
    </row>
    <row r="31646" spans="1:3">
      <c r="A31646" s="250">
        <v>73661</v>
      </c>
      <c r="B31646" s="74" t="s">
        <v>15594</v>
      </c>
      <c r="C31646" s="74" t="s">
        <v>447</v>
      </c>
    </row>
    <row r="31647" spans="1:3">
      <c r="A31647" s="250">
        <v>73662</v>
      </c>
      <c r="B31647" s="74" t="s">
        <v>5248</v>
      </c>
      <c r="C31647" s="74" t="s">
        <v>447</v>
      </c>
    </row>
    <row r="31648" spans="1:3">
      <c r="A31648" s="250">
        <v>73663</v>
      </c>
      <c r="B31648" s="74" t="s">
        <v>15595</v>
      </c>
      <c r="C31648" s="74" t="s">
        <v>447</v>
      </c>
    </row>
    <row r="31649" spans="1:3">
      <c r="A31649" s="250">
        <v>73664</v>
      </c>
      <c r="B31649" s="74" t="s">
        <v>15596</v>
      </c>
      <c r="C31649" s="74" t="s">
        <v>447</v>
      </c>
    </row>
    <row r="31650" spans="1:3">
      <c r="A31650" s="250">
        <v>73666</v>
      </c>
      <c r="B31650" s="74" t="s">
        <v>9162</v>
      </c>
      <c r="C31650" s="74" t="s">
        <v>447</v>
      </c>
    </row>
    <row r="31651" spans="1:3">
      <c r="A31651" s="250">
        <v>73667</v>
      </c>
      <c r="B31651" s="74" t="s">
        <v>15597</v>
      </c>
      <c r="C31651" s="74" t="s">
        <v>447</v>
      </c>
    </row>
    <row r="31652" spans="1:3">
      <c r="A31652" s="250">
        <v>73668</v>
      </c>
      <c r="B31652" s="74" t="s">
        <v>15598</v>
      </c>
      <c r="C31652" s="74" t="s">
        <v>447</v>
      </c>
    </row>
    <row r="31653" spans="1:3">
      <c r="A31653" s="250">
        <v>73669</v>
      </c>
      <c r="B31653" s="74" t="s">
        <v>6924</v>
      </c>
      <c r="C31653" s="74" t="s">
        <v>447</v>
      </c>
    </row>
    <row r="31654" spans="1:3">
      <c r="A31654" s="250">
        <v>73673</v>
      </c>
      <c r="B31654" s="74" t="s">
        <v>3098</v>
      </c>
      <c r="C31654" s="74" t="s">
        <v>447</v>
      </c>
    </row>
    <row r="31655" spans="1:3">
      <c r="A31655" s="250">
        <v>73701</v>
      </c>
      <c r="B31655" s="74" t="s">
        <v>9388</v>
      </c>
      <c r="C31655" s="74" t="s">
        <v>447</v>
      </c>
    </row>
    <row r="31656" spans="1:3">
      <c r="A31656" s="250">
        <v>73702</v>
      </c>
      <c r="B31656" s="74" t="s">
        <v>9388</v>
      </c>
      <c r="C31656" s="74" t="s">
        <v>447</v>
      </c>
    </row>
    <row r="31657" spans="1:3">
      <c r="A31657" s="250">
        <v>73703</v>
      </c>
      <c r="B31657" s="74" t="s">
        <v>9388</v>
      </c>
      <c r="C31657" s="74" t="s">
        <v>447</v>
      </c>
    </row>
    <row r="31658" spans="1:3">
      <c r="A31658" s="250">
        <v>73705</v>
      </c>
      <c r="B31658" s="74" t="s">
        <v>9388</v>
      </c>
      <c r="C31658" s="74" t="s">
        <v>447</v>
      </c>
    </row>
    <row r="31659" spans="1:3">
      <c r="A31659" s="250">
        <v>73706</v>
      </c>
      <c r="B31659" s="74" t="s">
        <v>9388</v>
      </c>
      <c r="C31659" s="74" t="s">
        <v>447</v>
      </c>
    </row>
    <row r="31660" spans="1:3">
      <c r="A31660" s="250">
        <v>73716</v>
      </c>
      <c r="B31660" s="74" t="s">
        <v>15599</v>
      </c>
      <c r="C31660" s="74" t="s">
        <v>447</v>
      </c>
    </row>
    <row r="31661" spans="1:3">
      <c r="A31661" s="250">
        <v>73717</v>
      </c>
      <c r="B31661" s="74" t="s">
        <v>8521</v>
      </c>
      <c r="C31661" s="74" t="s">
        <v>447</v>
      </c>
    </row>
    <row r="31662" spans="1:3">
      <c r="A31662" s="250">
        <v>73718</v>
      </c>
      <c r="B31662" s="74" t="s">
        <v>11482</v>
      </c>
      <c r="C31662" s="74" t="s">
        <v>447</v>
      </c>
    </row>
    <row r="31663" spans="1:3">
      <c r="A31663" s="250">
        <v>73719</v>
      </c>
      <c r="B31663" s="74" t="s">
        <v>15600</v>
      </c>
      <c r="C31663" s="74" t="s">
        <v>447</v>
      </c>
    </row>
    <row r="31664" spans="1:3">
      <c r="A31664" s="250">
        <v>73720</v>
      </c>
      <c r="B31664" s="74" t="s">
        <v>12946</v>
      </c>
      <c r="C31664" s="74" t="s">
        <v>447</v>
      </c>
    </row>
    <row r="31665" spans="1:3">
      <c r="A31665" s="250">
        <v>73722</v>
      </c>
      <c r="B31665" s="74" t="s">
        <v>806</v>
      </c>
      <c r="C31665" s="74" t="s">
        <v>447</v>
      </c>
    </row>
    <row r="31666" spans="1:3">
      <c r="A31666" s="250">
        <v>73724</v>
      </c>
      <c r="B31666" s="74" t="s">
        <v>866</v>
      </c>
      <c r="C31666" s="74" t="s">
        <v>447</v>
      </c>
    </row>
    <row r="31667" spans="1:3">
      <c r="A31667" s="250">
        <v>73726</v>
      </c>
      <c r="B31667" s="74" t="s">
        <v>15601</v>
      </c>
      <c r="C31667" s="74" t="s">
        <v>447</v>
      </c>
    </row>
    <row r="31668" spans="1:3">
      <c r="A31668" s="250">
        <v>73727</v>
      </c>
      <c r="B31668" s="74" t="s">
        <v>15602</v>
      </c>
      <c r="C31668" s="74" t="s">
        <v>447</v>
      </c>
    </row>
    <row r="31669" spans="1:3">
      <c r="A31669" s="250">
        <v>73728</v>
      </c>
      <c r="B31669" s="74" t="s">
        <v>7540</v>
      </c>
      <c r="C31669" s="74" t="s">
        <v>447</v>
      </c>
    </row>
    <row r="31670" spans="1:3">
      <c r="A31670" s="250">
        <v>73729</v>
      </c>
      <c r="B31670" s="74" t="s">
        <v>15603</v>
      </c>
      <c r="C31670" s="74" t="s">
        <v>447</v>
      </c>
    </row>
    <row r="31671" spans="1:3">
      <c r="A31671" s="250">
        <v>73730</v>
      </c>
      <c r="B31671" s="74" t="s">
        <v>4668</v>
      </c>
      <c r="C31671" s="74" t="s">
        <v>447</v>
      </c>
    </row>
    <row r="31672" spans="1:3">
      <c r="A31672" s="250">
        <v>73731</v>
      </c>
      <c r="B31672" s="74" t="s">
        <v>15604</v>
      </c>
      <c r="C31672" s="74" t="s">
        <v>447</v>
      </c>
    </row>
    <row r="31673" spans="1:3">
      <c r="A31673" s="250">
        <v>73733</v>
      </c>
      <c r="B31673" s="74" t="s">
        <v>734</v>
      </c>
      <c r="C31673" s="74" t="s">
        <v>447</v>
      </c>
    </row>
    <row r="31674" spans="1:3">
      <c r="A31674" s="250">
        <v>73734</v>
      </c>
      <c r="B31674" s="74" t="s">
        <v>869</v>
      </c>
      <c r="C31674" s="74" t="s">
        <v>447</v>
      </c>
    </row>
    <row r="31675" spans="1:3">
      <c r="A31675" s="250">
        <v>73735</v>
      </c>
      <c r="B31675" s="74" t="s">
        <v>12297</v>
      </c>
      <c r="C31675" s="74" t="s">
        <v>447</v>
      </c>
    </row>
    <row r="31676" spans="1:3">
      <c r="A31676" s="250">
        <v>73736</v>
      </c>
      <c r="B31676" s="74" t="s">
        <v>6976</v>
      </c>
      <c r="C31676" s="74" t="s">
        <v>447</v>
      </c>
    </row>
    <row r="31677" spans="1:3">
      <c r="A31677" s="250">
        <v>73737</v>
      </c>
      <c r="B31677" s="74" t="s">
        <v>2122</v>
      </c>
      <c r="C31677" s="74" t="s">
        <v>447</v>
      </c>
    </row>
    <row r="31678" spans="1:3">
      <c r="A31678" s="250">
        <v>73738</v>
      </c>
      <c r="B31678" s="74" t="s">
        <v>11800</v>
      </c>
      <c r="C31678" s="74" t="s">
        <v>447</v>
      </c>
    </row>
    <row r="31679" spans="1:3">
      <c r="A31679" s="250">
        <v>73739</v>
      </c>
      <c r="B31679" s="74" t="s">
        <v>15605</v>
      </c>
      <c r="C31679" s="74" t="s">
        <v>447</v>
      </c>
    </row>
    <row r="31680" spans="1:3">
      <c r="A31680" s="250">
        <v>73741</v>
      </c>
      <c r="B31680" s="74" t="s">
        <v>3555</v>
      </c>
      <c r="C31680" s="74" t="s">
        <v>447</v>
      </c>
    </row>
    <row r="31681" spans="1:3">
      <c r="A31681" s="250">
        <v>73742</v>
      </c>
      <c r="B31681" s="74" t="s">
        <v>15606</v>
      </c>
      <c r="C31681" s="74" t="s">
        <v>447</v>
      </c>
    </row>
    <row r="31682" spans="1:3">
      <c r="A31682" s="250">
        <v>73743</v>
      </c>
      <c r="B31682" s="74" t="s">
        <v>2236</v>
      </c>
      <c r="C31682" s="74" t="s">
        <v>447</v>
      </c>
    </row>
    <row r="31683" spans="1:3">
      <c r="A31683" s="250">
        <v>73744</v>
      </c>
      <c r="B31683" s="74" t="s">
        <v>12877</v>
      </c>
      <c r="C31683" s="74" t="s">
        <v>447</v>
      </c>
    </row>
    <row r="31684" spans="1:3">
      <c r="A31684" s="250">
        <v>73746</v>
      </c>
      <c r="B31684" s="74" t="s">
        <v>15607</v>
      </c>
      <c r="C31684" s="74" t="s">
        <v>447</v>
      </c>
    </row>
    <row r="31685" spans="1:3">
      <c r="A31685" s="250">
        <v>73747</v>
      </c>
      <c r="B31685" s="74" t="s">
        <v>4118</v>
      </c>
      <c r="C31685" s="74" t="s">
        <v>447</v>
      </c>
    </row>
    <row r="31686" spans="1:3">
      <c r="A31686" s="250">
        <v>73749</v>
      </c>
      <c r="B31686" s="74" t="s">
        <v>15608</v>
      </c>
      <c r="C31686" s="74" t="s">
        <v>447</v>
      </c>
    </row>
    <row r="31687" spans="1:3">
      <c r="A31687" s="250">
        <v>73750</v>
      </c>
      <c r="B31687" s="74" t="s">
        <v>15609</v>
      </c>
      <c r="C31687" s="74" t="s">
        <v>447</v>
      </c>
    </row>
    <row r="31688" spans="1:3">
      <c r="A31688" s="250">
        <v>73753</v>
      </c>
      <c r="B31688" s="74" t="s">
        <v>13351</v>
      </c>
      <c r="C31688" s="74" t="s">
        <v>447</v>
      </c>
    </row>
    <row r="31689" spans="1:3">
      <c r="A31689" s="250">
        <v>73754</v>
      </c>
      <c r="B31689" s="74" t="s">
        <v>15610</v>
      </c>
      <c r="C31689" s="74" t="s">
        <v>447</v>
      </c>
    </row>
    <row r="31690" spans="1:3">
      <c r="A31690" s="250">
        <v>73755</v>
      </c>
      <c r="B31690" s="74" t="s">
        <v>15611</v>
      </c>
      <c r="C31690" s="74" t="s">
        <v>447</v>
      </c>
    </row>
    <row r="31691" spans="1:3">
      <c r="A31691" s="250">
        <v>73756</v>
      </c>
      <c r="B31691" s="74" t="s">
        <v>12167</v>
      </c>
      <c r="C31691" s="74" t="s">
        <v>447</v>
      </c>
    </row>
    <row r="31692" spans="1:3">
      <c r="A31692" s="250">
        <v>73757</v>
      </c>
      <c r="B31692" s="74" t="s">
        <v>15612</v>
      </c>
      <c r="C31692" s="74" t="s">
        <v>447</v>
      </c>
    </row>
    <row r="31693" spans="1:3">
      <c r="A31693" s="250">
        <v>73758</v>
      </c>
      <c r="B31693" s="74" t="s">
        <v>848</v>
      </c>
      <c r="C31693" s="74" t="s">
        <v>447</v>
      </c>
    </row>
    <row r="31694" spans="1:3">
      <c r="A31694" s="250">
        <v>73759</v>
      </c>
      <c r="B31694" s="74" t="s">
        <v>921</v>
      </c>
      <c r="C31694" s="74" t="s">
        <v>447</v>
      </c>
    </row>
    <row r="31695" spans="1:3">
      <c r="A31695" s="250">
        <v>73760</v>
      </c>
      <c r="B31695" s="74" t="s">
        <v>15613</v>
      </c>
      <c r="C31695" s="74" t="s">
        <v>447</v>
      </c>
    </row>
    <row r="31696" spans="1:3">
      <c r="A31696" s="250">
        <v>73761</v>
      </c>
      <c r="B31696" s="74" t="s">
        <v>15614</v>
      </c>
      <c r="C31696" s="74" t="s">
        <v>447</v>
      </c>
    </row>
    <row r="31697" spans="1:3">
      <c r="A31697" s="250">
        <v>73762</v>
      </c>
      <c r="B31697" s="74" t="s">
        <v>15615</v>
      </c>
      <c r="C31697" s="74" t="s">
        <v>447</v>
      </c>
    </row>
    <row r="31698" spans="1:3">
      <c r="A31698" s="250">
        <v>73763</v>
      </c>
      <c r="B31698" s="74" t="s">
        <v>15616</v>
      </c>
      <c r="C31698" s="74" t="s">
        <v>447</v>
      </c>
    </row>
    <row r="31699" spans="1:3">
      <c r="A31699" s="250">
        <v>73764</v>
      </c>
      <c r="B31699" s="74" t="s">
        <v>8184</v>
      </c>
      <c r="C31699" s="74" t="s">
        <v>447</v>
      </c>
    </row>
    <row r="31700" spans="1:3">
      <c r="A31700" s="250">
        <v>73766</v>
      </c>
      <c r="B31700" s="74" t="s">
        <v>15617</v>
      </c>
      <c r="C31700" s="74" t="s">
        <v>447</v>
      </c>
    </row>
    <row r="31701" spans="1:3">
      <c r="A31701" s="250">
        <v>73768</v>
      </c>
      <c r="B31701" s="74" t="s">
        <v>2206</v>
      </c>
      <c r="C31701" s="74" t="s">
        <v>447</v>
      </c>
    </row>
    <row r="31702" spans="1:3">
      <c r="A31702" s="250">
        <v>73770</v>
      </c>
      <c r="B31702" s="74" t="s">
        <v>15618</v>
      </c>
      <c r="C31702" s="74" t="s">
        <v>447</v>
      </c>
    </row>
    <row r="31703" spans="1:3">
      <c r="A31703" s="250">
        <v>73771</v>
      </c>
      <c r="B31703" s="74" t="s">
        <v>15619</v>
      </c>
      <c r="C31703" s="74" t="s">
        <v>447</v>
      </c>
    </row>
    <row r="31704" spans="1:3">
      <c r="A31704" s="250">
        <v>73772</v>
      </c>
      <c r="B31704" s="74" t="s">
        <v>15620</v>
      </c>
      <c r="C31704" s="74" t="s">
        <v>447</v>
      </c>
    </row>
    <row r="31705" spans="1:3">
      <c r="A31705" s="250">
        <v>73773</v>
      </c>
      <c r="B31705" s="74" t="s">
        <v>15621</v>
      </c>
      <c r="C31705" s="74" t="s">
        <v>447</v>
      </c>
    </row>
    <row r="31706" spans="1:3">
      <c r="A31706" s="250">
        <v>73801</v>
      </c>
      <c r="B31706" s="74" t="s">
        <v>4661</v>
      </c>
      <c r="C31706" s="74" t="s">
        <v>447</v>
      </c>
    </row>
    <row r="31707" spans="1:3">
      <c r="A31707" s="250">
        <v>73802</v>
      </c>
      <c r="B31707" s="74" t="s">
        <v>4661</v>
      </c>
      <c r="C31707" s="74" t="s">
        <v>447</v>
      </c>
    </row>
    <row r="31708" spans="1:3">
      <c r="A31708" s="250">
        <v>73832</v>
      </c>
      <c r="B31708" s="74" t="s">
        <v>6572</v>
      </c>
      <c r="C31708" s="74" t="s">
        <v>447</v>
      </c>
    </row>
    <row r="31709" spans="1:3">
      <c r="A31709" s="250">
        <v>73834</v>
      </c>
      <c r="B31709" s="74" t="s">
        <v>3751</v>
      </c>
      <c r="C31709" s="74" t="s">
        <v>447</v>
      </c>
    </row>
    <row r="31710" spans="1:3">
      <c r="A31710" s="250">
        <v>73835</v>
      </c>
      <c r="B31710" s="74" t="s">
        <v>13786</v>
      </c>
      <c r="C31710" s="74" t="s">
        <v>447</v>
      </c>
    </row>
    <row r="31711" spans="1:3">
      <c r="A31711" s="250">
        <v>73838</v>
      </c>
      <c r="B31711" s="74" t="s">
        <v>583</v>
      </c>
      <c r="C31711" s="74" t="s">
        <v>447</v>
      </c>
    </row>
    <row r="31712" spans="1:3">
      <c r="A31712" s="250">
        <v>73840</v>
      </c>
      <c r="B31712" s="74" t="s">
        <v>8148</v>
      </c>
      <c r="C31712" s="74" t="s">
        <v>447</v>
      </c>
    </row>
    <row r="31713" spans="1:3">
      <c r="A31713" s="250">
        <v>73841</v>
      </c>
      <c r="B31713" s="74" t="s">
        <v>15622</v>
      </c>
      <c r="C31713" s="74" t="s">
        <v>447</v>
      </c>
    </row>
    <row r="31714" spans="1:3">
      <c r="A31714" s="250">
        <v>73842</v>
      </c>
      <c r="B31714" s="74" t="s">
        <v>1310</v>
      </c>
      <c r="C31714" s="74" t="s">
        <v>447</v>
      </c>
    </row>
    <row r="31715" spans="1:3">
      <c r="A31715" s="250">
        <v>73843</v>
      </c>
      <c r="B31715" s="74" t="s">
        <v>15623</v>
      </c>
      <c r="C31715" s="74" t="s">
        <v>447</v>
      </c>
    </row>
    <row r="31716" spans="1:3">
      <c r="A31716" s="250">
        <v>73844</v>
      </c>
      <c r="B31716" s="74" t="s">
        <v>15624</v>
      </c>
      <c r="C31716" s="74" t="s">
        <v>447</v>
      </c>
    </row>
    <row r="31717" spans="1:3">
      <c r="A31717" s="250">
        <v>73848</v>
      </c>
      <c r="B31717" s="74" t="s">
        <v>15625</v>
      </c>
      <c r="C31717" s="74" t="s">
        <v>447</v>
      </c>
    </row>
    <row r="31718" spans="1:3">
      <c r="A31718" s="250">
        <v>73851</v>
      </c>
      <c r="B31718" s="74" t="s">
        <v>15626</v>
      </c>
      <c r="C31718" s="74" t="s">
        <v>447</v>
      </c>
    </row>
    <row r="31719" spans="1:3">
      <c r="A31719" s="250">
        <v>73852</v>
      </c>
      <c r="B31719" s="74" t="s">
        <v>10847</v>
      </c>
      <c r="C31719" s="74" t="s">
        <v>447</v>
      </c>
    </row>
    <row r="31720" spans="1:3">
      <c r="A31720" s="250">
        <v>73853</v>
      </c>
      <c r="B31720" s="74" t="s">
        <v>15627</v>
      </c>
      <c r="C31720" s="74" t="s">
        <v>447</v>
      </c>
    </row>
    <row r="31721" spans="1:3">
      <c r="A31721" s="250">
        <v>73855</v>
      </c>
      <c r="B31721" s="74" t="s">
        <v>15241</v>
      </c>
      <c r="C31721" s="74" t="s">
        <v>447</v>
      </c>
    </row>
    <row r="31722" spans="1:3">
      <c r="A31722" s="250">
        <v>73857</v>
      </c>
      <c r="B31722" s="74" t="s">
        <v>893</v>
      </c>
      <c r="C31722" s="74" t="s">
        <v>447</v>
      </c>
    </row>
    <row r="31723" spans="1:3">
      <c r="A31723" s="250">
        <v>73858</v>
      </c>
      <c r="B31723" s="74" t="s">
        <v>15628</v>
      </c>
      <c r="C31723" s="74" t="s">
        <v>447</v>
      </c>
    </row>
    <row r="31724" spans="1:3">
      <c r="A31724" s="250">
        <v>73859</v>
      </c>
      <c r="B31724" s="74" t="s">
        <v>15629</v>
      </c>
      <c r="C31724" s="74" t="s">
        <v>447</v>
      </c>
    </row>
    <row r="31725" spans="1:3">
      <c r="A31725" s="250">
        <v>73860</v>
      </c>
      <c r="B31725" s="74" t="s">
        <v>15630</v>
      </c>
      <c r="C31725" s="74" t="s">
        <v>447</v>
      </c>
    </row>
    <row r="31726" spans="1:3">
      <c r="A31726" s="250">
        <v>73901</v>
      </c>
      <c r="B31726" s="74" t="s">
        <v>638</v>
      </c>
      <c r="C31726" s="74" t="s">
        <v>447</v>
      </c>
    </row>
    <row r="31727" spans="1:3">
      <c r="A31727" s="250">
        <v>73931</v>
      </c>
      <c r="B31727" s="74" t="s">
        <v>15631</v>
      </c>
      <c r="C31727" s="74" t="s">
        <v>447</v>
      </c>
    </row>
    <row r="31728" spans="1:3">
      <c r="A31728" s="250">
        <v>73932</v>
      </c>
      <c r="B31728" s="74" t="s">
        <v>3962</v>
      </c>
      <c r="C31728" s="74" t="s">
        <v>447</v>
      </c>
    </row>
    <row r="31729" spans="1:3">
      <c r="A31729" s="250">
        <v>73933</v>
      </c>
      <c r="B31729" s="74" t="s">
        <v>15632</v>
      </c>
      <c r="C31729" s="74" t="s">
        <v>447</v>
      </c>
    </row>
    <row r="31730" spans="1:3">
      <c r="A31730" s="250">
        <v>73937</v>
      </c>
      <c r="B31730" s="74" t="s">
        <v>15633</v>
      </c>
      <c r="C31730" s="74" t="s">
        <v>447</v>
      </c>
    </row>
    <row r="31731" spans="1:3">
      <c r="A31731" s="250">
        <v>73938</v>
      </c>
      <c r="B31731" s="74" t="s">
        <v>15634</v>
      </c>
      <c r="C31731" s="74" t="s">
        <v>447</v>
      </c>
    </row>
    <row r="31732" spans="1:3">
      <c r="A31732" s="250">
        <v>73939</v>
      </c>
      <c r="B31732" s="74" t="s">
        <v>15635</v>
      </c>
      <c r="C31732" s="74" t="s">
        <v>447</v>
      </c>
    </row>
    <row r="31733" spans="1:3">
      <c r="A31733" s="250">
        <v>73942</v>
      </c>
      <c r="B31733" s="74" t="s">
        <v>15636</v>
      </c>
      <c r="C31733" s="74" t="s">
        <v>447</v>
      </c>
    </row>
    <row r="31734" spans="1:3">
      <c r="A31734" s="250">
        <v>73944</v>
      </c>
      <c r="B31734" s="74" t="s">
        <v>15637</v>
      </c>
      <c r="C31734" s="74" t="s">
        <v>447</v>
      </c>
    </row>
    <row r="31735" spans="1:3">
      <c r="A31735" s="250">
        <v>73945</v>
      </c>
      <c r="B31735" s="74" t="s">
        <v>15638</v>
      </c>
      <c r="C31735" s="74" t="s">
        <v>447</v>
      </c>
    </row>
    <row r="31736" spans="1:3">
      <c r="A31736" s="250">
        <v>73946</v>
      </c>
      <c r="B31736" s="74" t="s">
        <v>5504</v>
      </c>
      <c r="C31736" s="74" t="s">
        <v>447</v>
      </c>
    </row>
    <row r="31737" spans="1:3">
      <c r="A31737" s="250">
        <v>73947</v>
      </c>
      <c r="B31737" s="74" t="s">
        <v>15639</v>
      </c>
      <c r="C31737" s="74" t="s">
        <v>447</v>
      </c>
    </row>
    <row r="31738" spans="1:3">
      <c r="A31738" s="250">
        <v>73949</v>
      </c>
      <c r="B31738" s="74" t="s">
        <v>15640</v>
      </c>
      <c r="C31738" s="74" t="s">
        <v>447</v>
      </c>
    </row>
    <row r="31739" spans="1:3">
      <c r="A31739" s="250">
        <v>73950</v>
      </c>
      <c r="B31739" s="74" t="s">
        <v>15641</v>
      </c>
      <c r="C31739" s="74" t="s">
        <v>447</v>
      </c>
    </row>
    <row r="31740" spans="1:3">
      <c r="A31740" s="250">
        <v>73951</v>
      </c>
      <c r="B31740" s="74" t="s">
        <v>3947</v>
      </c>
      <c r="C31740" s="74" t="s">
        <v>447</v>
      </c>
    </row>
    <row r="31741" spans="1:3">
      <c r="A31741" s="250">
        <v>74001</v>
      </c>
      <c r="B31741" s="74" t="s">
        <v>15642</v>
      </c>
      <c r="C31741" s="74" t="s">
        <v>447</v>
      </c>
    </row>
    <row r="31742" spans="1:3">
      <c r="A31742" s="250">
        <v>74002</v>
      </c>
      <c r="B31742" s="74" t="s">
        <v>15643</v>
      </c>
      <c r="C31742" s="74" t="s">
        <v>447</v>
      </c>
    </row>
    <row r="31743" spans="1:3">
      <c r="A31743" s="250">
        <v>74003</v>
      </c>
      <c r="B31743" s="74" t="s">
        <v>15644</v>
      </c>
      <c r="C31743" s="74" t="s">
        <v>447</v>
      </c>
    </row>
    <row r="31744" spans="1:3">
      <c r="A31744" s="250">
        <v>74004</v>
      </c>
      <c r="B31744" s="74" t="s">
        <v>15644</v>
      </c>
      <c r="C31744" s="74" t="s">
        <v>447</v>
      </c>
    </row>
    <row r="31745" spans="1:3">
      <c r="A31745" s="250">
        <v>74005</v>
      </c>
      <c r="B31745" s="74" t="s">
        <v>15644</v>
      </c>
      <c r="C31745" s="74" t="s">
        <v>447</v>
      </c>
    </row>
    <row r="31746" spans="1:3">
      <c r="A31746" s="250">
        <v>74006</v>
      </c>
      <c r="B31746" s="74" t="s">
        <v>15644</v>
      </c>
      <c r="C31746" s="74" t="s">
        <v>447</v>
      </c>
    </row>
    <row r="31747" spans="1:3">
      <c r="A31747" s="250">
        <v>74008</v>
      </c>
      <c r="B31747" s="74" t="s">
        <v>14388</v>
      </c>
      <c r="C31747" s="74" t="s">
        <v>447</v>
      </c>
    </row>
    <row r="31748" spans="1:3">
      <c r="A31748" s="250">
        <v>74010</v>
      </c>
      <c r="B31748" s="74" t="s">
        <v>5524</v>
      </c>
      <c r="C31748" s="74" t="s">
        <v>447</v>
      </c>
    </row>
    <row r="31749" spans="1:3">
      <c r="A31749" s="250">
        <v>74011</v>
      </c>
      <c r="B31749" s="74" t="s">
        <v>15645</v>
      </c>
      <c r="C31749" s="74" t="s">
        <v>447</v>
      </c>
    </row>
    <row r="31750" spans="1:3">
      <c r="A31750" s="250">
        <v>74012</v>
      </c>
      <c r="B31750" s="74" t="s">
        <v>15645</v>
      </c>
      <c r="C31750" s="74" t="s">
        <v>447</v>
      </c>
    </row>
    <row r="31751" spans="1:3">
      <c r="A31751" s="250">
        <v>74013</v>
      </c>
      <c r="B31751" s="74" t="s">
        <v>15645</v>
      </c>
      <c r="C31751" s="74" t="s">
        <v>447</v>
      </c>
    </row>
    <row r="31752" spans="1:3">
      <c r="A31752" s="250">
        <v>74014</v>
      </c>
      <c r="B31752" s="74" t="s">
        <v>15645</v>
      </c>
      <c r="C31752" s="74" t="s">
        <v>447</v>
      </c>
    </row>
    <row r="31753" spans="1:3">
      <c r="A31753" s="250">
        <v>74015</v>
      </c>
      <c r="B31753" s="74" t="s">
        <v>15646</v>
      </c>
      <c r="C31753" s="74" t="s">
        <v>447</v>
      </c>
    </row>
    <row r="31754" spans="1:3">
      <c r="A31754" s="250">
        <v>74016</v>
      </c>
      <c r="B31754" s="74" t="s">
        <v>918</v>
      </c>
      <c r="C31754" s="74" t="s">
        <v>447</v>
      </c>
    </row>
    <row r="31755" spans="1:3">
      <c r="A31755" s="250">
        <v>74017</v>
      </c>
      <c r="B31755" s="74" t="s">
        <v>15647</v>
      </c>
      <c r="C31755" s="74" t="s">
        <v>447</v>
      </c>
    </row>
    <row r="31756" spans="1:3">
      <c r="A31756" s="250">
        <v>74018</v>
      </c>
      <c r="B31756" s="74" t="s">
        <v>15647</v>
      </c>
      <c r="C31756" s="74" t="s">
        <v>447</v>
      </c>
    </row>
    <row r="31757" spans="1:3">
      <c r="A31757" s="250">
        <v>74019</v>
      </c>
      <c r="B31757" s="74" t="s">
        <v>15647</v>
      </c>
      <c r="C31757" s="74" t="s">
        <v>447</v>
      </c>
    </row>
    <row r="31758" spans="1:3">
      <c r="A31758" s="250">
        <v>74020</v>
      </c>
      <c r="B31758" s="74" t="s">
        <v>3350</v>
      </c>
      <c r="C31758" s="74" t="s">
        <v>447</v>
      </c>
    </row>
    <row r="31759" spans="1:3">
      <c r="A31759" s="250">
        <v>74021</v>
      </c>
      <c r="B31759" s="74" t="s">
        <v>1936</v>
      </c>
      <c r="C31759" s="74" t="s">
        <v>447</v>
      </c>
    </row>
    <row r="31760" spans="1:3">
      <c r="A31760" s="250">
        <v>74022</v>
      </c>
      <c r="B31760" s="74" t="s">
        <v>15648</v>
      </c>
      <c r="C31760" s="74" t="s">
        <v>447</v>
      </c>
    </row>
    <row r="31761" spans="1:3">
      <c r="A31761" s="250">
        <v>74023</v>
      </c>
      <c r="B31761" s="74" t="s">
        <v>1552</v>
      </c>
      <c r="C31761" s="74" t="s">
        <v>447</v>
      </c>
    </row>
    <row r="31762" spans="1:3">
      <c r="A31762" s="250">
        <v>74026</v>
      </c>
      <c r="B31762" s="74" t="s">
        <v>3605</v>
      </c>
      <c r="C31762" s="74" t="s">
        <v>447</v>
      </c>
    </row>
    <row r="31763" spans="1:3">
      <c r="A31763" s="250">
        <v>74027</v>
      </c>
      <c r="B31763" s="74" t="s">
        <v>2303</v>
      </c>
      <c r="C31763" s="74" t="s">
        <v>447</v>
      </c>
    </row>
    <row r="31764" spans="1:3">
      <c r="A31764" s="250">
        <v>74028</v>
      </c>
      <c r="B31764" s="74" t="s">
        <v>3694</v>
      </c>
      <c r="C31764" s="74" t="s">
        <v>447</v>
      </c>
    </row>
    <row r="31765" spans="1:3">
      <c r="A31765" s="250">
        <v>74029</v>
      </c>
      <c r="B31765" s="74" t="s">
        <v>13769</v>
      </c>
      <c r="C31765" s="74" t="s">
        <v>447</v>
      </c>
    </row>
    <row r="31766" spans="1:3">
      <c r="A31766" s="250">
        <v>74030</v>
      </c>
      <c r="B31766" s="74" t="s">
        <v>15649</v>
      </c>
      <c r="C31766" s="74" t="s">
        <v>447</v>
      </c>
    </row>
    <row r="31767" spans="1:3">
      <c r="A31767" s="250">
        <v>74031</v>
      </c>
      <c r="B31767" s="74" t="s">
        <v>15650</v>
      </c>
      <c r="C31767" s="74" t="s">
        <v>447</v>
      </c>
    </row>
    <row r="31768" spans="1:3">
      <c r="A31768" s="250">
        <v>74032</v>
      </c>
      <c r="B31768" s="74" t="s">
        <v>9736</v>
      </c>
      <c r="C31768" s="74" t="s">
        <v>447</v>
      </c>
    </row>
    <row r="31769" spans="1:3">
      <c r="A31769" s="250">
        <v>74033</v>
      </c>
      <c r="B31769" s="74" t="s">
        <v>15651</v>
      </c>
      <c r="C31769" s="74" t="s">
        <v>447</v>
      </c>
    </row>
    <row r="31770" spans="1:3">
      <c r="A31770" s="250">
        <v>74034</v>
      </c>
      <c r="B31770" s="74" t="s">
        <v>15652</v>
      </c>
      <c r="C31770" s="74" t="s">
        <v>447</v>
      </c>
    </row>
    <row r="31771" spans="1:3">
      <c r="A31771" s="250">
        <v>74035</v>
      </c>
      <c r="B31771" s="74" t="s">
        <v>15653</v>
      </c>
      <c r="C31771" s="74" t="s">
        <v>447</v>
      </c>
    </row>
    <row r="31772" spans="1:3">
      <c r="A31772" s="250">
        <v>74036</v>
      </c>
      <c r="B31772" s="74" t="s">
        <v>15654</v>
      </c>
      <c r="C31772" s="74" t="s">
        <v>447</v>
      </c>
    </row>
    <row r="31773" spans="1:3">
      <c r="A31773" s="250">
        <v>74037</v>
      </c>
      <c r="B31773" s="74" t="s">
        <v>15655</v>
      </c>
      <c r="C31773" s="74" t="s">
        <v>447</v>
      </c>
    </row>
    <row r="31774" spans="1:3">
      <c r="A31774" s="250">
        <v>74038</v>
      </c>
      <c r="B31774" s="74" t="s">
        <v>8221</v>
      </c>
      <c r="C31774" s="74" t="s">
        <v>447</v>
      </c>
    </row>
    <row r="31775" spans="1:3">
      <c r="A31775" s="250">
        <v>74039</v>
      </c>
      <c r="B31775" s="74" t="s">
        <v>15656</v>
      </c>
      <c r="C31775" s="74" t="s">
        <v>447</v>
      </c>
    </row>
    <row r="31776" spans="1:3">
      <c r="A31776" s="250">
        <v>74041</v>
      </c>
      <c r="B31776" s="74" t="s">
        <v>15657</v>
      </c>
      <c r="C31776" s="74" t="s">
        <v>447</v>
      </c>
    </row>
    <row r="31777" spans="1:3">
      <c r="A31777" s="250">
        <v>74042</v>
      </c>
      <c r="B31777" s="74" t="s">
        <v>15658</v>
      </c>
      <c r="C31777" s="74" t="s">
        <v>447</v>
      </c>
    </row>
    <row r="31778" spans="1:3">
      <c r="A31778" s="250">
        <v>74043</v>
      </c>
      <c r="B31778" s="74" t="s">
        <v>11049</v>
      </c>
      <c r="C31778" s="74" t="s">
        <v>447</v>
      </c>
    </row>
    <row r="31779" spans="1:3">
      <c r="A31779" s="250">
        <v>74044</v>
      </c>
      <c r="B31779" s="74" t="s">
        <v>15659</v>
      </c>
      <c r="C31779" s="74" t="s">
        <v>447</v>
      </c>
    </row>
    <row r="31780" spans="1:3">
      <c r="A31780" s="250">
        <v>74045</v>
      </c>
      <c r="B31780" s="74" t="s">
        <v>15660</v>
      </c>
      <c r="C31780" s="74" t="s">
        <v>447</v>
      </c>
    </row>
    <row r="31781" spans="1:3">
      <c r="A31781" s="250">
        <v>74046</v>
      </c>
      <c r="B31781" s="74" t="s">
        <v>15661</v>
      </c>
      <c r="C31781" s="74" t="s">
        <v>447</v>
      </c>
    </row>
    <row r="31782" spans="1:3">
      <c r="A31782" s="250">
        <v>74047</v>
      </c>
      <c r="B31782" s="74" t="s">
        <v>14051</v>
      </c>
      <c r="C31782" s="74" t="s">
        <v>447</v>
      </c>
    </row>
    <row r="31783" spans="1:3">
      <c r="A31783" s="250">
        <v>74048</v>
      </c>
      <c r="B31783" s="74" t="s">
        <v>15662</v>
      </c>
      <c r="C31783" s="74" t="s">
        <v>447</v>
      </c>
    </row>
    <row r="31784" spans="1:3">
      <c r="A31784" s="250">
        <v>74050</v>
      </c>
      <c r="B31784" s="74" t="s">
        <v>2284</v>
      </c>
      <c r="C31784" s="74" t="s">
        <v>447</v>
      </c>
    </row>
    <row r="31785" spans="1:3">
      <c r="A31785" s="250">
        <v>74051</v>
      </c>
      <c r="B31785" s="74" t="s">
        <v>15663</v>
      </c>
      <c r="C31785" s="74" t="s">
        <v>447</v>
      </c>
    </row>
    <row r="31786" spans="1:3">
      <c r="A31786" s="250">
        <v>74052</v>
      </c>
      <c r="B31786" s="74" t="s">
        <v>15664</v>
      </c>
      <c r="C31786" s="74" t="s">
        <v>447</v>
      </c>
    </row>
    <row r="31787" spans="1:3">
      <c r="A31787" s="250">
        <v>74053</v>
      </c>
      <c r="B31787" s="74" t="s">
        <v>15665</v>
      </c>
      <c r="C31787" s="74" t="s">
        <v>447</v>
      </c>
    </row>
    <row r="31788" spans="1:3">
      <c r="A31788" s="250">
        <v>74054</v>
      </c>
      <c r="B31788" s="74" t="s">
        <v>6973</v>
      </c>
      <c r="C31788" s="74" t="s">
        <v>447</v>
      </c>
    </row>
    <row r="31789" spans="1:3">
      <c r="A31789" s="250">
        <v>74055</v>
      </c>
      <c r="B31789" s="74" t="s">
        <v>15666</v>
      </c>
      <c r="C31789" s="74" t="s">
        <v>447</v>
      </c>
    </row>
    <row r="31790" spans="1:3">
      <c r="A31790" s="250">
        <v>74056</v>
      </c>
      <c r="B31790" s="74" t="s">
        <v>15667</v>
      </c>
      <c r="C31790" s="74" t="s">
        <v>447</v>
      </c>
    </row>
    <row r="31791" spans="1:3">
      <c r="A31791" s="250">
        <v>74058</v>
      </c>
      <c r="B31791" s="74" t="s">
        <v>13936</v>
      </c>
      <c r="C31791" s="74" t="s">
        <v>447</v>
      </c>
    </row>
    <row r="31792" spans="1:3">
      <c r="A31792" s="250">
        <v>74059</v>
      </c>
      <c r="B31792" s="74" t="s">
        <v>8058</v>
      </c>
      <c r="C31792" s="74" t="s">
        <v>447</v>
      </c>
    </row>
    <row r="31793" spans="1:3">
      <c r="A31793" s="250">
        <v>74060</v>
      </c>
      <c r="B31793" s="74" t="s">
        <v>15668</v>
      </c>
      <c r="C31793" s="74" t="s">
        <v>447</v>
      </c>
    </row>
    <row r="31794" spans="1:3">
      <c r="A31794" s="250">
        <v>74061</v>
      </c>
      <c r="B31794" s="74" t="s">
        <v>12825</v>
      </c>
      <c r="C31794" s="74" t="s">
        <v>447</v>
      </c>
    </row>
    <row r="31795" spans="1:3">
      <c r="A31795" s="250">
        <v>74062</v>
      </c>
      <c r="B31795" s="74" t="s">
        <v>3884</v>
      </c>
      <c r="C31795" s="74" t="s">
        <v>447</v>
      </c>
    </row>
    <row r="31796" spans="1:3">
      <c r="A31796" s="250">
        <v>74063</v>
      </c>
      <c r="B31796" s="74" t="s">
        <v>13250</v>
      </c>
      <c r="C31796" s="74" t="s">
        <v>447</v>
      </c>
    </row>
    <row r="31797" spans="1:3">
      <c r="A31797" s="250">
        <v>74066</v>
      </c>
      <c r="B31797" s="74" t="s">
        <v>15669</v>
      </c>
      <c r="C31797" s="74" t="s">
        <v>447</v>
      </c>
    </row>
    <row r="31798" spans="1:3">
      <c r="A31798" s="250">
        <v>74067</v>
      </c>
      <c r="B31798" s="74" t="s">
        <v>15669</v>
      </c>
      <c r="C31798" s="74" t="s">
        <v>447</v>
      </c>
    </row>
    <row r="31799" spans="1:3">
      <c r="A31799" s="250">
        <v>74068</v>
      </c>
      <c r="B31799" s="74" t="s">
        <v>15670</v>
      </c>
      <c r="C31799" s="74" t="s">
        <v>447</v>
      </c>
    </row>
    <row r="31800" spans="1:3">
      <c r="A31800" s="250">
        <v>74070</v>
      </c>
      <c r="B31800" s="74" t="s">
        <v>15671</v>
      </c>
      <c r="C31800" s="74" t="s">
        <v>447</v>
      </c>
    </row>
    <row r="31801" spans="1:3">
      <c r="A31801" s="250">
        <v>74071</v>
      </c>
      <c r="B31801" s="74" t="s">
        <v>15672</v>
      </c>
      <c r="C31801" s="74" t="s">
        <v>447</v>
      </c>
    </row>
    <row r="31802" spans="1:3">
      <c r="A31802" s="250">
        <v>74072</v>
      </c>
      <c r="B31802" s="74" t="s">
        <v>15673</v>
      </c>
      <c r="C31802" s="74" t="s">
        <v>447</v>
      </c>
    </row>
    <row r="31803" spans="1:3">
      <c r="A31803" s="250">
        <v>74073</v>
      </c>
      <c r="B31803" s="74" t="s">
        <v>11908</v>
      </c>
      <c r="C31803" s="74" t="s">
        <v>447</v>
      </c>
    </row>
    <row r="31804" spans="1:3">
      <c r="A31804" s="250">
        <v>74074</v>
      </c>
      <c r="B31804" s="74" t="s">
        <v>1530</v>
      </c>
      <c r="C31804" s="74" t="s">
        <v>447</v>
      </c>
    </row>
    <row r="31805" spans="1:3">
      <c r="A31805" s="250">
        <v>74075</v>
      </c>
      <c r="B31805" s="74" t="s">
        <v>1530</v>
      </c>
      <c r="C31805" s="74" t="s">
        <v>447</v>
      </c>
    </row>
    <row r="31806" spans="1:3">
      <c r="A31806" s="250">
        <v>74076</v>
      </c>
      <c r="B31806" s="74" t="s">
        <v>1530</v>
      </c>
      <c r="C31806" s="74" t="s">
        <v>447</v>
      </c>
    </row>
    <row r="31807" spans="1:3">
      <c r="A31807" s="250">
        <v>74077</v>
      </c>
      <c r="B31807" s="74" t="s">
        <v>1530</v>
      </c>
      <c r="C31807" s="74" t="s">
        <v>447</v>
      </c>
    </row>
    <row r="31808" spans="1:3">
      <c r="A31808" s="250">
        <v>74078</v>
      </c>
      <c r="B31808" s="74" t="s">
        <v>1530</v>
      </c>
      <c r="C31808" s="74" t="s">
        <v>447</v>
      </c>
    </row>
    <row r="31809" spans="1:3">
      <c r="A31809" s="250">
        <v>74079</v>
      </c>
      <c r="B31809" s="74" t="s">
        <v>15674</v>
      </c>
      <c r="C31809" s="74" t="s">
        <v>447</v>
      </c>
    </row>
    <row r="31810" spans="1:3">
      <c r="A31810" s="250">
        <v>74080</v>
      </c>
      <c r="B31810" s="74" t="s">
        <v>15675</v>
      </c>
      <c r="C31810" s="74" t="s">
        <v>447</v>
      </c>
    </row>
    <row r="31811" spans="1:3">
      <c r="A31811" s="250">
        <v>74081</v>
      </c>
      <c r="B31811" s="74" t="s">
        <v>15676</v>
      </c>
      <c r="C31811" s="74" t="s">
        <v>447</v>
      </c>
    </row>
    <row r="31812" spans="1:3">
      <c r="A31812" s="250">
        <v>74082</v>
      </c>
      <c r="B31812" s="74" t="s">
        <v>15677</v>
      </c>
      <c r="C31812" s="74" t="s">
        <v>447</v>
      </c>
    </row>
    <row r="31813" spans="1:3">
      <c r="A31813" s="250">
        <v>74083</v>
      </c>
      <c r="B31813" s="74" t="s">
        <v>15678</v>
      </c>
      <c r="C31813" s="74" t="s">
        <v>447</v>
      </c>
    </row>
    <row r="31814" spans="1:3">
      <c r="A31814" s="250">
        <v>74084</v>
      </c>
      <c r="B31814" s="74" t="s">
        <v>15679</v>
      </c>
      <c r="C31814" s="74" t="s">
        <v>447</v>
      </c>
    </row>
    <row r="31815" spans="1:3">
      <c r="A31815" s="250">
        <v>74085</v>
      </c>
      <c r="B31815" s="74" t="s">
        <v>6218</v>
      </c>
      <c r="C31815" s="74" t="s">
        <v>447</v>
      </c>
    </row>
    <row r="31816" spans="1:3">
      <c r="A31816" s="250">
        <v>74101</v>
      </c>
      <c r="B31816" s="74" t="s">
        <v>15680</v>
      </c>
      <c r="C31816" s="74" t="s">
        <v>447</v>
      </c>
    </row>
    <row r="31817" spans="1:3">
      <c r="A31817" s="250">
        <v>74102</v>
      </c>
      <c r="B31817" s="74" t="s">
        <v>15680</v>
      </c>
      <c r="C31817" s="74" t="s">
        <v>447</v>
      </c>
    </row>
    <row r="31818" spans="1:3">
      <c r="A31818" s="250">
        <v>74103</v>
      </c>
      <c r="B31818" s="74" t="s">
        <v>15680</v>
      </c>
      <c r="C31818" s="74" t="s">
        <v>447</v>
      </c>
    </row>
    <row r="31819" spans="1:3">
      <c r="A31819" s="250">
        <v>74104</v>
      </c>
      <c r="B31819" s="74" t="s">
        <v>15680</v>
      </c>
      <c r="C31819" s="74" t="s">
        <v>447</v>
      </c>
    </row>
    <row r="31820" spans="1:3">
      <c r="A31820" s="250">
        <v>74105</v>
      </c>
      <c r="B31820" s="74" t="s">
        <v>15680</v>
      </c>
      <c r="C31820" s="74" t="s">
        <v>447</v>
      </c>
    </row>
    <row r="31821" spans="1:3">
      <c r="A31821" s="250">
        <v>74106</v>
      </c>
      <c r="B31821" s="74" t="s">
        <v>15680</v>
      </c>
      <c r="C31821" s="74" t="s">
        <v>447</v>
      </c>
    </row>
    <row r="31822" spans="1:3">
      <c r="A31822" s="250">
        <v>74107</v>
      </c>
      <c r="B31822" s="74" t="s">
        <v>15680</v>
      </c>
      <c r="C31822" s="74" t="s">
        <v>447</v>
      </c>
    </row>
    <row r="31823" spans="1:3">
      <c r="A31823" s="250">
        <v>74108</v>
      </c>
      <c r="B31823" s="74" t="s">
        <v>15680</v>
      </c>
      <c r="C31823" s="74" t="s">
        <v>447</v>
      </c>
    </row>
    <row r="31824" spans="1:3">
      <c r="A31824" s="250">
        <v>74110</v>
      </c>
      <c r="B31824" s="74" t="s">
        <v>15680</v>
      </c>
      <c r="C31824" s="74" t="s">
        <v>447</v>
      </c>
    </row>
    <row r="31825" spans="1:3">
      <c r="A31825" s="250">
        <v>74112</v>
      </c>
      <c r="B31825" s="74" t="s">
        <v>15680</v>
      </c>
      <c r="C31825" s="74" t="s">
        <v>447</v>
      </c>
    </row>
    <row r="31826" spans="1:3">
      <c r="A31826" s="250">
        <v>74114</v>
      </c>
      <c r="B31826" s="74" t="s">
        <v>15680</v>
      </c>
      <c r="C31826" s="74" t="s">
        <v>447</v>
      </c>
    </row>
    <row r="31827" spans="1:3">
      <c r="A31827" s="250">
        <v>74115</v>
      </c>
      <c r="B31827" s="74" t="s">
        <v>15680</v>
      </c>
      <c r="C31827" s="74" t="s">
        <v>447</v>
      </c>
    </row>
    <row r="31828" spans="1:3">
      <c r="A31828" s="250">
        <v>74116</v>
      </c>
      <c r="B31828" s="74" t="s">
        <v>15680</v>
      </c>
      <c r="C31828" s="74" t="s">
        <v>447</v>
      </c>
    </row>
    <row r="31829" spans="1:3">
      <c r="A31829" s="250">
        <v>74117</v>
      </c>
      <c r="B31829" s="74" t="s">
        <v>15680</v>
      </c>
      <c r="C31829" s="74" t="s">
        <v>447</v>
      </c>
    </row>
    <row r="31830" spans="1:3">
      <c r="A31830" s="250">
        <v>74119</v>
      </c>
      <c r="B31830" s="74" t="s">
        <v>15680</v>
      </c>
      <c r="C31830" s="74" t="s">
        <v>447</v>
      </c>
    </row>
    <row r="31831" spans="1:3">
      <c r="A31831" s="250">
        <v>74120</v>
      </c>
      <c r="B31831" s="74" t="s">
        <v>15680</v>
      </c>
      <c r="C31831" s="74" t="s">
        <v>447</v>
      </c>
    </row>
    <row r="31832" spans="1:3">
      <c r="A31832" s="250">
        <v>74121</v>
      </c>
      <c r="B31832" s="74" t="s">
        <v>15680</v>
      </c>
      <c r="C31832" s="74" t="s">
        <v>447</v>
      </c>
    </row>
    <row r="31833" spans="1:3">
      <c r="A31833" s="250">
        <v>74126</v>
      </c>
      <c r="B31833" s="74" t="s">
        <v>15680</v>
      </c>
      <c r="C31833" s="74" t="s">
        <v>447</v>
      </c>
    </row>
    <row r="31834" spans="1:3">
      <c r="A31834" s="250">
        <v>74127</v>
      </c>
      <c r="B31834" s="74" t="s">
        <v>15680</v>
      </c>
      <c r="C31834" s="74" t="s">
        <v>447</v>
      </c>
    </row>
    <row r="31835" spans="1:3">
      <c r="A31835" s="250">
        <v>74128</v>
      </c>
      <c r="B31835" s="74" t="s">
        <v>15680</v>
      </c>
      <c r="C31835" s="74" t="s">
        <v>447</v>
      </c>
    </row>
    <row r="31836" spans="1:3">
      <c r="A31836" s="250">
        <v>74129</v>
      </c>
      <c r="B31836" s="74" t="s">
        <v>15680</v>
      </c>
      <c r="C31836" s="74" t="s">
        <v>447</v>
      </c>
    </row>
    <row r="31837" spans="1:3">
      <c r="A31837" s="250">
        <v>74130</v>
      </c>
      <c r="B31837" s="74" t="s">
        <v>15680</v>
      </c>
      <c r="C31837" s="74" t="s">
        <v>447</v>
      </c>
    </row>
    <row r="31838" spans="1:3">
      <c r="A31838" s="250">
        <v>74131</v>
      </c>
      <c r="B31838" s="74" t="s">
        <v>15680</v>
      </c>
      <c r="C31838" s="74" t="s">
        <v>447</v>
      </c>
    </row>
    <row r="31839" spans="1:3">
      <c r="A31839" s="250">
        <v>74132</v>
      </c>
      <c r="B31839" s="74" t="s">
        <v>15680</v>
      </c>
      <c r="C31839" s="74" t="s">
        <v>447</v>
      </c>
    </row>
    <row r="31840" spans="1:3">
      <c r="A31840" s="250">
        <v>74133</v>
      </c>
      <c r="B31840" s="74" t="s">
        <v>15680</v>
      </c>
      <c r="C31840" s="74" t="s">
        <v>447</v>
      </c>
    </row>
    <row r="31841" spans="1:3">
      <c r="A31841" s="250">
        <v>74134</v>
      </c>
      <c r="B31841" s="74" t="s">
        <v>15680</v>
      </c>
      <c r="C31841" s="74" t="s">
        <v>447</v>
      </c>
    </row>
    <row r="31842" spans="1:3">
      <c r="A31842" s="250">
        <v>74135</v>
      </c>
      <c r="B31842" s="74" t="s">
        <v>15680</v>
      </c>
      <c r="C31842" s="74" t="s">
        <v>447</v>
      </c>
    </row>
    <row r="31843" spans="1:3">
      <c r="A31843" s="250">
        <v>74136</v>
      </c>
      <c r="B31843" s="74" t="s">
        <v>15680</v>
      </c>
      <c r="C31843" s="74" t="s">
        <v>447</v>
      </c>
    </row>
    <row r="31844" spans="1:3">
      <c r="A31844" s="250">
        <v>74137</v>
      </c>
      <c r="B31844" s="74" t="s">
        <v>15680</v>
      </c>
      <c r="C31844" s="74" t="s">
        <v>447</v>
      </c>
    </row>
    <row r="31845" spans="1:3">
      <c r="A31845" s="250">
        <v>74141</v>
      </c>
      <c r="B31845" s="74" t="s">
        <v>15680</v>
      </c>
      <c r="C31845" s="74" t="s">
        <v>447</v>
      </c>
    </row>
    <row r="31846" spans="1:3">
      <c r="A31846" s="250">
        <v>74145</v>
      </c>
      <c r="B31846" s="74" t="s">
        <v>15680</v>
      </c>
      <c r="C31846" s="74" t="s">
        <v>447</v>
      </c>
    </row>
    <row r="31847" spans="1:3">
      <c r="A31847" s="250">
        <v>74146</v>
      </c>
      <c r="B31847" s="74" t="s">
        <v>15680</v>
      </c>
      <c r="C31847" s="74" t="s">
        <v>447</v>
      </c>
    </row>
    <row r="31848" spans="1:3">
      <c r="A31848" s="250">
        <v>74147</v>
      </c>
      <c r="B31848" s="74" t="s">
        <v>15680</v>
      </c>
      <c r="C31848" s="74" t="s">
        <v>447</v>
      </c>
    </row>
    <row r="31849" spans="1:3">
      <c r="A31849" s="250">
        <v>74148</v>
      </c>
      <c r="B31849" s="74" t="s">
        <v>15680</v>
      </c>
      <c r="C31849" s="74" t="s">
        <v>447</v>
      </c>
    </row>
    <row r="31850" spans="1:3">
      <c r="A31850" s="250">
        <v>74149</v>
      </c>
      <c r="B31850" s="74" t="s">
        <v>15680</v>
      </c>
      <c r="C31850" s="74" t="s">
        <v>447</v>
      </c>
    </row>
    <row r="31851" spans="1:3">
      <c r="A31851" s="250">
        <v>74150</v>
      </c>
      <c r="B31851" s="74" t="s">
        <v>15680</v>
      </c>
      <c r="C31851" s="74" t="s">
        <v>447</v>
      </c>
    </row>
    <row r="31852" spans="1:3">
      <c r="A31852" s="250">
        <v>74152</v>
      </c>
      <c r="B31852" s="74" t="s">
        <v>15680</v>
      </c>
      <c r="C31852" s="74" t="s">
        <v>447</v>
      </c>
    </row>
    <row r="31853" spans="1:3">
      <c r="A31853" s="250">
        <v>74153</v>
      </c>
      <c r="B31853" s="74" t="s">
        <v>15680</v>
      </c>
      <c r="C31853" s="74" t="s">
        <v>447</v>
      </c>
    </row>
    <row r="31854" spans="1:3">
      <c r="A31854" s="250">
        <v>74155</v>
      </c>
      <c r="B31854" s="74" t="s">
        <v>15680</v>
      </c>
      <c r="C31854" s="74" t="s">
        <v>447</v>
      </c>
    </row>
    <row r="31855" spans="1:3">
      <c r="A31855" s="250">
        <v>74156</v>
      </c>
      <c r="B31855" s="74" t="s">
        <v>15680</v>
      </c>
      <c r="C31855" s="74" t="s">
        <v>447</v>
      </c>
    </row>
    <row r="31856" spans="1:3">
      <c r="A31856" s="250">
        <v>74157</v>
      </c>
      <c r="B31856" s="74" t="s">
        <v>15680</v>
      </c>
      <c r="C31856" s="74" t="s">
        <v>447</v>
      </c>
    </row>
    <row r="31857" spans="1:3">
      <c r="A31857" s="250">
        <v>74158</v>
      </c>
      <c r="B31857" s="74" t="s">
        <v>15680</v>
      </c>
      <c r="C31857" s="74" t="s">
        <v>447</v>
      </c>
    </row>
    <row r="31858" spans="1:3">
      <c r="A31858" s="250">
        <v>74159</v>
      </c>
      <c r="B31858" s="74" t="s">
        <v>15680</v>
      </c>
      <c r="C31858" s="74" t="s">
        <v>447</v>
      </c>
    </row>
    <row r="31859" spans="1:3">
      <c r="A31859" s="250">
        <v>74169</v>
      </c>
      <c r="B31859" s="74" t="s">
        <v>15680</v>
      </c>
      <c r="C31859" s="74" t="s">
        <v>447</v>
      </c>
    </row>
    <row r="31860" spans="1:3">
      <c r="A31860" s="250">
        <v>74170</v>
      </c>
      <c r="B31860" s="74" t="s">
        <v>15680</v>
      </c>
      <c r="C31860" s="74" t="s">
        <v>447</v>
      </c>
    </row>
    <row r="31861" spans="1:3">
      <c r="A31861" s="250">
        <v>74171</v>
      </c>
      <c r="B31861" s="74" t="s">
        <v>15680</v>
      </c>
      <c r="C31861" s="74" t="s">
        <v>447</v>
      </c>
    </row>
    <row r="31862" spans="1:3">
      <c r="A31862" s="250">
        <v>74172</v>
      </c>
      <c r="B31862" s="74" t="s">
        <v>15680</v>
      </c>
      <c r="C31862" s="74" t="s">
        <v>447</v>
      </c>
    </row>
    <row r="31863" spans="1:3">
      <c r="A31863" s="250">
        <v>74182</v>
      </c>
      <c r="B31863" s="74" t="s">
        <v>15680</v>
      </c>
      <c r="C31863" s="74" t="s">
        <v>447</v>
      </c>
    </row>
    <row r="31864" spans="1:3">
      <c r="A31864" s="250">
        <v>74183</v>
      </c>
      <c r="B31864" s="74" t="s">
        <v>15680</v>
      </c>
      <c r="C31864" s="74" t="s">
        <v>447</v>
      </c>
    </row>
    <row r="31865" spans="1:3">
      <c r="A31865" s="250">
        <v>74184</v>
      </c>
      <c r="B31865" s="74" t="s">
        <v>15680</v>
      </c>
      <c r="C31865" s="74" t="s">
        <v>447</v>
      </c>
    </row>
    <row r="31866" spans="1:3">
      <c r="A31866" s="250">
        <v>74186</v>
      </c>
      <c r="B31866" s="74" t="s">
        <v>15680</v>
      </c>
      <c r="C31866" s="74" t="s">
        <v>447</v>
      </c>
    </row>
    <row r="31867" spans="1:3">
      <c r="A31867" s="250">
        <v>74187</v>
      </c>
      <c r="B31867" s="74" t="s">
        <v>15680</v>
      </c>
      <c r="C31867" s="74" t="s">
        <v>447</v>
      </c>
    </row>
    <row r="31868" spans="1:3">
      <c r="A31868" s="250">
        <v>74189</v>
      </c>
      <c r="B31868" s="74" t="s">
        <v>15680</v>
      </c>
      <c r="C31868" s="74" t="s">
        <v>447</v>
      </c>
    </row>
    <row r="31869" spans="1:3">
      <c r="A31869" s="250">
        <v>74192</v>
      </c>
      <c r="B31869" s="74" t="s">
        <v>15680</v>
      </c>
      <c r="C31869" s="74" t="s">
        <v>447</v>
      </c>
    </row>
    <row r="31870" spans="1:3">
      <c r="A31870" s="250">
        <v>74193</v>
      </c>
      <c r="B31870" s="74" t="s">
        <v>15680</v>
      </c>
      <c r="C31870" s="74" t="s">
        <v>447</v>
      </c>
    </row>
    <row r="31871" spans="1:3">
      <c r="A31871" s="250">
        <v>74194</v>
      </c>
      <c r="B31871" s="74" t="s">
        <v>15680</v>
      </c>
      <c r="C31871" s="74" t="s">
        <v>447</v>
      </c>
    </row>
    <row r="31872" spans="1:3">
      <c r="A31872" s="250">
        <v>74301</v>
      </c>
      <c r="B31872" s="74" t="s">
        <v>15681</v>
      </c>
      <c r="C31872" s="74" t="s">
        <v>447</v>
      </c>
    </row>
    <row r="31873" spans="1:3">
      <c r="A31873" s="250">
        <v>74330</v>
      </c>
      <c r="B31873" s="74" t="s">
        <v>11479</v>
      </c>
      <c r="C31873" s="74" t="s">
        <v>447</v>
      </c>
    </row>
    <row r="31874" spans="1:3">
      <c r="A31874" s="250">
        <v>74331</v>
      </c>
      <c r="B31874" s="74" t="s">
        <v>3590</v>
      </c>
      <c r="C31874" s="74" t="s">
        <v>447</v>
      </c>
    </row>
    <row r="31875" spans="1:3">
      <c r="A31875" s="250">
        <v>74332</v>
      </c>
      <c r="B31875" s="74" t="s">
        <v>15682</v>
      </c>
      <c r="C31875" s="74" t="s">
        <v>447</v>
      </c>
    </row>
    <row r="31876" spans="1:3">
      <c r="A31876" s="250">
        <v>74333</v>
      </c>
      <c r="B31876" s="74" t="s">
        <v>15683</v>
      </c>
      <c r="C31876" s="74" t="s">
        <v>447</v>
      </c>
    </row>
    <row r="31877" spans="1:3">
      <c r="A31877" s="250">
        <v>74335</v>
      </c>
      <c r="B31877" s="74" t="s">
        <v>15684</v>
      </c>
      <c r="C31877" s="74" t="s">
        <v>447</v>
      </c>
    </row>
    <row r="31878" spans="1:3">
      <c r="A31878" s="250">
        <v>74337</v>
      </c>
      <c r="B31878" s="74" t="s">
        <v>15685</v>
      </c>
      <c r="C31878" s="74" t="s">
        <v>447</v>
      </c>
    </row>
    <row r="31879" spans="1:3">
      <c r="A31879" s="250">
        <v>74338</v>
      </c>
      <c r="B31879" s="74" t="s">
        <v>6591</v>
      </c>
      <c r="C31879" s="74" t="s">
        <v>447</v>
      </c>
    </row>
    <row r="31880" spans="1:3">
      <c r="A31880" s="250">
        <v>74339</v>
      </c>
      <c r="B31880" s="74" t="s">
        <v>7970</v>
      </c>
      <c r="C31880" s="74" t="s">
        <v>447</v>
      </c>
    </row>
    <row r="31881" spans="1:3">
      <c r="A31881" s="250">
        <v>74340</v>
      </c>
      <c r="B31881" s="74" t="s">
        <v>15686</v>
      </c>
      <c r="C31881" s="74" t="s">
        <v>447</v>
      </c>
    </row>
    <row r="31882" spans="1:3">
      <c r="A31882" s="250">
        <v>74342</v>
      </c>
      <c r="B31882" s="74" t="s">
        <v>15687</v>
      </c>
      <c r="C31882" s="74" t="s">
        <v>447</v>
      </c>
    </row>
    <row r="31883" spans="1:3">
      <c r="A31883" s="250">
        <v>74343</v>
      </c>
      <c r="B31883" s="74" t="s">
        <v>10658</v>
      </c>
      <c r="C31883" s="74" t="s">
        <v>447</v>
      </c>
    </row>
    <row r="31884" spans="1:3">
      <c r="A31884" s="250">
        <v>74344</v>
      </c>
      <c r="B31884" s="74" t="s">
        <v>15688</v>
      </c>
      <c r="C31884" s="74" t="s">
        <v>447</v>
      </c>
    </row>
    <row r="31885" spans="1:3">
      <c r="A31885" s="250">
        <v>74345</v>
      </c>
      <c r="B31885" s="74" t="s">
        <v>15688</v>
      </c>
      <c r="C31885" s="74" t="s">
        <v>447</v>
      </c>
    </row>
    <row r="31886" spans="1:3">
      <c r="A31886" s="250">
        <v>74346</v>
      </c>
      <c r="B31886" s="74" t="s">
        <v>1443</v>
      </c>
      <c r="C31886" s="74" t="s">
        <v>447</v>
      </c>
    </row>
    <row r="31887" spans="1:3">
      <c r="A31887" s="250">
        <v>74347</v>
      </c>
      <c r="B31887" s="74" t="s">
        <v>8718</v>
      </c>
      <c r="C31887" s="74" t="s">
        <v>447</v>
      </c>
    </row>
    <row r="31888" spans="1:3">
      <c r="A31888" s="250">
        <v>74349</v>
      </c>
      <c r="B31888" s="74" t="s">
        <v>15689</v>
      </c>
      <c r="C31888" s="74" t="s">
        <v>447</v>
      </c>
    </row>
    <row r="31889" spans="1:3">
      <c r="A31889" s="250">
        <v>74350</v>
      </c>
      <c r="B31889" s="74" t="s">
        <v>7817</v>
      </c>
      <c r="C31889" s="74" t="s">
        <v>447</v>
      </c>
    </row>
    <row r="31890" spans="1:3">
      <c r="A31890" s="250">
        <v>74352</v>
      </c>
      <c r="B31890" s="74" t="s">
        <v>5905</v>
      </c>
      <c r="C31890" s="74" t="s">
        <v>447</v>
      </c>
    </row>
    <row r="31891" spans="1:3">
      <c r="A31891" s="250">
        <v>74354</v>
      </c>
      <c r="B31891" s="74" t="s">
        <v>6627</v>
      </c>
      <c r="C31891" s="74" t="s">
        <v>447</v>
      </c>
    </row>
    <row r="31892" spans="1:3">
      <c r="A31892" s="250">
        <v>74355</v>
      </c>
      <c r="B31892" s="74" t="s">
        <v>6627</v>
      </c>
      <c r="C31892" s="74" t="s">
        <v>447</v>
      </c>
    </row>
    <row r="31893" spans="1:3">
      <c r="A31893" s="250">
        <v>74358</v>
      </c>
      <c r="B31893" s="74" t="s">
        <v>15690</v>
      </c>
      <c r="C31893" s="74" t="s">
        <v>447</v>
      </c>
    </row>
    <row r="31894" spans="1:3">
      <c r="A31894" s="250">
        <v>74359</v>
      </c>
      <c r="B31894" s="74" t="s">
        <v>5429</v>
      </c>
      <c r="C31894" s="74" t="s">
        <v>447</v>
      </c>
    </row>
    <row r="31895" spans="1:3">
      <c r="A31895" s="250">
        <v>74360</v>
      </c>
      <c r="B31895" s="74" t="s">
        <v>15691</v>
      </c>
      <c r="C31895" s="74" t="s">
        <v>447</v>
      </c>
    </row>
    <row r="31896" spans="1:3">
      <c r="A31896" s="250">
        <v>74361</v>
      </c>
      <c r="B31896" s="74" t="s">
        <v>13243</v>
      </c>
      <c r="C31896" s="74" t="s">
        <v>447</v>
      </c>
    </row>
    <row r="31897" spans="1:3">
      <c r="A31897" s="250">
        <v>74362</v>
      </c>
      <c r="B31897" s="74" t="s">
        <v>13243</v>
      </c>
      <c r="C31897" s="74" t="s">
        <v>447</v>
      </c>
    </row>
    <row r="31898" spans="1:3">
      <c r="A31898" s="250">
        <v>74363</v>
      </c>
      <c r="B31898" s="74" t="s">
        <v>15692</v>
      </c>
      <c r="C31898" s="74" t="s">
        <v>447</v>
      </c>
    </row>
    <row r="31899" spans="1:3">
      <c r="A31899" s="250">
        <v>74364</v>
      </c>
      <c r="B31899" s="74" t="s">
        <v>3815</v>
      </c>
      <c r="C31899" s="74" t="s">
        <v>447</v>
      </c>
    </row>
    <row r="31900" spans="1:3">
      <c r="A31900" s="250">
        <v>74365</v>
      </c>
      <c r="B31900" s="74" t="s">
        <v>4238</v>
      </c>
      <c r="C31900" s="74" t="s">
        <v>447</v>
      </c>
    </row>
    <row r="31901" spans="1:3">
      <c r="A31901" s="250">
        <v>74366</v>
      </c>
      <c r="B31901" s="74" t="s">
        <v>15693</v>
      </c>
      <c r="C31901" s="74" t="s">
        <v>447</v>
      </c>
    </row>
    <row r="31902" spans="1:3">
      <c r="A31902" s="250">
        <v>74367</v>
      </c>
      <c r="B31902" s="74" t="s">
        <v>14788</v>
      </c>
      <c r="C31902" s="74" t="s">
        <v>447</v>
      </c>
    </row>
    <row r="31903" spans="1:3">
      <c r="A31903" s="250">
        <v>74368</v>
      </c>
      <c r="B31903" s="74" t="s">
        <v>15694</v>
      </c>
      <c r="C31903" s="74" t="s">
        <v>447</v>
      </c>
    </row>
    <row r="31904" spans="1:3">
      <c r="A31904" s="250">
        <v>74369</v>
      </c>
      <c r="B31904" s="74" t="s">
        <v>6492</v>
      </c>
      <c r="C31904" s="74" t="s">
        <v>447</v>
      </c>
    </row>
    <row r="31905" spans="1:3">
      <c r="A31905" s="250">
        <v>74370</v>
      </c>
      <c r="B31905" s="74" t="s">
        <v>11032</v>
      </c>
      <c r="C31905" s="74" t="s">
        <v>447</v>
      </c>
    </row>
    <row r="31906" spans="1:3">
      <c r="A31906" s="250">
        <v>74401</v>
      </c>
      <c r="B31906" s="74" t="s">
        <v>15695</v>
      </c>
      <c r="C31906" s="74" t="s">
        <v>447</v>
      </c>
    </row>
    <row r="31907" spans="1:3">
      <c r="A31907" s="250">
        <v>74402</v>
      </c>
      <c r="B31907" s="74" t="s">
        <v>15695</v>
      </c>
      <c r="C31907" s="74" t="s">
        <v>447</v>
      </c>
    </row>
    <row r="31908" spans="1:3">
      <c r="A31908" s="250">
        <v>74403</v>
      </c>
      <c r="B31908" s="74" t="s">
        <v>15695</v>
      </c>
      <c r="C31908" s="74" t="s">
        <v>447</v>
      </c>
    </row>
    <row r="31909" spans="1:3">
      <c r="A31909" s="250">
        <v>74421</v>
      </c>
      <c r="B31909" s="74" t="s">
        <v>15696</v>
      </c>
      <c r="C31909" s="74" t="s">
        <v>447</v>
      </c>
    </row>
    <row r="31910" spans="1:3">
      <c r="A31910" s="250">
        <v>74422</v>
      </c>
      <c r="B31910" s="74" t="s">
        <v>4158</v>
      </c>
      <c r="C31910" s="74" t="s">
        <v>447</v>
      </c>
    </row>
    <row r="31911" spans="1:3">
      <c r="A31911" s="250">
        <v>74423</v>
      </c>
      <c r="B31911" s="74" t="s">
        <v>15697</v>
      </c>
      <c r="C31911" s="74" t="s">
        <v>447</v>
      </c>
    </row>
    <row r="31912" spans="1:3">
      <c r="A31912" s="250">
        <v>74425</v>
      </c>
      <c r="B31912" s="74" t="s">
        <v>15698</v>
      </c>
      <c r="C31912" s="74" t="s">
        <v>447</v>
      </c>
    </row>
    <row r="31913" spans="1:3">
      <c r="A31913" s="250">
        <v>74426</v>
      </c>
      <c r="B31913" s="74" t="s">
        <v>15699</v>
      </c>
      <c r="C31913" s="74" t="s">
        <v>447</v>
      </c>
    </row>
    <row r="31914" spans="1:3">
      <c r="A31914" s="250">
        <v>74427</v>
      </c>
      <c r="B31914" s="74" t="s">
        <v>15700</v>
      </c>
      <c r="C31914" s="74" t="s">
        <v>447</v>
      </c>
    </row>
    <row r="31915" spans="1:3">
      <c r="A31915" s="250">
        <v>74428</v>
      </c>
      <c r="B31915" s="74" t="s">
        <v>15701</v>
      </c>
      <c r="C31915" s="74" t="s">
        <v>447</v>
      </c>
    </row>
    <row r="31916" spans="1:3">
      <c r="A31916" s="250">
        <v>74429</v>
      </c>
      <c r="B31916" s="74" t="s">
        <v>15702</v>
      </c>
      <c r="C31916" s="74" t="s">
        <v>447</v>
      </c>
    </row>
    <row r="31917" spans="1:3">
      <c r="A31917" s="250">
        <v>74430</v>
      </c>
      <c r="B31917" s="74" t="s">
        <v>9296</v>
      </c>
      <c r="C31917" s="74" t="s">
        <v>447</v>
      </c>
    </row>
    <row r="31918" spans="1:3">
      <c r="A31918" s="250">
        <v>74431</v>
      </c>
      <c r="B31918" s="74" t="s">
        <v>11660</v>
      </c>
      <c r="C31918" s="74" t="s">
        <v>447</v>
      </c>
    </row>
    <row r="31919" spans="1:3">
      <c r="A31919" s="250">
        <v>74432</v>
      </c>
      <c r="B31919" s="74" t="s">
        <v>8794</v>
      </c>
      <c r="C31919" s="74" t="s">
        <v>447</v>
      </c>
    </row>
    <row r="31920" spans="1:3">
      <c r="A31920" s="250">
        <v>74434</v>
      </c>
      <c r="B31920" s="74" t="s">
        <v>15703</v>
      </c>
      <c r="C31920" s="74" t="s">
        <v>447</v>
      </c>
    </row>
    <row r="31921" spans="1:3">
      <c r="A31921" s="250">
        <v>74435</v>
      </c>
      <c r="B31921" s="74" t="s">
        <v>5942</v>
      </c>
      <c r="C31921" s="74" t="s">
        <v>447</v>
      </c>
    </row>
    <row r="31922" spans="1:3">
      <c r="A31922" s="250">
        <v>74436</v>
      </c>
      <c r="B31922" s="74" t="s">
        <v>2189</v>
      </c>
      <c r="C31922" s="74" t="s">
        <v>447</v>
      </c>
    </row>
    <row r="31923" spans="1:3">
      <c r="A31923" s="250">
        <v>74437</v>
      </c>
      <c r="B31923" s="74" t="s">
        <v>15704</v>
      </c>
      <c r="C31923" s="74" t="s">
        <v>447</v>
      </c>
    </row>
    <row r="31924" spans="1:3">
      <c r="A31924" s="250">
        <v>74438</v>
      </c>
      <c r="B31924" s="74" t="s">
        <v>15705</v>
      </c>
      <c r="C31924" s="74" t="s">
        <v>447</v>
      </c>
    </row>
    <row r="31925" spans="1:3">
      <c r="A31925" s="250">
        <v>74439</v>
      </c>
      <c r="B31925" s="74" t="s">
        <v>15697</v>
      </c>
      <c r="C31925" s="74" t="s">
        <v>447</v>
      </c>
    </row>
    <row r="31926" spans="1:3">
      <c r="A31926" s="250">
        <v>74440</v>
      </c>
      <c r="B31926" s="74" t="s">
        <v>14527</v>
      </c>
      <c r="C31926" s="74" t="s">
        <v>447</v>
      </c>
    </row>
    <row r="31927" spans="1:3">
      <c r="A31927" s="250">
        <v>74441</v>
      </c>
      <c r="B31927" s="74" t="s">
        <v>11366</v>
      </c>
      <c r="C31927" s="74" t="s">
        <v>447</v>
      </c>
    </row>
    <row r="31928" spans="1:3">
      <c r="A31928" s="250">
        <v>74442</v>
      </c>
      <c r="B31928" s="74" t="s">
        <v>3988</v>
      </c>
      <c r="C31928" s="74" t="s">
        <v>447</v>
      </c>
    </row>
    <row r="31929" spans="1:3">
      <c r="A31929" s="250">
        <v>74444</v>
      </c>
      <c r="B31929" s="74" t="s">
        <v>15706</v>
      </c>
      <c r="C31929" s="74" t="s">
        <v>447</v>
      </c>
    </row>
    <row r="31930" spans="1:3">
      <c r="A31930" s="250">
        <v>74445</v>
      </c>
      <c r="B31930" s="74" t="s">
        <v>2086</v>
      </c>
      <c r="C31930" s="74" t="s">
        <v>447</v>
      </c>
    </row>
    <row r="31931" spans="1:3">
      <c r="A31931" s="250">
        <v>74446</v>
      </c>
      <c r="B31931" s="74" t="s">
        <v>15707</v>
      </c>
      <c r="C31931" s="74" t="s">
        <v>447</v>
      </c>
    </row>
    <row r="31932" spans="1:3">
      <c r="A31932" s="250">
        <v>74447</v>
      </c>
      <c r="B31932" s="74" t="s">
        <v>15708</v>
      </c>
      <c r="C31932" s="74" t="s">
        <v>447</v>
      </c>
    </row>
    <row r="31933" spans="1:3">
      <c r="A31933" s="250">
        <v>74450</v>
      </c>
      <c r="B31933" s="74" t="s">
        <v>15709</v>
      </c>
      <c r="C31933" s="74" t="s">
        <v>447</v>
      </c>
    </row>
    <row r="31934" spans="1:3">
      <c r="A31934" s="250">
        <v>74451</v>
      </c>
      <c r="B31934" s="74" t="s">
        <v>15710</v>
      </c>
      <c r="C31934" s="74" t="s">
        <v>447</v>
      </c>
    </row>
    <row r="31935" spans="1:3">
      <c r="A31935" s="250">
        <v>74452</v>
      </c>
      <c r="B31935" s="74" t="s">
        <v>15711</v>
      </c>
      <c r="C31935" s="74" t="s">
        <v>447</v>
      </c>
    </row>
    <row r="31936" spans="1:3">
      <c r="A31936" s="250">
        <v>74454</v>
      </c>
      <c r="B31936" s="74" t="s">
        <v>1404</v>
      </c>
      <c r="C31936" s="74" t="s">
        <v>447</v>
      </c>
    </row>
    <row r="31937" spans="1:3">
      <c r="A31937" s="250">
        <v>74455</v>
      </c>
      <c r="B31937" s="74" t="s">
        <v>15712</v>
      </c>
      <c r="C31937" s="74" t="s">
        <v>447</v>
      </c>
    </row>
    <row r="31938" spans="1:3">
      <c r="A31938" s="250">
        <v>74456</v>
      </c>
      <c r="B31938" s="74" t="s">
        <v>2023</v>
      </c>
      <c r="C31938" s="74" t="s">
        <v>447</v>
      </c>
    </row>
    <row r="31939" spans="1:3">
      <c r="A31939" s="250">
        <v>74457</v>
      </c>
      <c r="B31939" s="74" t="s">
        <v>1887</v>
      </c>
      <c r="C31939" s="74" t="s">
        <v>447</v>
      </c>
    </row>
    <row r="31940" spans="1:3">
      <c r="A31940" s="250">
        <v>74458</v>
      </c>
      <c r="B31940" s="74" t="s">
        <v>15713</v>
      </c>
      <c r="C31940" s="74" t="s">
        <v>447</v>
      </c>
    </row>
    <row r="31941" spans="1:3">
      <c r="A31941" s="250">
        <v>74459</v>
      </c>
      <c r="B31941" s="74" t="s">
        <v>15714</v>
      </c>
      <c r="C31941" s="74" t="s">
        <v>447</v>
      </c>
    </row>
    <row r="31942" spans="1:3">
      <c r="A31942" s="250">
        <v>74460</v>
      </c>
      <c r="B31942" s="74" t="s">
        <v>15715</v>
      </c>
      <c r="C31942" s="74" t="s">
        <v>447</v>
      </c>
    </row>
    <row r="31943" spans="1:3">
      <c r="A31943" s="250">
        <v>74461</v>
      </c>
      <c r="B31943" s="74" t="s">
        <v>15716</v>
      </c>
      <c r="C31943" s="74" t="s">
        <v>447</v>
      </c>
    </row>
    <row r="31944" spans="1:3">
      <c r="A31944" s="250">
        <v>74462</v>
      </c>
      <c r="B31944" s="74" t="s">
        <v>15717</v>
      </c>
      <c r="C31944" s="74" t="s">
        <v>447</v>
      </c>
    </row>
    <row r="31945" spans="1:3">
      <c r="A31945" s="250">
        <v>74463</v>
      </c>
      <c r="B31945" s="74" t="s">
        <v>9262</v>
      </c>
      <c r="C31945" s="74" t="s">
        <v>447</v>
      </c>
    </row>
    <row r="31946" spans="1:3">
      <c r="A31946" s="250">
        <v>74464</v>
      </c>
      <c r="B31946" s="74" t="s">
        <v>15718</v>
      </c>
      <c r="C31946" s="74" t="s">
        <v>447</v>
      </c>
    </row>
    <row r="31947" spans="1:3">
      <c r="A31947" s="250">
        <v>74465</v>
      </c>
      <c r="B31947" s="74" t="s">
        <v>15718</v>
      </c>
      <c r="C31947" s="74" t="s">
        <v>447</v>
      </c>
    </row>
    <row r="31948" spans="1:3">
      <c r="A31948" s="250">
        <v>74467</v>
      </c>
      <c r="B31948" s="74" t="s">
        <v>15719</v>
      </c>
      <c r="C31948" s="74" t="s">
        <v>447</v>
      </c>
    </row>
    <row r="31949" spans="1:3">
      <c r="A31949" s="250">
        <v>74468</v>
      </c>
      <c r="B31949" s="74" t="s">
        <v>15720</v>
      </c>
      <c r="C31949" s="74" t="s">
        <v>447</v>
      </c>
    </row>
    <row r="31950" spans="1:3">
      <c r="A31950" s="250">
        <v>74469</v>
      </c>
      <c r="B31950" s="74" t="s">
        <v>1214</v>
      </c>
      <c r="C31950" s="74" t="s">
        <v>447</v>
      </c>
    </row>
    <row r="31951" spans="1:3">
      <c r="A31951" s="250">
        <v>74470</v>
      </c>
      <c r="B31951" s="74" t="s">
        <v>15721</v>
      </c>
      <c r="C31951" s="74" t="s">
        <v>447</v>
      </c>
    </row>
    <row r="31952" spans="1:3">
      <c r="A31952" s="250">
        <v>74471</v>
      </c>
      <c r="B31952" s="74" t="s">
        <v>15722</v>
      </c>
      <c r="C31952" s="74" t="s">
        <v>447</v>
      </c>
    </row>
    <row r="31953" spans="1:3">
      <c r="A31953" s="250">
        <v>74472</v>
      </c>
      <c r="B31953" s="74" t="s">
        <v>1262</v>
      </c>
      <c r="C31953" s="74" t="s">
        <v>447</v>
      </c>
    </row>
    <row r="31954" spans="1:3">
      <c r="A31954" s="250">
        <v>74477</v>
      </c>
      <c r="B31954" s="74" t="s">
        <v>15719</v>
      </c>
      <c r="C31954" s="74" t="s">
        <v>447</v>
      </c>
    </row>
    <row r="31955" spans="1:3">
      <c r="A31955" s="250">
        <v>74501</v>
      </c>
      <c r="B31955" s="74" t="s">
        <v>15723</v>
      </c>
      <c r="C31955" s="74" t="s">
        <v>447</v>
      </c>
    </row>
    <row r="31956" spans="1:3">
      <c r="A31956" s="250">
        <v>74502</v>
      </c>
      <c r="B31956" s="74" t="s">
        <v>15723</v>
      </c>
      <c r="C31956" s="74" t="s">
        <v>447</v>
      </c>
    </row>
    <row r="31957" spans="1:3">
      <c r="A31957" s="250">
        <v>74521</v>
      </c>
      <c r="B31957" s="74" t="s">
        <v>1093</v>
      </c>
      <c r="C31957" s="74" t="s">
        <v>447</v>
      </c>
    </row>
    <row r="31958" spans="1:3">
      <c r="A31958" s="250">
        <v>74522</v>
      </c>
      <c r="B31958" s="74" t="s">
        <v>6544</v>
      </c>
      <c r="C31958" s="74" t="s">
        <v>447</v>
      </c>
    </row>
    <row r="31959" spans="1:3">
      <c r="A31959" s="250">
        <v>74523</v>
      </c>
      <c r="B31959" s="74" t="s">
        <v>15724</v>
      </c>
      <c r="C31959" s="74" t="s">
        <v>447</v>
      </c>
    </row>
    <row r="31960" spans="1:3">
      <c r="A31960" s="250">
        <v>74525</v>
      </c>
      <c r="B31960" s="74" t="s">
        <v>9170</v>
      </c>
      <c r="C31960" s="74" t="s">
        <v>447</v>
      </c>
    </row>
    <row r="31961" spans="1:3">
      <c r="A31961" s="250">
        <v>74528</v>
      </c>
      <c r="B31961" s="74" t="s">
        <v>15725</v>
      </c>
      <c r="C31961" s="74" t="s">
        <v>447</v>
      </c>
    </row>
    <row r="31962" spans="1:3">
      <c r="A31962" s="250">
        <v>74529</v>
      </c>
      <c r="B31962" s="74" t="s">
        <v>15726</v>
      </c>
      <c r="C31962" s="74" t="s">
        <v>447</v>
      </c>
    </row>
    <row r="31963" spans="1:3">
      <c r="A31963" s="250">
        <v>74530</v>
      </c>
      <c r="B31963" s="74" t="s">
        <v>15727</v>
      </c>
      <c r="C31963" s="74" t="s">
        <v>447</v>
      </c>
    </row>
    <row r="31964" spans="1:3">
      <c r="A31964" s="250">
        <v>74531</v>
      </c>
      <c r="B31964" s="74" t="s">
        <v>4536</v>
      </c>
      <c r="C31964" s="74" t="s">
        <v>447</v>
      </c>
    </row>
    <row r="31965" spans="1:3">
      <c r="A31965" s="250">
        <v>74533</v>
      </c>
      <c r="B31965" s="74" t="s">
        <v>14623</v>
      </c>
      <c r="C31965" s="74" t="s">
        <v>447</v>
      </c>
    </row>
    <row r="31966" spans="1:3">
      <c r="A31966" s="250">
        <v>74534</v>
      </c>
      <c r="B31966" s="74" t="s">
        <v>15728</v>
      </c>
      <c r="C31966" s="74" t="s">
        <v>447</v>
      </c>
    </row>
    <row r="31967" spans="1:3">
      <c r="A31967" s="250">
        <v>74535</v>
      </c>
      <c r="B31967" s="74" t="s">
        <v>15729</v>
      </c>
      <c r="C31967" s="74" t="s">
        <v>447</v>
      </c>
    </row>
    <row r="31968" spans="1:3">
      <c r="A31968" s="250">
        <v>74536</v>
      </c>
      <c r="B31968" s="74" t="s">
        <v>2476</v>
      </c>
      <c r="C31968" s="74" t="s">
        <v>447</v>
      </c>
    </row>
    <row r="31969" spans="1:3">
      <c r="A31969" s="250">
        <v>74538</v>
      </c>
      <c r="B31969" s="74" t="s">
        <v>15730</v>
      </c>
      <c r="C31969" s="74" t="s">
        <v>447</v>
      </c>
    </row>
    <row r="31970" spans="1:3">
      <c r="A31970" s="250">
        <v>74540</v>
      </c>
      <c r="B31970" s="74" t="s">
        <v>7940</v>
      </c>
      <c r="C31970" s="74" t="s">
        <v>447</v>
      </c>
    </row>
    <row r="31971" spans="1:3">
      <c r="A31971" s="250">
        <v>74542</v>
      </c>
      <c r="B31971" s="74" t="s">
        <v>9170</v>
      </c>
      <c r="C31971" s="74" t="s">
        <v>447</v>
      </c>
    </row>
    <row r="31972" spans="1:3">
      <c r="A31972" s="250">
        <v>74543</v>
      </c>
      <c r="B31972" s="74" t="s">
        <v>9179</v>
      </c>
      <c r="C31972" s="74" t="s">
        <v>447</v>
      </c>
    </row>
    <row r="31973" spans="1:3">
      <c r="A31973" s="250">
        <v>74545</v>
      </c>
      <c r="B31973" s="74" t="s">
        <v>11259</v>
      </c>
      <c r="C31973" s="74" t="s">
        <v>447</v>
      </c>
    </row>
    <row r="31974" spans="1:3">
      <c r="A31974" s="250">
        <v>74546</v>
      </c>
      <c r="B31974" s="74" t="s">
        <v>15731</v>
      </c>
      <c r="C31974" s="74" t="s">
        <v>447</v>
      </c>
    </row>
    <row r="31975" spans="1:3">
      <c r="A31975" s="250">
        <v>74547</v>
      </c>
      <c r="B31975" s="74" t="s">
        <v>15732</v>
      </c>
      <c r="C31975" s="74" t="s">
        <v>447</v>
      </c>
    </row>
    <row r="31976" spans="1:3">
      <c r="A31976" s="250">
        <v>74549</v>
      </c>
      <c r="B31976" s="74" t="s">
        <v>15733</v>
      </c>
      <c r="C31976" s="74" t="s">
        <v>447</v>
      </c>
    </row>
    <row r="31977" spans="1:3">
      <c r="A31977" s="250">
        <v>74552</v>
      </c>
      <c r="B31977" s="74" t="s">
        <v>15734</v>
      </c>
      <c r="C31977" s="74" t="s">
        <v>447</v>
      </c>
    </row>
    <row r="31978" spans="1:3">
      <c r="A31978" s="250">
        <v>74553</v>
      </c>
      <c r="B31978" s="74" t="s">
        <v>14608</v>
      </c>
      <c r="C31978" s="74" t="s">
        <v>447</v>
      </c>
    </row>
    <row r="31979" spans="1:3">
      <c r="A31979" s="250">
        <v>74554</v>
      </c>
      <c r="B31979" s="74" t="s">
        <v>15735</v>
      </c>
      <c r="C31979" s="74" t="s">
        <v>447</v>
      </c>
    </row>
    <row r="31980" spans="1:3">
      <c r="A31980" s="250">
        <v>74555</v>
      </c>
      <c r="B31980" s="74" t="s">
        <v>7742</v>
      </c>
      <c r="C31980" s="74" t="s">
        <v>447</v>
      </c>
    </row>
    <row r="31981" spans="1:3">
      <c r="A31981" s="250">
        <v>74556</v>
      </c>
      <c r="B31981" s="74" t="s">
        <v>11628</v>
      </c>
      <c r="C31981" s="74" t="s">
        <v>447</v>
      </c>
    </row>
    <row r="31982" spans="1:3">
      <c r="A31982" s="250">
        <v>74557</v>
      </c>
      <c r="B31982" s="74" t="s">
        <v>15736</v>
      </c>
      <c r="C31982" s="74" t="s">
        <v>447</v>
      </c>
    </row>
    <row r="31983" spans="1:3">
      <c r="A31983" s="250">
        <v>74558</v>
      </c>
      <c r="B31983" s="74" t="s">
        <v>15737</v>
      </c>
      <c r="C31983" s="74" t="s">
        <v>447</v>
      </c>
    </row>
    <row r="31984" spans="1:3">
      <c r="A31984" s="250">
        <v>74559</v>
      </c>
      <c r="B31984" s="74" t="s">
        <v>8699</v>
      </c>
      <c r="C31984" s="74" t="s">
        <v>447</v>
      </c>
    </row>
    <row r="31985" spans="1:3">
      <c r="A31985" s="250">
        <v>74560</v>
      </c>
      <c r="B31985" s="74" t="s">
        <v>1259</v>
      </c>
      <c r="C31985" s="74" t="s">
        <v>447</v>
      </c>
    </row>
    <row r="31986" spans="1:3">
      <c r="A31986" s="250">
        <v>74561</v>
      </c>
      <c r="B31986" s="74" t="s">
        <v>2417</v>
      </c>
      <c r="C31986" s="74" t="s">
        <v>447</v>
      </c>
    </row>
    <row r="31987" spans="1:3">
      <c r="A31987" s="250">
        <v>74562</v>
      </c>
      <c r="B31987" s="74" t="s">
        <v>15738</v>
      </c>
      <c r="C31987" s="74" t="s">
        <v>447</v>
      </c>
    </row>
    <row r="31988" spans="1:3">
      <c r="A31988" s="250">
        <v>74563</v>
      </c>
      <c r="B31988" s="74" t="s">
        <v>6245</v>
      </c>
      <c r="C31988" s="74" t="s">
        <v>447</v>
      </c>
    </row>
    <row r="31989" spans="1:3">
      <c r="A31989" s="250">
        <v>74565</v>
      </c>
      <c r="B31989" s="74" t="s">
        <v>13623</v>
      </c>
      <c r="C31989" s="74" t="s">
        <v>447</v>
      </c>
    </row>
    <row r="31990" spans="1:3">
      <c r="A31990" s="250">
        <v>74567</v>
      </c>
      <c r="B31990" s="74" t="s">
        <v>15739</v>
      </c>
      <c r="C31990" s="74" t="s">
        <v>447</v>
      </c>
    </row>
    <row r="31991" spans="1:3">
      <c r="A31991" s="250">
        <v>74569</v>
      </c>
      <c r="B31991" s="74" t="s">
        <v>15740</v>
      </c>
      <c r="C31991" s="74" t="s">
        <v>447</v>
      </c>
    </row>
    <row r="31992" spans="1:3">
      <c r="A31992" s="250">
        <v>74570</v>
      </c>
      <c r="B31992" s="74" t="s">
        <v>6305</v>
      </c>
      <c r="C31992" s="74" t="s">
        <v>447</v>
      </c>
    </row>
    <row r="31993" spans="1:3">
      <c r="A31993" s="250">
        <v>74571</v>
      </c>
      <c r="B31993" s="74" t="s">
        <v>15741</v>
      </c>
      <c r="C31993" s="74" t="s">
        <v>447</v>
      </c>
    </row>
    <row r="31994" spans="1:3">
      <c r="A31994" s="250">
        <v>74572</v>
      </c>
      <c r="B31994" s="74" t="s">
        <v>9351</v>
      </c>
      <c r="C31994" s="74" t="s">
        <v>447</v>
      </c>
    </row>
    <row r="31995" spans="1:3">
      <c r="A31995" s="250">
        <v>74574</v>
      </c>
      <c r="B31995" s="74" t="s">
        <v>15742</v>
      </c>
      <c r="C31995" s="74" t="s">
        <v>447</v>
      </c>
    </row>
    <row r="31996" spans="1:3">
      <c r="A31996" s="250">
        <v>74576</v>
      </c>
      <c r="B31996" s="74" t="s">
        <v>15743</v>
      </c>
      <c r="C31996" s="74" t="s">
        <v>447</v>
      </c>
    </row>
    <row r="31997" spans="1:3">
      <c r="A31997" s="250">
        <v>74577</v>
      </c>
      <c r="B31997" s="74" t="s">
        <v>2470</v>
      </c>
      <c r="C31997" s="74" t="s">
        <v>447</v>
      </c>
    </row>
    <row r="31998" spans="1:3">
      <c r="A31998" s="250">
        <v>74578</v>
      </c>
      <c r="B31998" s="74" t="s">
        <v>4984</v>
      </c>
      <c r="C31998" s="74" t="s">
        <v>447</v>
      </c>
    </row>
    <row r="31999" spans="1:3">
      <c r="A31999" s="250">
        <v>74601</v>
      </c>
      <c r="B31999" s="74" t="s">
        <v>15744</v>
      </c>
      <c r="C31999" s="74" t="s">
        <v>447</v>
      </c>
    </row>
    <row r="32000" spans="1:3">
      <c r="A32000" s="250">
        <v>74602</v>
      </c>
      <c r="B32000" s="74" t="s">
        <v>15744</v>
      </c>
      <c r="C32000" s="74" t="s">
        <v>447</v>
      </c>
    </row>
    <row r="32001" spans="1:3">
      <c r="A32001" s="250">
        <v>74604</v>
      </c>
      <c r="B32001" s="74" t="s">
        <v>15744</v>
      </c>
      <c r="C32001" s="74" t="s">
        <v>447</v>
      </c>
    </row>
    <row r="32002" spans="1:3">
      <c r="A32002" s="250">
        <v>74630</v>
      </c>
      <c r="B32002" s="74" t="s">
        <v>3106</v>
      </c>
      <c r="C32002" s="74" t="s">
        <v>447</v>
      </c>
    </row>
    <row r="32003" spans="1:3">
      <c r="A32003" s="250">
        <v>74631</v>
      </c>
      <c r="B32003" s="74" t="s">
        <v>14147</v>
      </c>
      <c r="C32003" s="74" t="s">
        <v>447</v>
      </c>
    </row>
    <row r="32004" spans="1:3">
      <c r="A32004" s="250">
        <v>74632</v>
      </c>
      <c r="B32004" s="74" t="s">
        <v>15745</v>
      </c>
      <c r="C32004" s="74" t="s">
        <v>447</v>
      </c>
    </row>
    <row r="32005" spans="1:3">
      <c r="A32005" s="250">
        <v>74633</v>
      </c>
      <c r="B32005" s="74" t="s">
        <v>10335</v>
      </c>
      <c r="C32005" s="74" t="s">
        <v>447</v>
      </c>
    </row>
    <row r="32006" spans="1:3">
      <c r="A32006" s="250">
        <v>74636</v>
      </c>
      <c r="B32006" s="74" t="s">
        <v>12701</v>
      </c>
      <c r="C32006" s="74" t="s">
        <v>447</v>
      </c>
    </row>
    <row r="32007" spans="1:3">
      <c r="A32007" s="250">
        <v>74637</v>
      </c>
      <c r="B32007" s="74" t="s">
        <v>1811</v>
      </c>
      <c r="C32007" s="74" t="s">
        <v>447</v>
      </c>
    </row>
    <row r="32008" spans="1:3">
      <c r="A32008" s="250">
        <v>74640</v>
      </c>
      <c r="B32008" s="74" t="s">
        <v>3056</v>
      </c>
      <c r="C32008" s="74" t="s">
        <v>447</v>
      </c>
    </row>
    <row r="32009" spans="1:3">
      <c r="A32009" s="250">
        <v>74641</v>
      </c>
      <c r="B32009" s="74" t="s">
        <v>15746</v>
      </c>
      <c r="C32009" s="74" t="s">
        <v>447</v>
      </c>
    </row>
    <row r="32010" spans="1:3">
      <c r="A32010" s="250">
        <v>74643</v>
      </c>
      <c r="B32010" s="74" t="s">
        <v>8282</v>
      </c>
      <c r="C32010" s="74" t="s">
        <v>447</v>
      </c>
    </row>
    <row r="32011" spans="1:3">
      <c r="A32011" s="250">
        <v>74644</v>
      </c>
      <c r="B32011" s="74" t="s">
        <v>15747</v>
      </c>
      <c r="C32011" s="74" t="s">
        <v>447</v>
      </c>
    </row>
    <row r="32012" spans="1:3">
      <c r="A32012" s="250">
        <v>74646</v>
      </c>
      <c r="B32012" s="74" t="s">
        <v>15748</v>
      </c>
      <c r="C32012" s="74" t="s">
        <v>447</v>
      </c>
    </row>
    <row r="32013" spans="1:3">
      <c r="A32013" s="250">
        <v>74647</v>
      </c>
      <c r="B32013" s="74" t="s">
        <v>15749</v>
      </c>
      <c r="C32013" s="74" t="s">
        <v>447</v>
      </c>
    </row>
    <row r="32014" spans="1:3">
      <c r="A32014" s="250">
        <v>74650</v>
      </c>
      <c r="B32014" s="74" t="s">
        <v>4923</v>
      </c>
      <c r="C32014" s="74" t="s">
        <v>447</v>
      </c>
    </row>
    <row r="32015" spans="1:3">
      <c r="A32015" s="250">
        <v>74651</v>
      </c>
      <c r="B32015" s="74" t="s">
        <v>15750</v>
      </c>
      <c r="C32015" s="74" t="s">
        <v>447</v>
      </c>
    </row>
    <row r="32016" spans="1:3">
      <c r="A32016" s="250">
        <v>74652</v>
      </c>
      <c r="B32016" s="74" t="s">
        <v>15751</v>
      </c>
      <c r="C32016" s="74" t="s">
        <v>447</v>
      </c>
    </row>
    <row r="32017" spans="1:3">
      <c r="A32017" s="250">
        <v>74653</v>
      </c>
      <c r="B32017" s="74" t="s">
        <v>15752</v>
      </c>
      <c r="C32017" s="74" t="s">
        <v>447</v>
      </c>
    </row>
    <row r="32018" spans="1:3">
      <c r="A32018" s="250">
        <v>74701</v>
      </c>
      <c r="B32018" s="74" t="s">
        <v>8464</v>
      </c>
      <c r="C32018" s="74" t="s">
        <v>447</v>
      </c>
    </row>
    <row r="32019" spans="1:3">
      <c r="A32019" s="250">
        <v>74702</v>
      </c>
      <c r="B32019" s="74" t="s">
        <v>8464</v>
      </c>
      <c r="C32019" s="74" t="s">
        <v>447</v>
      </c>
    </row>
    <row r="32020" spans="1:3">
      <c r="A32020" s="250">
        <v>74720</v>
      </c>
      <c r="B32020" s="74" t="s">
        <v>15753</v>
      </c>
      <c r="C32020" s="74" t="s">
        <v>447</v>
      </c>
    </row>
    <row r="32021" spans="1:3">
      <c r="A32021" s="250">
        <v>74721</v>
      </c>
      <c r="B32021" s="74" t="s">
        <v>1896</v>
      </c>
      <c r="C32021" s="74" t="s">
        <v>447</v>
      </c>
    </row>
    <row r="32022" spans="1:3">
      <c r="A32022" s="250">
        <v>74722</v>
      </c>
      <c r="B32022" s="74" t="s">
        <v>15754</v>
      </c>
      <c r="C32022" s="74" t="s">
        <v>447</v>
      </c>
    </row>
    <row r="32023" spans="1:3">
      <c r="A32023" s="250">
        <v>74723</v>
      </c>
      <c r="B32023" s="74" t="s">
        <v>1229</v>
      </c>
      <c r="C32023" s="74" t="s">
        <v>447</v>
      </c>
    </row>
    <row r="32024" spans="1:3">
      <c r="A32024" s="250">
        <v>74724</v>
      </c>
      <c r="B32024" s="74" t="s">
        <v>1434</v>
      </c>
      <c r="C32024" s="74" t="s">
        <v>447</v>
      </c>
    </row>
    <row r="32025" spans="1:3">
      <c r="A32025" s="250">
        <v>74726</v>
      </c>
      <c r="B32025" s="74" t="s">
        <v>15755</v>
      </c>
      <c r="C32025" s="74" t="s">
        <v>447</v>
      </c>
    </row>
    <row r="32026" spans="1:3">
      <c r="A32026" s="250">
        <v>74727</v>
      </c>
      <c r="B32026" s="74" t="s">
        <v>4157</v>
      </c>
      <c r="C32026" s="74" t="s">
        <v>447</v>
      </c>
    </row>
    <row r="32027" spans="1:3">
      <c r="A32027" s="250">
        <v>74728</v>
      </c>
      <c r="B32027" s="74" t="s">
        <v>14842</v>
      </c>
      <c r="C32027" s="74" t="s">
        <v>447</v>
      </c>
    </row>
    <row r="32028" spans="1:3">
      <c r="A32028" s="250">
        <v>74729</v>
      </c>
      <c r="B32028" s="74" t="s">
        <v>15756</v>
      </c>
      <c r="C32028" s="74" t="s">
        <v>447</v>
      </c>
    </row>
    <row r="32029" spans="1:3">
      <c r="A32029" s="250">
        <v>74730</v>
      </c>
      <c r="B32029" s="74" t="s">
        <v>8627</v>
      </c>
      <c r="C32029" s="74" t="s">
        <v>447</v>
      </c>
    </row>
    <row r="32030" spans="1:3">
      <c r="A32030" s="250">
        <v>74731</v>
      </c>
      <c r="B32030" s="74" t="s">
        <v>13203</v>
      </c>
      <c r="C32030" s="74" t="s">
        <v>447</v>
      </c>
    </row>
    <row r="32031" spans="1:3">
      <c r="A32031" s="250">
        <v>74733</v>
      </c>
      <c r="B32031" s="74" t="s">
        <v>8007</v>
      </c>
      <c r="C32031" s="74" t="s">
        <v>447</v>
      </c>
    </row>
    <row r="32032" spans="1:3">
      <c r="A32032" s="250">
        <v>74734</v>
      </c>
      <c r="B32032" s="74" t="s">
        <v>15757</v>
      </c>
      <c r="C32032" s="74" t="s">
        <v>447</v>
      </c>
    </row>
    <row r="32033" spans="1:3">
      <c r="A32033" s="250">
        <v>74735</v>
      </c>
      <c r="B32033" s="74" t="s">
        <v>15758</v>
      </c>
      <c r="C32033" s="74" t="s">
        <v>447</v>
      </c>
    </row>
    <row r="32034" spans="1:3">
      <c r="A32034" s="250">
        <v>74736</v>
      </c>
      <c r="B32034" s="74" t="s">
        <v>12567</v>
      </c>
      <c r="C32034" s="74" t="s">
        <v>447</v>
      </c>
    </row>
    <row r="32035" spans="1:3">
      <c r="A32035" s="250">
        <v>74737</v>
      </c>
      <c r="B32035" s="74" t="s">
        <v>9362</v>
      </c>
      <c r="C32035" s="74" t="s">
        <v>447</v>
      </c>
    </row>
    <row r="32036" spans="1:3">
      <c r="A32036" s="250">
        <v>74738</v>
      </c>
      <c r="B32036" s="74" t="s">
        <v>8402</v>
      </c>
      <c r="C32036" s="74" t="s">
        <v>447</v>
      </c>
    </row>
    <row r="32037" spans="1:3">
      <c r="A32037" s="250">
        <v>74740</v>
      </c>
      <c r="B32037" s="74" t="s">
        <v>2235</v>
      </c>
      <c r="C32037" s="74" t="s">
        <v>447</v>
      </c>
    </row>
    <row r="32038" spans="1:3">
      <c r="A32038" s="250">
        <v>74741</v>
      </c>
      <c r="B32038" s="74" t="s">
        <v>15759</v>
      </c>
      <c r="C32038" s="74" t="s">
        <v>447</v>
      </c>
    </row>
    <row r="32039" spans="1:3">
      <c r="A32039" s="250">
        <v>74743</v>
      </c>
      <c r="B32039" s="74" t="s">
        <v>12372</v>
      </c>
      <c r="C32039" s="74" t="s">
        <v>447</v>
      </c>
    </row>
    <row r="32040" spans="1:3">
      <c r="A32040" s="250">
        <v>74745</v>
      </c>
      <c r="B32040" s="74" t="s">
        <v>15760</v>
      </c>
      <c r="C32040" s="74" t="s">
        <v>447</v>
      </c>
    </row>
    <row r="32041" spans="1:3">
      <c r="A32041" s="250">
        <v>74747</v>
      </c>
      <c r="B32041" s="74" t="s">
        <v>15761</v>
      </c>
      <c r="C32041" s="74" t="s">
        <v>447</v>
      </c>
    </row>
    <row r="32042" spans="1:3">
      <c r="A32042" s="250">
        <v>74748</v>
      </c>
      <c r="B32042" s="74" t="s">
        <v>15762</v>
      </c>
      <c r="C32042" s="74" t="s">
        <v>447</v>
      </c>
    </row>
    <row r="32043" spans="1:3">
      <c r="A32043" s="250">
        <v>74750</v>
      </c>
      <c r="B32043" s="74" t="s">
        <v>3129</v>
      </c>
      <c r="C32043" s="74" t="s">
        <v>447</v>
      </c>
    </row>
    <row r="32044" spans="1:3">
      <c r="A32044" s="250">
        <v>74752</v>
      </c>
      <c r="B32044" s="74" t="s">
        <v>6899</v>
      </c>
      <c r="C32044" s="74" t="s">
        <v>447</v>
      </c>
    </row>
    <row r="32045" spans="1:3">
      <c r="A32045" s="250">
        <v>74753</v>
      </c>
      <c r="B32045" s="74" t="s">
        <v>15763</v>
      </c>
      <c r="C32045" s="74" t="s">
        <v>447</v>
      </c>
    </row>
    <row r="32046" spans="1:3">
      <c r="A32046" s="250">
        <v>74754</v>
      </c>
      <c r="B32046" s="74" t="s">
        <v>15764</v>
      </c>
      <c r="C32046" s="74" t="s">
        <v>447</v>
      </c>
    </row>
    <row r="32047" spans="1:3">
      <c r="A32047" s="250">
        <v>74755</v>
      </c>
      <c r="B32047" s="74" t="s">
        <v>15765</v>
      </c>
      <c r="C32047" s="74" t="s">
        <v>447</v>
      </c>
    </row>
    <row r="32048" spans="1:3">
      <c r="A32048" s="250">
        <v>74756</v>
      </c>
      <c r="B32048" s="74" t="s">
        <v>11224</v>
      </c>
      <c r="C32048" s="74" t="s">
        <v>447</v>
      </c>
    </row>
    <row r="32049" spans="1:3">
      <c r="A32049" s="250">
        <v>74759</v>
      </c>
      <c r="B32049" s="74" t="s">
        <v>15766</v>
      </c>
      <c r="C32049" s="74" t="s">
        <v>447</v>
      </c>
    </row>
    <row r="32050" spans="1:3">
      <c r="A32050" s="250">
        <v>74760</v>
      </c>
      <c r="B32050" s="74" t="s">
        <v>5640</v>
      </c>
      <c r="C32050" s="74" t="s">
        <v>447</v>
      </c>
    </row>
    <row r="32051" spans="1:3">
      <c r="A32051" s="250">
        <v>74761</v>
      </c>
      <c r="B32051" s="74" t="s">
        <v>15767</v>
      </c>
      <c r="C32051" s="74" t="s">
        <v>447</v>
      </c>
    </row>
    <row r="32052" spans="1:3">
      <c r="A32052" s="250">
        <v>74764</v>
      </c>
      <c r="B32052" s="74" t="s">
        <v>15768</v>
      </c>
      <c r="C32052" s="74" t="s">
        <v>447</v>
      </c>
    </row>
    <row r="32053" spans="1:3">
      <c r="A32053" s="250">
        <v>74766</v>
      </c>
      <c r="B32053" s="74" t="s">
        <v>14119</v>
      </c>
      <c r="C32053" s="74" t="s">
        <v>447</v>
      </c>
    </row>
    <row r="32054" spans="1:3">
      <c r="A32054" s="250">
        <v>74801</v>
      </c>
      <c r="B32054" s="74" t="s">
        <v>10246</v>
      </c>
      <c r="C32054" s="74" t="s">
        <v>447</v>
      </c>
    </row>
    <row r="32055" spans="1:3">
      <c r="A32055" s="250">
        <v>74802</v>
      </c>
      <c r="B32055" s="74" t="s">
        <v>10246</v>
      </c>
      <c r="C32055" s="74" t="s">
        <v>447</v>
      </c>
    </row>
    <row r="32056" spans="1:3">
      <c r="A32056" s="250">
        <v>74804</v>
      </c>
      <c r="B32056" s="74" t="s">
        <v>10246</v>
      </c>
      <c r="C32056" s="74" t="s">
        <v>447</v>
      </c>
    </row>
    <row r="32057" spans="1:3">
      <c r="A32057" s="250">
        <v>74818</v>
      </c>
      <c r="B32057" s="74" t="s">
        <v>4464</v>
      </c>
      <c r="C32057" s="74" t="s">
        <v>447</v>
      </c>
    </row>
    <row r="32058" spans="1:3">
      <c r="A32058" s="250">
        <v>74820</v>
      </c>
      <c r="B32058" s="74" t="s">
        <v>10588</v>
      </c>
      <c r="C32058" s="74" t="s">
        <v>447</v>
      </c>
    </row>
    <row r="32059" spans="1:3">
      <c r="A32059" s="250">
        <v>74821</v>
      </c>
      <c r="B32059" s="74" t="s">
        <v>10588</v>
      </c>
      <c r="C32059" s="74" t="s">
        <v>447</v>
      </c>
    </row>
    <row r="32060" spans="1:3">
      <c r="A32060" s="250">
        <v>74824</v>
      </c>
      <c r="B32060" s="74" t="s">
        <v>14679</v>
      </c>
      <c r="C32060" s="74" t="s">
        <v>447</v>
      </c>
    </row>
    <row r="32061" spans="1:3">
      <c r="A32061" s="250">
        <v>74825</v>
      </c>
      <c r="B32061" s="74" t="s">
        <v>5826</v>
      </c>
      <c r="C32061" s="74" t="s">
        <v>447</v>
      </c>
    </row>
    <row r="32062" spans="1:3">
      <c r="A32062" s="250">
        <v>74826</v>
      </c>
      <c r="B32062" s="74" t="s">
        <v>9667</v>
      </c>
      <c r="C32062" s="74" t="s">
        <v>447</v>
      </c>
    </row>
    <row r="32063" spans="1:3">
      <c r="A32063" s="250">
        <v>74827</v>
      </c>
      <c r="B32063" s="74" t="s">
        <v>9191</v>
      </c>
      <c r="C32063" s="74" t="s">
        <v>447</v>
      </c>
    </row>
    <row r="32064" spans="1:3">
      <c r="A32064" s="250">
        <v>74829</v>
      </c>
      <c r="B32064" s="74" t="s">
        <v>15769</v>
      </c>
      <c r="C32064" s="74" t="s">
        <v>447</v>
      </c>
    </row>
    <row r="32065" spans="1:3">
      <c r="A32065" s="250">
        <v>74830</v>
      </c>
      <c r="B32065" s="74" t="s">
        <v>15770</v>
      </c>
      <c r="C32065" s="74" t="s">
        <v>447</v>
      </c>
    </row>
    <row r="32066" spans="1:3">
      <c r="A32066" s="250">
        <v>74831</v>
      </c>
      <c r="B32066" s="74" t="s">
        <v>15771</v>
      </c>
      <c r="C32066" s="74" t="s">
        <v>447</v>
      </c>
    </row>
    <row r="32067" spans="1:3">
      <c r="A32067" s="250">
        <v>74832</v>
      </c>
      <c r="B32067" s="74" t="s">
        <v>11402</v>
      </c>
      <c r="C32067" s="74" t="s">
        <v>447</v>
      </c>
    </row>
    <row r="32068" spans="1:3">
      <c r="A32068" s="250">
        <v>74833</v>
      </c>
      <c r="B32068" s="74" t="s">
        <v>15772</v>
      </c>
      <c r="C32068" s="74" t="s">
        <v>447</v>
      </c>
    </row>
    <row r="32069" spans="1:3">
      <c r="A32069" s="250">
        <v>74834</v>
      </c>
      <c r="B32069" s="74" t="s">
        <v>10910</v>
      </c>
      <c r="C32069" s="74" t="s">
        <v>447</v>
      </c>
    </row>
    <row r="32070" spans="1:3">
      <c r="A32070" s="250">
        <v>74836</v>
      </c>
      <c r="B32070" s="74" t="s">
        <v>15773</v>
      </c>
      <c r="C32070" s="74" t="s">
        <v>447</v>
      </c>
    </row>
    <row r="32071" spans="1:3">
      <c r="A32071" s="250">
        <v>74837</v>
      </c>
      <c r="B32071" s="74" t="s">
        <v>2045</v>
      </c>
      <c r="C32071" s="74" t="s">
        <v>447</v>
      </c>
    </row>
    <row r="32072" spans="1:3">
      <c r="A32072" s="250">
        <v>74839</v>
      </c>
      <c r="B32072" s="74" t="s">
        <v>15774</v>
      </c>
      <c r="C32072" s="74" t="s">
        <v>447</v>
      </c>
    </row>
    <row r="32073" spans="1:3">
      <c r="A32073" s="250">
        <v>74840</v>
      </c>
      <c r="B32073" s="74" t="s">
        <v>15775</v>
      </c>
      <c r="C32073" s="74" t="s">
        <v>447</v>
      </c>
    </row>
    <row r="32074" spans="1:3">
      <c r="A32074" s="250">
        <v>74842</v>
      </c>
      <c r="B32074" s="74" t="s">
        <v>15776</v>
      </c>
      <c r="C32074" s="74" t="s">
        <v>447</v>
      </c>
    </row>
    <row r="32075" spans="1:3">
      <c r="A32075" s="250">
        <v>74843</v>
      </c>
      <c r="B32075" s="74" t="s">
        <v>15777</v>
      </c>
      <c r="C32075" s="74" t="s">
        <v>447</v>
      </c>
    </row>
    <row r="32076" spans="1:3">
      <c r="A32076" s="250">
        <v>74844</v>
      </c>
      <c r="B32076" s="74" t="s">
        <v>15778</v>
      </c>
      <c r="C32076" s="74" t="s">
        <v>447</v>
      </c>
    </row>
    <row r="32077" spans="1:3">
      <c r="A32077" s="250">
        <v>74845</v>
      </c>
      <c r="B32077" s="74" t="s">
        <v>10685</v>
      </c>
      <c r="C32077" s="74" t="s">
        <v>447</v>
      </c>
    </row>
    <row r="32078" spans="1:3">
      <c r="A32078" s="250">
        <v>74848</v>
      </c>
      <c r="B32078" s="74" t="s">
        <v>15779</v>
      </c>
      <c r="C32078" s="74" t="s">
        <v>447</v>
      </c>
    </row>
    <row r="32079" spans="1:3">
      <c r="A32079" s="250">
        <v>74849</v>
      </c>
      <c r="B32079" s="74" t="s">
        <v>15780</v>
      </c>
      <c r="C32079" s="74" t="s">
        <v>447</v>
      </c>
    </row>
    <row r="32080" spans="1:3">
      <c r="A32080" s="250">
        <v>74850</v>
      </c>
      <c r="B32080" s="74" t="s">
        <v>4632</v>
      </c>
      <c r="C32080" s="74" t="s">
        <v>447</v>
      </c>
    </row>
    <row r="32081" spans="1:3">
      <c r="A32081" s="250">
        <v>74851</v>
      </c>
      <c r="B32081" s="74" t="s">
        <v>15781</v>
      </c>
      <c r="C32081" s="74" t="s">
        <v>447</v>
      </c>
    </row>
    <row r="32082" spans="1:3">
      <c r="A32082" s="250">
        <v>74852</v>
      </c>
      <c r="B32082" s="74" t="s">
        <v>10997</v>
      </c>
      <c r="C32082" s="74" t="s">
        <v>447</v>
      </c>
    </row>
    <row r="32083" spans="1:3">
      <c r="A32083" s="250">
        <v>74854</v>
      </c>
      <c r="B32083" s="74" t="s">
        <v>15782</v>
      </c>
      <c r="C32083" s="74" t="s">
        <v>447</v>
      </c>
    </row>
    <row r="32084" spans="1:3">
      <c r="A32084" s="250">
        <v>74855</v>
      </c>
      <c r="B32084" s="74" t="s">
        <v>15783</v>
      </c>
      <c r="C32084" s="74" t="s">
        <v>447</v>
      </c>
    </row>
    <row r="32085" spans="1:3">
      <c r="A32085" s="250">
        <v>74856</v>
      </c>
      <c r="B32085" s="74" t="s">
        <v>4728</v>
      </c>
      <c r="C32085" s="74" t="s">
        <v>447</v>
      </c>
    </row>
    <row r="32086" spans="1:3">
      <c r="A32086" s="250">
        <v>74857</v>
      </c>
      <c r="B32086" s="74" t="s">
        <v>15784</v>
      </c>
      <c r="C32086" s="74" t="s">
        <v>447</v>
      </c>
    </row>
    <row r="32087" spans="1:3">
      <c r="A32087" s="250">
        <v>74859</v>
      </c>
      <c r="B32087" s="74" t="s">
        <v>15785</v>
      </c>
      <c r="C32087" s="74" t="s">
        <v>447</v>
      </c>
    </row>
    <row r="32088" spans="1:3">
      <c r="A32088" s="250">
        <v>74860</v>
      </c>
      <c r="B32088" s="74" t="s">
        <v>15786</v>
      </c>
      <c r="C32088" s="74" t="s">
        <v>447</v>
      </c>
    </row>
    <row r="32089" spans="1:3">
      <c r="A32089" s="250">
        <v>74864</v>
      </c>
      <c r="B32089" s="74" t="s">
        <v>14739</v>
      </c>
      <c r="C32089" s="74" t="s">
        <v>447</v>
      </c>
    </row>
    <row r="32090" spans="1:3">
      <c r="A32090" s="250">
        <v>74865</v>
      </c>
      <c r="B32090" s="74" t="s">
        <v>15787</v>
      </c>
      <c r="C32090" s="74" t="s">
        <v>447</v>
      </c>
    </row>
    <row r="32091" spans="1:3">
      <c r="A32091" s="250">
        <v>74866</v>
      </c>
      <c r="B32091" s="74" t="s">
        <v>11177</v>
      </c>
      <c r="C32091" s="74" t="s">
        <v>447</v>
      </c>
    </row>
    <row r="32092" spans="1:3">
      <c r="A32092" s="250">
        <v>74867</v>
      </c>
      <c r="B32092" s="74" t="s">
        <v>15788</v>
      </c>
      <c r="C32092" s="74" t="s">
        <v>447</v>
      </c>
    </row>
    <row r="32093" spans="1:3">
      <c r="A32093" s="250">
        <v>74868</v>
      </c>
      <c r="B32093" s="74" t="s">
        <v>4464</v>
      </c>
      <c r="C32093" s="74" t="s">
        <v>447</v>
      </c>
    </row>
    <row r="32094" spans="1:3">
      <c r="A32094" s="250">
        <v>74869</v>
      </c>
      <c r="B32094" s="74" t="s">
        <v>8157</v>
      </c>
      <c r="C32094" s="74" t="s">
        <v>447</v>
      </c>
    </row>
    <row r="32095" spans="1:3">
      <c r="A32095" s="250">
        <v>74871</v>
      </c>
      <c r="B32095" s="74" t="s">
        <v>7462</v>
      </c>
      <c r="C32095" s="74" t="s">
        <v>447</v>
      </c>
    </row>
    <row r="32096" spans="1:3">
      <c r="A32096" s="250">
        <v>74872</v>
      </c>
      <c r="B32096" s="74" t="s">
        <v>2072</v>
      </c>
      <c r="C32096" s="74" t="s">
        <v>447</v>
      </c>
    </row>
    <row r="32097" spans="1:3">
      <c r="A32097" s="250">
        <v>74873</v>
      </c>
      <c r="B32097" s="74" t="s">
        <v>11248</v>
      </c>
      <c r="C32097" s="74" t="s">
        <v>447</v>
      </c>
    </row>
    <row r="32098" spans="1:3">
      <c r="A32098" s="250">
        <v>74875</v>
      </c>
      <c r="B32098" s="74" t="s">
        <v>7579</v>
      </c>
      <c r="C32098" s="74" t="s">
        <v>447</v>
      </c>
    </row>
    <row r="32099" spans="1:3">
      <c r="A32099" s="250">
        <v>74878</v>
      </c>
      <c r="B32099" s="74" t="s">
        <v>15789</v>
      </c>
      <c r="C32099" s="74" t="s">
        <v>447</v>
      </c>
    </row>
    <row r="32100" spans="1:3">
      <c r="A32100" s="250">
        <v>74880</v>
      </c>
      <c r="B32100" s="74" t="s">
        <v>15790</v>
      </c>
      <c r="C32100" s="74" t="s">
        <v>447</v>
      </c>
    </row>
    <row r="32101" spans="1:3">
      <c r="A32101" s="250">
        <v>74881</v>
      </c>
      <c r="B32101" s="74" t="s">
        <v>10560</v>
      </c>
      <c r="C32101" s="74" t="s">
        <v>447</v>
      </c>
    </row>
    <row r="32102" spans="1:3">
      <c r="A32102" s="250">
        <v>74883</v>
      </c>
      <c r="B32102" s="74" t="s">
        <v>15791</v>
      </c>
      <c r="C32102" s="74" t="s">
        <v>447</v>
      </c>
    </row>
    <row r="32103" spans="1:3">
      <c r="A32103" s="250">
        <v>74884</v>
      </c>
      <c r="B32103" s="74" t="s">
        <v>15792</v>
      </c>
      <c r="C32103" s="74" t="s">
        <v>447</v>
      </c>
    </row>
    <row r="32104" spans="1:3">
      <c r="A32104" s="250">
        <v>74901</v>
      </c>
      <c r="B32104" s="74" t="s">
        <v>15793</v>
      </c>
      <c r="C32104" s="74" t="s">
        <v>447</v>
      </c>
    </row>
    <row r="32105" spans="1:3">
      <c r="A32105" s="250">
        <v>74902</v>
      </c>
      <c r="B32105" s="74" t="s">
        <v>15794</v>
      </c>
      <c r="C32105" s="74" t="s">
        <v>447</v>
      </c>
    </row>
    <row r="32106" spans="1:3">
      <c r="A32106" s="250">
        <v>74930</v>
      </c>
      <c r="B32106" s="74" t="s">
        <v>15795</v>
      </c>
      <c r="C32106" s="74" t="s">
        <v>447</v>
      </c>
    </row>
    <row r="32107" spans="1:3">
      <c r="A32107" s="250">
        <v>74931</v>
      </c>
      <c r="B32107" s="74" t="s">
        <v>15796</v>
      </c>
      <c r="C32107" s="74" t="s">
        <v>447</v>
      </c>
    </row>
    <row r="32108" spans="1:3">
      <c r="A32108" s="250">
        <v>74932</v>
      </c>
      <c r="B32108" s="74" t="s">
        <v>3902</v>
      </c>
      <c r="C32108" s="74" t="s">
        <v>447</v>
      </c>
    </row>
    <row r="32109" spans="1:3">
      <c r="A32109" s="250">
        <v>74935</v>
      </c>
      <c r="B32109" s="74" t="s">
        <v>15797</v>
      </c>
      <c r="C32109" s="74" t="s">
        <v>447</v>
      </c>
    </row>
    <row r="32110" spans="1:3">
      <c r="A32110" s="250">
        <v>74936</v>
      </c>
      <c r="B32110" s="74" t="s">
        <v>4111</v>
      </c>
      <c r="C32110" s="74" t="s">
        <v>447</v>
      </c>
    </row>
    <row r="32111" spans="1:3">
      <c r="A32111" s="250">
        <v>74937</v>
      </c>
      <c r="B32111" s="74" t="s">
        <v>15798</v>
      </c>
      <c r="C32111" s="74" t="s">
        <v>447</v>
      </c>
    </row>
    <row r="32112" spans="1:3">
      <c r="A32112" s="250">
        <v>74939</v>
      </c>
      <c r="B32112" s="74" t="s">
        <v>15799</v>
      </c>
      <c r="C32112" s="74" t="s">
        <v>447</v>
      </c>
    </row>
    <row r="32113" spans="1:3">
      <c r="A32113" s="250">
        <v>74940</v>
      </c>
      <c r="B32113" s="74" t="s">
        <v>10734</v>
      </c>
      <c r="C32113" s="74" t="s">
        <v>447</v>
      </c>
    </row>
    <row r="32114" spans="1:3">
      <c r="A32114" s="250">
        <v>74941</v>
      </c>
      <c r="B32114" s="74" t="s">
        <v>11852</v>
      </c>
      <c r="C32114" s="74" t="s">
        <v>447</v>
      </c>
    </row>
    <row r="32115" spans="1:3">
      <c r="A32115" s="250">
        <v>74942</v>
      </c>
      <c r="B32115" s="74" t="s">
        <v>15800</v>
      </c>
      <c r="C32115" s="74" t="s">
        <v>447</v>
      </c>
    </row>
    <row r="32116" spans="1:3">
      <c r="A32116" s="250">
        <v>74943</v>
      </c>
      <c r="B32116" s="74" t="s">
        <v>15801</v>
      </c>
      <c r="C32116" s="74" t="s">
        <v>447</v>
      </c>
    </row>
    <row r="32117" spans="1:3">
      <c r="A32117" s="250">
        <v>74944</v>
      </c>
      <c r="B32117" s="74" t="s">
        <v>15802</v>
      </c>
      <c r="C32117" s="74" t="s">
        <v>447</v>
      </c>
    </row>
    <row r="32118" spans="1:3">
      <c r="A32118" s="250">
        <v>74945</v>
      </c>
      <c r="B32118" s="74" t="s">
        <v>15803</v>
      </c>
      <c r="C32118" s="74" t="s">
        <v>447</v>
      </c>
    </row>
    <row r="32119" spans="1:3">
      <c r="A32119" s="250">
        <v>74946</v>
      </c>
      <c r="B32119" s="74" t="s">
        <v>15804</v>
      </c>
      <c r="C32119" s="74" t="s">
        <v>447</v>
      </c>
    </row>
    <row r="32120" spans="1:3">
      <c r="A32120" s="250">
        <v>74947</v>
      </c>
      <c r="B32120" s="74" t="s">
        <v>1284</v>
      </c>
      <c r="C32120" s="74" t="s">
        <v>447</v>
      </c>
    </row>
    <row r="32121" spans="1:3">
      <c r="A32121" s="250">
        <v>74948</v>
      </c>
      <c r="B32121" s="74" t="s">
        <v>15805</v>
      </c>
      <c r="C32121" s="74" t="s">
        <v>447</v>
      </c>
    </row>
    <row r="32122" spans="1:3">
      <c r="A32122" s="250">
        <v>74949</v>
      </c>
      <c r="B32122" s="74" t="s">
        <v>4068</v>
      </c>
      <c r="C32122" s="74" t="s">
        <v>447</v>
      </c>
    </row>
    <row r="32123" spans="1:3">
      <c r="A32123" s="250">
        <v>74951</v>
      </c>
      <c r="B32123" s="74" t="s">
        <v>3881</v>
      </c>
      <c r="C32123" s="74" t="s">
        <v>447</v>
      </c>
    </row>
    <row r="32124" spans="1:3">
      <c r="A32124" s="250">
        <v>74953</v>
      </c>
      <c r="B32124" s="74" t="s">
        <v>15806</v>
      </c>
      <c r="C32124" s="74" t="s">
        <v>447</v>
      </c>
    </row>
    <row r="32125" spans="1:3">
      <c r="A32125" s="250">
        <v>74954</v>
      </c>
      <c r="B32125" s="74" t="s">
        <v>11546</v>
      </c>
      <c r="C32125" s="74" t="s">
        <v>447</v>
      </c>
    </row>
    <row r="32126" spans="1:3">
      <c r="A32126" s="250">
        <v>74955</v>
      </c>
      <c r="B32126" s="74" t="s">
        <v>15807</v>
      </c>
      <c r="C32126" s="74" t="s">
        <v>447</v>
      </c>
    </row>
    <row r="32127" spans="1:3">
      <c r="A32127" s="250">
        <v>74956</v>
      </c>
      <c r="B32127" s="74" t="s">
        <v>15808</v>
      </c>
      <c r="C32127" s="74" t="s">
        <v>447</v>
      </c>
    </row>
    <row r="32128" spans="1:3">
      <c r="A32128" s="250">
        <v>74957</v>
      </c>
      <c r="B32128" s="74" t="s">
        <v>6884</v>
      </c>
      <c r="C32128" s="74" t="s">
        <v>447</v>
      </c>
    </row>
    <row r="32129" spans="1:3">
      <c r="A32129" s="250">
        <v>74959</v>
      </c>
      <c r="B32129" s="74" t="s">
        <v>15809</v>
      </c>
      <c r="C32129" s="74" t="s">
        <v>447</v>
      </c>
    </row>
    <row r="32130" spans="1:3">
      <c r="A32130" s="250">
        <v>74960</v>
      </c>
      <c r="B32130" s="74" t="s">
        <v>14505</v>
      </c>
      <c r="C32130" s="74" t="s">
        <v>447</v>
      </c>
    </row>
    <row r="32131" spans="1:3">
      <c r="A32131" s="250">
        <v>74962</v>
      </c>
      <c r="B32131" s="74" t="s">
        <v>15810</v>
      </c>
      <c r="C32131" s="74" t="s">
        <v>447</v>
      </c>
    </row>
    <row r="32132" spans="1:3">
      <c r="A32132" s="250">
        <v>74963</v>
      </c>
      <c r="B32132" s="74" t="s">
        <v>8675</v>
      </c>
      <c r="C32132" s="74" t="s">
        <v>447</v>
      </c>
    </row>
    <row r="32133" spans="1:3">
      <c r="A32133" s="250">
        <v>74964</v>
      </c>
      <c r="B32133" s="74" t="s">
        <v>15811</v>
      </c>
      <c r="C32133" s="74" t="s">
        <v>447</v>
      </c>
    </row>
    <row r="32134" spans="1:3">
      <c r="A32134" s="250">
        <v>74965</v>
      </c>
      <c r="B32134" s="74" t="s">
        <v>2432</v>
      </c>
      <c r="C32134" s="74" t="s">
        <v>447</v>
      </c>
    </row>
    <row r="32135" spans="1:3">
      <c r="A32135" s="250">
        <v>74966</v>
      </c>
      <c r="B32135" s="74" t="s">
        <v>15812</v>
      </c>
      <c r="C32135" s="74" t="s">
        <v>447</v>
      </c>
    </row>
    <row r="32136" spans="1:3">
      <c r="A32136" s="250">
        <v>75001</v>
      </c>
      <c r="B32136" s="74" t="s">
        <v>1564</v>
      </c>
      <c r="C32136" s="74" t="s">
        <v>453</v>
      </c>
    </row>
    <row r="32137" spans="1:3">
      <c r="A32137" s="250">
        <v>75002</v>
      </c>
      <c r="B32137" s="74" t="s">
        <v>5826</v>
      </c>
      <c r="C32137" s="74" t="s">
        <v>453</v>
      </c>
    </row>
    <row r="32138" spans="1:3">
      <c r="A32138" s="250">
        <v>75006</v>
      </c>
      <c r="B32138" s="74" t="s">
        <v>6129</v>
      </c>
      <c r="C32138" s="74" t="s">
        <v>453</v>
      </c>
    </row>
    <row r="32139" spans="1:3">
      <c r="A32139" s="250">
        <v>75007</v>
      </c>
      <c r="B32139" s="74" t="s">
        <v>6129</v>
      </c>
      <c r="C32139" s="74" t="s">
        <v>453</v>
      </c>
    </row>
    <row r="32140" spans="1:3">
      <c r="A32140" s="250">
        <v>75009</v>
      </c>
      <c r="B32140" s="74" t="s">
        <v>9272</v>
      </c>
      <c r="C32140" s="74" t="s">
        <v>453</v>
      </c>
    </row>
    <row r="32141" spans="1:3">
      <c r="A32141" s="250">
        <v>75010</v>
      </c>
      <c r="B32141" s="74" t="s">
        <v>6129</v>
      </c>
      <c r="C32141" s="74" t="s">
        <v>453</v>
      </c>
    </row>
    <row r="32142" spans="1:3">
      <c r="A32142" s="250">
        <v>75011</v>
      </c>
      <c r="B32142" s="74" t="s">
        <v>6129</v>
      </c>
      <c r="C32142" s="74" t="s">
        <v>453</v>
      </c>
    </row>
    <row r="32143" spans="1:3">
      <c r="A32143" s="250">
        <v>75013</v>
      </c>
      <c r="B32143" s="74" t="s">
        <v>5826</v>
      </c>
      <c r="C32143" s="74" t="s">
        <v>453</v>
      </c>
    </row>
    <row r="32144" spans="1:3">
      <c r="A32144" s="250">
        <v>75014</v>
      </c>
      <c r="B32144" s="74" t="s">
        <v>3712</v>
      </c>
      <c r="C32144" s="74" t="s">
        <v>453</v>
      </c>
    </row>
    <row r="32145" spans="1:3">
      <c r="A32145" s="250">
        <v>75015</v>
      </c>
      <c r="B32145" s="74" t="s">
        <v>3712</v>
      </c>
      <c r="C32145" s="74" t="s">
        <v>453</v>
      </c>
    </row>
    <row r="32146" spans="1:3">
      <c r="A32146" s="250">
        <v>75016</v>
      </c>
      <c r="B32146" s="74" t="s">
        <v>3712</v>
      </c>
      <c r="C32146" s="74" t="s">
        <v>453</v>
      </c>
    </row>
    <row r="32147" spans="1:3">
      <c r="A32147" s="250">
        <v>75017</v>
      </c>
      <c r="B32147" s="74" t="s">
        <v>3712</v>
      </c>
      <c r="C32147" s="74" t="s">
        <v>453</v>
      </c>
    </row>
    <row r="32148" spans="1:3">
      <c r="A32148" s="250">
        <v>75019</v>
      </c>
      <c r="B32148" s="74" t="s">
        <v>15813</v>
      </c>
      <c r="C32148" s="74" t="s">
        <v>453</v>
      </c>
    </row>
    <row r="32149" spans="1:3">
      <c r="A32149" s="250">
        <v>75020</v>
      </c>
      <c r="B32149" s="74" t="s">
        <v>11750</v>
      </c>
      <c r="C32149" s="74" t="s">
        <v>453</v>
      </c>
    </row>
    <row r="32150" spans="1:3">
      <c r="A32150" s="250">
        <v>75021</v>
      </c>
      <c r="B32150" s="74" t="s">
        <v>11750</v>
      </c>
      <c r="C32150" s="74" t="s">
        <v>453</v>
      </c>
    </row>
    <row r="32151" spans="1:3">
      <c r="A32151" s="250">
        <v>75022</v>
      </c>
      <c r="B32151" s="74" t="s">
        <v>15814</v>
      </c>
      <c r="C32151" s="74" t="s">
        <v>453</v>
      </c>
    </row>
    <row r="32152" spans="1:3">
      <c r="A32152" s="250">
        <v>75023</v>
      </c>
      <c r="B32152" s="74" t="s">
        <v>11895</v>
      </c>
      <c r="C32152" s="74" t="s">
        <v>453</v>
      </c>
    </row>
    <row r="32153" spans="1:3">
      <c r="A32153" s="250">
        <v>75024</v>
      </c>
      <c r="B32153" s="74" t="s">
        <v>11895</v>
      </c>
      <c r="C32153" s="74" t="s">
        <v>453</v>
      </c>
    </row>
    <row r="32154" spans="1:3">
      <c r="A32154" s="250">
        <v>75025</v>
      </c>
      <c r="B32154" s="74" t="s">
        <v>11895</v>
      </c>
      <c r="C32154" s="74" t="s">
        <v>453</v>
      </c>
    </row>
    <row r="32155" spans="1:3">
      <c r="A32155" s="250">
        <v>75026</v>
      </c>
      <c r="B32155" s="74" t="s">
        <v>11895</v>
      </c>
      <c r="C32155" s="74" t="s">
        <v>453</v>
      </c>
    </row>
    <row r="32156" spans="1:3">
      <c r="A32156" s="250">
        <v>75027</v>
      </c>
      <c r="B32156" s="74" t="s">
        <v>15814</v>
      </c>
      <c r="C32156" s="74" t="s">
        <v>453</v>
      </c>
    </row>
    <row r="32157" spans="1:3">
      <c r="A32157" s="250">
        <v>75028</v>
      </c>
      <c r="B32157" s="74" t="s">
        <v>15814</v>
      </c>
      <c r="C32157" s="74" t="s">
        <v>453</v>
      </c>
    </row>
    <row r="32158" spans="1:3">
      <c r="A32158" s="250">
        <v>75029</v>
      </c>
      <c r="B32158" s="74" t="s">
        <v>5387</v>
      </c>
      <c r="C32158" s="74" t="s">
        <v>453</v>
      </c>
    </row>
    <row r="32159" spans="1:3">
      <c r="A32159" s="250">
        <v>75030</v>
      </c>
      <c r="B32159" s="74" t="s">
        <v>15815</v>
      </c>
      <c r="C32159" s="74" t="s">
        <v>453</v>
      </c>
    </row>
    <row r="32160" spans="1:3">
      <c r="A32160" s="250">
        <v>75032</v>
      </c>
      <c r="B32160" s="74" t="s">
        <v>15816</v>
      </c>
      <c r="C32160" s="74" t="s">
        <v>453</v>
      </c>
    </row>
    <row r="32161" spans="1:3">
      <c r="A32161" s="250">
        <v>75033</v>
      </c>
      <c r="B32161" s="74" t="s">
        <v>7249</v>
      </c>
      <c r="C32161" s="74" t="s">
        <v>453</v>
      </c>
    </row>
    <row r="32162" spans="1:3">
      <c r="A32162" s="250">
        <v>75034</v>
      </c>
      <c r="B32162" s="74" t="s">
        <v>7249</v>
      </c>
      <c r="C32162" s="74" t="s">
        <v>453</v>
      </c>
    </row>
    <row r="32163" spans="1:3">
      <c r="A32163" s="250">
        <v>75035</v>
      </c>
      <c r="B32163" s="74" t="s">
        <v>7249</v>
      </c>
      <c r="C32163" s="74" t="s">
        <v>453</v>
      </c>
    </row>
    <row r="32164" spans="1:3">
      <c r="A32164" s="250">
        <v>75037</v>
      </c>
      <c r="B32164" s="74" t="s">
        <v>3712</v>
      </c>
      <c r="C32164" s="74" t="s">
        <v>453</v>
      </c>
    </row>
    <row r="32165" spans="1:3">
      <c r="A32165" s="250">
        <v>75038</v>
      </c>
      <c r="B32165" s="74" t="s">
        <v>3712</v>
      </c>
      <c r="C32165" s="74" t="s">
        <v>453</v>
      </c>
    </row>
    <row r="32166" spans="1:3">
      <c r="A32166" s="250">
        <v>75039</v>
      </c>
      <c r="B32166" s="74" t="s">
        <v>3712</v>
      </c>
      <c r="C32166" s="74" t="s">
        <v>453</v>
      </c>
    </row>
    <row r="32167" spans="1:3">
      <c r="A32167" s="250">
        <v>75040</v>
      </c>
      <c r="B32167" s="74" t="s">
        <v>1695</v>
      </c>
      <c r="C32167" s="74" t="s">
        <v>453</v>
      </c>
    </row>
    <row r="32168" spans="1:3">
      <c r="A32168" s="250">
        <v>75041</v>
      </c>
      <c r="B32168" s="74" t="s">
        <v>1695</v>
      </c>
      <c r="C32168" s="74" t="s">
        <v>453</v>
      </c>
    </row>
    <row r="32169" spans="1:3">
      <c r="A32169" s="250">
        <v>75042</v>
      </c>
      <c r="B32169" s="74" t="s">
        <v>1695</v>
      </c>
      <c r="C32169" s="74" t="s">
        <v>453</v>
      </c>
    </row>
    <row r="32170" spans="1:3">
      <c r="A32170" s="250">
        <v>75043</v>
      </c>
      <c r="B32170" s="74" t="s">
        <v>1695</v>
      </c>
      <c r="C32170" s="74" t="s">
        <v>453</v>
      </c>
    </row>
    <row r="32171" spans="1:3">
      <c r="A32171" s="250">
        <v>75044</v>
      </c>
      <c r="B32171" s="74" t="s">
        <v>1695</v>
      </c>
      <c r="C32171" s="74" t="s">
        <v>453</v>
      </c>
    </row>
    <row r="32172" spans="1:3">
      <c r="A32172" s="250">
        <v>75045</v>
      </c>
      <c r="B32172" s="74" t="s">
        <v>1695</v>
      </c>
      <c r="C32172" s="74" t="s">
        <v>453</v>
      </c>
    </row>
    <row r="32173" spans="1:3">
      <c r="A32173" s="250">
        <v>75046</v>
      </c>
      <c r="B32173" s="74" t="s">
        <v>1695</v>
      </c>
      <c r="C32173" s="74" t="s">
        <v>453</v>
      </c>
    </row>
    <row r="32174" spans="1:3">
      <c r="A32174" s="250">
        <v>75047</v>
      </c>
      <c r="B32174" s="74" t="s">
        <v>1695</v>
      </c>
      <c r="C32174" s="74" t="s">
        <v>453</v>
      </c>
    </row>
    <row r="32175" spans="1:3">
      <c r="A32175" s="250">
        <v>75048</v>
      </c>
      <c r="B32175" s="74" t="s">
        <v>15817</v>
      </c>
      <c r="C32175" s="74" t="s">
        <v>453</v>
      </c>
    </row>
    <row r="32176" spans="1:3">
      <c r="A32176" s="250">
        <v>75049</v>
      </c>
      <c r="B32176" s="74" t="s">
        <v>1695</v>
      </c>
      <c r="C32176" s="74" t="s">
        <v>453</v>
      </c>
    </row>
    <row r="32177" spans="1:3">
      <c r="A32177" s="250">
        <v>75050</v>
      </c>
      <c r="B32177" s="74" t="s">
        <v>15818</v>
      </c>
      <c r="C32177" s="74" t="s">
        <v>453</v>
      </c>
    </row>
    <row r="32178" spans="1:3">
      <c r="A32178" s="250">
        <v>75051</v>
      </c>
      <c r="B32178" s="74" t="s">
        <v>15818</v>
      </c>
      <c r="C32178" s="74" t="s">
        <v>453</v>
      </c>
    </row>
    <row r="32179" spans="1:3">
      <c r="A32179" s="250">
        <v>75052</v>
      </c>
      <c r="B32179" s="74" t="s">
        <v>15818</v>
      </c>
      <c r="C32179" s="74" t="s">
        <v>453</v>
      </c>
    </row>
    <row r="32180" spans="1:3">
      <c r="A32180" s="250">
        <v>75053</v>
      </c>
      <c r="B32180" s="74" t="s">
        <v>15818</v>
      </c>
      <c r="C32180" s="74" t="s">
        <v>453</v>
      </c>
    </row>
    <row r="32181" spans="1:3">
      <c r="A32181" s="250">
        <v>75054</v>
      </c>
      <c r="B32181" s="74" t="s">
        <v>15818</v>
      </c>
      <c r="C32181" s="74" t="s">
        <v>453</v>
      </c>
    </row>
    <row r="32182" spans="1:3">
      <c r="A32182" s="250">
        <v>75056</v>
      </c>
      <c r="B32182" s="74" t="s">
        <v>15819</v>
      </c>
      <c r="C32182" s="74" t="s">
        <v>453</v>
      </c>
    </row>
    <row r="32183" spans="1:3">
      <c r="A32183" s="250">
        <v>75057</v>
      </c>
      <c r="B32183" s="74" t="s">
        <v>5387</v>
      </c>
      <c r="C32183" s="74" t="s">
        <v>453</v>
      </c>
    </row>
    <row r="32184" spans="1:3">
      <c r="A32184" s="250">
        <v>75058</v>
      </c>
      <c r="B32184" s="74" t="s">
        <v>15820</v>
      </c>
      <c r="C32184" s="74" t="s">
        <v>453</v>
      </c>
    </row>
    <row r="32185" spans="1:3">
      <c r="A32185" s="250">
        <v>75060</v>
      </c>
      <c r="B32185" s="74" t="s">
        <v>3712</v>
      </c>
      <c r="C32185" s="74" t="s">
        <v>453</v>
      </c>
    </row>
    <row r="32186" spans="1:3">
      <c r="A32186" s="250">
        <v>75061</v>
      </c>
      <c r="B32186" s="74" t="s">
        <v>3712</v>
      </c>
      <c r="C32186" s="74" t="s">
        <v>453</v>
      </c>
    </row>
    <row r="32187" spans="1:3">
      <c r="A32187" s="250">
        <v>75062</v>
      </c>
      <c r="B32187" s="74" t="s">
        <v>3712</v>
      </c>
      <c r="C32187" s="74" t="s">
        <v>453</v>
      </c>
    </row>
    <row r="32188" spans="1:3">
      <c r="A32188" s="250">
        <v>75063</v>
      </c>
      <c r="B32188" s="74" t="s">
        <v>3712</v>
      </c>
      <c r="C32188" s="74" t="s">
        <v>453</v>
      </c>
    </row>
    <row r="32189" spans="1:3">
      <c r="A32189" s="250">
        <v>75065</v>
      </c>
      <c r="B32189" s="74" t="s">
        <v>15821</v>
      </c>
      <c r="C32189" s="74" t="s">
        <v>453</v>
      </c>
    </row>
    <row r="32190" spans="1:3">
      <c r="A32190" s="250">
        <v>75067</v>
      </c>
      <c r="B32190" s="74" t="s">
        <v>5387</v>
      </c>
      <c r="C32190" s="74" t="s">
        <v>453</v>
      </c>
    </row>
    <row r="32191" spans="1:3">
      <c r="A32191" s="250">
        <v>75068</v>
      </c>
      <c r="B32191" s="74" t="s">
        <v>15822</v>
      </c>
      <c r="C32191" s="74" t="s">
        <v>453</v>
      </c>
    </row>
    <row r="32192" spans="1:3">
      <c r="A32192" s="250">
        <v>75069</v>
      </c>
      <c r="B32192" s="74" t="s">
        <v>15823</v>
      </c>
      <c r="C32192" s="74" t="s">
        <v>453</v>
      </c>
    </row>
    <row r="32193" spans="1:3">
      <c r="A32193" s="250">
        <v>75070</v>
      </c>
      <c r="B32193" s="74" t="s">
        <v>15823</v>
      </c>
      <c r="C32193" s="74" t="s">
        <v>453</v>
      </c>
    </row>
    <row r="32194" spans="1:3">
      <c r="A32194" s="250">
        <v>75071</v>
      </c>
      <c r="B32194" s="74" t="s">
        <v>15823</v>
      </c>
      <c r="C32194" s="74" t="s">
        <v>453</v>
      </c>
    </row>
    <row r="32195" spans="1:3">
      <c r="A32195" s="250">
        <v>75074</v>
      </c>
      <c r="B32195" s="74" t="s">
        <v>11895</v>
      </c>
      <c r="C32195" s="74" t="s">
        <v>453</v>
      </c>
    </row>
    <row r="32196" spans="1:3">
      <c r="A32196" s="250">
        <v>75075</v>
      </c>
      <c r="B32196" s="74" t="s">
        <v>11895</v>
      </c>
      <c r="C32196" s="74" t="s">
        <v>453</v>
      </c>
    </row>
    <row r="32197" spans="1:3">
      <c r="A32197" s="250">
        <v>75076</v>
      </c>
      <c r="B32197" s="74" t="s">
        <v>15824</v>
      </c>
      <c r="C32197" s="74" t="s">
        <v>453</v>
      </c>
    </row>
    <row r="32198" spans="1:3">
      <c r="A32198" s="250">
        <v>75077</v>
      </c>
      <c r="B32198" s="74" t="s">
        <v>5387</v>
      </c>
      <c r="C32198" s="74" t="s">
        <v>453</v>
      </c>
    </row>
    <row r="32199" spans="1:3">
      <c r="A32199" s="250">
        <v>75078</v>
      </c>
      <c r="B32199" s="74" t="s">
        <v>15825</v>
      </c>
      <c r="C32199" s="74" t="s">
        <v>453</v>
      </c>
    </row>
    <row r="32200" spans="1:3">
      <c r="A32200" s="250">
        <v>75080</v>
      </c>
      <c r="B32200" s="74" t="s">
        <v>15826</v>
      </c>
      <c r="C32200" s="74" t="s">
        <v>453</v>
      </c>
    </row>
    <row r="32201" spans="1:3">
      <c r="A32201" s="250">
        <v>75081</v>
      </c>
      <c r="B32201" s="74" t="s">
        <v>15826</v>
      </c>
      <c r="C32201" s="74" t="s">
        <v>453</v>
      </c>
    </row>
    <row r="32202" spans="1:3">
      <c r="A32202" s="250">
        <v>75082</v>
      </c>
      <c r="B32202" s="74" t="s">
        <v>15826</v>
      </c>
      <c r="C32202" s="74" t="s">
        <v>453</v>
      </c>
    </row>
    <row r="32203" spans="1:3">
      <c r="A32203" s="250">
        <v>75083</v>
      </c>
      <c r="B32203" s="74" t="s">
        <v>15826</v>
      </c>
      <c r="C32203" s="74" t="s">
        <v>453</v>
      </c>
    </row>
    <row r="32204" spans="1:3">
      <c r="A32204" s="250">
        <v>75085</v>
      </c>
      <c r="B32204" s="74" t="s">
        <v>15826</v>
      </c>
      <c r="C32204" s="74" t="s">
        <v>453</v>
      </c>
    </row>
    <row r="32205" spans="1:3">
      <c r="A32205" s="250">
        <v>75086</v>
      </c>
      <c r="B32205" s="74" t="s">
        <v>11895</v>
      </c>
      <c r="C32205" s="74" t="s">
        <v>453</v>
      </c>
    </row>
    <row r="32206" spans="1:3">
      <c r="A32206" s="250">
        <v>75087</v>
      </c>
      <c r="B32206" s="74" t="s">
        <v>15816</v>
      </c>
      <c r="C32206" s="74" t="s">
        <v>453</v>
      </c>
    </row>
    <row r="32207" spans="1:3">
      <c r="A32207" s="250">
        <v>75088</v>
      </c>
      <c r="B32207" s="74" t="s">
        <v>15815</v>
      </c>
      <c r="C32207" s="74" t="s">
        <v>453</v>
      </c>
    </row>
    <row r="32208" spans="1:3">
      <c r="A32208" s="250">
        <v>75089</v>
      </c>
      <c r="B32208" s="74" t="s">
        <v>15815</v>
      </c>
      <c r="C32208" s="74" t="s">
        <v>453</v>
      </c>
    </row>
    <row r="32209" spans="1:3">
      <c r="A32209" s="250">
        <v>75090</v>
      </c>
      <c r="B32209" s="74" t="s">
        <v>1652</v>
      </c>
      <c r="C32209" s="74" t="s">
        <v>453</v>
      </c>
    </row>
    <row r="32210" spans="1:3">
      <c r="A32210" s="250">
        <v>75091</v>
      </c>
      <c r="B32210" s="74" t="s">
        <v>1652</v>
      </c>
      <c r="C32210" s="74" t="s">
        <v>453</v>
      </c>
    </row>
    <row r="32211" spans="1:3">
      <c r="A32211" s="250">
        <v>75092</v>
      </c>
      <c r="B32211" s="74" t="s">
        <v>1652</v>
      </c>
      <c r="C32211" s="74" t="s">
        <v>453</v>
      </c>
    </row>
    <row r="32212" spans="1:3">
      <c r="A32212" s="250">
        <v>75093</v>
      </c>
      <c r="B32212" s="74" t="s">
        <v>11895</v>
      </c>
      <c r="C32212" s="74" t="s">
        <v>453</v>
      </c>
    </row>
    <row r="32213" spans="1:3">
      <c r="A32213" s="250">
        <v>75094</v>
      </c>
      <c r="B32213" s="74" t="s">
        <v>11895</v>
      </c>
      <c r="C32213" s="74" t="s">
        <v>453</v>
      </c>
    </row>
    <row r="32214" spans="1:3">
      <c r="A32214" s="250">
        <v>75097</v>
      </c>
      <c r="B32214" s="74" t="s">
        <v>991</v>
      </c>
      <c r="C32214" s="74" t="s">
        <v>453</v>
      </c>
    </row>
    <row r="32215" spans="1:3">
      <c r="A32215" s="250">
        <v>75098</v>
      </c>
      <c r="B32215" s="74" t="s">
        <v>15827</v>
      </c>
      <c r="C32215" s="74" t="s">
        <v>453</v>
      </c>
    </row>
    <row r="32216" spans="1:3">
      <c r="A32216" s="250">
        <v>75099</v>
      </c>
      <c r="B32216" s="74" t="s">
        <v>15813</v>
      </c>
      <c r="C32216" s="74" t="s">
        <v>453</v>
      </c>
    </row>
    <row r="32217" spans="1:3">
      <c r="A32217" s="250">
        <v>75101</v>
      </c>
      <c r="B32217" s="74" t="s">
        <v>9927</v>
      </c>
      <c r="C32217" s="74" t="s">
        <v>453</v>
      </c>
    </row>
    <row r="32218" spans="1:3">
      <c r="A32218" s="250">
        <v>75102</v>
      </c>
      <c r="B32218" s="74" t="s">
        <v>12596</v>
      </c>
      <c r="C32218" s="74" t="s">
        <v>453</v>
      </c>
    </row>
    <row r="32219" spans="1:3">
      <c r="A32219" s="250">
        <v>75103</v>
      </c>
      <c r="B32219" s="74" t="s">
        <v>866</v>
      </c>
      <c r="C32219" s="74" t="s">
        <v>453</v>
      </c>
    </row>
    <row r="32220" spans="1:3">
      <c r="A32220" s="250">
        <v>75104</v>
      </c>
      <c r="B32220" s="74" t="s">
        <v>8993</v>
      </c>
      <c r="C32220" s="74" t="s">
        <v>453</v>
      </c>
    </row>
    <row r="32221" spans="1:3">
      <c r="A32221" s="250">
        <v>75105</v>
      </c>
      <c r="B32221" s="74" t="s">
        <v>10427</v>
      </c>
      <c r="C32221" s="74" t="s">
        <v>453</v>
      </c>
    </row>
    <row r="32222" spans="1:3">
      <c r="A32222" s="250">
        <v>75106</v>
      </c>
      <c r="B32222" s="74" t="s">
        <v>8993</v>
      </c>
      <c r="C32222" s="74" t="s">
        <v>453</v>
      </c>
    </row>
    <row r="32223" spans="1:3">
      <c r="A32223" s="250">
        <v>75109</v>
      </c>
      <c r="B32223" s="74" t="s">
        <v>15828</v>
      </c>
      <c r="C32223" s="74" t="s">
        <v>453</v>
      </c>
    </row>
    <row r="32224" spans="1:3">
      <c r="A32224" s="250">
        <v>75110</v>
      </c>
      <c r="B32224" s="74" t="s">
        <v>15828</v>
      </c>
      <c r="C32224" s="74" t="s">
        <v>453</v>
      </c>
    </row>
    <row r="32225" spans="1:3">
      <c r="A32225" s="250">
        <v>75114</v>
      </c>
      <c r="B32225" s="74" t="s">
        <v>8029</v>
      </c>
      <c r="C32225" s="74" t="s">
        <v>453</v>
      </c>
    </row>
    <row r="32226" spans="1:3">
      <c r="A32226" s="250">
        <v>75115</v>
      </c>
      <c r="B32226" s="74" t="s">
        <v>15829</v>
      </c>
      <c r="C32226" s="74" t="s">
        <v>453</v>
      </c>
    </row>
    <row r="32227" spans="1:3">
      <c r="A32227" s="250">
        <v>75116</v>
      </c>
      <c r="B32227" s="74" t="s">
        <v>8687</v>
      </c>
      <c r="C32227" s="74" t="s">
        <v>453</v>
      </c>
    </row>
    <row r="32228" spans="1:3">
      <c r="A32228" s="250">
        <v>75117</v>
      </c>
      <c r="B32228" s="74" t="s">
        <v>5662</v>
      </c>
      <c r="C32228" s="74" t="s">
        <v>453</v>
      </c>
    </row>
    <row r="32229" spans="1:3">
      <c r="A32229" s="250">
        <v>75118</v>
      </c>
      <c r="B32229" s="74" t="s">
        <v>13419</v>
      </c>
      <c r="C32229" s="74" t="s">
        <v>453</v>
      </c>
    </row>
    <row r="32230" spans="1:3">
      <c r="A32230" s="250">
        <v>75119</v>
      </c>
      <c r="B32230" s="74" t="s">
        <v>13373</v>
      </c>
      <c r="C32230" s="74" t="s">
        <v>453</v>
      </c>
    </row>
    <row r="32231" spans="1:3">
      <c r="A32231" s="250">
        <v>75120</v>
      </c>
      <c r="B32231" s="74" t="s">
        <v>13373</v>
      </c>
      <c r="C32231" s="74" t="s">
        <v>453</v>
      </c>
    </row>
    <row r="32232" spans="1:3">
      <c r="A32232" s="250">
        <v>75121</v>
      </c>
      <c r="B32232" s="74" t="s">
        <v>15830</v>
      </c>
      <c r="C32232" s="74" t="s">
        <v>453</v>
      </c>
    </row>
    <row r="32233" spans="1:3">
      <c r="A32233" s="250">
        <v>75123</v>
      </c>
      <c r="B32233" s="74" t="s">
        <v>15829</v>
      </c>
      <c r="C32233" s="74" t="s">
        <v>453</v>
      </c>
    </row>
    <row r="32234" spans="1:3">
      <c r="A32234" s="250">
        <v>75124</v>
      </c>
      <c r="B32234" s="74" t="s">
        <v>15831</v>
      </c>
      <c r="C32234" s="74" t="s">
        <v>453</v>
      </c>
    </row>
    <row r="32235" spans="1:3">
      <c r="A32235" s="250">
        <v>75125</v>
      </c>
      <c r="B32235" s="74" t="s">
        <v>13886</v>
      </c>
      <c r="C32235" s="74" t="s">
        <v>453</v>
      </c>
    </row>
    <row r="32236" spans="1:3">
      <c r="A32236" s="250">
        <v>75126</v>
      </c>
      <c r="B32236" s="74" t="s">
        <v>15832</v>
      </c>
      <c r="C32236" s="74" t="s">
        <v>453</v>
      </c>
    </row>
    <row r="32237" spans="1:3">
      <c r="A32237" s="250">
        <v>75127</v>
      </c>
      <c r="B32237" s="74" t="s">
        <v>9217</v>
      </c>
      <c r="C32237" s="74" t="s">
        <v>453</v>
      </c>
    </row>
    <row r="32238" spans="1:3">
      <c r="A32238" s="250">
        <v>75132</v>
      </c>
      <c r="B32238" s="74" t="s">
        <v>15833</v>
      </c>
      <c r="C32238" s="74" t="s">
        <v>453</v>
      </c>
    </row>
    <row r="32239" spans="1:3">
      <c r="A32239" s="250">
        <v>75134</v>
      </c>
      <c r="B32239" s="74" t="s">
        <v>741</v>
      </c>
      <c r="C32239" s="74" t="s">
        <v>453</v>
      </c>
    </row>
    <row r="32240" spans="1:3">
      <c r="A32240" s="250">
        <v>75135</v>
      </c>
      <c r="B32240" s="74" t="s">
        <v>15834</v>
      </c>
      <c r="C32240" s="74" t="s">
        <v>453</v>
      </c>
    </row>
    <row r="32241" spans="1:3">
      <c r="A32241" s="250">
        <v>75137</v>
      </c>
      <c r="B32241" s="74" t="s">
        <v>8687</v>
      </c>
      <c r="C32241" s="74" t="s">
        <v>453</v>
      </c>
    </row>
    <row r="32242" spans="1:3">
      <c r="A32242" s="250">
        <v>75138</v>
      </c>
      <c r="B32242" s="74" t="s">
        <v>8687</v>
      </c>
      <c r="C32242" s="74" t="s">
        <v>453</v>
      </c>
    </row>
    <row r="32243" spans="1:3">
      <c r="A32243" s="250">
        <v>75140</v>
      </c>
      <c r="B32243" s="74" t="s">
        <v>15835</v>
      </c>
      <c r="C32243" s="74" t="s">
        <v>453</v>
      </c>
    </row>
    <row r="32244" spans="1:3">
      <c r="A32244" s="250">
        <v>75141</v>
      </c>
      <c r="B32244" s="74" t="s">
        <v>15836</v>
      </c>
      <c r="C32244" s="74" t="s">
        <v>453</v>
      </c>
    </row>
    <row r="32245" spans="1:3">
      <c r="A32245" s="250">
        <v>75142</v>
      </c>
      <c r="B32245" s="74" t="s">
        <v>15837</v>
      </c>
      <c r="C32245" s="74" t="s">
        <v>453</v>
      </c>
    </row>
    <row r="32246" spans="1:3">
      <c r="A32246" s="250">
        <v>75143</v>
      </c>
      <c r="B32246" s="74" t="s">
        <v>15761</v>
      </c>
      <c r="C32246" s="74" t="s">
        <v>453</v>
      </c>
    </row>
    <row r="32247" spans="1:3">
      <c r="A32247" s="250">
        <v>75144</v>
      </c>
      <c r="B32247" s="74" t="s">
        <v>6918</v>
      </c>
      <c r="C32247" s="74" t="s">
        <v>453</v>
      </c>
    </row>
    <row r="32248" spans="1:3">
      <c r="A32248" s="250">
        <v>75146</v>
      </c>
      <c r="B32248" s="74" t="s">
        <v>741</v>
      </c>
      <c r="C32248" s="74" t="s">
        <v>453</v>
      </c>
    </row>
    <row r="32249" spans="1:3">
      <c r="A32249" s="250">
        <v>75147</v>
      </c>
      <c r="B32249" s="74" t="s">
        <v>15838</v>
      </c>
      <c r="C32249" s="74" t="s">
        <v>453</v>
      </c>
    </row>
    <row r="32250" spans="1:3">
      <c r="A32250" s="250">
        <v>75148</v>
      </c>
      <c r="B32250" s="74" t="s">
        <v>15839</v>
      </c>
      <c r="C32250" s="74" t="s">
        <v>453</v>
      </c>
    </row>
    <row r="32251" spans="1:3">
      <c r="A32251" s="250">
        <v>75149</v>
      </c>
      <c r="B32251" s="74" t="s">
        <v>15840</v>
      </c>
      <c r="C32251" s="74" t="s">
        <v>453</v>
      </c>
    </row>
    <row r="32252" spans="1:3">
      <c r="A32252" s="250">
        <v>75150</v>
      </c>
      <c r="B32252" s="74" t="s">
        <v>15840</v>
      </c>
      <c r="C32252" s="74" t="s">
        <v>453</v>
      </c>
    </row>
    <row r="32253" spans="1:3">
      <c r="A32253" s="250">
        <v>75151</v>
      </c>
      <c r="B32253" s="74" t="s">
        <v>15828</v>
      </c>
      <c r="C32253" s="74" t="s">
        <v>453</v>
      </c>
    </row>
    <row r="32254" spans="1:3">
      <c r="A32254" s="250">
        <v>75152</v>
      </c>
      <c r="B32254" s="74" t="s">
        <v>526</v>
      </c>
      <c r="C32254" s="74" t="s">
        <v>453</v>
      </c>
    </row>
    <row r="32255" spans="1:3">
      <c r="A32255" s="250">
        <v>75153</v>
      </c>
      <c r="B32255" s="74" t="s">
        <v>9152</v>
      </c>
      <c r="C32255" s="74" t="s">
        <v>453</v>
      </c>
    </row>
    <row r="32256" spans="1:3">
      <c r="A32256" s="250">
        <v>75154</v>
      </c>
      <c r="B32256" s="74" t="s">
        <v>6245</v>
      </c>
      <c r="C32256" s="74" t="s">
        <v>453</v>
      </c>
    </row>
    <row r="32257" spans="1:3">
      <c r="A32257" s="250">
        <v>75155</v>
      </c>
      <c r="B32257" s="74" t="s">
        <v>6246</v>
      </c>
      <c r="C32257" s="74" t="s">
        <v>453</v>
      </c>
    </row>
    <row r="32258" spans="1:3">
      <c r="A32258" s="250">
        <v>75156</v>
      </c>
      <c r="B32258" s="74" t="s">
        <v>15838</v>
      </c>
      <c r="C32258" s="74" t="s">
        <v>453</v>
      </c>
    </row>
    <row r="32259" spans="1:3">
      <c r="A32259" s="250">
        <v>75157</v>
      </c>
      <c r="B32259" s="74" t="s">
        <v>15841</v>
      </c>
      <c r="C32259" s="74" t="s">
        <v>453</v>
      </c>
    </row>
    <row r="32260" spans="1:3">
      <c r="A32260" s="250">
        <v>75158</v>
      </c>
      <c r="B32260" s="74" t="s">
        <v>15842</v>
      </c>
      <c r="C32260" s="74" t="s">
        <v>453</v>
      </c>
    </row>
    <row r="32261" spans="1:3">
      <c r="A32261" s="250">
        <v>75159</v>
      </c>
      <c r="B32261" s="74" t="s">
        <v>15843</v>
      </c>
      <c r="C32261" s="74" t="s">
        <v>453</v>
      </c>
    </row>
    <row r="32262" spans="1:3">
      <c r="A32262" s="250">
        <v>75160</v>
      </c>
      <c r="B32262" s="74" t="s">
        <v>7517</v>
      </c>
      <c r="C32262" s="74" t="s">
        <v>453</v>
      </c>
    </row>
    <row r="32263" spans="1:3">
      <c r="A32263" s="250">
        <v>75161</v>
      </c>
      <c r="B32263" s="74" t="s">
        <v>7517</v>
      </c>
      <c r="C32263" s="74" t="s">
        <v>453</v>
      </c>
    </row>
    <row r="32264" spans="1:3">
      <c r="A32264" s="250">
        <v>75163</v>
      </c>
      <c r="B32264" s="74" t="s">
        <v>15844</v>
      </c>
      <c r="C32264" s="74" t="s">
        <v>453</v>
      </c>
    </row>
    <row r="32265" spans="1:3">
      <c r="A32265" s="250">
        <v>75164</v>
      </c>
      <c r="B32265" s="74" t="s">
        <v>4287</v>
      </c>
      <c r="C32265" s="74" t="s">
        <v>453</v>
      </c>
    </row>
    <row r="32266" spans="1:3">
      <c r="A32266" s="250">
        <v>75165</v>
      </c>
      <c r="B32266" s="74" t="s">
        <v>15845</v>
      </c>
      <c r="C32266" s="74" t="s">
        <v>453</v>
      </c>
    </row>
    <row r="32267" spans="1:3">
      <c r="A32267" s="250">
        <v>75166</v>
      </c>
      <c r="B32267" s="74" t="s">
        <v>15846</v>
      </c>
      <c r="C32267" s="74" t="s">
        <v>453</v>
      </c>
    </row>
    <row r="32268" spans="1:3">
      <c r="A32268" s="250">
        <v>75167</v>
      </c>
      <c r="B32268" s="74" t="s">
        <v>15845</v>
      </c>
      <c r="C32268" s="74" t="s">
        <v>453</v>
      </c>
    </row>
    <row r="32269" spans="1:3">
      <c r="A32269" s="250">
        <v>75168</v>
      </c>
      <c r="B32269" s="74" t="s">
        <v>15845</v>
      </c>
      <c r="C32269" s="74" t="s">
        <v>453</v>
      </c>
    </row>
    <row r="32270" spans="1:3">
      <c r="A32270" s="250">
        <v>75169</v>
      </c>
      <c r="B32270" s="74" t="s">
        <v>15847</v>
      </c>
      <c r="C32270" s="74" t="s">
        <v>453</v>
      </c>
    </row>
    <row r="32271" spans="1:3">
      <c r="A32271" s="250">
        <v>75172</v>
      </c>
      <c r="B32271" s="74" t="s">
        <v>8930</v>
      </c>
      <c r="C32271" s="74" t="s">
        <v>453</v>
      </c>
    </row>
    <row r="32272" spans="1:3">
      <c r="A32272" s="250">
        <v>75173</v>
      </c>
      <c r="B32272" s="74" t="s">
        <v>10437</v>
      </c>
      <c r="C32272" s="74" t="s">
        <v>453</v>
      </c>
    </row>
    <row r="32273" spans="1:3">
      <c r="A32273" s="250">
        <v>75180</v>
      </c>
      <c r="B32273" s="74" t="s">
        <v>15848</v>
      </c>
      <c r="C32273" s="74" t="s">
        <v>453</v>
      </c>
    </row>
    <row r="32274" spans="1:3">
      <c r="A32274" s="250">
        <v>75181</v>
      </c>
      <c r="B32274" s="74" t="s">
        <v>15840</v>
      </c>
      <c r="C32274" s="74" t="s">
        <v>453</v>
      </c>
    </row>
    <row r="32275" spans="1:3">
      <c r="A32275" s="250">
        <v>75182</v>
      </c>
      <c r="B32275" s="74" t="s">
        <v>15849</v>
      </c>
      <c r="C32275" s="74" t="s">
        <v>453</v>
      </c>
    </row>
    <row r="32276" spans="1:3">
      <c r="A32276" s="250">
        <v>75185</v>
      </c>
      <c r="B32276" s="74" t="s">
        <v>15840</v>
      </c>
      <c r="C32276" s="74" t="s">
        <v>453</v>
      </c>
    </row>
    <row r="32277" spans="1:3">
      <c r="A32277" s="250">
        <v>75187</v>
      </c>
      <c r="B32277" s="74" t="s">
        <v>15840</v>
      </c>
      <c r="C32277" s="74" t="s">
        <v>453</v>
      </c>
    </row>
    <row r="32278" spans="1:3">
      <c r="A32278" s="250">
        <v>75189</v>
      </c>
      <c r="B32278" s="74" t="s">
        <v>15850</v>
      </c>
      <c r="C32278" s="74" t="s">
        <v>453</v>
      </c>
    </row>
    <row r="32279" spans="1:3">
      <c r="A32279" s="250">
        <v>75201</v>
      </c>
      <c r="B32279" s="74" t="s">
        <v>5199</v>
      </c>
      <c r="C32279" s="74" t="s">
        <v>453</v>
      </c>
    </row>
    <row r="32280" spans="1:3">
      <c r="A32280" s="250">
        <v>75202</v>
      </c>
      <c r="B32280" s="74" t="s">
        <v>5199</v>
      </c>
      <c r="C32280" s="74" t="s">
        <v>453</v>
      </c>
    </row>
    <row r="32281" spans="1:3">
      <c r="A32281" s="250">
        <v>75203</v>
      </c>
      <c r="B32281" s="74" t="s">
        <v>5199</v>
      </c>
      <c r="C32281" s="74" t="s">
        <v>453</v>
      </c>
    </row>
    <row r="32282" spans="1:3">
      <c r="A32282" s="250">
        <v>75204</v>
      </c>
      <c r="B32282" s="74" t="s">
        <v>5199</v>
      </c>
      <c r="C32282" s="74" t="s">
        <v>453</v>
      </c>
    </row>
    <row r="32283" spans="1:3">
      <c r="A32283" s="250">
        <v>75205</v>
      </c>
      <c r="B32283" s="74" t="s">
        <v>5199</v>
      </c>
      <c r="C32283" s="74" t="s">
        <v>453</v>
      </c>
    </row>
    <row r="32284" spans="1:3">
      <c r="A32284" s="250">
        <v>75206</v>
      </c>
      <c r="B32284" s="74" t="s">
        <v>5199</v>
      </c>
      <c r="C32284" s="74" t="s">
        <v>453</v>
      </c>
    </row>
    <row r="32285" spans="1:3">
      <c r="A32285" s="250">
        <v>75207</v>
      </c>
      <c r="B32285" s="74" t="s">
        <v>5199</v>
      </c>
      <c r="C32285" s="74" t="s">
        <v>453</v>
      </c>
    </row>
    <row r="32286" spans="1:3">
      <c r="A32286" s="250">
        <v>75208</v>
      </c>
      <c r="B32286" s="74" t="s">
        <v>5199</v>
      </c>
      <c r="C32286" s="74" t="s">
        <v>453</v>
      </c>
    </row>
    <row r="32287" spans="1:3">
      <c r="A32287" s="250">
        <v>75209</v>
      </c>
      <c r="B32287" s="74" t="s">
        <v>5199</v>
      </c>
      <c r="C32287" s="74" t="s">
        <v>453</v>
      </c>
    </row>
    <row r="32288" spans="1:3">
      <c r="A32288" s="250">
        <v>75210</v>
      </c>
      <c r="B32288" s="74" t="s">
        <v>5199</v>
      </c>
      <c r="C32288" s="74" t="s">
        <v>453</v>
      </c>
    </row>
    <row r="32289" spans="1:3">
      <c r="A32289" s="250">
        <v>75211</v>
      </c>
      <c r="B32289" s="74" t="s">
        <v>5199</v>
      </c>
      <c r="C32289" s="74" t="s">
        <v>453</v>
      </c>
    </row>
    <row r="32290" spans="1:3">
      <c r="A32290" s="250">
        <v>75212</v>
      </c>
      <c r="B32290" s="74" t="s">
        <v>5199</v>
      </c>
      <c r="C32290" s="74" t="s">
        <v>453</v>
      </c>
    </row>
    <row r="32291" spans="1:3">
      <c r="A32291" s="250">
        <v>75214</v>
      </c>
      <c r="B32291" s="74" t="s">
        <v>5199</v>
      </c>
      <c r="C32291" s="74" t="s">
        <v>453</v>
      </c>
    </row>
    <row r="32292" spans="1:3">
      <c r="A32292" s="250">
        <v>75215</v>
      </c>
      <c r="B32292" s="74" t="s">
        <v>5199</v>
      </c>
      <c r="C32292" s="74" t="s">
        <v>453</v>
      </c>
    </row>
    <row r="32293" spans="1:3">
      <c r="A32293" s="250">
        <v>75216</v>
      </c>
      <c r="B32293" s="74" t="s">
        <v>5199</v>
      </c>
      <c r="C32293" s="74" t="s">
        <v>453</v>
      </c>
    </row>
    <row r="32294" spans="1:3">
      <c r="A32294" s="250">
        <v>75217</v>
      </c>
      <c r="B32294" s="74" t="s">
        <v>5199</v>
      </c>
      <c r="C32294" s="74" t="s">
        <v>453</v>
      </c>
    </row>
    <row r="32295" spans="1:3">
      <c r="A32295" s="250">
        <v>75218</v>
      </c>
      <c r="B32295" s="74" t="s">
        <v>5199</v>
      </c>
      <c r="C32295" s="74" t="s">
        <v>453</v>
      </c>
    </row>
    <row r="32296" spans="1:3">
      <c r="A32296" s="250">
        <v>75219</v>
      </c>
      <c r="B32296" s="74" t="s">
        <v>5199</v>
      </c>
      <c r="C32296" s="74" t="s">
        <v>453</v>
      </c>
    </row>
    <row r="32297" spans="1:3">
      <c r="A32297" s="250">
        <v>75220</v>
      </c>
      <c r="B32297" s="74" t="s">
        <v>5199</v>
      </c>
      <c r="C32297" s="74" t="s">
        <v>453</v>
      </c>
    </row>
    <row r="32298" spans="1:3">
      <c r="A32298" s="250">
        <v>75221</v>
      </c>
      <c r="B32298" s="74" t="s">
        <v>5199</v>
      </c>
      <c r="C32298" s="74" t="s">
        <v>453</v>
      </c>
    </row>
    <row r="32299" spans="1:3">
      <c r="A32299" s="250">
        <v>75222</v>
      </c>
      <c r="B32299" s="74" t="s">
        <v>5199</v>
      </c>
      <c r="C32299" s="74" t="s">
        <v>453</v>
      </c>
    </row>
    <row r="32300" spans="1:3">
      <c r="A32300" s="250">
        <v>75223</v>
      </c>
      <c r="B32300" s="74" t="s">
        <v>5199</v>
      </c>
      <c r="C32300" s="74" t="s">
        <v>453</v>
      </c>
    </row>
    <row r="32301" spans="1:3">
      <c r="A32301" s="250">
        <v>75224</v>
      </c>
      <c r="B32301" s="74" t="s">
        <v>5199</v>
      </c>
      <c r="C32301" s="74" t="s">
        <v>453</v>
      </c>
    </row>
    <row r="32302" spans="1:3">
      <c r="A32302" s="250">
        <v>75225</v>
      </c>
      <c r="B32302" s="74" t="s">
        <v>5199</v>
      </c>
      <c r="C32302" s="74" t="s">
        <v>453</v>
      </c>
    </row>
    <row r="32303" spans="1:3">
      <c r="A32303" s="250">
        <v>75226</v>
      </c>
      <c r="B32303" s="74" t="s">
        <v>5199</v>
      </c>
      <c r="C32303" s="74" t="s">
        <v>453</v>
      </c>
    </row>
    <row r="32304" spans="1:3">
      <c r="A32304" s="250">
        <v>75227</v>
      </c>
      <c r="B32304" s="74" t="s">
        <v>5199</v>
      </c>
      <c r="C32304" s="74" t="s">
        <v>453</v>
      </c>
    </row>
    <row r="32305" spans="1:3">
      <c r="A32305" s="250">
        <v>75228</v>
      </c>
      <c r="B32305" s="74" t="s">
        <v>5199</v>
      </c>
      <c r="C32305" s="74" t="s">
        <v>453</v>
      </c>
    </row>
    <row r="32306" spans="1:3">
      <c r="A32306" s="250">
        <v>75229</v>
      </c>
      <c r="B32306" s="74" t="s">
        <v>5199</v>
      </c>
      <c r="C32306" s="74" t="s">
        <v>453</v>
      </c>
    </row>
    <row r="32307" spans="1:3">
      <c r="A32307" s="250">
        <v>75230</v>
      </c>
      <c r="B32307" s="74" t="s">
        <v>5199</v>
      </c>
      <c r="C32307" s="74" t="s">
        <v>453</v>
      </c>
    </row>
    <row r="32308" spans="1:3">
      <c r="A32308" s="250">
        <v>75231</v>
      </c>
      <c r="B32308" s="74" t="s">
        <v>5199</v>
      </c>
      <c r="C32308" s="74" t="s">
        <v>453</v>
      </c>
    </row>
    <row r="32309" spans="1:3">
      <c r="A32309" s="250">
        <v>75232</v>
      </c>
      <c r="B32309" s="74" t="s">
        <v>5199</v>
      </c>
      <c r="C32309" s="74" t="s">
        <v>453</v>
      </c>
    </row>
    <row r="32310" spans="1:3">
      <c r="A32310" s="250">
        <v>75233</v>
      </c>
      <c r="B32310" s="74" t="s">
        <v>5199</v>
      </c>
      <c r="C32310" s="74" t="s">
        <v>453</v>
      </c>
    </row>
    <row r="32311" spans="1:3">
      <c r="A32311" s="250">
        <v>75234</v>
      </c>
      <c r="B32311" s="74" t="s">
        <v>5199</v>
      </c>
      <c r="C32311" s="74" t="s">
        <v>453</v>
      </c>
    </row>
    <row r="32312" spans="1:3">
      <c r="A32312" s="250">
        <v>75235</v>
      </c>
      <c r="B32312" s="74" t="s">
        <v>5199</v>
      </c>
      <c r="C32312" s="74" t="s">
        <v>453</v>
      </c>
    </row>
    <row r="32313" spans="1:3">
      <c r="A32313" s="250">
        <v>75236</v>
      </c>
      <c r="B32313" s="74" t="s">
        <v>5199</v>
      </c>
      <c r="C32313" s="74" t="s">
        <v>453</v>
      </c>
    </row>
    <row r="32314" spans="1:3">
      <c r="A32314" s="250">
        <v>75237</v>
      </c>
      <c r="B32314" s="74" t="s">
        <v>5199</v>
      </c>
      <c r="C32314" s="74" t="s">
        <v>453</v>
      </c>
    </row>
    <row r="32315" spans="1:3">
      <c r="A32315" s="250">
        <v>75238</v>
      </c>
      <c r="B32315" s="74" t="s">
        <v>5199</v>
      </c>
      <c r="C32315" s="74" t="s">
        <v>453</v>
      </c>
    </row>
    <row r="32316" spans="1:3">
      <c r="A32316" s="250">
        <v>75240</v>
      </c>
      <c r="B32316" s="74" t="s">
        <v>5199</v>
      </c>
      <c r="C32316" s="74" t="s">
        <v>453</v>
      </c>
    </row>
    <row r="32317" spans="1:3">
      <c r="A32317" s="250">
        <v>75241</v>
      </c>
      <c r="B32317" s="74" t="s">
        <v>5199</v>
      </c>
      <c r="C32317" s="74" t="s">
        <v>453</v>
      </c>
    </row>
    <row r="32318" spans="1:3">
      <c r="A32318" s="250">
        <v>75242</v>
      </c>
      <c r="B32318" s="74" t="s">
        <v>5199</v>
      </c>
      <c r="C32318" s="74" t="s">
        <v>453</v>
      </c>
    </row>
    <row r="32319" spans="1:3">
      <c r="A32319" s="250">
        <v>75243</v>
      </c>
      <c r="B32319" s="74" t="s">
        <v>5199</v>
      </c>
      <c r="C32319" s="74" t="s">
        <v>453</v>
      </c>
    </row>
    <row r="32320" spans="1:3">
      <c r="A32320" s="250">
        <v>75244</v>
      </c>
      <c r="B32320" s="74" t="s">
        <v>5199</v>
      </c>
      <c r="C32320" s="74" t="s">
        <v>453</v>
      </c>
    </row>
    <row r="32321" spans="1:3">
      <c r="A32321" s="250">
        <v>75245</v>
      </c>
      <c r="B32321" s="74" t="s">
        <v>5199</v>
      </c>
      <c r="C32321" s="74" t="s">
        <v>453</v>
      </c>
    </row>
    <row r="32322" spans="1:3">
      <c r="A32322" s="250">
        <v>75246</v>
      </c>
      <c r="B32322" s="74" t="s">
        <v>5199</v>
      </c>
      <c r="C32322" s="74" t="s">
        <v>453</v>
      </c>
    </row>
    <row r="32323" spans="1:3">
      <c r="A32323" s="250">
        <v>75247</v>
      </c>
      <c r="B32323" s="74" t="s">
        <v>5199</v>
      </c>
      <c r="C32323" s="74" t="s">
        <v>453</v>
      </c>
    </row>
    <row r="32324" spans="1:3">
      <c r="A32324" s="250">
        <v>75248</v>
      </c>
      <c r="B32324" s="74" t="s">
        <v>5199</v>
      </c>
      <c r="C32324" s="74" t="s">
        <v>453</v>
      </c>
    </row>
    <row r="32325" spans="1:3">
      <c r="A32325" s="250">
        <v>75249</v>
      </c>
      <c r="B32325" s="74" t="s">
        <v>5199</v>
      </c>
      <c r="C32325" s="74" t="s">
        <v>453</v>
      </c>
    </row>
    <row r="32326" spans="1:3">
      <c r="A32326" s="250">
        <v>75250</v>
      </c>
      <c r="B32326" s="74" t="s">
        <v>5199</v>
      </c>
      <c r="C32326" s="74" t="s">
        <v>453</v>
      </c>
    </row>
    <row r="32327" spans="1:3">
      <c r="A32327" s="250">
        <v>75251</v>
      </c>
      <c r="B32327" s="74" t="s">
        <v>5199</v>
      </c>
      <c r="C32327" s="74" t="s">
        <v>453</v>
      </c>
    </row>
    <row r="32328" spans="1:3">
      <c r="A32328" s="250">
        <v>75252</v>
      </c>
      <c r="B32328" s="74" t="s">
        <v>5199</v>
      </c>
      <c r="C32328" s="74" t="s">
        <v>453</v>
      </c>
    </row>
    <row r="32329" spans="1:3">
      <c r="A32329" s="250">
        <v>75253</v>
      </c>
      <c r="B32329" s="74" t="s">
        <v>5199</v>
      </c>
      <c r="C32329" s="74" t="s">
        <v>453</v>
      </c>
    </row>
    <row r="32330" spans="1:3">
      <c r="A32330" s="250">
        <v>75254</v>
      </c>
      <c r="B32330" s="74" t="s">
        <v>5199</v>
      </c>
      <c r="C32330" s="74" t="s">
        <v>453</v>
      </c>
    </row>
    <row r="32331" spans="1:3">
      <c r="A32331" s="250">
        <v>75258</v>
      </c>
      <c r="B32331" s="74" t="s">
        <v>5199</v>
      </c>
      <c r="C32331" s="74" t="s">
        <v>453</v>
      </c>
    </row>
    <row r="32332" spans="1:3">
      <c r="A32332" s="250">
        <v>75260</v>
      </c>
      <c r="B32332" s="74" t="s">
        <v>5199</v>
      </c>
      <c r="C32332" s="74" t="s">
        <v>453</v>
      </c>
    </row>
    <row r="32333" spans="1:3">
      <c r="A32333" s="250">
        <v>75261</v>
      </c>
      <c r="B32333" s="74" t="s">
        <v>5199</v>
      </c>
      <c r="C32333" s="74" t="s">
        <v>453</v>
      </c>
    </row>
    <row r="32334" spans="1:3">
      <c r="A32334" s="250">
        <v>75262</v>
      </c>
      <c r="B32334" s="74" t="s">
        <v>5199</v>
      </c>
      <c r="C32334" s="74" t="s">
        <v>453</v>
      </c>
    </row>
    <row r="32335" spans="1:3">
      <c r="A32335" s="250">
        <v>75263</v>
      </c>
      <c r="B32335" s="74" t="s">
        <v>5199</v>
      </c>
      <c r="C32335" s="74" t="s">
        <v>453</v>
      </c>
    </row>
    <row r="32336" spans="1:3">
      <c r="A32336" s="250">
        <v>75264</v>
      </c>
      <c r="B32336" s="74" t="s">
        <v>5199</v>
      </c>
      <c r="C32336" s="74" t="s">
        <v>453</v>
      </c>
    </row>
    <row r="32337" spans="1:3">
      <c r="A32337" s="250">
        <v>75265</v>
      </c>
      <c r="B32337" s="74" t="s">
        <v>5199</v>
      </c>
      <c r="C32337" s="74" t="s">
        <v>453</v>
      </c>
    </row>
    <row r="32338" spans="1:3">
      <c r="A32338" s="250">
        <v>75266</v>
      </c>
      <c r="B32338" s="74" t="s">
        <v>5199</v>
      </c>
      <c r="C32338" s="74" t="s">
        <v>453</v>
      </c>
    </row>
    <row r="32339" spans="1:3">
      <c r="A32339" s="250">
        <v>75267</v>
      </c>
      <c r="B32339" s="74" t="s">
        <v>5199</v>
      </c>
      <c r="C32339" s="74" t="s">
        <v>453</v>
      </c>
    </row>
    <row r="32340" spans="1:3">
      <c r="A32340" s="250">
        <v>75270</v>
      </c>
      <c r="B32340" s="74" t="s">
        <v>5199</v>
      </c>
      <c r="C32340" s="74" t="s">
        <v>453</v>
      </c>
    </row>
    <row r="32341" spans="1:3">
      <c r="A32341" s="250">
        <v>75275</v>
      </c>
      <c r="B32341" s="74" t="s">
        <v>5199</v>
      </c>
      <c r="C32341" s="74" t="s">
        <v>453</v>
      </c>
    </row>
    <row r="32342" spans="1:3">
      <c r="A32342" s="250">
        <v>75277</v>
      </c>
      <c r="B32342" s="74" t="s">
        <v>5199</v>
      </c>
      <c r="C32342" s="74" t="s">
        <v>453</v>
      </c>
    </row>
    <row r="32343" spans="1:3">
      <c r="A32343" s="250">
        <v>75283</v>
      </c>
      <c r="B32343" s="74" t="s">
        <v>5199</v>
      </c>
      <c r="C32343" s="74" t="s">
        <v>453</v>
      </c>
    </row>
    <row r="32344" spans="1:3">
      <c r="A32344" s="250">
        <v>75284</v>
      </c>
      <c r="B32344" s="74" t="s">
        <v>5199</v>
      </c>
      <c r="C32344" s="74" t="s">
        <v>453</v>
      </c>
    </row>
    <row r="32345" spans="1:3">
      <c r="A32345" s="250">
        <v>75285</v>
      </c>
      <c r="B32345" s="74" t="s">
        <v>5199</v>
      </c>
      <c r="C32345" s="74" t="s">
        <v>453</v>
      </c>
    </row>
    <row r="32346" spans="1:3">
      <c r="A32346" s="250">
        <v>75286</v>
      </c>
      <c r="B32346" s="74" t="s">
        <v>5199</v>
      </c>
      <c r="C32346" s="74" t="s">
        <v>453</v>
      </c>
    </row>
    <row r="32347" spans="1:3">
      <c r="A32347" s="250">
        <v>75287</v>
      </c>
      <c r="B32347" s="74" t="s">
        <v>5199</v>
      </c>
      <c r="C32347" s="74" t="s">
        <v>453</v>
      </c>
    </row>
    <row r="32348" spans="1:3">
      <c r="A32348" s="250">
        <v>75301</v>
      </c>
      <c r="B32348" s="74" t="s">
        <v>5199</v>
      </c>
      <c r="C32348" s="74" t="s">
        <v>453</v>
      </c>
    </row>
    <row r="32349" spans="1:3">
      <c r="A32349" s="250">
        <v>75303</v>
      </c>
      <c r="B32349" s="74" t="s">
        <v>5199</v>
      </c>
      <c r="C32349" s="74" t="s">
        <v>453</v>
      </c>
    </row>
    <row r="32350" spans="1:3">
      <c r="A32350" s="250">
        <v>75310</v>
      </c>
      <c r="B32350" s="74" t="s">
        <v>5199</v>
      </c>
      <c r="C32350" s="74" t="s">
        <v>453</v>
      </c>
    </row>
    <row r="32351" spans="1:3">
      <c r="A32351" s="250">
        <v>75312</v>
      </c>
      <c r="B32351" s="74" t="s">
        <v>5199</v>
      </c>
      <c r="C32351" s="74" t="s">
        <v>453</v>
      </c>
    </row>
    <row r="32352" spans="1:3">
      <c r="A32352" s="250">
        <v>75313</v>
      </c>
      <c r="B32352" s="74" t="s">
        <v>5199</v>
      </c>
      <c r="C32352" s="74" t="s">
        <v>453</v>
      </c>
    </row>
    <row r="32353" spans="1:3">
      <c r="A32353" s="250">
        <v>75315</v>
      </c>
      <c r="B32353" s="74" t="s">
        <v>5199</v>
      </c>
      <c r="C32353" s="74" t="s">
        <v>453</v>
      </c>
    </row>
    <row r="32354" spans="1:3">
      <c r="A32354" s="250">
        <v>75320</v>
      </c>
      <c r="B32354" s="74" t="s">
        <v>5199</v>
      </c>
      <c r="C32354" s="74" t="s">
        <v>453</v>
      </c>
    </row>
    <row r="32355" spans="1:3">
      <c r="A32355" s="250">
        <v>75323</v>
      </c>
      <c r="B32355" s="74" t="s">
        <v>5199</v>
      </c>
      <c r="C32355" s="74" t="s">
        <v>453</v>
      </c>
    </row>
    <row r="32356" spans="1:3">
      <c r="A32356" s="250">
        <v>75326</v>
      </c>
      <c r="B32356" s="74" t="s">
        <v>5199</v>
      </c>
      <c r="C32356" s="74" t="s">
        <v>453</v>
      </c>
    </row>
    <row r="32357" spans="1:3">
      <c r="A32357" s="250">
        <v>75334</v>
      </c>
      <c r="B32357" s="74" t="s">
        <v>5199</v>
      </c>
      <c r="C32357" s="74" t="s">
        <v>453</v>
      </c>
    </row>
    <row r="32358" spans="1:3">
      <c r="A32358" s="250">
        <v>75336</v>
      </c>
      <c r="B32358" s="74" t="s">
        <v>5199</v>
      </c>
      <c r="C32358" s="74" t="s">
        <v>453</v>
      </c>
    </row>
    <row r="32359" spans="1:3">
      <c r="A32359" s="250">
        <v>75339</v>
      </c>
      <c r="B32359" s="74" t="s">
        <v>5199</v>
      </c>
      <c r="C32359" s="74" t="s">
        <v>453</v>
      </c>
    </row>
    <row r="32360" spans="1:3">
      <c r="A32360" s="250">
        <v>75340</v>
      </c>
      <c r="B32360" s="74" t="s">
        <v>5199</v>
      </c>
      <c r="C32360" s="74" t="s">
        <v>453</v>
      </c>
    </row>
    <row r="32361" spans="1:3">
      <c r="A32361" s="250">
        <v>75342</v>
      </c>
      <c r="B32361" s="74" t="s">
        <v>5199</v>
      </c>
      <c r="C32361" s="74" t="s">
        <v>453</v>
      </c>
    </row>
    <row r="32362" spans="1:3">
      <c r="A32362" s="250">
        <v>75343</v>
      </c>
      <c r="B32362" s="74" t="s">
        <v>5199</v>
      </c>
      <c r="C32362" s="74" t="s">
        <v>453</v>
      </c>
    </row>
    <row r="32363" spans="1:3">
      <c r="A32363" s="250">
        <v>75344</v>
      </c>
      <c r="B32363" s="74" t="s">
        <v>5199</v>
      </c>
      <c r="C32363" s="74" t="s">
        <v>453</v>
      </c>
    </row>
    <row r="32364" spans="1:3">
      <c r="A32364" s="250">
        <v>75353</v>
      </c>
      <c r="B32364" s="74" t="s">
        <v>5199</v>
      </c>
      <c r="C32364" s="74" t="s">
        <v>453</v>
      </c>
    </row>
    <row r="32365" spans="1:3">
      <c r="A32365" s="250">
        <v>75354</v>
      </c>
      <c r="B32365" s="74" t="s">
        <v>5199</v>
      </c>
      <c r="C32365" s="74" t="s">
        <v>453</v>
      </c>
    </row>
    <row r="32366" spans="1:3">
      <c r="A32366" s="250">
        <v>75355</v>
      </c>
      <c r="B32366" s="74" t="s">
        <v>5199</v>
      </c>
      <c r="C32366" s="74" t="s">
        <v>453</v>
      </c>
    </row>
    <row r="32367" spans="1:3">
      <c r="A32367" s="250">
        <v>75356</v>
      </c>
      <c r="B32367" s="74" t="s">
        <v>5199</v>
      </c>
      <c r="C32367" s="74" t="s">
        <v>453</v>
      </c>
    </row>
    <row r="32368" spans="1:3">
      <c r="A32368" s="250">
        <v>75357</v>
      </c>
      <c r="B32368" s="74" t="s">
        <v>5199</v>
      </c>
      <c r="C32368" s="74" t="s">
        <v>453</v>
      </c>
    </row>
    <row r="32369" spans="1:3">
      <c r="A32369" s="250">
        <v>75358</v>
      </c>
      <c r="B32369" s="74" t="s">
        <v>5199</v>
      </c>
      <c r="C32369" s="74" t="s">
        <v>453</v>
      </c>
    </row>
    <row r="32370" spans="1:3">
      <c r="A32370" s="250">
        <v>75359</v>
      </c>
      <c r="B32370" s="74" t="s">
        <v>5199</v>
      </c>
      <c r="C32370" s="74" t="s">
        <v>453</v>
      </c>
    </row>
    <row r="32371" spans="1:3">
      <c r="A32371" s="250">
        <v>75360</v>
      </c>
      <c r="B32371" s="74" t="s">
        <v>5199</v>
      </c>
      <c r="C32371" s="74" t="s">
        <v>453</v>
      </c>
    </row>
    <row r="32372" spans="1:3">
      <c r="A32372" s="250">
        <v>75363</v>
      </c>
      <c r="B32372" s="74" t="s">
        <v>5199</v>
      </c>
      <c r="C32372" s="74" t="s">
        <v>453</v>
      </c>
    </row>
    <row r="32373" spans="1:3">
      <c r="A32373" s="250">
        <v>75364</v>
      </c>
      <c r="B32373" s="74" t="s">
        <v>5199</v>
      </c>
      <c r="C32373" s="74" t="s">
        <v>453</v>
      </c>
    </row>
    <row r="32374" spans="1:3">
      <c r="A32374" s="250">
        <v>75367</v>
      </c>
      <c r="B32374" s="74" t="s">
        <v>5199</v>
      </c>
      <c r="C32374" s="74" t="s">
        <v>453</v>
      </c>
    </row>
    <row r="32375" spans="1:3">
      <c r="A32375" s="250">
        <v>75368</v>
      </c>
      <c r="B32375" s="74" t="s">
        <v>5199</v>
      </c>
      <c r="C32375" s="74" t="s">
        <v>453</v>
      </c>
    </row>
    <row r="32376" spans="1:3">
      <c r="A32376" s="250">
        <v>75370</v>
      </c>
      <c r="B32376" s="74" t="s">
        <v>5199</v>
      </c>
      <c r="C32376" s="74" t="s">
        <v>453</v>
      </c>
    </row>
    <row r="32377" spans="1:3">
      <c r="A32377" s="250">
        <v>75371</v>
      </c>
      <c r="B32377" s="74" t="s">
        <v>5199</v>
      </c>
      <c r="C32377" s="74" t="s">
        <v>453</v>
      </c>
    </row>
    <row r="32378" spans="1:3">
      <c r="A32378" s="250">
        <v>75372</v>
      </c>
      <c r="B32378" s="74" t="s">
        <v>5199</v>
      </c>
      <c r="C32378" s="74" t="s">
        <v>453</v>
      </c>
    </row>
    <row r="32379" spans="1:3">
      <c r="A32379" s="250">
        <v>75373</v>
      </c>
      <c r="B32379" s="74" t="s">
        <v>5199</v>
      </c>
      <c r="C32379" s="74" t="s">
        <v>453</v>
      </c>
    </row>
    <row r="32380" spans="1:3">
      <c r="A32380" s="250">
        <v>75374</v>
      </c>
      <c r="B32380" s="74" t="s">
        <v>5199</v>
      </c>
      <c r="C32380" s="74" t="s">
        <v>453</v>
      </c>
    </row>
    <row r="32381" spans="1:3">
      <c r="A32381" s="250">
        <v>75376</v>
      </c>
      <c r="B32381" s="74" t="s">
        <v>5199</v>
      </c>
      <c r="C32381" s="74" t="s">
        <v>453</v>
      </c>
    </row>
    <row r="32382" spans="1:3">
      <c r="A32382" s="250">
        <v>75378</v>
      </c>
      <c r="B32382" s="74" t="s">
        <v>5199</v>
      </c>
      <c r="C32382" s="74" t="s">
        <v>453</v>
      </c>
    </row>
    <row r="32383" spans="1:3">
      <c r="A32383" s="250">
        <v>75379</v>
      </c>
      <c r="B32383" s="74" t="s">
        <v>5199</v>
      </c>
      <c r="C32383" s="74" t="s">
        <v>453</v>
      </c>
    </row>
    <row r="32384" spans="1:3">
      <c r="A32384" s="250">
        <v>75380</v>
      </c>
      <c r="B32384" s="74" t="s">
        <v>5199</v>
      </c>
      <c r="C32384" s="74" t="s">
        <v>453</v>
      </c>
    </row>
    <row r="32385" spans="1:3">
      <c r="A32385" s="250">
        <v>75381</v>
      </c>
      <c r="B32385" s="74" t="s">
        <v>5199</v>
      </c>
      <c r="C32385" s="74" t="s">
        <v>453</v>
      </c>
    </row>
    <row r="32386" spans="1:3">
      <c r="A32386" s="250">
        <v>75382</v>
      </c>
      <c r="B32386" s="74" t="s">
        <v>5199</v>
      </c>
      <c r="C32386" s="74" t="s">
        <v>453</v>
      </c>
    </row>
    <row r="32387" spans="1:3">
      <c r="A32387" s="250">
        <v>75386</v>
      </c>
      <c r="B32387" s="74" t="s">
        <v>5199</v>
      </c>
      <c r="C32387" s="74" t="s">
        <v>453</v>
      </c>
    </row>
    <row r="32388" spans="1:3">
      <c r="A32388" s="250">
        <v>75387</v>
      </c>
      <c r="B32388" s="74" t="s">
        <v>5199</v>
      </c>
      <c r="C32388" s="74" t="s">
        <v>453</v>
      </c>
    </row>
    <row r="32389" spans="1:3">
      <c r="A32389" s="250">
        <v>75388</v>
      </c>
      <c r="B32389" s="74" t="s">
        <v>5199</v>
      </c>
      <c r="C32389" s="74" t="s">
        <v>453</v>
      </c>
    </row>
    <row r="32390" spans="1:3">
      <c r="A32390" s="250">
        <v>75389</v>
      </c>
      <c r="B32390" s="74" t="s">
        <v>5199</v>
      </c>
      <c r="C32390" s="74" t="s">
        <v>453</v>
      </c>
    </row>
    <row r="32391" spans="1:3">
      <c r="A32391" s="250">
        <v>75390</v>
      </c>
      <c r="B32391" s="74" t="s">
        <v>5199</v>
      </c>
      <c r="C32391" s="74" t="s">
        <v>453</v>
      </c>
    </row>
    <row r="32392" spans="1:3">
      <c r="A32392" s="250">
        <v>75391</v>
      </c>
      <c r="B32392" s="74" t="s">
        <v>5199</v>
      </c>
      <c r="C32392" s="74" t="s">
        <v>453</v>
      </c>
    </row>
    <row r="32393" spans="1:3">
      <c r="A32393" s="250">
        <v>75392</v>
      </c>
      <c r="B32393" s="74" t="s">
        <v>5199</v>
      </c>
      <c r="C32393" s="74" t="s">
        <v>453</v>
      </c>
    </row>
    <row r="32394" spans="1:3">
      <c r="A32394" s="250">
        <v>75393</v>
      </c>
      <c r="B32394" s="74" t="s">
        <v>5199</v>
      </c>
      <c r="C32394" s="74" t="s">
        <v>453</v>
      </c>
    </row>
    <row r="32395" spans="1:3">
      <c r="A32395" s="250">
        <v>75394</v>
      </c>
      <c r="B32395" s="74" t="s">
        <v>5199</v>
      </c>
      <c r="C32395" s="74" t="s">
        <v>453</v>
      </c>
    </row>
    <row r="32396" spans="1:3">
      <c r="A32396" s="250">
        <v>75395</v>
      </c>
      <c r="B32396" s="74" t="s">
        <v>5199</v>
      </c>
      <c r="C32396" s="74" t="s">
        <v>453</v>
      </c>
    </row>
    <row r="32397" spans="1:3">
      <c r="A32397" s="250">
        <v>75396</v>
      </c>
      <c r="B32397" s="74" t="s">
        <v>5199</v>
      </c>
      <c r="C32397" s="74" t="s">
        <v>453</v>
      </c>
    </row>
    <row r="32398" spans="1:3">
      <c r="A32398" s="250">
        <v>75397</v>
      </c>
      <c r="B32398" s="74" t="s">
        <v>5199</v>
      </c>
      <c r="C32398" s="74" t="s">
        <v>453</v>
      </c>
    </row>
    <row r="32399" spans="1:3">
      <c r="A32399" s="250">
        <v>75398</v>
      </c>
      <c r="B32399" s="74" t="s">
        <v>5199</v>
      </c>
      <c r="C32399" s="74" t="s">
        <v>453</v>
      </c>
    </row>
    <row r="32400" spans="1:3">
      <c r="A32400" s="250">
        <v>75401</v>
      </c>
      <c r="B32400" s="74" t="s">
        <v>1108</v>
      </c>
      <c r="C32400" s="74" t="s">
        <v>453</v>
      </c>
    </row>
    <row r="32401" spans="1:3">
      <c r="A32401" s="250">
        <v>75402</v>
      </c>
      <c r="B32401" s="74" t="s">
        <v>1108</v>
      </c>
      <c r="C32401" s="74" t="s">
        <v>453</v>
      </c>
    </row>
    <row r="32402" spans="1:3">
      <c r="A32402" s="250">
        <v>75403</v>
      </c>
      <c r="B32402" s="74" t="s">
        <v>1108</v>
      </c>
      <c r="C32402" s="74" t="s">
        <v>453</v>
      </c>
    </row>
    <row r="32403" spans="1:3">
      <c r="A32403" s="250">
        <v>75404</v>
      </c>
      <c r="B32403" s="74" t="s">
        <v>1108</v>
      </c>
      <c r="C32403" s="74" t="s">
        <v>453</v>
      </c>
    </row>
    <row r="32404" spans="1:3">
      <c r="A32404" s="250">
        <v>75407</v>
      </c>
      <c r="B32404" s="74" t="s">
        <v>755</v>
      </c>
      <c r="C32404" s="74" t="s">
        <v>453</v>
      </c>
    </row>
    <row r="32405" spans="1:3">
      <c r="A32405" s="250">
        <v>75409</v>
      </c>
      <c r="B32405" s="74" t="s">
        <v>10490</v>
      </c>
      <c r="C32405" s="74" t="s">
        <v>453</v>
      </c>
    </row>
    <row r="32406" spans="1:3">
      <c r="A32406" s="250">
        <v>75410</v>
      </c>
      <c r="B32406" s="74" t="s">
        <v>4663</v>
      </c>
      <c r="C32406" s="74" t="s">
        <v>453</v>
      </c>
    </row>
    <row r="32407" spans="1:3">
      <c r="A32407" s="250">
        <v>75411</v>
      </c>
      <c r="B32407" s="74" t="s">
        <v>15851</v>
      </c>
      <c r="C32407" s="74" t="s">
        <v>453</v>
      </c>
    </row>
    <row r="32408" spans="1:3">
      <c r="A32408" s="250">
        <v>75412</v>
      </c>
      <c r="B32408" s="74" t="s">
        <v>15852</v>
      </c>
      <c r="C32408" s="74" t="s">
        <v>453</v>
      </c>
    </row>
    <row r="32409" spans="1:3">
      <c r="A32409" s="250">
        <v>75413</v>
      </c>
      <c r="B32409" s="74" t="s">
        <v>7178</v>
      </c>
      <c r="C32409" s="74" t="s">
        <v>453</v>
      </c>
    </row>
    <row r="32410" spans="1:3">
      <c r="A32410" s="250">
        <v>75414</v>
      </c>
      <c r="B32410" s="74" t="s">
        <v>9171</v>
      </c>
      <c r="C32410" s="74" t="s">
        <v>453</v>
      </c>
    </row>
    <row r="32411" spans="1:3">
      <c r="A32411" s="250">
        <v>75415</v>
      </c>
      <c r="B32411" s="74" t="s">
        <v>15853</v>
      </c>
      <c r="C32411" s="74" t="s">
        <v>453</v>
      </c>
    </row>
    <row r="32412" spans="1:3">
      <c r="A32412" s="250">
        <v>75416</v>
      </c>
      <c r="B32412" s="74" t="s">
        <v>15854</v>
      </c>
      <c r="C32412" s="74" t="s">
        <v>453</v>
      </c>
    </row>
    <row r="32413" spans="1:3">
      <c r="A32413" s="250">
        <v>75417</v>
      </c>
      <c r="B32413" s="74" t="s">
        <v>15855</v>
      </c>
      <c r="C32413" s="74" t="s">
        <v>453</v>
      </c>
    </row>
    <row r="32414" spans="1:3">
      <c r="A32414" s="250">
        <v>75418</v>
      </c>
      <c r="B32414" s="74" t="s">
        <v>15856</v>
      </c>
      <c r="C32414" s="74" t="s">
        <v>453</v>
      </c>
    </row>
    <row r="32415" spans="1:3">
      <c r="A32415" s="250">
        <v>75420</v>
      </c>
      <c r="B32415" s="74" t="s">
        <v>14133</v>
      </c>
      <c r="C32415" s="74" t="s">
        <v>453</v>
      </c>
    </row>
    <row r="32416" spans="1:3">
      <c r="A32416" s="250">
        <v>75421</v>
      </c>
      <c r="B32416" s="74" t="s">
        <v>10957</v>
      </c>
      <c r="C32416" s="74" t="s">
        <v>453</v>
      </c>
    </row>
    <row r="32417" spans="1:3">
      <c r="A32417" s="250">
        <v>75422</v>
      </c>
      <c r="B32417" s="74" t="s">
        <v>3904</v>
      </c>
      <c r="C32417" s="74" t="s">
        <v>453</v>
      </c>
    </row>
    <row r="32418" spans="1:3">
      <c r="A32418" s="250">
        <v>75423</v>
      </c>
      <c r="B32418" s="74" t="s">
        <v>15857</v>
      </c>
      <c r="C32418" s="74" t="s">
        <v>453</v>
      </c>
    </row>
    <row r="32419" spans="1:3">
      <c r="A32419" s="250">
        <v>75424</v>
      </c>
      <c r="B32419" s="74" t="s">
        <v>6259</v>
      </c>
      <c r="C32419" s="74" t="s">
        <v>453</v>
      </c>
    </row>
    <row r="32420" spans="1:3">
      <c r="A32420" s="250">
        <v>75425</v>
      </c>
      <c r="B32420" s="74" t="s">
        <v>15858</v>
      </c>
      <c r="C32420" s="74" t="s">
        <v>453</v>
      </c>
    </row>
    <row r="32421" spans="1:3">
      <c r="A32421" s="250">
        <v>75426</v>
      </c>
      <c r="B32421" s="74" t="s">
        <v>2926</v>
      </c>
      <c r="C32421" s="74" t="s">
        <v>453</v>
      </c>
    </row>
    <row r="32422" spans="1:3">
      <c r="A32422" s="250">
        <v>75428</v>
      </c>
      <c r="B32422" s="74" t="s">
        <v>7970</v>
      </c>
      <c r="C32422" s="74" t="s">
        <v>453</v>
      </c>
    </row>
    <row r="32423" spans="1:3">
      <c r="A32423" s="250">
        <v>75429</v>
      </c>
      <c r="B32423" s="74" t="s">
        <v>7970</v>
      </c>
      <c r="C32423" s="74" t="s">
        <v>453</v>
      </c>
    </row>
    <row r="32424" spans="1:3">
      <c r="A32424" s="250">
        <v>75431</v>
      </c>
      <c r="B32424" s="74" t="s">
        <v>7185</v>
      </c>
      <c r="C32424" s="74" t="s">
        <v>453</v>
      </c>
    </row>
    <row r="32425" spans="1:3">
      <c r="A32425" s="250">
        <v>75432</v>
      </c>
      <c r="B32425" s="74" t="s">
        <v>11498</v>
      </c>
      <c r="C32425" s="74" t="s">
        <v>453</v>
      </c>
    </row>
    <row r="32426" spans="1:3">
      <c r="A32426" s="250">
        <v>75433</v>
      </c>
      <c r="B32426" s="74" t="s">
        <v>15859</v>
      </c>
      <c r="C32426" s="74" t="s">
        <v>453</v>
      </c>
    </row>
    <row r="32427" spans="1:3">
      <c r="A32427" s="250">
        <v>75434</v>
      </c>
      <c r="B32427" s="74" t="s">
        <v>9001</v>
      </c>
      <c r="C32427" s="74" t="s">
        <v>453</v>
      </c>
    </row>
    <row r="32428" spans="1:3">
      <c r="A32428" s="250">
        <v>75435</v>
      </c>
      <c r="B32428" s="74" t="s">
        <v>15860</v>
      </c>
      <c r="C32428" s="74" t="s">
        <v>453</v>
      </c>
    </row>
    <row r="32429" spans="1:3">
      <c r="A32429" s="250">
        <v>75436</v>
      </c>
      <c r="B32429" s="74" t="s">
        <v>1688</v>
      </c>
      <c r="C32429" s="74" t="s">
        <v>453</v>
      </c>
    </row>
    <row r="32430" spans="1:3">
      <c r="A32430" s="250">
        <v>75437</v>
      </c>
      <c r="B32430" s="74" t="s">
        <v>11661</v>
      </c>
      <c r="C32430" s="74" t="s">
        <v>453</v>
      </c>
    </row>
    <row r="32431" spans="1:3">
      <c r="A32431" s="250">
        <v>75438</v>
      </c>
      <c r="B32431" s="74" t="s">
        <v>15861</v>
      </c>
      <c r="C32431" s="74" t="s">
        <v>453</v>
      </c>
    </row>
    <row r="32432" spans="1:3">
      <c r="A32432" s="250">
        <v>75439</v>
      </c>
      <c r="B32432" s="74" t="s">
        <v>15862</v>
      </c>
      <c r="C32432" s="74" t="s">
        <v>453</v>
      </c>
    </row>
    <row r="32433" spans="1:3">
      <c r="A32433" s="250">
        <v>75440</v>
      </c>
      <c r="B32433" s="74" t="s">
        <v>6358</v>
      </c>
      <c r="C32433" s="74" t="s">
        <v>453</v>
      </c>
    </row>
    <row r="32434" spans="1:3">
      <c r="A32434" s="250">
        <v>75441</v>
      </c>
      <c r="B32434" s="74" t="s">
        <v>15863</v>
      </c>
      <c r="C32434" s="74" t="s">
        <v>453</v>
      </c>
    </row>
    <row r="32435" spans="1:3">
      <c r="A32435" s="250">
        <v>75442</v>
      </c>
      <c r="B32435" s="74" t="s">
        <v>10500</v>
      </c>
      <c r="C32435" s="74" t="s">
        <v>453</v>
      </c>
    </row>
    <row r="32436" spans="1:3">
      <c r="A32436" s="250">
        <v>75443</v>
      </c>
      <c r="B32436" s="74" t="s">
        <v>15864</v>
      </c>
      <c r="C32436" s="74" t="s">
        <v>453</v>
      </c>
    </row>
    <row r="32437" spans="1:3">
      <c r="A32437" s="250">
        <v>75444</v>
      </c>
      <c r="B32437" s="74" t="s">
        <v>9362</v>
      </c>
      <c r="C32437" s="74" t="s">
        <v>453</v>
      </c>
    </row>
    <row r="32438" spans="1:3">
      <c r="A32438" s="250">
        <v>75446</v>
      </c>
      <c r="B32438" s="74" t="s">
        <v>4709</v>
      </c>
      <c r="C32438" s="74" t="s">
        <v>453</v>
      </c>
    </row>
    <row r="32439" spans="1:3">
      <c r="A32439" s="250">
        <v>75447</v>
      </c>
      <c r="B32439" s="74" t="s">
        <v>6365</v>
      </c>
      <c r="C32439" s="74" t="s">
        <v>453</v>
      </c>
    </row>
    <row r="32440" spans="1:3">
      <c r="A32440" s="250">
        <v>75448</v>
      </c>
      <c r="B32440" s="74" t="s">
        <v>15865</v>
      </c>
      <c r="C32440" s="74" t="s">
        <v>453</v>
      </c>
    </row>
    <row r="32441" spans="1:3">
      <c r="A32441" s="250">
        <v>75449</v>
      </c>
      <c r="B32441" s="74" t="s">
        <v>15866</v>
      </c>
      <c r="C32441" s="74" t="s">
        <v>453</v>
      </c>
    </row>
    <row r="32442" spans="1:3">
      <c r="A32442" s="250">
        <v>75450</v>
      </c>
      <c r="B32442" s="74" t="s">
        <v>15867</v>
      </c>
      <c r="C32442" s="74" t="s">
        <v>453</v>
      </c>
    </row>
    <row r="32443" spans="1:3">
      <c r="A32443" s="250">
        <v>75451</v>
      </c>
      <c r="B32443" s="74" t="s">
        <v>2488</v>
      </c>
      <c r="C32443" s="74" t="s">
        <v>453</v>
      </c>
    </row>
    <row r="32444" spans="1:3">
      <c r="A32444" s="250">
        <v>75452</v>
      </c>
      <c r="B32444" s="74" t="s">
        <v>11049</v>
      </c>
      <c r="C32444" s="74" t="s">
        <v>453</v>
      </c>
    </row>
    <row r="32445" spans="1:3">
      <c r="A32445" s="250">
        <v>75453</v>
      </c>
      <c r="B32445" s="74" t="s">
        <v>15868</v>
      </c>
      <c r="C32445" s="74" t="s">
        <v>453</v>
      </c>
    </row>
    <row r="32446" spans="1:3">
      <c r="A32446" s="250">
        <v>75454</v>
      </c>
      <c r="B32446" s="74" t="s">
        <v>15869</v>
      </c>
      <c r="C32446" s="74" t="s">
        <v>453</v>
      </c>
    </row>
    <row r="32447" spans="1:3">
      <c r="A32447" s="250">
        <v>75455</v>
      </c>
      <c r="B32447" s="74" t="s">
        <v>4226</v>
      </c>
      <c r="C32447" s="74" t="s">
        <v>453</v>
      </c>
    </row>
    <row r="32448" spans="1:3">
      <c r="A32448" s="250">
        <v>75456</v>
      </c>
      <c r="B32448" s="74" t="s">
        <v>4226</v>
      </c>
      <c r="C32448" s="74" t="s">
        <v>453</v>
      </c>
    </row>
    <row r="32449" spans="1:3">
      <c r="A32449" s="250">
        <v>75457</v>
      </c>
      <c r="B32449" s="74" t="s">
        <v>1481</v>
      </c>
      <c r="C32449" s="74" t="s">
        <v>453</v>
      </c>
    </row>
    <row r="32450" spans="1:3">
      <c r="A32450" s="250">
        <v>75458</v>
      </c>
      <c r="B32450" s="74" t="s">
        <v>15870</v>
      </c>
      <c r="C32450" s="74" t="s">
        <v>453</v>
      </c>
    </row>
    <row r="32451" spans="1:3">
      <c r="A32451" s="250">
        <v>75459</v>
      </c>
      <c r="B32451" s="74" t="s">
        <v>10734</v>
      </c>
      <c r="C32451" s="74" t="s">
        <v>453</v>
      </c>
    </row>
    <row r="32452" spans="1:3">
      <c r="A32452" s="250">
        <v>75460</v>
      </c>
      <c r="B32452" s="74" t="s">
        <v>1459</v>
      </c>
      <c r="C32452" s="74" t="s">
        <v>453</v>
      </c>
    </row>
    <row r="32453" spans="1:3">
      <c r="A32453" s="250">
        <v>75461</v>
      </c>
      <c r="B32453" s="74" t="s">
        <v>1459</v>
      </c>
      <c r="C32453" s="74" t="s">
        <v>453</v>
      </c>
    </row>
    <row r="32454" spans="1:3">
      <c r="A32454" s="250">
        <v>75462</v>
      </c>
      <c r="B32454" s="74" t="s">
        <v>1459</v>
      </c>
      <c r="C32454" s="74" t="s">
        <v>453</v>
      </c>
    </row>
    <row r="32455" spans="1:3">
      <c r="A32455" s="250">
        <v>75468</v>
      </c>
      <c r="B32455" s="74" t="s">
        <v>15871</v>
      </c>
      <c r="C32455" s="74" t="s">
        <v>453</v>
      </c>
    </row>
    <row r="32456" spans="1:3">
      <c r="A32456" s="250">
        <v>75469</v>
      </c>
      <c r="B32456" s="74" t="s">
        <v>15872</v>
      </c>
      <c r="C32456" s="74" t="s">
        <v>453</v>
      </c>
    </row>
    <row r="32457" spans="1:3">
      <c r="A32457" s="250">
        <v>75470</v>
      </c>
      <c r="B32457" s="74" t="s">
        <v>15873</v>
      </c>
      <c r="C32457" s="74" t="s">
        <v>453</v>
      </c>
    </row>
    <row r="32458" spans="1:3">
      <c r="A32458" s="250">
        <v>75471</v>
      </c>
      <c r="B32458" s="74" t="s">
        <v>15874</v>
      </c>
      <c r="C32458" s="74" t="s">
        <v>453</v>
      </c>
    </row>
    <row r="32459" spans="1:3">
      <c r="A32459" s="250">
        <v>75472</v>
      </c>
      <c r="B32459" s="74" t="s">
        <v>15875</v>
      </c>
      <c r="C32459" s="74" t="s">
        <v>453</v>
      </c>
    </row>
    <row r="32460" spans="1:3">
      <c r="A32460" s="250">
        <v>75473</v>
      </c>
      <c r="B32460" s="74" t="s">
        <v>10015</v>
      </c>
      <c r="C32460" s="74" t="s">
        <v>453</v>
      </c>
    </row>
    <row r="32461" spans="1:3">
      <c r="A32461" s="250">
        <v>75474</v>
      </c>
      <c r="B32461" s="74" t="s">
        <v>15876</v>
      </c>
      <c r="C32461" s="74" t="s">
        <v>453</v>
      </c>
    </row>
    <row r="32462" spans="1:3">
      <c r="A32462" s="250">
        <v>75475</v>
      </c>
      <c r="B32462" s="74" t="s">
        <v>960</v>
      </c>
      <c r="C32462" s="74" t="s">
        <v>453</v>
      </c>
    </row>
    <row r="32463" spans="1:3">
      <c r="A32463" s="250">
        <v>75476</v>
      </c>
      <c r="B32463" s="74" t="s">
        <v>9652</v>
      </c>
      <c r="C32463" s="74" t="s">
        <v>453</v>
      </c>
    </row>
    <row r="32464" spans="1:3">
      <c r="A32464" s="250">
        <v>75477</v>
      </c>
      <c r="B32464" s="74" t="s">
        <v>15877</v>
      </c>
      <c r="C32464" s="74" t="s">
        <v>453</v>
      </c>
    </row>
    <row r="32465" spans="1:3">
      <c r="A32465" s="250">
        <v>75478</v>
      </c>
      <c r="B32465" s="74" t="s">
        <v>4787</v>
      </c>
      <c r="C32465" s="74" t="s">
        <v>453</v>
      </c>
    </row>
    <row r="32466" spans="1:3">
      <c r="A32466" s="250">
        <v>75479</v>
      </c>
      <c r="B32466" s="74" t="s">
        <v>660</v>
      </c>
      <c r="C32466" s="74" t="s">
        <v>453</v>
      </c>
    </row>
    <row r="32467" spans="1:3">
      <c r="A32467" s="250">
        <v>75480</v>
      </c>
      <c r="B32467" s="74" t="s">
        <v>15878</v>
      </c>
      <c r="C32467" s="74" t="s">
        <v>453</v>
      </c>
    </row>
    <row r="32468" spans="1:3">
      <c r="A32468" s="250">
        <v>75481</v>
      </c>
      <c r="B32468" s="74" t="s">
        <v>15879</v>
      </c>
      <c r="C32468" s="74" t="s">
        <v>453</v>
      </c>
    </row>
    <row r="32469" spans="1:3">
      <c r="A32469" s="250">
        <v>75482</v>
      </c>
      <c r="B32469" s="74" t="s">
        <v>10445</v>
      </c>
      <c r="C32469" s="74" t="s">
        <v>453</v>
      </c>
    </row>
    <row r="32470" spans="1:3">
      <c r="A32470" s="250">
        <v>75483</v>
      </c>
      <c r="B32470" s="74" t="s">
        <v>10445</v>
      </c>
      <c r="C32470" s="74" t="s">
        <v>453</v>
      </c>
    </row>
    <row r="32471" spans="1:3">
      <c r="A32471" s="250">
        <v>75485</v>
      </c>
      <c r="B32471" s="74" t="s">
        <v>708</v>
      </c>
      <c r="C32471" s="74" t="s">
        <v>453</v>
      </c>
    </row>
    <row r="32472" spans="1:3">
      <c r="A32472" s="250">
        <v>75486</v>
      </c>
      <c r="B32472" s="74" t="s">
        <v>1472</v>
      </c>
      <c r="C32472" s="74" t="s">
        <v>453</v>
      </c>
    </row>
    <row r="32473" spans="1:3">
      <c r="A32473" s="250">
        <v>75487</v>
      </c>
      <c r="B32473" s="74" t="s">
        <v>15880</v>
      </c>
      <c r="C32473" s="74" t="s">
        <v>453</v>
      </c>
    </row>
    <row r="32474" spans="1:3">
      <c r="A32474" s="250">
        <v>75488</v>
      </c>
      <c r="B32474" s="74" t="s">
        <v>15881</v>
      </c>
      <c r="C32474" s="74" t="s">
        <v>453</v>
      </c>
    </row>
    <row r="32475" spans="1:3">
      <c r="A32475" s="250">
        <v>75489</v>
      </c>
      <c r="B32475" s="74" t="s">
        <v>15882</v>
      </c>
      <c r="C32475" s="74" t="s">
        <v>453</v>
      </c>
    </row>
    <row r="32476" spans="1:3">
      <c r="A32476" s="250">
        <v>75490</v>
      </c>
      <c r="B32476" s="74" t="s">
        <v>2532</v>
      </c>
      <c r="C32476" s="74" t="s">
        <v>453</v>
      </c>
    </row>
    <row r="32477" spans="1:3">
      <c r="A32477" s="250">
        <v>75491</v>
      </c>
      <c r="B32477" s="74" t="s">
        <v>15883</v>
      </c>
      <c r="C32477" s="74" t="s">
        <v>453</v>
      </c>
    </row>
    <row r="32478" spans="1:3">
      <c r="A32478" s="250">
        <v>75492</v>
      </c>
      <c r="B32478" s="74" t="s">
        <v>12557</v>
      </c>
      <c r="C32478" s="74" t="s">
        <v>453</v>
      </c>
    </row>
    <row r="32479" spans="1:3">
      <c r="A32479" s="250">
        <v>75493</v>
      </c>
      <c r="B32479" s="74" t="s">
        <v>4985</v>
      </c>
      <c r="C32479" s="74" t="s">
        <v>453</v>
      </c>
    </row>
    <row r="32480" spans="1:3">
      <c r="A32480" s="250">
        <v>75494</v>
      </c>
      <c r="B32480" s="74" t="s">
        <v>7660</v>
      </c>
      <c r="C32480" s="74" t="s">
        <v>453</v>
      </c>
    </row>
    <row r="32481" spans="1:3">
      <c r="A32481" s="250">
        <v>75495</v>
      </c>
      <c r="B32481" s="74" t="s">
        <v>15884</v>
      </c>
      <c r="C32481" s="74" t="s">
        <v>453</v>
      </c>
    </row>
    <row r="32482" spans="1:3">
      <c r="A32482" s="250">
        <v>75496</v>
      </c>
      <c r="B32482" s="74" t="s">
        <v>15885</v>
      </c>
      <c r="C32482" s="74" t="s">
        <v>453</v>
      </c>
    </row>
    <row r="32483" spans="1:3">
      <c r="A32483" s="250">
        <v>75497</v>
      </c>
      <c r="B32483" s="74" t="s">
        <v>15886</v>
      </c>
      <c r="C32483" s="74" t="s">
        <v>453</v>
      </c>
    </row>
    <row r="32484" spans="1:3">
      <c r="A32484" s="250">
        <v>75501</v>
      </c>
      <c r="B32484" s="74" t="s">
        <v>15239</v>
      </c>
      <c r="C32484" s="74" t="s">
        <v>453</v>
      </c>
    </row>
    <row r="32485" spans="1:3">
      <c r="A32485" s="250">
        <v>75503</v>
      </c>
      <c r="B32485" s="74" t="s">
        <v>15239</v>
      </c>
      <c r="C32485" s="74" t="s">
        <v>453</v>
      </c>
    </row>
    <row r="32486" spans="1:3">
      <c r="A32486" s="250">
        <v>75504</v>
      </c>
      <c r="B32486" s="74" t="s">
        <v>15239</v>
      </c>
      <c r="C32486" s="74" t="s">
        <v>453</v>
      </c>
    </row>
    <row r="32487" spans="1:3">
      <c r="A32487" s="250">
        <v>75505</v>
      </c>
      <c r="B32487" s="74" t="s">
        <v>15239</v>
      </c>
      <c r="C32487" s="74" t="s">
        <v>453</v>
      </c>
    </row>
    <row r="32488" spans="1:3">
      <c r="A32488" s="250">
        <v>75507</v>
      </c>
      <c r="B32488" s="74" t="s">
        <v>15239</v>
      </c>
      <c r="C32488" s="74" t="s">
        <v>453</v>
      </c>
    </row>
    <row r="32489" spans="1:3">
      <c r="A32489" s="250">
        <v>75550</v>
      </c>
      <c r="B32489" s="74" t="s">
        <v>15887</v>
      </c>
      <c r="C32489" s="74" t="s">
        <v>453</v>
      </c>
    </row>
    <row r="32490" spans="1:3">
      <c r="A32490" s="250">
        <v>75551</v>
      </c>
      <c r="B32490" s="74" t="s">
        <v>3895</v>
      </c>
      <c r="C32490" s="74" t="s">
        <v>453</v>
      </c>
    </row>
    <row r="32491" spans="1:3">
      <c r="A32491" s="250">
        <v>75554</v>
      </c>
      <c r="B32491" s="74" t="s">
        <v>15888</v>
      </c>
      <c r="C32491" s="74" t="s">
        <v>453</v>
      </c>
    </row>
    <row r="32492" spans="1:3">
      <c r="A32492" s="250">
        <v>75555</v>
      </c>
      <c r="B32492" s="74" t="s">
        <v>15889</v>
      </c>
      <c r="C32492" s="74" t="s">
        <v>453</v>
      </c>
    </row>
    <row r="32493" spans="1:3">
      <c r="A32493" s="250">
        <v>75556</v>
      </c>
      <c r="B32493" s="74" t="s">
        <v>15890</v>
      </c>
      <c r="C32493" s="74" t="s">
        <v>453</v>
      </c>
    </row>
    <row r="32494" spans="1:3">
      <c r="A32494" s="250">
        <v>75558</v>
      </c>
      <c r="B32494" s="74" t="s">
        <v>15891</v>
      </c>
      <c r="C32494" s="74" t="s">
        <v>453</v>
      </c>
    </row>
    <row r="32495" spans="1:3">
      <c r="A32495" s="250">
        <v>75559</v>
      </c>
      <c r="B32495" s="74" t="s">
        <v>9462</v>
      </c>
      <c r="C32495" s="74" t="s">
        <v>453</v>
      </c>
    </row>
    <row r="32496" spans="1:3">
      <c r="A32496" s="250">
        <v>75560</v>
      </c>
      <c r="B32496" s="74" t="s">
        <v>5454</v>
      </c>
      <c r="C32496" s="74" t="s">
        <v>453</v>
      </c>
    </row>
    <row r="32497" spans="1:3">
      <c r="A32497" s="250">
        <v>75561</v>
      </c>
      <c r="B32497" s="74" t="s">
        <v>15892</v>
      </c>
      <c r="C32497" s="74" t="s">
        <v>453</v>
      </c>
    </row>
    <row r="32498" spans="1:3">
      <c r="A32498" s="250">
        <v>75562</v>
      </c>
      <c r="B32498" s="74" t="s">
        <v>15893</v>
      </c>
      <c r="C32498" s="74" t="s">
        <v>453</v>
      </c>
    </row>
    <row r="32499" spans="1:3">
      <c r="A32499" s="250">
        <v>75563</v>
      </c>
      <c r="B32499" s="74" t="s">
        <v>2134</v>
      </c>
      <c r="C32499" s="74" t="s">
        <v>453</v>
      </c>
    </row>
    <row r="32500" spans="1:3">
      <c r="A32500" s="250">
        <v>75564</v>
      </c>
      <c r="B32500" s="74" t="s">
        <v>2238</v>
      </c>
      <c r="C32500" s="74" t="s">
        <v>453</v>
      </c>
    </row>
    <row r="32501" spans="1:3">
      <c r="A32501" s="250">
        <v>75565</v>
      </c>
      <c r="B32501" s="74" t="s">
        <v>13233</v>
      </c>
      <c r="C32501" s="74" t="s">
        <v>453</v>
      </c>
    </row>
    <row r="32502" spans="1:3">
      <c r="A32502" s="250">
        <v>75566</v>
      </c>
      <c r="B32502" s="74" t="s">
        <v>3385</v>
      </c>
      <c r="C32502" s="74" t="s">
        <v>453</v>
      </c>
    </row>
    <row r="32503" spans="1:3">
      <c r="A32503" s="250">
        <v>75567</v>
      </c>
      <c r="B32503" s="74" t="s">
        <v>15782</v>
      </c>
      <c r="C32503" s="74" t="s">
        <v>453</v>
      </c>
    </row>
    <row r="32504" spans="1:3">
      <c r="A32504" s="250">
        <v>75568</v>
      </c>
      <c r="B32504" s="74" t="s">
        <v>1397</v>
      </c>
      <c r="C32504" s="74" t="s">
        <v>453</v>
      </c>
    </row>
    <row r="32505" spans="1:3">
      <c r="A32505" s="250">
        <v>75569</v>
      </c>
      <c r="B32505" s="74" t="s">
        <v>15614</v>
      </c>
      <c r="C32505" s="74" t="s">
        <v>453</v>
      </c>
    </row>
    <row r="32506" spans="1:3">
      <c r="A32506" s="250">
        <v>75570</v>
      </c>
      <c r="B32506" s="74" t="s">
        <v>1166</v>
      </c>
      <c r="C32506" s="74" t="s">
        <v>453</v>
      </c>
    </row>
    <row r="32507" spans="1:3">
      <c r="A32507" s="250">
        <v>75571</v>
      </c>
      <c r="B32507" s="74" t="s">
        <v>8201</v>
      </c>
      <c r="C32507" s="74" t="s">
        <v>453</v>
      </c>
    </row>
    <row r="32508" spans="1:3">
      <c r="A32508" s="250">
        <v>75572</v>
      </c>
      <c r="B32508" s="74" t="s">
        <v>14144</v>
      </c>
      <c r="C32508" s="74" t="s">
        <v>453</v>
      </c>
    </row>
    <row r="32509" spans="1:3">
      <c r="A32509" s="250">
        <v>75573</v>
      </c>
      <c r="B32509" s="74" t="s">
        <v>15894</v>
      </c>
      <c r="C32509" s="74" t="s">
        <v>453</v>
      </c>
    </row>
    <row r="32510" spans="1:3">
      <c r="A32510" s="250">
        <v>75574</v>
      </c>
      <c r="B32510" s="74" t="s">
        <v>13337</v>
      </c>
      <c r="C32510" s="74" t="s">
        <v>453</v>
      </c>
    </row>
    <row r="32511" spans="1:3">
      <c r="A32511" s="250">
        <v>75599</v>
      </c>
      <c r="B32511" s="74" t="s">
        <v>15239</v>
      </c>
      <c r="C32511" s="74" t="s">
        <v>453</v>
      </c>
    </row>
    <row r="32512" spans="1:3">
      <c r="A32512" s="250">
        <v>75601</v>
      </c>
      <c r="B32512" s="74" t="s">
        <v>13774</v>
      </c>
      <c r="C32512" s="74" t="s">
        <v>453</v>
      </c>
    </row>
    <row r="32513" spans="1:3">
      <c r="A32513" s="250">
        <v>75602</v>
      </c>
      <c r="B32513" s="74" t="s">
        <v>13774</v>
      </c>
      <c r="C32513" s="74" t="s">
        <v>453</v>
      </c>
    </row>
    <row r="32514" spans="1:3">
      <c r="A32514" s="250">
        <v>75603</v>
      </c>
      <c r="B32514" s="74" t="s">
        <v>13774</v>
      </c>
      <c r="C32514" s="74" t="s">
        <v>453</v>
      </c>
    </row>
    <row r="32515" spans="1:3">
      <c r="A32515" s="250">
        <v>75604</v>
      </c>
      <c r="B32515" s="74" t="s">
        <v>13774</v>
      </c>
      <c r="C32515" s="74" t="s">
        <v>453</v>
      </c>
    </row>
    <row r="32516" spans="1:3">
      <c r="A32516" s="250">
        <v>75605</v>
      </c>
      <c r="B32516" s="74" t="s">
        <v>13774</v>
      </c>
      <c r="C32516" s="74" t="s">
        <v>453</v>
      </c>
    </row>
    <row r="32517" spans="1:3">
      <c r="A32517" s="250">
        <v>75606</v>
      </c>
      <c r="B32517" s="74" t="s">
        <v>13774</v>
      </c>
      <c r="C32517" s="74" t="s">
        <v>453</v>
      </c>
    </row>
    <row r="32518" spans="1:3">
      <c r="A32518" s="250">
        <v>75607</v>
      </c>
      <c r="B32518" s="74" t="s">
        <v>13774</v>
      </c>
      <c r="C32518" s="74" t="s">
        <v>453</v>
      </c>
    </row>
    <row r="32519" spans="1:3">
      <c r="A32519" s="250">
        <v>75608</v>
      </c>
      <c r="B32519" s="74" t="s">
        <v>13774</v>
      </c>
      <c r="C32519" s="74" t="s">
        <v>453</v>
      </c>
    </row>
    <row r="32520" spans="1:3">
      <c r="A32520" s="250">
        <v>75615</v>
      </c>
      <c r="B32520" s="74" t="s">
        <v>13774</v>
      </c>
      <c r="C32520" s="74" t="s">
        <v>453</v>
      </c>
    </row>
    <row r="32521" spans="1:3">
      <c r="A32521" s="250">
        <v>75630</v>
      </c>
      <c r="B32521" s="74" t="s">
        <v>15895</v>
      </c>
      <c r="C32521" s="74" t="s">
        <v>453</v>
      </c>
    </row>
    <row r="32522" spans="1:3">
      <c r="A32522" s="250">
        <v>75631</v>
      </c>
      <c r="B32522" s="74" t="s">
        <v>15896</v>
      </c>
      <c r="C32522" s="74" t="s">
        <v>453</v>
      </c>
    </row>
    <row r="32523" spans="1:3">
      <c r="A32523" s="250">
        <v>75633</v>
      </c>
      <c r="B32523" s="74" t="s">
        <v>3531</v>
      </c>
      <c r="C32523" s="74" t="s">
        <v>453</v>
      </c>
    </row>
    <row r="32524" spans="1:3">
      <c r="A32524" s="250">
        <v>75636</v>
      </c>
      <c r="B32524" s="74" t="s">
        <v>15897</v>
      </c>
      <c r="C32524" s="74" t="s">
        <v>453</v>
      </c>
    </row>
    <row r="32525" spans="1:3">
      <c r="A32525" s="250">
        <v>75637</v>
      </c>
      <c r="B32525" s="74" t="s">
        <v>2476</v>
      </c>
      <c r="C32525" s="74" t="s">
        <v>453</v>
      </c>
    </row>
    <row r="32526" spans="1:3">
      <c r="A32526" s="250">
        <v>75638</v>
      </c>
      <c r="B32526" s="74" t="s">
        <v>15898</v>
      </c>
      <c r="C32526" s="74" t="s">
        <v>453</v>
      </c>
    </row>
    <row r="32527" spans="1:3">
      <c r="A32527" s="250">
        <v>75639</v>
      </c>
      <c r="B32527" s="74" t="s">
        <v>15899</v>
      </c>
      <c r="C32527" s="74" t="s">
        <v>453</v>
      </c>
    </row>
    <row r="32528" spans="1:3">
      <c r="A32528" s="250">
        <v>75640</v>
      </c>
      <c r="B32528" s="74" t="s">
        <v>6892</v>
      </c>
      <c r="C32528" s="74" t="s">
        <v>453</v>
      </c>
    </row>
    <row r="32529" spans="1:3">
      <c r="A32529" s="250">
        <v>75641</v>
      </c>
      <c r="B32529" s="74" t="s">
        <v>941</v>
      </c>
      <c r="C32529" s="74" t="s">
        <v>453</v>
      </c>
    </row>
    <row r="32530" spans="1:3">
      <c r="A32530" s="250">
        <v>75642</v>
      </c>
      <c r="B32530" s="74" t="s">
        <v>15900</v>
      </c>
      <c r="C32530" s="74" t="s">
        <v>453</v>
      </c>
    </row>
    <row r="32531" spans="1:3">
      <c r="A32531" s="250">
        <v>75643</v>
      </c>
      <c r="B32531" s="74" t="s">
        <v>6507</v>
      </c>
      <c r="C32531" s="74" t="s">
        <v>453</v>
      </c>
    </row>
    <row r="32532" spans="1:3">
      <c r="A32532" s="250">
        <v>75644</v>
      </c>
      <c r="B32532" s="74" t="s">
        <v>15901</v>
      </c>
      <c r="C32532" s="74" t="s">
        <v>453</v>
      </c>
    </row>
    <row r="32533" spans="1:3">
      <c r="A32533" s="250">
        <v>75645</v>
      </c>
      <c r="B32533" s="74" t="s">
        <v>15901</v>
      </c>
      <c r="C32533" s="74" t="s">
        <v>453</v>
      </c>
    </row>
    <row r="32534" spans="1:3">
      <c r="A32534" s="250">
        <v>75647</v>
      </c>
      <c r="B32534" s="74" t="s">
        <v>15902</v>
      </c>
      <c r="C32534" s="74" t="s">
        <v>453</v>
      </c>
    </row>
    <row r="32535" spans="1:3">
      <c r="A32535" s="250">
        <v>75650</v>
      </c>
      <c r="B32535" s="74" t="s">
        <v>10533</v>
      </c>
      <c r="C32535" s="74" t="s">
        <v>453</v>
      </c>
    </row>
    <row r="32536" spans="1:3">
      <c r="A32536" s="250">
        <v>75651</v>
      </c>
      <c r="B32536" s="74" t="s">
        <v>15903</v>
      </c>
      <c r="C32536" s="74" t="s">
        <v>453</v>
      </c>
    </row>
    <row r="32537" spans="1:3">
      <c r="A32537" s="250">
        <v>75652</v>
      </c>
      <c r="B32537" s="74" t="s">
        <v>3556</v>
      </c>
      <c r="C32537" s="74" t="s">
        <v>453</v>
      </c>
    </row>
    <row r="32538" spans="1:3">
      <c r="A32538" s="250">
        <v>75653</v>
      </c>
      <c r="B32538" s="74" t="s">
        <v>3556</v>
      </c>
      <c r="C32538" s="74" t="s">
        <v>453</v>
      </c>
    </row>
    <row r="32539" spans="1:3">
      <c r="A32539" s="250">
        <v>75654</v>
      </c>
      <c r="B32539" s="74" t="s">
        <v>3556</v>
      </c>
      <c r="C32539" s="74" t="s">
        <v>453</v>
      </c>
    </row>
    <row r="32540" spans="1:3">
      <c r="A32540" s="250">
        <v>75656</v>
      </c>
      <c r="B32540" s="74" t="s">
        <v>15904</v>
      </c>
      <c r="C32540" s="74" t="s">
        <v>453</v>
      </c>
    </row>
    <row r="32541" spans="1:3">
      <c r="A32541" s="250">
        <v>75657</v>
      </c>
      <c r="B32541" s="74" t="s">
        <v>740</v>
      </c>
      <c r="C32541" s="74" t="s">
        <v>453</v>
      </c>
    </row>
    <row r="32542" spans="1:3">
      <c r="A32542" s="250">
        <v>75658</v>
      </c>
      <c r="B32542" s="74" t="s">
        <v>15905</v>
      </c>
      <c r="C32542" s="74" t="s">
        <v>453</v>
      </c>
    </row>
    <row r="32543" spans="1:3">
      <c r="A32543" s="250">
        <v>75659</v>
      </c>
      <c r="B32543" s="74" t="s">
        <v>1819</v>
      </c>
      <c r="C32543" s="74" t="s">
        <v>453</v>
      </c>
    </row>
    <row r="32544" spans="1:3">
      <c r="A32544" s="250">
        <v>75660</v>
      </c>
      <c r="B32544" s="74" t="s">
        <v>10938</v>
      </c>
      <c r="C32544" s="74" t="s">
        <v>453</v>
      </c>
    </row>
    <row r="32545" spans="1:3">
      <c r="A32545" s="250">
        <v>75661</v>
      </c>
      <c r="B32545" s="74" t="s">
        <v>15906</v>
      </c>
      <c r="C32545" s="74" t="s">
        <v>453</v>
      </c>
    </row>
    <row r="32546" spans="1:3">
      <c r="A32546" s="250">
        <v>75662</v>
      </c>
      <c r="B32546" s="74" t="s">
        <v>14899</v>
      </c>
      <c r="C32546" s="74" t="s">
        <v>453</v>
      </c>
    </row>
    <row r="32547" spans="1:3">
      <c r="A32547" s="250">
        <v>75663</v>
      </c>
      <c r="B32547" s="74" t="s">
        <v>14899</v>
      </c>
      <c r="C32547" s="74" t="s">
        <v>453</v>
      </c>
    </row>
    <row r="32548" spans="1:3">
      <c r="A32548" s="250">
        <v>75666</v>
      </c>
      <c r="B32548" s="74" t="s">
        <v>15907</v>
      </c>
      <c r="C32548" s="74" t="s">
        <v>453</v>
      </c>
    </row>
    <row r="32549" spans="1:3">
      <c r="A32549" s="250">
        <v>75667</v>
      </c>
      <c r="B32549" s="74" t="s">
        <v>15908</v>
      </c>
      <c r="C32549" s="74" t="s">
        <v>453</v>
      </c>
    </row>
    <row r="32550" spans="1:3">
      <c r="A32550" s="250">
        <v>75668</v>
      </c>
      <c r="B32550" s="74" t="s">
        <v>15909</v>
      </c>
      <c r="C32550" s="74" t="s">
        <v>453</v>
      </c>
    </row>
    <row r="32551" spans="1:3">
      <c r="A32551" s="250">
        <v>75669</v>
      </c>
      <c r="B32551" s="74" t="s">
        <v>2278</v>
      </c>
      <c r="C32551" s="74" t="s">
        <v>453</v>
      </c>
    </row>
    <row r="32552" spans="1:3">
      <c r="A32552" s="250">
        <v>75670</v>
      </c>
      <c r="B32552" s="74" t="s">
        <v>5516</v>
      </c>
      <c r="C32552" s="74" t="s">
        <v>453</v>
      </c>
    </row>
    <row r="32553" spans="1:3">
      <c r="A32553" s="250">
        <v>75671</v>
      </c>
      <c r="B32553" s="74" t="s">
        <v>5516</v>
      </c>
      <c r="C32553" s="74" t="s">
        <v>453</v>
      </c>
    </row>
    <row r="32554" spans="1:3">
      <c r="A32554" s="250">
        <v>75672</v>
      </c>
      <c r="B32554" s="74" t="s">
        <v>5516</v>
      </c>
      <c r="C32554" s="74" t="s">
        <v>453</v>
      </c>
    </row>
    <row r="32555" spans="1:3">
      <c r="A32555" s="250">
        <v>75680</v>
      </c>
      <c r="B32555" s="74" t="s">
        <v>6811</v>
      </c>
      <c r="C32555" s="74" t="s">
        <v>453</v>
      </c>
    </row>
    <row r="32556" spans="1:3">
      <c r="A32556" s="250">
        <v>75681</v>
      </c>
      <c r="B32556" s="74" t="s">
        <v>15910</v>
      </c>
      <c r="C32556" s="74" t="s">
        <v>453</v>
      </c>
    </row>
    <row r="32557" spans="1:3">
      <c r="A32557" s="250">
        <v>75682</v>
      </c>
      <c r="B32557" s="74" t="s">
        <v>1201</v>
      </c>
      <c r="C32557" s="74" t="s">
        <v>453</v>
      </c>
    </row>
    <row r="32558" spans="1:3">
      <c r="A32558" s="250">
        <v>75683</v>
      </c>
      <c r="B32558" s="74" t="s">
        <v>15911</v>
      </c>
      <c r="C32558" s="74" t="s">
        <v>453</v>
      </c>
    </row>
    <row r="32559" spans="1:3">
      <c r="A32559" s="250">
        <v>75684</v>
      </c>
      <c r="B32559" s="74" t="s">
        <v>14852</v>
      </c>
      <c r="C32559" s="74" t="s">
        <v>453</v>
      </c>
    </row>
    <row r="32560" spans="1:3">
      <c r="A32560" s="250">
        <v>75685</v>
      </c>
      <c r="B32560" s="74" t="s">
        <v>8699</v>
      </c>
      <c r="C32560" s="74" t="s">
        <v>453</v>
      </c>
    </row>
    <row r="32561" spans="1:3">
      <c r="A32561" s="250">
        <v>75686</v>
      </c>
      <c r="B32561" s="74" t="s">
        <v>1259</v>
      </c>
      <c r="C32561" s="74" t="s">
        <v>453</v>
      </c>
    </row>
    <row r="32562" spans="1:3">
      <c r="A32562" s="250">
        <v>75687</v>
      </c>
      <c r="B32562" s="74" t="s">
        <v>5765</v>
      </c>
      <c r="C32562" s="74" t="s">
        <v>453</v>
      </c>
    </row>
    <row r="32563" spans="1:3">
      <c r="A32563" s="250">
        <v>75688</v>
      </c>
      <c r="B32563" s="74" t="s">
        <v>3819</v>
      </c>
      <c r="C32563" s="74" t="s">
        <v>453</v>
      </c>
    </row>
    <row r="32564" spans="1:3">
      <c r="A32564" s="250">
        <v>75689</v>
      </c>
      <c r="B32564" s="74" t="s">
        <v>15912</v>
      </c>
      <c r="C32564" s="74" t="s">
        <v>453</v>
      </c>
    </row>
    <row r="32565" spans="1:3">
      <c r="A32565" s="250">
        <v>75691</v>
      </c>
      <c r="B32565" s="74" t="s">
        <v>7762</v>
      </c>
      <c r="C32565" s="74" t="s">
        <v>453</v>
      </c>
    </row>
    <row r="32566" spans="1:3">
      <c r="A32566" s="250">
        <v>75692</v>
      </c>
      <c r="B32566" s="74" t="s">
        <v>15913</v>
      </c>
      <c r="C32566" s="74" t="s">
        <v>453</v>
      </c>
    </row>
    <row r="32567" spans="1:3">
      <c r="A32567" s="250">
        <v>75693</v>
      </c>
      <c r="B32567" s="74" t="s">
        <v>6847</v>
      </c>
      <c r="C32567" s="74" t="s">
        <v>453</v>
      </c>
    </row>
    <row r="32568" spans="1:3">
      <c r="A32568" s="250">
        <v>75694</v>
      </c>
      <c r="B32568" s="74" t="s">
        <v>6377</v>
      </c>
      <c r="C32568" s="74" t="s">
        <v>453</v>
      </c>
    </row>
    <row r="32569" spans="1:3">
      <c r="A32569" s="250">
        <v>75701</v>
      </c>
      <c r="B32569" s="74" t="s">
        <v>8957</v>
      </c>
      <c r="C32569" s="74" t="s">
        <v>453</v>
      </c>
    </row>
    <row r="32570" spans="1:3">
      <c r="A32570" s="250">
        <v>75702</v>
      </c>
      <c r="B32570" s="74" t="s">
        <v>8957</v>
      </c>
      <c r="C32570" s="74" t="s">
        <v>453</v>
      </c>
    </row>
    <row r="32571" spans="1:3">
      <c r="A32571" s="250">
        <v>75703</v>
      </c>
      <c r="B32571" s="74" t="s">
        <v>8957</v>
      </c>
      <c r="C32571" s="74" t="s">
        <v>453</v>
      </c>
    </row>
    <row r="32572" spans="1:3">
      <c r="A32572" s="250">
        <v>75704</v>
      </c>
      <c r="B32572" s="74" t="s">
        <v>8957</v>
      </c>
      <c r="C32572" s="74" t="s">
        <v>453</v>
      </c>
    </row>
    <row r="32573" spans="1:3">
      <c r="A32573" s="250">
        <v>75705</v>
      </c>
      <c r="B32573" s="74" t="s">
        <v>8957</v>
      </c>
      <c r="C32573" s="74" t="s">
        <v>453</v>
      </c>
    </row>
    <row r="32574" spans="1:3">
      <c r="A32574" s="250">
        <v>75706</v>
      </c>
      <c r="B32574" s="74" t="s">
        <v>8957</v>
      </c>
      <c r="C32574" s="74" t="s">
        <v>453</v>
      </c>
    </row>
    <row r="32575" spans="1:3">
      <c r="A32575" s="250">
        <v>75707</v>
      </c>
      <c r="B32575" s="74" t="s">
        <v>8957</v>
      </c>
      <c r="C32575" s="74" t="s">
        <v>453</v>
      </c>
    </row>
    <row r="32576" spans="1:3">
      <c r="A32576" s="250">
        <v>75708</v>
      </c>
      <c r="B32576" s="74" t="s">
        <v>8957</v>
      </c>
      <c r="C32576" s="74" t="s">
        <v>453</v>
      </c>
    </row>
    <row r="32577" spans="1:3">
      <c r="A32577" s="250">
        <v>75709</v>
      </c>
      <c r="B32577" s="74" t="s">
        <v>8957</v>
      </c>
      <c r="C32577" s="74" t="s">
        <v>453</v>
      </c>
    </row>
    <row r="32578" spans="1:3">
      <c r="A32578" s="250">
        <v>75710</v>
      </c>
      <c r="B32578" s="74" t="s">
        <v>8957</v>
      </c>
      <c r="C32578" s="74" t="s">
        <v>453</v>
      </c>
    </row>
    <row r="32579" spans="1:3">
      <c r="A32579" s="250">
        <v>75711</v>
      </c>
      <c r="B32579" s="74" t="s">
        <v>8957</v>
      </c>
      <c r="C32579" s="74" t="s">
        <v>453</v>
      </c>
    </row>
    <row r="32580" spans="1:3">
      <c r="A32580" s="250">
        <v>75712</v>
      </c>
      <c r="B32580" s="74" t="s">
        <v>8957</v>
      </c>
      <c r="C32580" s="74" t="s">
        <v>453</v>
      </c>
    </row>
    <row r="32581" spans="1:3">
      <c r="A32581" s="250">
        <v>75713</v>
      </c>
      <c r="B32581" s="74" t="s">
        <v>8957</v>
      </c>
      <c r="C32581" s="74" t="s">
        <v>453</v>
      </c>
    </row>
    <row r="32582" spans="1:3">
      <c r="A32582" s="250">
        <v>75750</v>
      </c>
      <c r="B32582" s="74" t="s">
        <v>15914</v>
      </c>
      <c r="C32582" s="74" t="s">
        <v>453</v>
      </c>
    </row>
    <row r="32583" spans="1:3">
      <c r="A32583" s="250">
        <v>75751</v>
      </c>
      <c r="B32583" s="74" t="s">
        <v>1678</v>
      </c>
      <c r="C32583" s="74" t="s">
        <v>453</v>
      </c>
    </row>
    <row r="32584" spans="1:3">
      <c r="A32584" s="250">
        <v>75752</v>
      </c>
      <c r="B32584" s="74" t="s">
        <v>1678</v>
      </c>
      <c r="C32584" s="74" t="s">
        <v>453</v>
      </c>
    </row>
    <row r="32585" spans="1:3">
      <c r="A32585" s="250">
        <v>75754</v>
      </c>
      <c r="B32585" s="74" t="s">
        <v>15915</v>
      </c>
      <c r="C32585" s="74" t="s">
        <v>453</v>
      </c>
    </row>
    <row r="32586" spans="1:3">
      <c r="A32586" s="250">
        <v>75755</v>
      </c>
      <c r="B32586" s="74" t="s">
        <v>6496</v>
      </c>
      <c r="C32586" s="74" t="s">
        <v>453</v>
      </c>
    </row>
    <row r="32587" spans="1:3">
      <c r="A32587" s="250">
        <v>75756</v>
      </c>
      <c r="B32587" s="74" t="s">
        <v>8738</v>
      </c>
      <c r="C32587" s="74" t="s">
        <v>453</v>
      </c>
    </row>
    <row r="32588" spans="1:3">
      <c r="A32588" s="250">
        <v>75757</v>
      </c>
      <c r="B32588" s="74" t="s">
        <v>15916</v>
      </c>
      <c r="C32588" s="74" t="s">
        <v>453</v>
      </c>
    </row>
    <row r="32589" spans="1:3">
      <c r="A32589" s="250">
        <v>75758</v>
      </c>
      <c r="B32589" s="74" t="s">
        <v>10910</v>
      </c>
      <c r="C32589" s="74" t="s">
        <v>453</v>
      </c>
    </row>
    <row r="32590" spans="1:3">
      <c r="A32590" s="250">
        <v>75759</v>
      </c>
      <c r="B32590" s="74" t="s">
        <v>15917</v>
      </c>
      <c r="C32590" s="74" t="s">
        <v>453</v>
      </c>
    </row>
    <row r="32591" spans="1:3">
      <c r="A32591" s="250">
        <v>75760</v>
      </c>
      <c r="B32591" s="74" t="s">
        <v>1552</v>
      </c>
      <c r="C32591" s="74" t="s">
        <v>453</v>
      </c>
    </row>
    <row r="32592" spans="1:3">
      <c r="A32592" s="250">
        <v>75762</v>
      </c>
      <c r="B32592" s="74" t="s">
        <v>11088</v>
      </c>
      <c r="C32592" s="74" t="s">
        <v>453</v>
      </c>
    </row>
    <row r="32593" spans="1:3">
      <c r="A32593" s="250">
        <v>75763</v>
      </c>
      <c r="B32593" s="74" t="s">
        <v>15918</v>
      </c>
      <c r="C32593" s="74" t="s">
        <v>453</v>
      </c>
    </row>
    <row r="32594" spans="1:3">
      <c r="A32594" s="250">
        <v>75764</v>
      </c>
      <c r="B32594" s="74" t="s">
        <v>9006</v>
      </c>
      <c r="C32594" s="74" t="s">
        <v>453</v>
      </c>
    </row>
    <row r="32595" spans="1:3">
      <c r="A32595" s="250">
        <v>75765</v>
      </c>
      <c r="B32595" s="74" t="s">
        <v>12206</v>
      </c>
      <c r="C32595" s="74" t="s">
        <v>453</v>
      </c>
    </row>
    <row r="32596" spans="1:3">
      <c r="A32596" s="250">
        <v>75766</v>
      </c>
      <c r="B32596" s="74" t="s">
        <v>1782</v>
      </c>
      <c r="C32596" s="74" t="s">
        <v>453</v>
      </c>
    </row>
    <row r="32597" spans="1:3">
      <c r="A32597" s="250">
        <v>75770</v>
      </c>
      <c r="B32597" s="74" t="s">
        <v>15919</v>
      </c>
      <c r="C32597" s="74" t="s">
        <v>453</v>
      </c>
    </row>
    <row r="32598" spans="1:3">
      <c r="A32598" s="250">
        <v>75771</v>
      </c>
      <c r="B32598" s="74" t="s">
        <v>7892</v>
      </c>
      <c r="C32598" s="74" t="s">
        <v>453</v>
      </c>
    </row>
    <row r="32599" spans="1:3">
      <c r="A32599" s="250">
        <v>75772</v>
      </c>
      <c r="B32599" s="74" t="s">
        <v>15920</v>
      </c>
      <c r="C32599" s="74" t="s">
        <v>453</v>
      </c>
    </row>
    <row r="32600" spans="1:3">
      <c r="A32600" s="250">
        <v>75773</v>
      </c>
      <c r="B32600" s="74" t="s">
        <v>2762</v>
      </c>
      <c r="C32600" s="74" t="s">
        <v>453</v>
      </c>
    </row>
    <row r="32601" spans="1:3">
      <c r="A32601" s="250">
        <v>75778</v>
      </c>
      <c r="B32601" s="74" t="s">
        <v>15921</v>
      </c>
      <c r="C32601" s="74" t="s">
        <v>453</v>
      </c>
    </row>
    <row r="32602" spans="1:3">
      <c r="A32602" s="250">
        <v>75779</v>
      </c>
      <c r="B32602" s="74" t="s">
        <v>15922</v>
      </c>
      <c r="C32602" s="74" t="s">
        <v>453</v>
      </c>
    </row>
    <row r="32603" spans="1:3">
      <c r="A32603" s="250">
        <v>75780</v>
      </c>
      <c r="B32603" s="74" t="s">
        <v>15923</v>
      </c>
      <c r="C32603" s="74" t="s">
        <v>453</v>
      </c>
    </row>
    <row r="32604" spans="1:3">
      <c r="A32604" s="250">
        <v>75782</v>
      </c>
      <c r="B32604" s="74" t="s">
        <v>15924</v>
      </c>
      <c r="C32604" s="74" t="s">
        <v>453</v>
      </c>
    </row>
    <row r="32605" spans="1:3">
      <c r="A32605" s="250">
        <v>75783</v>
      </c>
      <c r="B32605" s="74" t="s">
        <v>8155</v>
      </c>
      <c r="C32605" s="74" t="s">
        <v>453</v>
      </c>
    </row>
    <row r="32606" spans="1:3">
      <c r="A32606" s="250">
        <v>75784</v>
      </c>
      <c r="B32606" s="74" t="s">
        <v>15925</v>
      </c>
      <c r="C32606" s="74" t="s">
        <v>453</v>
      </c>
    </row>
    <row r="32607" spans="1:3">
      <c r="A32607" s="250">
        <v>75785</v>
      </c>
      <c r="B32607" s="74" t="s">
        <v>15926</v>
      </c>
      <c r="C32607" s="74" t="s">
        <v>453</v>
      </c>
    </row>
    <row r="32608" spans="1:3">
      <c r="A32608" s="250">
        <v>75788</v>
      </c>
      <c r="B32608" s="74" t="s">
        <v>15927</v>
      </c>
      <c r="C32608" s="74" t="s">
        <v>453</v>
      </c>
    </row>
    <row r="32609" spans="1:3">
      <c r="A32609" s="250">
        <v>75789</v>
      </c>
      <c r="B32609" s="74" t="s">
        <v>15928</v>
      </c>
      <c r="C32609" s="74" t="s">
        <v>453</v>
      </c>
    </row>
    <row r="32610" spans="1:3">
      <c r="A32610" s="250">
        <v>75790</v>
      </c>
      <c r="B32610" s="74" t="s">
        <v>6658</v>
      </c>
      <c r="C32610" s="74" t="s">
        <v>453</v>
      </c>
    </row>
    <row r="32611" spans="1:3">
      <c r="A32611" s="250">
        <v>75791</v>
      </c>
      <c r="B32611" s="74" t="s">
        <v>2605</v>
      </c>
      <c r="C32611" s="74" t="s">
        <v>453</v>
      </c>
    </row>
    <row r="32612" spans="1:3">
      <c r="A32612" s="250">
        <v>75792</v>
      </c>
      <c r="B32612" s="74" t="s">
        <v>6832</v>
      </c>
      <c r="C32612" s="74" t="s">
        <v>453</v>
      </c>
    </row>
    <row r="32613" spans="1:3">
      <c r="A32613" s="250">
        <v>75797</v>
      </c>
      <c r="B32613" s="74" t="s">
        <v>6496</v>
      </c>
      <c r="C32613" s="74" t="s">
        <v>453</v>
      </c>
    </row>
    <row r="32614" spans="1:3">
      <c r="A32614" s="250">
        <v>75798</v>
      </c>
      <c r="B32614" s="74" t="s">
        <v>8957</v>
      </c>
      <c r="C32614" s="74" t="s">
        <v>453</v>
      </c>
    </row>
    <row r="32615" spans="1:3">
      <c r="A32615" s="250">
        <v>75799</v>
      </c>
      <c r="B32615" s="74" t="s">
        <v>8957</v>
      </c>
      <c r="C32615" s="74" t="s">
        <v>453</v>
      </c>
    </row>
    <row r="32616" spans="1:3">
      <c r="A32616" s="250">
        <v>75801</v>
      </c>
      <c r="B32616" s="74" t="s">
        <v>6878</v>
      </c>
      <c r="C32616" s="74" t="s">
        <v>453</v>
      </c>
    </row>
    <row r="32617" spans="1:3">
      <c r="A32617" s="250">
        <v>75802</v>
      </c>
      <c r="B32617" s="74" t="s">
        <v>6878</v>
      </c>
      <c r="C32617" s="74" t="s">
        <v>453</v>
      </c>
    </row>
    <row r="32618" spans="1:3">
      <c r="A32618" s="250">
        <v>75803</v>
      </c>
      <c r="B32618" s="74" t="s">
        <v>6878</v>
      </c>
      <c r="C32618" s="74" t="s">
        <v>453</v>
      </c>
    </row>
    <row r="32619" spans="1:3">
      <c r="A32619" s="250">
        <v>75831</v>
      </c>
      <c r="B32619" s="74" t="s">
        <v>3751</v>
      </c>
      <c r="C32619" s="74" t="s">
        <v>453</v>
      </c>
    </row>
    <row r="32620" spans="1:3">
      <c r="A32620" s="250">
        <v>75832</v>
      </c>
      <c r="B32620" s="74" t="s">
        <v>3343</v>
      </c>
      <c r="C32620" s="74" t="s">
        <v>453</v>
      </c>
    </row>
    <row r="32621" spans="1:3">
      <c r="A32621" s="250">
        <v>75833</v>
      </c>
      <c r="B32621" s="74" t="s">
        <v>1024</v>
      </c>
      <c r="C32621" s="74" t="s">
        <v>453</v>
      </c>
    </row>
    <row r="32622" spans="1:3">
      <c r="A32622" s="250">
        <v>75834</v>
      </c>
      <c r="B32622" s="74" t="s">
        <v>13965</v>
      </c>
      <c r="C32622" s="74" t="s">
        <v>453</v>
      </c>
    </row>
    <row r="32623" spans="1:3">
      <c r="A32623" s="250">
        <v>75835</v>
      </c>
      <c r="B32623" s="74" t="s">
        <v>6354</v>
      </c>
      <c r="C32623" s="74" t="s">
        <v>453</v>
      </c>
    </row>
    <row r="32624" spans="1:3">
      <c r="A32624" s="250">
        <v>75838</v>
      </c>
      <c r="B32624" s="74" t="s">
        <v>15929</v>
      </c>
      <c r="C32624" s="74" t="s">
        <v>453</v>
      </c>
    </row>
    <row r="32625" spans="1:3">
      <c r="A32625" s="250">
        <v>75839</v>
      </c>
      <c r="B32625" s="74" t="s">
        <v>10711</v>
      </c>
      <c r="C32625" s="74" t="s">
        <v>453</v>
      </c>
    </row>
    <row r="32626" spans="1:3">
      <c r="A32626" s="250">
        <v>75840</v>
      </c>
      <c r="B32626" s="74" t="s">
        <v>1694</v>
      </c>
      <c r="C32626" s="74" t="s">
        <v>453</v>
      </c>
    </row>
    <row r="32627" spans="1:3">
      <c r="A32627" s="250">
        <v>75844</v>
      </c>
      <c r="B32627" s="74" t="s">
        <v>15930</v>
      </c>
      <c r="C32627" s="74" t="s">
        <v>453</v>
      </c>
    </row>
    <row r="32628" spans="1:3">
      <c r="A32628" s="250">
        <v>75845</v>
      </c>
      <c r="B32628" s="74" t="s">
        <v>1253</v>
      </c>
      <c r="C32628" s="74" t="s">
        <v>453</v>
      </c>
    </row>
    <row r="32629" spans="1:3">
      <c r="A32629" s="250">
        <v>75846</v>
      </c>
      <c r="B32629" s="74" t="s">
        <v>3058</v>
      </c>
      <c r="C32629" s="74" t="s">
        <v>453</v>
      </c>
    </row>
    <row r="32630" spans="1:3">
      <c r="A32630" s="250">
        <v>75847</v>
      </c>
      <c r="B32630" s="74" t="s">
        <v>10845</v>
      </c>
      <c r="C32630" s="74" t="s">
        <v>453</v>
      </c>
    </row>
    <row r="32631" spans="1:3">
      <c r="A32631" s="250">
        <v>75848</v>
      </c>
      <c r="B32631" s="74" t="s">
        <v>15931</v>
      </c>
      <c r="C32631" s="74" t="s">
        <v>453</v>
      </c>
    </row>
    <row r="32632" spans="1:3">
      <c r="A32632" s="250">
        <v>75849</v>
      </c>
      <c r="B32632" s="74" t="s">
        <v>15932</v>
      </c>
      <c r="C32632" s="74" t="s">
        <v>453</v>
      </c>
    </row>
    <row r="32633" spans="1:3">
      <c r="A32633" s="250">
        <v>75850</v>
      </c>
      <c r="B32633" s="74" t="s">
        <v>15933</v>
      </c>
      <c r="C32633" s="74" t="s">
        <v>453</v>
      </c>
    </row>
    <row r="32634" spans="1:3">
      <c r="A32634" s="250">
        <v>75851</v>
      </c>
      <c r="B32634" s="74" t="s">
        <v>15934</v>
      </c>
      <c r="C32634" s="74" t="s">
        <v>453</v>
      </c>
    </row>
    <row r="32635" spans="1:3">
      <c r="A32635" s="250">
        <v>75852</v>
      </c>
      <c r="B32635" s="74" t="s">
        <v>3995</v>
      </c>
      <c r="C32635" s="74" t="s">
        <v>453</v>
      </c>
    </row>
    <row r="32636" spans="1:3">
      <c r="A32636" s="250">
        <v>75853</v>
      </c>
      <c r="B32636" s="74" t="s">
        <v>15935</v>
      </c>
      <c r="C32636" s="74" t="s">
        <v>453</v>
      </c>
    </row>
    <row r="32637" spans="1:3">
      <c r="A32637" s="250">
        <v>75855</v>
      </c>
      <c r="B32637" s="74" t="s">
        <v>6466</v>
      </c>
      <c r="C32637" s="74" t="s">
        <v>453</v>
      </c>
    </row>
    <row r="32638" spans="1:3">
      <c r="A32638" s="250">
        <v>75856</v>
      </c>
      <c r="B32638" s="74" t="s">
        <v>2520</v>
      </c>
      <c r="C32638" s="74" t="s">
        <v>453</v>
      </c>
    </row>
    <row r="32639" spans="1:3">
      <c r="A32639" s="250">
        <v>75858</v>
      </c>
      <c r="B32639" s="74" t="s">
        <v>15508</v>
      </c>
      <c r="C32639" s="74" t="s">
        <v>453</v>
      </c>
    </row>
    <row r="32640" spans="1:3">
      <c r="A32640" s="250">
        <v>75859</v>
      </c>
      <c r="B32640" s="74" t="s">
        <v>15936</v>
      </c>
      <c r="C32640" s="74" t="s">
        <v>453</v>
      </c>
    </row>
    <row r="32641" spans="1:3">
      <c r="A32641" s="250">
        <v>75860</v>
      </c>
      <c r="B32641" s="74" t="s">
        <v>15937</v>
      </c>
      <c r="C32641" s="74" t="s">
        <v>453</v>
      </c>
    </row>
    <row r="32642" spans="1:3">
      <c r="A32642" s="250">
        <v>75861</v>
      </c>
      <c r="B32642" s="74" t="s">
        <v>15938</v>
      </c>
      <c r="C32642" s="74" t="s">
        <v>453</v>
      </c>
    </row>
    <row r="32643" spans="1:3">
      <c r="A32643" s="250">
        <v>75862</v>
      </c>
      <c r="B32643" s="74" t="s">
        <v>7129</v>
      </c>
      <c r="C32643" s="74" t="s">
        <v>453</v>
      </c>
    </row>
    <row r="32644" spans="1:3">
      <c r="A32644" s="250">
        <v>75865</v>
      </c>
      <c r="B32644" s="74" t="s">
        <v>15939</v>
      </c>
      <c r="C32644" s="74" t="s">
        <v>453</v>
      </c>
    </row>
    <row r="32645" spans="1:3">
      <c r="A32645" s="250">
        <v>75880</v>
      </c>
      <c r="B32645" s="74" t="s">
        <v>15938</v>
      </c>
      <c r="C32645" s="74" t="s">
        <v>453</v>
      </c>
    </row>
    <row r="32646" spans="1:3">
      <c r="A32646" s="250">
        <v>75882</v>
      </c>
      <c r="B32646" s="74" t="s">
        <v>6878</v>
      </c>
      <c r="C32646" s="74" t="s">
        <v>453</v>
      </c>
    </row>
    <row r="32647" spans="1:3">
      <c r="A32647" s="250">
        <v>75884</v>
      </c>
      <c r="B32647" s="74" t="s">
        <v>15938</v>
      </c>
      <c r="C32647" s="74" t="s">
        <v>453</v>
      </c>
    </row>
    <row r="32648" spans="1:3">
      <c r="A32648" s="250">
        <v>75886</v>
      </c>
      <c r="B32648" s="74" t="s">
        <v>15938</v>
      </c>
      <c r="C32648" s="74" t="s">
        <v>453</v>
      </c>
    </row>
    <row r="32649" spans="1:3">
      <c r="A32649" s="250">
        <v>75901</v>
      </c>
      <c r="B32649" s="74" t="s">
        <v>15940</v>
      </c>
      <c r="C32649" s="74" t="s">
        <v>453</v>
      </c>
    </row>
    <row r="32650" spans="1:3">
      <c r="A32650" s="250">
        <v>75902</v>
      </c>
      <c r="B32650" s="74" t="s">
        <v>15940</v>
      </c>
      <c r="C32650" s="74" t="s">
        <v>453</v>
      </c>
    </row>
    <row r="32651" spans="1:3">
      <c r="A32651" s="250">
        <v>75903</v>
      </c>
      <c r="B32651" s="74" t="s">
        <v>15940</v>
      </c>
      <c r="C32651" s="74" t="s">
        <v>453</v>
      </c>
    </row>
    <row r="32652" spans="1:3">
      <c r="A32652" s="250">
        <v>75904</v>
      </c>
      <c r="B32652" s="74" t="s">
        <v>15940</v>
      </c>
      <c r="C32652" s="74" t="s">
        <v>453</v>
      </c>
    </row>
    <row r="32653" spans="1:3">
      <c r="A32653" s="250">
        <v>75915</v>
      </c>
      <c r="B32653" s="74" t="s">
        <v>15940</v>
      </c>
      <c r="C32653" s="74" t="s">
        <v>453</v>
      </c>
    </row>
    <row r="32654" spans="1:3">
      <c r="A32654" s="250">
        <v>75925</v>
      </c>
      <c r="B32654" s="74" t="s">
        <v>7961</v>
      </c>
      <c r="C32654" s="74" t="s">
        <v>453</v>
      </c>
    </row>
    <row r="32655" spans="1:3">
      <c r="A32655" s="250">
        <v>75926</v>
      </c>
      <c r="B32655" s="74" t="s">
        <v>15941</v>
      </c>
      <c r="C32655" s="74" t="s">
        <v>453</v>
      </c>
    </row>
    <row r="32656" spans="1:3">
      <c r="A32656" s="250">
        <v>75928</v>
      </c>
      <c r="B32656" s="74" t="s">
        <v>15942</v>
      </c>
      <c r="C32656" s="74" t="s">
        <v>453</v>
      </c>
    </row>
    <row r="32657" spans="1:3">
      <c r="A32657" s="250">
        <v>75929</v>
      </c>
      <c r="B32657" s="74" t="s">
        <v>15943</v>
      </c>
      <c r="C32657" s="74" t="s">
        <v>453</v>
      </c>
    </row>
    <row r="32658" spans="1:3">
      <c r="A32658" s="250">
        <v>75930</v>
      </c>
      <c r="B32658" s="74" t="s">
        <v>8344</v>
      </c>
      <c r="C32658" s="74" t="s">
        <v>453</v>
      </c>
    </row>
    <row r="32659" spans="1:3">
      <c r="A32659" s="250">
        <v>75931</v>
      </c>
      <c r="B32659" s="74" t="s">
        <v>15944</v>
      </c>
      <c r="C32659" s="74" t="s">
        <v>453</v>
      </c>
    </row>
    <row r="32660" spans="1:3">
      <c r="A32660" s="250">
        <v>75932</v>
      </c>
      <c r="B32660" s="74" t="s">
        <v>6225</v>
      </c>
      <c r="C32660" s="74" t="s">
        <v>453</v>
      </c>
    </row>
    <row r="32661" spans="1:3">
      <c r="A32661" s="250">
        <v>75933</v>
      </c>
      <c r="B32661" s="74" t="s">
        <v>15945</v>
      </c>
      <c r="C32661" s="74" t="s">
        <v>453</v>
      </c>
    </row>
    <row r="32662" spans="1:3">
      <c r="A32662" s="250">
        <v>75934</v>
      </c>
      <c r="B32662" s="74" t="s">
        <v>1660</v>
      </c>
      <c r="C32662" s="74" t="s">
        <v>453</v>
      </c>
    </row>
    <row r="32663" spans="1:3">
      <c r="A32663" s="250">
        <v>75935</v>
      </c>
      <c r="B32663" s="74" t="s">
        <v>9978</v>
      </c>
      <c r="C32663" s="74" t="s">
        <v>453</v>
      </c>
    </row>
    <row r="32664" spans="1:3">
      <c r="A32664" s="250">
        <v>75936</v>
      </c>
      <c r="B32664" s="74" t="s">
        <v>583</v>
      </c>
      <c r="C32664" s="74" t="s">
        <v>453</v>
      </c>
    </row>
    <row r="32665" spans="1:3">
      <c r="A32665" s="250">
        <v>75937</v>
      </c>
      <c r="B32665" s="74" t="s">
        <v>15946</v>
      </c>
      <c r="C32665" s="74" t="s">
        <v>453</v>
      </c>
    </row>
    <row r="32666" spans="1:3">
      <c r="A32666" s="250">
        <v>75938</v>
      </c>
      <c r="B32666" s="74" t="s">
        <v>15947</v>
      </c>
      <c r="C32666" s="74" t="s">
        <v>453</v>
      </c>
    </row>
    <row r="32667" spans="1:3">
      <c r="A32667" s="250">
        <v>75939</v>
      </c>
      <c r="B32667" s="74" t="s">
        <v>15948</v>
      </c>
      <c r="C32667" s="74" t="s">
        <v>453</v>
      </c>
    </row>
    <row r="32668" spans="1:3">
      <c r="A32668" s="250">
        <v>75941</v>
      </c>
      <c r="B32668" s="74" t="s">
        <v>15949</v>
      </c>
      <c r="C32668" s="74" t="s">
        <v>453</v>
      </c>
    </row>
    <row r="32669" spans="1:3">
      <c r="A32669" s="250">
        <v>75942</v>
      </c>
      <c r="B32669" s="74" t="s">
        <v>15950</v>
      </c>
      <c r="C32669" s="74" t="s">
        <v>453</v>
      </c>
    </row>
    <row r="32670" spans="1:3">
      <c r="A32670" s="250">
        <v>75943</v>
      </c>
      <c r="B32670" s="74" t="s">
        <v>14597</v>
      </c>
      <c r="C32670" s="74" t="s">
        <v>453</v>
      </c>
    </row>
    <row r="32671" spans="1:3">
      <c r="A32671" s="250">
        <v>75944</v>
      </c>
      <c r="B32671" s="74" t="s">
        <v>9962</v>
      </c>
      <c r="C32671" s="74" t="s">
        <v>453</v>
      </c>
    </row>
    <row r="32672" spans="1:3">
      <c r="A32672" s="250">
        <v>75946</v>
      </c>
      <c r="B32672" s="74" t="s">
        <v>2630</v>
      </c>
      <c r="C32672" s="74" t="s">
        <v>453</v>
      </c>
    </row>
    <row r="32673" spans="1:3">
      <c r="A32673" s="250">
        <v>75948</v>
      </c>
      <c r="B32673" s="74" t="s">
        <v>6508</v>
      </c>
      <c r="C32673" s="74" t="s">
        <v>453</v>
      </c>
    </row>
    <row r="32674" spans="1:3">
      <c r="A32674" s="250">
        <v>75949</v>
      </c>
      <c r="B32674" s="74" t="s">
        <v>601</v>
      </c>
      <c r="C32674" s="74" t="s">
        <v>453</v>
      </c>
    </row>
    <row r="32675" spans="1:3">
      <c r="A32675" s="250">
        <v>75951</v>
      </c>
      <c r="B32675" s="74" t="s">
        <v>3922</v>
      </c>
      <c r="C32675" s="74" t="s">
        <v>453</v>
      </c>
    </row>
    <row r="32676" spans="1:3">
      <c r="A32676" s="250">
        <v>75954</v>
      </c>
      <c r="B32676" s="74" t="s">
        <v>15951</v>
      </c>
      <c r="C32676" s="74" t="s">
        <v>453</v>
      </c>
    </row>
    <row r="32677" spans="1:3">
      <c r="A32677" s="250">
        <v>75956</v>
      </c>
      <c r="B32677" s="74" t="s">
        <v>14442</v>
      </c>
      <c r="C32677" s="74" t="s">
        <v>453</v>
      </c>
    </row>
    <row r="32678" spans="1:3">
      <c r="A32678" s="250">
        <v>75958</v>
      </c>
      <c r="B32678" s="74" t="s">
        <v>2580</v>
      </c>
      <c r="C32678" s="74" t="s">
        <v>453</v>
      </c>
    </row>
    <row r="32679" spans="1:3">
      <c r="A32679" s="250">
        <v>75959</v>
      </c>
      <c r="B32679" s="74" t="s">
        <v>7043</v>
      </c>
      <c r="C32679" s="74" t="s">
        <v>453</v>
      </c>
    </row>
    <row r="32680" spans="1:3">
      <c r="A32680" s="250">
        <v>75960</v>
      </c>
      <c r="B32680" s="74" t="s">
        <v>1851</v>
      </c>
      <c r="C32680" s="74" t="s">
        <v>453</v>
      </c>
    </row>
    <row r="32681" spans="1:3">
      <c r="A32681" s="250">
        <v>75961</v>
      </c>
      <c r="B32681" s="74" t="s">
        <v>15952</v>
      </c>
      <c r="C32681" s="74" t="s">
        <v>453</v>
      </c>
    </row>
    <row r="32682" spans="1:3">
      <c r="A32682" s="250">
        <v>75962</v>
      </c>
      <c r="B32682" s="74" t="s">
        <v>15952</v>
      </c>
      <c r="C32682" s="74" t="s">
        <v>453</v>
      </c>
    </row>
    <row r="32683" spans="1:3">
      <c r="A32683" s="250">
        <v>75963</v>
      </c>
      <c r="B32683" s="74" t="s">
        <v>15952</v>
      </c>
      <c r="C32683" s="74" t="s">
        <v>453</v>
      </c>
    </row>
    <row r="32684" spans="1:3">
      <c r="A32684" s="250">
        <v>75964</v>
      </c>
      <c r="B32684" s="74" t="s">
        <v>15952</v>
      </c>
      <c r="C32684" s="74" t="s">
        <v>453</v>
      </c>
    </row>
    <row r="32685" spans="1:3">
      <c r="A32685" s="250">
        <v>75965</v>
      </c>
      <c r="B32685" s="74" t="s">
        <v>15952</v>
      </c>
      <c r="C32685" s="74" t="s">
        <v>453</v>
      </c>
    </row>
    <row r="32686" spans="1:3">
      <c r="A32686" s="250">
        <v>75966</v>
      </c>
      <c r="B32686" s="74" t="s">
        <v>973</v>
      </c>
      <c r="C32686" s="74" t="s">
        <v>453</v>
      </c>
    </row>
    <row r="32687" spans="1:3">
      <c r="A32687" s="250">
        <v>75968</v>
      </c>
      <c r="B32687" s="74" t="s">
        <v>7845</v>
      </c>
      <c r="C32687" s="74" t="s">
        <v>453</v>
      </c>
    </row>
    <row r="32688" spans="1:3">
      <c r="A32688" s="250">
        <v>75969</v>
      </c>
      <c r="B32688" s="74" t="s">
        <v>15953</v>
      </c>
      <c r="C32688" s="74" t="s">
        <v>453</v>
      </c>
    </row>
    <row r="32689" spans="1:3">
      <c r="A32689" s="250">
        <v>75972</v>
      </c>
      <c r="B32689" s="74" t="s">
        <v>15954</v>
      </c>
      <c r="C32689" s="74" t="s">
        <v>453</v>
      </c>
    </row>
    <row r="32690" spans="1:3">
      <c r="A32690" s="250">
        <v>75973</v>
      </c>
      <c r="B32690" s="74" t="s">
        <v>9037</v>
      </c>
      <c r="C32690" s="74" t="s">
        <v>453</v>
      </c>
    </row>
    <row r="32691" spans="1:3">
      <c r="A32691" s="250">
        <v>75974</v>
      </c>
      <c r="B32691" s="74" t="s">
        <v>15955</v>
      </c>
      <c r="C32691" s="74" t="s">
        <v>453</v>
      </c>
    </row>
    <row r="32692" spans="1:3">
      <c r="A32692" s="250">
        <v>75975</v>
      </c>
      <c r="B32692" s="74" t="s">
        <v>15956</v>
      </c>
      <c r="C32692" s="74" t="s">
        <v>453</v>
      </c>
    </row>
    <row r="32693" spans="1:3">
      <c r="A32693" s="250">
        <v>75976</v>
      </c>
      <c r="B32693" s="74" t="s">
        <v>1421</v>
      </c>
      <c r="C32693" s="74" t="s">
        <v>453</v>
      </c>
    </row>
    <row r="32694" spans="1:3">
      <c r="A32694" s="250">
        <v>75977</v>
      </c>
      <c r="B32694" s="74" t="s">
        <v>15957</v>
      </c>
      <c r="C32694" s="74" t="s">
        <v>453</v>
      </c>
    </row>
    <row r="32695" spans="1:3">
      <c r="A32695" s="250">
        <v>75978</v>
      </c>
      <c r="B32695" s="74" t="s">
        <v>11602</v>
      </c>
      <c r="C32695" s="74" t="s">
        <v>453</v>
      </c>
    </row>
    <row r="32696" spans="1:3">
      <c r="A32696" s="250">
        <v>75979</v>
      </c>
      <c r="B32696" s="74" t="s">
        <v>804</v>
      </c>
      <c r="C32696" s="74" t="s">
        <v>453</v>
      </c>
    </row>
    <row r="32697" spans="1:3">
      <c r="A32697" s="250">
        <v>75980</v>
      </c>
      <c r="B32697" s="74" t="s">
        <v>15958</v>
      </c>
      <c r="C32697" s="74" t="s">
        <v>453</v>
      </c>
    </row>
    <row r="32698" spans="1:3">
      <c r="A32698" s="250">
        <v>75990</v>
      </c>
      <c r="B32698" s="74" t="s">
        <v>804</v>
      </c>
      <c r="C32698" s="74" t="s">
        <v>453</v>
      </c>
    </row>
    <row r="32699" spans="1:3">
      <c r="A32699" s="250">
        <v>76001</v>
      </c>
      <c r="B32699" s="74" t="s">
        <v>984</v>
      </c>
      <c r="C32699" s="74" t="s">
        <v>453</v>
      </c>
    </row>
    <row r="32700" spans="1:3">
      <c r="A32700" s="250">
        <v>76002</v>
      </c>
      <c r="B32700" s="74" t="s">
        <v>984</v>
      </c>
      <c r="C32700" s="74" t="s">
        <v>453</v>
      </c>
    </row>
    <row r="32701" spans="1:3">
      <c r="A32701" s="250">
        <v>76003</v>
      </c>
      <c r="B32701" s="74" t="s">
        <v>984</v>
      </c>
      <c r="C32701" s="74" t="s">
        <v>453</v>
      </c>
    </row>
    <row r="32702" spans="1:3">
      <c r="A32702" s="250">
        <v>76004</v>
      </c>
      <c r="B32702" s="74" t="s">
        <v>984</v>
      </c>
      <c r="C32702" s="74" t="s">
        <v>453</v>
      </c>
    </row>
    <row r="32703" spans="1:3">
      <c r="A32703" s="250">
        <v>76005</v>
      </c>
      <c r="B32703" s="74" t="s">
        <v>984</v>
      </c>
      <c r="C32703" s="74" t="s">
        <v>453</v>
      </c>
    </row>
    <row r="32704" spans="1:3">
      <c r="A32704" s="250">
        <v>76006</v>
      </c>
      <c r="B32704" s="74" t="s">
        <v>984</v>
      </c>
      <c r="C32704" s="74" t="s">
        <v>453</v>
      </c>
    </row>
    <row r="32705" spans="1:3">
      <c r="A32705" s="250">
        <v>76007</v>
      </c>
      <c r="B32705" s="74" t="s">
        <v>984</v>
      </c>
      <c r="C32705" s="74" t="s">
        <v>453</v>
      </c>
    </row>
    <row r="32706" spans="1:3">
      <c r="A32706" s="250">
        <v>76008</v>
      </c>
      <c r="B32706" s="74" t="s">
        <v>13631</v>
      </c>
      <c r="C32706" s="74" t="s">
        <v>453</v>
      </c>
    </row>
    <row r="32707" spans="1:3">
      <c r="A32707" s="250">
        <v>76009</v>
      </c>
      <c r="B32707" s="74" t="s">
        <v>12778</v>
      </c>
      <c r="C32707" s="74" t="s">
        <v>453</v>
      </c>
    </row>
    <row r="32708" spans="1:3">
      <c r="A32708" s="250">
        <v>76010</v>
      </c>
      <c r="B32708" s="74" t="s">
        <v>984</v>
      </c>
      <c r="C32708" s="74" t="s">
        <v>453</v>
      </c>
    </row>
    <row r="32709" spans="1:3">
      <c r="A32709" s="250">
        <v>76011</v>
      </c>
      <c r="B32709" s="74" t="s">
        <v>984</v>
      </c>
      <c r="C32709" s="74" t="s">
        <v>453</v>
      </c>
    </row>
    <row r="32710" spans="1:3">
      <c r="A32710" s="250">
        <v>76012</v>
      </c>
      <c r="B32710" s="74" t="s">
        <v>984</v>
      </c>
      <c r="C32710" s="74" t="s">
        <v>453</v>
      </c>
    </row>
    <row r="32711" spans="1:3">
      <c r="A32711" s="250">
        <v>76013</v>
      </c>
      <c r="B32711" s="74" t="s">
        <v>984</v>
      </c>
      <c r="C32711" s="74" t="s">
        <v>453</v>
      </c>
    </row>
    <row r="32712" spans="1:3">
      <c r="A32712" s="250">
        <v>76014</v>
      </c>
      <c r="B32712" s="74" t="s">
        <v>984</v>
      </c>
      <c r="C32712" s="74" t="s">
        <v>453</v>
      </c>
    </row>
    <row r="32713" spans="1:3">
      <c r="A32713" s="250">
        <v>76015</v>
      </c>
      <c r="B32713" s="74" t="s">
        <v>984</v>
      </c>
      <c r="C32713" s="74" t="s">
        <v>453</v>
      </c>
    </row>
    <row r="32714" spans="1:3">
      <c r="A32714" s="250">
        <v>76016</v>
      </c>
      <c r="B32714" s="74" t="s">
        <v>984</v>
      </c>
      <c r="C32714" s="74" t="s">
        <v>453</v>
      </c>
    </row>
    <row r="32715" spans="1:3">
      <c r="A32715" s="250">
        <v>76017</v>
      </c>
      <c r="B32715" s="74" t="s">
        <v>984</v>
      </c>
      <c r="C32715" s="74" t="s">
        <v>453</v>
      </c>
    </row>
    <row r="32716" spans="1:3">
      <c r="A32716" s="250">
        <v>76018</v>
      </c>
      <c r="B32716" s="74" t="s">
        <v>984</v>
      </c>
      <c r="C32716" s="74" t="s">
        <v>453</v>
      </c>
    </row>
    <row r="32717" spans="1:3">
      <c r="A32717" s="250">
        <v>76019</v>
      </c>
      <c r="B32717" s="74" t="s">
        <v>984</v>
      </c>
      <c r="C32717" s="74" t="s">
        <v>453</v>
      </c>
    </row>
    <row r="32718" spans="1:3">
      <c r="A32718" s="250">
        <v>76020</v>
      </c>
      <c r="B32718" s="74" t="s">
        <v>15959</v>
      </c>
      <c r="C32718" s="74" t="s">
        <v>453</v>
      </c>
    </row>
    <row r="32719" spans="1:3">
      <c r="A32719" s="250">
        <v>76021</v>
      </c>
      <c r="B32719" s="74" t="s">
        <v>783</v>
      </c>
      <c r="C32719" s="74" t="s">
        <v>453</v>
      </c>
    </row>
    <row r="32720" spans="1:3">
      <c r="A32720" s="250">
        <v>76022</v>
      </c>
      <c r="B32720" s="74" t="s">
        <v>783</v>
      </c>
      <c r="C32720" s="74" t="s">
        <v>453</v>
      </c>
    </row>
    <row r="32721" spans="1:3">
      <c r="A32721" s="250">
        <v>76023</v>
      </c>
      <c r="B32721" s="74" t="s">
        <v>12260</v>
      </c>
      <c r="C32721" s="74" t="s">
        <v>453</v>
      </c>
    </row>
    <row r="32722" spans="1:3">
      <c r="A32722" s="250">
        <v>76028</v>
      </c>
      <c r="B32722" s="74" t="s">
        <v>15960</v>
      </c>
      <c r="C32722" s="74" t="s">
        <v>453</v>
      </c>
    </row>
    <row r="32723" spans="1:3">
      <c r="A32723" s="250">
        <v>76031</v>
      </c>
      <c r="B32723" s="74" t="s">
        <v>15961</v>
      </c>
      <c r="C32723" s="74" t="s">
        <v>453</v>
      </c>
    </row>
    <row r="32724" spans="1:3">
      <c r="A32724" s="250">
        <v>76033</v>
      </c>
      <c r="B32724" s="74" t="s">
        <v>15961</v>
      </c>
      <c r="C32724" s="74" t="s">
        <v>453</v>
      </c>
    </row>
    <row r="32725" spans="1:3">
      <c r="A32725" s="250">
        <v>76034</v>
      </c>
      <c r="B32725" s="74" t="s">
        <v>15962</v>
      </c>
      <c r="C32725" s="74" t="s">
        <v>453</v>
      </c>
    </row>
    <row r="32726" spans="1:3">
      <c r="A32726" s="250">
        <v>76035</v>
      </c>
      <c r="B32726" s="74" t="s">
        <v>4541</v>
      </c>
      <c r="C32726" s="74" t="s">
        <v>453</v>
      </c>
    </row>
    <row r="32727" spans="1:3">
      <c r="A32727" s="250">
        <v>76036</v>
      </c>
      <c r="B32727" s="74" t="s">
        <v>15000</v>
      </c>
      <c r="C32727" s="74" t="s">
        <v>453</v>
      </c>
    </row>
    <row r="32728" spans="1:3">
      <c r="A32728" s="250">
        <v>76039</v>
      </c>
      <c r="B32728" s="74" t="s">
        <v>15963</v>
      </c>
      <c r="C32728" s="74" t="s">
        <v>453</v>
      </c>
    </row>
    <row r="32729" spans="1:3">
      <c r="A32729" s="250">
        <v>76040</v>
      </c>
      <c r="B32729" s="74" t="s">
        <v>15963</v>
      </c>
      <c r="C32729" s="74" t="s">
        <v>453</v>
      </c>
    </row>
    <row r="32730" spans="1:3">
      <c r="A32730" s="250">
        <v>76041</v>
      </c>
      <c r="B32730" s="74" t="s">
        <v>13606</v>
      </c>
      <c r="C32730" s="74" t="s">
        <v>453</v>
      </c>
    </row>
    <row r="32731" spans="1:3">
      <c r="A32731" s="250">
        <v>76043</v>
      </c>
      <c r="B32731" s="74" t="s">
        <v>15964</v>
      </c>
      <c r="C32731" s="74" t="s">
        <v>453</v>
      </c>
    </row>
    <row r="32732" spans="1:3">
      <c r="A32732" s="250">
        <v>76044</v>
      </c>
      <c r="B32732" s="74" t="s">
        <v>15965</v>
      </c>
      <c r="C32732" s="74" t="s">
        <v>453</v>
      </c>
    </row>
    <row r="32733" spans="1:3">
      <c r="A32733" s="250">
        <v>76048</v>
      </c>
      <c r="B32733" s="74" t="s">
        <v>15966</v>
      </c>
      <c r="C32733" s="74" t="s">
        <v>453</v>
      </c>
    </row>
    <row r="32734" spans="1:3">
      <c r="A32734" s="250">
        <v>76049</v>
      </c>
      <c r="B32734" s="74" t="s">
        <v>15966</v>
      </c>
      <c r="C32734" s="74" t="s">
        <v>453</v>
      </c>
    </row>
    <row r="32735" spans="1:3">
      <c r="A32735" s="250">
        <v>76050</v>
      </c>
      <c r="B32735" s="74" t="s">
        <v>9065</v>
      </c>
      <c r="C32735" s="74" t="s">
        <v>453</v>
      </c>
    </row>
    <row r="32736" spans="1:3">
      <c r="A32736" s="250">
        <v>76051</v>
      </c>
      <c r="B32736" s="74" t="s">
        <v>15285</v>
      </c>
      <c r="C32736" s="74" t="s">
        <v>453</v>
      </c>
    </row>
    <row r="32737" spans="1:3">
      <c r="A32737" s="250">
        <v>76052</v>
      </c>
      <c r="B32737" s="74" t="s">
        <v>15967</v>
      </c>
      <c r="C32737" s="74" t="s">
        <v>453</v>
      </c>
    </row>
    <row r="32738" spans="1:3">
      <c r="A32738" s="250">
        <v>76053</v>
      </c>
      <c r="B32738" s="74" t="s">
        <v>14042</v>
      </c>
      <c r="C32738" s="74" t="s">
        <v>453</v>
      </c>
    </row>
    <row r="32739" spans="1:3">
      <c r="A32739" s="250">
        <v>76054</v>
      </c>
      <c r="B32739" s="74" t="s">
        <v>14042</v>
      </c>
      <c r="C32739" s="74" t="s">
        <v>453</v>
      </c>
    </row>
    <row r="32740" spans="1:3">
      <c r="A32740" s="250">
        <v>76055</v>
      </c>
      <c r="B32740" s="74" t="s">
        <v>13474</v>
      </c>
      <c r="C32740" s="74" t="s">
        <v>453</v>
      </c>
    </row>
    <row r="32741" spans="1:3">
      <c r="A32741" s="250">
        <v>76058</v>
      </c>
      <c r="B32741" s="74" t="s">
        <v>15968</v>
      </c>
      <c r="C32741" s="74" t="s">
        <v>453</v>
      </c>
    </row>
    <row r="32742" spans="1:3">
      <c r="A32742" s="250">
        <v>76059</v>
      </c>
      <c r="B32742" s="74" t="s">
        <v>1226</v>
      </c>
      <c r="C32742" s="74" t="s">
        <v>453</v>
      </c>
    </row>
    <row r="32743" spans="1:3">
      <c r="A32743" s="250">
        <v>76060</v>
      </c>
      <c r="B32743" s="74" t="s">
        <v>15969</v>
      </c>
      <c r="C32743" s="74" t="s">
        <v>453</v>
      </c>
    </row>
    <row r="32744" spans="1:3">
      <c r="A32744" s="250">
        <v>76061</v>
      </c>
      <c r="B32744" s="74" t="s">
        <v>8912</v>
      </c>
      <c r="C32744" s="74" t="s">
        <v>453</v>
      </c>
    </row>
    <row r="32745" spans="1:3">
      <c r="A32745" s="250">
        <v>76063</v>
      </c>
      <c r="B32745" s="74" t="s">
        <v>879</v>
      </c>
      <c r="C32745" s="74" t="s">
        <v>453</v>
      </c>
    </row>
    <row r="32746" spans="1:3">
      <c r="A32746" s="250">
        <v>76064</v>
      </c>
      <c r="B32746" s="74" t="s">
        <v>15970</v>
      </c>
      <c r="C32746" s="74" t="s">
        <v>453</v>
      </c>
    </row>
    <row r="32747" spans="1:3">
      <c r="A32747" s="250">
        <v>76065</v>
      </c>
      <c r="B32747" s="74" t="s">
        <v>5734</v>
      </c>
      <c r="C32747" s="74" t="s">
        <v>453</v>
      </c>
    </row>
    <row r="32748" spans="1:3">
      <c r="A32748" s="250">
        <v>76066</v>
      </c>
      <c r="B32748" s="74" t="s">
        <v>15971</v>
      </c>
      <c r="C32748" s="74" t="s">
        <v>453</v>
      </c>
    </row>
    <row r="32749" spans="1:3">
      <c r="A32749" s="250">
        <v>76067</v>
      </c>
      <c r="B32749" s="74" t="s">
        <v>6865</v>
      </c>
      <c r="C32749" s="74" t="s">
        <v>453</v>
      </c>
    </row>
    <row r="32750" spans="1:3">
      <c r="A32750" s="250">
        <v>76068</v>
      </c>
      <c r="B32750" s="74" t="s">
        <v>6865</v>
      </c>
      <c r="C32750" s="74" t="s">
        <v>453</v>
      </c>
    </row>
    <row r="32751" spans="1:3">
      <c r="A32751" s="250">
        <v>76070</v>
      </c>
      <c r="B32751" s="74" t="s">
        <v>12981</v>
      </c>
      <c r="C32751" s="74" t="s">
        <v>453</v>
      </c>
    </row>
    <row r="32752" spans="1:3">
      <c r="A32752" s="250">
        <v>76071</v>
      </c>
      <c r="B32752" s="74" t="s">
        <v>2172</v>
      </c>
      <c r="C32752" s="74" t="s">
        <v>453</v>
      </c>
    </row>
    <row r="32753" spans="1:3">
      <c r="A32753" s="250">
        <v>76073</v>
      </c>
      <c r="B32753" s="74" t="s">
        <v>4877</v>
      </c>
      <c r="C32753" s="74" t="s">
        <v>453</v>
      </c>
    </row>
    <row r="32754" spans="1:3">
      <c r="A32754" s="250">
        <v>76077</v>
      </c>
      <c r="B32754" s="74" t="s">
        <v>15972</v>
      </c>
      <c r="C32754" s="74" t="s">
        <v>453</v>
      </c>
    </row>
    <row r="32755" spans="1:3">
      <c r="A32755" s="250">
        <v>76078</v>
      </c>
      <c r="B32755" s="74" t="s">
        <v>15973</v>
      </c>
      <c r="C32755" s="74" t="s">
        <v>453</v>
      </c>
    </row>
    <row r="32756" spans="1:3">
      <c r="A32756" s="250">
        <v>76082</v>
      </c>
      <c r="B32756" s="74" t="s">
        <v>5068</v>
      </c>
      <c r="C32756" s="74" t="s">
        <v>453</v>
      </c>
    </row>
    <row r="32757" spans="1:3">
      <c r="A32757" s="250">
        <v>76084</v>
      </c>
      <c r="B32757" s="74" t="s">
        <v>4499</v>
      </c>
      <c r="C32757" s="74" t="s">
        <v>453</v>
      </c>
    </row>
    <row r="32758" spans="1:3">
      <c r="A32758" s="250">
        <v>76085</v>
      </c>
      <c r="B32758" s="74" t="s">
        <v>15541</v>
      </c>
      <c r="C32758" s="74" t="s">
        <v>453</v>
      </c>
    </row>
    <row r="32759" spans="1:3">
      <c r="A32759" s="250">
        <v>76086</v>
      </c>
      <c r="B32759" s="74" t="s">
        <v>15541</v>
      </c>
      <c r="C32759" s="74" t="s">
        <v>453</v>
      </c>
    </row>
    <row r="32760" spans="1:3">
      <c r="A32760" s="250">
        <v>76087</v>
      </c>
      <c r="B32760" s="74" t="s">
        <v>15541</v>
      </c>
      <c r="C32760" s="74" t="s">
        <v>453</v>
      </c>
    </row>
    <row r="32761" spans="1:3">
      <c r="A32761" s="250">
        <v>76088</v>
      </c>
      <c r="B32761" s="74" t="s">
        <v>15541</v>
      </c>
      <c r="C32761" s="74" t="s">
        <v>453</v>
      </c>
    </row>
    <row r="32762" spans="1:3">
      <c r="A32762" s="250">
        <v>76092</v>
      </c>
      <c r="B32762" s="74" t="s">
        <v>15974</v>
      </c>
      <c r="C32762" s="74" t="s">
        <v>453</v>
      </c>
    </row>
    <row r="32763" spans="1:3">
      <c r="A32763" s="250">
        <v>76093</v>
      </c>
      <c r="B32763" s="74" t="s">
        <v>15975</v>
      </c>
      <c r="C32763" s="74" t="s">
        <v>453</v>
      </c>
    </row>
    <row r="32764" spans="1:3">
      <c r="A32764" s="250">
        <v>76094</v>
      </c>
      <c r="B32764" s="74" t="s">
        <v>984</v>
      </c>
      <c r="C32764" s="74" t="s">
        <v>453</v>
      </c>
    </row>
    <row r="32765" spans="1:3">
      <c r="A32765" s="250">
        <v>76095</v>
      </c>
      <c r="B32765" s="74" t="s">
        <v>783</v>
      </c>
      <c r="C32765" s="74" t="s">
        <v>453</v>
      </c>
    </row>
    <row r="32766" spans="1:3">
      <c r="A32766" s="250">
        <v>76096</v>
      </c>
      <c r="B32766" s="74" t="s">
        <v>984</v>
      </c>
      <c r="C32766" s="74" t="s">
        <v>453</v>
      </c>
    </row>
    <row r="32767" spans="1:3">
      <c r="A32767" s="250">
        <v>76097</v>
      </c>
      <c r="B32767" s="74" t="s">
        <v>15960</v>
      </c>
      <c r="C32767" s="74" t="s">
        <v>453</v>
      </c>
    </row>
    <row r="32768" spans="1:3">
      <c r="A32768" s="250">
        <v>76098</v>
      </c>
      <c r="B32768" s="74" t="s">
        <v>15959</v>
      </c>
      <c r="C32768" s="74" t="s">
        <v>453</v>
      </c>
    </row>
    <row r="32769" spans="1:3">
      <c r="A32769" s="250">
        <v>76099</v>
      </c>
      <c r="B32769" s="74" t="s">
        <v>15285</v>
      </c>
      <c r="C32769" s="74" t="s">
        <v>453</v>
      </c>
    </row>
    <row r="32770" spans="1:3">
      <c r="A32770" s="250">
        <v>76101</v>
      </c>
      <c r="B32770" s="74" t="s">
        <v>15976</v>
      </c>
      <c r="C32770" s="74" t="s">
        <v>453</v>
      </c>
    </row>
    <row r="32771" spans="1:3">
      <c r="A32771" s="250">
        <v>76102</v>
      </c>
      <c r="B32771" s="74" t="s">
        <v>15976</v>
      </c>
      <c r="C32771" s="74" t="s">
        <v>453</v>
      </c>
    </row>
    <row r="32772" spans="1:3">
      <c r="A32772" s="250">
        <v>76103</v>
      </c>
      <c r="B32772" s="74" t="s">
        <v>15976</v>
      </c>
      <c r="C32772" s="74" t="s">
        <v>453</v>
      </c>
    </row>
    <row r="32773" spans="1:3">
      <c r="A32773" s="250">
        <v>76104</v>
      </c>
      <c r="B32773" s="74" t="s">
        <v>15976</v>
      </c>
      <c r="C32773" s="74" t="s">
        <v>453</v>
      </c>
    </row>
    <row r="32774" spans="1:3">
      <c r="A32774" s="250">
        <v>76105</v>
      </c>
      <c r="B32774" s="74" t="s">
        <v>15976</v>
      </c>
      <c r="C32774" s="74" t="s">
        <v>453</v>
      </c>
    </row>
    <row r="32775" spans="1:3">
      <c r="A32775" s="250">
        <v>76106</v>
      </c>
      <c r="B32775" s="74" t="s">
        <v>15976</v>
      </c>
      <c r="C32775" s="74" t="s">
        <v>453</v>
      </c>
    </row>
    <row r="32776" spans="1:3">
      <c r="A32776" s="250">
        <v>76107</v>
      </c>
      <c r="B32776" s="74" t="s">
        <v>15976</v>
      </c>
      <c r="C32776" s="74" t="s">
        <v>453</v>
      </c>
    </row>
    <row r="32777" spans="1:3">
      <c r="A32777" s="250">
        <v>76108</v>
      </c>
      <c r="B32777" s="74" t="s">
        <v>15976</v>
      </c>
      <c r="C32777" s="74" t="s">
        <v>453</v>
      </c>
    </row>
    <row r="32778" spans="1:3">
      <c r="A32778" s="250">
        <v>76109</v>
      </c>
      <c r="B32778" s="74" t="s">
        <v>15976</v>
      </c>
      <c r="C32778" s="74" t="s">
        <v>453</v>
      </c>
    </row>
    <row r="32779" spans="1:3">
      <c r="A32779" s="250">
        <v>76110</v>
      </c>
      <c r="B32779" s="74" t="s">
        <v>15976</v>
      </c>
      <c r="C32779" s="74" t="s">
        <v>453</v>
      </c>
    </row>
    <row r="32780" spans="1:3">
      <c r="A32780" s="250">
        <v>76111</v>
      </c>
      <c r="B32780" s="74" t="s">
        <v>15976</v>
      </c>
      <c r="C32780" s="74" t="s">
        <v>453</v>
      </c>
    </row>
    <row r="32781" spans="1:3">
      <c r="A32781" s="250">
        <v>76112</v>
      </c>
      <c r="B32781" s="74" t="s">
        <v>15976</v>
      </c>
      <c r="C32781" s="74" t="s">
        <v>453</v>
      </c>
    </row>
    <row r="32782" spans="1:3">
      <c r="A32782" s="250">
        <v>76113</v>
      </c>
      <c r="B32782" s="74" t="s">
        <v>15976</v>
      </c>
      <c r="C32782" s="74" t="s">
        <v>453</v>
      </c>
    </row>
    <row r="32783" spans="1:3">
      <c r="A32783" s="250">
        <v>76114</v>
      </c>
      <c r="B32783" s="74" t="s">
        <v>15976</v>
      </c>
      <c r="C32783" s="74" t="s">
        <v>453</v>
      </c>
    </row>
    <row r="32784" spans="1:3">
      <c r="A32784" s="250">
        <v>76115</v>
      </c>
      <c r="B32784" s="74" t="s">
        <v>15976</v>
      </c>
      <c r="C32784" s="74" t="s">
        <v>453</v>
      </c>
    </row>
    <row r="32785" spans="1:3">
      <c r="A32785" s="250">
        <v>76116</v>
      </c>
      <c r="B32785" s="74" t="s">
        <v>15976</v>
      </c>
      <c r="C32785" s="74" t="s">
        <v>453</v>
      </c>
    </row>
    <row r="32786" spans="1:3">
      <c r="A32786" s="250">
        <v>76117</v>
      </c>
      <c r="B32786" s="74" t="s">
        <v>15977</v>
      </c>
      <c r="C32786" s="74" t="s">
        <v>453</v>
      </c>
    </row>
    <row r="32787" spans="1:3">
      <c r="A32787" s="250">
        <v>76118</v>
      </c>
      <c r="B32787" s="74" t="s">
        <v>15976</v>
      </c>
      <c r="C32787" s="74" t="s">
        <v>453</v>
      </c>
    </row>
    <row r="32788" spans="1:3">
      <c r="A32788" s="250">
        <v>76119</v>
      </c>
      <c r="B32788" s="74" t="s">
        <v>15976</v>
      </c>
      <c r="C32788" s="74" t="s">
        <v>453</v>
      </c>
    </row>
    <row r="32789" spans="1:3">
      <c r="A32789" s="250">
        <v>76120</v>
      </c>
      <c r="B32789" s="74" t="s">
        <v>15976</v>
      </c>
      <c r="C32789" s="74" t="s">
        <v>453</v>
      </c>
    </row>
    <row r="32790" spans="1:3">
      <c r="A32790" s="250">
        <v>76121</v>
      </c>
      <c r="B32790" s="74" t="s">
        <v>15976</v>
      </c>
      <c r="C32790" s="74" t="s">
        <v>453</v>
      </c>
    </row>
    <row r="32791" spans="1:3">
      <c r="A32791" s="250">
        <v>76122</v>
      </c>
      <c r="B32791" s="74" t="s">
        <v>15976</v>
      </c>
      <c r="C32791" s="74" t="s">
        <v>453</v>
      </c>
    </row>
    <row r="32792" spans="1:3">
      <c r="A32792" s="250">
        <v>76123</v>
      </c>
      <c r="B32792" s="74" t="s">
        <v>15976</v>
      </c>
      <c r="C32792" s="74" t="s">
        <v>453</v>
      </c>
    </row>
    <row r="32793" spans="1:3">
      <c r="A32793" s="250">
        <v>76124</v>
      </c>
      <c r="B32793" s="74" t="s">
        <v>15976</v>
      </c>
      <c r="C32793" s="74" t="s">
        <v>453</v>
      </c>
    </row>
    <row r="32794" spans="1:3">
      <c r="A32794" s="250">
        <v>76126</v>
      </c>
      <c r="B32794" s="74" t="s">
        <v>15976</v>
      </c>
      <c r="C32794" s="74" t="s">
        <v>453</v>
      </c>
    </row>
    <row r="32795" spans="1:3">
      <c r="A32795" s="250">
        <v>76127</v>
      </c>
      <c r="B32795" s="74" t="s">
        <v>15978</v>
      </c>
      <c r="C32795" s="74" t="s">
        <v>453</v>
      </c>
    </row>
    <row r="32796" spans="1:3">
      <c r="A32796" s="250">
        <v>76129</v>
      </c>
      <c r="B32796" s="74" t="s">
        <v>15976</v>
      </c>
      <c r="C32796" s="74" t="s">
        <v>453</v>
      </c>
    </row>
    <row r="32797" spans="1:3">
      <c r="A32797" s="250">
        <v>76130</v>
      </c>
      <c r="B32797" s="74" t="s">
        <v>15976</v>
      </c>
      <c r="C32797" s="74" t="s">
        <v>453</v>
      </c>
    </row>
    <row r="32798" spans="1:3">
      <c r="A32798" s="250">
        <v>76131</v>
      </c>
      <c r="B32798" s="74" t="s">
        <v>15976</v>
      </c>
      <c r="C32798" s="74" t="s">
        <v>453</v>
      </c>
    </row>
    <row r="32799" spans="1:3">
      <c r="A32799" s="250">
        <v>76132</v>
      </c>
      <c r="B32799" s="74" t="s">
        <v>15976</v>
      </c>
      <c r="C32799" s="74" t="s">
        <v>453</v>
      </c>
    </row>
    <row r="32800" spans="1:3">
      <c r="A32800" s="250">
        <v>76133</v>
      </c>
      <c r="B32800" s="74" t="s">
        <v>15976</v>
      </c>
      <c r="C32800" s="74" t="s">
        <v>453</v>
      </c>
    </row>
    <row r="32801" spans="1:3">
      <c r="A32801" s="250">
        <v>76134</v>
      </c>
      <c r="B32801" s="74" t="s">
        <v>15976</v>
      </c>
      <c r="C32801" s="74" t="s">
        <v>453</v>
      </c>
    </row>
    <row r="32802" spans="1:3">
      <c r="A32802" s="250">
        <v>76135</v>
      </c>
      <c r="B32802" s="74" t="s">
        <v>15976</v>
      </c>
      <c r="C32802" s="74" t="s">
        <v>453</v>
      </c>
    </row>
    <row r="32803" spans="1:3">
      <c r="A32803" s="250">
        <v>76136</v>
      </c>
      <c r="B32803" s="74" t="s">
        <v>15976</v>
      </c>
      <c r="C32803" s="74" t="s">
        <v>453</v>
      </c>
    </row>
    <row r="32804" spans="1:3">
      <c r="A32804" s="250">
        <v>76137</v>
      </c>
      <c r="B32804" s="74" t="s">
        <v>15976</v>
      </c>
      <c r="C32804" s="74" t="s">
        <v>453</v>
      </c>
    </row>
    <row r="32805" spans="1:3">
      <c r="A32805" s="250">
        <v>76140</v>
      </c>
      <c r="B32805" s="74" t="s">
        <v>15976</v>
      </c>
      <c r="C32805" s="74" t="s">
        <v>453</v>
      </c>
    </row>
    <row r="32806" spans="1:3">
      <c r="A32806" s="250">
        <v>76147</v>
      </c>
      <c r="B32806" s="74" t="s">
        <v>15976</v>
      </c>
      <c r="C32806" s="74" t="s">
        <v>453</v>
      </c>
    </row>
    <row r="32807" spans="1:3">
      <c r="A32807" s="250">
        <v>76148</v>
      </c>
      <c r="B32807" s="74" t="s">
        <v>15976</v>
      </c>
      <c r="C32807" s="74" t="s">
        <v>453</v>
      </c>
    </row>
    <row r="32808" spans="1:3">
      <c r="A32808" s="250">
        <v>76150</v>
      </c>
      <c r="B32808" s="74" t="s">
        <v>15976</v>
      </c>
      <c r="C32808" s="74" t="s">
        <v>453</v>
      </c>
    </row>
    <row r="32809" spans="1:3">
      <c r="A32809" s="250">
        <v>76155</v>
      </c>
      <c r="B32809" s="74" t="s">
        <v>15976</v>
      </c>
      <c r="C32809" s="74" t="s">
        <v>453</v>
      </c>
    </row>
    <row r="32810" spans="1:3">
      <c r="A32810" s="250">
        <v>76161</v>
      </c>
      <c r="B32810" s="74" t="s">
        <v>15976</v>
      </c>
      <c r="C32810" s="74" t="s">
        <v>453</v>
      </c>
    </row>
    <row r="32811" spans="1:3">
      <c r="A32811" s="250">
        <v>76162</v>
      </c>
      <c r="B32811" s="74" t="s">
        <v>15976</v>
      </c>
      <c r="C32811" s="74" t="s">
        <v>453</v>
      </c>
    </row>
    <row r="32812" spans="1:3">
      <c r="A32812" s="250">
        <v>76163</v>
      </c>
      <c r="B32812" s="74" t="s">
        <v>15976</v>
      </c>
      <c r="C32812" s="74" t="s">
        <v>453</v>
      </c>
    </row>
    <row r="32813" spans="1:3">
      <c r="A32813" s="250">
        <v>76164</v>
      </c>
      <c r="B32813" s="74" t="s">
        <v>15976</v>
      </c>
      <c r="C32813" s="74" t="s">
        <v>453</v>
      </c>
    </row>
    <row r="32814" spans="1:3">
      <c r="A32814" s="250">
        <v>76166</v>
      </c>
      <c r="B32814" s="74" t="s">
        <v>15976</v>
      </c>
      <c r="C32814" s="74" t="s">
        <v>453</v>
      </c>
    </row>
    <row r="32815" spans="1:3">
      <c r="A32815" s="250">
        <v>76177</v>
      </c>
      <c r="B32815" s="74" t="s">
        <v>15976</v>
      </c>
      <c r="C32815" s="74" t="s">
        <v>453</v>
      </c>
    </row>
    <row r="32816" spans="1:3">
      <c r="A32816" s="250">
        <v>76179</v>
      </c>
      <c r="B32816" s="74" t="s">
        <v>15976</v>
      </c>
      <c r="C32816" s="74" t="s">
        <v>453</v>
      </c>
    </row>
    <row r="32817" spans="1:3">
      <c r="A32817" s="250">
        <v>76180</v>
      </c>
      <c r="B32817" s="74" t="s">
        <v>15979</v>
      </c>
      <c r="C32817" s="74" t="s">
        <v>453</v>
      </c>
    </row>
    <row r="32818" spans="1:3">
      <c r="A32818" s="250">
        <v>76181</v>
      </c>
      <c r="B32818" s="74" t="s">
        <v>15976</v>
      </c>
      <c r="C32818" s="74" t="s">
        <v>453</v>
      </c>
    </row>
    <row r="32819" spans="1:3">
      <c r="A32819" s="250">
        <v>76182</v>
      </c>
      <c r="B32819" s="74" t="s">
        <v>15979</v>
      </c>
      <c r="C32819" s="74" t="s">
        <v>453</v>
      </c>
    </row>
    <row r="32820" spans="1:3">
      <c r="A32820" s="250">
        <v>76185</v>
      </c>
      <c r="B32820" s="74" t="s">
        <v>15976</v>
      </c>
      <c r="C32820" s="74" t="s">
        <v>453</v>
      </c>
    </row>
    <row r="32821" spans="1:3">
      <c r="A32821" s="250">
        <v>76191</v>
      </c>
      <c r="B32821" s="74" t="s">
        <v>15976</v>
      </c>
      <c r="C32821" s="74" t="s">
        <v>453</v>
      </c>
    </row>
    <row r="32822" spans="1:3">
      <c r="A32822" s="250">
        <v>76192</v>
      </c>
      <c r="B32822" s="74" t="s">
        <v>15976</v>
      </c>
      <c r="C32822" s="74" t="s">
        <v>453</v>
      </c>
    </row>
    <row r="32823" spans="1:3">
      <c r="A32823" s="250">
        <v>76193</v>
      </c>
      <c r="B32823" s="74" t="s">
        <v>15976</v>
      </c>
      <c r="C32823" s="74" t="s">
        <v>453</v>
      </c>
    </row>
    <row r="32824" spans="1:3">
      <c r="A32824" s="250">
        <v>76195</v>
      </c>
      <c r="B32824" s="74" t="s">
        <v>15976</v>
      </c>
      <c r="C32824" s="74" t="s">
        <v>453</v>
      </c>
    </row>
    <row r="32825" spans="1:3">
      <c r="A32825" s="250">
        <v>76196</v>
      </c>
      <c r="B32825" s="74" t="s">
        <v>15976</v>
      </c>
      <c r="C32825" s="74" t="s">
        <v>453</v>
      </c>
    </row>
    <row r="32826" spans="1:3">
      <c r="A32826" s="250">
        <v>76197</v>
      </c>
      <c r="B32826" s="74" t="s">
        <v>15976</v>
      </c>
      <c r="C32826" s="74" t="s">
        <v>453</v>
      </c>
    </row>
    <row r="32827" spans="1:3">
      <c r="A32827" s="250">
        <v>76198</v>
      </c>
      <c r="B32827" s="74" t="s">
        <v>15976</v>
      </c>
      <c r="C32827" s="74" t="s">
        <v>453</v>
      </c>
    </row>
    <row r="32828" spans="1:3">
      <c r="A32828" s="250">
        <v>76199</v>
      </c>
      <c r="B32828" s="74" t="s">
        <v>15976</v>
      </c>
      <c r="C32828" s="74" t="s">
        <v>453</v>
      </c>
    </row>
    <row r="32829" spans="1:3">
      <c r="A32829" s="250">
        <v>76201</v>
      </c>
      <c r="B32829" s="74" t="s">
        <v>5751</v>
      </c>
      <c r="C32829" s="74" t="s">
        <v>453</v>
      </c>
    </row>
    <row r="32830" spans="1:3">
      <c r="A32830" s="250">
        <v>76202</v>
      </c>
      <c r="B32830" s="74" t="s">
        <v>5751</v>
      </c>
      <c r="C32830" s="74" t="s">
        <v>453</v>
      </c>
    </row>
    <row r="32831" spans="1:3">
      <c r="A32831" s="250">
        <v>76203</v>
      </c>
      <c r="B32831" s="74" t="s">
        <v>5751</v>
      </c>
      <c r="C32831" s="74" t="s">
        <v>453</v>
      </c>
    </row>
    <row r="32832" spans="1:3">
      <c r="A32832" s="250">
        <v>76204</v>
      </c>
      <c r="B32832" s="74" t="s">
        <v>5751</v>
      </c>
      <c r="C32832" s="74" t="s">
        <v>453</v>
      </c>
    </row>
    <row r="32833" spans="1:3">
      <c r="A32833" s="250">
        <v>76205</v>
      </c>
      <c r="B32833" s="74" t="s">
        <v>5751</v>
      </c>
      <c r="C32833" s="74" t="s">
        <v>453</v>
      </c>
    </row>
    <row r="32834" spans="1:3">
      <c r="A32834" s="250">
        <v>76206</v>
      </c>
      <c r="B32834" s="74" t="s">
        <v>5751</v>
      </c>
      <c r="C32834" s="74" t="s">
        <v>453</v>
      </c>
    </row>
    <row r="32835" spans="1:3">
      <c r="A32835" s="250">
        <v>76207</v>
      </c>
      <c r="B32835" s="74" t="s">
        <v>5751</v>
      </c>
      <c r="C32835" s="74" t="s">
        <v>453</v>
      </c>
    </row>
    <row r="32836" spans="1:3">
      <c r="A32836" s="250">
        <v>76208</v>
      </c>
      <c r="B32836" s="74" t="s">
        <v>5751</v>
      </c>
      <c r="C32836" s="74" t="s">
        <v>453</v>
      </c>
    </row>
    <row r="32837" spans="1:3">
      <c r="A32837" s="250">
        <v>76209</v>
      </c>
      <c r="B32837" s="74" t="s">
        <v>5751</v>
      </c>
      <c r="C32837" s="74" t="s">
        <v>453</v>
      </c>
    </row>
    <row r="32838" spans="1:3">
      <c r="A32838" s="250">
        <v>76210</v>
      </c>
      <c r="B32838" s="74" t="s">
        <v>5751</v>
      </c>
      <c r="C32838" s="74" t="s">
        <v>453</v>
      </c>
    </row>
    <row r="32839" spans="1:3">
      <c r="A32839" s="250">
        <v>76225</v>
      </c>
      <c r="B32839" s="74" t="s">
        <v>11720</v>
      </c>
      <c r="C32839" s="74" t="s">
        <v>453</v>
      </c>
    </row>
    <row r="32840" spans="1:3">
      <c r="A32840" s="250">
        <v>76226</v>
      </c>
      <c r="B32840" s="74" t="s">
        <v>3222</v>
      </c>
      <c r="C32840" s="74" t="s">
        <v>453</v>
      </c>
    </row>
    <row r="32841" spans="1:3">
      <c r="A32841" s="250">
        <v>76227</v>
      </c>
      <c r="B32841" s="74" t="s">
        <v>15330</v>
      </c>
      <c r="C32841" s="74" t="s">
        <v>453</v>
      </c>
    </row>
    <row r="32842" spans="1:3">
      <c r="A32842" s="250">
        <v>76228</v>
      </c>
      <c r="B32842" s="74" t="s">
        <v>9741</v>
      </c>
      <c r="C32842" s="74" t="s">
        <v>453</v>
      </c>
    </row>
    <row r="32843" spans="1:3">
      <c r="A32843" s="250">
        <v>76230</v>
      </c>
      <c r="B32843" s="74" t="s">
        <v>5602</v>
      </c>
      <c r="C32843" s="74" t="s">
        <v>453</v>
      </c>
    </row>
    <row r="32844" spans="1:3">
      <c r="A32844" s="250">
        <v>76233</v>
      </c>
      <c r="B32844" s="74" t="s">
        <v>1936</v>
      </c>
      <c r="C32844" s="74" t="s">
        <v>453</v>
      </c>
    </row>
    <row r="32845" spans="1:3">
      <c r="A32845" s="250">
        <v>76234</v>
      </c>
      <c r="B32845" s="74" t="s">
        <v>7862</v>
      </c>
      <c r="C32845" s="74" t="s">
        <v>453</v>
      </c>
    </row>
    <row r="32846" spans="1:3">
      <c r="A32846" s="250">
        <v>76238</v>
      </c>
      <c r="B32846" s="74" t="s">
        <v>15980</v>
      </c>
      <c r="C32846" s="74" t="s">
        <v>453</v>
      </c>
    </row>
    <row r="32847" spans="1:3">
      <c r="A32847" s="250">
        <v>76239</v>
      </c>
      <c r="B32847" s="74" t="s">
        <v>15981</v>
      </c>
      <c r="C32847" s="74" t="s">
        <v>453</v>
      </c>
    </row>
    <row r="32848" spans="1:3">
      <c r="A32848" s="250">
        <v>76240</v>
      </c>
      <c r="B32848" s="74" t="s">
        <v>3707</v>
      </c>
      <c r="C32848" s="74" t="s">
        <v>453</v>
      </c>
    </row>
    <row r="32849" spans="1:3">
      <c r="A32849" s="250">
        <v>76241</v>
      </c>
      <c r="B32849" s="74" t="s">
        <v>3707</v>
      </c>
      <c r="C32849" s="74" t="s">
        <v>453</v>
      </c>
    </row>
    <row r="32850" spans="1:3">
      <c r="A32850" s="250">
        <v>76244</v>
      </c>
      <c r="B32850" s="74" t="s">
        <v>6148</v>
      </c>
      <c r="C32850" s="74" t="s">
        <v>453</v>
      </c>
    </row>
    <row r="32851" spans="1:3">
      <c r="A32851" s="250">
        <v>76245</v>
      </c>
      <c r="B32851" s="74" t="s">
        <v>4861</v>
      </c>
      <c r="C32851" s="74" t="s">
        <v>453</v>
      </c>
    </row>
    <row r="32852" spans="1:3">
      <c r="A32852" s="250">
        <v>76246</v>
      </c>
      <c r="B32852" s="74" t="s">
        <v>1448</v>
      </c>
      <c r="C32852" s="74" t="s">
        <v>453</v>
      </c>
    </row>
    <row r="32853" spans="1:3">
      <c r="A32853" s="250">
        <v>76247</v>
      </c>
      <c r="B32853" s="74" t="s">
        <v>15982</v>
      </c>
      <c r="C32853" s="74" t="s">
        <v>453</v>
      </c>
    </row>
    <row r="32854" spans="1:3">
      <c r="A32854" s="250">
        <v>76248</v>
      </c>
      <c r="B32854" s="74" t="s">
        <v>6148</v>
      </c>
      <c r="C32854" s="74" t="s">
        <v>453</v>
      </c>
    </row>
    <row r="32855" spans="1:3">
      <c r="A32855" s="250">
        <v>76249</v>
      </c>
      <c r="B32855" s="74" t="s">
        <v>15983</v>
      </c>
      <c r="C32855" s="74" t="s">
        <v>453</v>
      </c>
    </row>
    <row r="32856" spans="1:3">
      <c r="A32856" s="250">
        <v>76250</v>
      </c>
      <c r="B32856" s="74" t="s">
        <v>13297</v>
      </c>
      <c r="C32856" s="74" t="s">
        <v>453</v>
      </c>
    </row>
    <row r="32857" spans="1:3">
      <c r="A32857" s="250">
        <v>76251</v>
      </c>
      <c r="B32857" s="74" t="s">
        <v>685</v>
      </c>
      <c r="C32857" s="74" t="s">
        <v>453</v>
      </c>
    </row>
    <row r="32858" spans="1:3">
      <c r="A32858" s="250">
        <v>76252</v>
      </c>
      <c r="B32858" s="74" t="s">
        <v>15984</v>
      </c>
      <c r="C32858" s="74" t="s">
        <v>453</v>
      </c>
    </row>
    <row r="32859" spans="1:3">
      <c r="A32859" s="250">
        <v>76253</v>
      </c>
      <c r="B32859" s="74" t="s">
        <v>6722</v>
      </c>
      <c r="C32859" s="74" t="s">
        <v>453</v>
      </c>
    </row>
    <row r="32860" spans="1:3">
      <c r="A32860" s="250">
        <v>76255</v>
      </c>
      <c r="B32860" s="74" t="s">
        <v>15985</v>
      </c>
      <c r="C32860" s="74" t="s">
        <v>453</v>
      </c>
    </row>
    <row r="32861" spans="1:3">
      <c r="A32861" s="250">
        <v>76258</v>
      </c>
      <c r="B32861" s="74" t="s">
        <v>15986</v>
      </c>
      <c r="C32861" s="74" t="s">
        <v>453</v>
      </c>
    </row>
    <row r="32862" spans="1:3">
      <c r="A32862" s="250">
        <v>76259</v>
      </c>
      <c r="B32862" s="74" t="s">
        <v>15987</v>
      </c>
      <c r="C32862" s="74" t="s">
        <v>453</v>
      </c>
    </row>
    <row r="32863" spans="1:3">
      <c r="A32863" s="250">
        <v>76261</v>
      </c>
      <c r="B32863" s="74" t="s">
        <v>4301</v>
      </c>
      <c r="C32863" s="74" t="s">
        <v>453</v>
      </c>
    </row>
    <row r="32864" spans="1:3">
      <c r="A32864" s="250">
        <v>76262</v>
      </c>
      <c r="B32864" s="74" t="s">
        <v>6252</v>
      </c>
      <c r="C32864" s="74" t="s">
        <v>453</v>
      </c>
    </row>
    <row r="32865" spans="1:3">
      <c r="A32865" s="250">
        <v>76263</v>
      </c>
      <c r="B32865" s="74" t="s">
        <v>15241</v>
      </c>
      <c r="C32865" s="74" t="s">
        <v>453</v>
      </c>
    </row>
    <row r="32866" spans="1:3">
      <c r="A32866" s="250">
        <v>76264</v>
      </c>
      <c r="B32866" s="74" t="s">
        <v>15988</v>
      </c>
      <c r="C32866" s="74" t="s">
        <v>453</v>
      </c>
    </row>
    <row r="32867" spans="1:3">
      <c r="A32867" s="250">
        <v>76265</v>
      </c>
      <c r="B32867" s="74" t="s">
        <v>15989</v>
      </c>
      <c r="C32867" s="74" t="s">
        <v>453</v>
      </c>
    </row>
    <row r="32868" spans="1:3">
      <c r="A32868" s="250">
        <v>76266</v>
      </c>
      <c r="B32868" s="74" t="s">
        <v>15990</v>
      </c>
      <c r="C32868" s="74" t="s">
        <v>453</v>
      </c>
    </row>
    <row r="32869" spans="1:3">
      <c r="A32869" s="250">
        <v>76267</v>
      </c>
      <c r="B32869" s="74" t="s">
        <v>14984</v>
      </c>
      <c r="C32869" s="74" t="s">
        <v>453</v>
      </c>
    </row>
    <row r="32870" spans="1:3">
      <c r="A32870" s="250">
        <v>76268</v>
      </c>
      <c r="B32870" s="74" t="s">
        <v>15991</v>
      </c>
      <c r="C32870" s="74" t="s">
        <v>453</v>
      </c>
    </row>
    <row r="32871" spans="1:3">
      <c r="A32871" s="250">
        <v>76270</v>
      </c>
      <c r="B32871" s="74" t="s">
        <v>1614</v>
      </c>
      <c r="C32871" s="74" t="s">
        <v>453</v>
      </c>
    </row>
    <row r="32872" spans="1:3">
      <c r="A32872" s="250">
        <v>76271</v>
      </c>
      <c r="B32872" s="74" t="s">
        <v>4685</v>
      </c>
      <c r="C32872" s="74" t="s">
        <v>453</v>
      </c>
    </row>
    <row r="32873" spans="1:3">
      <c r="A32873" s="250">
        <v>76272</v>
      </c>
      <c r="B32873" s="74" t="s">
        <v>5025</v>
      </c>
      <c r="C32873" s="74" t="s">
        <v>453</v>
      </c>
    </row>
    <row r="32874" spans="1:3">
      <c r="A32874" s="250">
        <v>76273</v>
      </c>
      <c r="B32874" s="74" t="s">
        <v>2470</v>
      </c>
      <c r="C32874" s="74" t="s">
        <v>453</v>
      </c>
    </row>
    <row r="32875" spans="1:3">
      <c r="A32875" s="250">
        <v>76299</v>
      </c>
      <c r="B32875" s="74" t="s">
        <v>6252</v>
      </c>
      <c r="C32875" s="74" t="s">
        <v>453</v>
      </c>
    </row>
    <row r="32876" spans="1:3">
      <c r="A32876" s="250">
        <v>76301</v>
      </c>
      <c r="B32876" s="74" t="s">
        <v>15992</v>
      </c>
      <c r="C32876" s="74" t="s">
        <v>453</v>
      </c>
    </row>
    <row r="32877" spans="1:3">
      <c r="A32877" s="250">
        <v>76302</v>
      </c>
      <c r="B32877" s="74" t="s">
        <v>15992</v>
      </c>
      <c r="C32877" s="74" t="s">
        <v>453</v>
      </c>
    </row>
    <row r="32878" spans="1:3">
      <c r="A32878" s="250">
        <v>76305</v>
      </c>
      <c r="B32878" s="74" t="s">
        <v>15992</v>
      </c>
      <c r="C32878" s="74" t="s">
        <v>453</v>
      </c>
    </row>
    <row r="32879" spans="1:3">
      <c r="A32879" s="250">
        <v>76306</v>
      </c>
      <c r="B32879" s="74" t="s">
        <v>15992</v>
      </c>
      <c r="C32879" s="74" t="s">
        <v>453</v>
      </c>
    </row>
    <row r="32880" spans="1:3">
      <c r="A32880" s="250">
        <v>76307</v>
      </c>
      <c r="B32880" s="74" t="s">
        <v>15992</v>
      </c>
      <c r="C32880" s="74" t="s">
        <v>453</v>
      </c>
    </row>
    <row r="32881" spans="1:3">
      <c r="A32881" s="250">
        <v>76308</v>
      </c>
      <c r="B32881" s="74" t="s">
        <v>15992</v>
      </c>
      <c r="C32881" s="74" t="s">
        <v>453</v>
      </c>
    </row>
    <row r="32882" spans="1:3">
      <c r="A32882" s="250">
        <v>76309</v>
      </c>
      <c r="B32882" s="74" t="s">
        <v>15992</v>
      </c>
      <c r="C32882" s="74" t="s">
        <v>453</v>
      </c>
    </row>
    <row r="32883" spans="1:3">
      <c r="A32883" s="250">
        <v>76310</v>
      </c>
      <c r="B32883" s="74" t="s">
        <v>15992</v>
      </c>
      <c r="C32883" s="74" t="s">
        <v>453</v>
      </c>
    </row>
    <row r="32884" spans="1:3">
      <c r="A32884" s="250">
        <v>76311</v>
      </c>
      <c r="B32884" s="74" t="s">
        <v>15993</v>
      </c>
      <c r="C32884" s="74" t="s">
        <v>453</v>
      </c>
    </row>
    <row r="32885" spans="1:3">
      <c r="A32885" s="250">
        <v>76351</v>
      </c>
      <c r="B32885" s="74" t="s">
        <v>15994</v>
      </c>
      <c r="C32885" s="74" t="s">
        <v>453</v>
      </c>
    </row>
    <row r="32886" spans="1:3">
      <c r="A32886" s="250">
        <v>76352</v>
      </c>
      <c r="B32886" s="74" t="s">
        <v>15995</v>
      </c>
      <c r="C32886" s="74" t="s">
        <v>453</v>
      </c>
    </row>
    <row r="32887" spans="1:3">
      <c r="A32887" s="250">
        <v>76354</v>
      </c>
      <c r="B32887" s="74" t="s">
        <v>15996</v>
      </c>
      <c r="C32887" s="74" t="s">
        <v>453</v>
      </c>
    </row>
    <row r="32888" spans="1:3">
      <c r="A32888" s="250">
        <v>76357</v>
      </c>
      <c r="B32888" s="74" t="s">
        <v>14592</v>
      </c>
      <c r="C32888" s="74" t="s">
        <v>453</v>
      </c>
    </row>
    <row r="32889" spans="1:3">
      <c r="A32889" s="250">
        <v>76360</v>
      </c>
      <c r="B32889" s="74" t="s">
        <v>15997</v>
      </c>
      <c r="C32889" s="74" t="s">
        <v>453</v>
      </c>
    </row>
    <row r="32890" spans="1:3">
      <c r="A32890" s="250">
        <v>76363</v>
      </c>
      <c r="B32890" s="74" t="s">
        <v>15998</v>
      </c>
      <c r="C32890" s="74" t="s">
        <v>453</v>
      </c>
    </row>
    <row r="32891" spans="1:3">
      <c r="A32891" s="250">
        <v>76364</v>
      </c>
      <c r="B32891" s="74" t="s">
        <v>12923</v>
      </c>
      <c r="C32891" s="74" t="s">
        <v>453</v>
      </c>
    </row>
    <row r="32892" spans="1:3">
      <c r="A32892" s="250">
        <v>76365</v>
      </c>
      <c r="B32892" s="74" t="s">
        <v>3780</v>
      </c>
      <c r="C32892" s="74" t="s">
        <v>453</v>
      </c>
    </row>
    <row r="32893" spans="1:3">
      <c r="A32893" s="250">
        <v>76366</v>
      </c>
      <c r="B32893" s="74" t="s">
        <v>14365</v>
      </c>
      <c r="C32893" s="74" t="s">
        <v>453</v>
      </c>
    </row>
    <row r="32894" spans="1:3">
      <c r="A32894" s="250">
        <v>76367</v>
      </c>
      <c r="B32894" s="74" t="s">
        <v>15999</v>
      </c>
      <c r="C32894" s="74" t="s">
        <v>453</v>
      </c>
    </row>
    <row r="32895" spans="1:3">
      <c r="A32895" s="250">
        <v>76369</v>
      </c>
      <c r="B32895" s="74" t="s">
        <v>16000</v>
      </c>
      <c r="C32895" s="74" t="s">
        <v>453</v>
      </c>
    </row>
    <row r="32896" spans="1:3">
      <c r="A32896" s="250">
        <v>76370</v>
      </c>
      <c r="B32896" s="74" t="s">
        <v>8873</v>
      </c>
      <c r="C32896" s="74" t="s">
        <v>453</v>
      </c>
    </row>
    <row r="32897" spans="1:3">
      <c r="A32897" s="250">
        <v>76371</v>
      </c>
      <c r="B32897" s="74" t="s">
        <v>6875</v>
      </c>
      <c r="C32897" s="74" t="s">
        <v>453</v>
      </c>
    </row>
    <row r="32898" spans="1:3">
      <c r="A32898" s="250">
        <v>76372</v>
      </c>
      <c r="B32898" s="74" t="s">
        <v>1546</v>
      </c>
      <c r="C32898" s="74" t="s">
        <v>453</v>
      </c>
    </row>
    <row r="32899" spans="1:3">
      <c r="A32899" s="250">
        <v>76373</v>
      </c>
      <c r="B32899" s="74" t="s">
        <v>16001</v>
      </c>
      <c r="C32899" s="74" t="s">
        <v>453</v>
      </c>
    </row>
    <row r="32900" spans="1:3">
      <c r="A32900" s="250">
        <v>76374</v>
      </c>
      <c r="B32900" s="74" t="s">
        <v>5629</v>
      </c>
      <c r="C32900" s="74" t="s">
        <v>453</v>
      </c>
    </row>
    <row r="32901" spans="1:3">
      <c r="A32901" s="250">
        <v>76377</v>
      </c>
      <c r="B32901" s="74" t="s">
        <v>4397</v>
      </c>
      <c r="C32901" s="74" t="s">
        <v>453</v>
      </c>
    </row>
    <row r="32902" spans="1:3">
      <c r="A32902" s="250">
        <v>76379</v>
      </c>
      <c r="B32902" s="74" t="s">
        <v>2003</v>
      </c>
      <c r="C32902" s="74" t="s">
        <v>453</v>
      </c>
    </row>
    <row r="32903" spans="1:3">
      <c r="A32903" s="250">
        <v>76380</v>
      </c>
      <c r="B32903" s="74" t="s">
        <v>2066</v>
      </c>
      <c r="C32903" s="74" t="s">
        <v>453</v>
      </c>
    </row>
    <row r="32904" spans="1:3">
      <c r="A32904" s="250">
        <v>76384</v>
      </c>
      <c r="B32904" s="74" t="s">
        <v>1791</v>
      </c>
      <c r="C32904" s="74" t="s">
        <v>453</v>
      </c>
    </row>
    <row r="32905" spans="1:3">
      <c r="A32905" s="250">
        <v>76385</v>
      </c>
      <c r="B32905" s="74" t="s">
        <v>1791</v>
      </c>
      <c r="C32905" s="74" t="s">
        <v>453</v>
      </c>
    </row>
    <row r="32906" spans="1:3">
      <c r="A32906" s="250">
        <v>76388</v>
      </c>
      <c r="B32906" s="74" t="s">
        <v>16002</v>
      </c>
      <c r="C32906" s="74" t="s">
        <v>453</v>
      </c>
    </row>
    <row r="32907" spans="1:3">
      <c r="A32907" s="250">
        <v>76389</v>
      </c>
      <c r="B32907" s="74" t="s">
        <v>16003</v>
      </c>
      <c r="C32907" s="74" t="s">
        <v>453</v>
      </c>
    </row>
    <row r="32908" spans="1:3">
      <c r="A32908" s="250">
        <v>76401</v>
      </c>
      <c r="B32908" s="74" t="s">
        <v>16004</v>
      </c>
      <c r="C32908" s="74" t="s">
        <v>453</v>
      </c>
    </row>
    <row r="32909" spans="1:3">
      <c r="A32909" s="250">
        <v>76402</v>
      </c>
      <c r="B32909" s="74" t="s">
        <v>16004</v>
      </c>
      <c r="C32909" s="74" t="s">
        <v>453</v>
      </c>
    </row>
    <row r="32910" spans="1:3">
      <c r="A32910" s="250">
        <v>76424</v>
      </c>
      <c r="B32910" s="74" t="s">
        <v>11090</v>
      </c>
      <c r="C32910" s="74" t="s">
        <v>453</v>
      </c>
    </row>
    <row r="32911" spans="1:3">
      <c r="A32911" s="250">
        <v>76426</v>
      </c>
      <c r="B32911" s="74" t="s">
        <v>2077</v>
      </c>
      <c r="C32911" s="74" t="s">
        <v>453</v>
      </c>
    </row>
    <row r="32912" spans="1:3">
      <c r="A32912" s="250">
        <v>76427</v>
      </c>
      <c r="B32912" s="74" t="s">
        <v>16005</v>
      </c>
      <c r="C32912" s="74" t="s">
        <v>453</v>
      </c>
    </row>
    <row r="32913" spans="1:3">
      <c r="A32913" s="250">
        <v>76429</v>
      </c>
      <c r="B32913" s="74" t="s">
        <v>15756</v>
      </c>
      <c r="C32913" s="74" t="s">
        <v>453</v>
      </c>
    </row>
    <row r="32914" spans="1:3">
      <c r="A32914" s="250">
        <v>76430</v>
      </c>
      <c r="B32914" s="74" t="s">
        <v>1896</v>
      </c>
      <c r="C32914" s="74" t="s">
        <v>453</v>
      </c>
    </row>
    <row r="32915" spans="1:3">
      <c r="A32915" s="250">
        <v>76431</v>
      </c>
      <c r="B32915" s="74" t="s">
        <v>16006</v>
      </c>
      <c r="C32915" s="74" t="s">
        <v>453</v>
      </c>
    </row>
    <row r="32916" spans="1:3">
      <c r="A32916" s="250">
        <v>76432</v>
      </c>
      <c r="B32916" s="74" t="s">
        <v>16007</v>
      </c>
      <c r="C32916" s="74" t="s">
        <v>453</v>
      </c>
    </row>
    <row r="32917" spans="1:3">
      <c r="A32917" s="250">
        <v>76433</v>
      </c>
      <c r="B32917" s="74" t="s">
        <v>16008</v>
      </c>
      <c r="C32917" s="74" t="s">
        <v>453</v>
      </c>
    </row>
    <row r="32918" spans="1:3">
      <c r="A32918" s="250">
        <v>76435</v>
      </c>
      <c r="B32918" s="74" t="s">
        <v>10930</v>
      </c>
      <c r="C32918" s="74" t="s">
        <v>453</v>
      </c>
    </row>
    <row r="32919" spans="1:3">
      <c r="A32919" s="250">
        <v>76436</v>
      </c>
      <c r="B32919" s="74" t="s">
        <v>4474</v>
      </c>
      <c r="C32919" s="74" t="s">
        <v>453</v>
      </c>
    </row>
    <row r="32920" spans="1:3">
      <c r="A32920" s="250">
        <v>76437</v>
      </c>
      <c r="B32920" s="74" t="s">
        <v>8027</v>
      </c>
      <c r="C32920" s="74" t="s">
        <v>453</v>
      </c>
    </row>
    <row r="32921" spans="1:3">
      <c r="A32921" s="250">
        <v>76439</v>
      </c>
      <c r="B32921" s="74" t="s">
        <v>1028</v>
      </c>
      <c r="C32921" s="74" t="s">
        <v>453</v>
      </c>
    </row>
    <row r="32922" spans="1:3">
      <c r="A32922" s="250">
        <v>76442</v>
      </c>
      <c r="B32922" s="74" t="s">
        <v>15563</v>
      </c>
      <c r="C32922" s="74" t="s">
        <v>453</v>
      </c>
    </row>
    <row r="32923" spans="1:3">
      <c r="A32923" s="250">
        <v>76443</v>
      </c>
      <c r="B32923" s="74" t="s">
        <v>8998</v>
      </c>
      <c r="C32923" s="74" t="s">
        <v>453</v>
      </c>
    </row>
    <row r="32924" spans="1:3">
      <c r="A32924" s="250">
        <v>76444</v>
      </c>
      <c r="B32924" s="74" t="s">
        <v>16009</v>
      </c>
      <c r="C32924" s="74" t="s">
        <v>453</v>
      </c>
    </row>
    <row r="32925" spans="1:3">
      <c r="A32925" s="250">
        <v>76445</v>
      </c>
      <c r="B32925" s="74" t="s">
        <v>16010</v>
      </c>
      <c r="C32925" s="74" t="s">
        <v>453</v>
      </c>
    </row>
    <row r="32926" spans="1:3">
      <c r="A32926" s="250">
        <v>76446</v>
      </c>
      <c r="B32926" s="74" t="s">
        <v>1230</v>
      </c>
      <c r="C32926" s="74" t="s">
        <v>453</v>
      </c>
    </row>
    <row r="32927" spans="1:3">
      <c r="A32927" s="250">
        <v>76448</v>
      </c>
      <c r="B32927" s="74" t="s">
        <v>16011</v>
      </c>
      <c r="C32927" s="74" t="s">
        <v>453</v>
      </c>
    </row>
    <row r="32928" spans="1:3">
      <c r="A32928" s="250">
        <v>76449</v>
      </c>
      <c r="B32928" s="74" t="s">
        <v>16012</v>
      </c>
      <c r="C32928" s="74" t="s">
        <v>453</v>
      </c>
    </row>
    <row r="32929" spans="1:3">
      <c r="A32929" s="250">
        <v>76450</v>
      </c>
      <c r="B32929" s="74" t="s">
        <v>7098</v>
      </c>
      <c r="C32929" s="74" t="s">
        <v>453</v>
      </c>
    </row>
    <row r="32930" spans="1:3">
      <c r="A32930" s="250">
        <v>76452</v>
      </c>
      <c r="B32930" s="74" t="s">
        <v>14034</v>
      </c>
      <c r="C32930" s="74" t="s">
        <v>453</v>
      </c>
    </row>
    <row r="32931" spans="1:3">
      <c r="A32931" s="250">
        <v>76453</v>
      </c>
      <c r="B32931" s="74" t="s">
        <v>4995</v>
      </c>
      <c r="C32931" s="74" t="s">
        <v>453</v>
      </c>
    </row>
    <row r="32932" spans="1:3">
      <c r="A32932" s="250">
        <v>76454</v>
      </c>
      <c r="B32932" s="74" t="s">
        <v>16013</v>
      </c>
      <c r="C32932" s="74" t="s">
        <v>453</v>
      </c>
    </row>
    <row r="32933" spans="1:3">
      <c r="A32933" s="250">
        <v>76455</v>
      </c>
      <c r="B32933" s="74" t="s">
        <v>16014</v>
      </c>
      <c r="C32933" s="74" t="s">
        <v>453</v>
      </c>
    </row>
    <row r="32934" spans="1:3">
      <c r="A32934" s="250">
        <v>76457</v>
      </c>
      <c r="B32934" s="74" t="s">
        <v>6799</v>
      </c>
      <c r="C32934" s="74" t="s">
        <v>453</v>
      </c>
    </row>
    <row r="32935" spans="1:3">
      <c r="A32935" s="250">
        <v>76458</v>
      </c>
      <c r="B32935" s="74" t="s">
        <v>9132</v>
      </c>
      <c r="C32935" s="74" t="s">
        <v>453</v>
      </c>
    </row>
    <row r="32936" spans="1:3">
      <c r="A32936" s="250">
        <v>76459</v>
      </c>
      <c r="B32936" s="74" t="s">
        <v>5164</v>
      </c>
      <c r="C32936" s="74" t="s">
        <v>453</v>
      </c>
    </row>
    <row r="32937" spans="1:3">
      <c r="A32937" s="250">
        <v>76460</v>
      </c>
      <c r="B32937" s="74" t="s">
        <v>16015</v>
      </c>
      <c r="C32937" s="74" t="s">
        <v>453</v>
      </c>
    </row>
    <row r="32938" spans="1:3">
      <c r="A32938" s="250">
        <v>76461</v>
      </c>
      <c r="B32938" s="74" t="s">
        <v>16016</v>
      </c>
      <c r="C32938" s="74" t="s">
        <v>453</v>
      </c>
    </row>
    <row r="32939" spans="1:3">
      <c r="A32939" s="250">
        <v>76462</v>
      </c>
      <c r="B32939" s="74" t="s">
        <v>16017</v>
      </c>
      <c r="C32939" s="74" t="s">
        <v>453</v>
      </c>
    </row>
    <row r="32940" spans="1:3">
      <c r="A32940" s="250">
        <v>76463</v>
      </c>
      <c r="B32940" s="74" t="s">
        <v>16018</v>
      </c>
      <c r="C32940" s="74" t="s">
        <v>453</v>
      </c>
    </row>
    <row r="32941" spans="1:3">
      <c r="A32941" s="250">
        <v>76464</v>
      </c>
      <c r="B32941" s="74" t="s">
        <v>11373</v>
      </c>
      <c r="C32941" s="74" t="s">
        <v>453</v>
      </c>
    </row>
    <row r="32942" spans="1:3">
      <c r="A32942" s="250">
        <v>76465</v>
      </c>
      <c r="B32942" s="74" t="s">
        <v>16019</v>
      </c>
      <c r="C32942" s="74" t="s">
        <v>453</v>
      </c>
    </row>
    <row r="32943" spans="1:3">
      <c r="A32943" s="250">
        <v>76466</v>
      </c>
      <c r="B32943" s="74" t="s">
        <v>16020</v>
      </c>
      <c r="C32943" s="74" t="s">
        <v>453</v>
      </c>
    </row>
    <row r="32944" spans="1:3">
      <c r="A32944" s="250">
        <v>76467</v>
      </c>
      <c r="B32944" s="74" t="s">
        <v>16021</v>
      </c>
      <c r="C32944" s="74" t="s">
        <v>453</v>
      </c>
    </row>
    <row r="32945" spans="1:3">
      <c r="A32945" s="250">
        <v>76468</v>
      </c>
      <c r="B32945" s="74" t="s">
        <v>1887</v>
      </c>
      <c r="C32945" s="74" t="s">
        <v>453</v>
      </c>
    </row>
    <row r="32946" spans="1:3">
      <c r="A32946" s="250">
        <v>76469</v>
      </c>
      <c r="B32946" s="74" t="s">
        <v>2000</v>
      </c>
      <c r="C32946" s="74" t="s">
        <v>453</v>
      </c>
    </row>
    <row r="32947" spans="1:3">
      <c r="A32947" s="250">
        <v>76470</v>
      </c>
      <c r="B32947" s="74" t="s">
        <v>6726</v>
      </c>
      <c r="C32947" s="74" t="s">
        <v>453</v>
      </c>
    </row>
    <row r="32948" spans="1:3">
      <c r="A32948" s="250">
        <v>76471</v>
      </c>
      <c r="B32948" s="74" t="s">
        <v>16022</v>
      </c>
      <c r="C32948" s="74" t="s">
        <v>453</v>
      </c>
    </row>
    <row r="32949" spans="1:3">
      <c r="A32949" s="250">
        <v>76472</v>
      </c>
      <c r="B32949" s="74" t="s">
        <v>16023</v>
      </c>
      <c r="C32949" s="74" t="s">
        <v>453</v>
      </c>
    </row>
    <row r="32950" spans="1:3">
      <c r="A32950" s="250">
        <v>76474</v>
      </c>
      <c r="B32950" s="74" t="s">
        <v>3646</v>
      </c>
      <c r="C32950" s="74" t="s">
        <v>453</v>
      </c>
    </row>
    <row r="32951" spans="1:3">
      <c r="A32951" s="250">
        <v>76475</v>
      </c>
      <c r="B32951" s="74" t="s">
        <v>13760</v>
      </c>
      <c r="C32951" s="74" t="s">
        <v>453</v>
      </c>
    </row>
    <row r="32952" spans="1:3">
      <c r="A32952" s="250">
        <v>76476</v>
      </c>
      <c r="B32952" s="74" t="s">
        <v>16024</v>
      </c>
      <c r="C32952" s="74" t="s">
        <v>453</v>
      </c>
    </row>
    <row r="32953" spans="1:3">
      <c r="A32953" s="250">
        <v>76481</v>
      </c>
      <c r="B32953" s="74" t="s">
        <v>10726</v>
      </c>
      <c r="C32953" s="74" t="s">
        <v>453</v>
      </c>
    </row>
    <row r="32954" spans="1:3">
      <c r="A32954" s="250">
        <v>76483</v>
      </c>
      <c r="B32954" s="74" t="s">
        <v>16025</v>
      </c>
      <c r="C32954" s="74" t="s">
        <v>453</v>
      </c>
    </row>
    <row r="32955" spans="1:3">
      <c r="A32955" s="250">
        <v>76484</v>
      </c>
      <c r="B32955" s="74" t="s">
        <v>16026</v>
      </c>
      <c r="C32955" s="74" t="s">
        <v>453</v>
      </c>
    </row>
    <row r="32956" spans="1:3">
      <c r="A32956" s="250">
        <v>76485</v>
      </c>
      <c r="B32956" s="74" t="s">
        <v>16027</v>
      </c>
      <c r="C32956" s="74" t="s">
        <v>453</v>
      </c>
    </row>
    <row r="32957" spans="1:3">
      <c r="A32957" s="250">
        <v>76486</v>
      </c>
      <c r="B32957" s="74" t="s">
        <v>16028</v>
      </c>
      <c r="C32957" s="74" t="s">
        <v>453</v>
      </c>
    </row>
    <row r="32958" spans="1:3">
      <c r="A32958" s="250">
        <v>76487</v>
      </c>
      <c r="B32958" s="74" t="s">
        <v>16029</v>
      </c>
      <c r="C32958" s="74" t="s">
        <v>453</v>
      </c>
    </row>
    <row r="32959" spans="1:3">
      <c r="A32959" s="250">
        <v>76490</v>
      </c>
      <c r="B32959" s="74" t="s">
        <v>16030</v>
      </c>
      <c r="C32959" s="74" t="s">
        <v>453</v>
      </c>
    </row>
    <row r="32960" spans="1:3">
      <c r="A32960" s="250">
        <v>76491</v>
      </c>
      <c r="B32960" s="74" t="s">
        <v>13964</v>
      </c>
      <c r="C32960" s="74" t="s">
        <v>453</v>
      </c>
    </row>
    <row r="32961" spans="1:3">
      <c r="A32961" s="250">
        <v>76501</v>
      </c>
      <c r="B32961" s="74" t="s">
        <v>1172</v>
      </c>
      <c r="C32961" s="74" t="s">
        <v>453</v>
      </c>
    </row>
    <row r="32962" spans="1:3">
      <c r="A32962" s="250">
        <v>76502</v>
      </c>
      <c r="B32962" s="74" t="s">
        <v>1172</v>
      </c>
      <c r="C32962" s="74" t="s">
        <v>453</v>
      </c>
    </row>
    <row r="32963" spans="1:3">
      <c r="A32963" s="250">
        <v>76503</v>
      </c>
      <c r="B32963" s="74" t="s">
        <v>1172</v>
      </c>
      <c r="C32963" s="74" t="s">
        <v>453</v>
      </c>
    </row>
    <row r="32964" spans="1:3">
      <c r="A32964" s="250">
        <v>76504</v>
      </c>
      <c r="B32964" s="74" t="s">
        <v>1172</v>
      </c>
      <c r="C32964" s="74" t="s">
        <v>453</v>
      </c>
    </row>
    <row r="32965" spans="1:3">
      <c r="A32965" s="250">
        <v>76505</v>
      </c>
      <c r="B32965" s="74" t="s">
        <v>1172</v>
      </c>
      <c r="C32965" s="74" t="s">
        <v>453</v>
      </c>
    </row>
    <row r="32966" spans="1:3">
      <c r="A32966" s="250">
        <v>76508</v>
      </c>
      <c r="B32966" s="74" t="s">
        <v>1172</v>
      </c>
      <c r="C32966" s="74" t="s">
        <v>453</v>
      </c>
    </row>
    <row r="32967" spans="1:3">
      <c r="A32967" s="250">
        <v>76511</v>
      </c>
      <c r="B32967" s="74" t="s">
        <v>1296</v>
      </c>
      <c r="C32967" s="74" t="s">
        <v>453</v>
      </c>
    </row>
    <row r="32968" spans="1:3">
      <c r="A32968" s="250">
        <v>76513</v>
      </c>
      <c r="B32968" s="74" t="s">
        <v>7765</v>
      </c>
      <c r="C32968" s="74" t="s">
        <v>453</v>
      </c>
    </row>
    <row r="32969" spans="1:3">
      <c r="A32969" s="250">
        <v>76518</v>
      </c>
      <c r="B32969" s="74" t="s">
        <v>16031</v>
      </c>
      <c r="C32969" s="74" t="s">
        <v>453</v>
      </c>
    </row>
    <row r="32970" spans="1:3">
      <c r="A32970" s="250">
        <v>76519</v>
      </c>
      <c r="B32970" s="74" t="s">
        <v>806</v>
      </c>
      <c r="C32970" s="74" t="s">
        <v>453</v>
      </c>
    </row>
    <row r="32971" spans="1:3">
      <c r="A32971" s="250">
        <v>76520</v>
      </c>
      <c r="B32971" s="74" t="s">
        <v>3902</v>
      </c>
      <c r="C32971" s="74" t="s">
        <v>453</v>
      </c>
    </row>
    <row r="32972" spans="1:3">
      <c r="A32972" s="250">
        <v>76522</v>
      </c>
      <c r="B32972" s="74" t="s">
        <v>16032</v>
      </c>
      <c r="C32972" s="74" t="s">
        <v>453</v>
      </c>
    </row>
    <row r="32973" spans="1:3">
      <c r="A32973" s="250">
        <v>76523</v>
      </c>
      <c r="B32973" s="74" t="s">
        <v>16033</v>
      </c>
      <c r="C32973" s="74" t="s">
        <v>453</v>
      </c>
    </row>
    <row r="32974" spans="1:3">
      <c r="A32974" s="250">
        <v>76524</v>
      </c>
      <c r="B32974" s="74" t="s">
        <v>16034</v>
      </c>
      <c r="C32974" s="74" t="s">
        <v>453</v>
      </c>
    </row>
    <row r="32975" spans="1:3">
      <c r="A32975" s="250">
        <v>76525</v>
      </c>
      <c r="B32975" s="74" t="s">
        <v>16035</v>
      </c>
      <c r="C32975" s="74" t="s">
        <v>453</v>
      </c>
    </row>
    <row r="32976" spans="1:3">
      <c r="A32976" s="250">
        <v>76526</v>
      </c>
      <c r="B32976" s="74" t="s">
        <v>16036</v>
      </c>
      <c r="C32976" s="74" t="s">
        <v>453</v>
      </c>
    </row>
    <row r="32977" spans="1:3">
      <c r="A32977" s="250">
        <v>76527</v>
      </c>
      <c r="B32977" s="74" t="s">
        <v>608</v>
      </c>
      <c r="C32977" s="74" t="s">
        <v>453</v>
      </c>
    </row>
    <row r="32978" spans="1:3">
      <c r="A32978" s="250">
        <v>76528</v>
      </c>
      <c r="B32978" s="74" t="s">
        <v>7251</v>
      </c>
      <c r="C32978" s="74" t="s">
        <v>453</v>
      </c>
    </row>
    <row r="32979" spans="1:3">
      <c r="A32979" s="250">
        <v>76530</v>
      </c>
      <c r="B32979" s="74" t="s">
        <v>10713</v>
      </c>
      <c r="C32979" s="74" t="s">
        <v>453</v>
      </c>
    </row>
    <row r="32980" spans="1:3">
      <c r="A32980" s="250">
        <v>76531</v>
      </c>
      <c r="B32980" s="74" t="s">
        <v>844</v>
      </c>
      <c r="C32980" s="74" t="s">
        <v>453</v>
      </c>
    </row>
    <row r="32981" spans="1:3">
      <c r="A32981" s="250">
        <v>76533</v>
      </c>
      <c r="B32981" s="74" t="s">
        <v>16037</v>
      </c>
      <c r="C32981" s="74" t="s">
        <v>453</v>
      </c>
    </row>
    <row r="32982" spans="1:3">
      <c r="A32982" s="250">
        <v>76534</v>
      </c>
      <c r="B32982" s="74" t="s">
        <v>739</v>
      </c>
      <c r="C32982" s="74" t="s">
        <v>453</v>
      </c>
    </row>
    <row r="32983" spans="1:3">
      <c r="A32983" s="250">
        <v>76537</v>
      </c>
      <c r="B32983" s="74" t="s">
        <v>16038</v>
      </c>
      <c r="C32983" s="74" t="s">
        <v>453</v>
      </c>
    </row>
    <row r="32984" spans="1:3">
      <c r="A32984" s="250">
        <v>76538</v>
      </c>
      <c r="B32984" s="74" t="s">
        <v>1591</v>
      </c>
      <c r="C32984" s="74" t="s">
        <v>453</v>
      </c>
    </row>
    <row r="32985" spans="1:3">
      <c r="A32985" s="250">
        <v>76539</v>
      </c>
      <c r="B32985" s="74" t="s">
        <v>16039</v>
      </c>
      <c r="C32985" s="74" t="s">
        <v>453</v>
      </c>
    </row>
    <row r="32986" spans="1:3">
      <c r="A32986" s="250">
        <v>76540</v>
      </c>
      <c r="B32986" s="74" t="s">
        <v>16040</v>
      </c>
      <c r="C32986" s="74" t="s">
        <v>453</v>
      </c>
    </row>
    <row r="32987" spans="1:3">
      <c r="A32987" s="250">
        <v>76541</v>
      </c>
      <c r="B32987" s="74" t="s">
        <v>16040</v>
      </c>
      <c r="C32987" s="74" t="s">
        <v>453</v>
      </c>
    </row>
    <row r="32988" spans="1:3">
      <c r="A32988" s="250">
        <v>76542</v>
      </c>
      <c r="B32988" s="74" t="s">
        <v>16040</v>
      </c>
      <c r="C32988" s="74" t="s">
        <v>453</v>
      </c>
    </row>
    <row r="32989" spans="1:3">
      <c r="A32989" s="250">
        <v>76543</v>
      </c>
      <c r="B32989" s="74" t="s">
        <v>16040</v>
      </c>
      <c r="C32989" s="74" t="s">
        <v>453</v>
      </c>
    </row>
    <row r="32990" spans="1:3">
      <c r="A32990" s="250">
        <v>76544</v>
      </c>
      <c r="B32990" s="74" t="s">
        <v>16041</v>
      </c>
      <c r="C32990" s="74" t="s">
        <v>453</v>
      </c>
    </row>
    <row r="32991" spans="1:3">
      <c r="A32991" s="250">
        <v>76545</v>
      </c>
      <c r="B32991" s="74" t="s">
        <v>16040</v>
      </c>
      <c r="C32991" s="74" t="s">
        <v>453</v>
      </c>
    </row>
    <row r="32992" spans="1:3">
      <c r="A32992" s="250">
        <v>76546</v>
      </c>
      <c r="B32992" s="74" t="s">
        <v>16040</v>
      </c>
      <c r="C32992" s="74" t="s">
        <v>453</v>
      </c>
    </row>
    <row r="32993" spans="1:3">
      <c r="A32993" s="250">
        <v>76547</v>
      </c>
      <c r="B32993" s="74" t="s">
        <v>16040</v>
      </c>
      <c r="C32993" s="74" t="s">
        <v>453</v>
      </c>
    </row>
    <row r="32994" spans="1:3">
      <c r="A32994" s="250">
        <v>76548</v>
      </c>
      <c r="B32994" s="74" t="s">
        <v>16042</v>
      </c>
      <c r="C32994" s="74" t="s">
        <v>453</v>
      </c>
    </row>
    <row r="32995" spans="1:3">
      <c r="A32995" s="250">
        <v>76549</v>
      </c>
      <c r="B32995" s="74" t="s">
        <v>16040</v>
      </c>
      <c r="C32995" s="74" t="s">
        <v>453</v>
      </c>
    </row>
    <row r="32996" spans="1:3">
      <c r="A32996" s="250">
        <v>76550</v>
      </c>
      <c r="B32996" s="74" t="s">
        <v>16043</v>
      </c>
      <c r="C32996" s="74" t="s">
        <v>453</v>
      </c>
    </row>
    <row r="32997" spans="1:3">
      <c r="A32997" s="250">
        <v>76554</v>
      </c>
      <c r="B32997" s="74" t="s">
        <v>16044</v>
      </c>
      <c r="C32997" s="74" t="s">
        <v>453</v>
      </c>
    </row>
    <row r="32998" spans="1:3">
      <c r="A32998" s="250">
        <v>76556</v>
      </c>
      <c r="B32998" s="74" t="s">
        <v>16045</v>
      </c>
      <c r="C32998" s="74" t="s">
        <v>453</v>
      </c>
    </row>
    <row r="32999" spans="1:3">
      <c r="A32999" s="250">
        <v>76557</v>
      </c>
      <c r="B32999" s="74" t="s">
        <v>1396</v>
      </c>
      <c r="C32999" s="74" t="s">
        <v>453</v>
      </c>
    </row>
    <row r="33000" spans="1:3">
      <c r="A33000" s="250">
        <v>76558</v>
      </c>
      <c r="B33000" s="74" t="s">
        <v>12419</v>
      </c>
      <c r="C33000" s="74" t="s">
        <v>453</v>
      </c>
    </row>
    <row r="33001" spans="1:3">
      <c r="A33001" s="250">
        <v>76559</v>
      </c>
      <c r="B33001" s="74" t="s">
        <v>16046</v>
      </c>
      <c r="C33001" s="74" t="s">
        <v>453</v>
      </c>
    </row>
    <row r="33002" spans="1:3">
      <c r="A33002" s="250">
        <v>76561</v>
      </c>
      <c r="B33002" s="74" t="s">
        <v>13671</v>
      </c>
      <c r="C33002" s="74" t="s">
        <v>453</v>
      </c>
    </row>
    <row r="33003" spans="1:3">
      <c r="A33003" s="250">
        <v>76564</v>
      </c>
      <c r="B33003" s="74" t="s">
        <v>7210</v>
      </c>
      <c r="C33003" s="74" t="s">
        <v>453</v>
      </c>
    </row>
    <row r="33004" spans="1:3">
      <c r="A33004" s="250">
        <v>76565</v>
      </c>
      <c r="B33004" s="74" t="s">
        <v>4986</v>
      </c>
      <c r="C33004" s="74" t="s">
        <v>453</v>
      </c>
    </row>
    <row r="33005" spans="1:3">
      <c r="A33005" s="250">
        <v>76566</v>
      </c>
      <c r="B33005" s="74" t="s">
        <v>16047</v>
      </c>
      <c r="C33005" s="74" t="s">
        <v>453</v>
      </c>
    </row>
    <row r="33006" spans="1:3">
      <c r="A33006" s="250">
        <v>76567</v>
      </c>
      <c r="B33006" s="74" t="s">
        <v>16048</v>
      </c>
      <c r="C33006" s="74" t="s">
        <v>453</v>
      </c>
    </row>
    <row r="33007" spans="1:3">
      <c r="A33007" s="250">
        <v>76569</v>
      </c>
      <c r="B33007" s="74" t="s">
        <v>2002</v>
      </c>
      <c r="C33007" s="74" t="s">
        <v>453</v>
      </c>
    </row>
    <row r="33008" spans="1:3">
      <c r="A33008" s="250">
        <v>76570</v>
      </c>
      <c r="B33008" s="74" t="s">
        <v>12938</v>
      </c>
      <c r="C33008" s="74" t="s">
        <v>453</v>
      </c>
    </row>
    <row r="33009" spans="1:3">
      <c r="A33009" s="250">
        <v>76571</v>
      </c>
      <c r="B33009" s="74" t="s">
        <v>15435</v>
      </c>
      <c r="C33009" s="74" t="s">
        <v>453</v>
      </c>
    </row>
    <row r="33010" spans="1:3">
      <c r="A33010" s="250">
        <v>76573</v>
      </c>
      <c r="B33010" s="74" t="s">
        <v>16049</v>
      </c>
      <c r="C33010" s="74" t="s">
        <v>453</v>
      </c>
    </row>
    <row r="33011" spans="1:3">
      <c r="A33011" s="250">
        <v>76574</v>
      </c>
      <c r="B33011" s="74" t="s">
        <v>5195</v>
      </c>
      <c r="C33011" s="74" t="s">
        <v>453</v>
      </c>
    </row>
    <row r="33012" spans="1:3">
      <c r="A33012" s="250">
        <v>76577</v>
      </c>
      <c r="B33012" s="74" t="s">
        <v>5398</v>
      </c>
      <c r="C33012" s="74" t="s">
        <v>453</v>
      </c>
    </row>
    <row r="33013" spans="1:3">
      <c r="A33013" s="250">
        <v>76578</v>
      </c>
      <c r="B33013" s="74" t="s">
        <v>16050</v>
      </c>
      <c r="C33013" s="74" t="s">
        <v>453</v>
      </c>
    </row>
    <row r="33014" spans="1:3">
      <c r="A33014" s="250">
        <v>76579</v>
      </c>
      <c r="B33014" s="74" t="s">
        <v>1243</v>
      </c>
      <c r="C33014" s="74" t="s">
        <v>453</v>
      </c>
    </row>
    <row r="33015" spans="1:3">
      <c r="A33015" s="250">
        <v>76596</v>
      </c>
      <c r="B33015" s="74" t="s">
        <v>7251</v>
      </c>
      <c r="C33015" s="74" t="s">
        <v>453</v>
      </c>
    </row>
    <row r="33016" spans="1:3">
      <c r="A33016" s="250">
        <v>76597</v>
      </c>
      <c r="B33016" s="74" t="s">
        <v>7251</v>
      </c>
      <c r="C33016" s="74" t="s">
        <v>453</v>
      </c>
    </row>
    <row r="33017" spans="1:3">
      <c r="A33017" s="250">
        <v>76598</v>
      </c>
      <c r="B33017" s="74" t="s">
        <v>7251</v>
      </c>
      <c r="C33017" s="74" t="s">
        <v>453</v>
      </c>
    </row>
    <row r="33018" spans="1:3">
      <c r="A33018" s="250">
        <v>76599</v>
      </c>
      <c r="B33018" s="74" t="s">
        <v>7251</v>
      </c>
      <c r="C33018" s="74" t="s">
        <v>453</v>
      </c>
    </row>
    <row r="33019" spans="1:3">
      <c r="A33019" s="250">
        <v>76621</v>
      </c>
      <c r="B33019" s="74" t="s">
        <v>16051</v>
      </c>
      <c r="C33019" s="74" t="s">
        <v>453</v>
      </c>
    </row>
    <row r="33020" spans="1:3">
      <c r="A33020" s="250">
        <v>76622</v>
      </c>
      <c r="B33020" s="74" t="s">
        <v>16052</v>
      </c>
      <c r="C33020" s="74" t="s">
        <v>453</v>
      </c>
    </row>
    <row r="33021" spans="1:3">
      <c r="A33021" s="250">
        <v>76623</v>
      </c>
      <c r="B33021" s="74" t="s">
        <v>2443</v>
      </c>
      <c r="C33021" s="74" t="s">
        <v>453</v>
      </c>
    </row>
    <row r="33022" spans="1:3">
      <c r="A33022" s="250">
        <v>76624</v>
      </c>
      <c r="B33022" s="74" t="s">
        <v>14514</v>
      </c>
      <c r="C33022" s="74" t="s">
        <v>453</v>
      </c>
    </row>
    <row r="33023" spans="1:3">
      <c r="A33023" s="250">
        <v>76626</v>
      </c>
      <c r="B33023" s="74" t="s">
        <v>2677</v>
      </c>
      <c r="C33023" s="74" t="s">
        <v>453</v>
      </c>
    </row>
    <row r="33024" spans="1:3">
      <c r="A33024" s="250">
        <v>76627</v>
      </c>
      <c r="B33024" s="74" t="s">
        <v>16053</v>
      </c>
      <c r="C33024" s="74" t="s">
        <v>453</v>
      </c>
    </row>
    <row r="33025" spans="1:3">
      <c r="A33025" s="250">
        <v>76628</v>
      </c>
      <c r="B33025" s="74" t="s">
        <v>1864</v>
      </c>
      <c r="C33025" s="74" t="s">
        <v>453</v>
      </c>
    </row>
    <row r="33026" spans="1:3">
      <c r="A33026" s="250">
        <v>76629</v>
      </c>
      <c r="B33026" s="74" t="s">
        <v>16054</v>
      </c>
      <c r="C33026" s="74" t="s">
        <v>453</v>
      </c>
    </row>
    <row r="33027" spans="1:3">
      <c r="A33027" s="250">
        <v>76630</v>
      </c>
      <c r="B33027" s="74" t="s">
        <v>10875</v>
      </c>
      <c r="C33027" s="74" t="s">
        <v>453</v>
      </c>
    </row>
    <row r="33028" spans="1:3">
      <c r="A33028" s="250">
        <v>76631</v>
      </c>
      <c r="B33028" s="74" t="s">
        <v>7089</v>
      </c>
      <c r="C33028" s="74" t="s">
        <v>453</v>
      </c>
    </row>
    <row r="33029" spans="1:3">
      <c r="A33029" s="250">
        <v>76632</v>
      </c>
      <c r="B33029" s="74" t="s">
        <v>11936</v>
      </c>
      <c r="C33029" s="74" t="s">
        <v>453</v>
      </c>
    </row>
    <row r="33030" spans="1:3">
      <c r="A33030" s="250">
        <v>76633</v>
      </c>
      <c r="B33030" s="74" t="s">
        <v>16055</v>
      </c>
      <c r="C33030" s="74" t="s">
        <v>453</v>
      </c>
    </row>
    <row r="33031" spans="1:3">
      <c r="A33031" s="250">
        <v>76634</v>
      </c>
      <c r="B33031" s="74" t="s">
        <v>2117</v>
      </c>
      <c r="C33031" s="74" t="s">
        <v>453</v>
      </c>
    </row>
    <row r="33032" spans="1:3">
      <c r="A33032" s="250">
        <v>76635</v>
      </c>
      <c r="B33032" s="74" t="s">
        <v>8169</v>
      </c>
      <c r="C33032" s="74" t="s">
        <v>453</v>
      </c>
    </row>
    <row r="33033" spans="1:3">
      <c r="A33033" s="250">
        <v>76636</v>
      </c>
      <c r="B33033" s="74" t="s">
        <v>4668</v>
      </c>
      <c r="C33033" s="74" t="s">
        <v>453</v>
      </c>
    </row>
    <row r="33034" spans="1:3">
      <c r="A33034" s="250">
        <v>76637</v>
      </c>
      <c r="B33034" s="74" t="s">
        <v>16056</v>
      </c>
      <c r="C33034" s="74" t="s">
        <v>453</v>
      </c>
    </row>
    <row r="33035" spans="1:3">
      <c r="A33035" s="250">
        <v>76638</v>
      </c>
      <c r="B33035" s="74" t="s">
        <v>6935</v>
      </c>
      <c r="C33035" s="74" t="s">
        <v>453</v>
      </c>
    </row>
    <row r="33036" spans="1:3">
      <c r="A33036" s="250">
        <v>76639</v>
      </c>
      <c r="B33036" s="74" t="s">
        <v>4101</v>
      </c>
      <c r="C33036" s="74" t="s">
        <v>453</v>
      </c>
    </row>
    <row r="33037" spans="1:3">
      <c r="A33037" s="250">
        <v>76640</v>
      </c>
      <c r="B33037" s="74" t="s">
        <v>16057</v>
      </c>
      <c r="C33037" s="74" t="s">
        <v>453</v>
      </c>
    </row>
    <row r="33038" spans="1:3">
      <c r="A33038" s="250">
        <v>76641</v>
      </c>
      <c r="B33038" s="74" t="s">
        <v>12533</v>
      </c>
      <c r="C33038" s="74" t="s">
        <v>453</v>
      </c>
    </row>
    <row r="33039" spans="1:3">
      <c r="A33039" s="250">
        <v>76642</v>
      </c>
      <c r="B33039" s="74" t="s">
        <v>16058</v>
      </c>
      <c r="C33039" s="74" t="s">
        <v>453</v>
      </c>
    </row>
    <row r="33040" spans="1:3">
      <c r="A33040" s="250">
        <v>76643</v>
      </c>
      <c r="B33040" s="74" t="s">
        <v>2190</v>
      </c>
      <c r="C33040" s="74" t="s">
        <v>453</v>
      </c>
    </row>
    <row r="33041" spans="1:3">
      <c r="A33041" s="250">
        <v>76644</v>
      </c>
      <c r="B33041" s="74" t="s">
        <v>16059</v>
      </c>
      <c r="C33041" s="74" t="s">
        <v>453</v>
      </c>
    </row>
    <row r="33042" spans="1:3">
      <c r="A33042" s="250">
        <v>76645</v>
      </c>
      <c r="B33042" s="74" t="s">
        <v>5758</v>
      </c>
      <c r="C33042" s="74" t="s">
        <v>453</v>
      </c>
    </row>
    <row r="33043" spans="1:3">
      <c r="A33043" s="250">
        <v>76648</v>
      </c>
      <c r="B33043" s="74" t="s">
        <v>10364</v>
      </c>
      <c r="C33043" s="74" t="s">
        <v>453</v>
      </c>
    </row>
    <row r="33044" spans="1:3">
      <c r="A33044" s="250">
        <v>76649</v>
      </c>
      <c r="B33044" s="74" t="s">
        <v>16060</v>
      </c>
      <c r="C33044" s="74" t="s">
        <v>453</v>
      </c>
    </row>
    <row r="33045" spans="1:3">
      <c r="A33045" s="250">
        <v>76650</v>
      </c>
      <c r="B33045" s="74" t="s">
        <v>12818</v>
      </c>
      <c r="C33045" s="74" t="s">
        <v>453</v>
      </c>
    </row>
    <row r="33046" spans="1:3">
      <c r="A33046" s="250">
        <v>76651</v>
      </c>
      <c r="B33046" s="74" t="s">
        <v>16061</v>
      </c>
      <c r="C33046" s="74" t="s">
        <v>453</v>
      </c>
    </row>
    <row r="33047" spans="1:3">
      <c r="A33047" s="250">
        <v>76652</v>
      </c>
      <c r="B33047" s="74" t="s">
        <v>16062</v>
      </c>
      <c r="C33047" s="74" t="s">
        <v>453</v>
      </c>
    </row>
    <row r="33048" spans="1:3">
      <c r="A33048" s="250">
        <v>76653</v>
      </c>
      <c r="B33048" s="74" t="s">
        <v>16063</v>
      </c>
      <c r="C33048" s="74" t="s">
        <v>453</v>
      </c>
    </row>
    <row r="33049" spans="1:3">
      <c r="A33049" s="250">
        <v>76654</v>
      </c>
      <c r="B33049" s="74" t="s">
        <v>8911</v>
      </c>
      <c r="C33049" s="74" t="s">
        <v>453</v>
      </c>
    </row>
    <row r="33050" spans="1:3">
      <c r="A33050" s="250">
        <v>76655</v>
      </c>
      <c r="B33050" s="74" t="s">
        <v>16064</v>
      </c>
      <c r="C33050" s="74" t="s">
        <v>453</v>
      </c>
    </row>
    <row r="33051" spans="1:3">
      <c r="A33051" s="250">
        <v>76656</v>
      </c>
      <c r="B33051" s="74" t="s">
        <v>16065</v>
      </c>
      <c r="C33051" s="74" t="s">
        <v>453</v>
      </c>
    </row>
    <row r="33052" spans="1:3">
      <c r="A33052" s="250">
        <v>76657</v>
      </c>
      <c r="B33052" s="74" t="s">
        <v>11825</v>
      </c>
      <c r="C33052" s="74" t="s">
        <v>453</v>
      </c>
    </row>
    <row r="33053" spans="1:3">
      <c r="A33053" s="250">
        <v>76660</v>
      </c>
      <c r="B33053" s="74" t="s">
        <v>3305</v>
      </c>
      <c r="C33053" s="74" t="s">
        <v>453</v>
      </c>
    </row>
    <row r="33054" spans="1:3">
      <c r="A33054" s="250">
        <v>76661</v>
      </c>
      <c r="B33054" s="74" t="s">
        <v>16066</v>
      </c>
      <c r="C33054" s="74" t="s">
        <v>453</v>
      </c>
    </row>
    <row r="33055" spans="1:3">
      <c r="A33055" s="250">
        <v>76664</v>
      </c>
      <c r="B33055" s="74" t="s">
        <v>16067</v>
      </c>
      <c r="C33055" s="74" t="s">
        <v>453</v>
      </c>
    </row>
    <row r="33056" spans="1:3">
      <c r="A33056" s="250">
        <v>76665</v>
      </c>
      <c r="B33056" s="74" t="s">
        <v>3388</v>
      </c>
      <c r="C33056" s="74" t="s">
        <v>453</v>
      </c>
    </row>
    <row r="33057" spans="1:3">
      <c r="A33057" s="250">
        <v>76666</v>
      </c>
      <c r="B33057" s="74" t="s">
        <v>16068</v>
      </c>
      <c r="C33057" s="74" t="s">
        <v>453</v>
      </c>
    </row>
    <row r="33058" spans="1:3">
      <c r="A33058" s="250">
        <v>76667</v>
      </c>
      <c r="B33058" s="74" t="s">
        <v>8874</v>
      </c>
      <c r="C33058" s="74" t="s">
        <v>453</v>
      </c>
    </row>
    <row r="33059" spans="1:3">
      <c r="A33059" s="250">
        <v>76670</v>
      </c>
      <c r="B33059" s="74" t="s">
        <v>796</v>
      </c>
      <c r="C33059" s="74" t="s">
        <v>453</v>
      </c>
    </row>
    <row r="33060" spans="1:3">
      <c r="A33060" s="250">
        <v>76671</v>
      </c>
      <c r="B33060" s="74" t="s">
        <v>1918</v>
      </c>
      <c r="C33060" s="74" t="s">
        <v>453</v>
      </c>
    </row>
    <row r="33061" spans="1:3">
      <c r="A33061" s="250">
        <v>76673</v>
      </c>
      <c r="B33061" s="74" t="s">
        <v>16069</v>
      </c>
      <c r="C33061" s="74" t="s">
        <v>453</v>
      </c>
    </row>
    <row r="33062" spans="1:3">
      <c r="A33062" s="250">
        <v>76676</v>
      </c>
      <c r="B33062" s="74" t="s">
        <v>16070</v>
      </c>
      <c r="C33062" s="74" t="s">
        <v>453</v>
      </c>
    </row>
    <row r="33063" spans="1:3">
      <c r="A33063" s="250">
        <v>76678</v>
      </c>
      <c r="B33063" s="74" t="s">
        <v>16071</v>
      </c>
      <c r="C33063" s="74" t="s">
        <v>453</v>
      </c>
    </row>
    <row r="33064" spans="1:3">
      <c r="A33064" s="250">
        <v>76679</v>
      </c>
      <c r="B33064" s="74" t="s">
        <v>16072</v>
      </c>
      <c r="C33064" s="74" t="s">
        <v>453</v>
      </c>
    </row>
    <row r="33065" spans="1:3">
      <c r="A33065" s="250">
        <v>76680</v>
      </c>
      <c r="B33065" s="74" t="s">
        <v>9230</v>
      </c>
      <c r="C33065" s="74" t="s">
        <v>453</v>
      </c>
    </row>
    <row r="33066" spans="1:3">
      <c r="A33066" s="250">
        <v>76681</v>
      </c>
      <c r="B33066" s="74" t="s">
        <v>2499</v>
      </c>
      <c r="C33066" s="74" t="s">
        <v>453</v>
      </c>
    </row>
    <row r="33067" spans="1:3">
      <c r="A33067" s="250">
        <v>76682</v>
      </c>
      <c r="B33067" s="74" t="s">
        <v>16073</v>
      </c>
      <c r="C33067" s="74" t="s">
        <v>453</v>
      </c>
    </row>
    <row r="33068" spans="1:3">
      <c r="A33068" s="250">
        <v>76684</v>
      </c>
      <c r="B33068" s="74" t="s">
        <v>10461</v>
      </c>
      <c r="C33068" s="74" t="s">
        <v>453</v>
      </c>
    </row>
    <row r="33069" spans="1:3">
      <c r="A33069" s="250">
        <v>76685</v>
      </c>
      <c r="B33069" s="74" t="s">
        <v>16074</v>
      </c>
      <c r="C33069" s="74" t="s">
        <v>453</v>
      </c>
    </row>
    <row r="33070" spans="1:3">
      <c r="A33070" s="250">
        <v>76686</v>
      </c>
      <c r="B33070" s="74" t="s">
        <v>16075</v>
      </c>
      <c r="C33070" s="74" t="s">
        <v>453</v>
      </c>
    </row>
    <row r="33071" spans="1:3">
      <c r="A33071" s="250">
        <v>76687</v>
      </c>
      <c r="B33071" s="74" t="s">
        <v>1218</v>
      </c>
      <c r="C33071" s="74" t="s">
        <v>453</v>
      </c>
    </row>
    <row r="33072" spans="1:3">
      <c r="A33072" s="250">
        <v>76689</v>
      </c>
      <c r="B33072" s="74" t="s">
        <v>16076</v>
      </c>
      <c r="C33072" s="74" t="s">
        <v>453</v>
      </c>
    </row>
    <row r="33073" spans="1:3">
      <c r="A33073" s="250">
        <v>76690</v>
      </c>
      <c r="B33073" s="74" t="s">
        <v>16077</v>
      </c>
      <c r="C33073" s="74" t="s">
        <v>453</v>
      </c>
    </row>
    <row r="33074" spans="1:3">
      <c r="A33074" s="250">
        <v>76691</v>
      </c>
      <c r="B33074" s="74" t="s">
        <v>9453</v>
      </c>
      <c r="C33074" s="74" t="s">
        <v>453</v>
      </c>
    </row>
    <row r="33075" spans="1:3">
      <c r="A33075" s="250">
        <v>76692</v>
      </c>
      <c r="B33075" s="74" t="s">
        <v>4251</v>
      </c>
      <c r="C33075" s="74" t="s">
        <v>453</v>
      </c>
    </row>
    <row r="33076" spans="1:3">
      <c r="A33076" s="250">
        <v>76693</v>
      </c>
      <c r="B33076" s="74" t="s">
        <v>16078</v>
      </c>
      <c r="C33076" s="74" t="s">
        <v>453</v>
      </c>
    </row>
    <row r="33077" spans="1:3">
      <c r="A33077" s="250">
        <v>76701</v>
      </c>
      <c r="B33077" s="74" t="s">
        <v>7341</v>
      </c>
      <c r="C33077" s="74" t="s">
        <v>453</v>
      </c>
    </row>
    <row r="33078" spans="1:3">
      <c r="A33078" s="250">
        <v>76702</v>
      </c>
      <c r="B33078" s="74" t="s">
        <v>7341</v>
      </c>
      <c r="C33078" s="74" t="s">
        <v>453</v>
      </c>
    </row>
    <row r="33079" spans="1:3">
      <c r="A33079" s="250">
        <v>76703</v>
      </c>
      <c r="B33079" s="74" t="s">
        <v>7341</v>
      </c>
      <c r="C33079" s="74" t="s">
        <v>453</v>
      </c>
    </row>
    <row r="33080" spans="1:3">
      <c r="A33080" s="250">
        <v>76704</v>
      </c>
      <c r="B33080" s="74" t="s">
        <v>7341</v>
      </c>
      <c r="C33080" s="74" t="s">
        <v>453</v>
      </c>
    </row>
    <row r="33081" spans="1:3">
      <c r="A33081" s="250">
        <v>76705</v>
      </c>
      <c r="B33081" s="74" t="s">
        <v>7341</v>
      </c>
      <c r="C33081" s="74" t="s">
        <v>453</v>
      </c>
    </row>
    <row r="33082" spans="1:3">
      <c r="A33082" s="250">
        <v>76706</v>
      </c>
      <c r="B33082" s="74" t="s">
        <v>7341</v>
      </c>
      <c r="C33082" s="74" t="s">
        <v>453</v>
      </c>
    </row>
    <row r="33083" spans="1:3">
      <c r="A33083" s="250">
        <v>76707</v>
      </c>
      <c r="B33083" s="74" t="s">
        <v>7341</v>
      </c>
      <c r="C33083" s="74" t="s">
        <v>453</v>
      </c>
    </row>
    <row r="33084" spans="1:3">
      <c r="A33084" s="250">
        <v>76708</v>
      </c>
      <c r="B33084" s="74" t="s">
        <v>7341</v>
      </c>
      <c r="C33084" s="74" t="s">
        <v>453</v>
      </c>
    </row>
    <row r="33085" spans="1:3">
      <c r="A33085" s="250">
        <v>76710</v>
      </c>
      <c r="B33085" s="74" t="s">
        <v>7341</v>
      </c>
      <c r="C33085" s="74" t="s">
        <v>453</v>
      </c>
    </row>
    <row r="33086" spans="1:3">
      <c r="A33086" s="250">
        <v>76711</v>
      </c>
      <c r="B33086" s="74" t="s">
        <v>7341</v>
      </c>
      <c r="C33086" s="74" t="s">
        <v>453</v>
      </c>
    </row>
    <row r="33087" spans="1:3">
      <c r="A33087" s="250">
        <v>76712</v>
      </c>
      <c r="B33087" s="74" t="s">
        <v>16079</v>
      </c>
      <c r="C33087" s="74" t="s">
        <v>453</v>
      </c>
    </row>
    <row r="33088" spans="1:3">
      <c r="A33088" s="250">
        <v>76714</v>
      </c>
      <c r="B33088" s="74" t="s">
        <v>7341</v>
      </c>
      <c r="C33088" s="74" t="s">
        <v>453</v>
      </c>
    </row>
    <row r="33089" spans="1:3">
      <c r="A33089" s="250">
        <v>76715</v>
      </c>
      <c r="B33089" s="74" t="s">
        <v>7341</v>
      </c>
      <c r="C33089" s="74" t="s">
        <v>453</v>
      </c>
    </row>
    <row r="33090" spans="1:3">
      <c r="A33090" s="250">
        <v>76716</v>
      </c>
      <c r="B33090" s="74" t="s">
        <v>7341</v>
      </c>
      <c r="C33090" s="74" t="s">
        <v>453</v>
      </c>
    </row>
    <row r="33091" spans="1:3">
      <c r="A33091" s="250">
        <v>76795</v>
      </c>
      <c r="B33091" s="74" t="s">
        <v>7341</v>
      </c>
      <c r="C33091" s="74" t="s">
        <v>453</v>
      </c>
    </row>
    <row r="33092" spans="1:3">
      <c r="A33092" s="250">
        <v>76797</v>
      </c>
      <c r="B33092" s="74" t="s">
        <v>7341</v>
      </c>
      <c r="C33092" s="74" t="s">
        <v>453</v>
      </c>
    </row>
    <row r="33093" spans="1:3">
      <c r="A33093" s="250">
        <v>76798</v>
      </c>
      <c r="B33093" s="74" t="s">
        <v>7341</v>
      </c>
      <c r="C33093" s="74" t="s">
        <v>453</v>
      </c>
    </row>
    <row r="33094" spans="1:3">
      <c r="A33094" s="250">
        <v>76799</v>
      </c>
      <c r="B33094" s="74" t="s">
        <v>7341</v>
      </c>
      <c r="C33094" s="74" t="s">
        <v>453</v>
      </c>
    </row>
    <row r="33095" spans="1:3">
      <c r="A33095" s="250">
        <v>76801</v>
      </c>
      <c r="B33095" s="74" t="s">
        <v>14164</v>
      </c>
      <c r="C33095" s="74" t="s">
        <v>453</v>
      </c>
    </row>
    <row r="33096" spans="1:3">
      <c r="A33096" s="250">
        <v>76802</v>
      </c>
      <c r="B33096" s="74" t="s">
        <v>11619</v>
      </c>
      <c r="C33096" s="74" t="s">
        <v>453</v>
      </c>
    </row>
    <row r="33097" spans="1:3">
      <c r="A33097" s="250">
        <v>76803</v>
      </c>
      <c r="B33097" s="74" t="s">
        <v>14164</v>
      </c>
      <c r="C33097" s="74" t="s">
        <v>453</v>
      </c>
    </row>
    <row r="33098" spans="1:3">
      <c r="A33098" s="250">
        <v>76804</v>
      </c>
      <c r="B33098" s="74" t="s">
        <v>14164</v>
      </c>
      <c r="C33098" s="74" t="s">
        <v>453</v>
      </c>
    </row>
    <row r="33099" spans="1:3">
      <c r="A33099" s="250">
        <v>76820</v>
      </c>
      <c r="B33099" s="74" t="s">
        <v>16080</v>
      </c>
      <c r="C33099" s="74" t="s">
        <v>453</v>
      </c>
    </row>
    <row r="33100" spans="1:3">
      <c r="A33100" s="250">
        <v>76821</v>
      </c>
      <c r="B33100" s="74" t="s">
        <v>16081</v>
      </c>
      <c r="C33100" s="74" t="s">
        <v>453</v>
      </c>
    </row>
    <row r="33101" spans="1:3">
      <c r="A33101" s="250">
        <v>76823</v>
      </c>
      <c r="B33101" s="74" t="s">
        <v>16082</v>
      </c>
      <c r="C33101" s="74" t="s">
        <v>453</v>
      </c>
    </row>
    <row r="33102" spans="1:3">
      <c r="A33102" s="250">
        <v>76824</v>
      </c>
      <c r="B33102" s="74" t="s">
        <v>16083</v>
      </c>
      <c r="C33102" s="74" t="s">
        <v>453</v>
      </c>
    </row>
    <row r="33103" spans="1:3">
      <c r="A33103" s="250">
        <v>76825</v>
      </c>
      <c r="B33103" s="74" t="s">
        <v>13307</v>
      </c>
      <c r="C33103" s="74" t="s">
        <v>453</v>
      </c>
    </row>
    <row r="33104" spans="1:3">
      <c r="A33104" s="250">
        <v>76827</v>
      </c>
      <c r="B33104" s="74" t="s">
        <v>16084</v>
      </c>
      <c r="C33104" s="74" t="s">
        <v>453</v>
      </c>
    </row>
    <row r="33105" spans="1:3">
      <c r="A33105" s="250">
        <v>76828</v>
      </c>
      <c r="B33105" s="74" t="s">
        <v>16085</v>
      </c>
      <c r="C33105" s="74" t="s">
        <v>453</v>
      </c>
    </row>
    <row r="33106" spans="1:3">
      <c r="A33106" s="250">
        <v>76831</v>
      </c>
      <c r="B33106" s="74" t="s">
        <v>16086</v>
      </c>
      <c r="C33106" s="74" t="s">
        <v>453</v>
      </c>
    </row>
    <row r="33107" spans="1:3">
      <c r="A33107" s="250">
        <v>76832</v>
      </c>
      <c r="B33107" s="74" t="s">
        <v>7540</v>
      </c>
      <c r="C33107" s="74" t="s">
        <v>453</v>
      </c>
    </row>
    <row r="33108" spans="1:3">
      <c r="A33108" s="250">
        <v>76834</v>
      </c>
      <c r="B33108" s="74" t="s">
        <v>8461</v>
      </c>
      <c r="C33108" s="74" t="s">
        <v>453</v>
      </c>
    </row>
    <row r="33109" spans="1:3">
      <c r="A33109" s="250">
        <v>76836</v>
      </c>
      <c r="B33109" s="74" t="s">
        <v>16087</v>
      </c>
      <c r="C33109" s="74" t="s">
        <v>453</v>
      </c>
    </row>
    <row r="33110" spans="1:3">
      <c r="A33110" s="250">
        <v>76837</v>
      </c>
      <c r="B33110" s="74" t="s">
        <v>1844</v>
      </c>
      <c r="C33110" s="74" t="s">
        <v>453</v>
      </c>
    </row>
    <row r="33111" spans="1:3">
      <c r="A33111" s="250">
        <v>76841</v>
      </c>
      <c r="B33111" s="74" t="s">
        <v>16088</v>
      </c>
      <c r="C33111" s="74" t="s">
        <v>453</v>
      </c>
    </row>
    <row r="33112" spans="1:3">
      <c r="A33112" s="250">
        <v>76842</v>
      </c>
      <c r="B33112" s="74" t="s">
        <v>3706</v>
      </c>
      <c r="C33112" s="74" t="s">
        <v>453</v>
      </c>
    </row>
    <row r="33113" spans="1:3">
      <c r="A33113" s="250">
        <v>76844</v>
      </c>
      <c r="B33113" s="74" t="s">
        <v>16089</v>
      </c>
      <c r="C33113" s="74" t="s">
        <v>453</v>
      </c>
    </row>
    <row r="33114" spans="1:3">
      <c r="A33114" s="250">
        <v>76845</v>
      </c>
      <c r="B33114" s="74" t="s">
        <v>16090</v>
      </c>
      <c r="C33114" s="74" t="s">
        <v>453</v>
      </c>
    </row>
    <row r="33115" spans="1:3">
      <c r="A33115" s="250">
        <v>76848</v>
      </c>
      <c r="B33115" s="74" t="s">
        <v>16091</v>
      </c>
      <c r="C33115" s="74" t="s">
        <v>453</v>
      </c>
    </row>
    <row r="33116" spans="1:3">
      <c r="A33116" s="250">
        <v>76849</v>
      </c>
      <c r="B33116" s="74" t="s">
        <v>14045</v>
      </c>
      <c r="C33116" s="74" t="s">
        <v>453</v>
      </c>
    </row>
    <row r="33117" spans="1:3">
      <c r="A33117" s="250">
        <v>76852</v>
      </c>
      <c r="B33117" s="74" t="s">
        <v>16092</v>
      </c>
      <c r="C33117" s="74" t="s">
        <v>453</v>
      </c>
    </row>
    <row r="33118" spans="1:3">
      <c r="A33118" s="250">
        <v>76853</v>
      </c>
      <c r="B33118" s="74" t="s">
        <v>16093</v>
      </c>
      <c r="C33118" s="74" t="s">
        <v>453</v>
      </c>
    </row>
    <row r="33119" spans="1:3">
      <c r="A33119" s="250">
        <v>76854</v>
      </c>
      <c r="B33119" s="74" t="s">
        <v>6625</v>
      </c>
      <c r="C33119" s="74" t="s">
        <v>453</v>
      </c>
    </row>
    <row r="33120" spans="1:3">
      <c r="A33120" s="250">
        <v>76855</v>
      </c>
      <c r="B33120" s="74" t="s">
        <v>16094</v>
      </c>
      <c r="C33120" s="74" t="s">
        <v>453</v>
      </c>
    </row>
    <row r="33121" spans="1:3">
      <c r="A33121" s="250">
        <v>76856</v>
      </c>
      <c r="B33121" s="74" t="s">
        <v>6673</v>
      </c>
      <c r="C33121" s="74" t="s">
        <v>453</v>
      </c>
    </row>
    <row r="33122" spans="1:3">
      <c r="A33122" s="250">
        <v>76857</v>
      </c>
      <c r="B33122" s="74" t="s">
        <v>15626</v>
      </c>
      <c r="C33122" s="74" t="s">
        <v>453</v>
      </c>
    </row>
    <row r="33123" spans="1:3">
      <c r="A33123" s="250">
        <v>76858</v>
      </c>
      <c r="B33123" s="74" t="s">
        <v>8980</v>
      </c>
      <c r="C33123" s="74" t="s">
        <v>453</v>
      </c>
    </row>
    <row r="33124" spans="1:3">
      <c r="A33124" s="250">
        <v>76859</v>
      </c>
      <c r="B33124" s="74" t="s">
        <v>13859</v>
      </c>
      <c r="C33124" s="74" t="s">
        <v>453</v>
      </c>
    </row>
    <row r="33125" spans="1:3">
      <c r="A33125" s="250">
        <v>76861</v>
      </c>
      <c r="B33125" s="74" t="s">
        <v>11807</v>
      </c>
      <c r="C33125" s="74" t="s">
        <v>453</v>
      </c>
    </row>
    <row r="33126" spans="1:3">
      <c r="A33126" s="250">
        <v>76862</v>
      </c>
      <c r="B33126" s="74" t="s">
        <v>16095</v>
      </c>
      <c r="C33126" s="74" t="s">
        <v>453</v>
      </c>
    </row>
    <row r="33127" spans="1:3">
      <c r="A33127" s="250">
        <v>76864</v>
      </c>
      <c r="B33127" s="74" t="s">
        <v>16096</v>
      </c>
      <c r="C33127" s="74" t="s">
        <v>453</v>
      </c>
    </row>
    <row r="33128" spans="1:3">
      <c r="A33128" s="250">
        <v>76865</v>
      </c>
      <c r="B33128" s="74" t="s">
        <v>1081</v>
      </c>
      <c r="C33128" s="74" t="s">
        <v>453</v>
      </c>
    </row>
    <row r="33129" spans="1:3">
      <c r="A33129" s="250">
        <v>76866</v>
      </c>
      <c r="B33129" s="74" t="s">
        <v>8751</v>
      </c>
      <c r="C33129" s="74" t="s">
        <v>453</v>
      </c>
    </row>
    <row r="33130" spans="1:3">
      <c r="A33130" s="250">
        <v>76869</v>
      </c>
      <c r="B33130" s="74" t="s">
        <v>9372</v>
      </c>
      <c r="C33130" s="74" t="s">
        <v>453</v>
      </c>
    </row>
    <row r="33131" spans="1:3">
      <c r="A33131" s="250">
        <v>76870</v>
      </c>
      <c r="B33131" s="74" t="s">
        <v>16097</v>
      </c>
      <c r="C33131" s="74" t="s">
        <v>453</v>
      </c>
    </row>
    <row r="33132" spans="1:3">
      <c r="A33132" s="250">
        <v>76871</v>
      </c>
      <c r="B33132" s="74" t="s">
        <v>16098</v>
      </c>
      <c r="C33132" s="74" t="s">
        <v>453</v>
      </c>
    </row>
    <row r="33133" spans="1:3">
      <c r="A33133" s="250">
        <v>76872</v>
      </c>
      <c r="B33133" s="74" t="s">
        <v>5976</v>
      </c>
      <c r="C33133" s="74" t="s">
        <v>453</v>
      </c>
    </row>
    <row r="33134" spans="1:3">
      <c r="A33134" s="250">
        <v>76873</v>
      </c>
      <c r="B33134" s="74" t="s">
        <v>1525</v>
      </c>
      <c r="C33134" s="74" t="s">
        <v>453</v>
      </c>
    </row>
    <row r="33135" spans="1:3">
      <c r="A33135" s="250">
        <v>76874</v>
      </c>
      <c r="B33135" s="74" t="s">
        <v>2525</v>
      </c>
      <c r="C33135" s="74" t="s">
        <v>453</v>
      </c>
    </row>
    <row r="33136" spans="1:3">
      <c r="A33136" s="250">
        <v>76875</v>
      </c>
      <c r="B33136" s="74" t="s">
        <v>12827</v>
      </c>
      <c r="C33136" s="74" t="s">
        <v>453</v>
      </c>
    </row>
    <row r="33137" spans="1:3">
      <c r="A33137" s="250">
        <v>76877</v>
      </c>
      <c r="B33137" s="74" t="s">
        <v>16099</v>
      </c>
      <c r="C33137" s="74" t="s">
        <v>453</v>
      </c>
    </row>
    <row r="33138" spans="1:3">
      <c r="A33138" s="250">
        <v>76878</v>
      </c>
      <c r="B33138" s="74" t="s">
        <v>16100</v>
      </c>
      <c r="C33138" s="74" t="s">
        <v>453</v>
      </c>
    </row>
    <row r="33139" spans="1:3">
      <c r="A33139" s="250">
        <v>76880</v>
      </c>
      <c r="B33139" s="74" t="s">
        <v>7125</v>
      </c>
      <c r="C33139" s="74" t="s">
        <v>453</v>
      </c>
    </row>
    <row r="33140" spans="1:3">
      <c r="A33140" s="250">
        <v>76882</v>
      </c>
      <c r="B33140" s="74" t="s">
        <v>16101</v>
      </c>
      <c r="C33140" s="74" t="s">
        <v>453</v>
      </c>
    </row>
    <row r="33141" spans="1:3">
      <c r="A33141" s="250">
        <v>76883</v>
      </c>
      <c r="B33141" s="74" t="s">
        <v>16102</v>
      </c>
      <c r="C33141" s="74" t="s">
        <v>453</v>
      </c>
    </row>
    <row r="33142" spans="1:3">
      <c r="A33142" s="250">
        <v>76884</v>
      </c>
      <c r="B33142" s="74" t="s">
        <v>16103</v>
      </c>
      <c r="C33142" s="74" t="s">
        <v>453</v>
      </c>
    </row>
    <row r="33143" spans="1:3">
      <c r="A33143" s="250">
        <v>76885</v>
      </c>
      <c r="B33143" s="74" t="s">
        <v>16104</v>
      </c>
      <c r="C33143" s="74" t="s">
        <v>453</v>
      </c>
    </row>
    <row r="33144" spans="1:3">
      <c r="A33144" s="250">
        <v>76886</v>
      </c>
      <c r="B33144" s="74" t="s">
        <v>16105</v>
      </c>
      <c r="C33144" s="74" t="s">
        <v>453</v>
      </c>
    </row>
    <row r="33145" spans="1:3">
      <c r="A33145" s="250">
        <v>76887</v>
      </c>
      <c r="B33145" s="74" t="s">
        <v>16106</v>
      </c>
      <c r="C33145" s="74" t="s">
        <v>453</v>
      </c>
    </row>
    <row r="33146" spans="1:3">
      <c r="A33146" s="250">
        <v>76888</v>
      </c>
      <c r="B33146" s="74" t="s">
        <v>16107</v>
      </c>
      <c r="C33146" s="74" t="s">
        <v>453</v>
      </c>
    </row>
    <row r="33147" spans="1:3">
      <c r="A33147" s="250">
        <v>76890</v>
      </c>
      <c r="B33147" s="74" t="s">
        <v>16108</v>
      </c>
      <c r="C33147" s="74" t="s">
        <v>453</v>
      </c>
    </row>
    <row r="33148" spans="1:3">
      <c r="A33148" s="250">
        <v>76901</v>
      </c>
      <c r="B33148" s="74" t="s">
        <v>16109</v>
      </c>
      <c r="C33148" s="74" t="s">
        <v>453</v>
      </c>
    </row>
    <row r="33149" spans="1:3">
      <c r="A33149" s="250">
        <v>76902</v>
      </c>
      <c r="B33149" s="74" t="s">
        <v>16109</v>
      </c>
      <c r="C33149" s="74" t="s">
        <v>453</v>
      </c>
    </row>
    <row r="33150" spans="1:3">
      <c r="A33150" s="250">
        <v>76903</v>
      </c>
      <c r="B33150" s="74" t="s">
        <v>16109</v>
      </c>
      <c r="C33150" s="74" t="s">
        <v>453</v>
      </c>
    </row>
    <row r="33151" spans="1:3">
      <c r="A33151" s="250">
        <v>76904</v>
      </c>
      <c r="B33151" s="74" t="s">
        <v>16109</v>
      </c>
      <c r="C33151" s="74" t="s">
        <v>453</v>
      </c>
    </row>
    <row r="33152" spans="1:3">
      <c r="A33152" s="250">
        <v>76905</v>
      </c>
      <c r="B33152" s="74" t="s">
        <v>16109</v>
      </c>
      <c r="C33152" s="74" t="s">
        <v>453</v>
      </c>
    </row>
    <row r="33153" spans="1:3">
      <c r="A33153" s="250">
        <v>76906</v>
      </c>
      <c r="B33153" s="74" t="s">
        <v>16109</v>
      </c>
      <c r="C33153" s="74" t="s">
        <v>453</v>
      </c>
    </row>
    <row r="33154" spans="1:3">
      <c r="A33154" s="250">
        <v>76908</v>
      </c>
      <c r="B33154" s="74" t="s">
        <v>16110</v>
      </c>
      <c r="C33154" s="74" t="s">
        <v>453</v>
      </c>
    </row>
    <row r="33155" spans="1:3">
      <c r="A33155" s="250">
        <v>76909</v>
      </c>
      <c r="B33155" s="74" t="s">
        <v>16109</v>
      </c>
      <c r="C33155" s="74" t="s">
        <v>453</v>
      </c>
    </row>
    <row r="33156" spans="1:3">
      <c r="A33156" s="250">
        <v>76930</v>
      </c>
      <c r="B33156" s="74" t="s">
        <v>14068</v>
      </c>
      <c r="C33156" s="74" t="s">
        <v>453</v>
      </c>
    </row>
    <row r="33157" spans="1:3">
      <c r="A33157" s="250">
        <v>76932</v>
      </c>
      <c r="B33157" s="74" t="s">
        <v>12394</v>
      </c>
      <c r="C33157" s="74" t="s">
        <v>453</v>
      </c>
    </row>
    <row r="33158" spans="1:3">
      <c r="A33158" s="250">
        <v>76933</v>
      </c>
      <c r="B33158" s="74" t="s">
        <v>16111</v>
      </c>
      <c r="C33158" s="74" t="s">
        <v>453</v>
      </c>
    </row>
    <row r="33159" spans="1:3">
      <c r="A33159" s="250">
        <v>76934</v>
      </c>
      <c r="B33159" s="74" t="s">
        <v>16112</v>
      </c>
      <c r="C33159" s="74" t="s">
        <v>453</v>
      </c>
    </row>
    <row r="33160" spans="1:3">
      <c r="A33160" s="250">
        <v>76935</v>
      </c>
      <c r="B33160" s="74" t="s">
        <v>16113</v>
      </c>
      <c r="C33160" s="74" t="s">
        <v>453</v>
      </c>
    </row>
    <row r="33161" spans="1:3">
      <c r="A33161" s="250">
        <v>76936</v>
      </c>
      <c r="B33161" s="74" t="s">
        <v>10497</v>
      </c>
      <c r="C33161" s="74" t="s">
        <v>453</v>
      </c>
    </row>
    <row r="33162" spans="1:3">
      <c r="A33162" s="250">
        <v>76937</v>
      </c>
      <c r="B33162" s="74" t="s">
        <v>13547</v>
      </c>
      <c r="C33162" s="74" t="s">
        <v>453</v>
      </c>
    </row>
    <row r="33163" spans="1:3">
      <c r="A33163" s="250">
        <v>76939</v>
      </c>
      <c r="B33163" s="74" t="s">
        <v>16114</v>
      </c>
      <c r="C33163" s="74" t="s">
        <v>453</v>
      </c>
    </row>
    <row r="33164" spans="1:3">
      <c r="A33164" s="250">
        <v>76940</v>
      </c>
      <c r="B33164" s="74" t="s">
        <v>16115</v>
      </c>
      <c r="C33164" s="74" t="s">
        <v>453</v>
      </c>
    </row>
    <row r="33165" spans="1:3">
      <c r="A33165" s="250">
        <v>76941</v>
      </c>
      <c r="B33165" s="74" t="s">
        <v>16116</v>
      </c>
      <c r="C33165" s="74" t="s">
        <v>453</v>
      </c>
    </row>
    <row r="33166" spans="1:3">
      <c r="A33166" s="250">
        <v>76943</v>
      </c>
      <c r="B33166" s="74" t="s">
        <v>8582</v>
      </c>
      <c r="C33166" s="74" t="s">
        <v>453</v>
      </c>
    </row>
    <row r="33167" spans="1:3">
      <c r="A33167" s="250">
        <v>76945</v>
      </c>
      <c r="B33167" s="74" t="s">
        <v>16117</v>
      </c>
      <c r="C33167" s="74" t="s">
        <v>453</v>
      </c>
    </row>
    <row r="33168" spans="1:3">
      <c r="A33168" s="250">
        <v>76949</v>
      </c>
      <c r="B33168" s="74" t="s">
        <v>16118</v>
      </c>
      <c r="C33168" s="74" t="s">
        <v>453</v>
      </c>
    </row>
    <row r="33169" spans="1:3">
      <c r="A33169" s="250">
        <v>76950</v>
      </c>
      <c r="B33169" s="74" t="s">
        <v>10077</v>
      </c>
      <c r="C33169" s="74" t="s">
        <v>453</v>
      </c>
    </row>
    <row r="33170" spans="1:3">
      <c r="A33170" s="250">
        <v>76951</v>
      </c>
      <c r="B33170" s="74" t="s">
        <v>16119</v>
      </c>
      <c r="C33170" s="74" t="s">
        <v>453</v>
      </c>
    </row>
    <row r="33171" spans="1:3">
      <c r="A33171" s="250">
        <v>76953</v>
      </c>
      <c r="B33171" s="74" t="s">
        <v>10917</v>
      </c>
      <c r="C33171" s="74" t="s">
        <v>453</v>
      </c>
    </row>
    <row r="33172" spans="1:3">
      <c r="A33172" s="250">
        <v>76955</v>
      </c>
      <c r="B33172" s="74" t="s">
        <v>16120</v>
      </c>
      <c r="C33172" s="74" t="s">
        <v>453</v>
      </c>
    </row>
    <row r="33173" spans="1:3">
      <c r="A33173" s="250">
        <v>76957</v>
      </c>
      <c r="B33173" s="74" t="s">
        <v>12996</v>
      </c>
      <c r="C33173" s="74" t="s">
        <v>453</v>
      </c>
    </row>
    <row r="33174" spans="1:3">
      <c r="A33174" s="250">
        <v>76958</v>
      </c>
      <c r="B33174" s="74" t="s">
        <v>9407</v>
      </c>
      <c r="C33174" s="74" t="s">
        <v>453</v>
      </c>
    </row>
    <row r="33175" spans="1:3">
      <c r="A33175" s="250">
        <v>77001</v>
      </c>
      <c r="B33175" s="74" t="s">
        <v>4063</v>
      </c>
      <c r="C33175" s="74" t="s">
        <v>453</v>
      </c>
    </row>
    <row r="33176" spans="1:3">
      <c r="A33176" s="250">
        <v>77002</v>
      </c>
      <c r="B33176" s="74" t="s">
        <v>4063</v>
      </c>
      <c r="C33176" s="74" t="s">
        <v>453</v>
      </c>
    </row>
    <row r="33177" spans="1:3">
      <c r="A33177" s="250">
        <v>77003</v>
      </c>
      <c r="B33177" s="74" t="s">
        <v>4063</v>
      </c>
      <c r="C33177" s="74" t="s">
        <v>453</v>
      </c>
    </row>
    <row r="33178" spans="1:3">
      <c r="A33178" s="250">
        <v>77004</v>
      </c>
      <c r="B33178" s="74" t="s">
        <v>4063</v>
      </c>
      <c r="C33178" s="74" t="s">
        <v>453</v>
      </c>
    </row>
    <row r="33179" spans="1:3">
      <c r="A33179" s="250">
        <v>77005</v>
      </c>
      <c r="B33179" s="74" t="s">
        <v>4063</v>
      </c>
      <c r="C33179" s="74" t="s">
        <v>453</v>
      </c>
    </row>
    <row r="33180" spans="1:3">
      <c r="A33180" s="250">
        <v>77006</v>
      </c>
      <c r="B33180" s="74" t="s">
        <v>4063</v>
      </c>
      <c r="C33180" s="74" t="s">
        <v>453</v>
      </c>
    </row>
    <row r="33181" spans="1:3">
      <c r="A33181" s="250">
        <v>77007</v>
      </c>
      <c r="B33181" s="74" t="s">
        <v>4063</v>
      </c>
      <c r="C33181" s="74" t="s">
        <v>453</v>
      </c>
    </row>
    <row r="33182" spans="1:3">
      <c r="A33182" s="250">
        <v>77008</v>
      </c>
      <c r="B33182" s="74" t="s">
        <v>4063</v>
      </c>
      <c r="C33182" s="74" t="s">
        <v>453</v>
      </c>
    </row>
    <row r="33183" spans="1:3">
      <c r="A33183" s="250">
        <v>77009</v>
      </c>
      <c r="B33183" s="74" t="s">
        <v>4063</v>
      </c>
      <c r="C33183" s="74" t="s">
        <v>453</v>
      </c>
    </row>
    <row r="33184" spans="1:3">
      <c r="A33184" s="250">
        <v>77010</v>
      </c>
      <c r="B33184" s="74" t="s">
        <v>4063</v>
      </c>
      <c r="C33184" s="74" t="s">
        <v>453</v>
      </c>
    </row>
    <row r="33185" spans="1:3">
      <c r="A33185" s="250">
        <v>77011</v>
      </c>
      <c r="B33185" s="74" t="s">
        <v>4063</v>
      </c>
      <c r="C33185" s="74" t="s">
        <v>453</v>
      </c>
    </row>
    <row r="33186" spans="1:3">
      <c r="A33186" s="250">
        <v>77012</v>
      </c>
      <c r="B33186" s="74" t="s">
        <v>4063</v>
      </c>
      <c r="C33186" s="74" t="s">
        <v>453</v>
      </c>
    </row>
    <row r="33187" spans="1:3">
      <c r="A33187" s="250">
        <v>77013</v>
      </c>
      <c r="B33187" s="74" t="s">
        <v>4063</v>
      </c>
      <c r="C33187" s="74" t="s">
        <v>453</v>
      </c>
    </row>
    <row r="33188" spans="1:3">
      <c r="A33188" s="250">
        <v>77014</v>
      </c>
      <c r="B33188" s="74" t="s">
        <v>4063</v>
      </c>
      <c r="C33188" s="74" t="s">
        <v>453</v>
      </c>
    </row>
    <row r="33189" spans="1:3">
      <c r="A33189" s="250">
        <v>77015</v>
      </c>
      <c r="B33189" s="74" t="s">
        <v>4063</v>
      </c>
      <c r="C33189" s="74" t="s">
        <v>453</v>
      </c>
    </row>
    <row r="33190" spans="1:3">
      <c r="A33190" s="250">
        <v>77016</v>
      </c>
      <c r="B33190" s="74" t="s">
        <v>4063</v>
      </c>
      <c r="C33190" s="74" t="s">
        <v>453</v>
      </c>
    </row>
    <row r="33191" spans="1:3">
      <c r="A33191" s="250">
        <v>77017</v>
      </c>
      <c r="B33191" s="74" t="s">
        <v>4063</v>
      </c>
      <c r="C33191" s="74" t="s">
        <v>453</v>
      </c>
    </row>
    <row r="33192" spans="1:3">
      <c r="A33192" s="250">
        <v>77018</v>
      </c>
      <c r="B33192" s="74" t="s">
        <v>4063</v>
      </c>
      <c r="C33192" s="74" t="s">
        <v>453</v>
      </c>
    </row>
    <row r="33193" spans="1:3">
      <c r="A33193" s="250">
        <v>77019</v>
      </c>
      <c r="B33193" s="74" t="s">
        <v>4063</v>
      </c>
      <c r="C33193" s="74" t="s">
        <v>453</v>
      </c>
    </row>
    <row r="33194" spans="1:3">
      <c r="A33194" s="250">
        <v>77020</v>
      </c>
      <c r="B33194" s="74" t="s">
        <v>4063</v>
      </c>
      <c r="C33194" s="74" t="s">
        <v>453</v>
      </c>
    </row>
    <row r="33195" spans="1:3">
      <c r="A33195" s="250">
        <v>77021</v>
      </c>
      <c r="B33195" s="74" t="s">
        <v>4063</v>
      </c>
      <c r="C33195" s="74" t="s">
        <v>453</v>
      </c>
    </row>
    <row r="33196" spans="1:3">
      <c r="A33196" s="250">
        <v>77022</v>
      </c>
      <c r="B33196" s="74" t="s">
        <v>4063</v>
      </c>
      <c r="C33196" s="74" t="s">
        <v>453</v>
      </c>
    </row>
    <row r="33197" spans="1:3">
      <c r="A33197" s="250">
        <v>77023</v>
      </c>
      <c r="B33197" s="74" t="s">
        <v>4063</v>
      </c>
      <c r="C33197" s="74" t="s">
        <v>453</v>
      </c>
    </row>
    <row r="33198" spans="1:3">
      <c r="A33198" s="250">
        <v>77024</v>
      </c>
      <c r="B33198" s="74" t="s">
        <v>4063</v>
      </c>
      <c r="C33198" s="74" t="s">
        <v>453</v>
      </c>
    </row>
    <row r="33199" spans="1:3">
      <c r="A33199" s="250">
        <v>77025</v>
      </c>
      <c r="B33199" s="74" t="s">
        <v>4063</v>
      </c>
      <c r="C33199" s="74" t="s">
        <v>453</v>
      </c>
    </row>
    <row r="33200" spans="1:3">
      <c r="A33200" s="250">
        <v>77026</v>
      </c>
      <c r="B33200" s="74" t="s">
        <v>4063</v>
      </c>
      <c r="C33200" s="74" t="s">
        <v>453</v>
      </c>
    </row>
    <row r="33201" spans="1:3">
      <c r="A33201" s="250">
        <v>77027</v>
      </c>
      <c r="B33201" s="74" t="s">
        <v>4063</v>
      </c>
      <c r="C33201" s="74" t="s">
        <v>453</v>
      </c>
    </row>
    <row r="33202" spans="1:3">
      <c r="A33202" s="250">
        <v>77028</v>
      </c>
      <c r="B33202" s="74" t="s">
        <v>4063</v>
      </c>
      <c r="C33202" s="74" t="s">
        <v>453</v>
      </c>
    </row>
    <row r="33203" spans="1:3">
      <c r="A33203" s="250">
        <v>77029</v>
      </c>
      <c r="B33203" s="74" t="s">
        <v>4063</v>
      </c>
      <c r="C33203" s="74" t="s">
        <v>453</v>
      </c>
    </row>
    <row r="33204" spans="1:3">
      <c r="A33204" s="250">
        <v>77030</v>
      </c>
      <c r="B33204" s="74" t="s">
        <v>4063</v>
      </c>
      <c r="C33204" s="74" t="s">
        <v>453</v>
      </c>
    </row>
    <row r="33205" spans="1:3">
      <c r="A33205" s="250">
        <v>77031</v>
      </c>
      <c r="B33205" s="74" t="s">
        <v>4063</v>
      </c>
      <c r="C33205" s="74" t="s">
        <v>453</v>
      </c>
    </row>
    <row r="33206" spans="1:3">
      <c r="A33206" s="250">
        <v>77032</v>
      </c>
      <c r="B33206" s="74" t="s">
        <v>4063</v>
      </c>
      <c r="C33206" s="74" t="s">
        <v>453</v>
      </c>
    </row>
    <row r="33207" spans="1:3">
      <c r="A33207" s="250">
        <v>77033</v>
      </c>
      <c r="B33207" s="74" t="s">
        <v>4063</v>
      </c>
      <c r="C33207" s="74" t="s">
        <v>453</v>
      </c>
    </row>
    <row r="33208" spans="1:3">
      <c r="A33208" s="250">
        <v>77034</v>
      </c>
      <c r="B33208" s="74" t="s">
        <v>4063</v>
      </c>
      <c r="C33208" s="74" t="s">
        <v>453</v>
      </c>
    </row>
    <row r="33209" spans="1:3">
      <c r="A33209" s="250">
        <v>77035</v>
      </c>
      <c r="B33209" s="74" t="s">
        <v>4063</v>
      </c>
      <c r="C33209" s="74" t="s">
        <v>453</v>
      </c>
    </row>
    <row r="33210" spans="1:3">
      <c r="A33210" s="250">
        <v>77036</v>
      </c>
      <c r="B33210" s="74" t="s">
        <v>4063</v>
      </c>
      <c r="C33210" s="74" t="s">
        <v>453</v>
      </c>
    </row>
    <row r="33211" spans="1:3">
      <c r="A33211" s="250">
        <v>77037</v>
      </c>
      <c r="B33211" s="74" t="s">
        <v>4063</v>
      </c>
      <c r="C33211" s="74" t="s">
        <v>453</v>
      </c>
    </row>
    <row r="33212" spans="1:3">
      <c r="A33212" s="250">
        <v>77038</v>
      </c>
      <c r="B33212" s="74" t="s">
        <v>4063</v>
      </c>
      <c r="C33212" s="74" t="s">
        <v>453</v>
      </c>
    </row>
    <row r="33213" spans="1:3">
      <c r="A33213" s="250">
        <v>77039</v>
      </c>
      <c r="B33213" s="74" t="s">
        <v>4063</v>
      </c>
      <c r="C33213" s="74" t="s">
        <v>453</v>
      </c>
    </row>
    <row r="33214" spans="1:3">
      <c r="A33214" s="250">
        <v>77040</v>
      </c>
      <c r="B33214" s="74" t="s">
        <v>4063</v>
      </c>
      <c r="C33214" s="74" t="s">
        <v>453</v>
      </c>
    </row>
    <row r="33215" spans="1:3">
      <c r="A33215" s="250">
        <v>77041</v>
      </c>
      <c r="B33215" s="74" t="s">
        <v>4063</v>
      </c>
      <c r="C33215" s="74" t="s">
        <v>453</v>
      </c>
    </row>
    <row r="33216" spans="1:3">
      <c r="A33216" s="250">
        <v>77042</v>
      </c>
      <c r="B33216" s="74" t="s">
        <v>4063</v>
      </c>
      <c r="C33216" s="74" t="s">
        <v>453</v>
      </c>
    </row>
    <row r="33217" spans="1:3">
      <c r="A33217" s="250">
        <v>77043</v>
      </c>
      <c r="B33217" s="74" t="s">
        <v>4063</v>
      </c>
      <c r="C33217" s="74" t="s">
        <v>453</v>
      </c>
    </row>
    <row r="33218" spans="1:3">
      <c r="A33218" s="250">
        <v>77044</v>
      </c>
      <c r="B33218" s="74" t="s">
        <v>4063</v>
      </c>
      <c r="C33218" s="74" t="s">
        <v>453</v>
      </c>
    </row>
    <row r="33219" spans="1:3">
      <c r="A33219" s="250">
        <v>77045</v>
      </c>
      <c r="B33219" s="74" t="s">
        <v>4063</v>
      </c>
      <c r="C33219" s="74" t="s">
        <v>453</v>
      </c>
    </row>
    <row r="33220" spans="1:3">
      <c r="A33220" s="250">
        <v>77046</v>
      </c>
      <c r="B33220" s="74" t="s">
        <v>4063</v>
      </c>
      <c r="C33220" s="74" t="s">
        <v>453</v>
      </c>
    </row>
    <row r="33221" spans="1:3">
      <c r="A33221" s="250">
        <v>77047</v>
      </c>
      <c r="B33221" s="74" t="s">
        <v>4063</v>
      </c>
      <c r="C33221" s="74" t="s">
        <v>453</v>
      </c>
    </row>
    <row r="33222" spans="1:3">
      <c r="A33222" s="250">
        <v>77048</v>
      </c>
      <c r="B33222" s="74" t="s">
        <v>4063</v>
      </c>
      <c r="C33222" s="74" t="s">
        <v>453</v>
      </c>
    </row>
    <row r="33223" spans="1:3">
      <c r="A33223" s="250">
        <v>77049</v>
      </c>
      <c r="B33223" s="74" t="s">
        <v>4063</v>
      </c>
      <c r="C33223" s="74" t="s">
        <v>453</v>
      </c>
    </row>
    <row r="33224" spans="1:3">
      <c r="A33224" s="250">
        <v>77050</v>
      </c>
      <c r="B33224" s="74" t="s">
        <v>4063</v>
      </c>
      <c r="C33224" s="74" t="s">
        <v>453</v>
      </c>
    </row>
    <row r="33225" spans="1:3">
      <c r="A33225" s="250">
        <v>77051</v>
      </c>
      <c r="B33225" s="74" t="s">
        <v>4063</v>
      </c>
      <c r="C33225" s="74" t="s">
        <v>453</v>
      </c>
    </row>
    <row r="33226" spans="1:3">
      <c r="A33226" s="250">
        <v>77052</v>
      </c>
      <c r="B33226" s="74" t="s">
        <v>4063</v>
      </c>
      <c r="C33226" s="74" t="s">
        <v>453</v>
      </c>
    </row>
    <row r="33227" spans="1:3">
      <c r="A33227" s="250">
        <v>77053</v>
      </c>
      <c r="B33227" s="74" t="s">
        <v>4063</v>
      </c>
      <c r="C33227" s="74" t="s">
        <v>453</v>
      </c>
    </row>
    <row r="33228" spans="1:3">
      <c r="A33228" s="250">
        <v>77054</v>
      </c>
      <c r="B33228" s="74" t="s">
        <v>4063</v>
      </c>
      <c r="C33228" s="74" t="s">
        <v>453</v>
      </c>
    </row>
    <row r="33229" spans="1:3">
      <c r="A33229" s="250">
        <v>77055</v>
      </c>
      <c r="B33229" s="74" t="s">
        <v>4063</v>
      </c>
      <c r="C33229" s="74" t="s">
        <v>453</v>
      </c>
    </row>
    <row r="33230" spans="1:3">
      <c r="A33230" s="250">
        <v>77056</v>
      </c>
      <c r="B33230" s="74" t="s">
        <v>4063</v>
      </c>
      <c r="C33230" s="74" t="s">
        <v>453</v>
      </c>
    </row>
    <row r="33231" spans="1:3">
      <c r="A33231" s="250">
        <v>77057</v>
      </c>
      <c r="B33231" s="74" t="s">
        <v>4063</v>
      </c>
      <c r="C33231" s="74" t="s">
        <v>453</v>
      </c>
    </row>
    <row r="33232" spans="1:3">
      <c r="A33232" s="250">
        <v>77058</v>
      </c>
      <c r="B33232" s="74" t="s">
        <v>4063</v>
      </c>
      <c r="C33232" s="74" t="s">
        <v>453</v>
      </c>
    </row>
    <row r="33233" spans="1:3">
      <c r="A33233" s="250">
        <v>77059</v>
      </c>
      <c r="B33233" s="74" t="s">
        <v>4063</v>
      </c>
      <c r="C33233" s="74" t="s">
        <v>453</v>
      </c>
    </row>
    <row r="33234" spans="1:3">
      <c r="A33234" s="250">
        <v>77060</v>
      </c>
      <c r="B33234" s="74" t="s">
        <v>4063</v>
      </c>
      <c r="C33234" s="74" t="s">
        <v>453</v>
      </c>
    </row>
    <row r="33235" spans="1:3">
      <c r="A33235" s="250">
        <v>77061</v>
      </c>
      <c r="B33235" s="74" t="s">
        <v>4063</v>
      </c>
      <c r="C33235" s="74" t="s">
        <v>453</v>
      </c>
    </row>
    <row r="33236" spans="1:3">
      <c r="A33236" s="250">
        <v>77062</v>
      </c>
      <c r="B33236" s="74" t="s">
        <v>4063</v>
      </c>
      <c r="C33236" s="74" t="s">
        <v>453</v>
      </c>
    </row>
    <row r="33237" spans="1:3">
      <c r="A33237" s="250">
        <v>77063</v>
      </c>
      <c r="B33237" s="74" t="s">
        <v>4063</v>
      </c>
      <c r="C33237" s="74" t="s">
        <v>453</v>
      </c>
    </row>
    <row r="33238" spans="1:3">
      <c r="A33238" s="250">
        <v>77064</v>
      </c>
      <c r="B33238" s="74" t="s">
        <v>4063</v>
      </c>
      <c r="C33238" s="74" t="s">
        <v>453</v>
      </c>
    </row>
    <row r="33239" spans="1:3">
      <c r="A33239" s="250">
        <v>77065</v>
      </c>
      <c r="B33239" s="74" t="s">
        <v>4063</v>
      </c>
      <c r="C33239" s="74" t="s">
        <v>453</v>
      </c>
    </row>
    <row r="33240" spans="1:3">
      <c r="A33240" s="250">
        <v>77066</v>
      </c>
      <c r="B33240" s="74" t="s">
        <v>4063</v>
      </c>
      <c r="C33240" s="74" t="s">
        <v>453</v>
      </c>
    </row>
    <row r="33241" spans="1:3">
      <c r="A33241" s="250">
        <v>77067</v>
      </c>
      <c r="B33241" s="74" t="s">
        <v>4063</v>
      </c>
      <c r="C33241" s="74" t="s">
        <v>453</v>
      </c>
    </row>
    <row r="33242" spans="1:3">
      <c r="A33242" s="250">
        <v>77068</v>
      </c>
      <c r="B33242" s="74" t="s">
        <v>4063</v>
      </c>
      <c r="C33242" s="74" t="s">
        <v>453</v>
      </c>
    </row>
    <row r="33243" spans="1:3">
      <c r="A33243" s="250">
        <v>77069</v>
      </c>
      <c r="B33243" s="74" t="s">
        <v>4063</v>
      </c>
      <c r="C33243" s="74" t="s">
        <v>453</v>
      </c>
    </row>
    <row r="33244" spans="1:3">
      <c r="A33244" s="250">
        <v>77070</v>
      </c>
      <c r="B33244" s="74" t="s">
        <v>4063</v>
      </c>
      <c r="C33244" s="74" t="s">
        <v>453</v>
      </c>
    </row>
    <row r="33245" spans="1:3">
      <c r="A33245" s="250">
        <v>77071</v>
      </c>
      <c r="B33245" s="74" t="s">
        <v>4063</v>
      </c>
      <c r="C33245" s="74" t="s">
        <v>453</v>
      </c>
    </row>
    <row r="33246" spans="1:3">
      <c r="A33246" s="250">
        <v>77072</v>
      </c>
      <c r="B33246" s="74" t="s">
        <v>4063</v>
      </c>
      <c r="C33246" s="74" t="s">
        <v>453</v>
      </c>
    </row>
    <row r="33247" spans="1:3">
      <c r="A33247" s="250">
        <v>77073</v>
      </c>
      <c r="B33247" s="74" t="s">
        <v>4063</v>
      </c>
      <c r="C33247" s="74" t="s">
        <v>453</v>
      </c>
    </row>
    <row r="33248" spans="1:3">
      <c r="A33248" s="250">
        <v>77074</v>
      </c>
      <c r="B33248" s="74" t="s">
        <v>4063</v>
      </c>
      <c r="C33248" s="74" t="s">
        <v>453</v>
      </c>
    </row>
    <row r="33249" spans="1:3">
      <c r="A33249" s="250">
        <v>77075</v>
      </c>
      <c r="B33249" s="74" t="s">
        <v>4063</v>
      </c>
      <c r="C33249" s="74" t="s">
        <v>453</v>
      </c>
    </row>
    <row r="33250" spans="1:3">
      <c r="A33250" s="250">
        <v>77076</v>
      </c>
      <c r="B33250" s="74" t="s">
        <v>4063</v>
      </c>
      <c r="C33250" s="74" t="s">
        <v>453</v>
      </c>
    </row>
    <row r="33251" spans="1:3">
      <c r="A33251" s="250">
        <v>77077</v>
      </c>
      <c r="B33251" s="74" t="s">
        <v>4063</v>
      </c>
      <c r="C33251" s="74" t="s">
        <v>453</v>
      </c>
    </row>
    <row r="33252" spans="1:3">
      <c r="A33252" s="250">
        <v>77078</v>
      </c>
      <c r="B33252" s="74" t="s">
        <v>4063</v>
      </c>
      <c r="C33252" s="74" t="s">
        <v>453</v>
      </c>
    </row>
    <row r="33253" spans="1:3">
      <c r="A33253" s="250">
        <v>77079</v>
      </c>
      <c r="B33253" s="74" t="s">
        <v>4063</v>
      </c>
      <c r="C33253" s="74" t="s">
        <v>453</v>
      </c>
    </row>
    <row r="33254" spans="1:3">
      <c r="A33254" s="250">
        <v>77080</v>
      </c>
      <c r="B33254" s="74" t="s">
        <v>4063</v>
      </c>
      <c r="C33254" s="74" t="s">
        <v>453</v>
      </c>
    </row>
    <row r="33255" spans="1:3">
      <c r="A33255" s="250">
        <v>77081</v>
      </c>
      <c r="B33255" s="74" t="s">
        <v>4063</v>
      </c>
      <c r="C33255" s="74" t="s">
        <v>453</v>
      </c>
    </row>
    <row r="33256" spans="1:3">
      <c r="A33256" s="250">
        <v>77082</v>
      </c>
      <c r="B33256" s="74" t="s">
        <v>4063</v>
      </c>
      <c r="C33256" s="74" t="s">
        <v>453</v>
      </c>
    </row>
    <row r="33257" spans="1:3">
      <c r="A33257" s="250">
        <v>77083</v>
      </c>
      <c r="B33257" s="74" t="s">
        <v>4063</v>
      </c>
      <c r="C33257" s="74" t="s">
        <v>453</v>
      </c>
    </row>
    <row r="33258" spans="1:3">
      <c r="A33258" s="250">
        <v>77084</v>
      </c>
      <c r="B33258" s="74" t="s">
        <v>4063</v>
      </c>
      <c r="C33258" s="74" t="s">
        <v>453</v>
      </c>
    </row>
    <row r="33259" spans="1:3">
      <c r="A33259" s="250">
        <v>77085</v>
      </c>
      <c r="B33259" s="74" t="s">
        <v>4063</v>
      </c>
      <c r="C33259" s="74" t="s">
        <v>453</v>
      </c>
    </row>
    <row r="33260" spans="1:3">
      <c r="A33260" s="250">
        <v>77086</v>
      </c>
      <c r="B33260" s="74" t="s">
        <v>4063</v>
      </c>
      <c r="C33260" s="74" t="s">
        <v>453</v>
      </c>
    </row>
    <row r="33261" spans="1:3">
      <c r="A33261" s="250">
        <v>77087</v>
      </c>
      <c r="B33261" s="74" t="s">
        <v>4063</v>
      </c>
      <c r="C33261" s="74" t="s">
        <v>453</v>
      </c>
    </row>
    <row r="33262" spans="1:3">
      <c r="A33262" s="250">
        <v>77088</v>
      </c>
      <c r="B33262" s="74" t="s">
        <v>4063</v>
      </c>
      <c r="C33262" s="74" t="s">
        <v>453</v>
      </c>
    </row>
    <row r="33263" spans="1:3">
      <c r="A33263" s="250">
        <v>77089</v>
      </c>
      <c r="B33263" s="74" t="s">
        <v>4063</v>
      </c>
      <c r="C33263" s="74" t="s">
        <v>453</v>
      </c>
    </row>
    <row r="33264" spans="1:3">
      <c r="A33264" s="250">
        <v>77090</v>
      </c>
      <c r="B33264" s="74" t="s">
        <v>4063</v>
      </c>
      <c r="C33264" s="74" t="s">
        <v>453</v>
      </c>
    </row>
    <row r="33265" spans="1:3">
      <c r="A33265" s="250">
        <v>77091</v>
      </c>
      <c r="B33265" s="74" t="s">
        <v>4063</v>
      </c>
      <c r="C33265" s="74" t="s">
        <v>453</v>
      </c>
    </row>
    <row r="33266" spans="1:3">
      <c r="A33266" s="250">
        <v>77092</v>
      </c>
      <c r="B33266" s="74" t="s">
        <v>4063</v>
      </c>
      <c r="C33266" s="74" t="s">
        <v>453</v>
      </c>
    </row>
    <row r="33267" spans="1:3">
      <c r="A33267" s="250">
        <v>77093</v>
      </c>
      <c r="B33267" s="74" t="s">
        <v>4063</v>
      </c>
      <c r="C33267" s="74" t="s">
        <v>453</v>
      </c>
    </row>
    <row r="33268" spans="1:3">
      <c r="A33268" s="250">
        <v>77094</v>
      </c>
      <c r="B33268" s="74" t="s">
        <v>4063</v>
      </c>
      <c r="C33268" s="74" t="s">
        <v>453</v>
      </c>
    </row>
    <row r="33269" spans="1:3">
      <c r="A33269" s="250">
        <v>77095</v>
      </c>
      <c r="B33269" s="74" t="s">
        <v>4063</v>
      </c>
      <c r="C33269" s="74" t="s">
        <v>453</v>
      </c>
    </row>
    <row r="33270" spans="1:3">
      <c r="A33270" s="250">
        <v>77096</v>
      </c>
      <c r="B33270" s="74" t="s">
        <v>4063</v>
      </c>
      <c r="C33270" s="74" t="s">
        <v>453</v>
      </c>
    </row>
    <row r="33271" spans="1:3">
      <c r="A33271" s="250">
        <v>77097</v>
      </c>
      <c r="B33271" s="74" t="s">
        <v>4063</v>
      </c>
      <c r="C33271" s="74" t="s">
        <v>453</v>
      </c>
    </row>
    <row r="33272" spans="1:3">
      <c r="A33272" s="250">
        <v>77098</v>
      </c>
      <c r="B33272" s="74" t="s">
        <v>4063</v>
      </c>
      <c r="C33272" s="74" t="s">
        <v>453</v>
      </c>
    </row>
    <row r="33273" spans="1:3">
      <c r="A33273" s="250">
        <v>77099</v>
      </c>
      <c r="B33273" s="74" t="s">
        <v>4063</v>
      </c>
      <c r="C33273" s="74" t="s">
        <v>453</v>
      </c>
    </row>
    <row r="33274" spans="1:3">
      <c r="A33274" s="250">
        <v>77201</v>
      </c>
      <c r="B33274" s="74" t="s">
        <v>4063</v>
      </c>
      <c r="C33274" s="74" t="s">
        <v>453</v>
      </c>
    </row>
    <row r="33275" spans="1:3">
      <c r="A33275" s="250">
        <v>77202</v>
      </c>
      <c r="B33275" s="74" t="s">
        <v>4063</v>
      </c>
      <c r="C33275" s="74" t="s">
        <v>453</v>
      </c>
    </row>
    <row r="33276" spans="1:3">
      <c r="A33276" s="250">
        <v>77203</v>
      </c>
      <c r="B33276" s="74" t="s">
        <v>4063</v>
      </c>
      <c r="C33276" s="74" t="s">
        <v>453</v>
      </c>
    </row>
    <row r="33277" spans="1:3">
      <c r="A33277" s="250">
        <v>77204</v>
      </c>
      <c r="B33277" s="74" t="s">
        <v>4063</v>
      </c>
      <c r="C33277" s="74" t="s">
        <v>453</v>
      </c>
    </row>
    <row r="33278" spans="1:3">
      <c r="A33278" s="250">
        <v>77205</v>
      </c>
      <c r="B33278" s="74" t="s">
        <v>4063</v>
      </c>
      <c r="C33278" s="74" t="s">
        <v>453</v>
      </c>
    </row>
    <row r="33279" spans="1:3">
      <c r="A33279" s="250">
        <v>77206</v>
      </c>
      <c r="B33279" s="74" t="s">
        <v>4063</v>
      </c>
      <c r="C33279" s="74" t="s">
        <v>453</v>
      </c>
    </row>
    <row r="33280" spans="1:3">
      <c r="A33280" s="250">
        <v>77207</v>
      </c>
      <c r="B33280" s="74" t="s">
        <v>4063</v>
      </c>
      <c r="C33280" s="74" t="s">
        <v>453</v>
      </c>
    </row>
    <row r="33281" spans="1:3">
      <c r="A33281" s="250">
        <v>77208</v>
      </c>
      <c r="B33281" s="74" t="s">
        <v>4063</v>
      </c>
      <c r="C33281" s="74" t="s">
        <v>453</v>
      </c>
    </row>
    <row r="33282" spans="1:3">
      <c r="A33282" s="250">
        <v>77209</v>
      </c>
      <c r="B33282" s="74" t="s">
        <v>4063</v>
      </c>
      <c r="C33282" s="74" t="s">
        <v>453</v>
      </c>
    </row>
    <row r="33283" spans="1:3">
      <c r="A33283" s="250">
        <v>77210</v>
      </c>
      <c r="B33283" s="74" t="s">
        <v>4063</v>
      </c>
      <c r="C33283" s="74" t="s">
        <v>453</v>
      </c>
    </row>
    <row r="33284" spans="1:3">
      <c r="A33284" s="250">
        <v>77212</v>
      </c>
      <c r="B33284" s="74" t="s">
        <v>4063</v>
      </c>
      <c r="C33284" s="74" t="s">
        <v>453</v>
      </c>
    </row>
    <row r="33285" spans="1:3">
      <c r="A33285" s="250">
        <v>77213</v>
      </c>
      <c r="B33285" s="74" t="s">
        <v>4063</v>
      </c>
      <c r="C33285" s="74" t="s">
        <v>453</v>
      </c>
    </row>
    <row r="33286" spans="1:3">
      <c r="A33286" s="250">
        <v>77215</v>
      </c>
      <c r="B33286" s="74" t="s">
        <v>4063</v>
      </c>
      <c r="C33286" s="74" t="s">
        <v>453</v>
      </c>
    </row>
    <row r="33287" spans="1:3">
      <c r="A33287" s="250">
        <v>77216</v>
      </c>
      <c r="B33287" s="74" t="s">
        <v>4063</v>
      </c>
      <c r="C33287" s="74" t="s">
        <v>453</v>
      </c>
    </row>
    <row r="33288" spans="1:3">
      <c r="A33288" s="250">
        <v>77217</v>
      </c>
      <c r="B33288" s="74" t="s">
        <v>4063</v>
      </c>
      <c r="C33288" s="74" t="s">
        <v>453</v>
      </c>
    </row>
    <row r="33289" spans="1:3">
      <c r="A33289" s="250">
        <v>77218</v>
      </c>
      <c r="B33289" s="74" t="s">
        <v>4063</v>
      </c>
      <c r="C33289" s="74" t="s">
        <v>453</v>
      </c>
    </row>
    <row r="33290" spans="1:3">
      <c r="A33290" s="250">
        <v>77219</v>
      </c>
      <c r="B33290" s="74" t="s">
        <v>4063</v>
      </c>
      <c r="C33290" s="74" t="s">
        <v>453</v>
      </c>
    </row>
    <row r="33291" spans="1:3">
      <c r="A33291" s="250">
        <v>77220</v>
      </c>
      <c r="B33291" s="74" t="s">
        <v>4063</v>
      </c>
      <c r="C33291" s="74" t="s">
        <v>453</v>
      </c>
    </row>
    <row r="33292" spans="1:3">
      <c r="A33292" s="250">
        <v>77221</v>
      </c>
      <c r="B33292" s="74" t="s">
        <v>4063</v>
      </c>
      <c r="C33292" s="74" t="s">
        <v>453</v>
      </c>
    </row>
    <row r="33293" spans="1:3">
      <c r="A33293" s="250">
        <v>77222</v>
      </c>
      <c r="B33293" s="74" t="s">
        <v>4063</v>
      </c>
      <c r="C33293" s="74" t="s">
        <v>453</v>
      </c>
    </row>
    <row r="33294" spans="1:3">
      <c r="A33294" s="250">
        <v>77223</v>
      </c>
      <c r="B33294" s="74" t="s">
        <v>4063</v>
      </c>
      <c r="C33294" s="74" t="s">
        <v>453</v>
      </c>
    </row>
    <row r="33295" spans="1:3">
      <c r="A33295" s="250">
        <v>77224</v>
      </c>
      <c r="B33295" s="74" t="s">
        <v>4063</v>
      </c>
      <c r="C33295" s="74" t="s">
        <v>453</v>
      </c>
    </row>
    <row r="33296" spans="1:3">
      <c r="A33296" s="250">
        <v>77225</v>
      </c>
      <c r="B33296" s="74" t="s">
        <v>4063</v>
      </c>
      <c r="C33296" s="74" t="s">
        <v>453</v>
      </c>
    </row>
    <row r="33297" spans="1:3">
      <c r="A33297" s="250">
        <v>77226</v>
      </c>
      <c r="B33297" s="74" t="s">
        <v>4063</v>
      </c>
      <c r="C33297" s="74" t="s">
        <v>453</v>
      </c>
    </row>
    <row r="33298" spans="1:3">
      <c r="A33298" s="250">
        <v>77227</v>
      </c>
      <c r="B33298" s="74" t="s">
        <v>4063</v>
      </c>
      <c r="C33298" s="74" t="s">
        <v>453</v>
      </c>
    </row>
    <row r="33299" spans="1:3">
      <c r="A33299" s="250">
        <v>77228</v>
      </c>
      <c r="B33299" s="74" t="s">
        <v>4063</v>
      </c>
      <c r="C33299" s="74" t="s">
        <v>453</v>
      </c>
    </row>
    <row r="33300" spans="1:3">
      <c r="A33300" s="250">
        <v>77229</v>
      </c>
      <c r="B33300" s="74" t="s">
        <v>4063</v>
      </c>
      <c r="C33300" s="74" t="s">
        <v>453</v>
      </c>
    </row>
    <row r="33301" spans="1:3">
      <c r="A33301" s="250">
        <v>77230</v>
      </c>
      <c r="B33301" s="74" t="s">
        <v>4063</v>
      </c>
      <c r="C33301" s="74" t="s">
        <v>453</v>
      </c>
    </row>
    <row r="33302" spans="1:3">
      <c r="A33302" s="250">
        <v>77231</v>
      </c>
      <c r="B33302" s="74" t="s">
        <v>4063</v>
      </c>
      <c r="C33302" s="74" t="s">
        <v>453</v>
      </c>
    </row>
    <row r="33303" spans="1:3">
      <c r="A33303" s="250">
        <v>77233</v>
      </c>
      <c r="B33303" s="74" t="s">
        <v>4063</v>
      </c>
      <c r="C33303" s="74" t="s">
        <v>453</v>
      </c>
    </row>
    <row r="33304" spans="1:3">
      <c r="A33304" s="250">
        <v>77234</v>
      </c>
      <c r="B33304" s="74" t="s">
        <v>4063</v>
      </c>
      <c r="C33304" s="74" t="s">
        <v>453</v>
      </c>
    </row>
    <row r="33305" spans="1:3">
      <c r="A33305" s="250">
        <v>77235</v>
      </c>
      <c r="B33305" s="74" t="s">
        <v>4063</v>
      </c>
      <c r="C33305" s="74" t="s">
        <v>453</v>
      </c>
    </row>
    <row r="33306" spans="1:3">
      <c r="A33306" s="250">
        <v>77236</v>
      </c>
      <c r="B33306" s="74" t="s">
        <v>4063</v>
      </c>
      <c r="C33306" s="74" t="s">
        <v>453</v>
      </c>
    </row>
    <row r="33307" spans="1:3">
      <c r="A33307" s="250">
        <v>77237</v>
      </c>
      <c r="B33307" s="74" t="s">
        <v>4063</v>
      </c>
      <c r="C33307" s="74" t="s">
        <v>453</v>
      </c>
    </row>
    <row r="33308" spans="1:3">
      <c r="A33308" s="250">
        <v>77238</v>
      </c>
      <c r="B33308" s="74" t="s">
        <v>4063</v>
      </c>
      <c r="C33308" s="74" t="s">
        <v>453</v>
      </c>
    </row>
    <row r="33309" spans="1:3">
      <c r="A33309" s="250">
        <v>77240</v>
      </c>
      <c r="B33309" s="74" t="s">
        <v>4063</v>
      </c>
      <c r="C33309" s="74" t="s">
        <v>453</v>
      </c>
    </row>
    <row r="33310" spans="1:3">
      <c r="A33310" s="250">
        <v>77241</v>
      </c>
      <c r="B33310" s="74" t="s">
        <v>4063</v>
      </c>
      <c r="C33310" s="74" t="s">
        <v>453</v>
      </c>
    </row>
    <row r="33311" spans="1:3">
      <c r="A33311" s="250">
        <v>77242</v>
      </c>
      <c r="B33311" s="74" t="s">
        <v>4063</v>
      </c>
      <c r="C33311" s="74" t="s">
        <v>453</v>
      </c>
    </row>
    <row r="33312" spans="1:3">
      <c r="A33312" s="250">
        <v>77243</v>
      </c>
      <c r="B33312" s="74" t="s">
        <v>4063</v>
      </c>
      <c r="C33312" s="74" t="s">
        <v>453</v>
      </c>
    </row>
    <row r="33313" spans="1:3">
      <c r="A33313" s="250">
        <v>77244</v>
      </c>
      <c r="B33313" s="74" t="s">
        <v>4063</v>
      </c>
      <c r="C33313" s="74" t="s">
        <v>453</v>
      </c>
    </row>
    <row r="33314" spans="1:3">
      <c r="A33314" s="250">
        <v>77245</v>
      </c>
      <c r="B33314" s="74" t="s">
        <v>4063</v>
      </c>
      <c r="C33314" s="74" t="s">
        <v>453</v>
      </c>
    </row>
    <row r="33315" spans="1:3">
      <c r="A33315" s="250">
        <v>77246</v>
      </c>
      <c r="B33315" s="74" t="s">
        <v>4063</v>
      </c>
      <c r="C33315" s="74" t="s">
        <v>453</v>
      </c>
    </row>
    <row r="33316" spans="1:3">
      <c r="A33316" s="250">
        <v>77247</v>
      </c>
      <c r="B33316" s="74" t="s">
        <v>4063</v>
      </c>
      <c r="C33316" s="74" t="s">
        <v>453</v>
      </c>
    </row>
    <row r="33317" spans="1:3">
      <c r="A33317" s="250">
        <v>77248</v>
      </c>
      <c r="B33317" s="74" t="s">
        <v>4063</v>
      </c>
      <c r="C33317" s="74" t="s">
        <v>453</v>
      </c>
    </row>
    <row r="33318" spans="1:3">
      <c r="A33318" s="250">
        <v>77249</v>
      </c>
      <c r="B33318" s="74" t="s">
        <v>4063</v>
      </c>
      <c r="C33318" s="74" t="s">
        <v>453</v>
      </c>
    </row>
    <row r="33319" spans="1:3">
      <c r="A33319" s="250">
        <v>77250</v>
      </c>
      <c r="B33319" s="74" t="s">
        <v>4063</v>
      </c>
      <c r="C33319" s="74" t="s">
        <v>453</v>
      </c>
    </row>
    <row r="33320" spans="1:3">
      <c r="A33320" s="250">
        <v>77251</v>
      </c>
      <c r="B33320" s="74" t="s">
        <v>4063</v>
      </c>
      <c r="C33320" s="74" t="s">
        <v>453</v>
      </c>
    </row>
    <row r="33321" spans="1:3">
      <c r="A33321" s="250">
        <v>77252</v>
      </c>
      <c r="B33321" s="74" t="s">
        <v>4063</v>
      </c>
      <c r="C33321" s="74" t="s">
        <v>453</v>
      </c>
    </row>
    <row r="33322" spans="1:3">
      <c r="A33322" s="250">
        <v>77253</v>
      </c>
      <c r="B33322" s="74" t="s">
        <v>4063</v>
      </c>
      <c r="C33322" s="74" t="s">
        <v>453</v>
      </c>
    </row>
    <row r="33323" spans="1:3">
      <c r="A33323" s="250">
        <v>77254</v>
      </c>
      <c r="B33323" s="74" t="s">
        <v>4063</v>
      </c>
      <c r="C33323" s="74" t="s">
        <v>453</v>
      </c>
    </row>
    <row r="33324" spans="1:3">
      <c r="A33324" s="250">
        <v>77255</v>
      </c>
      <c r="B33324" s="74" t="s">
        <v>4063</v>
      </c>
      <c r="C33324" s="74" t="s">
        <v>453</v>
      </c>
    </row>
    <row r="33325" spans="1:3">
      <c r="A33325" s="250">
        <v>77256</v>
      </c>
      <c r="B33325" s="74" t="s">
        <v>4063</v>
      </c>
      <c r="C33325" s="74" t="s">
        <v>453</v>
      </c>
    </row>
    <row r="33326" spans="1:3">
      <c r="A33326" s="250">
        <v>77257</v>
      </c>
      <c r="B33326" s="74" t="s">
        <v>4063</v>
      </c>
      <c r="C33326" s="74" t="s">
        <v>453</v>
      </c>
    </row>
    <row r="33327" spans="1:3">
      <c r="A33327" s="250">
        <v>77258</v>
      </c>
      <c r="B33327" s="74" t="s">
        <v>4063</v>
      </c>
      <c r="C33327" s="74" t="s">
        <v>453</v>
      </c>
    </row>
    <row r="33328" spans="1:3">
      <c r="A33328" s="250">
        <v>77259</v>
      </c>
      <c r="B33328" s="74" t="s">
        <v>4063</v>
      </c>
      <c r="C33328" s="74" t="s">
        <v>453</v>
      </c>
    </row>
    <row r="33329" spans="1:3">
      <c r="A33329" s="250">
        <v>77260</v>
      </c>
      <c r="B33329" s="74" t="s">
        <v>4063</v>
      </c>
      <c r="C33329" s="74" t="s">
        <v>453</v>
      </c>
    </row>
    <row r="33330" spans="1:3">
      <c r="A33330" s="250">
        <v>77261</v>
      </c>
      <c r="B33330" s="74" t="s">
        <v>4063</v>
      </c>
      <c r="C33330" s="74" t="s">
        <v>453</v>
      </c>
    </row>
    <row r="33331" spans="1:3">
      <c r="A33331" s="250">
        <v>77262</v>
      </c>
      <c r="B33331" s="74" t="s">
        <v>4063</v>
      </c>
      <c r="C33331" s="74" t="s">
        <v>453</v>
      </c>
    </row>
    <row r="33332" spans="1:3">
      <c r="A33332" s="250">
        <v>77263</v>
      </c>
      <c r="B33332" s="74" t="s">
        <v>4063</v>
      </c>
      <c r="C33332" s="74" t="s">
        <v>453</v>
      </c>
    </row>
    <row r="33333" spans="1:3">
      <c r="A33333" s="250">
        <v>77265</v>
      </c>
      <c r="B33333" s="74" t="s">
        <v>4063</v>
      </c>
      <c r="C33333" s="74" t="s">
        <v>453</v>
      </c>
    </row>
    <row r="33334" spans="1:3">
      <c r="A33334" s="250">
        <v>77266</v>
      </c>
      <c r="B33334" s="74" t="s">
        <v>4063</v>
      </c>
      <c r="C33334" s="74" t="s">
        <v>453</v>
      </c>
    </row>
    <row r="33335" spans="1:3">
      <c r="A33335" s="250">
        <v>77267</v>
      </c>
      <c r="B33335" s="74" t="s">
        <v>4063</v>
      </c>
      <c r="C33335" s="74" t="s">
        <v>453</v>
      </c>
    </row>
    <row r="33336" spans="1:3">
      <c r="A33336" s="250">
        <v>77268</v>
      </c>
      <c r="B33336" s="74" t="s">
        <v>4063</v>
      </c>
      <c r="C33336" s="74" t="s">
        <v>453</v>
      </c>
    </row>
    <row r="33337" spans="1:3">
      <c r="A33337" s="250">
        <v>77269</v>
      </c>
      <c r="B33337" s="74" t="s">
        <v>4063</v>
      </c>
      <c r="C33337" s="74" t="s">
        <v>453</v>
      </c>
    </row>
    <row r="33338" spans="1:3">
      <c r="A33338" s="250">
        <v>77270</v>
      </c>
      <c r="B33338" s="74" t="s">
        <v>4063</v>
      </c>
      <c r="C33338" s="74" t="s">
        <v>453</v>
      </c>
    </row>
    <row r="33339" spans="1:3">
      <c r="A33339" s="250">
        <v>77271</v>
      </c>
      <c r="B33339" s="74" t="s">
        <v>4063</v>
      </c>
      <c r="C33339" s="74" t="s">
        <v>453</v>
      </c>
    </row>
    <row r="33340" spans="1:3">
      <c r="A33340" s="250">
        <v>77272</v>
      </c>
      <c r="B33340" s="74" t="s">
        <v>4063</v>
      </c>
      <c r="C33340" s="74" t="s">
        <v>453</v>
      </c>
    </row>
    <row r="33341" spans="1:3">
      <c r="A33341" s="250">
        <v>77273</v>
      </c>
      <c r="B33341" s="74" t="s">
        <v>4063</v>
      </c>
      <c r="C33341" s="74" t="s">
        <v>453</v>
      </c>
    </row>
    <row r="33342" spans="1:3">
      <c r="A33342" s="250">
        <v>77274</v>
      </c>
      <c r="B33342" s="74" t="s">
        <v>4063</v>
      </c>
      <c r="C33342" s="74" t="s">
        <v>453</v>
      </c>
    </row>
    <row r="33343" spans="1:3">
      <c r="A33343" s="250">
        <v>77275</v>
      </c>
      <c r="B33343" s="74" t="s">
        <v>4063</v>
      </c>
      <c r="C33343" s="74" t="s">
        <v>453</v>
      </c>
    </row>
    <row r="33344" spans="1:3">
      <c r="A33344" s="250">
        <v>77276</v>
      </c>
      <c r="B33344" s="74" t="s">
        <v>4063</v>
      </c>
      <c r="C33344" s="74" t="s">
        <v>453</v>
      </c>
    </row>
    <row r="33345" spans="1:3">
      <c r="A33345" s="250">
        <v>77277</v>
      </c>
      <c r="B33345" s="74" t="s">
        <v>4063</v>
      </c>
      <c r="C33345" s="74" t="s">
        <v>453</v>
      </c>
    </row>
    <row r="33346" spans="1:3">
      <c r="A33346" s="250">
        <v>77278</v>
      </c>
      <c r="B33346" s="74" t="s">
        <v>4063</v>
      </c>
      <c r="C33346" s="74" t="s">
        <v>453</v>
      </c>
    </row>
    <row r="33347" spans="1:3">
      <c r="A33347" s="250">
        <v>77279</v>
      </c>
      <c r="B33347" s="74" t="s">
        <v>4063</v>
      </c>
      <c r="C33347" s="74" t="s">
        <v>453</v>
      </c>
    </row>
    <row r="33348" spans="1:3">
      <c r="A33348" s="250">
        <v>77280</v>
      </c>
      <c r="B33348" s="74" t="s">
        <v>4063</v>
      </c>
      <c r="C33348" s="74" t="s">
        <v>453</v>
      </c>
    </row>
    <row r="33349" spans="1:3">
      <c r="A33349" s="250">
        <v>77282</v>
      </c>
      <c r="B33349" s="74" t="s">
        <v>4063</v>
      </c>
      <c r="C33349" s="74" t="s">
        <v>453</v>
      </c>
    </row>
    <row r="33350" spans="1:3">
      <c r="A33350" s="250">
        <v>77284</v>
      </c>
      <c r="B33350" s="74" t="s">
        <v>4063</v>
      </c>
      <c r="C33350" s="74" t="s">
        <v>453</v>
      </c>
    </row>
    <row r="33351" spans="1:3">
      <c r="A33351" s="250">
        <v>77285</v>
      </c>
      <c r="B33351" s="74" t="s">
        <v>4063</v>
      </c>
      <c r="C33351" s="74" t="s">
        <v>453</v>
      </c>
    </row>
    <row r="33352" spans="1:3">
      <c r="A33352" s="250">
        <v>77286</v>
      </c>
      <c r="B33352" s="74" t="s">
        <v>4063</v>
      </c>
      <c r="C33352" s="74" t="s">
        <v>453</v>
      </c>
    </row>
    <row r="33353" spans="1:3">
      <c r="A33353" s="250">
        <v>77287</v>
      </c>
      <c r="B33353" s="74" t="s">
        <v>4063</v>
      </c>
      <c r="C33353" s="74" t="s">
        <v>453</v>
      </c>
    </row>
    <row r="33354" spans="1:3">
      <c r="A33354" s="250">
        <v>77288</v>
      </c>
      <c r="B33354" s="74" t="s">
        <v>4063</v>
      </c>
      <c r="C33354" s="74" t="s">
        <v>453</v>
      </c>
    </row>
    <row r="33355" spans="1:3">
      <c r="A33355" s="250">
        <v>77289</v>
      </c>
      <c r="B33355" s="74" t="s">
        <v>4063</v>
      </c>
      <c r="C33355" s="74" t="s">
        <v>453</v>
      </c>
    </row>
    <row r="33356" spans="1:3">
      <c r="A33356" s="250">
        <v>77290</v>
      </c>
      <c r="B33356" s="74" t="s">
        <v>4063</v>
      </c>
      <c r="C33356" s="74" t="s">
        <v>453</v>
      </c>
    </row>
    <row r="33357" spans="1:3">
      <c r="A33357" s="250">
        <v>77291</v>
      </c>
      <c r="B33357" s="74" t="s">
        <v>4063</v>
      </c>
      <c r="C33357" s="74" t="s">
        <v>453</v>
      </c>
    </row>
    <row r="33358" spans="1:3">
      <c r="A33358" s="250">
        <v>77292</v>
      </c>
      <c r="B33358" s="74" t="s">
        <v>4063</v>
      </c>
      <c r="C33358" s="74" t="s">
        <v>453</v>
      </c>
    </row>
    <row r="33359" spans="1:3">
      <c r="A33359" s="250">
        <v>77293</v>
      </c>
      <c r="B33359" s="74" t="s">
        <v>4063</v>
      </c>
      <c r="C33359" s="74" t="s">
        <v>453</v>
      </c>
    </row>
    <row r="33360" spans="1:3">
      <c r="A33360" s="250">
        <v>77294</v>
      </c>
      <c r="B33360" s="74" t="s">
        <v>4063</v>
      </c>
      <c r="C33360" s="74" t="s">
        <v>453</v>
      </c>
    </row>
    <row r="33361" spans="1:3">
      <c r="A33361" s="250">
        <v>77296</v>
      </c>
      <c r="B33361" s="74" t="s">
        <v>4063</v>
      </c>
      <c r="C33361" s="74" t="s">
        <v>453</v>
      </c>
    </row>
    <row r="33362" spans="1:3">
      <c r="A33362" s="250">
        <v>77297</v>
      </c>
      <c r="B33362" s="74" t="s">
        <v>4063</v>
      </c>
      <c r="C33362" s="74" t="s">
        <v>453</v>
      </c>
    </row>
    <row r="33363" spans="1:3">
      <c r="A33363" s="250">
        <v>77298</v>
      </c>
      <c r="B33363" s="74" t="s">
        <v>4063</v>
      </c>
      <c r="C33363" s="74" t="s">
        <v>453</v>
      </c>
    </row>
    <row r="33364" spans="1:3">
      <c r="A33364" s="250">
        <v>77299</v>
      </c>
      <c r="B33364" s="74" t="s">
        <v>4063</v>
      </c>
      <c r="C33364" s="74" t="s">
        <v>453</v>
      </c>
    </row>
    <row r="33365" spans="1:3">
      <c r="A33365" s="250">
        <v>77301</v>
      </c>
      <c r="B33365" s="74" t="s">
        <v>16121</v>
      </c>
      <c r="C33365" s="74" t="s">
        <v>453</v>
      </c>
    </row>
    <row r="33366" spans="1:3">
      <c r="A33366" s="250">
        <v>77302</v>
      </c>
      <c r="B33366" s="74" t="s">
        <v>16121</v>
      </c>
      <c r="C33366" s="74" t="s">
        <v>453</v>
      </c>
    </row>
    <row r="33367" spans="1:3">
      <c r="A33367" s="250">
        <v>77303</v>
      </c>
      <c r="B33367" s="74" t="s">
        <v>16121</v>
      </c>
      <c r="C33367" s="74" t="s">
        <v>453</v>
      </c>
    </row>
    <row r="33368" spans="1:3">
      <c r="A33368" s="250">
        <v>77304</v>
      </c>
      <c r="B33368" s="74" t="s">
        <v>16121</v>
      </c>
      <c r="C33368" s="74" t="s">
        <v>453</v>
      </c>
    </row>
    <row r="33369" spans="1:3">
      <c r="A33369" s="250">
        <v>77305</v>
      </c>
      <c r="B33369" s="74" t="s">
        <v>16121</v>
      </c>
      <c r="C33369" s="74" t="s">
        <v>453</v>
      </c>
    </row>
    <row r="33370" spans="1:3">
      <c r="A33370" s="250">
        <v>77306</v>
      </c>
      <c r="B33370" s="74" t="s">
        <v>16121</v>
      </c>
      <c r="C33370" s="74" t="s">
        <v>453</v>
      </c>
    </row>
    <row r="33371" spans="1:3">
      <c r="A33371" s="250">
        <v>77315</v>
      </c>
      <c r="B33371" s="74" t="s">
        <v>16122</v>
      </c>
      <c r="C33371" s="74" t="s">
        <v>453</v>
      </c>
    </row>
    <row r="33372" spans="1:3">
      <c r="A33372" s="250">
        <v>77316</v>
      </c>
      <c r="B33372" s="74" t="s">
        <v>1821</v>
      </c>
      <c r="C33372" s="74" t="s">
        <v>453</v>
      </c>
    </row>
    <row r="33373" spans="1:3">
      <c r="A33373" s="250">
        <v>77318</v>
      </c>
      <c r="B33373" s="74" t="s">
        <v>6376</v>
      </c>
      <c r="C33373" s="74" t="s">
        <v>453</v>
      </c>
    </row>
    <row r="33374" spans="1:3">
      <c r="A33374" s="250">
        <v>77320</v>
      </c>
      <c r="B33374" s="74" t="s">
        <v>8758</v>
      </c>
      <c r="C33374" s="74" t="s">
        <v>453</v>
      </c>
    </row>
    <row r="33375" spans="1:3">
      <c r="A33375" s="250">
        <v>77325</v>
      </c>
      <c r="B33375" s="74" t="s">
        <v>6971</v>
      </c>
      <c r="C33375" s="74" t="s">
        <v>453</v>
      </c>
    </row>
    <row r="33376" spans="1:3">
      <c r="A33376" s="250">
        <v>77326</v>
      </c>
      <c r="B33376" s="74" t="s">
        <v>16123</v>
      </c>
      <c r="C33376" s="74" t="s">
        <v>453</v>
      </c>
    </row>
    <row r="33377" spans="1:3">
      <c r="A33377" s="250">
        <v>77327</v>
      </c>
      <c r="B33377" s="74" t="s">
        <v>3350</v>
      </c>
      <c r="C33377" s="74" t="s">
        <v>453</v>
      </c>
    </row>
    <row r="33378" spans="1:3">
      <c r="A33378" s="250">
        <v>77328</v>
      </c>
      <c r="B33378" s="74" t="s">
        <v>3350</v>
      </c>
      <c r="C33378" s="74" t="s">
        <v>453</v>
      </c>
    </row>
    <row r="33379" spans="1:3">
      <c r="A33379" s="250">
        <v>77331</v>
      </c>
      <c r="B33379" s="74" t="s">
        <v>16124</v>
      </c>
      <c r="C33379" s="74" t="s">
        <v>453</v>
      </c>
    </row>
    <row r="33380" spans="1:3">
      <c r="A33380" s="250">
        <v>77332</v>
      </c>
      <c r="B33380" s="74" t="s">
        <v>16125</v>
      </c>
      <c r="C33380" s="74" t="s">
        <v>453</v>
      </c>
    </row>
    <row r="33381" spans="1:3">
      <c r="A33381" s="250">
        <v>77333</v>
      </c>
      <c r="B33381" s="74" t="s">
        <v>16126</v>
      </c>
      <c r="C33381" s="74" t="s">
        <v>453</v>
      </c>
    </row>
    <row r="33382" spans="1:3">
      <c r="A33382" s="250">
        <v>77334</v>
      </c>
      <c r="B33382" s="74" t="s">
        <v>12236</v>
      </c>
      <c r="C33382" s="74" t="s">
        <v>453</v>
      </c>
    </row>
    <row r="33383" spans="1:3">
      <c r="A33383" s="250">
        <v>77335</v>
      </c>
      <c r="B33383" s="74" t="s">
        <v>11067</v>
      </c>
      <c r="C33383" s="74" t="s">
        <v>453</v>
      </c>
    </row>
    <row r="33384" spans="1:3">
      <c r="A33384" s="250">
        <v>77336</v>
      </c>
      <c r="B33384" s="74" t="s">
        <v>16127</v>
      </c>
      <c r="C33384" s="74" t="s">
        <v>453</v>
      </c>
    </row>
    <row r="33385" spans="1:3">
      <c r="A33385" s="250">
        <v>77337</v>
      </c>
      <c r="B33385" s="74" t="s">
        <v>16128</v>
      </c>
      <c r="C33385" s="74" t="s">
        <v>453</v>
      </c>
    </row>
    <row r="33386" spans="1:3">
      <c r="A33386" s="250">
        <v>77338</v>
      </c>
      <c r="B33386" s="74" t="s">
        <v>16129</v>
      </c>
      <c r="C33386" s="74" t="s">
        <v>453</v>
      </c>
    </row>
    <row r="33387" spans="1:3">
      <c r="A33387" s="250">
        <v>77339</v>
      </c>
      <c r="B33387" s="74" t="s">
        <v>6971</v>
      </c>
      <c r="C33387" s="74" t="s">
        <v>453</v>
      </c>
    </row>
    <row r="33388" spans="1:3">
      <c r="A33388" s="250">
        <v>77340</v>
      </c>
      <c r="B33388" s="74" t="s">
        <v>8758</v>
      </c>
      <c r="C33388" s="74" t="s">
        <v>453</v>
      </c>
    </row>
    <row r="33389" spans="1:3">
      <c r="A33389" s="250">
        <v>77341</v>
      </c>
      <c r="B33389" s="74" t="s">
        <v>8758</v>
      </c>
      <c r="C33389" s="74" t="s">
        <v>453</v>
      </c>
    </row>
    <row r="33390" spans="1:3">
      <c r="A33390" s="250">
        <v>77342</v>
      </c>
      <c r="B33390" s="74" t="s">
        <v>8758</v>
      </c>
      <c r="C33390" s="74" t="s">
        <v>453</v>
      </c>
    </row>
    <row r="33391" spans="1:3">
      <c r="A33391" s="250">
        <v>77343</v>
      </c>
      <c r="B33391" s="74" t="s">
        <v>8758</v>
      </c>
      <c r="C33391" s="74" t="s">
        <v>453</v>
      </c>
    </row>
    <row r="33392" spans="1:3">
      <c r="A33392" s="250">
        <v>77344</v>
      </c>
      <c r="B33392" s="74" t="s">
        <v>8758</v>
      </c>
      <c r="C33392" s="74" t="s">
        <v>453</v>
      </c>
    </row>
    <row r="33393" spans="1:3">
      <c r="A33393" s="250">
        <v>77345</v>
      </c>
      <c r="B33393" s="74" t="s">
        <v>6971</v>
      </c>
      <c r="C33393" s="74" t="s">
        <v>453</v>
      </c>
    </row>
    <row r="33394" spans="1:3">
      <c r="A33394" s="250">
        <v>77346</v>
      </c>
      <c r="B33394" s="74" t="s">
        <v>16129</v>
      </c>
      <c r="C33394" s="74" t="s">
        <v>453</v>
      </c>
    </row>
    <row r="33395" spans="1:3">
      <c r="A33395" s="250">
        <v>77347</v>
      </c>
      <c r="B33395" s="74" t="s">
        <v>16129</v>
      </c>
      <c r="C33395" s="74" t="s">
        <v>453</v>
      </c>
    </row>
    <row r="33396" spans="1:3">
      <c r="A33396" s="250">
        <v>77348</v>
      </c>
      <c r="B33396" s="74" t="s">
        <v>8758</v>
      </c>
      <c r="C33396" s="74" t="s">
        <v>453</v>
      </c>
    </row>
    <row r="33397" spans="1:3">
      <c r="A33397" s="250">
        <v>77349</v>
      </c>
      <c r="B33397" s="74" t="s">
        <v>8758</v>
      </c>
      <c r="C33397" s="74" t="s">
        <v>453</v>
      </c>
    </row>
    <row r="33398" spans="1:3">
      <c r="A33398" s="250">
        <v>77350</v>
      </c>
      <c r="B33398" s="74" t="s">
        <v>16130</v>
      </c>
      <c r="C33398" s="74" t="s">
        <v>453</v>
      </c>
    </row>
    <row r="33399" spans="1:3">
      <c r="A33399" s="250">
        <v>77351</v>
      </c>
      <c r="B33399" s="74" t="s">
        <v>2135</v>
      </c>
      <c r="C33399" s="74" t="s">
        <v>453</v>
      </c>
    </row>
    <row r="33400" spans="1:3">
      <c r="A33400" s="250">
        <v>77353</v>
      </c>
      <c r="B33400" s="74" t="s">
        <v>2398</v>
      </c>
      <c r="C33400" s="74" t="s">
        <v>453</v>
      </c>
    </row>
    <row r="33401" spans="1:3">
      <c r="A33401" s="250">
        <v>77354</v>
      </c>
      <c r="B33401" s="74" t="s">
        <v>2398</v>
      </c>
      <c r="C33401" s="74" t="s">
        <v>453</v>
      </c>
    </row>
    <row r="33402" spans="1:3">
      <c r="A33402" s="250">
        <v>77355</v>
      </c>
      <c r="B33402" s="74" t="s">
        <v>2398</v>
      </c>
      <c r="C33402" s="74" t="s">
        <v>453</v>
      </c>
    </row>
    <row r="33403" spans="1:3">
      <c r="A33403" s="250">
        <v>77356</v>
      </c>
      <c r="B33403" s="74" t="s">
        <v>1821</v>
      </c>
      <c r="C33403" s="74" t="s">
        <v>453</v>
      </c>
    </row>
    <row r="33404" spans="1:3">
      <c r="A33404" s="250">
        <v>77357</v>
      </c>
      <c r="B33404" s="74" t="s">
        <v>16131</v>
      </c>
      <c r="C33404" s="74" t="s">
        <v>453</v>
      </c>
    </row>
    <row r="33405" spans="1:3">
      <c r="A33405" s="250">
        <v>77358</v>
      </c>
      <c r="B33405" s="74" t="s">
        <v>10779</v>
      </c>
      <c r="C33405" s="74" t="s">
        <v>453</v>
      </c>
    </row>
    <row r="33406" spans="1:3">
      <c r="A33406" s="250">
        <v>77359</v>
      </c>
      <c r="B33406" s="74" t="s">
        <v>2284</v>
      </c>
      <c r="C33406" s="74" t="s">
        <v>453</v>
      </c>
    </row>
    <row r="33407" spans="1:3">
      <c r="A33407" s="250">
        <v>77360</v>
      </c>
      <c r="B33407" s="74" t="s">
        <v>12248</v>
      </c>
      <c r="C33407" s="74" t="s">
        <v>453</v>
      </c>
    </row>
    <row r="33408" spans="1:3">
      <c r="A33408" s="250">
        <v>77362</v>
      </c>
      <c r="B33408" s="74" t="s">
        <v>824</v>
      </c>
      <c r="C33408" s="74" t="s">
        <v>453</v>
      </c>
    </row>
    <row r="33409" spans="1:3">
      <c r="A33409" s="250">
        <v>77363</v>
      </c>
      <c r="B33409" s="74" t="s">
        <v>8946</v>
      </c>
      <c r="C33409" s="74" t="s">
        <v>453</v>
      </c>
    </row>
    <row r="33410" spans="1:3">
      <c r="A33410" s="250">
        <v>77364</v>
      </c>
      <c r="B33410" s="74" t="s">
        <v>16132</v>
      </c>
      <c r="C33410" s="74" t="s">
        <v>453</v>
      </c>
    </row>
    <row r="33411" spans="1:3">
      <c r="A33411" s="250">
        <v>77365</v>
      </c>
      <c r="B33411" s="74" t="s">
        <v>1404</v>
      </c>
      <c r="C33411" s="74" t="s">
        <v>453</v>
      </c>
    </row>
    <row r="33412" spans="1:3">
      <c r="A33412" s="250">
        <v>77367</v>
      </c>
      <c r="B33412" s="74" t="s">
        <v>1147</v>
      </c>
      <c r="C33412" s="74" t="s">
        <v>453</v>
      </c>
    </row>
    <row r="33413" spans="1:3">
      <c r="A33413" s="250">
        <v>77368</v>
      </c>
      <c r="B33413" s="74" t="s">
        <v>16133</v>
      </c>
      <c r="C33413" s="74" t="s">
        <v>453</v>
      </c>
    </row>
    <row r="33414" spans="1:3">
      <c r="A33414" s="250">
        <v>77369</v>
      </c>
      <c r="B33414" s="74" t="s">
        <v>1334</v>
      </c>
      <c r="C33414" s="74" t="s">
        <v>453</v>
      </c>
    </row>
    <row r="33415" spans="1:3">
      <c r="A33415" s="250">
        <v>77371</v>
      </c>
      <c r="B33415" s="74" t="s">
        <v>11179</v>
      </c>
      <c r="C33415" s="74" t="s">
        <v>453</v>
      </c>
    </row>
    <row r="33416" spans="1:3">
      <c r="A33416" s="250">
        <v>77372</v>
      </c>
      <c r="B33416" s="74" t="s">
        <v>16134</v>
      </c>
      <c r="C33416" s="74" t="s">
        <v>453</v>
      </c>
    </row>
    <row r="33417" spans="1:3">
      <c r="A33417" s="250">
        <v>77373</v>
      </c>
      <c r="B33417" s="74" t="s">
        <v>16135</v>
      </c>
      <c r="C33417" s="74" t="s">
        <v>453</v>
      </c>
    </row>
    <row r="33418" spans="1:3">
      <c r="A33418" s="250">
        <v>77374</v>
      </c>
      <c r="B33418" s="74" t="s">
        <v>16136</v>
      </c>
      <c r="C33418" s="74" t="s">
        <v>453</v>
      </c>
    </row>
    <row r="33419" spans="1:3">
      <c r="A33419" s="250">
        <v>77375</v>
      </c>
      <c r="B33419" s="74" t="s">
        <v>16137</v>
      </c>
      <c r="C33419" s="74" t="s">
        <v>453</v>
      </c>
    </row>
    <row r="33420" spans="1:3">
      <c r="A33420" s="250">
        <v>77376</v>
      </c>
      <c r="B33420" s="74" t="s">
        <v>16138</v>
      </c>
      <c r="C33420" s="74" t="s">
        <v>453</v>
      </c>
    </row>
    <row r="33421" spans="1:3">
      <c r="A33421" s="250">
        <v>77377</v>
      </c>
      <c r="B33421" s="74" t="s">
        <v>16137</v>
      </c>
      <c r="C33421" s="74" t="s">
        <v>453</v>
      </c>
    </row>
    <row r="33422" spans="1:3">
      <c r="A33422" s="250">
        <v>77378</v>
      </c>
      <c r="B33422" s="74" t="s">
        <v>6376</v>
      </c>
      <c r="C33422" s="74" t="s">
        <v>453</v>
      </c>
    </row>
    <row r="33423" spans="1:3">
      <c r="A33423" s="250">
        <v>77379</v>
      </c>
      <c r="B33423" s="74" t="s">
        <v>16135</v>
      </c>
      <c r="C33423" s="74" t="s">
        <v>453</v>
      </c>
    </row>
    <row r="33424" spans="1:3">
      <c r="A33424" s="250">
        <v>77380</v>
      </c>
      <c r="B33424" s="74" t="s">
        <v>16135</v>
      </c>
      <c r="C33424" s="74" t="s">
        <v>453</v>
      </c>
    </row>
    <row r="33425" spans="1:3">
      <c r="A33425" s="250">
        <v>77381</v>
      </c>
      <c r="B33425" s="74" t="s">
        <v>16135</v>
      </c>
      <c r="C33425" s="74" t="s">
        <v>453</v>
      </c>
    </row>
    <row r="33426" spans="1:3">
      <c r="A33426" s="250">
        <v>77382</v>
      </c>
      <c r="B33426" s="74" t="s">
        <v>16135</v>
      </c>
      <c r="C33426" s="74" t="s">
        <v>453</v>
      </c>
    </row>
    <row r="33427" spans="1:3">
      <c r="A33427" s="250">
        <v>77383</v>
      </c>
      <c r="B33427" s="74" t="s">
        <v>16135</v>
      </c>
      <c r="C33427" s="74" t="s">
        <v>453</v>
      </c>
    </row>
    <row r="33428" spans="1:3">
      <c r="A33428" s="250">
        <v>77384</v>
      </c>
      <c r="B33428" s="74" t="s">
        <v>16121</v>
      </c>
      <c r="C33428" s="74" t="s">
        <v>453</v>
      </c>
    </row>
    <row r="33429" spans="1:3">
      <c r="A33429" s="250">
        <v>77385</v>
      </c>
      <c r="B33429" s="74" t="s">
        <v>16121</v>
      </c>
      <c r="C33429" s="74" t="s">
        <v>453</v>
      </c>
    </row>
    <row r="33430" spans="1:3">
      <c r="A33430" s="250">
        <v>77386</v>
      </c>
      <c r="B33430" s="74" t="s">
        <v>16135</v>
      </c>
      <c r="C33430" s="74" t="s">
        <v>453</v>
      </c>
    </row>
    <row r="33431" spans="1:3">
      <c r="A33431" s="250">
        <v>77387</v>
      </c>
      <c r="B33431" s="74" t="s">
        <v>16135</v>
      </c>
      <c r="C33431" s="74" t="s">
        <v>453</v>
      </c>
    </row>
    <row r="33432" spans="1:3">
      <c r="A33432" s="250">
        <v>77388</v>
      </c>
      <c r="B33432" s="74" t="s">
        <v>16135</v>
      </c>
      <c r="C33432" s="74" t="s">
        <v>453</v>
      </c>
    </row>
    <row r="33433" spans="1:3">
      <c r="A33433" s="250">
        <v>77389</v>
      </c>
      <c r="B33433" s="74" t="s">
        <v>16135</v>
      </c>
      <c r="C33433" s="74" t="s">
        <v>453</v>
      </c>
    </row>
    <row r="33434" spans="1:3">
      <c r="A33434" s="250">
        <v>77391</v>
      </c>
      <c r="B33434" s="74" t="s">
        <v>16135</v>
      </c>
      <c r="C33434" s="74" t="s">
        <v>453</v>
      </c>
    </row>
    <row r="33435" spans="1:3">
      <c r="A33435" s="250">
        <v>77393</v>
      </c>
      <c r="B33435" s="74" t="s">
        <v>16135</v>
      </c>
      <c r="C33435" s="74" t="s">
        <v>453</v>
      </c>
    </row>
    <row r="33436" spans="1:3">
      <c r="A33436" s="250">
        <v>77396</v>
      </c>
      <c r="B33436" s="74" t="s">
        <v>16129</v>
      </c>
      <c r="C33436" s="74" t="s">
        <v>453</v>
      </c>
    </row>
    <row r="33437" spans="1:3">
      <c r="A33437" s="250">
        <v>77399</v>
      </c>
      <c r="B33437" s="74" t="s">
        <v>2135</v>
      </c>
      <c r="C33437" s="74" t="s">
        <v>453</v>
      </c>
    </row>
    <row r="33438" spans="1:3">
      <c r="A33438" s="250">
        <v>77401</v>
      </c>
      <c r="B33438" s="74" t="s">
        <v>10264</v>
      </c>
      <c r="C33438" s="74" t="s">
        <v>453</v>
      </c>
    </row>
    <row r="33439" spans="1:3">
      <c r="A33439" s="250">
        <v>77402</v>
      </c>
      <c r="B33439" s="74" t="s">
        <v>10264</v>
      </c>
      <c r="C33439" s="74" t="s">
        <v>453</v>
      </c>
    </row>
    <row r="33440" spans="1:3">
      <c r="A33440" s="250">
        <v>77404</v>
      </c>
      <c r="B33440" s="74" t="s">
        <v>11114</v>
      </c>
      <c r="C33440" s="74" t="s">
        <v>453</v>
      </c>
    </row>
    <row r="33441" spans="1:3">
      <c r="A33441" s="250">
        <v>77406</v>
      </c>
      <c r="B33441" s="74" t="s">
        <v>658</v>
      </c>
      <c r="C33441" s="74" t="s">
        <v>453</v>
      </c>
    </row>
    <row r="33442" spans="1:3">
      <c r="A33442" s="250">
        <v>77407</v>
      </c>
      <c r="B33442" s="74" t="s">
        <v>658</v>
      </c>
      <c r="C33442" s="74" t="s">
        <v>453</v>
      </c>
    </row>
    <row r="33443" spans="1:3">
      <c r="A33443" s="250">
        <v>77410</v>
      </c>
      <c r="B33443" s="74" t="s">
        <v>8303</v>
      </c>
      <c r="C33443" s="74" t="s">
        <v>453</v>
      </c>
    </row>
    <row r="33444" spans="1:3">
      <c r="A33444" s="250">
        <v>77411</v>
      </c>
      <c r="B33444" s="74" t="s">
        <v>16139</v>
      </c>
      <c r="C33444" s="74" t="s">
        <v>453</v>
      </c>
    </row>
    <row r="33445" spans="1:3">
      <c r="A33445" s="250">
        <v>77412</v>
      </c>
      <c r="B33445" s="74" t="s">
        <v>16140</v>
      </c>
      <c r="C33445" s="74" t="s">
        <v>453</v>
      </c>
    </row>
    <row r="33446" spans="1:3">
      <c r="A33446" s="250">
        <v>77413</v>
      </c>
      <c r="B33446" s="74" t="s">
        <v>3675</v>
      </c>
      <c r="C33446" s="74" t="s">
        <v>453</v>
      </c>
    </row>
    <row r="33447" spans="1:3">
      <c r="A33447" s="250">
        <v>77414</v>
      </c>
      <c r="B33447" s="74" t="s">
        <v>11114</v>
      </c>
      <c r="C33447" s="74" t="s">
        <v>453</v>
      </c>
    </row>
    <row r="33448" spans="1:3">
      <c r="A33448" s="250">
        <v>77415</v>
      </c>
      <c r="B33448" s="74" t="s">
        <v>16141</v>
      </c>
      <c r="C33448" s="74" t="s">
        <v>453</v>
      </c>
    </row>
    <row r="33449" spans="1:3">
      <c r="A33449" s="250">
        <v>77417</v>
      </c>
      <c r="B33449" s="74" t="s">
        <v>16142</v>
      </c>
      <c r="C33449" s="74" t="s">
        <v>453</v>
      </c>
    </row>
    <row r="33450" spans="1:3">
      <c r="A33450" s="250">
        <v>77418</v>
      </c>
      <c r="B33450" s="74" t="s">
        <v>7936</v>
      </c>
      <c r="C33450" s="74" t="s">
        <v>453</v>
      </c>
    </row>
    <row r="33451" spans="1:3">
      <c r="A33451" s="250">
        <v>77419</v>
      </c>
      <c r="B33451" s="74" t="s">
        <v>16143</v>
      </c>
      <c r="C33451" s="74" t="s">
        <v>453</v>
      </c>
    </row>
    <row r="33452" spans="1:3">
      <c r="A33452" s="250">
        <v>77420</v>
      </c>
      <c r="B33452" s="74" t="s">
        <v>16144</v>
      </c>
      <c r="C33452" s="74" t="s">
        <v>453</v>
      </c>
    </row>
    <row r="33453" spans="1:3">
      <c r="A33453" s="250">
        <v>77422</v>
      </c>
      <c r="B33453" s="74" t="s">
        <v>16145</v>
      </c>
      <c r="C33453" s="74" t="s">
        <v>453</v>
      </c>
    </row>
    <row r="33454" spans="1:3">
      <c r="A33454" s="250">
        <v>77423</v>
      </c>
      <c r="B33454" s="74" t="s">
        <v>16146</v>
      </c>
      <c r="C33454" s="74" t="s">
        <v>453</v>
      </c>
    </row>
    <row r="33455" spans="1:3">
      <c r="A33455" s="250">
        <v>77426</v>
      </c>
      <c r="B33455" s="74" t="s">
        <v>16147</v>
      </c>
      <c r="C33455" s="74" t="s">
        <v>453</v>
      </c>
    </row>
    <row r="33456" spans="1:3">
      <c r="A33456" s="250">
        <v>77428</v>
      </c>
      <c r="B33456" s="74" t="s">
        <v>16148</v>
      </c>
      <c r="C33456" s="74" t="s">
        <v>453</v>
      </c>
    </row>
    <row r="33457" spans="1:3">
      <c r="A33457" s="250">
        <v>77429</v>
      </c>
      <c r="B33457" s="74" t="s">
        <v>8303</v>
      </c>
      <c r="C33457" s="74" t="s">
        <v>453</v>
      </c>
    </row>
    <row r="33458" spans="1:3">
      <c r="A33458" s="250">
        <v>77430</v>
      </c>
      <c r="B33458" s="74" t="s">
        <v>16149</v>
      </c>
      <c r="C33458" s="74" t="s">
        <v>453</v>
      </c>
    </row>
    <row r="33459" spans="1:3">
      <c r="A33459" s="250">
        <v>77431</v>
      </c>
      <c r="B33459" s="74" t="s">
        <v>16150</v>
      </c>
      <c r="C33459" s="74" t="s">
        <v>453</v>
      </c>
    </row>
    <row r="33460" spans="1:3">
      <c r="A33460" s="250">
        <v>77432</v>
      </c>
      <c r="B33460" s="74" t="s">
        <v>16151</v>
      </c>
      <c r="C33460" s="74" t="s">
        <v>453</v>
      </c>
    </row>
    <row r="33461" spans="1:3">
      <c r="A33461" s="250">
        <v>77433</v>
      </c>
      <c r="B33461" s="74" t="s">
        <v>8303</v>
      </c>
      <c r="C33461" s="74" t="s">
        <v>453</v>
      </c>
    </row>
    <row r="33462" spans="1:3">
      <c r="A33462" s="250">
        <v>77434</v>
      </c>
      <c r="B33462" s="74" t="s">
        <v>1627</v>
      </c>
      <c r="C33462" s="74" t="s">
        <v>453</v>
      </c>
    </row>
    <row r="33463" spans="1:3">
      <c r="A33463" s="250">
        <v>77435</v>
      </c>
      <c r="B33463" s="74" t="s">
        <v>16152</v>
      </c>
      <c r="C33463" s="74" t="s">
        <v>453</v>
      </c>
    </row>
    <row r="33464" spans="1:3">
      <c r="A33464" s="250">
        <v>77436</v>
      </c>
      <c r="B33464" s="74" t="s">
        <v>15381</v>
      </c>
      <c r="C33464" s="74" t="s">
        <v>453</v>
      </c>
    </row>
    <row r="33465" spans="1:3">
      <c r="A33465" s="250">
        <v>77437</v>
      </c>
      <c r="B33465" s="74" t="s">
        <v>16153</v>
      </c>
      <c r="C33465" s="74" t="s">
        <v>453</v>
      </c>
    </row>
    <row r="33466" spans="1:3">
      <c r="A33466" s="250">
        <v>77440</v>
      </c>
      <c r="B33466" s="74" t="s">
        <v>16154</v>
      </c>
      <c r="C33466" s="74" t="s">
        <v>453</v>
      </c>
    </row>
    <row r="33467" spans="1:3">
      <c r="A33467" s="250">
        <v>77441</v>
      </c>
      <c r="B33467" s="74" t="s">
        <v>16155</v>
      </c>
      <c r="C33467" s="74" t="s">
        <v>453</v>
      </c>
    </row>
    <row r="33468" spans="1:3">
      <c r="A33468" s="250">
        <v>77442</v>
      </c>
      <c r="B33468" s="74" t="s">
        <v>2126</v>
      </c>
      <c r="C33468" s="74" t="s">
        <v>453</v>
      </c>
    </row>
    <row r="33469" spans="1:3">
      <c r="A33469" s="250">
        <v>77443</v>
      </c>
      <c r="B33469" s="74" t="s">
        <v>12204</v>
      </c>
      <c r="C33469" s="74" t="s">
        <v>453</v>
      </c>
    </row>
    <row r="33470" spans="1:3">
      <c r="A33470" s="250">
        <v>77444</v>
      </c>
      <c r="B33470" s="74" t="s">
        <v>15287</v>
      </c>
      <c r="C33470" s="74" t="s">
        <v>453</v>
      </c>
    </row>
    <row r="33471" spans="1:3">
      <c r="A33471" s="250">
        <v>77445</v>
      </c>
      <c r="B33471" s="74" t="s">
        <v>2773</v>
      </c>
      <c r="C33471" s="74" t="s">
        <v>453</v>
      </c>
    </row>
    <row r="33472" spans="1:3">
      <c r="A33472" s="250">
        <v>77446</v>
      </c>
      <c r="B33472" s="74" t="s">
        <v>14696</v>
      </c>
      <c r="C33472" s="74" t="s">
        <v>453</v>
      </c>
    </row>
    <row r="33473" spans="1:3">
      <c r="A33473" s="250">
        <v>77447</v>
      </c>
      <c r="B33473" s="74" t="s">
        <v>16156</v>
      </c>
      <c r="C33473" s="74" t="s">
        <v>453</v>
      </c>
    </row>
    <row r="33474" spans="1:3">
      <c r="A33474" s="250">
        <v>77448</v>
      </c>
      <c r="B33474" s="74" t="s">
        <v>16157</v>
      </c>
      <c r="C33474" s="74" t="s">
        <v>453</v>
      </c>
    </row>
    <row r="33475" spans="1:3">
      <c r="A33475" s="250">
        <v>77449</v>
      </c>
      <c r="B33475" s="74" t="s">
        <v>16158</v>
      </c>
      <c r="C33475" s="74" t="s">
        <v>453</v>
      </c>
    </row>
    <row r="33476" spans="1:3">
      <c r="A33476" s="250">
        <v>77450</v>
      </c>
      <c r="B33476" s="74" t="s">
        <v>16158</v>
      </c>
      <c r="C33476" s="74" t="s">
        <v>453</v>
      </c>
    </row>
    <row r="33477" spans="1:3">
      <c r="A33477" s="250">
        <v>77451</v>
      </c>
      <c r="B33477" s="74" t="s">
        <v>16159</v>
      </c>
      <c r="C33477" s="74" t="s">
        <v>453</v>
      </c>
    </row>
    <row r="33478" spans="1:3">
      <c r="A33478" s="250">
        <v>77452</v>
      </c>
      <c r="B33478" s="74" t="s">
        <v>13751</v>
      </c>
      <c r="C33478" s="74" t="s">
        <v>453</v>
      </c>
    </row>
    <row r="33479" spans="1:3">
      <c r="A33479" s="250">
        <v>77453</v>
      </c>
      <c r="B33479" s="74" t="s">
        <v>16160</v>
      </c>
      <c r="C33479" s="74" t="s">
        <v>453</v>
      </c>
    </row>
    <row r="33480" spans="1:3">
      <c r="A33480" s="250">
        <v>77454</v>
      </c>
      <c r="B33480" s="74" t="s">
        <v>16161</v>
      </c>
      <c r="C33480" s="74" t="s">
        <v>453</v>
      </c>
    </row>
    <row r="33481" spans="1:3">
      <c r="A33481" s="250">
        <v>77455</v>
      </c>
      <c r="B33481" s="74" t="s">
        <v>9424</v>
      </c>
      <c r="C33481" s="74" t="s">
        <v>453</v>
      </c>
    </row>
    <row r="33482" spans="1:3">
      <c r="A33482" s="250">
        <v>77456</v>
      </c>
      <c r="B33482" s="74" t="s">
        <v>5944</v>
      </c>
      <c r="C33482" s="74" t="s">
        <v>453</v>
      </c>
    </row>
    <row r="33483" spans="1:3">
      <c r="A33483" s="250">
        <v>77457</v>
      </c>
      <c r="B33483" s="74" t="s">
        <v>16162</v>
      </c>
      <c r="C33483" s="74" t="s">
        <v>453</v>
      </c>
    </row>
    <row r="33484" spans="1:3">
      <c r="A33484" s="250">
        <v>77458</v>
      </c>
      <c r="B33484" s="74" t="s">
        <v>16163</v>
      </c>
      <c r="C33484" s="74" t="s">
        <v>453</v>
      </c>
    </row>
    <row r="33485" spans="1:3">
      <c r="A33485" s="250">
        <v>77459</v>
      </c>
      <c r="B33485" s="74" t="s">
        <v>14238</v>
      </c>
      <c r="C33485" s="74" t="s">
        <v>453</v>
      </c>
    </row>
    <row r="33486" spans="1:3">
      <c r="A33486" s="250">
        <v>77460</v>
      </c>
      <c r="B33486" s="74" t="s">
        <v>16164</v>
      </c>
      <c r="C33486" s="74" t="s">
        <v>453</v>
      </c>
    </row>
    <row r="33487" spans="1:3">
      <c r="A33487" s="250">
        <v>77461</v>
      </c>
      <c r="B33487" s="74" t="s">
        <v>16165</v>
      </c>
      <c r="C33487" s="74" t="s">
        <v>453</v>
      </c>
    </row>
    <row r="33488" spans="1:3">
      <c r="A33488" s="250">
        <v>77463</v>
      </c>
      <c r="B33488" s="74" t="s">
        <v>16166</v>
      </c>
      <c r="C33488" s="74" t="s">
        <v>453</v>
      </c>
    </row>
    <row r="33489" spans="1:3">
      <c r="A33489" s="250">
        <v>77464</v>
      </c>
      <c r="B33489" s="74" t="s">
        <v>11591</v>
      </c>
      <c r="C33489" s="74" t="s">
        <v>453</v>
      </c>
    </row>
    <row r="33490" spans="1:3">
      <c r="A33490" s="250">
        <v>77465</v>
      </c>
      <c r="B33490" s="74" t="s">
        <v>16167</v>
      </c>
      <c r="C33490" s="74" t="s">
        <v>453</v>
      </c>
    </row>
    <row r="33491" spans="1:3">
      <c r="A33491" s="250">
        <v>77466</v>
      </c>
      <c r="B33491" s="74" t="s">
        <v>9434</v>
      </c>
      <c r="C33491" s="74" t="s">
        <v>453</v>
      </c>
    </row>
    <row r="33492" spans="1:3">
      <c r="A33492" s="250">
        <v>77467</v>
      </c>
      <c r="B33492" s="74" t="s">
        <v>14826</v>
      </c>
      <c r="C33492" s="74" t="s">
        <v>453</v>
      </c>
    </row>
    <row r="33493" spans="1:3">
      <c r="A33493" s="250">
        <v>77468</v>
      </c>
      <c r="B33493" s="74" t="s">
        <v>16168</v>
      </c>
      <c r="C33493" s="74" t="s">
        <v>453</v>
      </c>
    </row>
    <row r="33494" spans="1:3">
      <c r="A33494" s="250">
        <v>77469</v>
      </c>
      <c r="B33494" s="74" t="s">
        <v>658</v>
      </c>
      <c r="C33494" s="74" t="s">
        <v>453</v>
      </c>
    </row>
    <row r="33495" spans="1:3">
      <c r="A33495" s="250">
        <v>77470</v>
      </c>
      <c r="B33495" s="74" t="s">
        <v>9284</v>
      </c>
      <c r="C33495" s="74" t="s">
        <v>453</v>
      </c>
    </row>
    <row r="33496" spans="1:3">
      <c r="A33496" s="250">
        <v>77471</v>
      </c>
      <c r="B33496" s="74" t="s">
        <v>16169</v>
      </c>
      <c r="C33496" s="74" t="s">
        <v>453</v>
      </c>
    </row>
    <row r="33497" spans="1:3">
      <c r="A33497" s="250">
        <v>77473</v>
      </c>
      <c r="B33497" s="74" t="s">
        <v>16170</v>
      </c>
      <c r="C33497" s="74" t="s">
        <v>453</v>
      </c>
    </row>
    <row r="33498" spans="1:3">
      <c r="A33498" s="250">
        <v>77474</v>
      </c>
      <c r="B33498" s="74" t="s">
        <v>16171</v>
      </c>
      <c r="C33498" s="74" t="s">
        <v>453</v>
      </c>
    </row>
    <row r="33499" spans="1:3">
      <c r="A33499" s="250">
        <v>77475</v>
      </c>
      <c r="B33499" s="74" t="s">
        <v>1651</v>
      </c>
      <c r="C33499" s="74" t="s">
        <v>453</v>
      </c>
    </row>
    <row r="33500" spans="1:3">
      <c r="A33500" s="250">
        <v>77476</v>
      </c>
      <c r="B33500" s="74" t="s">
        <v>16172</v>
      </c>
      <c r="C33500" s="74" t="s">
        <v>453</v>
      </c>
    </row>
    <row r="33501" spans="1:3">
      <c r="A33501" s="250">
        <v>77477</v>
      </c>
      <c r="B33501" s="74" t="s">
        <v>1961</v>
      </c>
      <c r="C33501" s="74" t="s">
        <v>453</v>
      </c>
    </row>
    <row r="33502" spans="1:3">
      <c r="A33502" s="250">
        <v>77478</v>
      </c>
      <c r="B33502" s="74" t="s">
        <v>16173</v>
      </c>
      <c r="C33502" s="74" t="s">
        <v>453</v>
      </c>
    </row>
    <row r="33503" spans="1:3">
      <c r="A33503" s="250">
        <v>77479</v>
      </c>
      <c r="B33503" s="74" t="s">
        <v>16173</v>
      </c>
      <c r="C33503" s="74" t="s">
        <v>453</v>
      </c>
    </row>
    <row r="33504" spans="1:3">
      <c r="A33504" s="250">
        <v>77480</v>
      </c>
      <c r="B33504" s="74" t="s">
        <v>16174</v>
      </c>
      <c r="C33504" s="74" t="s">
        <v>453</v>
      </c>
    </row>
    <row r="33505" spans="1:3">
      <c r="A33505" s="250">
        <v>77481</v>
      </c>
      <c r="B33505" s="74" t="s">
        <v>16175</v>
      </c>
      <c r="C33505" s="74" t="s">
        <v>453</v>
      </c>
    </row>
    <row r="33506" spans="1:3">
      <c r="A33506" s="250">
        <v>77482</v>
      </c>
      <c r="B33506" s="74" t="s">
        <v>16176</v>
      </c>
      <c r="C33506" s="74" t="s">
        <v>453</v>
      </c>
    </row>
    <row r="33507" spans="1:3">
      <c r="A33507" s="250">
        <v>77483</v>
      </c>
      <c r="B33507" s="74" t="s">
        <v>10351</v>
      </c>
      <c r="C33507" s="74" t="s">
        <v>453</v>
      </c>
    </row>
    <row r="33508" spans="1:3">
      <c r="A33508" s="250">
        <v>77484</v>
      </c>
      <c r="B33508" s="74" t="s">
        <v>16177</v>
      </c>
      <c r="C33508" s="74" t="s">
        <v>453</v>
      </c>
    </row>
    <row r="33509" spans="1:3">
      <c r="A33509" s="250">
        <v>77485</v>
      </c>
      <c r="B33509" s="74" t="s">
        <v>16178</v>
      </c>
      <c r="C33509" s="74" t="s">
        <v>453</v>
      </c>
    </row>
    <row r="33510" spans="1:3">
      <c r="A33510" s="250">
        <v>77486</v>
      </c>
      <c r="B33510" s="74" t="s">
        <v>6681</v>
      </c>
      <c r="C33510" s="74" t="s">
        <v>453</v>
      </c>
    </row>
    <row r="33511" spans="1:3">
      <c r="A33511" s="250">
        <v>77487</v>
      </c>
      <c r="B33511" s="74" t="s">
        <v>16173</v>
      </c>
      <c r="C33511" s="74" t="s">
        <v>453</v>
      </c>
    </row>
    <row r="33512" spans="1:3">
      <c r="A33512" s="250">
        <v>77488</v>
      </c>
      <c r="B33512" s="74" t="s">
        <v>2334</v>
      </c>
      <c r="C33512" s="74" t="s">
        <v>453</v>
      </c>
    </row>
    <row r="33513" spans="1:3">
      <c r="A33513" s="250">
        <v>77489</v>
      </c>
      <c r="B33513" s="74" t="s">
        <v>14238</v>
      </c>
      <c r="C33513" s="74" t="s">
        <v>453</v>
      </c>
    </row>
    <row r="33514" spans="1:3">
      <c r="A33514" s="250">
        <v>77491</v>
      </c>
      <c r="B33514" s="74" t="s">
        <v>16158</v>
      </c>
      <c r="C33514" s="74" t="s">
        <v>453</v>
      </c>
    </row>
    <row r="33515" spans="1:3">
      <c r="A33515" s="250">
        <v>77492</v>
      </c>
      <c r="B33515" s="74" t="s">
        <v>16158</v>
      </c>
      <c r="C33515" s="74" t="s">
        <v>453</v>
      </c>
    </row>
    <row r="33516" spans="1:3">
      <c r="A33516" s="250">
        <v>77493</v>
      </c>
      <c r="B33516" s="74" t="s">
        <v>16158</v>
      </c>
      <c r="C33516" s="74" t="s">
        <v>453</v>
      </c>
    </row>
    <row r="33517" spans="1:3">
      <c r="A33517" s="250">
        <v>77494</v>
      </c>
      <c r="B33517" s="74" t="s">
        <v>16158</v>
      </c>
      <c r="C33517" s="74" t="s">
        <v>453</v>
      </c>
    </row>
    <row r="33518" spans="1:3">
      <c r="A33518" s="250">
        <v>77496</v>
      </c>
      <c r="B33518" s="74" t="s">
        <v>16173</v>
      </c>
      <c r="C33518" s="74" t="s">
        <v>453</v>
      </c>
    </row>
    <row r="33519" spans="1:3">
      <c r="A33519" s="250">
        <v>77497</v>
      </c>
      <c r="B33519" s="74" t="s">
        <v>1961</v>
      </c>
      <c r="C33519" s="74" t="s">
        <v>453</v>
      </c>
    </row>
    <row r="33520" spans="1:3">
      <c r="A33520" s="250">
        <v>77498</v>
      </c>
      <c r="B33520" s="74" t="s">
        <v>16173</v>
      </c>
      <c r="C33520" s="74" t="s">
        <v>453</v>
      </c>
    </row>
    <row r="33521" spans="1:3">
      <c r="A33521" s="250">
        <v>77501</v>
      </c>
      <c r="B33521" s="74" t="s">
        <v>5692</v>
      </c>
      <c r="C33521" s="74" t="s">
        <v>453</v>
      </c>
    </row>
    <row r="33522" spans="1:3">
      <c r="A33522" s="250">
        <v>77502</v>
      </c>
      <c r="B33522" s="74" t="s">
        <v>5692</v>
      </c>
      <c r="C33522" s="74" t="s">
        <v>453</v>
      </c>
    </row>
    <row r="33523" spans="1:3">
      <c r="A33523" s="250">
        <v>77503</v>
      </c>
      <c r="B33523" s="74" t="s">
        <v>5692</v>
      </c>
      <c r="C33523" s="74" t="s">
        <v>453</v>
      </c>
    </row>
    <row r="33524" spans="1:3">
      <c r="A33524" s="250">
        <v>77504</v>
      </c>
      <c r="B33524" s="74" t="s">
        <v>5692</v>
      </c>
      <c r="C33524" s="74" t="s">
        <v>453</v>
      </c>
    </row>
    <row r="33525" spans="1:3">
      <c r="A33525" s="250">
        <v>77505</v>
      </c>
      <c r="B33525" s="74" t="s">
        <v>5692</v>
      </c>
      <c r="C33525" s="74" t="s">
        <v>453</v>
      </c>
    </row>
    <row r="33526" spans="1:3">
      <c r="A33526" s="250">
        <v>77506</v>
      </c>
      <c r="B33526" s="74" t="s">
        <v>5692</v>
      </c>
      <c r="C33526" s="74" t="s">
        <v>453</v>
      </c>
    </row>
    <row r="33527" spans="1:3">
      <c r="A33527" s="250">
        <v>77507</v>
      </c>
      <c r="B33527" s="74" t="s">
        <v>5692</v>
      </c>
      <c r="C33527" s="74" t="s">
        <v>453</v>
      </c>
    </row>
    <row r="33528" spans="1:3">
      <c r="A33528" s="250">
        <v>77508</v>
      </c>
      <c r="B33528" s="74" t="s">
        <v>5692</v>
      </c>
      <c r="C33528" s="74" t="s">
        <v>453</v>
      </c>
    </row>
    <row r="33529" spans="1:3">
      <c r="A33529" s="250">
        <v>77510</v>
      </c>
      <c r="B33529" s="74" t="s">
        <v>9259</v>
      </c>
      <c r="C33529" s="74" t="s">
        <v>453</v>
      </c>
    </row>
    <row r="33530" spans="1:3">
      <c r="A33530" s="250">
        <v>77511</v>
      </c>
      <c r="B33530" s="74" t="s">
        <v>13762</v>
      </c>
      <c r="C33530" s="74" t="s">
        <v>453</v>
      </c>
    </row>
    <row r="33531" spans="1:3">
      <c r="A33531" s="250">
        <v>77512</v>
      </c>
      <c r="B33531" s="74" t="s">
        <v>13762</v>
      </c>
      <c r="C33531" s="74" t="s">
        <v>453</v>
      </c>
    </row>
    <row r="33532" spans="1:3">
      <c r="A33532" s="250">
        <v>77514</v>
      </c>
      <c r="B33532" s="74" t="s">
        <v>16179</v>
      </c>
      <c r="C33532" s="74" t="s">
        <v>453</v>
      </c>
    </row>
    <row r="33533" spans="1:3">
      <c r="A33533" s="250">
        <v>77515</v>
      </c>
      <c r="B33533" s="74" t="s">
        <v>16180</v>
      </c>
      <c r="C33533" s="74" t="s">
        <v>453</v>
      </c>
    </row>
    <row r="33534" spans="1:3">
      <c r="A33534" s="250">
        <v>77516</v>
      </c>
      <c r="B33534" s="74" t="s">
        <v>16180</v>
      </c>
      <c r="C33534" s="74" t="s">
        <v>453</v>
      </c>
    </row>
    <row r="33535" spans="1:3">
      <c r="A33535" s="250">
        <v>77517</v>
      </c>
      <c r="B33535" s="74" t="s">
        <v>9259</v>
      </c>
      <c r="C33535" s="74" t="s">
        <v>453</v>
      </c>
    </row>
    <row r="33536" spans="1:3">
      <c r="A33536" s="250">
        <v>77518</v>
      </c>
      <c r="B33536" s="74" t="s">
        <v>16181</v>
      </c>
      <c r="C33536" s="74" t="s">
        <v>453</v>
      </c>
    </row>
    <row r="33537" spans="1:3">
      <c r="A33537" s="250">
        <v>77519</v>
      </c>
      <c r="B33537" s="74" t="s">
        <v>16182</v>
      </c>
      <c r="C33537" s="74" t="s">
        <v>453</v>
      </c>
    </row>
    <row r="33538" spans="1:3">
      <c r="A33538" s="250">
        <v>77520</v>
      </c>
      <c r="B33538" s="74" t="s">
        <v>16183</v>
      </c>
      <c r="C33538" s="74" t="s">
        <v>453</v>
      </c>
    </row>
    <row r="33539" spans="1:3">
      <c r="A33539" s="250">
        <v>77521</v>
      </c>
      <c r="B33539" s="74" t="s">
        <v>16183</v>
      </c>
      <c r="C33539" s="74" t="s">
        <v>453</v>
      </c>
    </row>
    <row r="33540" spans="1:3">
      <c r="A33540" s="250">
        <v>77522</v>
      </c>
      <c r="B33540" s="74" t="s">
        <v>16183</v>
      </c>
      <c r="C33540" s="74" t="s">
        <v>453</v>
      </c>
    </row>
    <row r="33541" spans="1:3">
      <c r="A33541" s="250">
        <v>77523</v>
      </c>
      <c r="B33541" s="74" t="s">
        <v>16183</v>
      </c>
      <c r="C33541" s="74" t="s">
        <v>453</v>
      </c>
    </row>
    <row r="33542" spans="1:3">
      <c r="A33542" s="250">
        <v>77530</v>
      </c>
      <c r="B33542" s="74" t="s">
        <v>16184</v>
      </c>
      <c r="C33542" s="74" t="s">
        <v>453</v>
      </c>
    </row>
    <row r="33543" spans="1:3">
      <c r="A33543" s="250">
        <v>77531</v>
      </c>
      <c r="B33543" s="74" t="s">
        <v>16185</v>
      </c>
      <c r="C33543" s="74" t="s">
        <v>453</v>
      </c>
    </row>
    <row r="33544" spans="1:3">
      <c r="A33544" s="250">
        <v>77532</v>
      </c>
      <c r="B33544" s="74" t="s">
        <v>4588</v>
      </c>
      <c r="C33544" s="74" t="s">
        <v>453</v>
      </c>
    </row>
    <row r="33545" spans="1:3">
      <c r="A33545" s="250">
        <v>77533</v>
      </c>
      <c r="B33545" s="74" t="s">
        <v>16186</v>
      </c>
      <c r="C33545" s="74" t="s">
        <v>453</v>
      </c>
    </row>
    <row r="33546" spans="1:3">
      <c r="A33546" s="250">
        <v>77534</v>
      </c>
      <c r="B33546" s="74" t="s">
        <v>1184</v>
      </c>
      <c r="C33546" s="74" t="s">
        <v>453</v>
      </c>
    </row>
    <row r="33547" spans="1:3">
      <c r="A33547" s="250">
        <v>77535</v>
      </c>
      <c r="B33547" s="74" t="s">
        <v>2564</v>
      </c>
      <c r="C33547" s="74" t="s">
        <v>453</v>
      </c>
    </row>
    <row r="33548" spans="1:3">
      <c r="A33548" s="250">
        <v>77536</v>
      </c>
      <c r="B33548" s="74" t="s">
        <v>2821</v>
      </c>
      <c r="C33548" s="74" t="s">
        <v>453</v>
      </c>
    </row>
    <row r="33549" spans="1:3">
      <c r="A33549" s="250">
        <v>77538</v>
      </c>
      <c r="B33549" s="74" t="s">
        <v>16187</v>
      </c>
      <c r="C33549" s="74" t="s">
        <v>453</v>
      </c>
    </row>
    <row r="33550" spans="1:3">
      <c r="A33550" s="250">
        <v>77539</v>
      </c>
      <c r="B33550" s="74" t="s">
        <v>8865</v>
      </c>
      <c r="C33550" s="74" t="s">
        <v>453</v>
      </c>
    </row>
    <row r="33551" spans="1:3">
      <c r="A33551" s="250">
        <v>77541</v>
      </c>
      <c r="B33551" s="74" t="s">
        <v>1383</v>
      </c>
      <c r="C33551" s="74" t="s">
        <v>453</v>
      </c>
    </row>
    <row r="33552" spans="1:3">
      <c r="A33552" s="250">
        <v>77542</v>
      </c>
      <c r="B33552" s="74" t="s">
        <v>1383</v>
      </c>
      <c r="C33552" s="74" t="s">
        <v>453</v>
      </c>
    </row>
    <row r="33553" spans="1:3">
      <c r="A33553" s="250">
        <v>77545</v>
      </c>
      <c r="B33553" s="74" t="s">
        <v>10255</v>
      </c>
      <c r="C33553" s="74" t="s">
        <v>453</v>
      </c>
    </row>
    <row r="33554" spans="1:3">
      <c r="A33554" s="250">
        <v>77546</v>
      </c>
      <c r="B33554" s="74" t="s">
        <v>16188</v>
      </c>
      <c r="C33554" s="74" t="s">
        <v>453</v>
      </c>
    </row>
    <row r="33555" spans="1:3">
      <c r="A33555" s="250">
        <v>77547</v>
      </c>
      <c r="B33555" s="74" t="s">
        <v>16189</v>
      </c>
      <c r="C33555" s="74" t="s">
        <v>453</v>
      </c>
    </row>
    <row r="33556" spans="1:3">
      <c r="A33556" s="250">
        <v>77549</v>
      </c>
      <c r="B33556" s="74" t="s">
        <v>16188</v>
      </c>
      <c r="C33556" s="74" t="s">
        <v>453</v>
      </c>
    </row>
    <row r="33557" spans="1:3">
      <c r="A33557" s="250">
        <v>77550</v>
      </c>
      <c r="B33557" s="74" t="s">
        <v>10766</v>
      </c>
      <c r="C33557" s="74" t="s">
        <v>453</v>
      </c>
    </row>
    <row r="33558" spans="1:3">
      <c r="A33558" s="250">
        <v>77551</v>
      </c>
      <c r="B33558" s="74" t="s">
        <v>10766</v>
      </c>
      <c r="C33558" s="74" t="s">
        <v>453</v>
      </c>
    </row>
    <row r="33559" spans="1:3">
      <c r="A33559" s="250">
        <v>77552</v>
      </c>
      <c r="B33559" s="74" t="s">
        <v>10766</v>
      </c>
      <c r="C33559" s="74" t="s">
        <v>453</v>
      </c>
    </row>
    <row r="33560" spans="1:3">
      <c r="A33560" s="250">
        <v>77553</v>
      </c>
      <c r="B33560" s="74" t="s">
        <v>10766</v>
      </c>
      <c r="C33560" s="74" t="s">
        <v>453</v>
      </c>
    </row>
    <row r="33561" spans="1:3">
      <c r="A33561" s="250">
        <v>77554</v>
      </c>
      <c r="B33561" s="74" t="s">
        <v>10766</v>
      </c>
      <c r="C33561" s="74" t="s">
        <v>453</v>
      </c>
    </row>
    <row r="33562" spans="1:3">
      <c r="A33562" s="250">
        <v>77555</v>
      </c>
      <c r="B33562" s="74" t="s">
        <v>10766</v>
      </c>
      <c r="C33562" s="74" t="s">
        <v>453</v>
      </c>
    </row>
    <row r="33563" spans="1:3">
      <c r="A33563" s="250">
        <v>77560</v>
      </c>
      <c r="B33563" s="74" t="s">
        <v>16190</v>
      </c>
      <c r="C33563" s="74" t="s">
        <v>453</v>
      </c>
    </row>
    <row r="33564" spans="1:3">
      <c r="A33564" s="250">
        <v>77561</v>
      </c>
      <c r="B33564" s="74" t="s">
        <v>9936</v>
      </c>
      <c r="C33564" s="74" t="s">
        <v>453</v>
      </c>
    </row>
    <row r="33565" spans="1:3">
      <c r="A33565" s="250">
        <v>77562</v>
      </c>
      <c r="B33565" s="74" t="s">
        <v>2271</v>
      </c>
      <c r="C33565" s="74" t="s">
        <v>453</v>
      </c>
    </row>
    <row r="33566" spans="1:3">
      <c r="A33566" s="250">
        <v>77563</v>
      </c>
      <c r="B33566" s="74" t="s">
        <v>12877</v>
      </c>
      <c r="C33566" s="74" t="s">
        <v>453</v>
      </c>
    </row>
    <row r="33567" spans="1:3">
      <c r="A33567" s="250">
        <v>77564</v>
      </c>
      <c r="B33567" s="74" t="s">
        <v>877</v>
      </c>
      <c r="C33567" s="74" t="s">
        <v>453</v>
      </c>
    </row>
    <row r="33568" spans="1:3">
      <c r="A33568" s="250">
        <v>77565</v>
      </c>
      <c r="B33568" s="74" t="s">
        <v>16191</v>
      </c>
      <c r="C33568" s="74" t="s">
        <v>453</v>
      </c>
    </row>
    <row r="33569" spans="1:3">
      <c r="A33569" s="250">
        <v>77566</v>
      </c>
      <c r="B33569" s="74" t="s">
        <v>16192</v>
      </c>
      <c r="C33569" s="74" t="s">
        <v>453</v>
      </c>
    </row>
    <row r="33570" spans="1:3">
      <c r="A33570" s="250">
        <v>77568</v>
      </c>
      <c r="B33570" s="74" t="s">
        <v>16193</v>
      </c>
      <c r="C33570" s="74" t="s">
        <v>453</v>
      </c>
    </row>
    <row r="33571" spans="1:3">
      <c r="A33571" s="250">
        <v>77571</v>
      </c>
      <c r="B33571" s="74" t="s">
        <v>10690</v>
      </c>
      <c r="C33571" s="74" t="s">
        <v>453</v>
      </c>
    </row>
    <row r="33572" spans="1:3">
      <c r="A33572" s="250">
        <v>77572</v>
      </c>
      <c r="B33572" s="74" t="s">
        <v>10690</v>
      </c>
      <c r="C33572" s="74" t="s">
        <v>453</v>
      </c>
    </row>
    <row r="33573" spans="1:3">
      <c r="A33573" s="250">
        <v>77573</v>
      </c>
      <c r="B33573" s="74" t="s">
        <v>16194</v>
      </c>
      <c r="C33573" s="74" t="s">
        <v>453</v>
      </c>
    </row>
    <row r="33574" spans="1:3">
      <c r="A33574" s="250">
        <v>77574</v>
      </c>
      <c r="B33574" s="74" t="s">
        <v>16194</v>
      </c>
      <c r="C33574" s="74" t="s">
        <v>453</v>
      </c>
    </row>
    <row r="33575" spans="1:3">
      <c r="A33575" s="250">
        <v>77575</v>
      </c>
      <c r="B33575" s="74" t="s">
        <v>1701</v>
      </c>
      <c r="C33575" s="74" t="s">
        <v>453</v>
      </c>
    </row>
    <row r="33576" spans="1:3">
      <c r="A33576" s="250">
        <v>77577</v>
      </c>
      <c r="B33576" s="74" t="s">
        <v>3376</v>
      </c>
      <c r="C33576" s="74" t="s">
        <v>453</v>
      </c>
    </row>
    <row r="33577" spans="1:3">
      <c r="A33577" s="250">
        <v>77578</v>
      </c>
      <c r="B33577" s="74" t="s">
        <v>13050</v>
      </c>
      <c r="C33577" s="74" t="s">
        <v>453</v>
      </c>
    </row>
    <row r="33578" spans="1:3">
      <c r="A33578" s="250">
        <v>77580</v>
      </c>
      <c r="B33578" s="74" t="s">
        <v>16195</v>
      </c>
      <c r="C33578" s="74" t="s">
        <v>453</v>
      </c>
    </row>
    <row r="33579" spans="1:3">
      <c r="A33579" s="250">
        <v>77581</v>
      </c>
      <c r="B33579" s="74" t="s">
        <v>16196</v>
      </c>
      <c r="C33579" s="74" t="s">
        <v>453</v>
      </c>
    </row>
    <row r="33580" spans="1:3">
      <c r="A33580" s="250">
        <v>77582</v>
      </c>
      <c r="B33580" s="74" t="s">
        <v>16197</v>
      </c>
      <c r="C33580" s="74" t="s">
        <v>453</v>
      </c>
    </row>
    <row r="33581" spans="1:3">
      <c r="A33581" s="250">
        <v>77583</v>
      </c>
      <c r="B33581" s="74" t="s">
        <v>16198</v>
      </c>
      <c r="C33581" s="74" t="s">
        <v>453</v>
      </c>
    </row>
    <row r="33582" spans="1:3">
      <c r="A33582" s="250">
        <v>77584</v>
      </c>
      <c r="B33582" s="74" t="s">
        <v>16196</v>
      </c>
      <c r="C33582" s="74" t="s">
        <v>453</v>
      </c>
    </row>
    <row r="33583" spans="1:3">
      <c r="A33583" s="250">
        <v>77585</v>
      </c>
      <c r="B33583" s="74" t="s">
        <v>7220</v>
      </c>
      <c r="C33583" s="74" t="s">
        <v>453</v>
      </c>
    </row>
    <row r="33584" spans="1:3">
      <c r="A33584" s="250">
        <v>77586</v>
      </c>
      <c r="B33584" s="74" t="s">
        <v>1338</v>
      </c>
      <c r="C33584" s="74" t="s">
        <v>453</v>
      </c>
    </row>
    <row r="33585" spans="1:3">
      <c r="A33585" s="250">
        <v>77587</v>
      </c>
      <c r="B33585" s="74" t="s">
        <v>16199</v>
      </c>
      <c r="C33585" s="74" t="s">
        <v>453</v>
      </c>
    </row>
    <row r="33586" spans="1:3">
      <c r="A33586" s="250">
        <v>77588</v>
      </c>
      <c r="B33586" s="74" t="s">
        <v>16196</v>
      </c>
      <c r="C33586" s="74" t="s">
        <v>453</v>
      </c>
    </row>
    <row r="33587" spans="1:3">
      <c r="A33587" s="250">
        <v>77590</v>
      </c>
      <c r="B33587" s="74" t="s">
        <v>16200</v>
      </c>
      <c r="C33587" s="74" t="s">
        <v>453</v>
      </c>
    </row>
    <row r="33588" spans="1:3">
      <c r="A33588" s="250">
        <v>77591</v>
      </c>
      <c r="B33588" s="74" t="s">
        <v>16200</v>
      </c>
      <c r="C33588" s="74" t="s">
        <v>453</v>
      </c>
    </row>
    <row r="33589" spans="1:3">
      <c r="A33589" s="250">
        <v>77592</v>
      </c>
      <c r="B33589" s="74" t="s">
        <v>16200</v>
      </c>
      <c r="C33589" s="74" t="s">
        <v>453</v>
      </c>
    </row>
    <row r="33590" spans="1:3">
      <c r="A33590" s="250">
        <v>77597</v>
      </c>
      <c r="B33590" s="74" t="s">
        <v>16201</v>
      </c>
      <c r="C33590" s="74" t="s">
        <v>453</v>
      </c>
    </row>
    <row r="33591" spans="1:3">
      <c r="A33591" s="250">
        <v>77598</v>
      </c>
      <c r="B33591" s="74" t="s">
        <v>767</v>
      </c>
      <c r="C33591" s="74" t="s">
        <v>453</v>
      </c>
    </row>
    <row r="33592" spans="1:3">
      <c r="A33592" s="250">
        <v>77611</v>
      </c>
      <c r="B33592" s="74" t="s">
        <v>16202</v>
      </c>
      <c r="C33592" s="74" t="s">
        <v>453</v>
      </c>
    </row>
    <row r="33593" spans="1:3">
      <c r="A33593" s="250">
        <v>77612</v>
      </c>
      <c r="B33593" s="74" t="s">
        <v>16203</v>
      </c>
      <c r="C33593" s="74" t="s">
        <v>453</v>
      </c>
    </row>
    <row r="33594" spans="1:3">
      <c r="A33594" s="250">
        <v>77613</v>
      </c>
      <c r="B33594" s="74" t="s">
        <v>16204</v>
      </c>
      <c r="C33594" s="74" t="s">
        <v>453</v>
      </c>
    </row>
    <row r="33595" spans="1:3">
      <c r="A33595" s="250">
        <v>77614</v>
      </c>
      <c r="B33595" s="74" t="s">
        <v>16205</v>
      </c>
      <c r="C33595" s="74" t="s">
        <v>453</v>
      </c>
    </row>
    <row r="33596" spans="1:3">
      <c r="A33596" s="250">
        <v>77615</v>
      </c>
      <c r="B33596" s="74" t="s">
        <v>16206</v>
      </c>
      <c r="C33596" s="74" t="s">
        <v>453</v>
      </c>
    </row>
    <row r="33597" spans="1:3">
      <c r="A33597" s="250">
        <v>77616</v>
      </c>
      <c r="B33597" s="74" t="s">
        <v>16207</v>
      </c>
      <c r="C33597" s="74" t="s">
        <v>453</v>
      </c>
    </row>
    <row r="33598" spans="1:3">
      <c r="A33598" s="250">
        <v>77617</v>
      </c>
      <c r="B33598" s="74" t="s">
        <v>16208</v>
      </c>
      <c r="C33598" s="74" t="s">
        <v>453</v>
      </c>
    </row>
    <row r="33599" spans="1:3">
      <c r="A33599" s="250">
        <v>77619</v>
      </c>
      <c r="B33599" s="74" t="s">
        <v>16209</v>
      </c>
      <c r="C33599" s="74" t="s">
        <v>453</v>
      </c>
    </row>
    <row r="33600" spans="1:3">
      <c r="A33600" s="250">
        <v>77622</v>
      </c>
      <c r="B33600" s="74" t="s">
        <v>16210</v>
      </c>
      <c r="C33600" s="74" t="s">
        <v>453</v>
      </c>
    </row>
    <row r="33601" spans="1:3">
      <c r="A33601" s="250">
        <v>77623</v>
      </c>
      <c r="B33601" s="74" t="s">
        <v>16211</v>
      </c>
      <c r="C33601" s="74" t="s">
        <v>453</v>
      </c>
    </row>
    <row r="33602" spans="1:3">
      <c r="A33602" s="250">
        <v>77624</v>
      </c>
      <c r="B33602" s="74" t="s">
        <v>16212</v>
      </c>
      <c r="C33602" s="74" t="s">
        <v>453</v>
      </c>
    </row>
    <row r="33603" spans="1:3">
      <c r="A33603" s="250">
        <v>77625</v>
      </c>
      <c r="B33603" s="74" t="s">
        <v>16213</v>
      </c>
      <c r="C33603" s="74" t="s">
        <v>453</v>
      </c>
    </row>
    <row r="33604" spans="1:3">
      <c r="A33604" s="250">
        <v>77626</v>
      </c>
      <c r="B33604" s="74" t="s">
        <v>16214</v>
      </c>
      <c r="C33604" s="74" t="s">
        <v>453</v>
      </c>
    </row>
    <row r="33605" spans="1:3">
      <c r="A33605" s="250">
        <v>77627</v>
      </c>
      <c r="B33605" s="74" t="s">
        <v>16215</v>
      </c>
      <c r="C33605" s="74" t="s">
        <v>453</v>
      </c>
    </row>
    <row r="33606" spans="1:3">
      <c r="A33606" s="250">
        <v>77629</v>
      </c>
      <c r="B33606" s="74" t="s">
        <v>13021</v>
      </c>
      <c r="C33606" s="74" t="s">
        <v>453</v>
      </c>
    </row>
    <row r="33607" spans="1:3">
      <c r="A33607" s="250">
        <v>77630</v>
      </c>
      <c r="B33607" s="74" t="s">
        <v>689</v>
      </c>
      <c r="C33607" s="74" t="s">
        <v>453</v>
      </c>
    </row>
    <row r="33608" spans="1:3">
      <c r="A33608" s="250">
        <v>77631</v>
      </c>
      <c r="B33608" s="74" t="s">
        <v>689</v>
      </c>
      <c r="C33608" s="74" t="s">
        <v>453</v>
      </c>
    </row>
    <row r="33609" spans="1:3">
      <c r="A33609" s="250">
        <v>77632</v>
      </c>
      <c r="B33609" s="74" t="s">
        <v>689</v>
      </c>
      <c r="C33609" s="74" t="s">
        <v>453</v>
      </c>
    </row>
    <row r="33610" spans="1:3">
      <c r="A33610" s="250">
        <v>77639</v>
      </c>
      <c r="B33610" s="74" t="s">
        <v>16216</v>
      </c>
      <c r="C33610" s="74" t="s">
        <v>453</v>
      </c>
    </row>
    <row r="33611" spans="1:3">
      <c r="A33611" s="250">
        <v>77640</v>
      </c>
      <c r="B33611" s="74" t="s">
        <v>16217</v>
      </c>
      <c r="C33611" s="74" t="s">
        <v>453</v>
      </c>
    </row>
    <row r="33612" spans="1:3">
      <c r="A33612" s="250">
        <v>77641</v>
      </c>
      <c r="B33612" s="74" t="s">
        <v>16217</v>
      </c>
      <c r="C33612" s="74" t="s">
        <v>453</v>
      </c>
    </row>
    <row r="33613" spans="1:3">
      <c r="A33613" s="250">
        <v>77642</v>
      </c>
      <c r="B33613" s="74" t="s">
        <v>16217</v>
      </c>
      <c r="C33613" s="74" t="s">
        <v>453</v>
      </c>
    </row>
    <row r="33614" spans="1:3">
      <c r="A33614" s="250">
        <v>77643</v>
      </c>
      <c r="B33614" s="74" t="s">
        <v>16217</v>
      </c>
      <c r="C33614" s="74" t="s">
        <v>453</v>
      </c>
    </row>
    <row r="33615" spans="1:3">
      <c r="A33615" s="250">
        <v>77650</v>
      </c>
      <c r="B33615" s="74" t="s">
        <v>16218</v>
      </c>
      <c r="C33615" s="74" t="s">
        <v>453</v>
      </c>
    </row>
    <row r="33616" spans="1:3">
      <c r="A33616" s="250">
        <v>77651</v>
      </c>
      <c r="B33616" s="74" t="s">
        <v>16219</v>
      </c>
      <c r="C33616" s="74" t="s">
        <v>453</v>
      </c>
    </row>
    <row r="33617" spans="1:3">
      <c r="A33617" s="250">
        <v>77655</v>
      </c>
      <c r="B33617" s="74" t="s">
        <v>16220</v>
      </c>
      <c r="C33617" s="74" t="s">
        <v>453</v>
      </c>
    </row>
    <row r="33618" spans="1:3">
      <c r="A33618" s="250">
        <v>77656</v>
      </c>
      <c r="B33618" s="74" t="s">
        <v>16221</v>
      </c>
      <c r="C33618" s="74" t="s">
        <v>453</v>
      </c>
    </row>
    <row r="33619" spans="1:3">
      <c r="A33619" s="250">
        <v>77657</v>
      </c>
      <c r="B33619" s="74" t="s">
        <v>2397</v>
      </c>
      <c r="C33619" s="74" t="s">
        <v>453</v>
      </c>
    </row>
    <row r="33620" spans="1:3">
      <c r="A33620" s="250">
        <v>77659</v>
      </c>
      <c r="B33620" s="74" t="s">
        <v>16222</v>
      </c>
      <c r="C33620" s="74" t="s">
        <v>453</v>
      </c>
    </row>
    <row r="33621" spans="1:3">
      <c r="A33621" s="250">
        <v>77660</v>
      </c>
      <c r="B33621" s="74" t="s">
        <v>16223</v>
      </c>
      <c r="C33621" s="74" t="s">
        <v>453</v>
      </c>
    </row>
    <row r="33622" spans="1:3">
      <c r="A33622" s="250">
        <v>77661</v>
      </c>
      <c r="B33622" s="74" t="s">
        <v>16224</v>
      </c>
      <c r="C33622" s="74" t="s">
        <v>453</v>
      </c>
    </row>
    <row r="33623" spans="1:3">
      <c r="A33623" s="250">
        <v>77662</v>
      </c>
      <c r="B33623" s="74" t="s">
        <v>16225</v>
      </c>
      <c r="C33623" s="74" t="s">
        <v>453</v>
      </c>
    </row>
    <row r="33624" spans="1:3">
      <c r="A33624" s="250">
        <v>77663</v>
      </c>
      <c r="B33624" s="74" t="s">
        <v>16226</v>
      </c>
      <c r="C33624" s="74" t="s">
        <v>453</v>
      </c>
    </row>
    <row r="33625" spans="1:3">
      <c r="A33625" s="250">
        <v>77664</v>
      </c>
      <c r="B33625" s="74" t="s">
        <v>622</v>
      </c>
      <c r="C33625" s="74" t="s">
        <v>453</v>
      </c>
    </row>
    <row r="33626" spans="1:3">
      <c r="A33626" s="250">
        <v>77665</v>
      </c>
      <c r="B33626" s="74" t="s">
        <v>16227</v>
      </c>
      <c r="C33626" s="74" t="s">
        <v>453</v>
      </c>
    </row>
    <row r="33627" spans="1:3">
      <c r="A33627" s="250">
        <v>77670</v>
      </c>
      <c r="B33627" s="74" t="s">
        <v>16225</v>
      </c>
      <c r="C33627" s="74" t="s">
        <v>453</v>
      </c>
    </row>
    <row r="33628" spans="1:3">
      <c r="A33628" s="250">
        <v>77701</v>
      </c>
      <c r="B33628" s="74" t="s">
        <v>6036</v>
      </c>
      <c r="C33628" s="74" t="s">
        <v>453</v>
      </c>
    </row>
    <row r="33629" spans="1:3">
      <c r="A33629" s="250">
        <v>77702</v>
      </c>
      <c r="B33629" s="74" t="s">
        <v>6036</v>
      </c>
      <c r="C33629" s="74" t="s">
        <v>453</v>
      </c>
    </row>
    <row r="33630" spans="1:3">
      <c r="A33630" s="250">
        <v>77703</v>
      </c>
      <c r="B33630" s="74" t="s">
        <v>6036</v>
      </c>
      <c r="C33630" s="74" t="s">
        <v>453</v>
      </c>
    </row>
    <row r="33631" spans="1:3">
      <c r="A33631" s="250">
        <v>77704</v>
      </c>
      <c r="B33631" s="74" t="s">
        <v>6036</v>
      </c>
      <c r="C33631" s="74" t="s">
        <v>453</v>
      </c>
    </row>
    <row r="33632" spans="1:3">
      <c r="A33632" s="250">
        <v>77705</v>
      </c>
      <c r="B33632" s="74" t="s">
        <v>6036</v>
      </c>
      <c r="C33632" s="74" t="s">
        <v>453</v>
      </c>
    </row>
    <row r="33633" spans="1:3">
      <c r="A33633" s="250">
        <v>77706</v>
      </c>
      <c r="B33633" s="74" t="s">
        <v>6036</v>
      </c>
      <c r="C33633" s="74" t="s">
        <v>453</v>
      </c>
    </row>
    <row r="33634" spans="1:3">
      <c r="A33634" s="250">
        <v>77707</v>
      </c>
      <c r="B33634" s="74" t="s">
        <v>6036</v>
      </c>
      <c r="C33634" s="74" t="s">
        <v>453</v>
      </c>
    </row>
    <row r="33635" spans="1:3">
      <c r="A33635" s="250">
        <v>77708</v>
      </c>
      <c r="B33635" s="74" t="s">
        <v>6036</v>
      </c>
      <c r="C33635" s="74" t="s">
        <v>453</v>
      </c>
    </row>
    <row r="33636" spans="1:3">
      <c r="A33636" s="250">
        <v>77709</v>
      </c>
      <c r="B33636" s="74" t="s">
        <v>6036</v>
      </c>
      <c r="C33636" s="74" t="s">
        <v>453</v>
      </c>
    </row>
    <row r="33637" spans="1:3">
      <c r="A33637" s="250">
        <v>77710</v>
      </c>
      <c r="B33637" s="74" t="s">
        <v>6036</v>
      </c>
      <c r="C33637" s="74" t="s">
        <v>453</v>
      </c>
    </row>
    <row r="33638" spans="1:3">
      <c r="A33638" s="250">
        <v>77713</v>
      </c>
      <c r="B33638" s="74" t="s">
        <v>6036</v>
      </c>
      <c r="C33638" s="74" t="s">
        <v>453</v>
      </c>
    </row>
    <row r="33639" spans="1:3">
      <c r="A33639" s="250">
        <v>77720</v>
      </c>
      <c r="B33639" s="74" t="s">
        <v>6036</v>
      </c>
      <c r="C33639" s="74" t="s">
        <v>453</v>
      </c>
    </row>
    <row r="33640" spans="1:3">
      <c r="A33640" s="250">
        <v>77725</v>
      </c>
      <c r="B33640" s="74" t="s">
        <v>6036</v>
      </c>
      <c r="C33640" s="74" t="s">
        <v>453</v>
      </c>
    </row>
    <row r="33641" spans="1:3">
      <c r="A33641" s="250">
        <v>77726</v>
      </c>
      <c r="B33641" s="74" t="s">
        <v>6036</v>
      </c>
      <c r="C33641" s="74" t="s">
        <v>453</v>
      </c>
    </row>
    <row r="33642" spans="1:3">
      <c r="A33642" s="250">
        <v>77801</v>
      </c>
      <c r="B33642" s="74" t="s">
        <v>10184</v>
      </c>
      <c r="C33642" s="74" t="s">
        <v>453</v>
      </c>
    </row>
    <row r="33643" spans="1:3">
      <c r="A33643" s="250">
        <v>77802</v>
      </c>
      <c r="B33643" s="74" t="s">
        <v>10184</v>
      </c>
      <c r="C33643" s="74" t="s">
        <v>453</v>
      </c>
    </row>
    <row r="33644" spans="1:3">
      <c r="A33644" s="250">
        <v>77803</v>
      </c>
      <c r="B33644" s="74" t="s">
        <v>10184</v>
      </c>
      <c r="C33644" s="74" t="s">
        <v>453</v>
      </c>
    </row>
    <row r="33645" spans="1:3">
      <c r="A33645" s="250">
        <v>77805</v>
      </c>
      <c r="B33645" s="74" t="s">
        <v>10184</v>
      </c>
      <c r="C33645" s="74" t="s">
        <v>453</v>
      </c>
    </row>
    <row r="33646" spans="1:3">
      <c r="A33646" s="250">
        <v>77806</v>
      </c>
      <c r="B33646" s="74" t="s">
        <v>10184</v>
      </c>
      <c r="C33646" s="74" t="s">
        <v>453</v>
      </c>
    </row>
    <row r="33647" spans="1:3">
      <c r="A33647" s="250">
        <v>77807</v>
      </c>
      <c r="B33647" s="74" t="s">
        <v>10184</v>
      </c>
      <c r="C33647" s="74" t="s">
        <v>453</v>
      </c>
    </row>
    <row r="33648" spans="1:3">
      <c r="A33648" s="250">
        <v>77808</v>
      </c>
      <c r="B33648" s="74" t="s">
        <v>10184</v>
      </c>
      <c r="C33648" s="74" t="s">
        <v>453</v>
      </c>
    </row>
    <row r="33649" spans="1:3">
      <c r="A33649" s="250">
        <v>77830</v>
      </c>
      <c r="B33649" s="74" t="s">
        <v>7764</v>
      </c>
      <c r="C33649" s="74" t="s">
        <v>453</v>
      </c>
    </row>
    <row r="33650" spans="1:3">
      <c r="A33650" s="250">
        <v>77831</v>
      </c>
      <c r="B33650" s="74" t="s">
        <v>16228</v>
      </c>
      <c r="C33650" s="74" t="s">
        <v>453</v>
      </c>
    </row>
    <row r="33651" spans="1:3">
      <c r="A33651" s="250">
        <v>77833</v>
      </c>
      <c r="B33651" s="74" t="s">
        <v>16229</v>
      </c>
      <c r="C33651" s="74" t="s">
        <v>453</v>
      </c>
    </row>
    <row r="33652" spans="1:3">
      <c r="A33652" s="250">
        <v>77834</v>
      </c>
      <c r="B33652" s="74" t="s">
        <v>16229</v>
      </c>
      <c r="C33652" s="74" t="s">
        <v>453</v>
      </c>
    </row>
    <row r="33653" spans="1:3">
      <c r="A33653" s="250">
        <v>77835</v>
      </c>
      <c r="B33653" s="74" t="s">
        <v>6979</v>
      </c>
      <c r="C33653" s="74" t="s">
        <v>453</v>
      </c>
    </row>
    <row r="33654" spans="1:3">
      <c r="A33654" s="250">
        <v>77836</v>
      </c>
      <c r="B33654" s="74" t="s">
        <v>2113</v>
      </c>
      <c r="C33654" s="74" t="s">
        <v>453</v>
      </c>
    </row>
    <row r="33655" spans="1:3">
      <c r="A33655" s="250">
        <v>77837</v>
      </c>
      <c r="B33655" s="74" t="s">
        <v>8893</v>
      </c>
      <c r="C33655" s="74" t="s">
        <v>453</v>
      </c>
    </row>
    <row r="33656" spans="1:3">
      <c r="A33656" s="250">
        <v>77838</v>
      </c>
      <c r="B33656" s="74" t="s">
        <v>16230</v>
      </c>
      <c r="C33656" s="74" t="s">
        <v>453</v>
      </c>
    </row>
    <row r="33657" spans="1:3">
      <c r="A33657" s="250">
        <v>77840</v>
      </c>
      <c r="B33657" s="74" t="s">
        <v>15284</v>
      </c>
      <c r="C33657" s="74" t="s">
        <v>453</v>
      </c>
    </row>
    <row r="33658" spans="1:3">
      <c r="A33658" s="250">
        <v>77841</v>
      </c>
      <c r="B33658" s="74" t="s">
        <v>15284</v>
      </c>
      <c r="C33658" s="74" t="s">
        <v>453</v>
      </c>
    </row>
    <row r="33659" spans="1:3">
      <c r="A33659" s="250">
        <v>77842</v>
      </c>
      <c r="B33659" s="74" t="s">
        <v>15284</v>
      </c>
      <c r="C33659" s="74" t="s">
        <v>453</v>
      </c>
    </row>
    <row r="33660" spans="1:3">
      <c r="A33660" s="250">
        <v>77843</v>
      </c>
      <c r="B33660" s="74" t="s">
        <v>15284</v>
      </c>
      <c r="C33660" s="74" t="s">
        <v>453</v>
      </c>
    </row>
    <row r="33661" spans="1:3">
      <c r="A33661" s="250">
        <v>77844</v>
      </c>
      <c r="B33661" s="74" t="s">
        <v>15284</v>
      </c>
      <c r="C33661" s="74" t="s">
        <v>453</v>
      </c>
    </row>
    <row r="33662" spans="1:3">
      <c r="A33662" s="250">
        <v>77845</v>
      </c>
      <c r="B33662" s="74" t="s">
        <v>15284</v>
      </c>
      <c r="C33662" s="74" t="s">
        <v>453</v>
      </c>
    </row>
    <row r="33663" spans="1:3">
      <c r="A33663" s="250">
        <v>77850</v>
      </c>
      <c r="B33663" s="74" t="s">
        <v>787</v>
      </c>
      <c r="C33663" s="74" t="s">
        <v>453</v>
      </c>
    </row>
    <row r="33664" spans="1:3">
      <c r="A33664" s="250">
        <v>77852</v>
      </c>
      <c r="B33664" s="74" t="s">
        <v>16231</v>
      </c>
      <c r="C33664" s="74" t="s">
        <v>453</v>
      </c>
    </row>
    <row r="33665" spans="1:3">
      <c r="A33665" s="250">
        <v>77853</v>
      </c>
      <c r="B33665" s="74" t="s">
        <v>16232</v>
      </c>
      <c r="C33665" s="74" t="s">
        <v>453</v>
      </c>
    </row>
    <row r="33666" spans="1:3">
      <c r="A33666" s="250">
        <v>77855</v>
      </c>
      <c r="B33666" s="74" t="s">
        <v>16233</v>
      </c>
      <c r="C33666" s="74" t="s">
        <v>453</v>
      </c>
    </row>
    <row r="33667" spans="1:3">
      <c r="A33667" s="250">
        <v>77856</v>
      </c>
      <c r="B33667" s="74" t="s">
        <v>873</v>
      </c>
      <c r="C33667" s="74" t="s">
        <v>453</v>
      </c>
    </row>
    <row r="33668" spans="1:3">
      <c r="A33668" s="250">
        <v>77857</v>
      </c>
      <c r="B33668" s="74" t="s">
        <v>16234</v>
      </c>
      <c r="C33668" s="74" t="s">
        <v>453</v>
      </c>
    </row>
    <row r="33669" spans="1:3">
      <c r="A33669" s="250">
        <v>77859</v>
      </c>
      <c r="B33669" s="74" t="s">
        <v>16235</v>
      </c>
      <c r="C33669" s="74" t="s">
        <v>453</v>
      </c>
    </row>
    <row r="33670" spans="1:3">
      <c r="A33670" s="250">
        <v>77861</v>
      </c>
      <c r="B33670" s="74" t="s">
        <v>12332</v>
      </c>
      <c r="C33670" s="74" t="s">
        <v>453</v>
      </c>
    </row>
    <row r="33671" spans="1:3">
      <c r="A33671" s="250">
        <v>77862</v>
      </c>
      <c r="B33671" s="74" t="s">
        <v>16236</v>
      </c>
      <c r="C33671" s="74" t="s">
        <v>453</v>
      </c>
    </row>
    <row r="33672" spans="1:3">
      <c r="A33672" s="250">
        <v>77863</v>
      </c>
      <c r="B33672" s="74" t="s">
        <v>2349</v>
      </c>
      <c r="C33672" s="74" t="s">
        <v>453</v>
      </c>
    </row>
    <row r="33673" spans="1:3">
      <c r="A33673" s="250">
        <v>77864</v>
      </c>
      <c r="B33673" s="74" t="s">
        <v>9071</v>
      </c>
      <c r="C33673" s="74" t="s">
        <v>453</v>
      </c>
    </row>
    <row r="33674" spans="1:3">
      <c r="A33674" s="250">
        <v>77865</v>
      </c>
      <c r="B33674" s="74" t="s">
        <v>16237</v>
      </c>
      <c r="C33674" s="74" t="s">
        <v>453</v>
      </c>
    </row>
    <row r="33675" spans="1:3">
      <c r="A33675" s="250">
        <v>77866</v>
      </c>
      <c r="B33675" s="74" t="s">
        <v>16238</v>
      </c>
      <c r="C33675" s="74" t="s">
        <v>453</v>
      </c>
    </row>
    <row r="33676" spans="1:3">
      <c r="A33676" s="250">
        <v>77867</v>
      </c>
      <c r="B33676" s="74" t="s">
        <v>3796</v>
      </c>
      <c r="C33676" s="74" t="s">
        <v>453</v>
      </c>
    </row>
    <row r="33677" spans="1:3">
      <c r="A33677" s="250">
        <v>77868</v>
      </c>
      <c r="B33677" s="74" t="s">
        <v>16239</v>
      </c>
      <c r="C33677" s="74" t="s">
        <v>453</v>
      </c>
    </row>
    <row r="33678" spans="1:3">
      <c r="A33678" s="250">
        <v>77869</v>
      </c>
      <c r="B33678" s="74" t="s">
        <v>16239</v>
      </c>
      <c r="C33678" s="74" t="s">
        <v>453</v>
      </c>
    </row>
    <row r="33679" spans="1:3">
      <c r="A33679" s="250">
        <v>77870</v>
      </c>
      <c r="B33679" s="74" t="s">
        <v>13862</v>
      </c>
      <c r="C33679" s="74" t="s">
        <v>453</v>
      </c>
    </row>
    <row r="33680" spans="1:3">
      <c r="A33680" s="250">
        <v>77871</v>
      </c>
      <c r="B33680" s="74" t="s">
        <v>16240</v>
      </c>
      <c r="C33680" s="74" t="s">
        <v>453</v>
      </c>
    </row>
    <row r="33681" spans="1:3">
      <c r="A33681" s="250">
        <v>77872</v>
      </c>
      <c r="B33681" s="74" t="s">
        <v>16241</v>
      </c>
      <c r="C33681" s="74" t="s">
        <v>453</v>
      </c>
    </row>
    <row r="33682" spans="1:3">
      <c r="A33682" s="250">
        <v>77873</v>
      </c>
      <c r="B33682" s="74" t="s">
        <v>14309</v>
      </c>
      <c r="C33682" s="74" t="s">
        <v>453</v>
      </c>
    </row>
    <row r="33683" spans="1:3">
      <c r="A33683" s="250">
        <v>77875</v>
      </c>
      <c r="B33683" s="74" t="s">
        <v>16242</v>
      </c>
      <c r="C33683" s="74" t="s">
        <v>453</v>
      </c>
    </row>
    <row r="33684" spans="1:3">
      <c r="A33684" s="250">
        <v>77876</v>
      </c>
      <c r="B33684" s="74" t="s">
        <v>16243</v>
      </c>
      <c r="C33684" s="74" t="s">
        <v>453</v>
      </c>
    </row>
    <row r="33685" spans="1:3">
      <c r="A33685" s="250">
        <v>77878</v>
      </c>
      <c r="B33685" s="74" t="s">
        <v>16244</v>
      </c>
      <c r="C33685" s="74" t="s">
        <v>453</v>
      </c>
    </row>
    <row r="33686" spans="1:3">
      <c r="A33686" s="250">
        <v>77879</v>
      </c>
      <c r="B33686" s="74" t="s">
        <v>915</v>
      </c>
      <c r="C33686" s="74" t="s">
        <v>453</v>
      </c>
    </row>
    <row r="33687" spans="1:3">
      <c r="A33687" s="250">
        <v>77880</v>
      </c>
      <c r="B33687" s="74" t="s">
        <v>1215</v>
      </c>
      <c r="C33687" s="74" t="s">
        <v>453</v>
      </c>
    </row>
    <row r="33688" spans="1:3">
      <c r="A33688" s="250">
        <v>77881</v>
      </c>
      <c r="B33688" s="74" t="s">
        <v>8236</v>
      </c>
      <c r="C33688" s="74" t="s">
        <v>453</v>
      </c>
    </row>
    <row r="33689" spans="1:3">
      <c r="A33689" s="250">
        <v>77882</v>
      </c>
      <c r="B33689" s="74" t="s">
        <v>16245</v>
      </c>
      <c r="C33689" s="74" t="s">
        <v>453</v>
      </c>
    </row>
    <row r="33690" spans="1:3">
      <c r="A33690" s="250">
        <v>77901</v>
      </c>
      <c r="B33690" s="74" t="s">
        <v>6250</v>
      </c>
      <c r="C33690" s="74" t="s">
        <v>453</v>
      </c>
    </row>
    <row r="33691" spans="1:3">
      <c r="A33691" s="250">
        <v>77902</v>
      </c>
      <c r="B33691" s="74" t="s">
        <v>6250</v>
      </c>
      <c r="C33691" s="74" t="s">
        <v>453</v>
      </c>
    </row>
    <row r="33692" spans="1:3">
      <c r="A33692" s="250">
        <v>77903</v>
      </c>
      <c r="B33692" s="74" t="s">
        <v>6250</v>
      </c>
      <c r="C33692" s="74" t="s">
        <v>453</v>
      </c>
    </row>
    <row r="33693" spans="1:3">
      <c r="A33693" s="250">
        <v>77904</v>
      </c>
      <c r="B33693" s="74" t="s">
        <v>6250</v>
      </c>
      <c r="C33693" s="74" t="s">
        <v>453</v>
      </c>
    </row>
    <row r="33694" spans="1:3">
      <c r="A33694" s="250">
        <v>77905</v>
      </c>
      <c r="B33694" s="74" t="s">
        <v>6250</v>
      </c>
      <c r="C33694" s="74" t="s">
        <v>453</v>
      </c>
    </row>
    <row r="33695" spans="1:3">
      <c r="A33695" s="250">
        <v>77950</v>
      </c>
      <c r="B33695" s="74" t="s">
        <v>16246</v>
      </c>
      <c r="C33695" s="74" t="s">
        <v>453</v>
      </c>
    </row>
    <row r="33696" spans="1:3">
      <c r="A33696" s="250">
        <v>77951</v>
      </c>
      <c r="B33696" s="74" t="s">
        <v>3032</v>
      </c>
      <c r="C33696" s="74" t="s">
        <v>453</v>
      </c>
    </row>
    <row r="33697" spans="1:3">
      <c r="A33697" s="250">
        <v>77954</v>
      </c>
      <c r="B33697" s="74" t="s">
        <v>16247</v>
      </c>
      <c r="C33697" s="74" t="s">
        <v>453</v>
      </c>
    </row>
    <row r="33698" spans="1:3">
      <c r="A33698" s="250">
        <v>77957</v>
      </c>
      <c r="B33698" s="74" t="s">
        <v>14627</v>
      </c>
      <c r="C33698" s="74" t="s">
        <v>453</v>
      </c>
    </row>
    <row r="33699" spans="1:3">
      <c r="A33699" s="250">
        <v>77960</v>
      </c>
      <c r="B33699" s="74" t="s">
        <v>16248</v>
      </c>
      <c r="C33699" s="74" t="s">
        <v>453</v>
      </c>
    </row>
    <row r="33700" spans="1:3">
      <c r="A33700" s="250">
        <v>77961</v>
      </c>
      <c r="B33700" s="74" t="s">
        <v>16249</v>
      </c>
      <c r="C33700" s="74" t="s">
        <v>453</v>
      </c>
    </row>
    <row r="33701" spans="1:3">
      <c r="A33701" s="250">
        <v>77962</v>
      </c>
      <c r="B33701" s="74" t="s">
        <v>16250</v>
      </c>
      <c r="C33701" s="74" t="s">
        <v>453</v>
      </c>
    </row>
    <row r="33702" spans="1:3">
      <c r="A33702" s="250">
        <v>77963</v>
      </c>
      <c r="B33702" s="74" t="s">
        <v>16251</v>
      </c>
      <c r="C33702" s="74" t="s">
        <v>453</v>
      </c>
    </row>
    <row r="33703" spans="1:3">
      <c r="A33703" s="250">
        <v>77964</v>
      </c>
      <c r="B33703" s="74" t="s">
        <v>16252</v>
      </c>
      <c r="C33703" s="74" t="s">
        <v>453</v>
      </c>
    </row>
    <row r="33704" spans="1:3">
      <c r="A33704" s="250">
        <v>77967</v>
      </c>
      <c r="B33704" s="74" t="s">
        <v>16253</v>
      </c>
      <c r="C33704" s="74" t="s">
        <v>453</v>
      </c>
    </row>
    <row r="33705" spans="1:3">
      <c r="A33705" s="250">
        <v>77968</v>
      </c>
      <c r="B33705" s="74" t="s">
        <v>9768</v>
      </c>
      <c r="C33705" s="74" t="s">
        <v>453</v>
      </c>
    </row>
    <row r="33706" spans="1:3">
      <c r="A33706" s="250">
        <v>77969</v>
      </c>
      <c r="B33706" s="74" t="s">
        <v>11020</v>
      </c>
      <c r="C33706" s="74" t="s">
        <v>453</v>
      </c>
    </row>
    <row r="33707" spans="1:3">
      <c r="A33707" s="250">
        <v>77970</v>
      </c>
      <c r="B33707" s="74" t="s">
        <v>16254</v>
      </c>
      <c r="C33707" s="74" t="s">
        <v>453</v>
      </c>
    </row>
    <row r="33708" spans="1:3">
      <c r="A33708" s="250">
        <v>77971</v>
      </c>
      <c r="B33708" s="74" t="s">
        <v>16255</v>
      </c>
      <c r="C33708" s="74" t="s">
        <v>453</v>
      </c>
    </row>
    <row r="33709" spans="1:3">
      <c r="A33709" s="250">
        <v>77973</v>
      </c>
      <c r="B33709" s="74" t="s">
        <v>16256</v>
      </c>
      <c r="C33709" s="74" t="s">
        <v>453</v>
      </c>
    </row>
    <row r="33710" spans="1:3">
      <c r="A33710" s="250">
        <v>77974</v>
      </c>
      <c r="B33710" s="74" t="s">
        <v>16257</v>
      </c>
      <c r="C33710" s="74" t="s">
        <v>453</v>
      </c>
    </row>
    <row r="33711" spans="1:3">
      <c r="A33711" s="250">
        <v>77975</v>
      </c>
      <c r="B33711" s="74" t="s">
        <v>8733</v>
      </c>
      <c r="C33711" s="74" t="s">
        <v>453</v>
      </c>
    </row>
    <row r="33712" spans="1:3">
      <c r="A33712" s="250">
        <v>77976</v>
      </c>
      <c r="B33712" s="74" t="s">
        <v>16258</v>
      </c>
      <c r="C33712" s="74" t="s">
        <v>453</v>
      </c>
    </row>
    <row r="33713" spans="1:3">
      <c r="A33713" s="250">
        <v>77977</v>
      </c>
      <c r="B33713" s="74" t="s">
        <v>16259</v>
      </c>
      <c r="C33713" s="74" t="s">
        <v>453</v>
      </c>
    </row>
    <row r="33714" spans="1:3">
      <c r="A33714" s="250">
        <v>77978</v>
      </c>
      <c r="B33714" s="74" t="s">
        <v>16260</v>
      </c>
      <c r="C33714" s="74" t="s">
        <v>453</v>
      </c>
    </row>
    <row r="33715" spans="1:3">
      <c r="A33715" s="250">
        <v>77979</v>
      </c>
      <c r="B33715" s="74" t="s">
        <v>16261</v>
      </c>
      <c r="C33715" s="74" t="s">
        <v>453</v>
      </c>
    </row>
    <row r="33716" spans="1:3">
      <c r="A33716" s="250">
        <v>77982</v>
      </c>
      <c r="B33716" s="74" t="s">
        <v>16262</v>
      </c>
      <c r="C33716" s="74" t="s">
        <v>453</v>
      </c>
    </row>
    <row r="33717" spans="1:3">
      <c r="A33717" s="250">
        <v>77983</v>
      </c>
      <c r="B33717" s="74" t="s">
        <v>16263</v>
      </c>
      <c r="C33717" s="74" t="s">
        <v>453</v>
      </c>
    </row>
    <row r="33718" spans="1:3">
      <c r="A33718" s="250">
        <v>77984</v>
      </c>
      <c r="B33718" s="74" t="s">
        <v>16264</v>
      </c>
      <c r="C33718" s="74" t="s">
        <v>453</v>
      </c>
    </row>
    <row r="33719" spans="1:3">
      <c r="A33719" s="250">
        <v>77986</v>
      </c>
      <c r="B33719" s="74" t="s">
        <v>16265</v>
      </c>
      <c r="C33719" s="74" t="s">
        <v>453</v>
      </c>
    </row>
    <row r="33720" spans="1:3">
      <c r="A33720" s="250">
        <v>77987</v>
      </c>
      <c r="B33720" s="74" t="s">
        <v>15321</v>
      </c>
      <c r="C33720" s="74" t="s">
        <v>453</v>
      </c>
    </row>
    <row r="33721" spans="1:3">
      <c r="A33721" s="250">
        <v>77988</v>
      </c>
      <c r="B33721" s="74" t="s">
        <v>16266</v>
      </c>
      <c r="C33721" s="74" t="s">
        <v>453</v>
      </c>
    </row>
    <row r="33722" spans="1:3">
      <c r="A33722" s="250">
        <v>77989</v>
      </c>
      <c r="B33722" s="74" t="s">
        <v>1673</v>
      </c>
      <c r="C33722" s="74" t="s">
        <v>453</v>
      </c>
    </row>
    <row r="33723" spans="1:3">
      <c r="A33723" s="250">
        <v>77990</v>
      </c>
      <c r="B33723" s="74" t="s">
        <v>3151</v>
      </c>
      <c r="C33723" s="74" t="s">
        <v>453</v>
      </c>
    </row>
    <row r="33724" spans="1:3">
      <c r="A33724" s="250">
        <v>77991</v>
      </c>
      <c r="B33724" s="74" t="s">
        <v>4149</v>
      </c>
      <c r="C33724" s="74" t="s">
        <v>453</v>
      </c>
    </row>
    <row r="33725" spans="1:3">
      <c r="A33725" s="250">
        <v>77993</v>
      </c>
      <c r="B33725" s="74" t="s">
        <v>16267</v>
      </c>
      <c r="C33725" s="74" t="s">
        <v>453</v>
      </c>
    </row>
    <row r="33726" spans="1:3">
      <c r="A33726" s="250">
        <v>77994</v>
      </c>
      <c r="B33726" s="74" t="s">
        <v>16268</v>
      </c>
      <c r="C33726" s="74" t="s">
        <v>453</v>
      </c>
    </row>
    <row r="33727" spans="1:3">
      <c r="A33727" s="250">
        <v>77995</v>
      </c>
      <c r="B33727" s="74" t="s">
        <v>16269</v>
      </c>
      <c r="C33727" s="74" t="s">
        <v>453</v>
      </c>
    </row>
    <row r="33728" spans="1:3">
      <c r="A33728" s="250">
        <v>78001</v>
      </c>
      <c r="B33728" s="74" t="s">
        <v>16270</v>
      </c>
      <c r="C33728" s="74" t="s">
        <v>453</v>
      </c>
    </row>
    <row r="33729" spans="1:3">
      <c r="A33729" s="250">
        <v>78002</v>
      </c>
      <c r="B33729" s="74" t="s">
        <v>16271</v>
      </c>
      <c r="C33729" s="74" t="s">
        <v>453</v>
      </c>
    </row>
    <row r="33730" spans="1:3">
      <c r="A33730" s="250">
        <v>78003</v>
      </c>
      <c r="B33730" s="74" t="s">
        <v>16272</v>
      </c>
      <c r="C33730" s="74" t="s">
        <v>453</v>
      </c>
    </row>
    <row r="33731" spans="1:3">
      <c r="A33731" s="250">
        <v>78004</v>
      </c>
      <c r="B33731" s="74" t="s">
        <v>16273</v>
      </c>
      <c r="C33731" s="74" t="s">
        <v>453</v>
      </c>
    </row>
    <row r="33732" spans="1:3">
      <c r="A33732" s="250">
        <v>78005</v>
      </c>
      <c r="B33732" s="74" t="s">
        <v>16274</v>
      </c>
      <c r="C33732" s="74" t="s">
        <v>453</v>
      </c>
    </row>
    <row r="33733" spans="1:3">
      <c r="A33733" s="250">
        <v>78006</v>
      </c>
      <c r="B33733" s="74" t="s">
        <v>16275</v>
      </c>
      <c r="C33733" s="74" t="s">
        <v>453</v>
      </c>
    </row>
    <row r="33734" spans="1:3">
      <c r="A33734" s="250">
        <v>78007</v>
      </c>
      <c r="B33734" s="74" t="s">
        <v>16276</v>
      </c>
      <c r="C33734" s="74" t="s">
        <v>453</v>
      </c>
    </row>
    <row r="33735" spans="1:3">
      <c r="A33735" s="250">
        <v>78008</v>
      </c>
      <c r="B33735" s="74" t="s">
        <v>8299</v>
      </c>
      <c r="C33735" s="74" t="s">
        <v>453</v>
      </c>
    </row>
    <row r="33736" spans="1:3">
      <c r="A33736" s="250">
        <v>78009</v>
      </c>
      <c r="B33736" s="74" t="s">
        <v>16277</v>
      </c>
      <c r="C33736" s="74" t="s">
        <v>453</v>
      </c>
    </row>
    <row r="33737" spans="1:3">
      <c r="A33737" s="250">
        <v>78010</v>
      </c>
      <c r="B33737" s="74" t="s">
        <v>6933</v>
      </c>
      <c r="C33737" s="74" t="s">
        <v>453</v>
      </c>
    </row>
    <row r="33738" spans="1:3">
      <c r="A33738" s="250">
        <v>78011</v>
      </c>
      <c r="B33738" s="74" t="s">
        <v>1806</v>
      </c>
      <c r="C33738" s="74" t="s">
        <v>453</v>
      </c>
    </row>
    <row r="33739" spans="1:3">
      <c r="A33739" s="250">
        <v>78012</v>
      </c>
      <c r="B33739" s="74" t="s">
        <v>13005</v>
      </c>
      <c r="C33739" s="74" t="s">
        <v>453</v>
      </c>
    </row>
    <row r="33740" spans="1:3">
      <c r="A33740" s="250">
        <v>78013</v>
      </c>
      <c r="B33740" s="74" t="s">
        <v>6592</v>
      </c>
      <c r="C33740" s="74" t="s">
        <v>453</v>
      </c>
    </row>
    <row r="33741" spans="1:3">
      <c r="A33741" s="250">
        <v>78014</v>
      </c>
      <c r="B33741" s="74" t="s">
        <v>16278</v>
      </c>
      <c r="C33741" s="74" t="s">
        <v>453</v>
      </c>
    </row>
    <row r="33742" spans="1:3">
      <c r="A33742" s="250">
        <v>78015</v>
      </c>
      <c r="B33742" s="74" t="s">
        <v>16275</v>
      </c>
      <c r="C33742" s="74" t="s">
        <v>453</v>
      </c>
    </row>
    <row r="33743" spans="1:3">
      <c r="A33743" s="250">
        <v>78016</v>
      </c>
      <c r="B33743" s="74" t="s">
        <v>16279</v>
      </c>
      <c r="C33743" s="74" t="s">
        <v>453</v>
      </c>
    </row>
    <row r="33744" spans="1:3">
      <c r="A33744" s="250">
        <v>78017</v>
      </c>
      <c r="B33744" s="74" t="s">
        <v>16280</v>
      </c>
      <c r="C33744" s="74" t="s">
        <v>453</v>
      </c>
    </row>
    <row r="33745" spans="1:3">
      <c r="A33745" s="250">
        <v>78019</v>
      </c>
      <c r="B33745" s="74" t="s">
        <v>16281</v>
      </c>
      <c r="C33745" s="74" t="s">
        <v>453</v>
      </c>
    </row>
    <row r="33746" spans="1:3">
      <c r="A33746" s="250">
        <v>78021</v>
      </c>
      <c r="B33746" s="74" t="s">
        <v>10765</v>
      </c>
      <c r="C33746" s="74" t="s">
        <v>453</v>
      </c>
    </row>
    <row r="33747" spans="1:3">
      <c r="A33747" s="250">
        <v>78022</v>
      </c>
      <c r="B33747" s="74" t="s">
        <v>16282</v>
      </c>
      <c r="C33747" s="74" t="s">
        <v>453</v>
      </c>
    </row>
    <row r="33748" spans="1:3">
      <c r="A33748" s="250">
        <v>78023</v>
      </c>
      <c r="B33748" s="74" t="s">
        <v>16283</v>
      </c>
      <c r="C33748" s="74" t="s">
        <v>453</v>
      </c>
    </row>
    <row r="33749" spans="1:3">
      <c r="A33749" s="250">
        <v>78024</v>
      </c>
      <c r="B33749" s="74" t="s">
        <v>3919</v>
      </c>
      <c r="C33749" s="74" t="s">
        <v>453</v>
      </c>
    </row>
    <row r="33750" spans="1:3">
      <c r="A33750" s="250">
        <v>78025</v>
      </c>
      <c r="B33750" s="74" t="s">
        <v>9718</v>
      </c>
      <c r="C33750" s="74" t="s">
        <v>453</v>
      </c>
    </row>
    <row r="33751" spans="1:3">
      <c r="A33751" s="250">
        <v>78026</v>
      </c>
      <c r="B33751" s="74" t="s">
        <v>16284</v>
      </c>
      <c r="C33751" s="74" t="s">
        <v>453</v>
      </c>
    </row>
    <row r="33752" spans="1:3">
      <c r="A33752" s="250">
        <v>78027</v>
      </c>
      <c r="B33752" s="74" t="s">
        <v>16285</v>
      </c>
      <c r="C33752" s="74" t="s">
        <v>453</v>
      </c>
    </row>
    <row r="33753" spans="1:3">
      <c r="A33753" s="250">
        <v>78028</v>
      </c>
      <c r="B33753" s="74" t="s">
        <v>16286</v>
      </c>
      <c r="C33753" s="74" t="s">
        <v>453</v>
      </c>
    </row>
    <row r="33754" spans="1:3">
      <c r="A33754" s="250">
        <v>78029</v>
      </c>
      <c r="B33754" s="74" t="s">
        <v>16286</v>
      </c>
      <c r="C33754" s="74" t="s">
        <v>453</v>
      </c>
    </row>
    <row r="33755" spans="1:3">
      <c r="A33755" s="250">
        <v>78039</v>
      </c>
      <c r="B33755" s="74" t="s">
        <v>16287</v>
      </c>
      <c r="C33755" s="74" t="s">
        <v>453</v>
      </c>
    </row>
    <row r="33756" spans="1:3">
      <c r="A33756" s="250">
        <v>78040</v>
      </c>
      <c r="B33756" s="74" t="s">
        <v>14283</v>
      </c>
      <c r="C33756" s="74" t="s">
        <v>453</v>
      </c>
    </row>
    <row r="33757" spans="1:3">
      <c r="A33757" s="250">
        <v>78041</v>
      </c>
      <c r="B33757" s="74" t="s">
        <v>14283</v>
      </c>
      <c r="C33757" s="74" t="s">
        <v>453</v>
      </c>
    </row>
    <row r="33758" spans="1:3">
      <c r="A33758" s="250">
        <v>78042</v>
      </c>
      <c r="B33758" s="74" t="s">
        <v>14283</v>
      </c>
      <c r="C33758" s="74" t="s">
        <v>453</v>
      </c>
    </row>
    <row r="33759" spans="1:3">
      <c r="A33759" s="250">
        <v>78043</v>
      </c>
      <c r="B33759" s="74" t="s">
        <v>14283</v>
      </c>
      <c r="C33759" s="74" t="s">
        <v>453</v>
      </c>
    </row>
    <row r="33760" spans="1:3">
      <c r="A33760" s="250">
        <v>78044</v>
      </c>
      <c r="B33760" s="74" t="s">
        <v>14283</v>
      </c>
      <c r="C33760" s="74" t="s">
        <v>453</v>
      </c>
    </row>
    <row r="33761" spans="1:3">
      <c r="A33761" s="250">
        <v>78045</v>
      </c>
      <c r="B33761" s="74" t="s">
        <v>14283</v>
      </c>
      <c r="C33761" s="74" t="s">
        <v>453</v>
      </c>
    </row>
    <row r="33762" spans="1:3">
      <c r="A33762" s="250">
        <v>78046</v>
      </c>
      <c r="B33762" s="74" t="s">
        <v>14283</v>
      </c>
      <c r="C33762" s="74" t="s">
        <v>453</v>
      </c>
    </row>
    <row r="33763" spans="1:3">
      <c r="A33763" s="250">
        <v>78049</v>
      </c>
      <c r="B33763" s="74" t="s">
        <v>14283</v>
      </c>
      <c r="C33763" s="74" t="s">
        <v>453</v>
      </c>
    </row>
    <row r="33764" spans="1:3">
      <c r="A33764" s="250">
        <v>78050</v>
      </c>
      <c r="B33764" s="74" t="s">
        <v>16288</v>
      </c>
      <c r="C33764" s="74" t="s">
        <v>453</v>
      </c>
    </row>
    <row r="33765" spans="1:3">
      <c r="A33765" s="250">
        <v>78052</v>
      </c>
      <c r="B33765" s="74" t="s">
        <v>16289</v>
      </c>
      <c r="C33765" s="74" t="s">
        <v>453</v>
      </c>
    </row>
    <row r="33766" spans="1:3">
      <c r="A33766" s="250">
        <v>78054</v>
      </c>
      <c r="B33766" s="74" t="s">
        <v>16290</v>
      </c>
      <c r="C33766" s="74" t="s">
        <v>453</v>
      </c>
    </row>
    <row r="33767" spans="1:3">
      <c r="A33767" s="250">
        <v>78055</v>
      </c>
      <c r="B33767" s="74" t="s">
        <v>3719</v>
      </c>
      <c r="C33767" s="74" t="s">
        <v>453</v>
      </c>
    </row>
    <row r="33768" spans="1:3">
      <c r="A33768" s="250">
        <v>78056</v>
      </c>
      <c r="B33768" s="74" t="s">
        <v>16291</v>
      </c>
      <c r="C33768" s="74" t="s">
        <v>453</v>
      </c>
    </row>
    <row r="33769" spans="1:3">
      <c r="A33769" s="250">
        <v>78057</v>
      </c>
      <c r="B33769" s="74" t="s">
        <v>7681</v>
      </c>
      <c r="C33769" s="74" t="s">
        <v>453</v>
      </c>
    </row>
    <row r="33770" spans="1:3">
      <c r="A33770" s="250">
        <v>78058</v>
      </c>
      <c r="B33770" s="74" t="s">
        <v>7564</v>
      </c>
      <c r="C33770" s="74" t="s">
        <v>453</v>
      </c>
    </row>
    <row r="33771" spans="1:3">
      <c r="A33771" s="250">
        <v>78059</v>
      </c>
      <c r="B33771" s="74" t="s">
        <v>16292</v>
      </c>
      <c r="C33771" s="74" t="s">
        <v>453</v>
      </c>
    </row>
    <row r="33772" spans="1:3">
      <c r="A33772" s="250">
        <v>78060</v>
      </c>
      <c r="B33772" s="74" t="s">
        <v>2090</v>
      </c>
      <c r="C33772" s="74" t="s">
        <v>453</v>
      </c>
    </row>
    <row r="33773" spans="1:3">
      <c r="A33773" s="250">
        <v>78061</v>
      </c>
      <c r="B33773" s="74" t="s">
        <v>16293</v>
      </c>
      <c r="C33773" s="74" t="s">
        <v>453</v>
      </c>
    </row>
    <row r="33774" spans="1:3">
      <c r="A33774" s="250">
        <v>78062</v>
      </c>
      <c r="B33774" s="74" t="s">
        <v>16294</v>
      </c>
      <c r="C33774" s="74" t="s">
        <v>453</v>
      </c>
    </row>
    <row r="33775" spans="1:3">
      <c r="A33775" s="250">
        <v>78063</v>
      </c>
      <c r="B33775" s="74" t="s">
        <v>16295</v>
      </c>
      <c r="C33775" s="74" t="s">
        <v>453</v>
      </c>
    </row>
    <row r="33776" spans="1:3">
      <c r="A33776" s="250">
        <v>78064</v>
      </c>
      <c r="B33776" s="74" t="s">
        <v>14504</v>
      </c>
      <c r="C33776" s="74" t="s">
        <v>453</v>
      </c>
    </row>
    <row r="33777" spans="1:3">
      <c r="A33777" s="250">
        <v>78065</v>
      </c>
      <c r="B33777" s="74" t="s">
        <v>16296</v>
      </c>
      <c r="C33777" s="74" t="s">
        <v>453</v>
      </c>
    </row>
    <row r="33778" spans="1:3">
      <c r="A33778" s="250">
        <v>78066</v>
      </c>
      <c r="B33778" s="74" t="s">
        <v>16297</v>
      </c>
      <c r="C33778" s="74" t="s">
        <v>453</v>
      </c>
    </row>
    <row r="33779" spans="1:3">
      <c r="A33779" s="250">
        <v>78067</v>
      </c>
      <c r="B33779" s="74" t="s">
        <v>16298</v>
      </c>
      <c r="C33779" s="74" t="s">
        <v>453</v>
      </c>
    </row>
    <row r="33780" spans="1:3">
      <c r="A33780" s="250">
        <v>78069</v>
      </c>
      <c r="B33780" s="74" t="s">
        <v>1070</v>
      </c>
      <c r="C33780" s="74" t="s">
        <v>453</v>
      </c>
    </row>
    <row r="33781" spans="1:3">
      <c r="A33781" s="250">
        <v>78070</v>
      </c>
      <c r="B33781" s="74" t="s">
        <v>16299</v>
      </c>
      <c r="C33781" s="74" t="s">
        <v>453</v>
      </c>
    </row>
    <row r="33782" spans="1:3">
      <c r="A33782" s="250">
        <v>78071</v>
      </c>
      <c r="B33782" s="74" t="s">
        <v>619</v>
      </c>
      <c r="C33782" s="74" t="s">
        <v>453</v>
      </c>
    </row>
    <row r="33783" spans="1:3">
      <c r="A33783" s="250">
        <v>78072</v>
      </c>
      <c r="B33783" s="74" t="s">
        <v>13875</v>
      </c>
      <c r="C33783" s="74" t="s">
        <v>453</v>
      </c>
    </row>
    <row r="33784" spans="1:3">
      <c r="A33784" s="250">
        <v>78073</v>
      </c>
      <c r="B33784" s="74" t="s">
        <v>16300</v>
      </c>
      <c r="C33784" s="74" t="s">
        <v>453</v>
      </c>
    </row>
    <row r="33785" spans="1:3">
      <c r="A33785" s="250">
        <v>78074</v>
      </c>
      <c r="B33785" s="74" t="s">
        <v>16301</v>
      </c>
      <c r="C33785" s="74" t="s">
        <v>453</v>
      </c>
    </row>
    <row r="33786" spans="1:3">
      <c r="A33786" s="250">
        <v>78075</v>
      </c>
      <c r="B33786" s="74" t="s">
        <v>7132</v>
      </c>
      <c r="C33786" s="74" t="s">
        <v>453</v>
      </c>
    </row>
    <row r="33787" spans="1:3">
      <c r="A33787" s="250">
        <v>78076</v>
      </c>
      <c r="B33787" s="74" t="s">
        <v>16302</v>
      </c>
      <c r="C33787" s="74" t="s">
        <v>453</v>
      </c>
    </row>
    <row r="33788" spans="1:3">
      <c r="A33788" s="250">
        <v>78101</v>
      </c>
      <c r="B33788" s="74" t="s">
        <v>16303</v>
      </c>
      <c r="C33788" s="74" t="s">
        <v>453</v>
      </c>
    </row>
    <row r="33789" spans="1:3">
      <c r="A33789" s="250">
        <v>78102</v>
      </c>
      <c r="B33789" s="74" t="s">
        <v>16304</v>
      </c>
      <c r="C33789" s="74" t="s">
        <v>453</v>
      </c>
    </row>
    <row r="33790" spans="1:3">
      <c r="A33790" s="250">
        <v>78104</v>
      </c>
      <c r="B33790" s="74" t="s">
        <v>16304</v>
      </c>
      <c r="C33790" s="74" t="s">
        <v>453</v>
      </c>
    </row>
    <row r="33791" spans="1:3">
      <c r="A33791" s="250">
        <v>78107</v>
      </c>
      <c r="B33791" s="74" t="s">
        <v>16305</v>
      </c>
      <c r="C33791" s="74" t="s">
        <v>453</v>
      </c>
    </row>
    <row r="33792" spans="1:3">
      <c r="A33792" s="250">
        <v>78108</v>
      </c>
      <c r="B33792" s="74" t="s">
        <v>16306</v>
      </c>
      <c r="C33792" s="74" t="s">
        <v>453</v>
      </c>
    </row>
    <row r="33793" spans="1:3">
      <c r="A33793" s="250">
        <v>78109</v>
      </c>
      <c r="B33793" s="74" t="s">
        <v>7664</v>
      </c>
      <c r="C33793" s="74" t="s">
        <v>453</v>
      </c>
    </row>
    <row r="33794" spans="1:3">
      <c r="A33794" s="250">
        <v>78111</v>
      </c>
      <c r="B33794" s="74" t="s">
        <v>16307</v>
      </c>
      <c r="C33794" s="74" t="s">
        <v>453</v>
      </c>
    </row>
    <row r="33795" spans="1:3">
      <c r="A33795" s="250">
        <v>78112</v>
      </c>
      <c r="B33795" s="74" t="s">
        <v>16308</v>
      </c>
      <c r="C33795" s="74" t="s">
        <v>453</v>
      </c>
    </row>
    <row r="33796" spans="1:3">
      <c r="A33796" s="250">
        <v>78113</v>
      </c>
      <c r="B33796" s="74" t="s">
        <v>14762</v>
      </c>
      <c r="C33796" s="74" t="s">
        <v>453</v>
      </c>
    </row>
    <row r="33797" spans="1:3">
      <c r="A33797" s="250">
        <v>78114</v>
      </c>
      <c r="B33797" s="74" t="s">
        <v>16309</v>
      </c>
      <c r="C33797" s="74" t="s">
        <v>453</v>
      </c>
    </row>
    <row r="33798" spans="1:3">
      <c r="A33798" s="250">
        <v>78115</v>
      </c>
      <c r="B33798" s="74" t="s">
        <v>15566</v>
      </c>
      <c r="C33798" s="74" t="s">
        <v>453</v>
      </c>
    </row>
    <row r="33799" spans="1:3">
      <c r="A33799" s="250">
        <v>78116</v>
      </c>
      <c r="B33799" s="74" t="s">
        <v>4674</v>
      </c>
      <c r="C33799" s="74" t="s">
        <v>453</v>
      </c>
    </row>
    <row r="33800" spans="1:3">
      <c r="A33800" s="250">
        <v>78117</v>
      </c>
      <c r="B33800" s="74" t="s">
        <v>13322</v>
      </c>
      <c r="C33800" s="74" t="s">
        <v>453</v>
      </c>
    </row>
    <row r="33801" spans="1:3">
      <c r="A33801" s="250">
        <v>78118</v>
      </c>
      <c r="B33801" s="74" t="s">
        <v>16310</v>
      </c>
      <c r="C33801" s="74" t="s">
        <v>453</v>
      </c>
    </row>
    <row r="33802" spans="1:3">
      <c r="A33802" s="250">
        <v>78119</v>
      </c>
      <c r="B33802" s="74" t="s">
        <v>16311</v>
      </c>
      <c r="C33802" s="74" t="s">
        <v>453</v>
      </c>
    </row>
    <row r="33803" spans="1:3">
      <c r="A33803" s="250">
        <v>78121</v>
      </c>
      <c r="B33803" s="74" t="s">
        <v>16312</v>
      </c>
      <c r="C33803" s="74" t="s">
        <v>453</v>
      </c>
    </row>
    <row r="33804" spans="1:3">
      <c r="A33804" s="250">
        <v>78122</v>
      </c>
      <c r="B33804" s="74" t="s">
        <v>7622</v>
      </c>
      <c r="C33804" s="74" t="s">
        <v>453</v>
      </c>
    </row>
    <row r="33805" spans="1:3">
      <c r="A33805" s="250">
        <v>78123</v>
      </c>
      <c r="B33805" s="74" t="s">
        <v>16313</v>
      </c>
      <c r="C33805" s="74" t="s">
        <v>453</v>
      </c>
    </row>
    <row r="33806" spans="1:3">
      <c r="A33806" s="250">
        <v>78124</v>
      </c>
      <c r="B33806" s="74" t="s">
        <v>1071</v>
      </c>
      <c r="C33806" s="74" t="s">
        <v>453</v>
      </c>
    </row>
    <row r="33807" spans="1:3">
      <c r="A33807" s="250">
        <v>78125</v>
      </c>
      <c r="B33807" s="74" t="s">
        <v>6087</v>
      </c>
      <c r="C33807" s="74" t="s">
        <v>453</v>
      </c>
    </row>
    <row r="33808" spans="1:3">
      <c r="A33808" s="250">
        <v>78130</v>
      </c>
      <c r="B33808" s="74" t="s">
        <v>16314</v>
      </c>
      <c r="C33808" s="74" t="s">
        <v>453</v>
      </c>
    </row>
    <row r="33809" spans="1:3">
      <c r="A33809" s="250">
        <v>78131</v>
      </c>
      <c r="B33809" s="74" t="s">
        <v>16314</v>
      </c>
      <c r="C33809" s="74" t="s">
        <v>453</v>
      </c>
    </row>
    <row r="33810" spans="1:3">
      <c r="A33810" s="250">
        <v>78132</v>
      </c>
      <c r="B33810" s="74" t="s">
        <v>16314</v>
      </c>
      <c r="C33810" s="74" t="s">
        <v>453</v>
      </c>
    </row>
    <row r="33811" spans="1:3">
      <c r="A33811" s="250">
        <v>78133</v>
      </c>
      <c r="B33811" s="74" t="s">
        <v>16315</v>
      </c>
      <c r="C33811" s="74" t="s">
        <v>453</v>
      </c>
    </row>
    <row r="33812" spans="1:3">
      <c r="A33812" s="250">
        <v>78135</v>
      </c>
      <c r="B33812" s="74" t="s">
        <v>16314</v>
      </c>
      <c r="C33812" s="74" t="s">
        <v>453</v>
      </c>
    </row>
    <row r="33813" spans="1:3">
      <c r="A33813" s="250">
        <v>78140</v>
      </c>
      <c r="B33813" s="74" t="s">
        <v>16316</v>
      </c>
      <c r="C33813" s="74" t="s">
        <v>453</v>
      </c>
    </row>
    <row r="33814" spans="1:3">
      <c r="A33814" s="250">
        <v>78141</v>
      </c>
      <c r="B33814" s="74" t="s">
        <v>16317</v>
      </c>
      <c r="C33814" s="74" t="s">
        <v>453</v>
      </c>
    </row>
    <row r="33815" spans="1:3">
      <c r="A33815" s="250">
        <v>78142</v>
      </c>
      <c r="B33815" s="74" t="s">
        <v>16318</v>
      </c>
      <c r="C33815" s="74" t="s">
        <v>453</v>
      </c>
    </row>
    <row r="33816" spans="1:3">
      <c r="A33816" s="250">
        <v>78143</v>
      </c>
      <c r="B33816" s="74" t="s">
        <v>10625</v>
      </c>
      <c r="C33816" s="74" t="s">
        <v>453</v>
      </c>
    </row>
    <row r="33817" spans="1:3">
      <c r="A33817" s="250">
        <v>78144</v>
      </c>
      <c r="B33817" s="74" t="s">
        <v>16319</v>
      </c>
      <c r="C33817" s="74" t="s">
        <v>453</v>
      </c>
    </row>
    <row r="33818" spans="1:3">
      <c r="A33818" s="250">
        <v>78145</v>
      </c>
      <c r="B33818" s="74" t="s">
        <v>13936</v>
      </c>
      <c r="C33818" s="74" t="s">
        <v>453</v>
      </c>
    </row>
    <row r="33819" spans="1:3">
      <c r="A33819" s="250">
        <v>78146</v>
      </c>
      <c r="B33819" s="74" t="s">
        <v>16320</v>
      </c>
      <c r="C33819" s="74" t="s">
        <v>453</v>
      </c>
    </row>
    <row r="33820" spans="1:3">
      <c r="A33820" s="250">
        <v>78147</v>
      </c>
      <c r="B33820" s="74" t="s">
        <v>16321</v>
      </c>
      <c r="C33820" s="74" t="s">
        <v>453</v>
      </c>
    </row>
    <row r="33821" spans="1:3">
      <c r="A33821" s="250">
        <v>78148</v>
      </c>
      <c r="B33821" s="74" t="s">
        <v>16322</v>
      </c>
      <c r="C33821" s="74" t="s">
        <v>453</v>
      </c>
    </row>
    <row r="33822" spans="1:3">
      <c r="A33822" s="250">
        <v>78150</v>
      </c>
      <c r="B33822" s="74" t="s">
        <v>16323</v>
      </c>
      <c r="C33822" s="74" t="s">
        <v>453</v>
      </c>
    </row>
    <row r="33823" spans="1:3">
      <c r="A33823" s="250">
        <v>78151</v>
      </c>
      <c r="B33823" s="74" t="s">
        <v>16324</v>
      </c>
      <c r="C33823" s="74" t="s">
        <v>453</v>
      </c>
    </row>
    <row r="33824" spans="1:3">
      <c r="A33824" s="250">
        <v>78152</v>
      </c>
      <c r="B33824" s="74" t="s">
        <v>16325</v>
      </c>
      <c r="C33824" s="74" t="s">
        <v>453</v>
      </c>
    </row>
    <row r="33825" spans="1:3">
      <c r="A33825" s="250">
        <v>78154</v>
      </c>
      <c r="B33825" s="74" t="s">
        <v>16326</v>
      </c>
      <c r="C33825" s="74" t="s">
        <v>453</v>
      </c>
    </row>
    <row r="33826" spans="1:3">
      <c r="A33826" s="250">
        <v>78155</v>
      </c>
      <c r="B33826" s="74" t="s">
        <v>16327</v>
      </c>
      <c r="C33826" s="74" t="s">
        <v>453</v>
      </c>
    </row>
    <row r="33827" spans="1:3">
      <c r="A33827" s="250">
        <v>78156</v>
      </c>
      <c r="B33827" s="74" t="s">
        <v>16327</v>
      </c>
      <c r="C33827" s="74" t="s">
        <v>453</v>
      </c>
    </row>
    <row r="33828" spans="1:3">
      <c r="A33828" s="250">
        <v>78159</v>
      </c>
      <c r="B33828" s="74" t="s">
        <v>16328</v>
      </c>
      <c r="C33828" s="74" t="s">
        <v>453</v>
      </c>
    </row>
    <row r="33829" spans="1:3">
      <c r="A33829" s="250">
        <v>78160</v>
      </c>
      <c r="B33829" s="74" t="s">
        <v>4146</v>
      </c>
      <c r="C33829" s="74" t="s">
        <v>453</v>
      </c>
    </row>
    <row r="33830" spans="1:3">
      <c r="A33830" s="250">
        <v>78161</v>
      </c>
      <c r="B33830" s="74" t="s">
        <v>16329</v>
      </c>
      <c r="C33830" s="74" t="s">
        <v>453</v>
      </c>
    </row>
    <row r="33831" spans="1:3">
      <c r="A33831" s="250">
        <v>78162</v>
      </c>
      <c r="B33831" s="74" t="s">
        <v>16330</v>
      </c>
      <c r="C33831" s="74" t="s">
        <v>453</v>
      </c>
    </row>
    <row r="33832" spans="1:3">
      <c r="A33832" s="250">
        <v>78163</v>
      </c>
      <c r="B33832" s="74" t="s">
        <v>16331</v>
      </c>
      <c r="C33832" s="74" t="s">
        <v>453</v>
      </c>
    </row>
    <row r="33833" spans="1:3">
      <c r="A33833" s="250">
        <v>78164</v>
      </c>
      <c r="B33833" s="74" t="s">
        <v>6183</v>
      </c>
      <c r="C33833" s="74" t="s">
        <v>453</v>
      </c>
    </row>
    <row r="33834" spans="1:3">
      <c r="A33834" s="250">
        <v>78201</v>
      </c>
      <c r="B33834" s="74" t="s">
        <v>512</v>
      </c>
      <c r="C33834" s="74" t="s">
        <v>453</v>
      </c>
    </row>
    <row r="33835" spans="1:3">
      <c r="A33835" s="250">
        <v>78202</v>
      </c>
      <c r="B33835" s="74" t="s">
        <v>512</v>
      </c>
      <c r="C33835" s="74" t="s">
        <v>453</v>
      </c>
    </row>
    <row r="33836" spans="1:3">
      <c r="A33836" s="250">
        <v>78203</v>
      </c>
      <c r="B33836" s="74" t="s">
        <v>512</v>
      </c>
      <c r="C33836" s="74" t="s">
        <v>453</v>
      </c>
    </row>
    <row r="33837" spans="1:3">
      <c r="A33837" s="250">
        <v>78204</v>
      </c>
      <c r="B33837" s="74" t="s">
        <v>512</v>
      </c>
      <c r="C33837" s="74" t="s">
        <v>453</v>
      </c>
    </row>
    <row r="33838" spans="1:3">
      <c r="A33838" s="250">
        <v>78205</v>
      </c>
      <c r="B33838" s="74" t="s">
        <v>512</v>
      </c>
      <c r="C33838" s="74" t="s">
        <v>453</v>
      </c>
    </row>
    <row r="33839" spans="1:3">
      <c r="A33839" s="250">
        <v>78206</v>
      </c>
      <c r="B33839" s="74" t="s">
        <v>512</v>
      </c>
      <c r="C33839" s="74" t="s">
        <v>453</v>
      </c>
    </row>
    <row r="33840" spans="1:3">
      <c r="A33840" s="250">
        <v>78207</v>
      </c>
      <c r="B33840" s="74" t="s">
        <v>512</v>
      </c>
      <c r="C33840" s="74" t="s">
        <v>453</v>
      </c>
    </row>
    <row r="33841" spans="1:3">
      <c r="A33841" s="250">
        <v>78208</v>
      </c>
      <c r="B33841" s="74" t="s">
        <v>512</v>
      </c>
      <c r="C33841" s="74" t="s">
        <v>453</v>
      </c>
    </row>
    <row r="33842" spans="1:3">
      <c r="A33842" s="250">
        <v>78209</v>
      </c>
      <c r="B33842" s="74" t="s">
        <v>512</v>
      </c>
      <c r="C33842" s="74" t="s">
        <v>453</v>
      </c>
    </row>
    <row r="33843" spans="1:3">
      <c r="A33843" s="250">
        <v>78210</v>
      </c>
      <c r="B33843" s="74" t="s">
        <v>512</v>
      </c>
      <c r="C33843" s="74" t="s">
        <v>453</v>
      </c>
    </row>
    <row r="33844" spans="1:3">
      <c r="A33844" s="250">
        <v>78211</v>
      </c>
      <c r="B33844" s="74" t="s">
        <v>512</v>
      </c>
      <c r="C33844" s="74" t="s">
        <v>453</v>
      </c>
    </row>
    <row r="33845" spans="1:3">
      <c r="A33845" s="250">
        <v>78212</v>
      </c>
      <c r="B33845" s="74" t="s">
        <v>512</v>
      </c>
      <c r="C33845" s="74" t="s">
        <v>453</v>
      </c>
    </row>
    <row r="33846" spans="1:3">
      <c r="A33846" s="250">
        <v>78213</v>
      </c>
      <c r="B33846" s="74" t="s">
        <v>512</v>
      </c>
      <c r="C33846" s="74" t="s">
        <v>453</v>
      </c>
    </row>
    <row r="33847" spans="1:3">
      <c r="A33847" s="250">
        <v>78214</v>
      </c>
      <c r="B33847" s="74" t="s">
        <v>512</v>
      </c>
      <c r="C33847" s="74" t="s">
        <v>453</v>
      </c>
    </row>
    <row r="33848" spans="1:3">
      <c r="A33848" s="250">
        <v>78215</v>
      </c>
      <c r="B33848" s="74" t="s">
        <v>512</v>
      </c>
      <c r="C33848" s="74" t="s">
        <v>453</v>
      </c>
    </row>
    <row r="33849" spans="1:3">
      <c r="A33849" s="250">
        <v>78216</v>
      </c>
      <c r="B33849" s="74" t="s">
        <v>512</v>
      </c>
      <c r="C33849" s="74" t="s">
        <v>453</v>
      </c>
    </row>
    <row r="33850" spans="1:3">
      <c r="A33850" s="250">
        <v>78217</v>
      </c>
      <c r="B33850" s="74" t="s">
        <v>512</v>
      </c>
      <c r="C33850" s="74" t="s">
        <v>453</v>
      </c>
    </row>
    <row r="33851" spans="1:3">
      <c r="A33851" s="250">
        <v>78218</v>
      </c>
      <c r="B33851" s="74" t="s">
        <v>512</v>
      </c>
      <c r="C33851" s="74" t="s">
        <v>453</v>
      </c>
    </row>
    <row r="33852" spans="1:3">
      <c r="A33852" s="250">
        <v>78219</v>
      </c>
      <c r="B33852" s="74" t="s">
        <v>512</v>
      </c>
      <c r="C33852" s="74" t="s">
        <v>453</v>
      </c>
    </row>
    <row r="33853" spans="1:3">
      <c r="A33853" s="250">
        <v>78220</v>
      </c>
      <c r="B33853" s="74" t="s">
        <v>512</v>
      </c>
      <c r="C33853" s="74" t="s">
        <v>453</v>
      </c>
    </row>
    <row r="33854" spans="1:3">
      <c r="A33854" s="250">
        <v>78221</v>
      </c>
      <c r="B33854" s="74" t="s">
        <v>512</v>
      </c>
      <c r="C33854" s="74" t="s">
        <v>453</v>
      </c>
    </row>
    <row r="33855" spans="1:3">
      <c r="A33855" s="250">
        <v>78222</v>
      </c>
      <c r="B33855" s="74" t="s">
        <v>512</v>
      </c>
      <c r="C33855" s="74" t="s">
        <v>453</v>
      </c>
    </row>
    <row r="33856" spans="1:3">
      <c r="A33856" s="250">
        <v>78223</v>
      </c>
      <c r="B33856" s="74" t="s">
        <v>512</v>
      </c>
      <c r="C33856" s="74" t="s">
        <v>453</v>
      </c>
    </row>
    <row r="33857" spans="1:3">
      <c r="A33857" s="250">
        <v>78224</v>
      </c>
      <c r="B33857" s="74" t="s">
        <v>512</v>
      </c>
      <c r="C33857" s="74" t="s">
        <v>453</v>
      </c>
    </row>
    <row r="33858" spans="1:3">
      <c r="A33858" s="250">
        <v>78225</v>
      </c>
      <c r="B33858" s="74" t="s">
        <v>512</v>
      </c>
      <c r="C33858" s="74" t="s">
        <v>453</v>
      </c>
    </row>
    <row r="33859" spans="1:3">
      <c r="A33859" s="250">
        <v>78226</v>
      </c>
      <c r="B33859" s="74" t="s">
        <v>512</v>
      </c>
      <c r="C33859" s="74" t="s">
        <v>453</v>
      </c>
    </row>
    <row r="33860" spans="1:3">
      <c r="A33860" s="250">
        <v>78227</v>
      </c>
      <c r="B33860" s="74" t="s">
        <v>512</v>
      </c>
      <c r="C33860" s="74" t="s">
        <v>453</v>
      </c>
    </row>
    <row r="33861" spans="1:3">
      <c r="A33861" s="250">
        <v>78228</v>
      </c>
      <c r="B33861" s="74" t="s">
        <v>512</v>
      </c>
      <c r="C33861" s="74" t="s">
        <v>453</v>
      </c>
    </row>
    <row r="33862" spans="1:3">
      <c r="A33862" s="250">
        <v>78229</v>
      </c>
      <c r="B33862" s="74" t="s">
        <v>512</v>
      </c>
      <c r="C33862" s="74" t="s">
        <v>453</v>
      </c>
    </row>
    <row r="33863" spans="1:3">
      <c r="A33863" s="250">
        <v>78230</v>
      </c>
      <c r="B33863" s="74" t="s">
        <v>512</v>
      </c>
      <c r="C33863" s="74" t="s">
        <v>453</v>
      </c>
    </row>
    <row r="33864" spans="1:3">
      <c r="A33864" s="250">
        <v>78231</v>
      </c>
      <c r="B33864" s="74" t="s">
        <v>512</v>
      </c>
      <c r="C33864" s="74" t="s">
        <v>453</v>
      </c>
    </row>
    <row r="33865" spans="1:3">
      <c r="A33865" s="250">
        <v>78232</v>
      </c>
      <c r="B33865" s="74" t="s">
        <v>512</v>
      </c>
      <c r="C33865" s="74" t="s">
        <v>453</v>
      </c>
    </row>
    <row r="33866" spans="1:3">
      <c r="A33866" s="250">
        <v>78233</v>
      </c>
      <c r="B33866" s="74" t="s">
        <v>512</v>
      </c>
      <c r="C33866" s="74" t="s">
        <v>453</v>
      </c>
    </row>
    <row r="33867" spans="1:3">
      <c r="A33867" s="250">
        <v>78234</v>
      </c>
      <c r="B33867" s="74" t="s">
        <v>512</v>
      </c>
      <c r="C33867" s="74" t="s">
        <v>453</v>
      </c>
    </row>
    <row r="33868" spans="1:3">
      <c r="A33868" s="250">
        <v>78235</v>
      </c>
      <c r="B33868" s="74" t="s">
        <v>512</v>
      </c>
      <c r="C33868" s="74" t="s">
        <v>453</v>
      </c>
    </row>
    <row r="33869" spans="1:3">
      <c r="A33869" s="250">
        <v>78236</v>
      </c>
      <c r="B33869" s="74" t="s">
        <v>16332</v>
      </c>
      <c r="C33869" s="74" t="s">
        <v>453</v>
      </c>
    </row>
    <row r="33870" spans="1:3">
      <c r="A33870" s="250">
        <v>78237</v>
      </c>
      <c r="B33870" s="74" t="s">
        <v>512</v>
      </c>
      <c r="C33870" s="74" t="s">
        <v>453</v>
      </c>
    </row>
    <row r="33871" spans="1:3">
      <c r="A33871" s="250">
        <v>78238</v>
      </c>
      <c r="B33871" s="74" t="s">
        <v>512</v>
      </c>
      <c r="C33871" s="74" t="s">
        <v>453</v>
      </c>
    </row>
    <row r="33872" spans="1:3">
      <c r="A33872" s="250">
        <v>78239</v>
      </c>
      <c r="B33872" s="74" t="s">
        <v>512</v>
      </c>
      <c r="C33872" s="74" t="s">
        <v>453</v>
      </c>
    </row>
    <row r="33873" spans="1:3">
      <c r="A33873" s="250">
        <v>78240</v>
      </c>
      <c r="B33873" s="74" t="s">
        <v>512</v>
      </c>
      <c r="C33873" s="74" t="s">
        <v>453</v>
      </c>
    </row>
    <row r="33874" spans="1:3">
      <c r="A33874" s="250">
        <v>78241</v>
      </c>
      <c r="B33874" s="74" t="s">
        <v>512</v>
      </c>
      <c r="C33874" s="74" t="s">
        <v>453</v>
      </c>
    </row>
    <row r="33875" spans="1:3">
      <c r="A33875" s="250">
        <v>78242</v>
      </c>
      <c r="B33875" s="74" t="s">
        <v>512</v>
      </c>
      <c r="C33875" s="74" t="s">
        <v>453</v>
      </c>
    </row>
    <row r="33876" spans="1:3">
      <c r="A33876" s="250">
        <v>78243</v>
      </c>
      <c r="B33876" s="74" t="s">
        <v>512</v>
      </c>
      <c r="C33876" s="74" t="s">
        <v>453</v>
      </c>
    </row>
    <row r="33877" spans="1:3">
      <c r="A33877" s="250">
        <v>78244</v>
      </c>
      <c r="B33877" s="74" t="s">
        <v>512</v>
      </c>
      <c r="C33877" s="74" t="s">
        <v>453</v>
      </c>
    </row>
    <row r="33878" spans="1:3">
      <c r="A33878" s="250">
        <v>78245</v>
      </c>
      <c r="B33878" s="74" t="s">
        <v>512</v>
      </c>
      <c r="C33878" s="74" t="s">
        <v>453</v>
      </c>
    </row>
    <row r="33879" spans="1:3">
      <c r="A33879" s="250">
        <v>78246</v>
      </c>
      <c r="B33879" s="74" t="s">
        <v>512</v>
      </c>
      <c r="C33879" s="74" t="s">
        <v>453</v>
      </c>
    </row>
    <row r="33880" spans="1:3">
      <c r="A33880" s="250">
        <v>78247</v>
      </c>
      <c r="B33880" s="74" t="s">
        <v>512</v>
      </c>
      <c r="C33880" s="74" t="s">
        <v>453</v>
      </c>
    </row>
    <row r="33881" spans="1:3">
      <c r="A33881" s="250">
        <v>78248</v>
      </c>
      <c r="B33881" s="74" t="s">
        <v>512</v>
      </c>
      <c r="C33881" s="74" t="s">
        <v>453</v>
      </c>
    </row>
    <row r="33882" spans="1:3">
      <c r="A33882" s="250">
        <v>78249</v>
      </c>
      <c r="B33882" s="74" t="s">
        <v>512</v>
      </c>
      <c r="C33882" s="74" t="s">
        <v>453</v>
      </c>
    </row>
    <row r="33883" spans="1:3">
      <c r="A33883" s="250">
        <v>78250</v>
      </c>
      <c r="B33883" s="74" t="s">
        <v>512</v>
      </c>
      <c r="C33883" s="74" t="s">
        <v>453</v>
      </c>
    </row>
    <row r="33884" spans="1:3">
      <c r="A33884" s="250">
        <v>78251</v>
      </c>
      <c r="B33884" s="74" t="s">
        <v>512</v>
      </c>
      <c r="C33884" s="74" t="s">
        <v>453</v>
      </c>
    </row>
    <row r="33885" spans="1:3">
      <c r="A33885" s="250">
        <v>78252</v>
      </c>
      <c r="B33885" s="74" t="s">
        <v>512</v>
      </c>
      <c r="C33885" s="74" t="s">
        <v>453</v>
      </c>
    </row>
    <row r="33886" spans="1:3">
      <c r="A33886" s="250">
        <v>78253</v>
      </c>
      <c r="B33886" s="74" t="s">
        <v>512</v>
      </c>
      <c r="C33886" s="74" t="s">
        <v>453</v>
      </c>
    </row>
    <row r="33887" spans="1:3">
      <c r="A33887" s="250">
        <v>78254</v>
      </c>
      <c r="B33887" s="74" t="s">
        <v>512</v>
      </c>
      <c r="C33887" s="74" t="s">
        <v>453</v>
      </c>
    </row>
    <row r="33888" spans="1:3">
      <c r="A33888" s="250">
        <v>78255</v>
      </c>
      <c r="B33888" s="74" t="s">
        <v>512</v>
      </c>
      <c r="C33888" s="74" t="s">
        <v>453</v>
      </c>
    </row>
    <row r="33889" spans="1:3">
      <c r="A33889" s="250">
        <v>78256</v>
      </c>
      <c r="B33889" s="74" t="s">
        <v>512</v>
      </c>
      <c r="C33889" s="74" t="s">
        <v>453</v>
      </c>
    </row>
    <row r="33890" spans="1:3">
      <c r="A33890" s="250">
        <v>78257</v>
      </c>
      <c r="B33890" s="74" t="s">
        <v>512</v>
      </c>
      <c r="C33890" s="74" t="s">
        <v>453</v>
      </c>
    </row>
    <row r="33891" spans="1:3">
      <c r="A33891" s="250">
        <v>78258</v>
      </c>
      <c r="B33891" s="74" t="s">
        <v>512</v>
      </c>
      <c r="C33891" s="74" t="s">
        <v>453</v>
      </c>
    </row>
    <row r="33892" spans="1:3">
      <c r="A33892" s="250">
        <v>78259</v>
      </c>
      <c r="B33892" s="74" t="s">
        <v>512</v>
      </c>
      <c r="C33892" s="74" t="s">
        <v>453</v>
      </c>
    </row>
    <row r="33893" spans="1:3">
      <c r="A33893" s="250">
        <v>78260</v>
      </c>
      <c r="B33893" s="74" t="s">
        <v>512</v>
      </c>
      <c r="C33893" s="74" t="s">
        <v>453</v>
      </c>
    </row>
    <row r="33894" spans="1:3">
      <c r="A33894" s="250">
        <v>78261</v>
      </c>
      <c r="B33894" s="74" t="s">
        <v>512</v>
      </c>
      <c r="C33894" s="74" t="s">
        <v>453</v>
      </c>
    </row>
    <row r="33895" spans="1:3">
      <c r="A33895" s="250">
        <v>78262</v>
      </c>
      <c r="B33895" s="74" t="s">
        <v>512</v>
      </c>
      <c r="C33895" s="74" t="s">
        <v>453</v>
      </c>
    </row>
    <row r="33896" spans="1:3">
      <c r="A33896" s="250">
        <v>78263</v>
      </c>
      <c r="B33896" s="74" t="s">
        <v>512</v>
      </c>
      <c r="C33896" s="74" t="s">
        <v>453</v>
      </c>
    </row>
    <row r="33897" spans="1:3">
      <c r="A33897" s="250">
        <v>78264</v>
      </c>
      <c r="B33897" s="74" t="s">
        <v>512</v>
      </c>
      <c r="C33897" s="74" t="s">
        <v>453</v>
      </c>
    </row>
    <row r="33898" spans="1:3">
      <c r="A33898" s="250">
        <v>78265</v>
      </c>
      <c r="B33898" s="74" t="s">
        <v>512</v>
      </c>
      <c r="C33898" s="74" t="s">
        <v>453</v>
      </c>
    </row>
    <row r="33899" spans="1:3">
      <c r="A33899" s="250">
        <v>78266</v>
      </c>
      <c r="B33899" s="74" t="s">
        <v>512</v>
      </c>
      <c r="C33899" s="74" t="s">
        <v>453</v>
      </c>
    </row>
    <row r="33900" spans="1:3">
      <c r="A33900" s="250">
        <v>78268</v>
      </c>
      <c r="B33900" s="74" t="s">
        <v>512</v>
      </c>
      <c r="C33900" s="74" t="s">
        <v>453</v>
      </c>
    </row>
    <row r="33901" spans="1:3">
      <c r="A33901" s="250">
        <v>78269</v>
      </c>
      <c r="B33901" s="74" t="s">
        <v>512</v>
      </c>
      <c r="C33901" s="74" t="s">
        <v>453</v>
      </c>
    </row>
    <row r="33902" spans="1:3">
      <c r="A33902" s="250">
        <v>78270</v>
      </c>
      <c r="B33902" s="74" t="s">
        <v>512</v>
      </c>
      <c r="C33902" s="74" t="s">
        <v>453</v>
      </c>
    </row>
    <row r="33903" spans="1:3">
      <c r="A33903" s="250">
        <v>78275</v>
      </c>
      <c r="B33903" s="74" t="s">
        <v>512</v>
      </c>
      <c r="C33903" s="74" t="s">
        <v>453</v>
      </c>
    </row>
    <row r="33904" spans="1:3">
      <c r="A33904" s="250">
        <v>78278</v>
      </c>
      <c r="B33904" s="74" t="s">
        <v>512</v>
      </c>
      <c r="C33904" s="74" t="s">
        <v>453</v>
      </c>
    </row>
    <row r="33905" spans="1:3">
      <c r="A33905" s="250">
        <v>78279</v>
      </c>
      <c r="B33905" s="74" t="s">
        <v>512</v>
      </c>
      <c r="C33905" s="74" t="s">
        <v>453</v>
      </c>
    </row>
    <row r="33906" spans="1:3">
      <c r="A33906" s="250">
        <v>78280</v>
      </c>
      <c r="B33906" s="74" t="s">
        <v>512</v>
      </c>
      <c r="C33906" s="74" t="s">
        <v>453</v>
      </c>
    </row>
    <row r="33907" spans="1:3">
      <c r="A33907" s="250">
        <v>78283</v>
      </c>
      <c r="B33907" s="74" t="s">
        <v>512</v>
      </c>
      <c r="C33907" s="74" t="s">
        <v>453</v>
      </c>
    </row>
    <row r="33908" spans="1:3">
      <c r="A33908" s="250">
        <v>78284</v>
      </c>
      <c r="B33908" s="74" t="s">
        <v>512</v>
      </c>
      <c r="C33908" s="74" t="s">
        <v>453</v>
      </c>
    </row>
    <row r="33909" spans="1:3">
      <c r="A33909" s="250">
        <v>78285</v>
      </c>
      <c r="B33909" s="74" t="s">
        <v>512</v>
      </c>
      <c r="C33909" s="74" t="s">
        <v>453</v>
      </c>
    </row>
    <row r="33910" spans="1:3">
      <c r="A33910" s="250">
        <v>78286</v>
      </c>
      <c r="B33910" s="74" t="s">
        <v>512</v>
      </c>
      <c r="C33910" s="74" t="s">
        <v>453</v>
      </c>
    </row>
    <row r="33911" spans="1:3">
      <c r="A33911" s="250">
        <v>78287</v>
      </c>
      <c r="B33911" s="74" t="s">
        <v>512</v>
      </c>
      <c r="C33911" s="74" t="s">
        <v>453</v>
      </c>
    </row>
    <row r="33912" spans="1:3">
      <c r="A33912" s="250">
        <v>78288</v>
      </c>
      <c r="B33912" s="74" t="s">
        <v>512</v>
      </c>
      <c r="C33912" s="74" t="s">
        <v>453</v>
      </c>
    </row>
    <row r="33913" spans="1:3">
      <c r="A33913" s="250">
        <v>78289</v>
      </c>
      <c r="B33913" s="74" t="s">
        <v>512</v>
      </c>
      <c r="C33913" s="74" t="s">
        <v>453</v>
      </c>
    </row>
    <row r="33914" spans="1:3">
      <c r="A33914" s="250">
        <v>78291</v>
      </c>
      <c r="B33914" s="74" t="s">
        <v>512</v>
      </c>
      <c r="C33914" s="74" t="s">
        <v>453</v>
      </c>
    </row>
    <row r="33915" spans="1:3">
      <c r="A33915" s="250">
        <v>78292</v>
      </c>
      <c r="B33915" s="74" t="s">
        <v>512</v>
      </c>
      <c r="C33915" s="74" t="s">
        <v>453</v>
      </c>
    </row>
    <row r="33916" spans="1:3">
      <c r="A33916" s="250">
        <v>78293</v>
      </c>
      <c r="B33916" s="74" t="s">
        <v>512</v>
      </c>
      <c r="C33916" s="74" t="s">
        <v>453</v>
      </c>
    </row>
    <row r="33917" spans="1:3">
      <c r="A33917" s="250">
        <v>78294</v>
      </c>
      <c r="B33917" s="74" t="s">
        <v>512</v>
      </c>
      <c r="C33917" s="74" t="s">
        <v>453</v>
      </c>
    </row>
    <row r="33918" spans="1:3">
      <c r="A33918" s="250">
        <v>78295</v>
      </c>
      <c r="B33918" s="74" t="s">
        <v>512</v>
      </c>
      <c r="C33918" s="74" t="s">
        <v>453</v>
      </c>
    </row>
    <row r="33919" spans="1:3">
      <c r="A33919" s="250">
        <v>78296</v>
      </c>
      <c r="B33919" s="74" t="s">
        <v>512</v>
      </c>
      <c r="C33919" s="74" t="s">
        <v>453</v>
      </c>
    </row>
    <row r="33920" spans="1:3">
      <c r="A33920" s="250">
        <v>78297</v>
      </c>
      <c r="B33920" s="74" t="s">
        <v>512</v>
      </c>
      <c r="C33920" s="74" t="s">
        <v>453</v>
      </c>
    </row>
    <row r="33921" spans="1:3">
      <c r="A33921" s="250">
        <v>78298</v>
      </c>
      <c r="B33921" s="74" t="s">
        <v>512</v>
      </c>
      <c r="C33921" s="74" t="s">
        <v>453</v>
      </c>
    </row>
    <row r="33922" spans="1:3">
      <c r="A33922" s="250">
        <v>78299</v>
      </c>
      <c r="B33922" s="74" t="s">
        <v>512</v>
      </c>
      <c r="C33922" s="74" t="s">
        <v>453</v>
      </c>
    </row>
    <row r="33923" spans="1:3">
      <c r="A33923" s="250">
        <v>78330</v>
      </c>
      <c r="B33923" s="74" t="s">
        <v>16333</v>
      </c>
      <c r="C33923" s="74" t="s">
        <v>453</v>
      </c>
    </row>
    <row r="33924" spans="1:3">
      <c r="A33924" s="250">
        <v>78332</v>
      </c>
      <c r="B33924" s="74" t="s">
        <v>16334</v>
      </c>
      <c r="C33924" s="74" t="s">
        <v>453</v>
      </c>
    </row>
    <row r="33925" spans="1:3">
      <c r="A33925" s="250">
        <v>78333</v>
      </c>
      <c r="B33925" s="74" t="s">
        <v>16334</v>
      </c>
      <c r="C33925" s="74" t="s">
        <v>453</v>
      </c>
    </row>
    <row r="33926" spans="1:3">
      <c r="A33926" s="250">
        <v>78335</v>
      </c>
      <c r="B33926" s="74" t="s">
        <v>16335</v>
      </c>
      <c r="C33926" s="74" t="s">
        <v>453</v>
      </c>
    </row>
    <row r="33927" spans="1:3">
      <c r="A33927" s="250">
        <v>78336</v>
      </c>
      <c r="B33927" s="74" t="s">
        <v>16335</v>
      </c>
      <c r="C33927" s="74" t="s">
        <v>453</v>
      </c>
    </row>
    <row r="33928" spans="1:3">
      <c r="A33928" s="250">
        <v>78338</v>
      </c>
      <c r="B33928" s="74" t="s">
        <v>11606</v>
      </c>
      <c r="C33928" s="74" t="s">
        <v>453</v>
      </c>
    </row>
    <row r="33929" spans="1:3">
      <c r="A33929" s="250">
        <v>78339</v>
      </c>
      <c r="B33929" s="74" t="s">
        <v>16336</v>
      </c>
      <c r="C33929" s="74" t="s">
        <v>453</v>
      </c>
    </row>
    <row r="33930" spans="1:3">
      <c r="A33930" s="250">
        <v>78340</v>
      </c>
      <c r="B33930" s="74" t="s">
        <v>2737</v>
      </c>
      <c r="C33930" s="74" t="s">
        <v>453</v>
      </c>
    </row>
    <row r="33931" spans="1:3">
      <c r="A33931" s="250">
        <v>78341</v>
      </c>
      <c r="B33931" s="74" t="s">
        <v>16337</v>
      </c>
      <c r="C33931" s="74" t="s">
        <v>453</v>
      </c>
    </row>
    <row r="33932" spans="1:3">
      <c r="A33932" s="250">
        <v>78342</v>
      </c>
      <c r="B33932" s="74" t="s">
        <v>16338</v>
      </c>
      <c r="C33932" s="74" t="s">
        <v>453</v>
      </c>
    </row>
    <row r="33933" spans="1:3">
      <c r="A33933" s="250">
        <v>78343</v>
      </c>
      <c r="B33933" s="74" t="s">
        <v>6451</v>
      </c>
      <c r="C33933" s="74" t="s">
        <v>453</v>
      </c>
    </row>
    <row r="33934" spans="1:3">
      <c r="A33934" s="250">
        <v>78344</v>
      </c>
      <c r="B33934" s="74" t="s">
        <v>16339</v>
      </c>
      <c r="C33934" s="74" t="s">
        <v>453</v>
      </c>
    </row>
    <row r="33935" spans="1:3">
      <c r="A33935" s="250">
        <v>78347</v>
      </c>
      <c r="B33935" s="74" t="s">
        <v>16340</v>
      </c>
      <c r="C33935" s="74" t="s">
        <v>453</v>
      </c>
    </row>
    <row r="33936" spans="1:3">
      <c r="A33936" s="250">
        <v>78349</v>
      </c>
      <c r="B33936" s="74" t="s">
        <v>16341</v>
      </c>
      <c r="C33936" s="74" t="s">
        <v>453</v>
      </c>
    </row>
    <row r="33937" spans="1:3">
      <c r="A33937" s="250">
        <v>78350</v>
      </c>
      <c r="B33937" s="74" t="s">
        <v>16342</v>
      </c>
      <c r="C33937" s="74" t="s">
        <v>453</v>
      </c>
    </row>
    <row r="33938" spans="1:3">
      <c r="A33938" s="250">
        <v>78351</v>
      </c>
      <c r="B33938" s="74" t="s">
        <v>13130</v>
      </c>
      <c r="C33938" s="74" t="s">
        <v>453</v>
      </c>
    </row>
    <row r="33939" spans="1:3">
      <c r="A33939" s="250">
        <v>78352</v>
      </c>
      <c r="B33939" s="74" t="s">
        <v>16343</v>
      </c>
      <c r="C33939" s="74" t="s">
        <v>453</v>
      </c>
    </row>
    <row r="33940" spans="1:3">
      <c r="A33940" s="250">
        <v>78353</v>
      </c>
      <c r="B33940" s="74" t="s">
        <v>16344</v>
      </c>
      <c r="C33940" s="74" t="s">
        <v>453</v>
      </c>
    </row>
    <row r="33941" spans="1:3">
      <c r="A33941" s="250">
        <v>78355</v>
      </c>
      <c r="B33941" s="74" t="s">
        <v>16345</v>
      </c>
      <c r="C33941" s="74" t="s">
        <v>453</v>
      </c>
    </row>
    <row r="33942" spans="1:3">
      <c r="A33942" s="250">
        <v>78357</v>
      </c>
      <c r="B33942" s="74" t="s">
        <v>16346</v>
      </c>
      <c r="C33942" s="74" t="s">
        <v>453</v>
      </c>
    </row>
    <row r="33943" spans="1:3">
      <c r="A33943" s="250">
        <v>78358</v>
      </c>
      <c r="B33943" s="74" t="s">
        <v>3365</v>
      </c>
      <c r="C33943" s="74" t="s">
        <v>453</v>
      </c>
    </row>
    <row r="33944" spans="1:3">
      <c r="A33944" s="250">
        <v>78359</v>
      </c>
      <c r="B33944" s="74" t="s">
        <v>11016</v>
      </c>
      <c r="C33944" s="74" t="s">
        <v>453</v>
      </c>
    </row>
    <row r="33945" spans="1:3">
      <c r="A33945" s="250">
        <v>78360</v>
      </c>
      <c r="B33945" s="74" t="s">
        <v>16347</v>
      </c>
      <c r="C33945" s="74" t="s">
        <v>453</v>
      </c>
    </row>
    <row r="33946" spans="1:3">
      <c r="A33946" s="250">
        <v>78361</v>
      </c>
      <c r="B33946" s="74" t="s">
        <v>16348</v>
      </c>
      <c r="C33946" s="74" t="s">
        <v>453</v>
      </c>
    </row>
    <row r="33947" spans="1:3">
      <c r="A33947" s="250">
        <v>78362</v>
      </c>
      <c r="B33947" s="74" t="s">
        <v>5760</v>
      </c>
      <c r="C33947" s="74" t="s">
        <v>453</v>
      </c>
    </row>
    <row r="33948" spans="1:3">
      <c r="A33948" s="250">
        <v>78363</v>
      </c>
      <c r="B33948" s="74" t="s">
        <v>5680</v>
      </c>
      <c r="C33948" s="74" t="s">
        <v>453</v>
      </c>
    </row>
    <row r="33949" spans="1:3">
      <c r="A33949" s="250">
        <v>78364</v>
      </c>
      <c r="B33949" s="74" t="s">
        <v>5680</v>
      </c>
      <c r="C33949" s="74" t="s">
        <v>453</v>
      </c>
    </row>
    <row r="33950" spans="1:3">
      <c r="A33950" s="250">
        <v>78368</v>
      </c>
      <c r="B33950" s="74" t="s">
        <v>16349</v>
      </c>
      <c r="C33950" s="74" t="s">
        <v>453</v>
      </c>
    </row>
    <row r="33951" spans="1:3">
      <c r="A33951" s="250">
        <v>78369</v>
      </c>
      <c r="B33951" s="74" t="s">
        <v>16350</v>
      </c>
      <c r="C33951" s="74" t="s">
        <v>453</v>
      </c>
    </row>
    <row r="33952" spans="1:3">
      <c r="A33952" s="250">
        <v>78370</v>
      </c>
      <c r="B33952" s="74" t="s">
        <v>16351</v>
      </c>
      <c r="C33952" s="74" t="s">
        <v>453</v>
      </c>
    </row>
    <row r="33953" spans="1:3">
      <c r="A33953" s="250">
        <v>78371</v>
      </c>
      <c r="B33953" s="74" t="s">
        <v>15664</v>
      </c>
      <c r="C33953" s="74" t="s">
        <v>453</v>
      </c>
    </row>
    <row r="33954" spans="1:3">
      <c r="A33954" s="250">
        <v>78372</v>
      </c>
      <c r="B33954" s="74" t="s">
        <v>16352</v>
      </c>
      <c r="C33954" s="74" t="s">
        <v>453</v>
      </c>
    </row>
    <row r="33955" spans="1:3">
      <c r="A33955" s="250">
        <v>78373</v>
      </c>
      <c r="B33955" s="74" t="s">
        <v>16353</v>
      </c>
      <c r="C33955" s="74" t="s">
        <v>453</v>
      </c>
    </row>
    <row r="33956" spans="1:3">
      <c r="A33956" s="250">
        <v>78374</v>
      </c>
      <c r="B33956" s="74" t="s">
        <v>1429</v>
      </c>
      <c r="C33956" s="74" t="s">
        <v>453</v>
      </c>
    </row>
    <row r="33957" spans="1:3">
      <c r="A33957" s="250">
        <v>78375</v>
      </c>
      <c r="B33957" s="74" t="s">
        <v>16354</v>
      </c>
      <c r="C33957" s="74" t="s">
        <v>453</v>
      </c>
    </row>
    <row r="33958" spans="1:3">
      <c r="A33958" s="250">
        <v>78376</v>
      </c>
      <c r="B33958" s="74" t="s">
        <v>16355</v>
      </c>
      <c r="C33958" s="74" t="s">
        <v>453</v>
      </c>
    </row>
    <row r="33959" spans="1:3">
      <c r="A33959" s="250">
        <v>78377</v>
      </c>
      <c r="B33959" s="74" t="s">
        <v>16356</v>
      </c>
      <c r="C33959" s="74" t="s">
        <v>453</v>
      </c>
    </row>
    <row r="33960" spans="1:3">
      <c r="A33960" s="250">
        <v>78379</v>
      </c>
      <c r="B33960" s="74" t="s">
        <v>16357</v>
      </c>
      <c r="C33960" s="74" t="s">
        <v>453</v>
      </c>
    </row>
    <row r="33961" spans="1:3">
      <c r="A33961" s="250">
        <v>78380</v>
      </c>
      <c r="B33961" s="74" t="s">
        <v>16358</v>
      </c>
      <c r="C33961" s="74" t="s">
        <v>453</v>
      </c>
    </row>
    <row r="33962" spans="1:3">
      <c r="A33962" s="250">
        <v>78381</v>
      </c>
      <c r="B33962" s="74" t="s">
        <v>856</v>
      </c>
      <c r="C33962" s="74" t="s">
        <v>453</v>
      </c>
    </row>
    <row r="33963" spans="1:3">
      <c r="A33963" s="250">
        <v>78382</v>
      </c>
      <c r="B33963" s="74" t="s">
        <v>856</v>
      </c>
      <c r="C33963" s="74" t="s">
        <v>453</v>
      </c>
    </row>
    <row r="33964" spans="1:3">
      <c r="A33964" s="250">
        <v>78383</v>
      </c>
      <c r="B33964" s="74" t="s">
        <v>16359</v>
      </c>
      <c r="C33964" s="74" t="s">
        <v>453</v>
      </c>
    </row>
    <row r="33965" spans="1:3">
      <c r="A33965" s="250">
        <v>78384</v>
      </c>
      <c r="B33965" s="74" t="s">
        <v>16360</v>
      </c>
      <c r="C33965" s="74" t="s">
        <v>453</v>
      </c>
    </row>
    <row r="33966" spans="1:3">
      <c r="A33966" s="250">
        <v>78385</v>
      </c>
      <c r="B33966" s="74" t="s">
        <v>16361</v>
      </c>
      <c r="C33966" s="74" t="s">
        <v>453</v>
      </c>
    </row>
    <row r="33967" spans="1:3">
      <c r="A33967" s="250">
        <v>78387</v>
      </c>
      <c r="B33967" s="74" t="s">
        <v>16362</v>
      </c>
      <c r="C33967" s="74" t="s">
        <v>453</v>
      </c>
    </row>
    <row r="33968" spans="1:3">
      <c r="A33968" s="250">
        <v>78389</v>
      </c>
      <c r="B33968" s="74" t="s">
        <v>14265</v>
      </c>
      <c r="C33968" s="74" t="s">
        <v>453</v>
      </c>
    </row>
    <row r="33969" spans="1:3">
      <c r="A33969" s="250">
        <v>78390</v>
      </c>
      <c r="B33969" s="74" t="s">
        <v>9262</v>
      </c>
      <c r="C33969" s="74" t="s">
        <v>453</v>
      </c>
    </row>
    <row r="33970" spans="1:3">
      <c r="A33970" s="250">
        <v>78391</v>
      </c>
      <c r="B33970" s="74" t="s">
        <v>16363</v>
      </c>
      <c r="C33970" s="74" t="s">
        <v>453</v>
      </c>
    </row>
    <row r="33971" spans="1:3">
      <c r="A33971" s="250">
        <v>78393</v>
      </c>
      <c r="B33971" s="74" t="s">
        <v>5825</v>
      </c>
      <c r="C33971" s="74" t="s">
        <v>453</v>
      </c>
    </row>
    <row r="33972" spans="1:3">
      <c r="A33972" s="250">
        <v>78401</v>
      </c>
      <c r="B33972" s="74" t="s">
        <v>16364</v>
      </c>
      <c r="C33972" s="74" t="s">
        <v>453</v>
      </c>
    </row>
    <row r="33973" spans="1:3">
      <c r="A33973" s="250">
        <v>78402</v>
      </c>
      <c r="B33973" s="74" t="s">
        <v>16364</v>
      </c>
      <c r="C33973" s="74" t="s">
        <v>453</v>
      </c>
    </row>
    <row r="33974" spans="1:3">
      <c r="A33974" s="250">
        <v>78403</v>
      </c>
      <c r="B33974" s="74" t="s">
        <v>16364</v>
      </c>
      <c r="C33974" s="74" t="s">
        <v>453</v>
      </c>
    </row>
    <row r="33975" spans="1:3">
      <c r="A33975" s="250">
        <v>78404</v>
      </c>
      <c r="B33975" s="74" t="s">
        <v>16364</v>
      </c>
      <c r="C33975" s="74" t="s">
        <v>453</v>
      </c>
    </row>
    <row r="33976" spans="1:3">
      <c r="A33976" s="250">
        <v>78405</v>
      </c>
      <c r="B33976" s="74" t="s">
        <v>16364</v>
      </c>
      <c r="C33976" s="74" t="s">
        <v>453</v>
      </c>
    </row>
    <row r="33977" spans="1:3">
      <c r="A33977" s="250">
        <v>78406</v>
      </c>
      <c r="B33977" s="74" t="s">
        <v>16364</v>
      </c>
      <c r="C33977" s="74" t="s">
        <v>453</v>
      </c>
    </row>
    <row r="33978" spans="1:3">
      <c r="A33978" s="250">
        <v>78407</v>
      </c>
      <c r="B33978" s="74" t="s">
        <v>16364</v>
      </c>
      <c r="C33978" s="74" t="s">
        <v>453</v>
      </c>
    </row>
    <row r="33979" spans="1:3">
      <c r="A33979" s="250">
        <v>78408</v>
      </c>
      <c r="B33979" s="74" t="s">
        <v>16364</v>
      </c>
      <c r="C33979" s="74" t="s">
        <v>453</v>
      </c>
    </row>
    <row r="33980" spans="1:3">
      <c r="A33980" s="250">
        <v>78409</v>
      </c>
      <c r="B33980" s="74" t="s">
        <v>16364</v>
      </c>
      <c r="C33980" s="74" t="s">
        <v>453</v>
      </c>
    </row>
    <row r="33981" spans="1:3">
      <c r="A33981" s="250">
        <v>78410</v>
      </c>
      <c r="B33981" s="74" t="s">
        <v>16364</v>
      </c>
      <c r="C33981" s="74" t="s">
        <v>453</v>
      </c>
    </row>
    <row r="33982" spans="1:3">
      <c r="A33982" s="250">
        <v>78411</v>
      </c>
      <c r="B33982" s="74" t="s">
        <v>16364</v>
      </c>
      <c r="C33982" s="74" t="s">
        <v>453</v>
      </c>
    </row>
    <row r="33983" spans="1:3">
      <c r="A33983" s="250">
        <v>78412</v>
      </c>
      <c r="B33983" s="74" t="s">
        <v>16364</v>
      </c>
      <c r="C33983" s="74" t="s">
        <v>453</v>
      </c>
    </row>
    <row r="33984" spans="1:3">
      <c r="A33984" s="250">
        <v>78413</v>
      </c>
      <c r="B33984" s="74" t="s">
        <v>16364</v>
      </c>
      <c r="C33984" s="74" t="s">
        <v>453</v>
      </c>
    </row>
    <row r="33985" spans="1:3">
      <c r="A33985" s="250">
        <v>78414</v>
      </c>
      <c r="B33985" s="74" t="s">
        <v>16364</v>
      </c>
      <c r="C33985" s="74" t="s">
        <v>453</v>
      </c>
    </row>
    <row r="33986" spans="1:3">
      <c r="A33986" s="250">
        <v>78415</v>
      </c>
      <c r="B33986" s="74" t="s">
        <v>16364</v>
      </c>
      <c r="C33986" s="74" t="s">
        <v>453</v>
      </c>
    </row>
    <row r="33987" spans="1:3">
      <c r="A33987" s="250">
        <v>78416</v>
      </c>
      <c r="B33987" s="74" t="s">
        <v>16364</v>
      </c>
      <c r="C33987" s="74" t="s">
        <v>453</v>
      </c>
    </row>
    <row r="33988" spans="1:3">
      <c r="A33988" s="250">
        <v>78417</v>
      </c>
      <c r="B33988" s="74" t="s">
        <v>16364</v>
      </c>
      <c r="C33988" s="74" t="s">
        <v>453</v>
      </c>
    </row>
    <row r="33989" spans="1:3">
      <c r="A33989" s="250">
        <v>78418</v>
      </c>
      <c r="B33989" s="74" t="s">
        <v>16364</v>
      </c>
      <c r="C33989" s="74" t="s">
        <v>453</v>
      </c>
    </row>
    <row r="33990" spans="1:3">
      <c r="A33990" s="250">
        <v>78419</v>
      </c>
      <c r="B33990" s="74" t="s">
        <v>16364</v>
      </c>
      <c r="C33990" s="74" t="s">
        <v>453</v>
      </c>
    </row>
    <row r="33991" spans="1:3">
      <c r="A33991" s="250">
        <v>78426</v>
      </c>
      <c r="B33991" s="74" t="s">
        <v>16364</v>
      </c>
      <c r="C33991" s="74" t="s">
        <v>453</v>
      </c>
    </row>
    <row r="33992" spans="1:3">
      <c r="A33992" s="250">
        <v>78427</v>
      </c>
      <c r="B33992" s="74" t="s">
        <v>16364</v>
      </c>
      <c r="C33992" s="74" t="s">
        <v>453</v>
      </c>
    </row>
    <row r="33993" spans="1:3">
      <c r="A33993" s="250">
        <v>78460</v>
      </c>
      <c r="B33993" s="74" t="s">
        <v>16364</v>
      </c>
      <c r="C33993" s="74" t="s">
        <v>453</v>
      </c>
    </row>
    <row r="33994" spans="1:3">
      <c r="A33994" s="250">
        <v>78461</v>
      </c>
      <c r="B33994" s="74" t="s">
        <v>16364</v>
      </c>
      <c r="C33994" s="74" t="s">
        <v>453</v>
      </c>
    </row>
    <row r="33995" spans="1:3">
      <c r="A33995" s="250">
        <v>78463</v>
      </c>
      <c r="B33995" s="74" t="s">
        <v>16364</v>
      </c>
      <c r="C33995" s="74" t="s">
        <v>453</v>
      </c>
    </row>
    <row r="33996" spans="1:3">
      <c r="A33996" s="250">
        <v>78465</v>
      </c>
      <c r="B33996" s="74" t="s">
        <v>16364</v>
      </c>
      <c r="C33996" s="74" t="s">
        <v>453</v>
      </c>
    </row>
    <row r="33997" spans="1:3">
      <c r="A33997" s="250">
        <v>78466</v>
      </c>
      <c r="B33997" s="74" t="s">
        <v>16364</v>
      </c>
      <c r="C33997" s="74" t="s">
        <v>453</v>
      </c>
    </row>
    <row r="33998" spans="1:3">
      <c r="A33998" s="250">
        <v>78467</v>
      </c>
      <c r="B33998" s="74" t="s">
        <v>16364</v>
      </c>
      <c r="C33998" s="74" t="s">
        <v>453</v>
      </c>
    </row>
    <row r="33999" spans="1:3">
      <c r="A33999" s="250">
        <v>78468</v>
      </c>
      <c r="B33999" s="74" t="s">
        <v>16364</v>
      </c>
      <c r="C33999" s="74" t="s">
        <v>453</v>
      </c>
    </row>
    <row r="34000" spans="1:3">
      <c r="A34000" s="250">
        <v>78469</v>
      </c>
      <c r="B34000" s="74" t="s">
        <v>16364</v>
      </c>
      <c r="C34000" s="74" t="s">
        <v>453</v>
      </c>
    </row>
    <row r="34001" spans="1:3">
      <c r="A34001" s="250">
        <v>78470</v>
      </c>
      <c r="B34001" s="74" t="s">
        <v>16364</v>
      </c>
      <c r="C34001" s="74" t="s">
        <v>453</v>
      </c>
    </row>
    <row r="34002" spans="1:3">
      <c r="A34002" s="250">
        <v>78471</v>
      </c>
      <c r="B34002" s="74" t="s">
        <v>16364</v>
      </c>
      <c r="C34002" s="74" t="s">
        <v>453</v>
      </c>
    </row>
    <row r="34003" spans="1:3">
      <c r="A34003" s="250">
        <v>78472</v>
      </c>
      <c r="B34003" s="74" t="s">
        <v>16364</v>
      </c>
      <c r="C34003" s="74" t="s">
        <v>453</v>
      </c>
    </row>
    <row r="34004" spans="1:3">
      <c r="A34004" s="250">
        <v>78473</v>
      </c>
      <c r="B34004" s="74" t="s">
        <v>16364</v>
      </c>
      <c r="C34004" s="74" t="s">
        <v>453</v>
      </c>
    </row>
    <row r="34005" spans="1:3">
      <c r="A34005" s="250">
        <v>78474</v>
      </c>
      <c r="B34005" s="74" t="s">
        <v>16364</v>
      </c>
      <c r="C34005" s="74" t="s">
        <v>453</v>
      </c>
    </row>
    <row r="34006" spans="1:3">
      <c r="A34006" s="250">
        <v>78475</v>
      </c>
      <c r="B34006" s="74" t="s">
        <v>16364</v>
      </c>
      <c r="C34006" s="74" t="s">
        <v>453</v>
      </c>
    </row>
    <row r="34007" spans="1:3">
      <c r="A34007" s="250">
        <v>78476</v>
      </c>
      <c r="B34007" s="74" t="s">
        <v>16364</v>
      </c>
      <c r="C34007" s="74" t="s">
        <v>453</v>
      </c>
    </row>
    <row r="34008" spans="1:3">
      <c r="A34008" s="250">
        <v>78477</v>
      </c>
      <c r="B34008" s="74" t="s">
        <v>16364</v>
      </c>
      <c r="C34008" s="74" t="s">
        <v>453</v>
      </c>
    </row>
    <row r="34009" spans="1:3">
      <c r="A34009" s="250">
        <v>78478</v>
      </c>
      <c r="B34009" s="74" t="s">
        <v>16364</v>
      </c>
      <c r="C34009" s="74" t="s">
        <v>453</v>
      </c>
    </row>
    <row r="34010" spans="1:3">
      <c r="A34010" s="250">
        <v>78480</v>
      </c>
      <c r="B34010" s="74" t="s">
        <v>16364</v>
      </c>
      <c r="C34010" s="74" t="s">
        <v>453</v>
      </c>
    </row>
    <row r="34011" spans="1:3">
      <c r="A34011" s="250">
        <v>78501</v>
      </c>
      <c r="B34011" s="74" t="s">
        <v>16365</v>
      </c>
      <c r="C34011" s="74" t="s">
        <v>453</v>
      </c>
    </row>
    <row r="34012" spans="1:3">
      <c r="A34012" s="250">
        <v>78502</v>
      </c>
      <c r="B34012" s="74" t="s">
        <v>16365</v>
      </c>
      <c r="C34012" s="74" t="s">
        <v>453</v>
      </c>
    </row>
    <row r="34013" spans="1:3">
      <c r="A34013" s="250">
        <v>78503</v>
      </c>
      <c r="B34013" s="74" t="s">
        <v>16365</v>
      </c>
      <c r="C34013" s="74" t="s">
        <v>453</v>
      </c>
    </row>
    <row r="34014" spans="1:3">
      <c r="A34014" s="250">
        <v>78504</v>
      </c>
      <c r="B34014" s="74" t="s">
        <v>16365</v>
      </c>
      <c r="C34014" s="74" t="s">
        <v>453</v>
      </c>
    </row>
    <row r="34015" spans="1:3">
      <c r="A34015" s="250">
        <v>78505</v>
      </c>
      <c r="B34015" s="74" t="s">
        <v>16365</v>
      </c>
      <c r="C34015" s="74" t="s">
        <v>453</v>
      </c>
    </row>
    <row r="34016" spans="1:3">
      <c r="A34016" s="250">
        <v>78516</v>
      </c>
      <c r="B34016" s="74" t="s">
        <v>7934</v>
      </c>
      <c r="C34016" s="74" t="s">
        <v>453</v>
      </c>
    </row>
    <row r="34017" spans="1:3">
      <c r="A34017" s="250">
        <v>78520</v>
      </c>
      <c r="B34017" s="74" t="s">
        <v>1731</v>
      </c>
      <c r="C34017" s="74" t="s">
        <v>453</v>
      </c>
    </row>
    <row r="34018" spans="1:3">
      <c r="A34018" s="250">
        <v>78521</v>
      </c>
      <c r="B34018" s="74" t="s">
        <v>1731</v>
      </c>
      <c r="C34018" s="74" t="s">
        <v>453</v>
      </c>
    </row>
    <row r="34019" spans="1:3">
      <c r="A34019" s="250">
        <v>78522</v>
      </c>
      <c r="B34019" s="74" t="s">
        <v>1731</v>
      </c>
      <c r="C34019" s="74" t="s">
        <v>453</v>
      </c>
    </row>
    <row r="34020" spans="1:3">
      <c r="A34020" s="250">
        <v>78523</v>
      </c>
      <c r="B34020" s="74" t="s">
        <v>1731</v>
      </c>
      <c r="C34020" s="74" t="s">
        <v>453</v>
      </c>
    </row>
    <row r="34021" spans="1:3">
      <c r="A34021" s="250">
        <v>78526</v>
      </c>
      <c r="B34021" s="74" t="s">
        <v>1731</v>
      </c>
      <c r="C34021" s="74" t="s">
        <v>453</v>
      </c>
    </row>
    <row r="34022" spans="1:3">
      <c r="A34022" s="250">
        <v>78535</v>
      </c>
      <c r="B34022" s="74" t="s">
        <v>16366</v>
      </c>
      <c r="C34022" s="74" t="s">
        <v>453</v>
      </c>
    </row>
    <row r="34023" spans="1:3">
      <c r="A34023" s="250">
        <v>78536</v>
      </c>
      <c r="B34023" s="74" t="s">
        <v>16367</v>
      </c>
      <c r="C34023" s="74" t="s">
        <v>453</v>
      </c>
    </row>
    <row r="34024" spans="1:3">
      <c r="A34024" s="250">
        <v>78537</v>
      </c>
      <c r="B34024" s="74" t="s">
        <v>16368</v>
      </c>
      <c r="C34024" s="74" t="s">
        <v>453</v>
      </c>
    </row>
    <row r="34025" spans="1:3">
      <c r="A34025" s="250">
        <v>78538</v>
      </c>
      <c r="B34025" s="74" t="s">
        <v>16369</v>
      </c>
      <c r="C34025" s="74" t="s">
        <v>453</v>
      </c>
    </row>
    <row r="34026" spans="1:3">
      <c r="A34026" s="250">
        <v>78539</v>
      </c>
      <c r="B34026" s="74" t="s">
        <v>4413</v>
      </c>
      <c r="C34026" s="74" t="s">
        <v>453</v>
      </c>
    </row>
    <row r="34027" spans="1:3">
      <c r="A34027" s="250">
        <v>78540</v>
      </c>
      <c r="B34027" s="74" t="s">
        <v>4413</v>
      </c>
      <c r="C34027" s="74" t="s">
        <v>453</v>
      </c>
    </row>
    <row r="34028" spans="1:3">
      <c r="A34028" s="250">
        <v>78541</v>
      </c>
      <c r="B34028" s="74" t="s">
        <v>4413</v>
      </c>
      <c r="C34028" s="74" t="s">
        <v>453</v>
      </c>
    </row>
    <row r="34029" spans="1:3">
      <c r="A34029" s="250">
        <v>78542</v>
      </c>
      <c r="B34029" s="74" t="s">
        <v>4413</v>
      </c>
      <c r="C34029" s="74" t="s">
        <v>453</v>
      </c>
    </row>
    <row r="34030" spans="1:3">
      <c r="A34030" s="250">
        <v>78543</v>
      </c>
      <c r="B34030" s="74" t="s">
        <v>16370</v>
      </c>
      <c r="C34030" s="74" t="s">
        <v>453</v>
      </c>
    </row>
    <row r="34031" spans="1:3">
      <c r="A34031" s="250">
        <v>78545</v>
      </c>
      <c r="B34031" s="74" t="s">
        <v>16371</v>
      </c>
      <c r="C34031" s="74" t="s">
        <v>453</v>
      </c>
    </row>
    <row r="34032" spans="1:3">
      <c r="A34032" s="250">
        <v>78547</v>
      </c>
      <c r="B34032" s="74" t="s">
        <v>16372</v>
      </c>
      <c r="C34032" s="74" t="s">
        <v>453</v>
      </c>
    </row>
    <row r="34033" spans="1:3">
      <c r="A34033" s="250">
        <v>78548</v>
      </c>
      <c r="B34033" s="74" t="s">
        <v>16373</v>
      </c>
      <c r="C34033" s="74" t="s">
        <v>453</v>
      </c>
    </row>
    <row r="34034" spans="1:3">
      <c r="A34034" s="250">
        <v>78549</v>
      </c>
      <c r="B34034" s="74" t="s">
        <v>16374</v>
      </c>
      <c r="C34034" s="74" t="s">
        <v>453</v>
      </c>
    </row>
    <row r="34035" spans="1:3">
      <c r="A34035" s="250">
        <v>78550</v>
      </c>
      <c r="B34035" s="74" t="s">
        <v>16375</v>
      </c>
      <c r="C34035" s="74" t="s">
        <v>453</v>
      </c>
    </row>
    <row r="34036" spans="1:3">
      <c r="A34036" s="250">
        <v>78551</v>
      </c>
      <c r="B34036" s="74" t="s">
        <v>16375</v>
      </c>
      <c r="C34036" s="74" t="s">
        <v>453</v>
      </c>
    </row>
    <row r="34037" spans="1:3">
      <c r="A34037" s="250">
        <v>78552</v>
      </c>
      <c r="B34037" s="74" t="s">
        <v>16375</v>
      </c>
      <c r="C34037" s="74" t="s">
        <v>453</v>
      </c>
    </row>
    <row r="34038" spans="1:3">
      <c r="A34038" s="250">
        <v>78553</v>
      </c>
      <c r="B34038" s="74" t="s">
        <v>16375</v>
      </c>
      <c r="C34038" s="74" t="s">
        <v>453</v>
      </c>
    </row>
    <row r="34039" spans="1:3">
      <c r="A34039" s="250">
        <v>78557</v>
      </c>
      <c r="B34039" s="74" t="s">
        <v>13899</v>
      </c>
      <c r="C34039" s="74" t="s">
        <v>453</v>
      </c>
    </row>
    <row r="34040" spans="1:3">
      <c r="A34040" s="250">
        <v>78558</v>
      </c>
      <c r="B34040" s="74" t="s">
        <v>16376</v>
      </c>
      <c r="C34040" s="74" t="s">
        <v>453</v>
      </c>
    </row>
    <row r="34041" spans="1:3">
      <c r="A34041" s="250">
        <v>78559</v>
      </c>
      <c r="B34041" s="74" t="s">
        <v>16377</v>
      </c>
      <c r="C34041" s="74" t="s">
        <v>453</v>
      </c>
    </row>
    <row r="34042" spans="1:3">
      <c r="A34042" s="250">
        <v>78560</v>
      </c>
      <c r="B34042" s="74" t="s">
        <v>16378</v>
      </c>
      <c r="C34042" s="74" t="s">
        <v>453</v>
      </c>
    </row>
    <row r="34043" spans="1:3">
      <c r="A34043" s="250">
        <v>78561</v>
      </c>
      <c r="B34043" s="74" t="s">
        <v>16379</v>
      </c>
      <c r="C34043" s="74" t="s">
        <v>453</v>
      </c>
    </row>
    <row r="34044" spans="1:3">
      <c r="A34044" s="250">
        <v>78562</v>
      </c>
      <c r="B34044" s="74" t="s">
        <v>16380</v>
      </c>
      <c r="C34044" s="74" t="s">
        <v>453</v>
      </c>
    </row>
    <row r="34045" spans="1:3">
      <c r="A34045" s="250">
        <v>78563</v>
      </c>
      <c r="B34045" s="74" t="s">
        <v>6944</v>
      </c>
      <c r="C34045" s="74" t="s">
        <v>453</v>
      </c>
    </row>
    <row r="34046" spans="1:3">
      <c r="A34046" s="250">
        <v>78564</v>
      </c>
      <c r="B34046" s="74" t="s">
        <v>16381</v>
      </c>
      <c r="C34046" s="74" t="s">
        <v>453</v>
      </c>
    </row>
    <row r="34047" spans="1:3">
      <c r="A34047" s="250">
        <v>78565</v>
      </c>
      <c r="B34047" s="74" t="s">
        <v>16382</v>
      </c>
      <c r="C34047" s="74" t="s">
        <v>453</v>
      </c>
    </row>
    <row r="34048" spans="1:3">
      <c r="A34048" s="250">
        <v>78566</v>
      </c>
      <c r="B34048" s="74" t="s">
        <v>16383</v>
      </c>
      <c r="C34048" s="74" t="s">
        <v>453</v>
      </c>
    </row>
    <row r="34049" spans="1:3">
      <c r="A34049" s="250">
        <v>78567</v>
      </c>
      <c r="B34049" s="74" t="s">
        <v>16384</v>
      </c>
      <c r="C34049" s="74" t="s">
        <v>453</v>
      </c>
    </row>
    <row r="34050" spans="1:3">
      <c r="A34050" s="250">
        <v>78568</v>
      </c>
      <c r="B34050" s="74" t="s">
        <v>16385</v>
      </c>
      <c r="C34050" s="74" t="s">
        <v>453</v>
      </c>
    </row>
    <row r="34051" spans="1:3">
      <c r="A34051" s="250">
        <v>78569</v>
      </c>
      <c r="B34051" s="74" t="s">
        <v>16386</v>
      </c>
      <c r="C34051" s="74" t="s">
        <v>453</v>
      </c>
    </row>
    <row r="34052" spans="1:3">
      <c r="A34052" s="250">
        <v>78570</v>
      </c>
      <c r="B34052" s="74" t="s">
        <v>16387</v>
      </c>
      <c r="C34052" s="74" t="s">
        <v>453</v>
      </c>
    </row>
    <row r="34053" spans="1:3">
      <c r="A34053" s="250">
        <v>78572</v>
      </c>
      <c r="B34053" s="74" t="s">
        <v>12930</v>
      </c>
      <c r="C34053" s="74" t="s">
        <v>453</v>
      </c>
    </row>
    <row r="34054" spans="1:3">
      <c r="A34054" s="250">
        <v>78573</v>
      </c>
      <c r="B34054" s="74" t="s">
        <v>12930</v>
      </c>
      <c r="C34054" s="74" t="s">
        <v>453</v>
      </c>
    </row>
    <row r="34055" spans="1:3">
      <c r="A34055" s="250">
        <v>78574</v>
      </c>
      <c r="B34055" s="74" t="s">
        <v>12930</v>
      </c>
      <c r="C34055" s="74" t="s">
        <v>453</v>
      </c>
    </row>
    <row r="34056" spans="1:3">
      <c r="A34056" s="250">
        <v>78575</v>
      </c>
      <c r="B34056" s="74" t="s">
        <v>16388</v>
      </c>
      <c r="C34056" s="74" t="s">
        <v>453</v>
      </c>
    </row>
    <row r="34057" spans="1:3">
      <c r="A34057" s="250">
        <v>78576</v>
      </c>
      <c r="B34057" s="74" t="s">
        <v>16389</v>
      </c>
      <c r="C34057" s="74" t="s">
        <v>453</v>
      </c>
    </row>
    <row r="34058" spans="1:3">
      <c r="A34058" s="250">
        <v>78577</v>
      </c>
      <c r="B34058" s="74" t="s">
        <v>16390</v>
      </c>
      <c r="C34058" s="74" t="s">
        <v>453</v>
      </c>
    </row>
    <row r="34059" spans="1:3">
      <c r="A34059" s="250">
        <v>78578</v>
      </c>
      <c r="B34059" s="74" t="s">
        <v>16391</v>
      </c>
      <c r="C34059" s="74" t="s">
        <v>453</v>
      </c>
    </row>
    <row r="34060" spans="1:3">
      <c r="A34060" s="250">
        <v>78579</v>
      </c>
      <c r="B34060" s="74" t="s">
        <v>16392</v>
      </c>
      <c r="C34060" s="74" t="s">
        <v>453</v>
      </c>
    </row>
    <row r="34061" spans="1:3">
      <c r="A34061" s="250">
        <v>78580</v>
      </c>
      <c r="B34061" s="74" t="s">
        <v>3575</v>
      </c>
      <c r="C34061" s="74" t="s">
        <v>453</v>
      </c>
    </row>
    <row r="34062" spans="1:3">
      <c r="A34062" s="250">
        <v>78582</v>
      </c>
      <c r="B34062" s="74" t="s">
        <v>16393</v>
      </c>
      <c r="C34062" s="74" t="s">
        <v>453</v>
      </c>
    </row>
    <row r="34063" spans="1:3">
      <c r="A34063" s="250">
        <v>78583</v>
      </c>
      <c r="B34063" s="74" t="s">
        <v>16394</v>
      </c>
      <c r="C34063" s="74" t="s">
        <v>453</v>
      </c>
    </row>
    <row r="34064" spans="1:3">
      <c r="A34064" s="250">
        <v>78584</v>
      </c>
      <c r="B34064" s="74" t="s">
        <v>16395</v>
      </c>
      <c r="C34064" s="74" t="s">
        <v>453</v>
      </c>
    </row>
    <row r="34065" spans="1:3">
      <c r="A34065" s="250">
        <v>78585</v>
      </c>
      <c r="B34065" s="74" t="s">
        <v>16396</v>
      </c>
      <c r="C34065" s="74" t="s">
        <v>453</v>
      </c>
    </row>
    <row r="34066" spans="1:3">
      <c r="A34066" s="250">
        <v>78586</v>
      </c>
      <c r="B34066" s="74" t="s">
        <v>16397</v>
      </c>
      <c r="C34066" s="74" t="s">
        <v>453</v>
      </c>
    </row>
    <row r="34067" spans="1:3">
      <c r="A34067" s="250">
        <v>78588</v>
      </c>
      <c r="B34067" s="74" t="s">
        <v>16398</v>
      </c>
      <c r="C34067" s="74" t="s">
        <v>453</v>
      </c>
    </row>
    <row r="34068" spans="1:3">
      <c r="A34068" s="250">
        <v>78589</v>
      </c>
      <c r="B34068" s="74" t="s">
        <v>565</v>
      </c>
      <c r="C34068" s="74" t="s">
        <v>453</v>
      </c>
    </row>
    <row r="34069" spans="1:3">
      <c r="A34069" s="250">
        <v>78590</v>
      </c>
      <c r="B34069" s="74" t="s">
        <v>16399</v>
      </c>
      <c r="C34069" s="74" t="s">
        <v>453</v>
      </c>
    </row>
    <row r="34070" spans="1:3">
      <c r="A34070" s="250">
        <v>78591</v>
      </c>
      <c r="B34070" s="74" t="s">
        <v>16400</v>
      </c>
      <c r="C34070" s="74" t="s">
        <v>453</v>
      </c>
    </row>
    <row r="34071" spans="1:3">
      <c r="A34071" s="250">
        <v>78592</v>
      </c>
      <c r="B34071" s="74" t="s">
        <v>16401</v>
      </c>
      <c r="C34071" s="74" t="s">
        <v>453</v>
      </c>
    </row>
    <row r="34072" spans="1:3">
      <c r="A34072" s="250">
        <v>78593</v>
      </c>
      <c r="B34072" s="74" t="s">
        <v>16402</v>
      </c>
      <c r="C34072" s="74" t="s">
        <v>453</v>
      </c>
    </row>
    <row r="34073" spans="1:3">
      <c r="A34073" s="250">
        <v>78594</v>
      </c>
      <c r="B34073" s="74" t="s">
        <v>8406</v>
      </c>
      <c r="C34073" s="74" t="s">
        <v>453</v>
      </c>
    </row>
    <row r="34074" spans="1:3">
      <c r="A34074" s="250">
        <v>78595</v>
      </c>
      <c r="B34074" s="74" t="s">
        <v>16403</v>
      </c>
      <c r="C34074" s="74" t="s">
        <v>453</v>
      </c>
    </row>
    <row r="34075" spans="1:3">
      <c r="A34075" s="250">
        <v>78596</v>
      </c>
      <c r="B34075" s="74" t="s">
        <v>16404</v>
      </c>
      <c r="C34075" s="74" t="s">
        <v>453</v>
      </c>
    </row>
    <row r="34076" spans="1:3">
      <c r="A34076" s="250">
        <v>78597</v>
      </c>
      <c r="B34076" s="74" t="s">
        <v>16405</v>
      </c>
      <c r="C34076" s="74" t="s">
        <v>453</v>
      </c>
    </row>
    <row r="34077" spans="1:3">
      <c r="A34077" s="250">
        <v>78598</v>
      </c>
      <c r="B34077" s="74" t="s">
        <v>16406</v>
      </c>
      <c r="C34077" s="74" t="s">
        <v>453</v>
      </c>
    </row>
    <row r="34078" spans="1:3">
      <c r="A34078" s="250">
        <v>78599</v>
      </c>
      <c r="B34078" s="74" t="s">
        <v>16404</v>
      </c>
      <c r="C34078" s="74" t="s">
        <v>453</v>
      </c>
    </row>
    <row r="34079" spans="1:3">
      <c r="A34079" s="250">
        <v>78602</v>
      </c>
      <c r="B34079" s="74" t="s">
        <v>15117</v>
      </c>
      <c r="C34079" s="74" t="s">
        <v>453</v>
      </c>
    </row>
    <row r="34080" spans="1:3">
      <c r="A34080" s="250">
        <v>78604</v>
      </c>
      <c r="B34080" s="74" t="s">
        <v>986</v>
      </c>
      <c r="C34080" s="74" t="s">
        <v>453</v>
      </c>
    </row>
    <row r="34081" spans="1:3">
      <c r="A34081" s="250">
        <v>78605</v>
      </c>
      <c r="B34081" s="74" t="s">
        <v>16407</v>
      </c>
      <c r="C34081" s="74" t="s">
        <v>453</v>
      </c>
    </row>
    <row r="34082" spans="1:3">
      <c r="A34082" s="250">
        <v>78606</v>
      </c>
      <c r="B34082" s="74" t="s">
        <v>15725</v>
      </c>
      <c r="C34082" s="74" t="s">
        <v>453</v>
      </c>
    </row>
    <row r="34083" spans="1:3">
      <c r="A34083" s="250">
        <v>78607</v>
      </c>
      <c r="B34083" s="74" t="s">
        <v>7830</v>
      </c>
      <c r="C34083" s="74" t="s">
        <v>453</v>
      </c>
    </row>
    <row r="34084" spans="1:3">
      <c r="A34084" s="250">
        <v>78608</v>
      </c>
      <c r="B34084" s="74" t="s">
        <v>16408</v>
      </c>
      <c r="C34084" s="74" t="s">
        <v>453</v>
      </c>
    </row>
    <row r="34085" spans="1:3">
      <c r="A34085" s="250">
        <v>78609</v>
      </c>
      <c r="B34085" s="74" t="s">
        <v>16409</v>
      </c>
      <c r="C34085" s="74" t="s">
        <v>453</v>
      </c>
    </row>
    <row r="34086" spans="1:3">
      <c r="A34086" s="250">
        <v>78610</v>
      </c>
      <c r="B34086" s="74" t="s">
        <v>13654</v>
      </c>
      <c r="C34086" s="74" t="s">
        <v>453</v>
      </c>
    </row>
    <row r="34087" spans="1:3">
      <c r="A34087" s="250">
        <v>78611</v>
      </c>
      <c r="B34087" s="74" t="s">
        <v>16410</v>
      </c>
      <c r="C34087" s="74" t="s">
        <v>453</v>
      </c>
    </row>
    <row r="34088" spans="1:3">
      <c r="A34088" s="250">
        <v>78612</v>
      </c>
      <c r="B34088" s="74" t="s">
        <v>14731</v>
      </c>
      <c r="C34088" s="74" t="s">
        <v>453</v>
      </c>
    </row>
    <row r="34089" spans="1:3">
      <c r="A34089" s="250">
        <v>78613</v>
      </c>
      <c r="B34089" s="74" t="s">
        <v>16411</v>
      </c>
      <c r="C34089" s="74" t="s">
        <v>453</v>
      </c>
    </row>
    <row r="34090" spans="1:3">
      <c r="A34090" s="250">
        <v>78614</v>
      </c>
      <c r="B34090" s="74" t="s">
        <v>136</v>
      </c>
      <c r="C34090" s="74" t="s">
        <v>453</v>
      </c>
    </row>
    <row r="34091" spans="1:3">
      <c r="A34091" s="250">
        <v>78615</v>
      </c>
      <c r="B34091" s="74" t="s">
        <v>16412</v>
      </c>
      <c r="C34091" s="74" t="s">
        <v>453</v>
      </c>
    </row>
    <row r="34092" spans="1:3">
      <c r="A34092" s="250">
        <v>78616</v>
      </c>
      <c r="B34092" s="74" t="s">
        <v>3691</v>
      </c>
      <c r="C34092" s="74" t="s">
        <v>453</v>
      </c>
    </row>
    <row r="34093" spans="1:3">
      <c r="A34093" s="250">
        <v>78617</v>
      </c>
      <c r="B34093" s="74" t="s">
        <v>16413</v>
      </c>
      <c r="C34093" s="74" t="s">
        <v>453</v>
      </c>
    </row>
    <row r="34094" spans="1:3">
      <c r="A34094" s="250">
        <v>78618</v>
      </c>
      <c r="B34094" s="74" t="s">
        <v>16414</v>
      </c>
      <c r="C34094" s="74" t="s">
        <v>453</v>
      </c>
    </row>
    <row r="34095" spans="1:3">
      <c r="A34095" s="250">
        <v>78619</v>
      </c>
      <c r="B34095" s="74" t="s">
        <v>4323</v>
      </c>
      <c r="C34095" s="74" t="s">
        <v>453</v>
      </c>
    </row>
    <row r="34096" spans="1:3">
      <c r="A34096" s="250">
        <v>78620</v>
      </c>
      <c r="B34096" s="74" t="s">
        <v>16415</v>
      </c>
      <c r="C34096" s="74" t="s">
        <v>453</v>
      </c>
    </row>
    <row r="34097" spans="1:3">
      <c r="A34097" s="250">
        <v>78621</v>
      </c>
      <c r="B34097" s="74" t="s">
        <v>4511</v>
      </c>
      <c r="C34097" s="74" t="s">
        <v>453</v>
      </c>
    </row>
    <row r="34098" spans="1:3">
      <c r="A34098" s="250">
        <v>78622</v>
      </c>
      <c r="B34098" s="74" t="s">
        <v>16416</v>
      </c>
      <c r="C34098" s="74" t="s">
        <v>453</v>
      </c>
    </row>
    <row r="34099" spans="1:3">
      <c r="A34099" s="250">
        <v>78623</v>
      </c>
      <c r="B34099" s="74" t="s">
        <v>16417</v>
      </c>
      <c r="C34099" s="74" t="s">
        <v>453</v>
      </c>
    </row>
    <row r="34100" spans="1:3">
      <c r="A34100" s="250">
        <v>78624</v>
      </c>
      <c r="B34100" s="74" t="s">
        <v>4704</v>
      </c>
      <c r="C34100" s="74" t="s">
        <v>453</v>
      </c>
    </row>
    <row r="34101" spans="1:3">
      <c r="A34101" s="250">
        <v>78626</v>
      </c>
      <c r="B34101" s="74" t="s">
        <v>813</v>
      </c>
      <c r="C34101" s="74" t="s">
        <v>453</v>
      </c>
    </row>
    <row r="34102" spans="1:3">
      <c r="A34102" s="250">
        <v>78627</v>
      </c>
      <c r="B34102" s="74" t="s">
        <v>813</v>
      </c>
      <c r="C34102" s="74" t="s">
        <v>453</v>
      </c>
    </row>
    <row r="34103" spans="1:3">
      <c r="A34103" s="250">
        <v>78628</v>
      </c>
      <c r="B34103" s="74" t="s">
        <v>813</v>
      </c>
      <c r="C34103" s="74" t="s">
        <v>453</v>
      </c>
    </row>
    <row r="34104" spans="1:3">
      <c r="A34104" s="250">
        <v>78629</v>
      </c>
      <c r="B34104" s="74" t="s">
        <v>15048</v>
      </c>
      <c r="C34104" s="74" t="s">
        <v>453</v>
      </c>
    </row>
    <row r="34105" spans="1:3">
      <c r="A34105" s="250">
        <v>78630</v>
      </c>
      <c r="B34105" s="74" t="s">
        <v>16411</v>
      </c>
      <c r="C34105" s="74" t="s">
        <v>453</v>
      </c>
    </row>
    <row r="34106" spans="1:3">
      <c r="A34106" s="250">
        <v>78631</v>
      </c>
      <c r="B34106" s="74" t="s">
        <v>6798</v>
      </c>
      <c r="C34106" s="74" t="s">
        <v>453</v>
      </c>
    </row>
    <row r="34107" spans="1:3">
      <c r="A34107" s="250">
        <v>78632</v>
      </c>
      <c r="B34107" s="74" t="s">
        <v>5621</v>
      </c>
      <c r="C34107" s="74" t="s">
        <v>453</v>
      </c>
    </row>
    <row r="34108" spans="1:3">
      <c r="A34108" s="250">
        <v>78633</v>
      </c>
      <c r="B34108" s="74" t="s">
        <v>813</v>
      </c>
      <c r="C34108" s="74" t="s">
        <v>453</v>
      </c>
    </row>
    <row r="34109" spans="1:3">
      <c r="A34109" s="250">
        <v>78634</v>
      </c>
      <c r="B34109" s="74" t="s">
        <v>16418</v>
      </c>
      <c r="C34109" s="74" t="s">
        <v>453</v>
      </c>
    </row>
    <row r="34110" spans="1:3">
      <c r="A34110" s="250">
        <v>78635</v>
      </c>
      <c r="B34110" s="74" t="s">
        <v>16419</v>
      </c>
      <c r="C34110" s="74" t="s">
        <v>453</v>
      </c>
    </row>
    <row r="34111" spans="1:3">
      <c r="A34111" s="250">
        <v>78636</v>
      </c>
      <c r="B34111" s="74" t="s">
        <v>3623</v>
      </c>
      <c r="C34111" s="74" t="s">
        <v>453</v>
      </c>
    </row>
    <row r="34112" spans="1:3">
      <c r="A34112" s="250">
        <v>78638</v>
      </c>
      <c r="B34112" s="74" t="s">
        <v>10686</v>
      </c>
      <c r="C34112" s="74" t="s">
        <v>453</v>
      </c>
    </row>
    <row r="34113" spans="1:3">
      <c r="A34113" s="250">
        <v>78639</v>
      </c>
      <c r="B34113" s="74" t="s">
        <v>8130</v>
      </c>
      <c r="C34113" s="74" t="s">
        <v>453</v>
      </c>
    </row>
    <row r="34114" spans="1:3">
      <c r="A34114" s="250">
        <v>78640</v>
      </c>
      <c r="B34114" s="74" t="s">
        <v>6520</v>
      </c>
      <c r="C34114" s="74" t="s">
        <v>453</v>
      </c>
    </row>
    <row r="34115" spans="1:3">
      <c r="A34115" s="250">
        <v>78641</v>
      </c>
      <c r="B34115" s="74" t="s">
        <v>16420</v>
      </c>
      <c r="C34115" s="74" t="s">
        <v>453</v>
      </c>
    </row>
    <row r="34116" spans="1:3">
      <c r="A34116" s="250">
        <v>78642</v>
      </c>
      <c r="B34116" s="74" t="s">
        <v>7623</v>
      </c>
      <c r="C34116" s="74" t="s">
        <v>453</v>
      </c>
    </row>
    <row r="34117" spans="1:3">
      <c r="A34117" s="250">
        <v>78643</v>
      </c>
      <c r="B34117" s="74" t="s">
        <v>16421</v>
      </c>
      <c r="C34117" s="74" t="s">
        <v>453</v>
      </c>
    </row>
    <row r="34118" spans="1:3">
      <c r="A34118" s="250">
        <v>78644</v>
      </c>
      <c r="B34118" s="74" t="s">
        <v>7679</v>
      </c>
      <c r="C34118" s="74" t="s">
        <v>453</v>
      </c>
    </row>
    <row r="34119" spans="1:3">
      <c r="A34119" s="250">
        <v>78645</v>
      </c>
      <c r="B34119" s="74" t="s">
        <v>16420</v>
      </c>
      <c r="C34119" s="74" t="s">
        <v>453</v>
      </c>
    </row>
    <row r="34120" spans="1:3">
      <c r="A34120" s="250">
        <v>78646</v>
      </c>
      <c r="B34120" s="74" t="s">
        <v>16420</v>
      </c>
      <c r="C34120" s="74" t="s">
        <v>453</v>
      </c>
    </row>
    <row r="34121" spans="1:3">
      <c r="A34121" s="250">
        <v>78648</v>
      </c>
      <c r="B34121" s="74" t="s">
        <v>14930</v>
      </c>
      <c r="C34121" s="74" t="s">
        <v>453</v>
      </c>
    </row>
    <row r="34122" spans="1:3">
      <c r="A34122" s="250">
        <v>78650</v>
      </c>
      <c r="B34122" s="74" t="s">
        <v>16422</v>
      </c>
      <c r="C34122" s="74" t="s">
        <v>453</v>
      </c>
    </row>
    <row r="34123" spans="1:3">
      <c r="A34123" s="250">
        <v>78651</v>
      </c>
      <c r="B34123" s="74" t="s">
        <v>15219</v>
      </c>
      <c r="C34123" s="74" t="s">
        <v>453</v>
      </c>
    </row>
    <row r="34124" spans="1:3">
      <c r="A34124" s="250">
        <v>78652</v>
      </c>
      <c r="B34124" s="74" t="s">
        <v>16423</v>
      </c>
      <c r="C34124" s="74" t="s">
        <v>453</v>
      </c>
    </row>
    <row r="34125" spans="1:3">
      <c r="A34125" s="250">
        <v>78653</v>
      </c>
      <c r="B34125" s="74" t="s">
        <v>4225</v>
      </c>
      <c r="C34125" s="74" t="s">
        <v>453</v>
      </c>
    </row>
    <row r="34126" spans="1:3">
      <c r="A34126" s="250">
        <v>78654</v>
      </c>
      <c r="B34126" s="74" t="s">
        <v>15457</v>
      </c>
      <c r="C34126" s="74" t="s">
        <v>453</v>
      </c>
    </row>
    <row r="34127" spans="1:3">
      <c r="A34127" s="250">
        <v>78655</v>
      </c>
      <c r="B34127" s="74" t="s">
        <v>4870</v>
      </c>
      <c r="C34127" s="74" t="s">
        <v>453</v>
      </c>
    </row>
    <row r="34128" spans="1:3">
      <c r="A34128" s="250">
        <v>78656</v>
      </c>
      <c r="B34128" s="74" t="s">
        <v>10665</v>
      </c>
      <c r="C34128" s="74" t="s">
        <v>453</v>
      </c>
    </row>
    <row r="34129" spans="1:3">
      <c r="A34129" s="250">
        <v>78657</v>
      </c>
      <c r="B34129" s="74" t="s">
        <v>16424</v>
      </c>
      <c r="C34129" s="74" t="s">
        <v>453</v>
      </c>
    </row>
    <row r="34130" spans="1:3">
      <c r="A34130" s="250">
        <v>78658</v>
      </c>
      <c r="B34130" s="74" t="s">
        <v>16425</v>
      </c>
      <c r="C34130" s="74" t="s">
        <v>453</v>
      </c>
    </row>
    <row r="34131" spans="1:3">
      <c r="A34131" s="250">
        <v>78659</v>
      </c>
      <c r="B34131" s="74" t="s">
        <v>16426</v>
      </c>
      <c r="C34131" s="74" t="s">
        <v>453</v>
      </c>
    </row>
    <row r="34132" spans="1:3">
      <c r="A34132" s="250">
        <v>78660</v>
      </c>
      <c r="B34132" s="74" t="s">
        <v>16427</v>
      </c>
      <c r="C34132" s="74" t="s">
        <v>453</v>
      </c>
    </row>
    <row r="34133" spans="1:3">
      <c r="A34133" s="250">
        <v>78661</v>
      </c>
      <c r="B34133" s="74" t="s">
        <v>16428</v>
      </c>
      <c r="C34133" s="74" t="s">
        <v>453</v>
      </c>
    </row>
    <row r="34134" spans="1:3">
      <c r="A34134" s="250">
        <v>78662</v>
      </c>
      <c r="B34134" s="74" t="s">
        <v>15750</v>
      </c>
      <c r="C34134" s="74" t="s">
        <v>453</v>
      </c>
    </row>
    <row r="34135" spans="1:3">
      <c r="A34135" s="250">
        <v>78663</v>
      </c>
      <c r="B34135" s="74" t="s">
        <v>16429</v>
      </c>
      <c r="C34135" s="74" t="s">
        <v>453</v>
      </c>
    </row>
    <row r="34136" spans="1:3">
      <c r="A34136" s="250">
        <v>78664</v>
      </c>
      <c r="B34136" s="74" t="s">
        <v>16430</v>
      </c>
      <c r="C34136" s="74" t="s">
        <v>453</v>
      </c>
    </row>
    <row r="34137" spans="1:3">
      <c r="A34137" s="250">
        <v>78665</v>
      </c>
      <c r="B34137" s="74" t="s">
        <v>16430</v>
      </c>
      <c r="C34137" s="74" t="s">
        <v>453</v>
      </c>
    </row>
    <row r="34138" spans="1:3">
      <c r="A34138" s="250">
        <v>78666</v>
      </c>
      <c r="B34138" s="74" t="s">
        <v>16431</v>
      </c>
      <c r="C34138" s="74" t="s">
        <v>453</v>
      </c>
    </row>
    <row r="34139" spans="1:3">
      <c r="A34139" s="250">
        <v>78667</v>
      </c>
      <c r="B34139" s="74" t="s">
        <v>16431</v>
      </c>
      <c r="C34139" s="74" t="s">
        <v>453</v>
      </c>
    </row>
    <row r="34140" spans="1:3">
      <c r="A34140" s="250">
        <v>78669</v>
      </c>
      <c r="B34140" s="74" t="s">
        <v>16432</v>
      </c>
      <c r="C34140" s="74" t="s">
        <v>453</v>
      </c>
    </row>
    <row r="34141" spans="1:3">
      <c r="A34141" s="250">
        <v>78670</v>
      </c>
      <c r="B34141" s="74" t="s">
        <v>12693</v>
      </c>
      <c r="C34141" s="74" t="s">
        <v>453</v>
      </c>
    </row>
    <row r="34142" spans="1:3">
      <c r="A34142" s="250">
        <v>78671</v>
      </c>
      <c r="B34142" s="74" t="s">
        <v>7462</v>
      </c>
      <c r="C34142" s="74" t="s">
        <v>453</v>
      </c>
    </row>
    <row r="34143" spans="1:3">
      <c r="A34143" s="250">
        <v>78672</v>
      </c>
      <c r="B34143" s="74" t="s">
        <v>16433</v>
      </c>
      <c r="C34143" s="74" t="s">
        <v>453</v>
      </c>
    </row>
    <row r="34144" spans="1:3">
      <c r="A34144" s="250">
        <v>78673</v>
      </c>
      <c r="B34144" s="74" t="s">
        <v>16434</v>
      </c>
      <c r="C34144" s="74" t="s">
        <v>453</v>
      </c>
    </row>
    <row r="34145" spans="1:3">
      <c r="A34145" s="250">
        <v>78674</v>
      </c>
      <c r="B34145" s="74" t="s">
        <v>9554</v>
      </c>
      <c r="C34145" s="74" t="s">
        <v>453</v>
      </c>
    </row>
    <row r="34146" spans="1:3">
      <c r="A34146" s="250">
        <v>78675</v>
      </c>
      <c r="B34146" s="74" t="s">
        <v>13091</v>
      </c>
      <c r="C34146" s="74" t="s">
        <v>453</v>
      </c>
    </row>
    <row r="34147" spans="1:3">
      <c r="A34147" s="250">
        <v>78676</v>
      </c>
      <c r="B34147" s="74" t="s">
        <v>16435</v>
      </c>
      <c r="C34147" s="74" t="s">
        <v>453</v>
      </c>
    </row>
    <row r="34148" spans="1:3">
      <c r="A34148" s="250">
        <v>78677</v>
      </c>
      <c r="B34148" s="74" t="s">
        <v>16436</v>
      </c>
      <c r="C34148" s="74" t="s">
        <v>453</v>
      </c>
    </row>
    <row r="34149" spans="1:3">
      <c r="A34149" s="250">
        <v>78680</v>
      </c>
      <c r="B34149" s="74" t="s">
        <v>16430</v>
      </c>
      <c r="C34149" s="74" t="s">
        <v>453</v>
      </c>
    </row>
    <row r="34150" spans="1:3">
      <c r="A34150" s="250">
        <v>78681</v>
      </c>
      <c r="B34150" s="74" t="s">
        <v>16430</v>
      </c>
      <c r="C34150" s="74" t="s">
        <v>453</v>
      </c>
    </row>
    <row r="34151" spans="1:3">
      <c r="A34151" s="250">
        <v>78682</v>
      </c>
      <c r="B34151" s="74" t="s">
        <v>16430</v>
      </c>
      <c r="C34151" s="74" t="s">
        <v>453</v>
      </c>
    </row>
    <row r="34152" spans="1:3">
      <c r="A34152" s="250">
        <v>78683</v>
      </c>
      <c r="B34152" s="74" t="s">
        <v>16430</v>
      </c>
      <c r="C34152" s="74" t="s">
        <v>453</v>
      </c>
    </row>
    <row r="34153" spans="1:3">
      <c r="A34153" s="250">
        <v>78691</v>
      </c>
      <c r="B34153" s="74" t="s">
        <v>16427</v>
      </c>
      <c r="C34153" s="74" t="s">
        <v>453</v>
      </c>
    </row>
    <row r="34154" spans="1:3">
      <c r="A34154" s="250">
        <v>78701</v>
      </c>
      <c r="B34154" s="74" t="s">
        <v>4587</v>
      </c>
      <c r="C34154" s="74" t="s">
        <v>453</v>
      </c>
    </row>
    <row r="34155" spans="1:3">
      <c r="A34155" s="250">
        <v>78702</v>
      </c>
      <c r="B34155" s="74" t="s">
        <v>4587</v>
      </c>
      <c r="C34155" s="74" t="s">
        <v>453</v>
      </c>
    </row>
    <row r="34156" spans="1:3">
      <c r="A34156" s="250">
        <v>78703</v>
      </c>
      <c r="B34156" s="74" t="s">
        <v>4587</v>
      </c>
      <c r="C34156" s="74" t="s">
        <v>453</v>
      </c>
    </row>
    <row r="34157" spans="1:3">
      <c r="A34157" s="250">
        <v>78704</v>
      </c>
      <c r="B34157" s="74" t="s">
        <v>4587</v>
      </c>
      <c r="C34157" s="74" t="s">
        <v>453</v>
      </c>
    </row>
    <row r="34158" spans="1:3">
      <c r="A34158" s="250">
        <v>78705</v>
      </c>
      <c r="B34158" s="74" t="s">
        <v>4587</v>
      </c>
      <c r="C34158" s="74" t="s">
        <v>453</v>
      </c>
    </row>
    <row r="34159" spans="1:3">
      <c r="A34159" s="250">
        <v>78708</v>
      </c>
      <c r="B34159" s="74" t="s">
        <v>4587</v>
      </c>
      <c r="C34159" s="74" t="s">
        <v>453</v>
      </c>
    </row>
    <row r="34160" spans="1:3">
      <c r="A34160" s="250">
        <v>78709</v>
      </c>
      <c r="B34160" s="74" t="s">
        <v>4587</v>
      </c>
      <c r="C34160" s="74" t="s">
        <v>453</v>
      </c>
    </row>
    <row r="34161" spans="1:3">
      <c r="A34161" s="250">
        <v>78710</v>
      </c>
      <c r="B34161" s="74" t="s">
        <v>4587</v>
      </c>
      <c r="C34161" s="74" t="s">
        <v>453</v>
      </c>
    </row>
    <row r="34162" spans="1:3">
      <c r="A34162" s="250">
        <v>78711</v>
      </c>
      <c r="B34162" s="74" t="s">
        <v>4587</v>
      </c>
      <c r="C34162" s="74" t="s">
        <v>453</v>
      </c>
    </row>
    <row r="34163" spans="1:3">
      <c r="A34163" s="250">
        <v>78712</v>
      </c>
      <c r="B34163" s="74" t="s">
        <v>4587</v>
      </c>
      <c r="C34163" s="74" t="s">
        <v>453</v>
      </c>
    </row>
    <row r="34164" spans="1:3">
      <c r="A34164" s="250">
        <v>78713</v>
      </c>
      <c r="B34164" s="74" t="s">
        <v>4587</v>
      </c>
      <c r="C34164" s="74" t="s">
        <v>453</v>
      </c>
    </row>
    <row r="34165" spans="1:3">
      <c r="A34165" s="250">
        <v>78714</v>
      </c>
      <c r="B34165" s="74" t="s">
        <v>4587</v>
      </c>
      <c r="C34165" s="74" t="s">
        <v>453</v>
      </c>
    </row>
    <row r="34166" spans="1:3">
      <c r="A34166" s="250">
        <v>78715</v>
      </c>
      <c r="B34166" s="74" t="s">
        <v>4587</v>
      </c>
      <c r="C34166" s="74" t="s">
        <v>453</v>
      </c>
    </row>
    <row r="34167" spans="1:3">
      <c r="A34167" s="250">
        <v>78716</v>
      </c>
      <c r="B34167" s="74" t="s">
        <v>4587</v>
      </c>
      <c r="C34167" s="74" t="s">
        <v>453</v>
      </c>
    </row>
    <row r="34168" spans="1:3">
      <c r="A34168" s="250">
        <v>78717</v>
      </c>
      <c r="B34168" s="74" t="s">
        <v>4587</v>
      </c>
      <c r="C34168" s="74" t="s">
        <v>453</v>
      </c>
    </row>
    <row r="34169" spans="1:3">
      <c r="A34169" s="250">
        <v>78718</v>
      </c>
      <c r="B34169" s="74" t="s">
        <v>4587</v>
      </c>
      <c r="C34169" s="74" t="s">
        <v>453</v>
      </c>
    </row>
    <row r="34170" spans="1:3">
      <c r="A34170" s="250">
        <v>78719</v>
      </c>
      <c r="B34170" s="74" t="s">
        <v>4587</v>
      </c>
      <c r="C34170" s="74" t="s">
        <v>453</v>
      </c>
    </row>
    <row r="34171" spans="1:3">
      <c r="A34171" s="250">
        <v>78720</v>
      </c>
      <c r="B34171" s="74" t="s">
        <v>4587</v>
      </c>
      <c r="C34171" s="74" t="s">
        <v>453</v>
      </c>
    </row>
    <row r="34172" spans="1:3">
      <c r="A34172" s="250">
        <v>78721</v>
      </c>
      <c r="B34172" s="74" t="s">
        <v>4587</v>
      </c>
      <c r="C34172" s="74" t="s">
        <v>453</v>
      </c>
    </row>
    <row r="34173" spans="1:3">
      <c r="A34173" s="250">
        <v>78722</v>
      </c>
      <c r="B34173" s="74" t="s">
        <v>4587</v>
      </c>
      <c r="C34173" s="74" t="s">
        <v>453</v>
      </c>
    </row>
    <row r="34174" spans="1:3">
      <c r="A34174" s="250">
        <v>78723</v>
      </c>
      <c r="B34174" s="74" t="s">
        <v>4587</v>
      </c>
      <c r="C34174" s="74" t="s">
        <v>453</v>
      </c>
    </row>
    <row r="34175" spans="1:3">
      <c r="A34175" s="250">
        <v>78724</v>
      </c>
      <c r="B34175" s="74" t="s">
        <v>4587</v>
      </c>
      <c r="C34175" s="74" t="s">
        <v>453</v>
      </c>
    </row>
    <row r="34176" spans="1:3">
      <c r="A34176" s="250">
        <v>78725</v>
      </c>
      <c r="B34176" s="74" t="s">
        <v>4587</v>
      </c>
      <c r="C34176" s="74" t="s">
        <v>453</v>
      </c>
    </row>
    <row r="34177" spans="1:3">
      <c r="A34177" s="250">
        <v>78726</v>
      </c>
      <c r="B34177" s="74" t="s">
        <v>4587</v>
      </c>
      <c r="C34177" s="74" t="s">
        <v>453</v>
      </c>
    </row>
    <row r="34178" spans="1:3">
      <c r="A34178" s="250">
        <v>78727</v>
      </c>
      <c r="B34178" s="74" t="s">
        <v>4587</v>
      </c>
      <c r="C34178" s="74" t="s">
        <v>453</v>
      </c>
    </row>
    <row r="34179" spans="1:3">
      <c r="A34179" s="250">
        <v>78728</v>
      </c>
      <c r="B34179" s="74" t="s">
        <v>4587</v>
      </c>
      <c r="C34179" s="74" t="s">
        <v>453</v>
      </c>
    </row>
    <row r="34180" spans="1:3">
      <c r="A34180" s="250">
        <v>78729</v>
      </c>
      <c r="B34180" s="74" t="s">
        <v>4587</v>
      </c>
      <c r="C34180" s="74" t="s">
        <v>453</v>
      </c>
    </row>
    <row r="34181" spans="1:3">
      <c r="A34181" s="250">
        <v>78730</v>
      </c>
      <c r="B34181" s="74" t="s">
        <v>4587</v>
      </c>
      <c r="C34181" s="74" t="s">
        <v>453</v>
      </c>
    </row>
    <row r="34182" spans="1:3">
      <c r="A34182" s="250">
        <v>78731</v>
      </c>
      <c r="B34182" s="74" t="s">
        <v>4587</v>
      </c>
      <c r="C34182" s="74" t="s">
        <v>453</v>
      </c>
    </row>
    <row r="34183" spans="1:3">
      <c r="A34183" s="250">
        <v>78732</v>
      </c>
      <c r="B34183" s="74" t="s">
        <v>4587</v>
      </c>
      <c r="C34183" s="74" t="s">
        <v>453</v>
      </c>
    </row>
    <row r="34184" spans="1:3">
      <c r="A34184" s="250">
        <v>78733</v>
      </c>
      <c r="B34184" s="74" t="s">
        <v>4587</v>
      </c>
      <c r="C34184" s="74" t="s">
        <v>453</v>
      </c>
    </row>
    <row r="34185" spans="1:3">
      <c r="A34185" s="250">
        <v>78734</v>
      </c>
      <c r="B34185" s="74" t="s">
        <v>4587</v>
      </c>
      <c r="C34185" s="74" t="s">
        <v>453</v>
      </c>
    </row>
    <row r="34186" spans="1:3">
      <c r="A34186" s="250">
        <v>78735</v>
      </c>
      <c r="B34186" s="74" t="s">
        <v>4587</v>
      </c>
      <c r="C34186" s="74" t="s">
        <v>453</v>
      </c>
    </row>
    <row r="34187" spans="1:3">
      <c r="A34187" s="250">
        <v>78736</v>
      </c>
      <c r="B34187" s="74" t="s">
        <v>4587</v>
      </c>
      <c r="C34187" s="74" t="s">
        <v>453</v>
      </c>
    </row>
    <row r="34188" spans="1:3">
      <c r="A34188" s="250">
        <v>78737</v>
      </c>
      <c r="B34188" s="74" t="s">
        <v>4587</v>
      </c>
      <c r="C34188" s="74" t="s">
        <v>453</v>
      </c>
    </row>
    <row r="34189" spans="1:3">
      <c r="A34189" s="250">
        <v>78738</v>
      </c>
      <c r="B34189" s="74" t="s">
        <v>4587</v>
      </c>
      <c r="C34189" s="74" t="s">
        <v>453</v>
      </c>
    </row>
    <row r="34190" spans="1:3">
      <c r="A34190" s="250">
        <v>78739</v>
      </c>
      <c r="B34190" s="74" t="s">
        <v>4587</v>
      </c>
      <c r="C34190" s="74" t="s">
        <v>453</v>
      </c>
    </row>
    <row r="34191" spans="1:3">
      <c r="A34191" s="250">
        <v>78741</v>
      </c>
      <c r="B34191" s="74" t="s">
        <v>4587</v>
      </c>
      <c r="C34191" s="74" t="s">
        <v>453</v>
      </c>
    </row>
    <row r="34192" spans="1:3">
      <c r="A34192" s="250">
        <v>78742</v>
      </c>
      <c r="B34192" s="74" t="s">
        <v>4587</v>
      </c>
      <c r="C34192" s="74" t="s">
        <v>453</v>
      </c>
    </row>
    <row r="34193" spans="1:3">
      <c r="A34193" s="250">
        <v>78744</v>
      </c>
      <c r="B34193" s="74" t="s">
        <v>4587</v>
      </c>
      <c r="C34193" s="74" t="s">
        <v>453</v>
      </c>
    </row>
    <row r="34194" spans="1:3">
      <c r="A34194" s="250">
        <v>78745</v>
      </c>
      <c r="B34194" s="74" t="s">
        <v>4587</v>
      </c>
      <c r="C34194" s="74" t="s">
        <v>453</v>
      </c>
    </row>
    <row r="34195" spans="1:3">
      <c r="A34195" s="250">
        <v>78746</v>
      </c>
      <c r="B34195" s="74" t="s">
        <v>4587</v>
      </c>
      <c r="C34195" s="74" t="s">
        <v>453</v>
      </c>
    </row>
    <row r="34196" spans="1:3">
      <c r="A34196" s="250">
        <v>78747</v>
      </c>
      <c r="B34196" s="74" t="s">
        <v>4587</v>
      </c>
      <c r="C34196" s="74" t="s">
        <v>453</v>
      </c>
    </row>
    <row r="34197" spans="1:3">
      <c r="A34197" s="250">
        <v>78748</v>
      </c>
      <c r="B34197" s="74" t="s">
        <v>4587</v>
      </c>
      <c r="C34197" s="74" t="s">
        <v>453</v>
      </c>
    </row>
    <row r="34198" spans="1:3">
      <c r="A34198" s="250">
        <v>78749</v>
      </c>
      <c r="B34198" s="74" t="s">
        <v>4587</v>
      </c>
      <c r="C34198" s="74" t="s">
        <v>453</v>
      </c>
    </row>
    <row r="34199" spans="1:3">
      <c r="A34199" s="250">
        <v>78750</v>
      </c>
      <c r="B34199" s="74" t="s">
        <v>4587</v>
      </c>
      <c r="C34199" s="74" t="s">
        <v>453</v>
      </c>
    </row>
    <row r="34200" spans="1:3">
      <c r="A34200" s="250">
        <v>78751</v>
      </c>
      <c r="B34200" s="74" t="s">
        <v>4587</v>
      </c>
      <c r="C34200" s="74" t="s">
        <v>453</v>
      </c>
    </row>
    <row r="34201" spans="1:3">
      <c r="A34201" s="250">
        <v>78752</v>
      </c>
      <c r="B34201" s="74" t="s">
        <v>4587</v>
      </c>
      <c r="C34201" s="74" t="s">
        <v>453</v>
      </c>
    </row>
    <row r="34202" spans="1:3">
      <c r="A34202" s="250">
        <v>78753</v>
      </c>
      <c r="B34202" s="74" t="s">
        <v>4587</v>
      </c>
      <c r="C34202" s="74" t="s">
        <v>453</v>
      </c>
    </row>
    <row r="34203" spans="1:3">
      <c r="A34203" s="250">
        <v>78754</v>
      </c>
      <c r="B34203" s="74" t="s">
        <v>4587</v>
      </c>
      <c r="C34203" s="74" t="s">
        <v>453</v>
      </c>
    </row>
    <row r="34204" spans="1:3">
      <c r="A34204" s="250">
        <v>78755</v>
      </c>
      <c r="B34204" s="74" t="s">
        <v>4587</v>
      </c>
      <c r="C34204" s="74" t="s">
        <v>453</v>
      </c>
    </row>
    <row r="34205" spans="1:3">
      <c r="A34205" s="250">
        <v>78756</v>
      </c>
      <c r="B34205" s="74" t="s">
        <v>4587</v>
      </c>
      <c r="C34205" s="74" t="s">
        <v>453</v>
      </c>
    </row>
    <row r="34206" spans="1:3">
      <c r="A34206" s="250">
        <v>78757</v>
      </c>
      <c r="B34206" s="74" t="s">
        <v>4587</v>
      </c>
      <c r="C34206" s="74" t="s">
        <v>453</v>
      </c>
    </row>
    <row r="34207" spans="1:3">
      <c r="A34207" s="250">
        <v>78758</v>
      </c>
      <c r="B34207" s="74" t="s">
        <v>4587</v>
      </c>
      <c r="C34207" s="74" t="s">
        <v>453</v>
      </c>
    </row>
    <row r="34208" spans="1:3">
      <c r="A34208" s="250">
        <v>78759</v>
      </c>
      <c r="B34208" s="74" t="s">
        <v>4587</v>
      </c>
      <c r="C34208" s="74" t="s">
        <v>453</v>
      </c>
    </row>
    <row r="34209" spans="1:3">
      <c r="A34209" s="250">
        <v>78760</v>
      </c>
      <c r="B34209" s="74" t="s">
        <v>4587</v>
      </c>
      <c r="C34209" s="74" t="s">
        <v>453</v>
      </c>
    </row>
    <row r="34210" spans="1:3">
      <c r="A34210" s="250">
        <v>78761</v>
      </c>
      <c r="B34210" s="74" t="s">
        <v>4587</v>
      </c>
      <c r="C34210" s="74" t="s">
        <v>453</v>
      </c>
    </row>
    <row r="34211" spans="1:3">
      <c r="A34211" s="250">
        <v>78762</v>
      </c>
      <c r="B34211" s="74" t="s">
        <v>4587</v>
      </c>
      <c r="C34211" s="74" t="s">
        <v>453</v>
      </c>
    </row>
    <row r="34212" spans="1:3">
      <c r="A34212" s="250">
        <v>78763</v>
      </c>
      <c r="B34212" s="74" t="s">
        <v>4587</v>
      </c>
      <c r="C34212" s="74" t="s">
        <v>453</v>
      </c>
    </row>
    <row r="34213" spans="1:3">
      <c r="A34213" s="250">
        <v>78764</v>
      </c>
      <c r="B34213" s="74" t="s">
        <v>4587</v>
      </c>
      <c r="C34213" s="74" t="s">
        <v>453</v>
      </c>
    </row>
    <row r="34214" spans="1:3">
      <c r="A34214" s="250">
        <v>78765</v>
      </c>
      <c r="B34214" s="74" t="s">
        <v>4587</v>
      </c>
      <c r="C34214" s="74" t="s">
        <v>453</v>
      </c>
    </row>
    <row r="34215" spans="1:3">
      <c r="A34215" s="250">
        <v>78766</v>
      </c>
      <c r="B34215" s="74" t="s">
        <v>4587</v>
      </c>
      <c r="C34215" s="74" t="s">
        <v>453</v>
      </c>
    </row>
    <row r="34216" spans="1:3">
      <c r="A34216" s="250">
        <v>78767</v>
      </c>
      <c r="B34216" s="74" t="s">
        <v>4587</v>
      </c>
      <c r="C34216" s="74" t="s">
        <v>453</v>
      </c>
    </row>
    <row r="34217" spans="1:3">
      <c r="A34217" s="250">
        <v>78768</v>
      </c>
      <c r="B34217" s="74" t="s">
        <v>4587</v>
      </c>
      <c r="C34217" s="74" t="s">
        <v>453</v>
      </c>
    </row>
    <row r="34218" spans="1:3">
      <c r="A34218" s="250">
        <v>78769</v>
      </c>
      <c r="B34218" s="74" t="s">
        <v>4587</v>
      </c>
      <c r="C34218" s="74" t="s">
        <v>453</v>
      </c>
    </row>
    <row r="34219" spans="1:3">
      <c r="A34219" s="250">
        <v>78772</v>
      </c>
      <c r="B34219" s="74" t="s">
        <v>4587</v>
      </c>
      <c r="C34219" s="74" t="s">
        <v>453</v>
      </c>
    </row>
    <row r="34220" spans="1:3">
      <c r="A34220" s="250">
        <v>78773</v>
      </c>
      <c r="B34220" s="74" t="s">
        <v>4587</v>
      </c>
      <c r="C34220" s="74" t="s">
        <v>453</v>
      </c>
    </row>
    <row r="34221" spans="1:3">
      <c r="A34221" s="250">
        <v>78774</v>
      </c>
      <c r="B34221" s="74" t="s">
        <v>4587</v>
      </c>
      <c r="C34221" s="74" t="s">
        <v>453</v>
      </c>
    </row>
    <row r="34222" spans="1:3">
      <c r="A34222" s="250">
        <v>78778</v>
      </c>
      <c r="B34222" s="74" t="s">
        <v>4587</v>
      </c>
      <c r="C34222" s="74" t="s">
        <v>453</v>
      </c>
    </row>
    <row r="34223" spans="1:3">
      <c r="A34223" s="250">
        <v>78779</v>
      </c>
      <c r="B34223" s="74" t="s">
        <v>4587</v>
      </c>
      <c r="C34223" s="74" t="s">
        <v>453</v>
      </c>
    </row>
    <row r="34224" spans="1:3">
      <c r="A34224" s="250">
        <v>78780</v>
      </c>
      <c r="B34224" s="74" t="s">
        <v>4587</v>
      </c>
      <c r="C34224" s="74" t="s">
        <v>453</v>
      </c>
    </row>
    <row r="34225" spans="1:3">
      <c r="A34225" s="250">
        <v>78781</v>
      </c>
      <c r="B34225" s="74" t="s">
        <v>4587</v>
      </c>
      <c r="C34225" s="74" t="s">
        <v>453</v>
      </c>
    </row>
    <row r="34226" spans="1:3">
      <c r="A34226" s="250">
        <v>78783</v>
      </c>
      <c r="B34226" s="74" t="s">
        <v>4587</v>
      </c>
      <c r="C34226" s="74" t="s">
        <v>453</v>
      </c>
    </row>
    <row r="34227" spans="1:3">
      <c r="A34227" s="250">
        <v>78785</v>
      </c>
      <c r="B34227" s="74" t="s">
        <v>4587</v>
      </c>
      <c r="C34227" s="74" t="s">
        <v>453</v>
      </c>
    </row>
    <row r="34228" spans="1:3">
      <c r="A34228" s="250">
        <v>78786</v>
      </c>
      <c r="B34228" s="74" t="s">
        <v>4587</v>
      </c>
      <c r="C34228" s="74" t="s">
        <v>453</v>
      </c>
    </row>
    <row r="34229" spans="1:3">
      <c r="A34229" s="250">
        <v>78788</v>
      </c>
      <c r="B34229" s="74" t="s">
        <v>4587</v>
      </c>
      <c r="C34229" s="74" t="s">
        <v>453</v>
      </c>
    </row>
    <row r="34230" spans="1:3">
      <c r="A34230" s="250">
        <v>78789</v>
      </c>
      <c r="B34230" s="74" t="s">
        <v>4587</v>
      </c>
      <c r="C34230" s="74" t="s">
        <v>453</v>
      </c>
    </row>
    <row r="34231" spans="1:3">
      <c r="A34231" s="250">
        <v>78798</v>
      </c>
      <c r="B34231" s="74" t="s">
        <v>4587</v>
      </c>
      <c r="C34231" s="74" t="s">
        <v>453</v>
      </c>
    </row>
    <row r="34232" spans="1:3">
      <c r="A34232" s="250">
        <v>78799</v>
      </c>
      <c r="B34232" s="74" t="s">
        <v>4587</v>
      </c>
      <c r="C34232" s="74" t="s">
        <v>453</v>
      </c>
    </row>
    <row r="34233" spans="1:3">
      <c r="A34233" s="250">
        <v>78801</v>
      </c>
      <c r="B34233" s="74" t="s">
        <v>16437</v>
      </c>
      <c r="C34233" s="74" t="s">
        <v>453</v>
      </c>
    </row>
    <row r="34234" spans="1:3">
      <c r="A34234" s="250">
        <v>78802</v>
      </c>
      <c r="B34234" s="74" t="s">
        <v>16437</v>
      </c>
      <c r="C34234" s="74" t="s">
        <v>453</v>
      </c>
    </row>
    <row r="34235" spans="1:3">
      <c r="A34235" s="250">
        <v>78827</v>
      </c>
      <c r="B34235" s="74" t="s">
        <v>16438</v>
      </c>
      <c r="C34235" s="74" t="s">
        <v>453</v>
      </c>
    </row>
    <row r="34236" spans="1:3">
      <c r="A34236" s="250">
        <v>78828</v>
      </c>
      <c r="B34236" s="74" t="s">
        <v>16439</v>
      </c>
      <c r="C34236" s="74" t="s">
        <v>453</v>
      </c>
    </row>
    <row r="34237" spans="1:3">
      <c r="A34237" s="250">
        <v>78829</v>
      </c>
      <c r="B34237" s="74" t="s">
        <v>6005</v>
      </c>
      <c r="C34237" s="74" t="s">
        <v>453</v>
      </c>
    </row>
    <row r="34238" spans="1:3">
      <c r="A34238" s="250">
        <v>78830</v>
      </c>
      <c r="B34238" s="74" t="s">
        <v>16440</v>
      </c>
      <c r="C34238" s="74" t="s">
        <v>453</v>
      </c>
    </row>
    <row r="34239" spans="1:3">
      <c r="A34239" s="250">
        <v>78832</v>
      </c>
      <c r="B34239" s="74" t="s">
        <v>16441</v>
      </c>
      <c r="C34239" s="74" t="s">
        <v>453</v>
      </c>
    </row>
    <row r="34240" spans="1:3">
      <c r="A34240" s="250">
        <v>78833</v>
      </c>
      <c r="B34240" s="74" t="s">
        <v>16442</v>
      </c>
      <c r="C34240" s="74" t="s">
        <v>453</v>
      </c>
    </row>
    <row r="34241" spans="1:3">
      <c r="A34241" s="250">
        <v>78834</v>
      </c>
      <c r="B34241" s="74" t="s">
        <v>16443</v>
      </c>
      <c r="C34241" s="74" t="s">
        <v>453</v>
      </c>
    </row>
    <row r="34242" spans="1:3">
      <c r="A34242" s="250">
        <v>78836</v>
      </c>
      <c r="B34242" s="74" t="s">
        <v>16444</v>
      </c>
      <c r="C34242" s="74" t="s">
        <v>453</v>
      </c>
    </row>
    <row r="34243" spans="1:3">
      <c r="A34243" s="250">
        <v>78837</v>
      </c>
      <c r="B34243" s="74" t="s">
        <v>3230</v>
      </c>
      <c r="C34243" s="74" t="s">
        <v>453</v>
      </c>
    </row>
    <row r="34244" spans="1:3">
      <c r="A34244" s="250">
        <v>78838</v>
      </c>
      <c r="B34244" s="74" t="s">
        <v>16445</v>
      </c>
      <c r="C34244" s="74" t="s">
        <v>453</v>
      </c>
    </row>
    <row r="34245" spans="1:3">
      <c r="A34245" s="250">
        <v>78839</v>
      </c>
      <c r="B34245" s="74" t="s">
        <v>14070</v>
      </c>
      <c r="C34245" s="74" t="s">
        <v>453</v>
      </c>
    </row>
    <row r="34246" spans="1:3">
      <c r="A34246" s="250">
        <v>78840</v>
      </c>
      <c r="B34246" s="74" t="s">
        <v>9121</v>
      </c>
      <c r="C34246" s="74" t="s">
        <v>453</v>
      </c>
    </row>
    <row r="34247" spans="1:3">
      <c r="A34247" s="250">
        <v>78841</v>
      </c>
      <c r="B34247" s="74" t="s">
        <v>9121</v>
      </c>
      <c r="C34247" s="74" t="s">
        <v>453</v>
      </c>
    </row>
    <row r="34248" spans="1:3">
      <c r="A34248" s="250">
        <v>78842</v>
      </c>
      <c r="B34248" s="74" t="s">
        <v>9121</v>
      </c>
      <c r="C34248" s="74" t="s">
        <v>453</v>
      </c>
    </row>
    <row r="34249" spans="1:3">
      <c r="A34249" s="250">
        <v>78843</v>
      </c>
      <c r="B34249" s="74" t="s">
        <v>16446</v>
      </c>
      <c r="C34249" s="74" t="s">
        <v>453</v>
      </c>
    </row>
    <row r="34250" spans="1:3">
      <c r="A34250" s="250">
        <v>78847</v>
      </c>
      <c r="B34250" s="74" t="s">
        <v>9121</v>
      </c>
      <c r="C34250" s="74" t="s">
        <v>453</v>
      </c>
    </row>
    <row r="34251" spans="1:3">
      <c r="A34251" s="250">
        <v>78850</v>
      </c>
      <c r="B34251" s="74" t="s">
        <v>16447</v>
      </c>
      <c r="C34251" s="74" t="s">
        <v>453</v>
      </c>
    </row>
    <row r="34252" spans="1:3">
      <c r="A34252" s="250">
        <v>78851</v>
      </c>
      <c r="B34252" s="74" t="s">
        <v>1438</v>
      </c>
      <c r="C34252" s="74" t="s">
        <v>453</v>
      </c>
    </row>
    <row r="34253" spans="1:3">
      <c r="A34253" s="250">
        <v>78852</v>
      </c>
      <c r="B34253" s="74" t="s">
        <v>16448</v>
      </c>
      <c r="C34253" s="74" t="s">
        <v>453</v>
      </c>
    </row>
    <row r="34254" spans="1:3">
      <c r="A34254" s="250">
        <v>78853</v>
      </c>
      <c r="B34254" s="74" t="s">
        <v>16448</v>
      </c>
      <c r="C34254" s="74" t="s">
        <v>453</v>
      </c>
    </row>
    <row r="34255" spans="1:3">
      <c r="A34255" s="250">
        <v>78860</v>
      </c>
      <c r="B34255" s="74" t="s">
        <v>16449</v>
      </c>
      <c r="C34255" s="74" t="s">
        <v>453</v>
      </c>
    </row>
    <row r="34256" spans="1:3">
      <c r="A34256" s="250">
        <v>78861</v>
      </c>
      <c r="B34256" s="74" t="s">
        <v>16450</v>
      </c>
      <c r="C34256" s="74" t="s">
        <v>453</v>
      </c>
    </row>
    <row r="34257" spans="1:3">
      <c r="A34257" s="250">
        <v>78870</v>
      </c>
      <c r="B34257" s="74" t="s">
        <v>16451</v>
      </c>
      <c r="C34257" s="74" t="s">
        <v>453</v>
      </c>
    </row>
    <row r="34258" spans="1:3">
      <c r="A34258" s="250">
        <v>78871</v>
      </c>
      <c r="B34258" s="74" t="s">
        <v>16452</v>
      </c>
      <c r="C34258" s="74" t="s">
        <v>453</v>
      </c>
    </row>
    <row r="34259" spans="1:3">
      <c r="A34259" s="250">
        <v>78872</v>
      </c>
      <c r="B34259" s="74" t="s">
        <v>16453</v>
      </c>
      <c r="C34259" s="74" t="s">
        <v>453</v>
      </c>
    </row>
    <row r="34260" spans="1:3">
      <c r="A34260" s="250">
        <v>78873</v>
      </c>
      <c r="B34260" s="74" t="s">
        <v>16454</v>
      </c>
      <c r="C34260" s="74" t="s">
        <v>453</v>
      </c>
    </row>
    <row r="34261" spans="1:3">
      <c r="A34261" s="250">
        <v>78877</v>
      </c>
      <c r="B34261" s="74" t="s">
        <v>16455</v>
      </c>
      <c r="C34261" s="74" t="s">
        <v>453</v>
      </c>
    </row>
    <row r="34262" spans="1:3">
      <c r="A34262" s="250">
        <v>78879</v>
      </c>
      <c r="B34262" s="74" t="s">
        <v>16456</v>
      </c>
      <c r="C34262" s="74" t="s">
        <v>453</v>
      </c>
    </row>
    <row r="34263" spans="1:3">
      <c r="A34263" s="250">
        <v>78880</v>
      </c>
      <c r="B34263" s="74" t="s">
        <v>16457</v>
      </c>
      <c r="C34263" s="74" t="s">
        <v>453</v>
      </c>
    </row>
    <row r="34264" spans="1:3">
      <c r="A34264" s="250">
        <v>78881</v>
      </c>
      <c r="B34264" s="74" t="s">
        <v>16458</v>
      </c>
      <c r="C34264" s="74" t="s">
        <v>453</v>
      </c>
    </row>
    <row r="34265" spans="1:3">
      <c r="A34265" s="250">
        <v>78883</v>
      </c>
      <c r="B34265" s="74" t="s">
        <v>16459</v>
      </c>
      <c r="C34265" s="74" t="s">
        <v>453</v>
      </c>
    </row>
    <row r="34266" spans="1:3">
      <c r="A34266" s="250">
        <v>78884</v>
      </c>
      <c r="B34266" s="74" t="s">
        <v>16460</v>
      </c>
      <c r="C34266" s="74" t="s">
        <v>453</v>
      </c>
    </row>
    <row r="34267" spans="1:3">
      <c r="A34267" s="250">
        <v>78885</v>
      </c>
      <c r="B34267" s="74" t="s">
        <v>16461</v>
      </c>
      <c r="C34267" s="74" t="s">
        <v>453</v>
      </c>
    </row>
    <row r="34268" spans="1:3">
      <c r="A34268" s="250">
        <v>78886</v>
      </c>
      <c r="B34268" s="74" t="s">
        <v>16462</v>
      </c>
      <c r="C34268" s="74" t="s">
        <v>453</v>
      </c>
    </row>
    <row r="34269" spans="1:3">
      <c r="A34269" s="250">
        <v>78931</v>
      </c>
      <c r="B34269" s="74" t="s">
        <v>16463</v>
      </c>
      <c r="C34269" s="74" t="s">
        <v>453</v>
      </c>
    </row>
    <row r="34270" spans="1:3">
      <c r="A34270" s="250">
        <v>78932</v>
      </c>
      <c r="B34270" s="74" t="s">
        <v>16464</v>
      </c>
      <c r="C34270" s="74" t="s">
        <v>453</v>
      </c>
    </row>
    <row r="34271" spans="1:3">
      <c r="A34271" s="250">
        <v>78933</v>
      </c>
      <c r="B34271" s="74" t="s">
        <v>16465</v>
      </c>
      <c r="C34271" s="74" t="s">
        <v>453</v>
      </c>
    </row>
    <row r="34272" spans="1:3">
      <c r="A34272" s="250">
        <v>78934</v>
      </c>
      <c r="B34272" s="74" t="s">
        <v>2376</v>
      </c>
      <c r="C34272" s="74" t="s">
        <v>453</v>
      </c>
    </row>
    <row r="34273" spans="1:3">
      <c r="A34273" s="250">
        <v>78935</v>
      </c>
      <c r="B34273" s="74" t="s">
        <v>16466</v>
      </c>
      <c r="C34273" s="74" t="s">
        <v>453</v>
      </c>
    </row>
    <row r="34274" spans="1:3">
      <c r="A34274" s="250">
        <v>78938</v>
      </c>
      <c r="B34274" s="74" t="s">
        <v>16467</v>
      </c>
      <c r="C34274" s="74" t="s">
        <v>453</v>
      </c>
    </row>
    <row r="34275" spans="1:3">
      <c r="A34275" s="250">
        <v>78940</v>
      </c>
      <c r="B34275" s="74" t="s">
        <v>3363</v>
      </c>
      <c r="C34275" s="74" t="s">
        <v>453</v>
      </c>
    </row>
    <row r="34276" spans="1:3">
      <c r="A34276" s="250">
        <v>78941</v>
      </c>
      <c r="B34276" s="74" t="s">
        <v>16468</v>
      </c>
      <c r="C34276" s="74" t="s">
        <v>453</v>
      </c>
    </row>
    <row r="34277" spans="1:3">
      <c r="A34277" s="250">
        <v>78942</v>
      </c>
      <c r="B34277" s="74" t="s">
        <v>16469</v>
      </c>
      <c r="C34277" s="74" t="s">
        <v>453</v>
      </c>
    </row>
    <row r="34278" spans="1:3">
      <c r="A34278" s="250">
        <v>78943</v>
      </c>
      <c r="B34278" s="74" t="s">
        <v>11751</v>
      </c>
      <c r="C34278" s="74" t="s">
        <v>453</v>
      </c>
    </row>
    <row r="34279" spans="1:3">
      <c r="A34279" s="250">
        <v>78944</v>
      </c>
      <c r="B34279" s="74" t="s">
        <v>3989</v>
      </c>
      <c r="C34279" s="74" t="s">
        <v>453</v>
      </c>
    </row>
    <row r="34280" spans="1:3">
      <c r="A34280" s="250">
        <v>78945</v>
      </c>
      <c r="B34280" s="74" t="s">
        <v>7447</v>
      </c>
      <c r="C34280" s="74" t="s">
        <v>453</v>
      </c>
    </row>
    <row r="34281" spans="1:3">
      <c r="A34281" s="250">
        <v>78946</v>
      </c>
      <c r="B34281" s="74" t="s">
        <v>9942</v>
      </c>
      <c r="C34281" s="74" t="s">
        <v>453</v>
      </c>
    </row>
    <row r="34282" spans="1:3">
      <c r="A34282" s="250">
        <v>78947</v>
      </c>
      <c r="B34282" s="74" t="s">
        <v>966</v>
      </c>
      <c r="C34282" s="74" t="s">
        <v>453</v>
      </c>
    </row>
    <row r="34283" spans="1:3">
      <c r="A34283" s="250">
        <v>78948</v>
      </c>
      <c r="B34283" s="74" t="s">
        <v>800</v>
      </c>
      <c r="C34283" s="74" t="s">
        <v>453</v>
      </c>
    </row>
    <row r="34284" spans="1:3">
      <c r="A34284" s="250">
        <v>78949</v>
      </c>
      <c r="B34284" s="74" t="s">
        <v>16470</v>
      </c>
      <c r="C34284" s="74" t="s">
        <v>453</v>
      </c>
    </row>
    <row r="34285" spans="1:3">
      <c r="A34285" s="250">
        <v>78950</v>
      </c>
      <c r="B34285" s="74" t="s">
        <v>12549</v>
      </c>
      <c r="C34285" s="74" t="s">
        <v>453</v>
      </c>
    </row>
    <row r="34286" spans="1:3">
      <c r="A34286" s="250">
        <v>78951</v>
      </c>
      <c r="B34286" s="74" t="s">
        <v>1121</v>
      </c>
      <c r="C34286" s="74" t="s">
        <v>453</v>
      </c>
    </row>
    <row r="34287" spans="1:3">
      <c r="A34287" s="250">
        <v>78952</v>
      </c>
      <c r="B34287" s="74" t="s">
        <v>16471</v>
      </c>
      <c r="C34287" s="74" t="s">
        <v>453</v>
      </c>
    </row>
    <row r="34288" spans="1:3">
      <c r="A34288" s="250">
        <v>78953</v>
      </c>
      <c r="B34288" s="74" t="s">
        <v>16472</v>
      </c>
      <c r="C34288" s="74" t="s">
        <v>453</v>
      </c>
    </row>
    <row r="34289" spans="1:3">
      <c r="A34289" s="250">
        <v>78954</v>
      </c>
      <c r="B34289" s="74" t="s">
        <v>3081</v>
      </c>
      <c r="C34289" s="74" t="s">
        <v>453</v>
      </c>
    </row>
    <row r="34290" spans="1:3">
      <c r="A34290" s="250">
        <v>78956</v>
      </c>
      <c r="B34290" s="74" t="s">
        <v>16473</v>
      </c>
      <c r="C34290" s="74" t="s">
        <v>453</v>
      </c>
    </row>
    <row r="34291" spans="1:3">
      <c r="A34291" s="250">
        <v>78957</v>
      </c>
      <c r="B34291" s="74" t="s">
        <v>6884</v>
      </c>
      <c r="C34291" s="74" t="s">
        <v>453</v>
      </c>
    </row>
    <row r="34292" spans="1:3">
      <c r="A34292" s="250">
        <v>78959</v>
      </c>
      <c r="B34292" s="74" t="s">
        <v>16474</v>
      </c>
      <c r="C34292" s="74" t="s">
        <v>453</v>
      </c>
    </row>
    <row r="34293" spans="1:3">
      <c r="A34293" s="250">
        <v>78960</v>
      </c>
      <c r="B34293" s="74" t="s">
        <v>16475</v>
      </c>
      <c r="C34293" s="74" t="s">
        <v>453</v>
      </c>
    </row>
    <row r="34294" spans="1:3">
      <c r="A34294" s="250">
        <v>78961</v>
      </c>
      <c r="B34294" s="74" t="s">
        <v>5537</v>
      </c>
      <c r="C34294" s="74" t="s">
        <v>453</v>
      </c>
    </row>
    <row r="34295" spans="1:3">
      <c r="A34295" s="250">
        <v>78962</v>
      </c>
      <c r="B34295" s="74" t="s">
        <v>16476</v>
      </c>
      <c r="C34295" s="74" t="s">
        <v>453</v>
      </c>
    </row>
    <row r="34296" spans="1:3">
      <c r="A34296" s="250">
        <v>78963</v>
      </c>
      <c r="B34296" s="74" t="s">
        <v>2720</v>
      </c>
      <c r="C34296" s="74" t="s">
        <v>453</v>
      </c>
    </row>
    <row r="34297" spans="1:3">
      <c r="A34297" s="250">
        <v>79001</v>
      </c>
      <c r="B34297" s="74" t="s">
        <v>4439</v>
      </c>
      <c r="C34297" s="74" t="s">
        <v>453</v>
      </c>
    </row>
    <row r="34298" spans="1:3">
      <c r="A34298" s="250">
        <v>79002</v>
      </c>
      <c r="B34298" s="74" t="s">
        <v>16477</v>
      </c>
      <c r="C34298" s="74" t="s">
        <v>453</v>
      </c>
    </row>
    <row r="34299" spans="1:3">
      <c r="A34299" s="250">
        <v>79003</v>
      </c>
      <c r="B34299" s="74" t="s">
        <v>4092</v>
      </c>
      <c r="C34299" s="74" t="s">
        <v>453</v>
      </c>
    </row>
    <row r="34300" spans="1:3">
      <c r="A34300" s="250">
        <v>79005</v>
      </c>
      <c r="B34300" s="74" t="s">
        <v>16478</v>
      </c>
      <c r="C34300" s="74" t="s">
        <v>453</v>
      </c>
    </row>
    <row r="34301" spans="1:3">
      <c r="A34301" s="250">
        <v>79007</v>
      </c>
      <c r="B34301" s="74" t="s">
        <v>16479</v>
      </c>
      <c r="C34301" s="74" t="s">
        <v>453</v>
      </c>
    </row>
    <row r="34302" spans="1:3">
      <c r="A34302" s="250">
        <v>79008</v>
      </c>
      <c r="B34302" s="74" t="s">
        <v>16479</v>
      </c>
      <c r="C34302" s="74" t="s">
        <v>453</v>
      </c>
    </row>
    <row r="34303" spans="1:3">
      <c r="A34303" s="250">
        <v>79009</v>
      </c>
      <c r="B34303" s="74" t="s">
        <v>16480</v>
      </c>
      <c r="C34303" s="74" t="s">
        <v>453</v>
      </c>
    </row>
    <row r="34304" spans="1:3">
      <c r="A34304" s="250">
        <v>79010</v>
      </c>
      <c r="B34304" s="74" t="s">
        <v>16481</v>
      </c>
      <c r="C34304" s="74" t="s">
        <v>453</v>
      </c>
    </row>
    <row r="34305" spans="1:3">
      <c r="A34305" s="250">
        <v>79011</v>
      </c>
      <c r="B34305" s="74" t="s">
        <v>16482</v>
      </c>
      <c r="C34305" s="74" t="s">
        <v>453</v>
      </c>
    </row>
    <row r="34306" spans="1:3">
      <c r="A34306" s="250">
        <v>79012</v>
      </c>
      <c r="B34306" s="74" t="s">
        <v>16483</v>
      </c>
      <c r="C34306" s="74" t="s">
        <v>453</v>
      </c>
    </row>
    <row r="34307" spans="1:3">
      <c r="A34307" s="250">
        <v>79013</v>
      </c>
      <c r="B34307" s="74" t="s">
        <v>16484</v>
      </c>
      <c r="C34307" s="74" t="s">
        <v>453</v>
      </c>
    </row>
    <row r="34308" spans="1:3">
      <c r="A34308" s="250">
        <v>79014</v>
      </c>
      <c r="B34308" s="74" t="s">
        <v>15698</v>
      </c>
      <c r="C34308" s="74" t="s">
        <v>453</v>
      </c>
    </row>
    <row r="34309" spans="1:3">
      <c r="A34309" s="250">
        <v>79015</v>
      </c>
      <c r="B34309" s="74" t="s">
        <v>12448</v>
      </c>
      <c r="C34309" s="74" t="s">
        <v>453</v>
      </c>
    </row>
    <row r="34310" spans="1:3">
      <c r="A34310" s="250">
        <v>79016</v>
      </c>
      <c r="B34310" s="74" t="s">
        <v>12448</v>
      </c>
      <c r="C34310" s="74" t="s">
        <v>453</v>
      </c>
    </row>
    <row r="34311" spans="1:3">
      <c r="A34311" s="250">
        <v>79018</v>
      </c>
      <c r="B34311" s="74" t="s">
        <v>11403</v>
      </c>
      <c r="C34311" s="74" t="s">
        <v>453</v>
      </c>
    </row>
    <row r="34312" spans="1:3">
      <c r="A34312" s="250">
        <v>79019</v>
      </c>
      <c r="B34312" s="74" t="s">
        <v>16485</v>
      </c>
      <c r="C34312" s="74" t="s">
        <v>453</v>
      </c>
    </row>
    <row r="34313" spans="1:3">
      <c r="A34313" s="250">
        <v>79021</v>
      </c>
      <c r="B34313" s="74" t="s">
        <v>16486</v>
      </c>
      <c r="C34313" s="74" t="s">
        <v>453</v>
      </c>
    </row>
    <row r="34314" spans="1:3">
      <c r="A34314" s="250">
        <v>79022</v>
      </c>
      <c r="B34314" s="74" t="s">
        <v>16487</v>
      </c>
      <c r="C34314" s="74" t="s">
        <v>453</v>
      </c>
    </row>
    <row r="34315" spans="1:3">
      <c r="A34315" s="250">
        <v>79024</v>
      </c>
      <c r="B34315" s="74" t="s">
        <v>16488</v>
      </c>
      <c r="C34315" s="74" t="s">
        <v>453</v>
      </c>
    </row>
    <row r="34316" spans="1:3">
      <c r="A34316" s="250">
        <v>79025</v>
      </c>
      <c r="B34316" s="74" t="s">
        <v>14277</v>
      </c>
      <c r="C34316" s="74" t="s">
        <v>453</v>
      </c>
    </row>
    <row r="34317" spans="1:3">
      <c r="A34317" s="250">
        <v>79027</v>
      </c>
      <c r="B34317" s="74" t="s">
        <v>16489</v>
      </c>
      <c r="C34317" s="74" t="s">
        <v>453</v>
      </c>
    </row>
    <row r="34318" spans="1:3">
      <c r="A34318" s="250">
        <v>79029</v>
      </c>
      <c r="B34318" s="74" t="s">
        <v>9298</v>
      </c>
      <c r="C34318" s="74" t="s">
        <v>453</v>
      </c>
    </row>
    <row r="34319" spans="1:3">
      <c r="A34319" s="250">
        <v>79031</v>
      </c>
      <c r="B34319" s="74" t="s">
        <v>16490</v>
      </c>
      <c r="C34319" s="74" t="s">
        <v>453</v>
      </c>
    </row>
    <row r="34320" spans="1:3">
      <c r="A34320" s="250">
        <v>79032</v>
      </c>
      <c r="B34320" s="74" t="s">
        <v>16491</v>
      </c>
      <c r="C34320" s="74" t="s">
        <v>453</v>
      </c>
    </row>
    <row r="34321" spans="1:3">
      <c r="A34321" s="250">
        <v>79033</v>
      </c>
      <c r="B34321" s="74" t="s">
        <v>16492</v>
      </c>
      <c r="C34321" s="74" t="s">
        <v>453</v>
      </c>
    </row>
    <row r="34322" spans="1:3">
      <c r="A34322" s="250">
        <v>79034</v>
      </c>
      <c r="B34322" s="74" t="s">
        <v>16493</v>
      </c>
      <c r="C34322" s="74" t="s">
        <v>453</v>
      </c>
    </row>
    <row r="34323" spans="1:3">
      <c r="A34323" s="250">
        <v>79035</v>
      </c>
      <c r="B34323" s="74" t="s">
        <v>16494</v>
      </c>
      <c r="C34323" s="74" t="s">
        <v>453</v>
      </c>
    </row>
    <row r="34324" spans="1:3">
      <c r="A34324" s="250">
        <v>79036</v>
      </c>
      <c r="B34324" s="74" t="s">
        <v>16495</v>
      </c>
      <c r="C34324" s="74" t="s">
        <v>453</v>
      </c>
    </row>
    <row r="34325" spans="1:3">
      <c r="A34325" s="250">
        <v>79039</v>
      </c>
      <c r="B34325" s="74" t="s">
        <v>16496</v>
      </c>
      <c r="C34325" s="74" t="s">
        <v>453</v>
      </c>
    </row>
    <row r="34326" spans="1:3">
      <c r="A34326" s="250">
        <v>79040</v>
      </c>
      <c r="B34326" s="74" t="s">
        <v>11737</v>
      </c>
      <c r="C34326" s="74" t="s">
        <v>453</v>
      </c>
    </row>
    <row r="34327" spans="1:3">
      <c r="A34327" s="250">
        <v>79041</v>
      </c>
      <c r="B34327" s="74" t="s">
        <v>16497</v>
      </c>
      <c r="C34327" s="74" t="s">
        <v>453</v>
      </c>
    </row>
    <row r="34328" spans="1:3">
      <c r="A34328" s="250">
        <v>79042</v>
      </c>
      <c r="B34328" s="74" t="s">
        <v>9880</v>
      </c>
      <c r="C34328" s="74" t="s">
        <v>453</v>
      </c>
    </row>
    <row r="34329" spans="1:3">
      <c r="A34329" s="250">
        <v>79043</v>
      </c>
      <c r="B34329" s="74" t="s">
        <v>11279</v>
      </c>
      <c r="C34329" s="74" t="s">
        <v>453</v>
      </c>
    </row>
    <row r="34330" spans="1:3">
      <c r="A34330" s="250">
        <v>79044</v>
      </c>
      <c r="B34330" s="74" t="s">
        <v>11738</v>
      </c>
      <c r="C34330" s="74" t="s">
        <v>453</v>
      </c>
    </row>
    <row r="34331" spans="1:3">
      <c r="A34331" s="250">
        <v>79045</v>
      </c>
      <c r="B34331" s="74" t="s">
        <v>5047</v>
      </c>
      <c r="C34331" s="74" t="s">
        <v>453</v>
      </c>
    </row>
    <row r="34332" spans="1:3">
      <c r="A34332" s="250">
        <v>79046</v>
      </c>
      <c r="B34332" s="74" t="s">
        <v>16498</v>
      </c>
      <c r="C34332" s="74" t="s">
        <v>453</v>
      </c>
    </row>
    <row r="34333" spans="1:3">
      <c r="A34333" s="250">
        <v>79051</v>
      </c>
      <c r="B34333" s="74" t="s">
        <v>12465</v>
      </c>
      <c r="C34333" s="74" t="s">
        <v>453</v>
      </c>
    </row>
    <row r="34334" spans="1:3">
      <c r="A34334" s="250">
        <v>79052</v>
      </c>
      <c r="B34334" s="74" t="s">
        <v>16499</v>
      </c>
      <c r="C34334" s="74" t="s">
        <v>453</v>
      </c>
    </row>
    <row r="34335" spans="1:3">
      <c r="A34335" s="250">
        <v>79053</v>
      </c>
      <c r="B34335" s="74" t="s">
        <v>16500</v>
      </c>
      <c r="C34335" s="74" t="s">
        <v>453</v>
      </c>
    </row>
    <row r="34336" spans="1:3">
      <c r="A34336" s="250">
        <v>79054</v>
      </c>
      <c r="B34336" s="74" t="s">
        <v>16501</v>
      </c>
      <c r="C34336" s="74" t="s">
        <v>453</v>
      </c>
    </row>
    <row r="34337" spans="1:3">
      <c r="A34337" s="250">
        <v>79056</v>
      </c>
      <c r="B34337" s="74" t="s">
        <v>16502</v>
      </c>
      <c r="C34337" s="74" t="s">
        <v>453</v>
      </c>
    </row>
    <row r="34338" spans="1:3">
      <c r="A34338" s="250">
        <v>79057</v>
      </c>
      <c r="B34338" s="74" t="s">
        <v>14816</v>
      </c>
      <c r="C34338" s="74" t="s">
        <v>453</v>
      </c>
    </row>
    <row r="34339" spans="1:3">
      <c r="A34339" s="250">
        <v>79058</v>
      </c>
      <c r="B34339" s="74" t="s">
        <v>16503</v>
      </c>
      <c r="C34339" s="74" t="s">
        <v>453</v>
      </c>
    </row>
    <row r="34340" spans="1:3">
      <c r="A34340" s="250">
        <v>79059</v>
      </c>
      <c r="B34340" s="74" t="s">
        <v>6627</v>
      </c>
      <c r="C34340" s="74" t="s">
        <v>453</v>
      </c>
    </row>
    <row r="34341" spans="1:3">
      <c r="A34341" s="250">
        <v>79061</v>
      </c>
      <c r="B34341" s="74" t="s">
        <v>16504</v>
      </c>
      <c r="C34341" s="74" t="s">
        <v>453</v>
      </c>
    </row>
    <row r="34342" spans="1:3">
      <c r="A34342" s="250">
        <v>79062</v>
      </c>
      <c r="B34342" s="74" t="s">
        <v>15017</v>
      </c>
      <c r="C34342" s="74" t="s">
        <v>453</v>
      </c>
    </row>
    <row r="34343" spans="1:3">
      <c r="A34343" s="250">
        <v>79063</v>
      </c>
      <c r="B34343" s="74" t="s">
        <v>5053</v>
      </c>
      <c r="C34343" s="74" t="s">
        <v>453</v>
      </c>
    </row>
    <row r="34344" spans="1:3">
      <c r="A34344" s="250">
        <v>79064</v>
      </c>
      <c r="B34344" s="74" t="s">
        <v>16505</v>
      </c>
      <c r="C34344" s="74" t="s">
        <v>453</v>
      </c>
    </row>
    <row r="34345" spans="1:3">
      <c r="A34345" s="250">
        <v>79065</v>
      </c>
      <c r="B34345" s="74" t="s">
        <v>16506</v>
      </c>
      <c r="C34345" s="74" t="s">
        <v>453</v>
      </c>
    </row>
    <row r="34346" spans="1:3">
      <c r="A34346" s="250">
        <v>79066</v>
      </c>
      <c r="B34346" s="74" t="s">
        <v>16506</v>
      </c>
      <c r="C34346" s="74" t="s">
        <v>453</v>
      </c>
    </row>
    <row r="34347" spans="1:3">
      <c r="A34347" s="250">
        <v>79068</v>
      </c>
      <c r="B34347" s="74" t="s">
        <v>16507</v>
      </c>
      <c r="C34347" s="74" t="s">
        <v>453</v>
      </c>
    </row>
    <row r="34348" spans="1:3">
      <c r="A34348" s="250">
        <v>79070</v>
      </c>
      <c r="B34348" s="74" t="s">
        <v>16508</v>
      </c>
      <c r="C34348" s="74" t="s">
        <v>453</v>
      </c>
    </row>
    <row r="34349" spans="1:3">
      <c r="A34349" s="250">
        <v>79072</v>
      </c>
      <c r="B34349" s="74" t="s">
        <v>2867</v>
      </c>
      <c r="C34349" s="74" t="s">
        <v>453</v>
      </c>
    </row>
    <row r="34350" spans="1:3">
      <c r="A34350" s="250">
        <v>79073</v>
      </c>
      <c r="B34350" s="74" t="s">
        <v>2867</v>
      </c>
      <c r="C34350" s="74" t="s">
        <v>453</v>
      </c>
    </row>
    <row r="34351" spans="1:3">
      <c r="A34351" s="250">
        <v>79077</v>
      </c>
      <c r="B34351" s="74" t="s">
        <v>16509</v>
      </c>
      <c r="C34351" s="74" t="s">
        <v>453</v>
      </c>
    </row>
    <row r="34352" spans="1:3">
      <c r="A34352" s="250">
        <v>79078</v>
      </c>
      <c r="B34352" s="74" t="s">
        <v>1408</v>
      </c>
      <c r="C34352" s="74" t="s">
        <v>453</v>
      </c>
    </row>
    <row r="34353" spans="1:3">
      <c r="A34353" s="250">
        <v>79079</v>
      </c>
      <c r="B34353" s="74" t="s">
        <v>15670</v>
      </c>
      <c r="C34353" s="74" t="s">
        <v>453</v>
      </c>
    </row>
    <row r="34354" spans="1:3">
      <c r="A34354" s="250">
        <v>79080</v>
      </c>
      <c r="B34354" s="74" t="s">
        <v>16510</v>
      </c>
      <c r="C34354" s="74" t="s">
        <v>453</v>
      </c>
    </row>
    <row r="34355" spans="1:3">
      <c r="A34355" s="250">
        <v>79081</v>
      </c>
      <c r="B34355" s="74" t="s">
        <v>16511</v>
      </c>
      <c r="C34355" s="74" t="s">
        <v>453</v>
      </c>
    </row>
    <row r="34356" spans="1:3">
      <c r="A34356" s="250">
        <v>79082</v>
      </c>
      <c r="B34356" s="74" t="s">
        <v>16512</v>
      </c>
      <c r="C34356" s="74" t="s">
        <v>453</v>
      </c>
    </row>
    <row r="34357" spans="1:3">
      <c r="A34357" s="250">
        <v>79083</v>
      </c>
      <c r="B34357" s="74" t="s">
        <v>9695</v>
      </c>
      <c r="C34357" s="74" t="s">
        <v>453</v>
      </c>
    </row>
    <row r="34358" spans="1:3">
      <c r="A34358" s="250">
        <v>79084</v>
      </c>
      <c r="B34358" s="74" t="s">
        <v>2072</v>
      </c>
      <c r="C34358" s="74" t="s">
        <v>453</v>
      </c>
    </row>
    <row r="34359" spans="1:3">
      <c r="A34359" s="250">
        <v>79085</v>
      </c>
      <c r="B34359" s="74" t="s">
        <v>7127</v>
      </c>
      <c r="C34359" s="74" t="s">
        <v>453</v>
      </c>
    </row>
    <row r="34360" spans="1:3">
      <c r="A34360" s="250">
        <v>79086</v>
      </c>
      <c r="B34360" s="74" t="s">
        <v>16513</v>
      </c>
      <c r="C34360" s="74" t="s">
        <v>453</v>
      </c>
    </row>
    <row r="34361" spans="1:3">
      <c r="A34361" s="250">
        <v>79087</v>
      </c>
      <c r="B34361" s="74" t="s">
        <v>16514</v>
      </c>
      <c r="C34361" s="74" t="s">
        <v>453</v>
      </c>
    </row>
    <row r="34362" spans="1:3">
      <c r="A34362" s="250">
        <v>79088</v>
      </c>
      <c r="B34362" s="74" t="s">
        <v>16515</v>
      </c>
      <c r="C34362" s="74" t="s">
        <v>453</v>
      </c>
    </row>
    <row r="34363" spans="1:3">
      <c r="A34363" s="250">
        <v>79091</v>
      </c>
      <c r="B34363" s="74" t="s">
        <v>16516</v>
      </c>
      <c r="C34363" s="74" t="s">
        <v>453</v>
      </c>
    </row>
    <row r="34364" spans="1:3">
      <c r="A34364" s="250">
        <v>79092</v>
      </c>
      <c r="B34364" s="74" t="s">
        <v>16517</v>
      </c>
      <c r="C34364" s="74" t="s">
        <v>453</v>
      </c>
    </row>
    <row r="34365" spans="1:3">
      <c r="A34365" s="250">
        <v>79093</v>
      </c>
      <c r="B34365" s="74" t="s">
        <v>16518</v>
      </c>
      <c r="C34365" s="74" t="s">
        <v>453</v>
      </c>
    </row>
    <row r="34366" spans="1:3">
      <c r="A34366" s="250">
        <v>79094</v>
      </c>
      <c r="B34366" s="74" t="s">
        <v>6567</v>
      </c>
      <c r="C34366" s="74" t="s">
        <v>453</v>
      </c>
    </row>
    <row r="34367" spans="1:3">
      <c r="A34367" s="250">
        <v>79095</v>
      </c>
      <c r="B34367" s="74" t="s">
        <v>8439</v>
      </c>
      <c r="C34367" s="74" t="s">
        <v>453</v>
      </c>
    </row>
    <row r="34368" spans="1:3">
      <c r="A34368" s="250">
        <v>79096</v>
      </c>
      <c r="B34368" s="74" t="s">
        <v>9379</v>
      </c>
      <c r="C34368" s="74" t="s">
        <v>453</v>
      </c>
    </row>
    <row r="34369" spans="1:3">
      <c r="A34369" s="250">
        <v>79097</v>
      </c>
      <c r="B34369" s="74" t="s">
        <v>4983</v>
      </c>
      <c r="C34369" s="74" t="s">
        <v>453</v>
      </c>
    </row>
    <row r="34370" spans="1:3">
      <c r="A34370" s="250">
        <v>79098</v>
      </c>
      <c r="B34370" s="74" t="s">
        <v>16519</v>
      </c>
      <c r="C34370" s="74" t="s">
        <v>453</v>
      </c>
    </row>
    <row r="34371" spans="1:3">
      <c r="A34371" s="250">
        <v>79101</v>
      </c>
      <c r="B34371" s="74" t="s">
        <v>16520</v>
      </c>
      <c r="C34371" s="74" t="s">
        <v>453</v>
      </c>
    </row>
    <row r="34372" spans="1:3">
      <c r="A34372" s="250">
        <v>79102</v>
      </c>
      <c r="B34372" s="74" t="s">
        <v>16520</v>
      </c>
      <c r="C34372" s="74" t="s">
        <v>453</v>
      </c>
    </row>
    <row r="34373" spans="1:3">
      <c r="A34373" s="250">
        <v>79103</v>
      </c>
      <c r="B34373" s="74" t="s">
        <v>16520</v>
      </c>
      <c r="C34373" s="74" t="s">
        <v>453</v>
      </c>
    </row>
    <row r="34374" spans="1:3">
      <c r="A34374" s="250">
        <v>79104</v>
      </c>
      <c r="B34374" s="74" t="s">
        <v>16520</v>
      </c>
      <c r="C34374" s="74" t="s">
        <v>453</v>
      </c>
    </row>
    <row r="34375" spans="1:3">
      <c r="A34375" s="250">
        <v>79105</v>
      </c>
      <c r="B34375" s="74" t="s">
        <v>16520</v>
      </c>
      <c r="C34375" s="74" t="s">
        <v>453</v>
      </c>
    </row>
    <row r="34376" spans="1:3">
      <c r="A34376" s="250">
        <v>79106</v>
      </c>
      <c r="B34376" s="74" t="s">
        <v>16520</v>
      </c>
      <c r="C34376" s="74" t="s">
        <v>453</v>
      </c>
    </row>
    <row r="34377" spans="1:3">
      <c r="A34377" s="250">
        <v>79107</v>
      </c>
      <c r="B34377" s="74" t="s">
        <v>16520</v>
      </c>
      <c r="C34377" s="74" t="s">
        <v>453</v>
      </c>
    </row>
    <row r="34378" spans="1:3">
      <c r="A34378" s="250">
        <v>79108</v>
      </c>
      <c r="B34378" s="74" t="s">
        <v>16520</v>
      </c>
      <c r="C34378" s="74" t="s">
        <v>453</v>
      </c>
    </row>
    <row r="34379" spans="1:3">
      <c r="A34379" s="250">
        <v>79109</v>
      </c>
      <c r="B34379" s="74" t="s">
        <v>16520</v>
      </c>
      <c r="C34379" s="74" t="s">
        <v>453</v>
      </c>
    </row>
    <row r="34380" spans="1:3">
      <c r="A34380" s="250">
        <v>79110</v>
      </c>
      <c r="B34380" s="74" t="s">
        <v>16520</v>
      </c>
      <c r="C34380" s="74" t="s">
        <v>453</v>
      </c>
    </row>
    <row r="34381" spans="1:3">
      <c r="A34381" s="250">
        <v>79111</v>
      </c>
      <c r="B34381" s="74" t="s">
        <v>16520</v>
      </c>
      <c r="C34381" s="74" t="s">
        <v>453</v>
      </c>
    </row>
    <row r="34382" spans="1:3">
      <c r="A34382" s="250">
        <v>79114</v>
      </c>
      <c r="B34382" s="74" t="s">
        <v>16520</v>
      </c>
      <c r="C34382" s="74" t="s">
        <v>453</v>
      </c>
    </row>
    <row r="34383" spans="1:3">
      <c r="A34383" s="250">
        <v>79116</v>
      </c>
      <c r="B34383" s="74" t="s">
        <v>16520</v>
      </c>
      <c r="C34383" s="74" t="s">
        <v>453</v>
      </c>
    </row>
    <row r="34384" spans="1:3">
      <c r="A34384" s="250">
        <v>79117</v>
      </c>
      <c r="B34384" s="74" t="s">
        <v>16520</v>
      </c>
      <c r="C34384" s="74" t="s">
        <v>453</v>
      </c>
    </row>
    <row r="34385" spans="1:3">
      <c r="A34385" s="250">
        <v>79118</v>
      </c>
      <c r="B34385" s="74" t="s">
        <v>16520</v>
      </c>
      <c r="C34385" s="74" t="s">
        <v>453</v>
      </c>
    </row>
    <row r="34386" spans="1:3">
      <c r="A34386" s="250">
        <v>79119</v>
      </c>
      <c r="B34386" s="74" t="s">
        <v>16520</v>
      </c>
      <c r="C34386" s="74" t="s">
        <v>453</v>
      </c>
    </row>
    <row r="34387" spans="1:3">
      <c r="A34387" s="250">
        <v>79120</v>
      </c>
      <c r="B34387" s="74" t="s">
        <v>16520</v>
      </c>
      <c r="C34387" s="74" t="s">
        <v>453</v>
      </c>
    </row>
    <row r="34388" spans="1:3">
      <c r="A34388" s="250">
        <v>79121</v>
      </c>
      <c r="B34388" s="74" t="s">
        <v>16520</v>
      </c>
      <c r="C34388" s="74" t="s">
        <v>453</v>
      </c>
    </row>
    <row r="34389" spans="1:3">
      <c r="A34389" s="250">
        <v>79124</v>
      </c>
      <c r="B34389" s="74" t="s">
        <v>16520</v>
      </c>
      <c r="C34389" s="74" t="s">
        <v>453</v>
      </c>
    </row>
    <row r="34390" spans="1:3">
      <c r="A34390" s="250">
        <v>79159</v>
      </c>
      <c r="B34390" s="74" t="s">
        <v>16520</v>
      </c>
      <c r="C34390" s="74" t="s">
        <v>453</v>
      </c>
    </row>
    <row r="34391" spans="1:3">
      <c r="A34391" s="250">
        <v>79166</v>
      </c>
      <c r="B34391" s="74" t="s">
        <v>16520</v>
      </c>
      <c r="C34391" s="74" t="s">
        <v>453</v>
      </c>
    </row>
    <row r="34392" spans="1:3">
      <c r="A34392" s="250">
        <v>79168</v>
      </c>
      <c r="B34392" s="74" t="s">
        <v>16520</v>
      </c>
      <c r="C34392" s="74" t="s">
        <v>453</v>
      </c>
    </row>
    <row r="34393" spans="1:3">
      <c r="A34393" s="250">
        <v>79172</v>
      </c>
      <c r="B34393" s="74" t="s">
        <v>16520</v>
      </c>
      <c r="C34393" s="74" t="s">
        <v>453</v>
      </c>
    </row>
    <row r="34394" spans="1:3">
      <c r="A34394" s="250">
        <v>79174</v>
      </c>
      <c r="B34394" s="74" t="s">
        <v>16520</v>
      </c>
      <c r="C34394" s="74" t="s">
        <v>453</v>
      </c>
    </row>
    <row r="34395" spans="1:3">
      <c r="A34395" s="250">
        <v>79178</v>
      </c>
      <c r="B34395" s="74" t="s">
        <v>16520</v>
      </c>
      <c r="C34395" s="74" t="s">
        <v>453</v>
      </c>
    </row>
    <row r="34396" spans="1:3">
      <c r="A34396" s="250">
        <v>79185</v>
      </c>
      <c r="B34396" s="74" t="s">
        <v>16520</v>
      </c>
      <c r="C34396" s="74" t="s">
        <v>453</v>
      </c>
    </row>
    <row r="34397" spans="1:3">
      <c r="A34397" s="250">
        <v>79187</v>
      </c>
      <c r="B34397" s="74" t="s">
        <v>16520</v>
      </c>
      <c r="C34397" s="74" t="s">
        <v>453</v>
      </c>
    </row>
    <row r="34398" spans="1:3">
      <c r="A34398" s="250">
        <v>79189</v>
      </c>
      <c r="B34398" s="74" t="s">
        <v>16520</v>
      </c>
      <c r="C34398" s="74" t="s">
        <v>453</v>
      </c>
    </row>
    <row r="34399" spans="1:3">
      <c r="A34399" s="250">
        <v>79201</v>
      </c>
      <c r="B34399" s="74" t="s">
        <v>16521</v>
      </c>
      <c r="C34399" s="74" t="s">
        <v>453</v>
      </c>
    </row>
    <row r="34400" spans="1:3">
      <c r="A34400" s="250">
        <v>79220</v>
      </c>
      <c r="B34400" s="74" t="s">
        <v>3590</v>
      </c>
      <c r="C34400" s="74" t="s">
        <v>453</v>
      </c>
    </row>
    <row r="34401" spans="1:3">
      <c r="A34401" s="250">
        <v>79221</v>
      </c>
      <c r="B34401" s="74" t="s">
        <v>7807</v>
      </c>
      <c r="C34401" s="74" t="s">
        <v>453</v>
      </c>
    </row>
    <row r="34402" spans="1:3">
      <c r="A34402" s="250">
        <v>79223</v>
      </c>
      <c r="B34402" s="74" t="s">
        <v>16522</v>
      </c>
      <c r="C34402" s="74" t="s">
        <v>453</v>
      </c>
    </row>
    <row r="34403" spans="1:3">
      <c r="A34403" s="250">
        <v>79225</v>
      </c>
      <c r="B34403" s="74" t="s">
        <v>10526</v>
      </c>
      <c r="C34403" s="74" t="s">
        <v>453</v>
      </c>
    </row>
    <row r="34404" spans="1:3">
      <c r="A34404" s="250">
        <v>79226</v>
      </c>
      <c r="B34404" s="74" t="s">
        <v>3763</v>
      </c>
      <c r="C34404" s="74" t="s">
        <v>453</v>
      </c>
    </row>
    <row r="34405" spans="1:3">
      <c r="A34405" s="250">
        <v>79227</v>
      </c>
      <c r="B34405" s="74" t="s">
        <v>16523</v>
      </c>
      <c r="C34405" s="74" t="s">
        <v>453</v>
      </c>
    </row>
    <row r="34406" spans="1:3">
      <c r="A34406" s="250">
        <v>79229</v>
      </c>
      <c r="B34406" s="74" t="s">
        <v>11732</v>
      </c>
      <c r="C34406" s="74" t="s">
        <v>453</v>
      </c>
    </row>
    <row r="34407" spans="1:3">
      <c r="A34407" s="250">
        <v>79230</v>
      </c>
      <c r="B34407" s="74" t="s">
        <v>13347</v>
      </c>
      <c r="C34407" s="74" t="s">
        <v>453</v>
      </c>
    </row>
    <row r="34408" spans="1:3">
      <c r="A34408" s="250">
        <v>79231</v>
      </c>
      <c r="B34408" s="74" t="s">
        <v>11575</v>
      </c>
      <c r="C34408" s="74" t="s">
        <v>453</v>
      </c>
    </row>
    <row r="34409" spans="1:3">
      <c r="A34409" s="250">
        <v>79233</v>
      </c>
      <c r="B34409" s="74" t="s">
        <v>12844</v>
      </c>
      <c r="C34409" s="74" t="s">
        <v>453</v>
      </c>
    </row>
    <row r="34410" spans="1:3">
      <c r="A34410" s="250">
        <v>79234</v>
      </c>
      <c r="B34410" s="74" t="s">
        <v>16524</v>
      </c>
      <c r="C34410" s="74" t="s">
        <v>453</v>
      </c>
    </row>
    <row r="34411" spans="1:3">
      <c r="A34411" s="250">
        <v>79235</v>
      </c>
      <c r="B34411" s="74" t="s">
        <v>16525</v>
      </c>
      <c r="C34411" s="74" t="s">
        <v>453</v>
      </c>
    </row>
    <row r="34412" spans="1:3">
      <c r="A34412" s="250">
        <v>79236</v>
      </c>
      <c r="B34412" s="74" t="s">
        <v>9983</v>
      </c>
      <c r="C34412" s="74" t="s">
        <v>453</v>
      </c>
    </row>
    <row r="34413" spans="1:3">
      <c r="A34413" s="250">
        <v>79237</v>
      </c>
      <c r="B34413" s="74" t="s">
        <v>16526</v>
      </c>
      <c r="C34413" s="74" t="s">
        <v>453</v>
      </c>
    </row>
    <row r="34414" spans="1:3">
      <c r="A34414" s="250">
        <v>79239</v>
      </c>
      <c r="B34414" s="74" t="s">
        <v>7360</v>
      </c>
      <c r="C34414" s="74" t="s">
        <v>453</v>
      </c>
    </row>
    <row r="34415" spans="1:3">
      <c r="A34415" s="250">
        <v>79240</v>
      </c>
      <c r="B34415" s="74" t="s">
        <v>16527</v>
      </c>
      <c r="C34415" s="74" t="s">
        <v>453</v>
      </c>
    </row>
    <row r="34416" spans="1:3">
      <c r="A34416" s="250">
        <v>79241</v>
      </c>
      <c r="B34416" s="74" t="s">
        <v>16528</v>
      </c>
      <c r="C34416" s="74" t="s">
        <v>453</v>
      </c>
    </row>
    <row r="34417" spans="1:3">
      <c r="A34417" s="250">
        <v>79243</v>
      </c>
      <c r="B34417" s="74" t="s">
        <v>5096</v>
      </c>
      <c r="C34417" s="74" t="s">
        <v>453</v>
      </c>
    </row>
    <row r="34418" spans="1:3">
      <c r="A34418" s="250">
        <v>79244</v>
      </c>
      <c r="B34418" s="74" t="s">
        <v>16529</v>
      </c>
      <c r="C34418" s="74" t="s">
        <v>453</v>
      </c>
    </row>
    <row r="34419" spans="1:3">
      <c r="A34419" s="250">
        <v>79245</v>
      </c>
      <c r="B34419" s="74" t="s">
        <v>3387</v>
      </c>
      <c r="C34419" s="74" t="s">
        <v>453</v>
      </c>
    </row>
    <row r="34420" spans="1:3">
      <c r="A34420" s="250">
        <v>79247</v>
      </c>
      <c r="B34420" s="74" t="s">
        <v>13526</v>
      </c>
      <c r="C34420" s="74" t="s">
        <v>453</v>
      </c>
    </row>
    <row r="34421" spans="1:3">
      <c r="A34421" s="250">
        <v>79248</v>
      </c>
      <c r="B34421" s="74" t="s">
        <v>9924</v>
      </c>
      <c r="C34421" s="74" t="s">
        <v>453</v>
      </c>
    </row>
    <row r="34422" spans="1:3">
      <c r="A34422" s="250">
        <v>79250</v>
      </c>
      <c r="B34422" s="74" t="s">
        <v>2988</v>
      </c>
      <c r="C34422" s="74" t="s">
        <v>453</v>
      </c>
    </row>
    <row r="34423" spans="1:3">
      <c r="A34423" s="250">
        <v>79251</v>
      </c>
      <c r="B34423" s="74" t="s">
        <v>16530</v>
      </c>
      <c r="C34423" s="74" t="s">
        <v>453</v>
      </c>
    </row>
    <row r="34424" spans="1:3">
      <c r="A34424" s="250">
        <v>79252</v>
      </c>
      <c r="B34424" s="74" t="s">
        <v>16531</v>
      </c>
      <c r="C34424" s="74" t="s">
        <v>453</v>
      </c>
    </row>
    <row r="34425" spans="1:3">
      <c r="A34425" s="250">
        <v>79255</v>
      </c>
      <c r="B34425" s="74" t="s">
        <v>16532</v>
      </c>
      <c r="C34425" s="74" t="s">
        <v>453</v>
      </c>
    </row>
    <row r="34426" spans="1:3">
      <c r="A34426" s="250">
        <v>79256</v>
      </c>
      <c r="B34426" s="74" t="s">
        <v>16533</v>
      </c>
      <c r="C34426" s="74" t="s">
        <v>453</v>
      </c>
    </row>
    <row r="34427" spans="1:3">
      <c r="A34427" s="250">
        <v>79257</v>
      </c>
      <c r="B34427" s="74" t="s">
        <v>16534</v>
      </c>
      <c r="C34427" s="74" t="s">
        <v>453</v>
      </c>
    </row>
    <row r="34428" spans="1:3">
      <c r="A34428" s="250">
        <v>79258</v>
      </c>
      <c r="B34428" s="74" t="s">
        <v>16535</v>
      </c>
      <c r="C34428" s="74" t="s">
        <v>453</v>
      </c>
    </row>
    <row r="34429" spans="1:3">
      <c r="A34429" s="250">
        <v>79259</v>
      </c>
      <c r="B34429" s="74" t="s">
        <v>16536</v>
      </c>
      <c r="C34429" s="74" t="s">
        <v>453</v>
      </c>
    </row>
    <row r="34430" spans="1:3">
      <c r="A34430" s="250">
        <v>79261</v>
      </c>
      <c r="B34430" s="74" t="s">
        <v>7384</v>
      </c>
      <c r="C34430" s="74" t="s">
        <v>453</v>
      </c>
    </row>
    <row r="34431" spans="1:3">
      <c r="A34431" s="250">
        <v>79311</v>
      </c>
      <c r="B34431" s="74" t="s">
        <v>16537</v>
      </c>
      <c r="C34431" s="74" t="s">
        <v>453</v>
      </c>
    </row>
    <row r="34432" spans="1:3">
      <c r="A34432" s="250">
        <v>79312</v>
      </c>
      <c r="B34432" s="74" t="s">
        <v>577</v>
      </c>
      <c r="C34432" s="74" t="s">
        <v>453</v>
      </c>
    </row>
    <row r="34433" spans="1:3">
      <c r="A34433" s="250">
        <v>79313</v>
      </c>
      <c r="B34433" s="74" t="s">
        <v>16538</v>
      </c>
      <c r="C34433" s="74" t="s">
        <v>453</v>
      </c>
    </row>
    <row r="34434" spans="1:3">
      <c r="A34434" s="250">
        <v>79314</v>
      </c>
      <c r="B34434" s="74" t="s">
        <v>9670</v>
      </c>
      <c r="C34434" s="74" t="s">
        <v>453</v>
      </c>
    </row>
    <row r="34435" spans="1:3">
      <c r="A34435" s="250">
        <v>79316</v>
      </c>
      <c r="B34435" s="74" t="s">
        <v>1369</v>
      </c>
      <c r="C34435" s="74" t="s">
        <v>453</v>
      </c>
    </row>
    <row r="34436" spans="1:3">
      <c r="A34436" s="250">
        <v>79320</v>
      </c>
      <c r="B34436" s="74" t="s">
        <v>16539</v>
      </c>
      <c r="C34436" s="74" t="s">
        <v>453</v>
      </c>
    </row>
    <row r="34437" spans="1:3">
      <c r="A34437" s="250">
        <v>79322</v>
      </c>
      <c r="B34437" s="74" t="s">
        <v>16540</v>
      </c>
      <c r="C34437" s="74" t="s">
        <v>453</v>
      </c>
    </row>
    <row r="34438" spans="1:3">
      <c r="A34438" s="250">
        <v>79323</v>
      </c>
      <c r="B34438" s="74" t="s">
        <v>16541</v>
      </c>
      <c r="C34438" s="74" t="s">
        <v>453</v>
      </c>
    </row>
    <row r="34439" spans="1:3">
      <c r="A34439" s="250">
        <v>79324</v>
      </c>
      <c r="B34439" s="74" t="s">
        <v>16542</v>
      </c>
      <c r="C34439" s="74" t="s">
        <v>453</v>
      </c>
    </row>
    <row r="34440" spans="1:3">
      <c r="A34440" s="250">
        <v>79325</v>
      </c>
      <c r="B34440" s="74" t="s">
        <v>11095</v>
      </c>
      <c r="C34440" s="74" t="s">
        <v>453</v>
      </c>
    </row>
    <row r="34441" spans="1:3">
      <c r="A34441" s="250">
        <v>79326</v>
      </c>
      <c r="B34441" s="74" t="s">
        <v>16543</v>
      </c>
      <c r="C34441" s="74" t="s">
        <v>453</v>
      </c>
    </row>
    <row r="34442" spans="1:3">
      <c r="A34442" s="250">
        <v>79329</v>
      </c>
      <c r="B34442" s="74" t="s">
        <v>16544</v>
      </c>
      <c r="C34442" s="74" t="s">
        <v>453</v>
      </c>
    </row>
    <row r="34443" spans="1:3">
      <c r="A34443" s="250">
        <v>79330</v>
      </c>
      <c r="B34443" s="74" t="s">
        <v>16545</v>
      </c>
      <c r="C34443" s="74" t="s">
        <v>453</v>
      </c>
    </row>
    <row r="34444" spans="1:3">
      <c r="A34444" s="250">
        <v>79331</v>
      </c>
      <c r="B34444" s="74" t="s">
        <v>16546</v>
      </c>
      <c r="C34444" s="74" t="s">
        <v>453</v>
      </c>
    </row>
    <row r="34445" spans="1:3">
      <c r="A34445" s="250">
        <v>79336</v>
      </c>
      <c r="B34445" s="74" t="s">
        <v>16547</v>
      </c>
      <c r="C34445" s="74" t="s">
        <v>453</v>
      </c>
    </row>
    <row r="34446" spans="1:3">
      <c r="A34446" s="250">
        <v>79338</v>
      </c>
      <c r="B34446" s="74" t="s">
        <v>16547</v>
      </c>
      <c r="C34446" s="74" t="s">
        <v>453</v>
      </c>
    </row>
    <row r="34447" spans="1:3">
      <c r="A34447" s="250">
        <v>79339</v>
      </c>
      <c r="B34447" s="74" t="s">
        <v>16548</v>
      </c>
      <c r="C34447" s="74" t="s">
        <v>453</v>
      </c>
    </row>
    <row r="34448" spans="1:3">
      <c r="A34448" s="250">
        <v>79342</v>
      </c>
      <c r="B34448" s="74" t="s">
        <v>16549</v>
      </c>
      <c r="C34448" s="74" t="s">
        <v>453</v>
      </c>
    </row>
    <row r="34449" spans="1:3">
      <c r="A34449" s="250">
        <v>79343</v>
      </c>
      <c r="B34449" s="74" t="s">
        <v>16550</v>
      </c>
      <c r="C34449" s="74" t="s">
        <v>453</v>
      </c>
    </row>
    <row r="34450" spans="1:3">
      <c r="A34450" s="250">
        <v>79344</v>
      </c>
      <c r="B34450" s="74" t="s">
        <v>7264</v>
      </c>
      <c r="C34450" s="74" t="s">
        <v>453</v>
      </c>
    </row>
    <row r="34451" spans="1:3">
      <c r="A34451" s="250">
        <v>79345</v>
      </c>
      <c r="B34451" s="74" t="s">
        <v>12959</v>
      </c>
      <c r="C34451" s="74" t="s">
        <v>453</v>
      </c>
    </row>
    <row r="34452" spans="1:3">
      <c r="A34452" s="250">
        <v>79346</v>
      </c>
      <c r="B34452" s="74" t="s">
        <v>3794</v>
      </c>
      <c r="C34452" s="74" t="s">
        <v>453</v>
      </c>
    </row>
    <row r="34453" spans="1:3">
      <c r="A34453" s="250">
        <v>79347</v>
      </c>
      <c r="B34453" s="74" t="s">
        <v>16551</v>
      </c>
      <c r="C34453" s="74" t="s">
        <v>453</v>
      </c>
    </row>
    <row r="34454" spans="1:3">
      <c r="A34454" s="250">
        <v>79350</v>
      </c>
      <c r="B34454" s="74" t="s">
        <v>16552</v>
      </c>
      <c r="C34454" s="74" t="s">
        <v>453</v>
      </c>
    </row>
    <row r="34455" spans="1:3">
      <c r="A34455" s="250">
        <v>79351</v>
      </c>
      <c r="B34455" s="74" t="s">
        <v>16553</v>
      </c>
      <c r="C34455" s="74" t="s">
        <v>453</v>
      </c>
    </row>
    <row r="34456" spans="1:3">
      <c r="A34456" s="250">
        <v>79353</v>
      </c>
      <c r="B34456" s="74" t="s">
        <v>16554</v>
      </c>
      <c r="C34456" s="74" t="s">
        <v>453</v>
      </c>
    </row>
    <row r="34457" spans="1:3">
      <c r="A34457" s="250">
        <v>79355</v>
      </c>
      <c r="B34457" s="74" t="s">
        <v>8186</v>
      </c>
      <c r="C34457" s="74" t="s">
        <v>453</v>
      </c>
    </row>
    <row r="34458" spans="1:3">
      <c r="A34458" s="250">
        <v>79356</v>
      </c>
      <c r="B34458" s="74" t="s">
        <v>16555</v>
      </c>
      <c r="C34458" s="74" t="s">
        <v>453</v>
      </c>
    </row>
    <row r="34459" spans="1:3">
      <c r="A34459" s="250">
        <v>79357</v>
      </c>
      <c r="B34459" s="74" t="s">
        <v>16556</v>
      </c>
      <c r="C34459" s="74" t="s">
        <v>453</v>
      </c>
    </row>
    <row r="34460" spans="1:3">
      <c r="A34460" s="250">
        <v>79358</v>
      </c>
      <c r="B34460" s="74" t="s">
        <v>16557</v>
      </c>
      <c r="C34460" s="74" t="s">
        <v>453</v>
      </c>
    </row>
    <row r="34461" spans="1:3">
      <c r="A34461" s="250">
        <v>79359</v>
      </c>
      <c r="B34461" s="74" t="s">
        <v>16558</v>
      </c>
      <c r="C34461" s="74" t="s">
        <v>453</v>
      </c>
    </row>
    <row r="34462" spans="1:3">
      <c r="A34462" s="250">
        <v>79360</v>
      </c>
      <c r="B34462" s="74" t="s">
        <v>4464</v>
      </c>
      <c r="C34462" s="74" t="s">
        <v>453</v>
      </c>
    </row>
    <row r="34463" spans="1:3">
      <c r="A34463" s="250">
        <v>79363</v>
      </c>
      <c r="B34463" s="74" t="s">
        <v>16559</v>
      </c>
      <c r="C34463" s="74" t="s">
        <v>453</v>
      </c>
    </row>
    <row r="34464" spans="1:3">
      <c r="A34464" s="250">
        <v>79364</v>
      </c>
      <c r="B34464" s="74" t="s">
        <v>16560</v>
      </c>
      <c r="C34464" s="74" t="s">
        <v>453</v>
      </c>
    </row>
    <row r="34465" spans="1:3">
      <c r="A34465" s="250">
        <v>79366</v>
      </c>
      <c r="B34465" s="74" t="s">
        <v>16561</v>
      </c>
      <c r="C34465" s="74" t="s">
        <v>453</v>
      </c>
    </row>
    <row r="34466" spans="1:3">
      <c r="A34466" s="250">
        <v>79367</v>
      </c>
      <c r="B34466" s="74" t="s">
        <v>16562</v>
      </c>
      <c r="C34466" s="74" t="s">
        <v>453</v>
      </c>
    </row>
    <row r="34467" spans="1:3">
      <c r="A34467" s="250">
        <v>79369</v>
      </c>
      <c r="B34467" s="74" t="s">
        <v>16563</v>
      </c>
      <c r="C34467" s="74" t="s">
        <v>453</v>
      </c>
    </row>
    <row r="34468" spans="1:3">
      <c r="A34468" s="250">
        <v>79370</v>
      </c>
      <c r="B34468" s="74" t="s">
        <v>16564</v>
      </c>
      <c r="C34468" s="74" t="s">
        <v>453</v>
      </c>
    </row>
    <row r="34469" spans="1:3">
      <c r="A34469" s="250">
        <v>79371</v>
      </c>
      <c r="B34469" s="74" t="s">
        <v>16565</v>
      </c>
      <c r="C34469" s="74" t="s">
        <v>453</v>
      </c>
    </row>
    <row r="34470" spans="1:3">
      <c r="A34470" s="250">
        <v>79372</v>
      </c>
      <c r="B34470" s="74" t="s">
        <v>16566</v>
      </c>
      <c r="C34470" s="74" t="s">
        <v>453</v>
      </c>
    </row>
    <row r="34471" spans="1:3">
      <c r="A34471" s="250">
        <v>79373</v>
      </c>
      <c r="B34471" s="74" t="s">
        <v>16567</v>
      </c>
      <c r="C34471" s="74" t="s">
        <v>453</v>
      </c>
    </row>
    <row r="34472" spans="1:3">
      <c r="A34472" s="250">
        <v>79376</v>
      </c>
      <c r="B34472" s="74" t="s">
        <v>13089</v>
      </c>
      <c r="C34472" s="74" t="s">
        <v>453</v>
      </c>
    </row>
    <row r="34473" spans="1:3">
      <c r="A34473" s="250">
        <v>79377</v>
      </c>
      <c r="B34473" s="74" t="s">
        <v>6492</v>
      </c>
      <c r="C34473" s="74" t="s">
        <v>453</v>
      </c>
    </row>
    <row r="34474" spans="1:3">
      <c r="A34474" s="250">
        <v>79378</v>
      </c>
      <c r="B34474" s="74" t="s">
        <v>11877</v>
      </c>
      <c r="C34474" s="74" t="s">
        <v>453</v>
      </c>
    </row>
    <row r="34475" spans="1:3">
      <c r="A34475" s="250">
        <v>79379</v>
      </c>
      <c r="B34475" s="74" t="s">
        <v>16568</v>
      </c>
      <c r="C34475" s="74" t="s">
        <v>453</v>
      </c>
    </row>
    <row r="34476" spans="1:3">
      <c r="A34476" s="250">
        <v>79380</v>
      </c>
      <c r="B34476" s="74" t="s">
        <v>16569</v>
      </c>
      <c r="C34476" s="74" t="s">
        <v>453</v>
      </c>
    </row>
    <row r="34477" spans="1:3">
      <c r="A34477" s="250">
        <v>79381</v>
      </c>
      <c r="B34477" s="74" t="s">
        <v>3748</v>
      </c>
      <c r="C34477" s="74" t="s">
        <v>453</v>
      </c>
    </row>
    <row r="34478" spans="1:3">
      <c r="A34478" s="250">
        <v>79382</v>
      </c>
      <c r="B34478" s="74" t="s">
        <v>16570</v>
      </c>
      <c r="C34478" s="74" t="s">
        <v>453</v>
      </c>
    </row>
    <row r="34479" spans="1:3">
      <c r="A34479" s="250">
        <v>79383</v>
      </c>
      <c r="B34479" s="74" t="s">
        <v>16571</v>
      </c>
      <c r="C34479" s="74" t="s">
        <v>453</v>
      </c>
    </row>
    <row r="34480" spans="1:3">
      <c r="A34480" s="250">
        <v>79401</v>
      </c>
      <c r="B34480" s="74" t="s">
        <v>16572</v>
      </c>
      <c r="C34480" s="74" t="s">
        <v>453</v>
      </c>
    </row>
    <row r="34481" spans="1:3">
      <c r="A34481" s="250">
        <v>79402</v>
      </c>
      <c r="B34481" s="74" t="s">
        <v>16572</v>
      </c>
      <c r="C34481" s="74" t="s">
        <v>453</v>
      </c>
    </row>
    <row r="34482" spans="1:3">
      <c r="A34482" s="250">
        <v>79403</v>
      </c>
      <c r="B34482" s="74" t="s">
        <v>16572</v>
      </c>
      <c r="C34482" s="74" t="s">
        <v>453</v>
      </c>
    </row>
    <row r="34483" spans="1:3">
      <c r="A34483" s="250">
        <v>79404</v>
      </c>
      <c r="B34483" s="74" t="s">
        <v>16572</v>
      </c>
      <c r="C34483" s="74" t="s">
        <v>453</v>
      </c>
    </row>
    <row r="34484" spans="1:3">
      <c r="A34484" s="250">
        <v>79405</v>
      </c>
      <c r="B34484" s="74" t="s">
        <v>16572</v>
      </c>
      <c r="C34484" s="74" t="s">
        <v>453</v>
      </c>
    </row>
    <row r="34485" spans="1:3">
      <c r="A34485" s="250">
        <v>79406</v>
      </c>
      <c r="B34485" s="74" t="s">
        <v>16572</v>
      </c>
      <c r="C34485" s="74" t="s">
        <v>453</v>
      </c>
    </row>
    <row r="34486" spans="1:3">
      <c r="A34486" s="250">
        <v>79407</v>
      </c>
      <c r="B34486" s="74" t="s">
        <v>16572</v>
      </c>
      <c r="C34486" s="74" t="s">
        <v>453</v>
      </c>
    </row>
    <row r="34487" spans="1:3">
      <c r="A34487" s="250">
        <v>79408</v>
      </c>
      <c r="B34487" s="74" t="s">
        <v>16572</v>
      </c>
      <c r="C34487" s="74" t="s">
        <v>453</v>
      </c>
    </row>
    <row r="34488" spans="1:3">
      <c r="A34488" s="250">
        <v>79409</v>
      </c>
      <c r="B34488" s="74" t="s">
        <v>16572</v>
      </c>
      <c r="C34488" s="74" t="s">
        <v>453</v>
      </c>
    </row>
    <row r="34489" spans="1:3">
      <c r="A34489" s="250">
        <v>79410</v>
      </c>
      <c r="B34489" s="74" t="s">
        <v>16572</v>
      </c>
      <c r="C34489" s="74" t="s">
        <v>453</v>
      </c>
    </row>
    <row r="34490" spans="1:3">
      <c r="A34490" s="250">
        <v>79411</v>
      </c>
      <c r="B34490" s="74" t="s">
        <v>16572</v>
      </c>
      <c r="C34490" s="74" t="s">
        <v>453</v>
      </c>
    </row>
    <row r="34491" spans="1:3">
      <c r="A34491" s="250">
        <v>79412</v>
      </c>
      <c r="B34491" s="74" t="s">
        <v>16572</v>
      </c>
      <c r="C34491" s="74" t="s">
        <v>453</v>
      </c>
    </row>
    <row r="34492" spans="1:3">
      <c r="A34492" s="250">
        <v>79413</v>
      </c>
      <c r="B34492" s="74" t="s">
        <v>16572</v>
      </c>
      <c r="C34492" s="74" t="s">
        <v>453</v>
      </c>
    </row>
    <row r="34493" spans="1:3">
      <c r="A34493" s="250">
        <v>79414</v>
      </c>
      <c r="B34493" s="74" t="s">
        <v>16572</v>
      </c>
      <c r="C34493" s="74" t="s">
        <v>453</v>
      </c>
    </row>
    <row r="34494" spans="1:3">
      <c r="A34494" s="250">
        <v>79415</v>
      </c>
      <c r="B34494" s="74" t="s">
        <v>16572</v>
      </c>
      <c r="C34494" s="74" t="s">
        <v>453</v>
      </c>
    </row>
    <row r="34495" spans="1:3">
      <c r="A34495" s="250">
        <v>79416</v>
      </c>
      <c r="B34495" s="74" t="s">
        <v>16572</v>
      </c>
      <c r="C34495" s="74" t="s">
        <v>453</v>
      </c>
    </row>
    <row r="34496" spans="1:3">
      <c r="A34496" s="250">
        <v>79423</v>
      </c>
      <c r="B34496" s="74" t="s">
        <v>16572</v>
      </c>
      <c r="C34496" s="74" t="s">
        <v>453</v>
      </c>
    </row>
    <row r="34497" spans="1:3">
      <c r="A34497" s="250">
        <v>79424</v>
      </c>
      <c r="B34497" s="74" t="s">
        <v>16572</v>
      </c>
      <c r="C34497" s="74" t="s">
        <v>453</v>
      </c>
    </row>
    <row r="34498" spans="1:3">
      <c r="A34498" s="250">
        <v>79430</v>
      </c>
      <c r="B34498" s="74" t="s">
        <v>16572</v>
      </c>
      <c r="C34498" s="74" t="s">
        <v>453</v>
      </c>
    </row>
    <row r="34499" spans="1:3">
      <c r="A34499" s="250">
        <v>79452</v>
      </c>
      <c r="B34499" s="74" t="s">
        <v>16572</v>
      </c>
      <c r="C34499" s="74" t="s">
        <v>453</v>
      </c>
    </row>
    <row r="34500" spans="1:3">
      <c r="A34500" s="250">
        <v>79453</v>
      </c>
      <c r="B34500" s="74" t="s">
        <v>16572</v>
      </c>
      <c r="C34500" s="74" t="s">
        <v>453</v>
      </c>
    </row>
    <row r="34501" spans="1:3">
      <c r="A34501" s="250">
        <v>79457</v>
      </c>
      <c r="B34501" s="74" t="s">
        <v>16572</v>
      </c>
      <c r="C34501" s="74" t="s">
        <v>453</v>
      </c>
    </row>
    <row r="34502" spans="1:3">
      <c r="A34502" s="250">
        <v>79464</v>
      </c>
      <c r="B34502" s="74" t="s">
        <v>16572</v>
      </c>
      <c r="C34502" s="74" t="s">
        <v>453</v>
      </c>
    </row>
    <row r="34503" spans="1:3">
      <c r="A34503" s="250">
        <v>79490</v>
      </c>
      <c r="B34503" s="74" t="s">
        <v>16572</v>
      </c>
      <c r="C34503" s="74" t="s">
        <v>453</v>
      </c>
    </row>
    <row r="34504" spans="1:3">
      <c r="A34504" s="250">
        <v>79491</v>
      </c>
      <c r="B34504" s="74" t="s">
        <v>16572</v>
      </c>
      <c r="C34504" s="74" t="s">
        <v>453</v>
      </c>
    </row>
    <row r="34505" spans="1:3">
      <c r="A34505" s="250">
        <v>79493</v>
      </c>
      <c r="B34505" s="74" t="s">
        <v>16572</v>
      </c>
      <c r="C34505" s="74" t="s">
        <v>453</v>
      </c>
    </row>
    <row r="34506" spans="1:3">
      <c r="A34506" s="250">
        <v>79499</v>
      </c>
      <c r="B34506" s="74" t="s">
        <v>16572</v>
      </c>
      <c r="C34506" s="74" t="s">
        <v>453</v>
      </c>
    </row>
    <row r="34507" spans="1:3">
      <c r="A34507" s="250">
        <v>79501</v>
      </c>
      <c r="B34507" s="74" t="s">
        <v>1677</v>
      </c>
      <c r="C34507" s="74" t="s">
        <v>453</v>
      </c>
    </row>
    <row r="34508" spans="1:3">
      <c r="A34508" s="250">
        <v>79502</v>
      </c>
      <c r="B34508" s="74" t="s">
        <v>16573</v>
      </c>
      <c r="C34508" s="74" t="s">
        <v>453</v>
      </c>
    </row>
    <row r="34509" spans="1:3">
      <c r="A34509" s="250">
        <v>79503</v>
      </c>
      <c r="B34509" s="74" t="s">
        <v>3896</v>
      </c>
      <c r="C34509" s="74" t="s">
        <v>453</v>
      </c>
    </row>
    <row r="34510" spans="1:3">
      <c r="A34510" s="250">
        <v>79504</v>
      </c>
      <c r="B34510" s="74" t="s">
        <v>16574</v>
      </c>
      <c r="C34510" s="74" t="s">
        <v>453</v>
      </c>
    </row>
    <row r="34511" spans="1:3">
      <c r="A34511" s="250">
        <v>79505</v>
      </c>
      <c r="B34511" s="74" t="s">
        <v>16575</v>
      </c>
      <c r="C34511" s="74" t="s">
        <v>453</v>
      </c>
    </row>
    <row r="34512" spans="1:3">
      <c r="A34512" s="250">
        <v>79506</v>
      </c>
      <c r="B34512" s="74" t="s">
        <v>14147</v>
      </c>
      <c r="C34512" s="74" t="s">
        <v>453</v>
      </c>
    </row>
    <row r="34513" spans="1:3">
      <c r="A34513" s="250">
        <v>79508</v>
      </c>
      <c r="B34513" s="74" t="s">
        <v>12971</v>
      </c>
      <c r="C34513" s="74" t="s">
        <v>453</v>
      </c>
    </row>
    <row r="34514" spans="1:3">
      <c r="A34514" s="250">
        <v>79510</v>
      </c>
      <c r="B34514" s="74" t="s">
        <v>3766</v>
      </c>
      <c r="C34514" s="74" t="s">
        <v>453</v>
      </c>
    </row>
    <row r="34515" spans="1:3">
      <c r="A34515" s="250">
        <v>79511</v>
      </c>
      <c r="B34515" s="74" t="s">
        <v>9293</v>
      </c>
      <c r="C34515" s="74" t="s">
        <v>453</v>
      </c>
    </row>
    <row r="34516" spans="1:3">
      <c r="A34516" s="250">
        <v>79512</v>
      </c>
      <c r="B34516" s="74" t="s">
        <v>16576</v>
      </c>
      <c r="C34516" s="74" t="s">
        <v>453</v>
      </c>
    </row>
    <row r="34517" spans="1:3">
      <c r="A34517" s="250">
        <v>79516</v>
      </c>
      <c r="B34517" s="74" t="s">
        <v>7350</v>
      </c>
      <c r="C34517" s="74" t="s">
        <v>453</v>
      </c>
    </row>
    <row r="34518" spans="1:3">
      <c r="A34518" s="250">
        <v>79517</v>
      </c>
      <c r="B34518" s="74" t="s">
        <v>16577</v>
      </c>
      <c r="C34518" s="74" t="s">
        <v>453</v>
      </c>
    </row>
    <row r="34519" spans="1:3">
      <c r="A34519" s="250">
        <v>79518</v>
      </c>
      <c r="B34519" s="74" t="s">
        <v>4512</v>
      </c>
      <c r="C34519" s="74" t="s">
        <v>453</v>
      </c>
    </row>
    <row r="34520" spans="1:3">
      <c r="A34520" s="250">
        <v>79519</v>
      </c>
      <c r="B34520" s="74" t="s">
        <v>5756</v>
      </c>
      <c r="C34520" s="74" t="s">
        <v>453</v>
      </c>
    </row>
    <row r="34521" spans="1:3">
      <c r="A34521" s="250">
        <v>79520</v>
      </c>
      <c r="B34521" s="74" t="s">
        <v>3778</v>
      </c>
      <c r="C34521" s="74" t="s">
        <v>453</v>
      </c>
    </row>
    <row r="34522" spans="1:3">
      <c r="A34522" s="250">
        <v>79521</v>
      </c>
      <c r="B34522" s="74" t="s">
        <v>2189</v>
      </c>
      <c r="C34522" s="74" t="s">
        <v>453</v>
      </c>
    </row>
    <row r="34523" spans="1:3">
      <c r="A34523" s="250">
        <v>79525</v>
      </c>
      <c r="B34523" s="74" t="s">
        <v>5161</v>
      </c>
      <c r="C34523" s="74" t="s">
        <v>453</v>
      </c>
    </row>
    <row r="34524" spans="1:3">
      <c r="A34524" s="250">
        <v>79526</v>
      </c>
      <c r="B34524" s="74" t="s">
        <v>16578</v>
      </c>
      <c r="C34524" s="74" t="s">
        <v>453</v>
      </c>
    </row>
    <row r="34525" spans="1:3">
      <c r="A34525" s="250">
        <v>79527</v>
      </c>
      <c r="B34525" s="74" t="s">
        <v>11515</v>
      </c>
      <c r="C34525" s="74" t="s">
        <v>453</v>
      </c>
    </row>
    <row r="34526" spans="1:3">
      <c r="A34526" s="250">
        <v>79528</v>
      </c>
      <c r="B34526" s="74" t="s">
        <v>16579</v>
      </c>
      <c r="C34526" s="74" t="s">
        <v>453</v>
      </c>
    </row>
    <row r="34527" spans="1:3">
      <c r="A34527" s="250">
        <v>79529</v>
      </c>
      <c r="B34527" s="74" t="s">
        <v>14124</v>
      </c>
      <c r="C34527" s="74" t="s">
        <v>453</v>
      </c>
    </row>
    <row r="34528" spans="1:3">
      <c r="A34528" s="250">
        <v>79530</v>
      </c>
      <c r="B34528" s="74" t="s">
        <v>4715</v>
      </c>
      <c r="C34528" s="74" t="s">
        <v>453</v>
      </c>
    </row>
    <row r="34529" spans="1:3">
      <c r="A34529" s="250">
        <v>79532</v>
      </c>
      <c r="B34529" s="74" t="s">
        <v>13889</v>
      </c>
      <c r="C34529" s="74" t="s">
        <v>453</v>
      </c>
    </row>
    <row r="34530" spans="1:3">
      <c r="A34530" s="250">
        <v>79533</v>
      </c>
      <c r="B34530" s="74" t="s">
        <v>16580</v>
      </c>
      <c r="C34530" s="74" t="s">
        <v>453</v>
      </c>
    </row>
    <row r="34531" spans="1:3">
      <c r="A34531" s="250">
        <v>79534</v>
      </c>
      <c r="B34531" s="74" t="s">
        <v>16581</v>
      </c>
      <c r="C34531" s="74" t="s">
        <v>453</v>
      </c>
    </row>
    <row r="34532" spans="1:3">
      <c r="A34532" s="250">
        <v>79535</v>
      </c>
      <c r="B34532" s="74" t="s">
        <v>16582</v>
      </c>
      <c r="C34532" s="74" t="s">
        <v>453</v>
      </c>
    </row>
    <row r="34533" spans="1:3">
      <c r="A34533" s="250">
        <v>79536</v>
      </c>
      <c r="B34533" s="74" t="s">
        <v>16583</v>
      </c>
      <c r="C34533" s="74" t="s">
        <v>453</v>
      </c>
    </row>
    <row r="34534" spans="1:3">
      <c r="A34534" s="250">
        <v>79537</v>
      </c>
      <c r="B34534" s="74" t="s">
        <v>16584</v>
      </c>
      <c r="C34534" s="74" t="s">
        <v>453</v>
      </c>
    </row>
    <row r="34535" spans="1:3">
      <c r="A34535" s="250">
        <v>79538</v>
      </c>
      <c r="B34535" s="74" t="s">
        <v>16585</v>
      </c>
      <c r="C34535" s="74" t="s">
        <v>453</v>
      </c>
    </row>
    <row r="34536" spans="1:3">
      <c r="A34536" s="250">
        <v>79539</v>
      </c>
      <c r="B34536" s="74" t="s">
        <v>8229</v>
      </c>
      <c r="C34536" s="74" t="s">
        <v>453</v>
      </c>
    </row>
    <row r="34537" spans="1:3">
      <c r="A34537" s="250">
        <v>79540</v>
      </c>
      <c r="B34537" s="74" t="s">
        <v>16586</v>
      </c>
      <c r="C34537" s="74" t="s">
        <v>453</v>
      </c>
    </row>
    <row r="34538" spans="1:3">
      <c r="A34538" s="250">
        <v>79541</v>
      </c>
      <c r="B34538" s="74" t="s">
        <v>16587</v>
      </c>
      <c r="C34538" s="74" t="s">
        <v>453</v>
      </c>
    </row>
    <row r="34539" spans="1:3">
      <c r="A34539" s="250">
        <v>79543</v>
      </c>
      <c r="B34539" s="74" t="s">
        <v>14406</v>
      </c>
      <c r="C34539" s="74" t="s">
        <v>453</v>
      </c>
    </row>
    <row r="34540" spans="1:3">
      <c r="A34540" s="250">
        <v>79544</v>
      </c>
      <c r="B34540" s="74" t="s">
        <v>1085</v>
      </c>
      <c r="C34540" s="74" t="s">
        <v>453</v>
      </c>
    </row>
    <row r="34541" spans="1:3">
      <c r="A34541" s="250">
        <v>79545</v>
      </c>
      <c r="B34541" s="74" t="s">
        <v>3202</v>
      </c>
      <c r="C34541" s="74" t="s">
        <v>453</v>
      </c>
    </row>
    <row r="34542" spans="1:3">
      <c r="A34542" s="250">
        <v>79546</v>
      </c>
      <c r="B34542" s="74" t="s">
        <v>16588</v>
      </c>
      <c r="C34542" s="74" t="s">
        <v>453</v>
      </c>
    </row>
    <row r="34543" spans="1:3">
      <c r="A34543" s="250">
        <v>79547</v>
      </c>
      <c r="B34543" s="74" t="s">
        <v>16589</v>
      </c>
      <c r="C34543" s="74" t="s">
        <v>453</v>
      </c>
    </row>
    <row r="34544" spans="1:3">
      <c r="A34544" s="250">
        <v>79548</v>
      </c>
      <c r="B34544" s="74" t="s">
        <v>16589</v>
      </c>
      <c r="C34544" s="74" t="s">
        <v>453</v>
      </c>
    </row>
    <row r="34545" spans="1:3">
      <c r="A34545" s="250">
        <v>79549</v>
      </c>
      <c r="B34545" s="74" t="s">
        <v>14806</v>
      </c>
      <c r="C34545" s="74" t="s">
        <v>453</v>
      </c>
    </row>
    <row r="34546" spans="1:3">
      <c r="A34546" s="250">
        <v>79550</v>
      </c>
      <c r="B34546" s="74" t="s">
        <v>14806</v>
      </c>
      <c r="C34546" s="74" t="s">
        <v>453</v>
      </c>
    </row>
    <row r="34547" spans="1:3">
      <c r="A34547" s="250">
        <v>79553</v>
      </c>
      <c r="B34547" s="74" t="s">
        <v>1789</v>
      </c>
      <c r="C34547" s="74" t="s">
        <v>453</v>
      </c>
    </row>
    <row r="34548" spans="1:3">
      <c r="A34548" s="250">
        <v>79556</v>
      </c>
      <c r="B34548" s="74" t="s">
        <v>9162</v>
      </c>
      <c r="C34548" s="74" t="s">
        <v>453</v>
      </c>
    </row>
    <row r="34549" spans="1:3">
      <c r="A34549" s="250">
        <v>79560</v>
      </c>
      <c r="B34549" s="74" t="s">
        <v>6653</v>
      </c>
      <c r="C34549" s="74" t="s">
        <v>453</v>
      </c>
    </row>
    <row r="34550" spans="1:3">
      <c r="A34550" s="250">
        <v>79561</v>
      </c>
      <c r="B34550" s="74" t="s">
        <v>12830</v>
      </c>
      <c r="C34550" s="74" t="s">
        <v>453</v>
      </c>
    </row>
    <row r="34551" spans="1:3">
      <c r="A34551" s="250">
        <v>79562</v>
      </c>
      <c r="B34551" s="74" t="s">
        <v>13796</v>
      </c>
      <c r="C34551" s="74" t="s">
        <v>453</v>
      </c>
    </row>
    <row r="34552" spans="1:3">
      <c r="A34552" s="250">
        <v>79563</v>
      </c>
      <c r="B34552" s="74" t="s">
        <v>16590</v>
      </c>
      <c r="C34552" s="74" t="s">
        <v>453</v>
      </c>
    </row>
    <row r="34553" spans="1:3">
      <c r="A34553" s="250">
        <v>79565</v>
      </c>
      <c r="B34553" s="74" t="s">
        <v>1423</v>
      </c>
      <c r="C34553" s="74" t="s">
        <v>453</v>
      </c>
    </row>
    <row r="34554" spans="1:3">
      <c r="A34554" s="250">
        <v>79566</v>
      </c>
      <c r="B34554" s="74" t="s">
        <v>5782</v>
      </c>
      <c r="C34554" s="74" t="s">
        <v>453</v>
      </c>
    </row>
    <row r="34555" spans="1:3">
      <c r="A34555" s="250">
        <v>79567</v>
      </c>
      <c r="B34555" s="74" t="s">
        <v>16591</v>
      </c>
      <c r="C34555" s="74" t="s">
        <v>453</v>
      </c>
    </row>
    <row r="34556" spans="1:3">
      <c r="A34556" s="250">
        <v>79601</v>
      </c>
      <c r="B34556" s="74" t="s">
        <v>14635</v>
      </c>
      <c r="C34556" s="74" t="s">
        <v>453</v>
      </c>
    </row>
    <row r="34557" spans="1:3">
      <c r="A34557" s="250">
        <v>79602</v>
      </c>
      <c r="B34557" s="74" t="s">
        <v>14635</v>
      </c>
      <c r="C34557" s="74" t="s">
        <v>453</v>
      </c>
    </row>
    <row r="34558" spans="1:3">
      <c r="A34558" s="250">
        <v>79603</v>
      </c>
      <c r="B34558" s="74" t="s">
        <v>14635</v>
      </c>
      <c r="C34558" s="74" t="s">
        <v>453</v>
      </c>
    </row>
    <row r="34559" spans="1:3">
      <c r="A34559" s="250">
        <v>79604</v>
      </c>
      <c r="B34559" s="74" t="s">
        <v>14635</v>
      </c>
      <c r="C34559" s="74" t="s">
        <v>453</v>
      </c>
    </row>
    <row r="34560" spans="1:3">
      <c r="A34560" s="250">
        <v>79605</v>
      </c>
      <c r="B34560" s="74" t="s">
        <v>14635</v>
      </c>
      <c r="C34560" s="74" t="s">
        <v>453</v>
      </c>
    </row>
    <row r="34561" spans="1:3">
      <c r="A34561" s="250">
        <v>79606</v>
      </c>
      <c r="B34561" s="74" t="s">
        <v>14635</v>
      </c>
      <c r="C34561" s="74" t="s">
        <v>453</v>
      </c>
    </row>
    <row r="34562" spans="1:3">
      <c r="A34562" s="250">
        <v>79607</v>
      </c>
      <c r="B34562" s="74" t="s">
        <v>16592</v>
      </c>
      <c r="C34562" s="74" t="s">
        <v>453</v>
      </c>
    </row>
    <row r="34563" spans="1:3">
      <c r="A34563" s="250">
        <v>79608</v>
      </c>
      <c r="B34563" s="74" t="s">
        <v>14635</v>
      </c>
      <c r="C34563" s="74" t="s">
        <v>453</v>
      </c>
    </row>
    <row r="34564" spans="1:3">
      <c r="A34564" s="250">
        <v>79697</v>
      </c>
      <c r="B34564" s="74" t="s">
        <v>14635</v>
      </c>
      <c r="C34564" s="74" t="s">
        <v>453</v>
      </c>
    </row>
    <row r="34565" spans="1:3">
      <c r="A34565" s="250">
        <v>79698</v>
      </c>
      <c r="B34565" s="74" t="s">
        <v>14635</v>
      </c>
      <c r="C34565" s="74" t="s">
        <v>453</v>
      </c>
    </row>
    <row r="34566" spans="1:3">
      <c r="A34566" s="250">
        <v>79699</v>
      </c>
      <c r="B34566" s="74" t="s">
        <v>14635</v>
      </c>
      <c r="C34566" s="74" t="s">
        <v>453</v>
      </c>
    </row>
    <row r="34567" spans="1:3">
      <c r="A34567" s="250">
        <v>79701</v>
      </c>
      <c r="B34567" s="74" t="s">
        <v>3994</v>
      </c>
      <c r="C34567" s="74" t="s">
        <v>453</v>
      </c>
    </row>
    <row r="34568" spans="1:3">
      <c r="A34568" s="250">
        <v>79702</v>
      </c>
      <c r="B34568" s="74" t="s">
        <v>3994</v>
      </c>
      <c r="C34568" s="74" t="s">
        <v>453</v>
      </c>
    </row>
    <row r="34569" spans="1:3">
      <c r="A34569" s="250">
        <v>79703</v>
      </c>
      <c r="B34569" s="74" t="s">
        <v>3994</v>
      </c>
      <c r="C34569" s="74" t="s">
        <v>453</v>
      </c>
    </row>
    <row r="34570" spans="1:3">
      <c r="A34570" s="250">
        <v>79704</v>
      </c>
      <c r="B34570" s="74" t="s">
        <v>3994</v>
      </c>
      <c r="C34570" s="74" t="s">
        <v>453</v>
      </c>
    </row>
    <row r="34571" spans="1:3">
      <c r="A34571" s="250">
        <v>79705</v>
      </c>
      <c r="B34571" s="74" t="s">
        <v>3994</v>
      </c>
      <c r="C34571" s="74" t="s">
        <v>453</v>
      </c>
    </row>
    <row r="34572" spans="1:3">
      <c r="A34572" s="250">
        <v>79706</v>
      </c>
      <c r="B34572" s="74" t="s">
        <v>3994</v>
      </c>
      <c r="C34572" s="74" t="s">
        <v>453</v>
      </c>
    </row>
    <row r="34573" spans="1:3">
      <c r="A34573" s="250">
        <v>79707</v>
      </c>
      <c r="B34573" s="74" t="s">
        <v>3994</v>
      </c>
      <c r="C34573" s="74" t="s">
        <v>453</v>
      </c>
    </row>
    <row r="34574" spans="1:3">
      <c r="A34574" s="250">
        <v>79708</v>
      </c>
      <c r="B34574" s="74" t="s">
        <v>3994</v>
      </c>
      <c r="C34574" s="74" t="s">
        <v>453</v>
      </c>
    </row>
    <row r="34575" spans="1:3">
      <c r="A34575" s="250">
        <v>79710</v>
      </c>
      <c r="B34575" s="74" t="s">
        <v>3994</v>
      </c>
      <c r="C34575" s="74" t="s">
        <v>453</v>
      </c>
    </row>
    <row r="34576" spans="1:3">
      <c r="A34576" s="250">
        <v>79711</v>
      </c>
      <c r="B34576" s="74" t="s">
        <v>3994</v>
      </c>
      <c r="C34576" s="74" t="s">
        <v>453</v>
      </c>
    </row>
    <row r="34577" spans="1:3">
      <c r="A34577" s="250">
        <v>79712</v>
      </c>
      <c r="B34577" s="74" t="s">
        <v>3994</v>
      </c>
      <c r="C34577" s="74" t="s">
        <v>453</v>
      </c>
    </row>
    <row r="34578" spans="1:3">
      <c r="A34578" s="250">
        <v>79713</v>
      </c>
      <c r="B34578" s="74" t="s">
        <v>16593</v>
      </c>
      <c r="C34578" s="74" t="s">
        <v>453</v>
      </c>
    </row>
    <row r="34579" spans="1:3">
      <c r="A34579" s="250">
        <v>79714</v>
      </c>
      <c r="B34579" s="74" t="s">
        <v>7587</v>
      </c>
      <c r="C34579" s="74" t="s">
        <v>453</v>
      </c>
    </row>
    <row r="34580" spans="1:3">
      <c r="A34580" s="250">
        <v>79718</v>
      </c>
      <c r="B34580" s="74" t="s">
        <v>16594</v>
      </c>
      <c r="C34580" s="74" t="s">
        <v>453</v>
      </c>
    </row>
    <row r="34581" spans="1:3">
      <c r="A34581" s="250">
        <v>79719</v>
      </c>
      <c r="B34581" s="74" t="s">
        <v>5548</v>
      </c>
      <c r="C34581" s="74" t="s">
        <v>453</v>
      </c>
    </row>
    <row r="34582" spans="1:3">
      <c r="A34582" s="250">
        <v>79720</v>
      </c>
      <c r="B34582" s="74" t="s">
        <v>16595</v>
      </c>
      <c r="C34582" s="74" t="s">
        <v>453</v>
      </c>
    </row>
    <row r="34583" spans="1:3">
      <c r="A34583" s="250">
        <v>79721</v>
      </c>
      <c r="B34583" s="74" t="s">
        <v>16595</v>
      </c>
      <c r="C34583" s="74" t="s">
        <v>453</v>
      </c>
    </row>
    <row r="34584" spans="1:3">
      <c r="A34584" s="250">
        <v>79730</v>
      </c>
      <c r="B34584" s="74" t="s">
        <v>16596</v>
      </c>
      <c r="C34584" s="74" t="s">
        <v>453</v>
      </c>
    </row>
    <row r="34585" spans="1:3">
      <c r="A34585" s="250">
        <v>79731</v>
      </c>
      <c r="B34585" s="74" t="s">
        <v>10878</v>
      </c>
      <c r="C34585" s="74" t="s">
        <v>453</v>
      </c>
    </row>
    <row r="34586" spans="1:3">
      <c r="A34586" s="250">
        <v>79733</v>
      </c>
      <c r="B34586" s="74" t="s">
        <v>16597</v>
      </c>
      <c r="C34586" s="74" t="s">
        <v>453</v>
      </c>
    </row>
    <row r="34587" spans="1:3">
      <c r="A34587" s="250">
        <v>79734</v>
      </c>
      <c r="B34587" s="74" t="s">
        <v>8798</v>
      </c>
      <c r="C34587" s="74" t="s">
        <v>453</v>
      </c>
    </row>
    <row r="34588" spans="1:3">
      <c r="A34588" s="250">
        <v>79735</v>
      </c>
      <c r="B34588" s="74" t="s">
        <v>16598</v>
      </c>
      <c r="C34588" s="74" t="s">
        <v>453</v>
      </c>
    </row>
    <row r="34589" spans="1:3">
      <c r="A34589" s="250">
        <v>79738</v>
      </c>
      <c r="B34589" s="74" t="s">
        <v>16599</v>
      </c>
      <c r="C34589" s="74" t="s">
        <v>453</v>
      </c>
    </row>
    <row r="34590" spans="1:3">
      <c r="A34590" s="250">
        <v>79739</v>
      </c>
      <c r="B34590" s="74" t="s">
        <v>2769</v>
      </c>
      <c r="C34590" s="74" t="s">
        <v>453</v>
      </c>
    </row>
    <row r="34591" spans="1:3">
      <c r="A34591" s="250">
        <v>79740</v>
      </c>
      <c r="B34591" s="74" t="s">
        <v>16600</v>
      </c>
      <c r="C34591" s="74" t="s">
        <v>453</v>
      </c>
    </row>
    <row r="34592" spans="1:3">
      <c r="A34592" s="250">
        <v>79741</v>
      </c>
      <c r="B34592" s="74" t="s">
        <v>10640</v>
      </c>
      <c r="C34592" s="74" t="s">
        <v>453</v>
      </c>
    </row>
    <row r="34593" spans="1:3">
      <c r="A34593" s="250">
        <v>79742</v>
      </c>
      <c r="B34593" s="74" t="s">
        <v>16601</v>
      </c>
      <c r="C34593" s="74" t="s">
        <v>453</v>
      </c>
    </row>
    <row r="34594" spans="1:3">
      <c r="A34594" s="250">
        <v>79743</v>
      </c>
      <c r="B34594" s="74" t="s">
        <v>4026</v>
      </c>
      <c r="C34594" s="74" t="s">
        <v>453</v>
      </c>
    </row>
    <row r="34595" spans="1:3">
      <c r="A34595" s="250">
        <v>79744</v>
      </c>
      <c r="B34595" s="74" t="s">
        <v>16602</v>
      </c>
      <c r="C34595" s="74" t="s">
        <v>453</v>
      </c>
    </row>
    <row r="34596" spans="1:3">
      <c r="A34596" s="250">
        <v>79745</v>
      </c>
      <c r="B34596" s="74" t="s">
        <v>6767</v>
      </c>
      <c r="C34596" s="74" t="s">
        <v>453</v>
      </c>
    </row>
    <row r="34597" spans="1:3">
      <c r="A34597" s="250">
        <v>79748</v>
      </c>
      <c r="B34597" s="74" t="s">
        <v>16603</v>
      </c>
      <c r="C34597" s="74" t="s">
        <v>453</v>
      </c>
    </row>
    <row r="34598" spans="1:3">
      <c r="A34598" s="250">
        <v>79749</v>
      </c>
      <c r="B34598" s="74" t="s">
        <v>16604</v>
      </c>
      <c r="C34598" s="74" t="s">
        <v>453</v>
      </c>
    </row>
    <row r="34599" spans="1:3">
      <c r="A34599" s="250">
        <v>79752</v>
      </c>
      <c r="B34599" s="74" t="s">
        <v>16605</v>
      </c>
      <c r="C34599" s="74" t="s">
        <v>453</v>
      </c>
    </row>
    <row r="34600" spans="1:3">
      <c r="A34600" s="250">
        <v>79754</v>
      </c>
      <c r="B34600" s="74" t="s">
        <v>8777</v>
      </c>
      <c r="C34600" s="74" t="s">
        <v>453</v>
      </c>
    </row>
    <row r="34601" spans="1:3">
      <c r="A34601" s="250">
        <v>79755</v>
      </c>
      <c r="B34601" s="74" t="s">
        <v>6721</v>
      </c>
      <c r="C34601" s="74" t="s">
        <v>453</v>
      </c>
    </row>
    <row r="34602" spans="1:3">
      <c r="A34602" s="250">
        <v>79756</v>
      </c>
      <c r="B34602" s="74" t="s">
        <v>16606</v>
      </c>
      <c r="C34602" s="74" t="s">
        <v>453</v>
      </c>
    </row>
    <row r="34603" spans="1:3">
      <c r="A34603" s="250">
        <v>79758</v>
      </c>
      <c r="B34603" s="74" t="s">
        <v>8641</v>
      </c>
      <c r="C34603" s="74" t="s">
        <v>453</v>
      </c>
    </row>
    <row r="34604" spans="1:3">
      <c r="A34604" s="250">
        <v>79759</v>
      </c>
      <c r="B34604" s="74" t="s">
        <v>16607</v>
      </c>
      <c r="C34604" s="74" t="s">
        <v>453</v>
      </c>
    </row>
    <row r="34605" spans="1:3">
      <c r="A34605" s="250">
        <v>79760</v>
      </c>
      <c r="B34605" s="74" t="s">
        <v>3931</v>
      </c>
      <c r="C34605" s="74" t="s">
        <v>453</v>
      </c>
    </row>
    <row r="34606" spans="1:3">
      <c r="A34606" s="250">
        <v>79761</v>
      </c>
      <c r="B34606" s="74" t="s">
        <v>3931</v>
      </c>
      <c r="C34606" s="74" t="s">
        <v>453</v>
      </c>
    </row>
    <row r="34607" spans="1:3">
      <c r="A34607" s="250">
        <v>79762</v>
      </c>
      <c r="B34607" s="74" t="s">
        <v>3931</v>
      </c>
      <c r="C34607" s="74" t="s">
        <v>453</v>
      </c>
    </row>
    <row r="34608" spans="1:3">
      <c r="A34608" s="250">
        <v>79763</v>
      </c>
      <c r="B34608" s="74" t="s">
        <v>3931</v>
      </c>
      <c r="C34608" s="74" t="s">
        <v>453</v>
      </c>
    </row>
    <row r="34609" spans="1:3">
      <c r="A34609" s="250">
        <v>79764</v>
      </c>
      <c r="B34609" s="74" t="s">
        <v>3931</v>
      </c>
      <c r="C34609" s="74" t="s">
        <v>453</v>
      </c>
    </row>
    <row r="34610" spans="1:3">
      <c r="A34610" s="250">
        <v>79765</v>
      </c>
      <c r="B34610" s="74" t="s">
        <v>3931</v>
      </c>
      <c r="C34610" s="74" t="s">
        <v>453</v>
      </c>
    </row>
    <row r="34611" spans="1:3">
      <c r="A34611" s="250">
        <v>79766</v>
      </c>
      <c r="B34611" s="74" t="s">
        <v>3931</v>
      </c>
      <c r="C34611" s="74" t="s">
        <v>453</v>
      </c>
    </row>
    <row r="34612" spans="1:3">
      <c r="A34612" s="250">
        <v>79768</v>
      </c>
      <c r="B34612" s="74" t="s">
        <v>3931</v>
      </c>
      <c r="C34612" s="74" t="s">
        <v>453</v>
      </c>
    </row>
    <row r="34613" spans="1:3">
      <c r="A34613" s="250">
        <v>79769</v>
      </c>
      <c r="B34613" s="74" t="s">
        <v>3931</v>
      </c>
      <c r="C34613" s="74" t="s">
        <v>453</v>
      </c>
    </row>
    <row r="34614" spans="1:3">
      <c r="A34614" s="250">
        <v>79770</v>
      </c>
      <c r="B34614" s="74" t="s">
        <v>16608</v>
      </c>
      <c r="C34614" s="74" t="s">
        <v>453</v>
      </c>
    </row>
    <row r="34615" spans="1:3">
      <c r="A34615" s="250">
        <v>79772</v>
      </c>
      <c r="B34615" s="74" t="s">
        <v>16609</v>
      </c>
      <c r="C34615" s="74" t="s">
        <v>453</v>
      </c>
    </row>
    <row r="34616" spans="1:3">
      <c r="A34616" s="250">
        <v>79776</v>
      </c>
      <c r="B34616" s="74" t="s">
        <v>16610</v>
      </c>
      <c r="C34616" s="74" t="s">
        <v>453</v>
      </c>
    </row>
    <row r="34617" spans="1:3">
      <c r="A34617" s="250">
        <v>79777</v>
      </c>
      <c r="B34617" s="74" t="s">
        <v>16611</v>
      </c>
      <c r="C34617" s="74" t="s">
        <v>453</v>
      </c>
    </row>
    <row r="34618" spans="1:3">
      <c r="A34618" s="250">
        <v>79778</v>
      </c>
      <c r="B34618" s="74" t="s">
        <v>13595</v>
      </c>
      <c r="C34618" s="74" t="s">
        <v>453</v>
      </c>
    </row>
    <row r="34619" spans="1:3">
      <c r="A34619" s="250">
        <v>79780</v>
      </c>
      <c r="B34619" s="74" t="s">
        <v>16612</v>
      </c>
      <c r="C34619" s="74" t="s">
        <v>453</v>
      </c>
    </row>
    <row r="34620" spans="1:3">
      <c r="A34620" s="250">
        <v>79781</v>
      </c>
      <c r="B34620" s="74" t="s">
        <v>661</v>
      </c>
      <c r="C34620" s="74" t="s">
        <v>453</v>
      </c>
    </row>
    <row r="34621" spans="1:3">
      <c r="A34621" s="250">
        <v>79782</v>
      </c>
      <c r="B34621" s="74" t="s">
        <v>2602</v>
      </c>
      <c r="C34621" s="74" t="s">
        <v>453</v>
      </c>
    </row>
    <row r="34622" spans="1:3">
      <c r="A34622" s="250">
        <v>79783</v>
      </c>
      <c r="B34622" s="74" t="s">
        <v>16613</v>
      </c>
      <c r="C34622" s="74" t="s">
        <v>453</v>
      </c>
    </row>
    <row r="34623" spans="1:3">
      <c r="A34623" s="250">
        <v>79785</v>
      </c>
      <c r="B34623" s="74" t="s">
        <v>16614</v>
      </c>
      <c r="C34623" s="74" t="s">
        <v>453</v>
      </c>
    </row>
    <row r="34624" spans="1:3">
      <c r="A34624" s="250">
        <v>79786</v>
      </c>
      <c r="B34624" s="74" t="s">
        <v>16615</v>
      </c>
      <c r="C34624" s="74" t="s">
        <v>453</v>
      </c>
    </row>
    <row r="34625" spans="1:3">
      <c r="A34625" s="250">
        <v>79788</v>
      </c>
      <c r="B34625" s="74" t="s">
        <v>16616</v>
      </c>
      <c r="C34625" s="74" t="s">
        <v>453</v>
      </c>
    </row>
    <row r="34626" spans="1:3">
      <c r="A34626" s="250">
        <v>79789</v>
      </c>
      <c r="B34626" s="74" t="s">
        <v>16617</v>
      </c>
      <c r="C34626" s="74" t="s">
        <v>453</v>
      </c>
    </row>
    <row r="34627" spans="1:3">
      <c r="A34627" s="250">
        <v>79821</v>
      </c>
      <c r="B34627" s="74" t="s">
        <v>8341</v>
      </c>
      <c r="C34627" s="74" t="s">
        <v>453</v>
      </c>
    </row>
    <row r="34628" spans="1:3">
      <c r="A34628" s="250">
        <v>79830</v>
      </c>
      <c r="B34628" s="74" t="s">
        <v>2225</v>
      </c>
      <c r="C34628" s="74" t="s">
        <v>453</v>
      </c>
    </row>
    <row r="34629" spans="1:3">
      <c r="A34629" s="250">
        <v>79831</v>
      </c>
      <c r="B34629" s="74" t="s">
        <v>2225</v>
      </c>
      <c r="C34629" s="74" t="s">
        <v>453</v>
      </c>
    </row>
    <row r="34630" spans="1:3">
      <c r="A34630" s="250">
        <v>79832</v>
      </c>
      <c r="B34630" s="74" t="s">
        <v>2225</v>
      </c>
      <c r="C34630" s="74" t="s">
        <v>453</v>
      </c>
    </row>
    <row r="34631" spans="1:3">
      <c r="A34631" s="250">
        <v>79834</v>
      </c>
      <c r="B34631" s="74" t="s">
        <v>16618</v>
      </c>
      <c r="C34631" s="74" t="s">
        <v>453</v>
      </c>
    </row>
    <row r="34632" spans="1:3">
      <c r="A34632" s="250">
        <v>79835</v>
      </c>
      <c r="B34632" s="74" t="s">
        <v>16619</v>
      </c>
      <c r="C34632" s="74" t="s">
        <v>453</v>
      </c>
    </row>
    <row r="34633" spans="1:3">
      <c r="A34633" s="250">
        <v>79836</v>
      </c>
      <c r="B34633" s="74" t="s">
        <v>16620</v>
      </c>
      <c r="C34633" s="74" t="s">
        <v>453</v>
      </c>
    </row>
    <row r="34634" spans="1:3">
      <c r="A34634" s="250">
        <v>79837</v>
      </c>
      <c r="B34634" s="74" t="s">
        <v>16621</v>
      </c>
      <c r="C34634" s="74" t="s">
        <v>453</v>
      </c>
    </row>
    <row r="34635" spans="1:3">
      <c r="A34635" s="250">
        <v>79838</v>
      </c>
      <c r="B34635" s="74" t="s">
        <v>16622</v>
      </c>
      <c r="C34635" s="74" t="s">
        <v>453</v>
      </c>
    </row>
    <row r="34636" spans="1:3">
      <c r="A34636" s="250">
        <v>79839</v>
      </c>
      <c r="B34636" s="74" t="s">
        <v>16623</v>
      </c>
      <c r="C34636" s="74" t="s">
        <v>453</v>
      </c>
    </row>
    <row r="34637" spans="1:3">
      <c r="A34637" s="250">
        <v>79842</v>
      </c>
      <c r="B34637" s="74" t="s">
        <v>3630</v>
      </c>
      <c r="C34637" s="74" t="s">
        <v>453</v>
      </c>
    </row>
    <row r="34638" spans="1:3">
      <c r="A34638" s="250">
        <v>79843</v>
      </c>
      <c r="B34638" s="74" t="s">
        <v>16624</v>
      </c>
      <c r="C34638" s="74" t="s">
        <v>453</v>
      </c>
    </row>
    <row r="34639" spans="1:3">
      <c r="A34639" s="250">
        <v>79845</v>
      </c>
      <c r="B34639" s="74" t="s">
        <v>16625</v>
      </c>
      <c r="C34639" s="74" t="s">
        <v>453</v>
      </c>
    </row>
    <row r="34640" spans="1:3">
      <c r="A34640" s="250">
        <v>79846</v>
      </c>
      <c r="B34640" s="74" t="s">
        <v>3323</v>
      </c>
      <c r="C34640" s="74" t="s">
        <v>453</v>
      </c>
    </row>
    <row r="34641" spans="1:3">
      <c r="A34641" s="250">
        <v>79847</v>
      </c>
      <c r="B34641" s="74" t="s">
        <v>16626</v>
      </c>
      <c r="C34641" s="74" t="s">
        <v>453</v>
      </c>
    </row>
    <row r="34642" spans="1:3">
      <c r="A34642" s="250">
        <v>79848</v>
      </c>
      <c r="B34642" s="74" t="s">
        <v>8234</v>
      </c>
      <c r="C34642" s="74" t="s">
        <v>453</v>
      </c>
    </row>
    <row r="34643" spans="1:3">
      <c r="A34643" s="250">
        <v>79849</v>
      </c>
      <c r="B34643" s="74" t="s">
        <v>16627</v>
      </c>
      <c r="C34643" s="74" t="s">
        <v>453</v>
      </c>
    </row>
    <row r="34644" spans="1:3">
      <c r="A34644" s="250">
        <v>79851</v>
      </c>
      <c r="B34644" s="74" t="s">
        <v>16628</v>
      </c>
      <c r="C34644" s="74" t="s">
        <v>453</v>
      </c>
    </row>
    <row r="34645" spans="1:3">
      <c r="A34645" s="250">
        <v>79852</v>
      </c>
      <c r="B34645" s="74" t="s">
        <v>16629</v>
      </c>
      <c r="C34645" s="74" t="s">
        <v>453</v>
      </c>
    </row>
    <row r="34646" spans="1:3">
      <c r="A34646" s="250">
        <v>79853</v>
      </c>
      <c r="B34646" s="74" t="s">
        <v>16630</v>
      </c>
      <c r="C34646" s="74" t="s">
        <v>453</v>
      </c>
    </row>
    <row r="34647" spans="1:3">
      <c r="A34647" s="250">
        <v>79854</v>
      </c>
      <c r="B34647" s="74" t="s">
        <v>14897</v>
      </c>
      <c r="C34647" s="74" t="s">
        <v>453</v>
      </c>
    </row>
    <row r="34648" spans="1:3">
      <c r="A34648" s="250">
        <v>79855</v>
      </c>
      <c r="B34648" s="74" t="s">
        <v>16631</v>
      </c>
      <c r="C34648" s="74" t="s">
        <v>453</v>
      </c>
    </row>
    <row r="34649" spans="1:3">
      <c r="A34649" s="250">
        <v>79901</v>
      </c>
      <c r="B34649" s="74" t="s">
        <v>13743</v>
      </c>
      <c r="C34649" s="74" t="s">
        <v>453</v>
      </c>
    </row>
    <row r="34650" spans="1:3">
      <c r="A34650" s="250">
        <v>79902</v>
      </c>
      <c r="B34650" s="74" t="s">
        <v>13743</v>
      </c>
      <c r="C34650" s="74" t="s">
        <v>453</v>
      </c>
    </row>
    <row r="34651" spans="1:3">
      <c r="A34651" s="250">
        <v>79903</v>
      </c>
      <c r="B34651" s="74" t="s">
        <v>13743</v>
      </c>
      <c r="C34651" s="74" t="s">
        <v>453</v>
      </c>
    </row>
    <row r="34652" spans="1:3">
      <c r="A34652" s="250">
        <v>79904</v>
      </c>
      <c r="B34652" s="74" t="s">
        <v>13743</v>
      </c>
      <c r="C34652" s="74" t="s">
        <v>453</v>
      </c>
    </row>
    <row r="34653" spans="1:3">
      <c r="A34653" s="250">
        <v>79905</v>
      </c>
      <c r="B34653" s="74" t="s">
        <v>13743</v>
      </c>
      <c r="C34653" s="74" t="s">
        <v>453</v>
      </c>
    </row>
    <row r="34654" spans="1:3">
      <c r="A34654" s="250">
        <v>79906</v>
      </c>
      <c r="B34654" s="74" t="s">
        <v>13743</v>
      </c>
      <c r="C34654" s="74" t="s">
        <v>453</v>
      </c>
    </row>
    <row r="34655" spans="1:3">
      <c r="A34655" s="250">
        <v>79907</v>
      </c>
      <c r="B34655" s="74" t="s">
        <v>13743</v>
      </c>
      <c r="C34655" s="74" t="s">
        <v>453</v>
      </c>
    </row>
    <row r="34656" spans="1:3">
      <c r="A34656" s="250">
        <v>79908</v>
      </c>
      <c r="B34656" s="74" t="s">
        <v>13743</v>
      </c>
      <c r="C34656" s="74" t="s">
        <v>453</v>
      </c>
    </row>
    <row r="34657" spans="1:3">
      <c r="A34657" s="250">
        <v>79910</v>
      </c>
      <c r="B34657" s="74" t="s">
        <v>13743</v>
      </c>
      <c r="C34657" s="74" t="s">
        <v>453</v>
      </c>
    </row>
    <row r="34658" spans="1:3">
      <c r="A34658" s="250">
        <v>79911</v>
      </c>
      <c r="B34658" s="74" t="s">
        <v>13743</v>
      </c>
      <c r="C34658" s="74" t="s">
        <v>453</v>
      </c>
    </row>
    <row r="34659" spans="1:3">
      <c r="A34659" s="250">
        <v>79912</v>
      </c>
      <c r="B34659" s="74" t="s">
        <v>13743</v>
      </c>
      <c r="C34659" s="74" t="s">
        <v>453</v>
      </c>
    </row>
    <row r="34660" spans="1:3">
      <c r="A34660" s="250">
        <v>79913</v>
      </c>
      <c r="B34660" s="74" t="s">
        <v>13743</v>
      </c>
      <c r="C34660" s="74" t="s">
        <v>453</v>
      </c>
    </row>
    <row r="34661" spans="1:3">
      <c r="A34661" s="250">
        <v>79914</v>
      </c>
      <c r="B34661" s="74" t="s">
        <v>13743</v>
      </c>
      <c r="C34661" s="74" t="s">
        <v>453</v>
      </c>
    </row>
    <row r="34662" spans="1:3">
      <c r="A34662" s="250">
        <v>79915</v>
      </c>
      <c r="B34662" s="74" t="s">
        <v>13743</v>
      </c>
      <c r="C34662" s="74" t="s">
        <v>453</v>
      </c>
    </row>
    <row r="34663" spans="1:3">
      <c r="A34663" s="250">
        <v>79916</v>
      </c>
      <c r="B34663" s="74" t="s">
        <v>16632</v>
      </c>
      <c r="C34663" s="74" t="s">
        <v>453</v>
      </c>
    </row>
    <row r="34664" spans="1:3">
      <c r="A34664" s="250">
        <v>79917</v>
      </c>
      <c r="B34664" s="74" t="s">
        <v>13743</v>
      </c>
      <c r="C34664" s="74" t="s">
        <v>453</v>
      </c>
    </row>
    <row r="34665" spans="1:3">
      <c r="A34665" s="250">
        <v>79918</v>
      </c>
      <c r="B34665" s="74" t="s">
        <v>16632</v>
      </c>
      <c r="C34665" s="74" t="s">
        <v>453</v>
      </c>
    </row>
    <row r="34666" spans="1:3">
      <c r="A34666" s="250">
        <v>79920</v>
      </c>
      <c r="B34666" s="74" t="s">
        <v>13743</v>
      </c>
      <c r="C34666" s="74" t="s">
        <v>453</v>
      </c>
    </row>
    <row r="34667" spans="1:3">
      <c r="A34667" s="250">
        <v>79922</v>
      </c>
      <c r="B34667" s="74" t="s">
        <v>13743</v>
      </c>
      <c r="C34667" s="74" t="s">
        <v>453</v>
      </c>
    </row>
    <row r="34668" spans="1:3">
      <c r="A34668" s="250">
        <v>79923</v>
      </c>
      <c r="B34668" s="74" t="s">
        <v>13743</v>
      </c>
      <c r="C34668" s="74" t="s">
        <v>453</v>
      </c>
    </row>
    <row r="34669" spans="1:3">
      <c r="A34669" s="250">
        <v>79924</v>
      </c>
      <c r="B34669" s="74" t="s">
        <v>13743</v>
      </c>
      <c r="C34669" s="74" t="s">
        <v>453</v>
      </c>
    </row>
    <row r="34670" spans="1:3">
      <c r="A34670" s="250">
        <v>79925</v>
      </c>
      <c r="B34670" s="74" t="s">
        <v>13743</v>
      </c>
      <c r="C34670" s="74" t="s">
        <v>453</v>
      </c>
    </row>
    <row r="34671" spans="1:3">
      <c r="A34671" s="250">
        <v>79926</v>
      </c>
      <c r="B34671" s="74" t="s">
        <v>13743</v>
      </c>
      <c r="C34671" s="74" t="s">
        <v>453</v>
      </c>
    </row>
    <row r="34672" spans="1:3">
      <c r="A34672" s="250">
        <v>79927</v>
      </c>
      <c r="B34672" s="74" t="s">
        <v>13743</v>
      </c>
      <c r="C34672" s="74" t="s">
        <v>453</v>
      </c>
    </row>
    <row r="34673" spans="1:3">
      <c r="A34673" s="250">
        <v>79928</v>
      </c>
      <c r="B34673" s="74" t="s">
        <v>13743</v>
      </c>
      <c r="C34673" s="74" t="s">
        <v>453</v>
      </c>
    </row>
    <row r="34674" spans="1:3">
      <c r="A34674" s="250">
        <v>79929</v>
      </c>
      <c r="B34674" s="74" t="s">
        <v>13743</v>
      </c>
      <c r="C34674" s="74" t="s">
        <v>453</v>
      </c>
    </row>
    <row r="34675" spans="1:3">
      <c r="A34675" s="250">
        <v>79930</v>
      </c>
      <c r="B34675" s="74" t="s">
        <v>13743</v>
      </c>
      <c r="C34675" s="74" t="s">
        <v>453</v>
      </c>
    </row>
    <row r="34676" spans="1:3">
      <c r="A34676" s="250">
        <v>79931</v>
      </c>
      <c r="B34676" s="74" t="s">
        <v>13743</v>
      </c>
      <c r="C34676" s="74" t="s">
        <v>453</v>
      </c>
    </row>
    <row r="34677" spans="1:3">
      <c r="A34677" s="250">
        <v>79932</v>
      </c>
      <c r="B34677" s="74" t="s">
        <v>13743</v>
      </c>
      <c r="C34677" s="74" t="s">
        <v>453</v>
      </c>
    </row>
    <row r="34678" spans="1:3">
      <c r="A34678" s="250">
        <v>79934</v>
      </c>
      <c r="B34678" s="74" t="s">
        <v>13743</v>
      </c>
      <c r="C34678" s="74" t="s">
        <v>453</v>
      </c>
    </row>
    <row r="34679" spans="1:3">
      <c r="A34679" s="250">
        <v>79935</v>
      </c>
      <c r="B34679" s="74" t="s">
        <v>13743</v>
      </c>
      <c r="C34679" s="74" t="s">
        <v>453</v>
      </c>
    </row>
    <row r="34680" spans="1:3">
      <c r="A34680" s="250">
        <v>79936</v>
      </c>
      <c r="B34680" s="74" t="s">
        <v>13743</v>
      </c>
      <c r="C34680" s="74" t="s">
        <v>453</v>
      </c>
    </row>
    <row r="34681" spans="1:3">
      <c r="A34681" s="250">
        <v>79937</v>
      </c>
      <c r="B34681" s="74" t="s">
        <v>13743</v>
      </c>
      <c r="C34681" s="74" t="s">
        <v>453</v>
      </c>
    </row>
    <row r="34682" spans="1:3">
      <c r="A34682" s="250">
        <v>79938</v>
      </c>
      <c r="B34682" s="74" t="s">
        <v>13743</v>
      </c>
      <c r="C34682" s="74" t="s">
        <v>453</v>
      </c>
    </row>
    <row r="34683" spans="1:3">
      <c r="A34683" s="250">
        <v>79940</v>
      </c>
      <c r="B34683" s="74" t="s">
        <v>13743</v>
      </c>
      <c r="C34683" s="74" t="s">
        <v>453</v>
      </c>
    </row>
    <row r="34684" spans="1:3">
      <c r="A34684" s="250">
        <v>79941</v>
      </c>
      <c r="B34684" s="74" t="s">
        <v>13743</v>
      </c>
      <c r="C34684" s="74" t="s">
        <v>453</v>
      </c>
    </row>
    <row r="34685" spans="1:3">
      <c r="A34685" s="250">
        <v>79942</v>
      </c>
      <c r="B34685" s="74" t="s">
        <v>13743</v>
      </c>
      <c r="C34685" s="74" t="s">
        <v>453</v>
      </c>
    </row>
    <row r="34686" spans="1:3">
      <c r="A34686" s="250">
        <v>79943</v>
      </c>
      <c r="B34686" s="74" t="s">
        <v>13743</v>
      </c>
      <c r="C34686" s="74" t="s">
        <v>453</v>
      </c>
    </row>
    <row r="34687" spans="1:3">
      <c r="A34687" s="250">
        <v>79944</v>
      </c>
      <c r="B34687" s="74" t="s">
        <v>13743</v>
      </c>
      <c r="C34687" s="74" t="s">
        <v>453</v>
      </c>
    </row>
    <row r="34688" spans="1:3">
      <c r="A34688" s="250">
        <v>79945</v>
      </c>
      <c r="B34688" s="74" t="s">
        <v>13743</v>
      </c>
      <c r="C34688" s="74" t="s">
        <v>453</v>
      </c>
    </row>
    <row r="34689" spans="1:3">
      <c r="A34689" s="250">
        <v>79946</v>
      </c>
      <c r="B34689" s="74" t="s">
        <v>13743</v>
      </c>
      <c r="C34689" s="74" t="s">
        <v>453</v>
      </c>
    </row>
    <row r="34690" spans="1:3">
      <c r="A34690" s="250">
        <v>79947</v>
      </c>
      <c r="B34690" s="74" t="s">
        <v>13743</v>
      </c>
      <c r="C34690" s="74" t="s">
        <v>453</v>
      </c>
    </row>
    <row r="34691" spans="1:3">
      <c r="A34691" s="250">
        <v>79948</v>
      </c>
      <c r="B34691" s="74" t="s">
        <v>13743</v>
      </c>
      <c r="C34691" s="74" t="s">
        <v>453</v>
      </c>
    </row>
    <row r="34692" spans="1:3">
      <c r="A34692" s="250">
        <v>79949</v>
      </c>
      <c r="B34692" s="74" t="s">
        <v>13743</v>
      </c>
      <c r="C34692" s="74" t="s">
        <v>453</v>
      </c>
    </row>
    <row r="34693" spans="1:3">
      <c r="A34693" s="250">
        <v>79950</v>
      </c>
      <c r="B34693" s="74" t="s">
        <v>13743</v>
      </c>
      <c r="C34693" s="74" t="s">
        <v>453</v>
      </c>
    </row>
    <row r="34694" spans="1:3">
      <c r="A34694" s="250">
        <v>79951</v>
      </c>
      <c r="B34694" s="74" t="s">
        <v>13743</v>
      </c>
      <c r="C34694" s="74" t="s">
        <v>453</v>
      </c>
    </row>
    <row r="34695" spans="1:3">
      <c r="A34695" s="250">
        <v>79952</v>
      </c>
      <c r="B34695" s="74" t="s">
        <v>13743</v>
      </c>
      <c r="C34695" s="74" t="s">
        <v>453</v>
      </c>
    </row>
    <row r="34696" spans="1:3">
      <c r="A34696" s="250">
        <v>79953</v>
      </c>
      <c r="B34696" s="74" t="s">
        <v>13743</v>
      </c>
      <c r="C34696" s="74" t="s">
        <v>453</v>
      </c>
    </row>
    <row r="34697" spans="1:3">
      <c r="A34697" s="250">
        <v>79954</v>
      </c>
      <c r="B34697" s="74" t="s">
        <v>13743</v>
      </c>
      <c r="C34697" s="74" t="s">
        <v>453</v>
      </c>
    </row>
    <row r="34698" spans="1:3">
      <c r="A34698" s="250">
        <v>79955</v>
      </c>
      <c r="B34698" s="74" t="s">
        <v>13743</v>
      </c>
      <c r="C34698" s="74" t="s">
        <v>453</v>
      </c>
    </row>
    <row r="34699" spans="1:3">
      <c r="A34699" s="250">
        <v>79958</v>
      </c>
      <c r="B34699" s="74" t="s">
        <v>13743</v>
      </c>
      <c r="C34699" s="74" t="s">
        <v>453</v>
      </c>
    </row>
    <row r="34700" spans="1:3">
      <c r="A34700" s="250">
        <v>79960</v>
      </c>
      <c r="B34700" s="74" t="s">
        <v>13743</v>
      </c>
      <c r="C34700" s="74" t="s">
        <v>453</v>
      </c>
    </row>
    <row r="34701" spans="1:3">
      <c r="A34701" s="250">
        <v>79961</v>
      </c>
      <c r="B34701" s="74" t="s">
        <v>13743</v>
      </c>
      <c r="C34701" s="74" t="s">
        <v>453</v>
      </c>
    </row>
    <row r="34702" spans="1:3">
      <c r="A34702" s="250">
        <v>79968</v>
      </c>
      <c r="B34702" s="74" t="s">
        <v>13743</v>
      </c>
      <c r="C34702" s="74" t="s">
        <v>453</v>
      </c>
    </row>
    <row r="34703" spans="1:3">
      <c r="A34703" s="250">
        <v>79976</v>
      </c>
      <c r="B34703" s="74" t="s">
        <v>13743</v>
      </c>
      <c r="C34703" s="74" t="s">
        <v>453</v>
      </c>
    </row>
    <row r="34704" spans="1:3">
      <c r="A34704" s="250">
        <v>79978</v>
      </c>
      <c r="B34704" s="74" t="s">
        <v>13743</v>
      </c>
      <c r="C34704" s="74" t="s">
        <v>453</v>
      </c>
    </row>
    <row r="34705" spans="1:3">
      <c r="A34705" s="250">
        <v>79980</v>
      </c>
      <c r="B34705" s="74" t="s">
        <v>13743</v>
      </c>
      <c r="C34705" s="74" t="s">
        <v>453</v>
      </c>
    </row>
    <row r="34706" spans="1:3">
      <c r="A34706" s="250">
        <v>79990</v>
      </c>
      <c r="B34706" s="74" t="s">
        <v>13743</v>
      </c>
      <c r="C34706" s="74" t="s">
        <v>453</v>
      </c>
    </row>
    <row r="34707" spans="1:3">
      <c r="A34707" s="250">
        <v>79995</v>
      </c>
      <c r="B34707" s="74" t="s">
        <v>13743</v>
      </c>
      <c r="C34707" s="74" t="s">
        <v>453</v>
      </c>
    </row>
    <row r="34708" spans="1:3">
      <c r="A34708" s="250">
        <v>79996</v>
      </c>
      <c r="B34708" s="74" t="s">
        <v>13743</v>
      </c>
      <c r="C34708" s="74" t="s">
        <v>453</v>
      </c>
    </row>
    <row r="34709" spans="1:3">
      <c r="A34709" s="250">
        <v>79997</v>
      </c>
      <c r="B34709" s="74" t="s">
        <v>13743</v>
      </c>
      <c r="C34709" s="74" t="s">
        <v>453</v>
      </c>
    </row>
    <row r="34710" spans="1:3">
      <c r="A34710" s="250">
        <v>79998</v>
      </c>
      <c r="B34710" s="74" t="s">
        <v>13743</v>
      </c>
      <c r="C34710" s="74" t="s">
        <v>453</v>
      </c>
    </row>
    <row r="34711" spans="1:3">
      <c r="A34711" s="250">
        <v>79999</v>
      </c>
      <c r="B34711" s="74" t="s">
        <v>13743</v>
      </c>
      <c r="C34711" s="74" t="s">
        <v>453</v>
      </c>
    </row>
    <row r="34712" spans="1:3">
      <c r="A34712" s="250">
        <v>80001</v>
      </c>
      <c r="B34712" s="74" t="s">
        <v>16633</v>
      </c>
      <c r="C34712" s="74" t="s">
        <v>417</v>
      </c>
    </row>
    <row r="34713" spans="1:3">
      <c r="A34713" s="250">
        <v>80002</v>
      </c>
      <c r="B34713" s="74" t="s">
        <v>16633</v>
      </c>
      <c r="C34713" s="74" t="s">
        <v>417</v>
      </c>
    </row>
    <row r="34714" spans="1:3">
      <c r="A34714" s="250">
        <v>80003</v>
      </c>
      <c r="B34714" s="74" t="s">
        <v>16633</v>
      </c>
      <c r="C34714" s="74" t="s">
        <v>417</v>
      </c>
    </row>
    <row r="34715" spans="1:3">
      <c r="A34715" s="250">
        <v>80004</v>
      </c>
      <c r="B34715" s="74" t="s">
        <v>16633</v>
      </c>
      <c r="C34715" s="74" t="s">
        <v>417</v>
      </c>
    </row>
    <row r="34716" spans="1:3">
      <c r="A34716" s="250">
        <v>80005</v>
      </c>
      <c r="B34716" s="74" t="s">
        <v>16633</v>
      </c>
      <c r="C34716" s="74" t="s">
        <v>417</v>
      </c>
    </row>
    <row r="34717" spans="1:3">
      <c r="A34717" s="250">
        <v>80006</v>
      </c>
      <c r="B34717" s="74" t="s">
        <v>16633</v>
      </c>
      <c r="C34717" s="74" t="s">
        <v>417</v>
      </c>
    </row>
    <row r="34718" spans="1:3">
      <c r="A34718" s="250">
        <v>80007</v>
      </c>
      <c r="B34718" s="74" t="s">
        <v>16633</v>
      </c>
      <c r="C34718" s="74" t="s">
        <v>417</v>
      </c>
    </row>
    <row r="34719" spans="1:3">
      <c r="A34719" s="250">
        <v>80010</v>
      </c>
      <c r="B34719" s="74" t="s">
        <v>1489</v>
      </c>
      <c r="C34719" s="74" t="s">
        <v>417</v>
      </c>
    </row>
    <row r="34720" spans="1:3">
      <c r="A34720" s="250">
        <v>80011</v>
      </c>
      <c r="B34720" s="74" t="s">
        <v>1489</v>
      </c>
      <c r="C34720" s="74" t="s">
        <v>417</v>
      </c>
    </row>
    <row r="34721" spans="1:3">
      <c r="A34721" s="250">
        <v>80012</v>
      </c>
      <c r="B34721" s="74" t="s">
        <v>1489</v>
      </c>
      <c r="C34721" s="74" t="s">
        <v>417</v>
      </c>
    </row>
    <row r="34722" spans="1:3">
      <c r="A34722" s="250">
        <v>80013</v>
      </c>
      <c r="B34722" s="74" t="s">
        <v>1489</v>
      </c>
      <c r="C34722" s="74" t="s">
        <v>417</v>
      </c>
    </row>
    <row r="34723" spans="1:3">
      <c r="A34723" s="250">
        <v>80014</v>
      </c>
      <c r="B34723" s="74" t="s">
        <v>1489</v>
      </c>
      <c r="C34723" s="74" t="s">
        <v>417</v>
      </c>
    </row>
    <row r="34724" spans="1:3">
      <c r="A34724" s="250">
        <v>80015</v>
      </c>
      <c r="B34724" s="74" t="s">
        <v>1489</v>
      </c>
      <c r="C34724" s="74" t="s">
        <v>417</v>
      </c>
    </row>
    <row r="34725" spans="1:3">
      <c r="A34725" s="250">
        <v>80016</v>
      </c>
      <c r="B34725" s="74" t="s">
        <v>1489</v>
      </c>
      <c r="C34725" s="74" t="s">
        <v>417</v>
      </c>
    </row>
    <row r="34726" spans="1:3">
      <c r="A34726" s="250">
        <v>80017</v>
      </c>
      <c r="B34726" s="74" t="s">
        <v>1489</v>
      </c>
      <c r="C34726" s="74" t="s">
        <v>417</v>
      </c>
    </row>
    <row r="34727" spans="1:3">
      <c r="A34727" s="250">
        <v>80018</v>
      </c>
      <c r="B34727" s="74" t="s">
        <v>1489</v>
      </c>
      <c r="C34727" s="74" t="s">
        <v>417</v>
      </c>
    </row>
    <row r="34728" spans="1:3">
      <c r="A34728" s="250">
        <v>80019</v>
      </c>
      <c r="B34728" s="74" t="s">
        <v>1489</v>
      </c>
      <c r="C34728" s="74" t="s">
        <v>417</v>
      </c>
    </row>
    <row r="34729" spans="1:3">
      <c r="A34729" s="250">
        <v>80020</v>
      </c>
      <c r="B34729" s="74" t="s">
        <v>16634</v>
      </c>
      <c r="C34729" s="74" t="s">
        <v>417</v>
      </c>
    </row>
    <row r="34730" spans="1:3">
      <c r="A34730" s="250">
        <v>80021</v>
      </c>
      <c r="B34730" s="74" t="s">
        <v>16634</v>
      </c>
      <c r="C34730" s="74" t="s">
        <v>417</v>
      </c>
    </row>
    <row r="34731" spans="1:3">
      <c r="A34731" s="250">
        <v>80022</v>
      </c>
      <c r="B34731" s="74" t="s">
        <v>16635</v>
      </c>
      <c r="C34731" s="74" t="s">
        <v>417</v>
      </c>
    </row>
    <row r="34732" spans="1:3">
      <c r="A34732" s="250">
        <v>80023</v>
      </c>
      <c r="B34732" s="74" t="s">
        <v>16634</v>
      </c>
      <c r="C34732" s="74" t="s">
        <v>417</v>
      </c>
    </row>
    <row r="34733" spans="1:3">
      <c r="A34733" s="250">
        <v>80024</v>
      </c>
      <c r="B34733" s="74" t="s">
        <v>10598</v>
      </c>
      <c r="C34733" s="74" t="s">
        <v>417</v>
      </c>
    </row>
    <row r="34734" spans="1:3">
      <c r="A34734" s="250">
        <v>80025</v>
      </c>
      <c r="B34734" s="74" t="s">
        <v>16636</v>
      </c>
      <c r="C34734" s="74" t="s">
        <v>417</v>
      </c>
    </row>
    <row r="34735" spans="1:3">
      <c r="A34735" s="250">
        <v>80026</v>
      </c>
      <c r="B34735" s="74" t="s">
        <v>2315</v>
      </c>
      <c r="C34735" s="74" t="s">
        <v>417</v>
      </c>
    </row>
    <row r="34736" spans="1:3">
      <c r="A34736" s="250">
        <v>80027</v>
      </c>
      <c r="B34736" s="74" t="s">
        <v>7943</v>
      </c>
      <c r="C34736" s="74" t="s">
        <v>417</v>
      </c>
    </row>
    <row r="34737" spans="1:3">
      <c r="A34737" s="250">
        <v>80028</v>
      </c>
      <c r="B34737" s="74" t="s">
        <v>7943</v>
      </c>
      <c r="C34737" s="74" t="s">
        <v>417</v>
      </c>
    </row>
    <row r="34738" spans="1:3">
      <c r="A34738" s="250">
        <v>80030</v>
      </c>
      <c r="B34738" s="74" t="s">
        <v>708</v>
      </c>
      <c r="C34738" s="74" t="s">
        <v>417</v>
      </c>
    </row>
    <row r="34739" spans="1:3">
      <c r="A34739" s="250">
        <v>80031</v>
      </c>
      <c r="B34739" s="74" t="s">
        <v>708</v>
      </c>
      <c r="C34739" s="74" t="s">
        <v>417</v>
      </c>
    </row>
    <row r="34740" spans="1:3">
      <c r="A34740" s="250">
        <v>80033</v>
      </c>
      <c r="B34740" s="74" t="s">
        <v>16637</v>
      </c>
      <c r="C34740" s="74" t="s">
        <v>417</v>
      </c>
    </row>
    <row r="34741" spans="1:3">
      <c r="A34741" s="250">
        <v>80034</v>
      </c>
      <c r="B34741" s="74" t="s">
        <v>16637</v>
      </c>
      <c r="C34741" s="74" t="s">
        <v>417</v>
      </c>
    </row>
    <row r="34742" spans="1:3">
      <c r="A34742" s="250">
        <v>80035</v>
      </c>
      <c r="B34742" s="74" t="s">
        <v>708</v>
      </c>
      <c r="C34742" s="74" t="s">
        <v>417</v>
      </c>
    </row>
    <row r="34743" spans="1:3">
      <c r="A34743" s="250">
        <v>80036</v>
      </c>
      <c r="B34743" s="74" t="s">
        <v>708</v>
      </c>
      <c r="C34743" s="74" t="s">
        <v>417</v>
      </c>
    </row>
    <row r="34744" spans="1:3">
      <c r="A34744" s="250">
        <v>80037</v>
      </c>
      <c r="B34744" s="74" t="s">
        <v>16635</v>
      </c>
      <c r="C34744" s="74" t="s">
        <v>417</v>
      </c>
    </row>
    <row r="34745" spans="1:3">
      <c r="A34745" s="250">
        <v>80038</v>
      </c>
      <c r="B34745" s="74" t="s">
        <v>16634</v>
      </c>
      <c r="C34745" s="74" t="s">
        <v>417</v>
      </c>
    </row>
    <row r="34746" spans="1:3">
      <c r="A34746" s="250">
        <v>80040</v>
      </c>
      <c r="B34746" s="74" t="s">
        <v>1489</v>
      </c>
      <c r="C34746" s="74" t="s">
        <v>417</v>
      </c>
    </row>
    <row r="34747" spans="1:3">
      <c r="A34747" s="250">
        <v>80041</v>
      </c>
      <c r="B34747" s="74" t="s">
        <v>1489</v>
      </c>
      <c r="C34747" s="74" t="s">
        <v>417</v>
      </c>
    </row>
    <row r="34748" spans="1:3">
      <c r="A34748" s="250">
        <v>80042</v>
      </c>
      <c r="B34748" s="74" t="s">
        <v>1489</v>
      </c>
      <c r="C34748" s="74" t="s">
        <v>417</v>
      </c>
    </row>
    <row r="34749" spans="1:3">
      <c r="A34749" s="250">
        <v>80044</v>
      </c>
      <c r="B34749" s="74" t="s">
        <v>1489</v>
      </c>
      <c r="C34749" s="74" t="s">
        <v>417</v>
      </c>
    </row>
    <row r="34750" spans="1:3">
      <c r="A34750" s="250">
        <v>80045</v>
      </c>
      <c r="B34750" s="74" t="s">
        <v>1489</v>
      </c>
      <c r="C34750" s="74" t="s">
        <v>417</v>
      </c>
    </row>
    <row r="34751" spans="1:3">
      <c r="A34751" s="250">
        <v>80046</v>
      </c>
      <c r="B34751" s="74" t="s">
        <v>1489</v>
      </c>
      <c r="C34751" s="74" t="s">
        <v>417</v>
      </c>
    </row>
    <row r="34752" spans="1:3">
      <c r="A34752" s="250">
        <v>80047</v>
      </c>
      <c r="B34752" s="74" t="s">
        <v>1489</v>
      </c>
      <c r="C34752" s="74" t="s">
        <v>417</v>
      </c>
    </row>
    <row r="34753" spans="1:3">
      <c r="A34753" s="250">
        <v>80101</v>
      </c>
      <c r="B34753" s="74" t="s">
        <v>13060</v>
      </c>
      <c r="C34753" s="74" t="s">
        <v>417</v>
      </c>
    </row>
    <row r="34754" spans="1:3">
      <c r="A34754" s="250">
        <v>80102</v>
      </c>
      <c r="B34754" s="74" t="s">
        <v>7084</v>
      </c>
      <c r="C34754" s="74" t="s">
        <v>417</v>
      </c>
    </row>
    <row r="34755" spans="1:3">
      <c r="A34755" s="250">
        <v>80103</v>
      </c>
      <c r="B34755" s="74" t="s">
        <v>14592</v>
      </c>
      <c r="C34755" s="74" t="s">
        <v>417</v>
      </c>
    </row>
    <row r="34756" spans="1:3">
      <c r="A34756" s="250">
        <v>80104</v>
      </c>
      <c r="B34756" s="74" t="s">
        <v>12360</v>
      </c>
      <c r="C34756" s="74" t="s">
        <v>417</v>
      </c>
    </row>
    <row r="34757" spans="1:3">
      <c r="A34757" s="250">
        <v>80105</v>
      </c>
      <c r="B34757" s="74" t="s">
        <v>16638</v>
      </c>
      <c r="C34757" s="74" t="s">
        <v>417</v>
      </c>
    </row>
    <row r="34758" spans="1:3">
      <c r="A34758" s="250">
        <v>80106</v>
      </c>
      <c r="B34758" s="74" t="s">
        <v>6504</v>
      </c>
      <c r="C34758" s="74" t="s">
        <v>417</v>
      </c>
    </row>
    <row r="34759" spans="1:3">
      <c r="A34759" s="250">
        <v>80107</v>
      </c>
      <c r="B34759" s="74" t="s">
        <v>2176</v>
      </c>
      <c r="C34759" s="74" t="s">
        <v>417</v>
      </c>
    </row>
    <row r="34760" spans="1:3">
      <c r="A34760" s="250">
        <v>80108</v>
      </c>
      <c r="B34760" s="74" t="s">
        <v>12360</v>
      </c>
      <c r="C34760" s="74" t="s">
        <v>417</v>
      </c>
    </row>
    <row r="34761" spans="1:3">
      <c r="A34761" s="250">
        <v>80109</v>
      </c>
      <c r="B34761" s="74" t="s">
        <v>12360</v>
      </c>
      <c r="C34761" s="74" t="s">
        <v>417</v>
      </c>
    </row>
    <row r="34762" spans="1:3">
      <c r="A34762" s="250">
        <v>80110</v>
      </c>
      <c r="B34762" s="74" t="s">
        <v>2232</v>
      </c>
      <c r="C34762" s="74" t="s">
        <v>417</v>
      </c>
    </row>
    <row r="34763" spans="1:3">
      <c r="A34763" s="250">
        <v>80111</v>
      </c>
      <c r="B34763" s="74" t="s">
        <v>2232</v>
      </c>
      <c r="C34763" s="74" t="s">
        <v>417</v>
      </c>
    </row>
    <row r="34764" spans="1:3">
      <c r="A34764" s="250">
        <v>80112</v>
      </c>
      <c r="B34764" s="74" t="s">
        <v>2232</v>
      </c>
      <c r="C34764" s="74" t="s">
        <v>417</v>
      </c>
    </row>
    <row r="34765" spans="1:3">
      <c r="A34765" s="250">
        <v>80113</v>
      </c>
      <c r="B34765" s="74" t="s">
        <v>2232</v>
      </c>
      <c r="C34765" s="74" t="s">
        <v>417</v>
      </c>
    </row>
    <row r="34766" spans="1:3">
      <c r="A34766" s="250">
        <v>80116</v>
      </c>
      <c r="B34766" s="74" t="s">
        <v>6139</v>
      </c>
      <c r="C34766" s="74" t="s">
        <v>417</v>
      </c>
    </row>
    <row r="34767" spans="1:3">
      <c r="A34767" s="250">
        <v>80117</v>
      </c>
      <c r="B34767" s="74" t="s">
        <v>14608</v>
      </c>
      <c r="C34767" s="74" t="s">
        <v>417</v>
      </c>
    </row>
    <row r="34768" spans="1:3">
      <c r="A34768" s="250">
        <v>80118</v>
      </c>
      <c r="B34768" s="74" t="s">
        <v>16639</v>
      </c>
      <c r="C34768" s="74" t="s">
        <v>417</v>
      </c>
    </row>
    <row r="34769" spans="1:3">
      <c r="A34769" s="250">
        <v>80120</v>
      </c>
      <c r="B34769" s="74" t="s">
        <v>713</v>
      </c>
      <c r="C34769" s="74" t="s">
        <v>417</v>
      </c>
    </row>
    <row r="34770" spans="1:3">
      <c r="A34770" s="250">
        <v>80121</v>
      </c>
      <c r="B34770" s="74" t="s">
        <v>713</v>
      </c>
      <c r="C34770" s="74" t="s">
        <v>417</v>
      </c>
    </row>
    <row r="34771" spans="1:3">
      <c r="A34771" s="250">
        <v>80122</v>
      </c>
      <c r="B34771" s="74" t="s">
        <v>713</v>
      </c>
      <c r="C34771" s="74" t="s">
        <v>417</v>
      </c>
    </row>
    <row r="34772" spans="1:3">
      <c r="A34772" s="250">
        <v>80123</v>
      </c>
      <c r="B34772" s="74" t="s">
        <v>713</v>
      </c>
      <c r="C34772" s="74" t="s">
        <v>417</v>
      </c>
    </row>
    <row r="34773" spans="1:3">
      <c r="A34773" s="250">
        <v>80124</v>
      </c>
      <c r="B34773" s="74" t="s">
        <v>11924</v>
      </c>
      <c r="C34773" s="74" t="s">
        <v>417</v>
      </c>
    </row>
    <row r="34774" spans="1:3">
      <c r="A34774" s="250">
        <v>80125</v>
      </c>
      <c r="B34774" s="74" t="s">
        <v>713</v>
      </c>
      <c r="C34774" s="74" t="s">
        <v>417</v>
      </c>
    </row>
    <row r="34775" spans="1:3">
      <c r="A34775" s="250">
        <v>80126</v>
      </c>
      <c r="B34775" s="74" t="s">
        <v>713</v>
      </c>
      <c r="C34775" s="74" t="s">
        <v>417</v>
      </c>
    </row>
    <row r="34776" spans="1:3">
      <c r="A34776" s="250">
        <v>80127</v>
      </c>
      <c r="B34776" s="74" t="s">
        <v>713</v>
      </c>
      <c r="C34776" s="74" t="s">
        <v>417</v>
      </c>
    </row>
    <row r="34777" spans="1:3">
      <c r="A34777" s="250">
        <v>80128</v>
      </c>
      <c r="B34777" s="74" t="s">
        <v>713</v>
      </c>
      <c r="C34777" s="74" t="s">
        <v>417</v>
      </c>
    </row>
    <row r="34778" spans="1:3">
      <c r="A34778" s="250">
        <v>80129</v>
      </c>
      <c r="B34778" s="74" t="s">
        <v>713</v>
      </c>
      <c r="C34778" s="74" t="s">
        <v>417</v>
      </c>
    </row>
    <row r="34779" spans="1:3">
      <c r="A34779" s="250">
        <v>80130</v>
      </c>
      <c r="B34779" s="74" t="s">
        <v>713</v>
      </c>
      <c r="C34779" s="74" t="s">
        <v>417</v>
      </c>
    </row>
    <row r="34780" spans="1:3">
      <c r="A34780" s="250">
        <v>80131</v>
      </c>
      <c r="B34780" s="74" t="s">
        <v>16640</v>
      </c>
      <c r="C34780" s="74" t="s">
        <v>417</v>
      </c>
    </row>
    <row r="34781" spans="1:3">
      <c r="A34781" s="250">
        <v>80132</v>
      </c>
      <c r="B34781" s="74" t="s">
        <v>14708</v>
      </c>
      <c r="C34781" s="74" t="s">
        <v>417</v>
      </c>
    </row>
    <row r="34782" spans="1:3">
      <c r="A34782" s="250">
        <v>80133</v>
      </c>
      <c r="B34782" s="74" t="s">
        <v>16641</v>
      </c>
      <c r="C34782" s="74" t="s">
        <v>417</v>
      </c>
    </row>
    <row r="34783" spans="1:3">
      <c r="A34783" s="250">
        <v>80134</v>
      </c>
      <c r="B34783" s="74" t="s">
        <v>4396</v>
      </c>
      <c r="C34783" s="74" t="s">
        <v>417</v>
      </c>
    </row>
    <row r="34784" spans="1:3">
      <c r="A34784" s="250">
        <v>80135</v>
      </c>
      <c r="B34784" s="74" t="s">
        <v>7119</v>
      </c>
      <c r="C34784" s="74" t="s">
        <v>417</v>
      </c>
    </row>
    <row r="34785" spans="1:3">
      <c r="A34785" s="250">
        <v>80136</v>
      </c>
      <c r="B34785" s="74" t="s">
        <v>4890</v>
      </c>
      <c r="C34785" s="74" t="s">
        <v>417</v>
      </c>
    </row>
    <row r="34786" spans="1:3">
      <c r="A34786" s="250">
        <v>80137</v>
      </c>
      <c r="B34786" s="74" t="s">
        <v>11876</v>
      </c>
      <c r="C34786" s="74" t="s">
        <v>417</v>
      </c>
    </row>
    <row r="34787" spans="1:3">
      <c r="A34787" s="250">
        <v>80138</v>
      </c>
      <c r="B34787" s="74" t="s">
        <v>4396</v>
      </c>
      <c r="C34787" s="74" t="s">
        <v>417</v>
      </c>
    </row>
    <row r="34788" spans="1:3">
      <c r="A34788" s="250">
        <v>80150</v>
      </c>
      <c r="B34788" s="74" t="s">
        <v>2232</v>
      </c>
      <c r="C34788" s="74" t="s">
        <v>417</v>
      </c>
    </row>
    <row r="34789" spans="1:3">
      <c r="A34789" s="250">
        <v>80151</v>
      </c>
      <c r="B34789" s="74" t="s">
        <v>2232</v>
      </c>
      <c r="C34789" s="74" t="s">
        <v>417</v>
      </c>
    </row>
    <row r="34790" spans="1:3">
      <c r="A34790" s="250">
        <v>80155</v>
      </c>
      <c r="B34790" s="74" t="s">
        <v>2232</v>
      </c>
      <c r="C34790" s="74" t="s">
        <v>417</v>
      </c>
    </row>
    <row r="34791" spans="1:3">
      <c r="A34791" s="250">
        <v>80160</v>
      </c>
      <c r="B34791" s="74" t="s">
        <v>713</v>
      </c>
      <c r="C34791" s="74" t="s">
        <v>417</v>
      </c>
    </row>
    <row r="34792" spans="1:3">
      <c r="A34792" s="250">
        <v>80161</v>
      </c>
      <c r="B34792" s="74" t="s">
        <v>713</v>
      </c>
      <c r="C34792" s="74" t="s">
        <v>417</v>
      </c>
    </row>
    <row r="34793" spans="1:3">
      <c r="A34793" s="250">
        <v>80162</v>
      </c>
      <c r="B34793" s="74" t="s">
        <v>713</v>
      </c>
      <c r="C34793" s="74" t="s">
        <v>417</v>
      </c>
    </row>
    <row r="34794" spans="1:3">
      <c r="A34794" s="250">
        <v>80163</v>
      </c>
      <c r="B34794" s="74" t="s">
        <v>713</v>
      </c>
      <c r="C34794" s="74" t="s">
        <v>417</v>
      </c>
    </row>
    <row r="34795" spans="1:3">
      <c r="A34795" s="250">
        <v>80165</v>
      </c>
      <c r="B34795" s="74" t="s">
        <v>713</v>
      </c>
      <c r="C34795" s="74" t="s">
        <v>417</v>
      </c>
    </row>
    <row r="34796" spans="1:3">
      <c r="A34796" s="250">
        <v>80166</v>
      </c>
      <c r="B34796" s="74" t="s">
        <v>713</v>
      </c>
      <c r="C34796" s="74" t="s">
        <v>417</v>
      </c>
    </row>
    <row r="34797" spans="1:3">
      <c r="A34797" s="250">
        <v>80201</v>
      </c>
      <c r="B34797" s="74" t="s">
        <v>3040</v>
      </c>
      <c r="C34797" s="74" t="s">
        <v>417</v>
      </c>
    </row>
    <row r="34798" spans="1:3">
      <c r="A34798" s="250">
        <v>80202</v>
      </c>
      <c r="B34798" s="74" t="s">
        <v>3040</v>
      </c>
      <c r="C34798" s="74" t="s">
        <v>417</v>
      </c>
    </row>
    <row r="34799" spans="1:3">
      <c r="A34799" s="250">
        <v>80203</v>
      </c>
      <c r="B34799" s="74" t="s">
        <v>3040</v>
      </c>
      <c r="C34799" s="74" t="s">
        <v>417</v>
      </c>
    </row>
    <row r="34800" spans="1:3">
      <c r="A34800" s="250">
        <v>80204</v>
      </c>
      <c r="B34800" s="74" t="s">
        <v>3040</v>
      </c>
      <c r="C34800" s="74" t="s">
        <v>417</v>
      </c>
    </row>
    <row r="34801" spans="1:3">
      <c r="A34801" s="250">
        <v>80205</v>
      </c>
      <c r="B34801" s="74" t="s">
        <v>3040</v>
      </c>
      <c r="C34801" s="74" t="s">
        <v>417</v>
      </c>
    </row>
    <row r="34802" spans="1:3">
      <c r="A34802" s="250">
        <v>80206</v>
      </c>
      <c r="B34802" s="74" t="s">
        <v>3040</v>
      </c>
      <c r="C34802" s="74" t="s">
        <v>417</v>
      </c>
    </row>
    <row r="34803" spans="1:3">
      <c r="A34803" s="250">
        <v>80207</v>
      </c>
      <c r="B34803" s="74" t="s">
        <v>3040</v>
      </c>
      <c r="C34803" s="74" t="s">
        <v>417</v>
      </c>
    </row>
    <row r="34804" spans="1:3">
      <c r="A34804" s="250">
        <v>80208</v>
      </c>
      <c r="B34804" s="74" t="s">
        <v>3040</v>
      </c>
      <c r="C34804" s="74" t="s">
        <v>417</v>
      </c>
    </row>
    <row r="34805" spans="1:3">
      <c r="A34805" s="250">
        <v>80209</v>
      </c>
      <c r="B34805" s="74" t="s">
        <v>3040</v>
      </c>
      <c r="C34805" s="74" t="s">
        <v>417</v>
      </c>
    </row>
    <row r="34806" spans="1:3">
      <c r="A34806" s="250">
        <v>80210</v>
      </c>
      <c r="B34806" s="74" t="s">
        <v>3040</v>
      </c>
      <c r="C34806" s="74" t="s">
        <v>417</v>
      </c>
    </row>
    <row r="34807" spans="1:3">
      <c r="A34807" s="250">
        <v>80211</v>
      </c>
      <c r="B34807" s="74" t="s">
        <v>3040</v>
      </c>
      <c r="C34807" s="74" t="s">
        <v>417</v>
      </c>
    </row>
    <row r="34808" spans="1:3">
      <c r="A34808" s="250">
        <v>80212</v>
      </c>
      <c r="B34808" s="74" t="s">
        <v>3040</v>
      </c>
      <c r="C34808" s="74" t="s">
        <v>417</v>
      </c>
    </row>
    <row r="34809" spans="1:3">
      <c r="A34809" s="250">
        <v>80214</v>
      </c>
      <c r="B34809" s="74" t="s">
        <v>3040</v>
      </c>
      <c r="C34809" s="74" t="s">
        <v>417</v>
      </c>
    </row>
    <row r="34810" spans="1:3">
      <c r="A34810" s="250">
        <v>80215</v>
      </c>
      <c r="B34810" s="74" t="s">
        <v>3040</v>
      </c>
      <c r="C34810" s="74" t="s">
        <v>417</v>
      </c>
    </row>
    <row r="34811" spans="1:3">
      <c r="A34811" s="250">
        <v>80216</v>
      </c>
      <c r="B34811" s="74" t="s">
        <v>3040</v>
      </c>
      <c r="C34811" s="74" t="s">
        <v>417</v>
      </c>
    </row>
    <row r="34812" spans="1:3">
      <c r="A34812" s="250">
        <v>80217</v>
      </c>
      <c r="B34812" s="74" t="s">
        <v>3040</v>
      </c>
      <c r="C34812" s="74" t="s">
        <v>417</v>
      </c>
    </row>
    <row r="34813" spans="1:3">
      <c r="A34813" s="250">
        <v>80218</v>
      </c>
      <c r="B34813" s="74" t="s">
        <v>3040</v>
      </c>
      <c r="C34813" s="74" t="s">
        <v>417</v>
      </c>
    </row>
    <row r="34814" spans="1:3">
      <c r="A34814" s="250">
        <v>80219</v>
      </c>
      <c r="B34814" s="74" t="s">
        <v>3040</v>
      </c>
      <c r="C34814" s="74" t="s">
        <v>417</v>
      </c>
    </row>
    <row r="34815" spans="1:3">
      <c r="A34815" s="250">
        <v>80220</v>
      </c>
      <c r="B34815" s="74" t="s">
        <v>3040</v>
      </c>
      <c r="C34815" s="74" t="s">
        <v>417</v>
      </c>
    </row>
    <row r="34816" spans="1:3">
      <c r="A34816" s="250">
        <v>80221</v>
      </c>
      <c r="B34816" s="74" t="s">
        <v>3040</v>
      </c>
      <c r="C34816" s="74" t="s">
        <v>417</v>
      </c>
    </row>
    <row r="34817" spans="1:3">
      <c r="A34817" s="250">
        <v>80222</v>
      </c>
      <c r="B34817" s="74" t="s">
        <v>3040</v>
      </c>
      <c r="C34817" s="74" t="s">
        <v>417</v>
      </c>
    </row>
    <row r="34818" spans="1:3">
      <c r="A34818" s="250">
        <v>80223</v>
      </c>
      <c r="B34818" s="74" t="s">
        <v>3040</v>
      </c>
      <c r="C34818" s="74" t="s">
        <v>417</v>
      </c>
    </row>
    <row r="34819" spans="1:3">
      <c r="A34819" s="250">
        <v>80224</v>
      </c>
      <c r="B34819" s="74" t="s">
        <v>3040</v>
      </c>
      <c r="C34819" s="74" t="s">
        <v>417</v>
      </c>
    </row>
    <row r="34820" spans="1:3">
      <c r="A34820" s="250">
        <v>80225</v>
      </c>
      <c r="B34820" s="74" t="s">
        <v>3040</v>
      </c>
      <c r="C34820" s="74" t="s">
        <v>417</v>
      </c>
    </row>
    <row r="34821" spans="1:3">
      <c r="A34821" s="250">
        <v>80226</v>
      </c>
      <c r="B34821" s="74" t="s">
        <v>3040</v>
      </c>
      <c r="C34821" s="74" t="s">
        <v>417</v>
      </c>
    </row>
    <row r="34822" spans="1:3">
      <c r="A34822" s="250">
        <v>80227</v>
      </c>
      <c r="B34822" s="74" t="s">
        <v>3040</v>
      </c>
      <c r="C34822" s="74" t="s">
        <v>417</v>
      </c>
    </row>
    <row r="34823" spans="1:3">
      <c r="A34823" s="250">
        <v>80228</v>
      </c>
      <c r="B34823" s="74" t="s">
        <v>3040</v>
      </c>
      <c r="C34823" s="74" t="s">
        <v>417</v>
      </c>
    </row>
    <row r="34824" spans="1:3">
      <c r="A34824" s="250">
        <v>80229</v>
      </c>
      <c r="B34824" s="74" t="s">
        <v>3040</v>
      </c>
      <c r="C34824" s="74" t="s">
        <v>417</v>
      </c>
    </row>
    <row r="34825" spans="1:3">
      <c r="A34825" s="250">
        <v>80230</v>
      </c>
      <c r="B34825" s="74" t="s">
        <v>3040</v>
      </c>
      <c r="C34825" s="74" t="s">
        <v>417</v>
      </c>
    </row>
    <row r="34826" spans="1:3">
      <c r="A34826" s="250">
        <v>80231</v>
      </c>
      <c r="B34826" s="74" t="s">
        <v>3040</v>
      </c>
      <c r="C34826" s="74" t="s">
        <v>417</v>
      </c>
    </row>
    <row r="34827" spans="1:3">
      <c r="A34827" s="250">
        <v>80232</v>
      </c>
      <c r="B34827" s="74" t="s">
        <v>3040</v>
      </c>
      <c r="C34827" s="74" t="s">
        <v>417</v>
      </c>
    </row>
    <row r="34828" spans="1:3">
      <c r="A34828" s="250">
        <v>80233</v>
      </c>
      <c r="B34828" s="74" t="s">
        <v>3040</v>
      </c>
      <c r="C34828" s="74" t="s">
        <v>417</v>
      </c>
    </row>
    <row r="34829" spans="1:3">
      <c r="A34829" s="250">
        <v>80234</v>
      </c>
      <c r="B34829" s="74" t="s">
        <v>3040</v>
      </c>
      <c r="C34829" s="74" t="s">
        <v>417</v>
      </c>
    </row>
    <row r="34830" spans="1:3">
      <c r="A34830" s="250">
        <v>80235</v>
      </c>
      <c r="B34830" s="74" t="s">
        <v>3040</v>
      </c>
      <c r="C34830" s="74" t="s">
        <v>417</v>
      </c>
    </row>
    <row r="34831" spans="1:3">
      <c r="A34831" s="250">
        <v>80236</v>
      </c>
      <c r="B34831" s="74" t="s">
        <v>3040</v>
      </c>
      <c r="C34831" s="74" t="s">
        <v>417</v>
      </c>
    </row>
    <row r="34832" spans="1:3">
      <c r="A34832" s="250">
        <v>80237</v>
      </c>
      <c r="B34832" s="74" t="s">
        <v>3040</v>
      </c>
      <c r="C34832" s="74" t="s">
        <v>417</v>
      </c>
    </row>
    <row r="34833" spans="1:3">
      <c r="A34833" s="250">
        <v>80238</v>
      </c>
      <c r="B34833" s="74" t="s">
        <v>3040</v>
      </c>
      <c r="C34833" s="74" t="s">
        <v>417</v>
      </c>
    </row>
    <row r="34834" spans="1:3">
      <c r="A34834" s="250">
        <v>80239</v>
      </c>
      <c r="B34834" s="74" t="s">
        <v>3040</v>
      </c>
      <c r="C34834" s="74" t="s">
        <v>417</v>
      </c>
    </row>
    <row r="34835" spans="1:3">
      <c r="A34835" s="250">
        <v>80241</v>
      </c>
      <c r="B34835" s="74" t="s">
        <v>1218</v>
      </c>
      <c r="C34835" s="74" t="s">
        <v>417</v>
      </c>
    </row>
    <row r="34836" spans="1:3">
      <c r="A34836" s="250">
        <v>80243</v>
      </c>
      <c r="B34836" s="74" t="s">
        <v>3040</v>
      </c>
      <c r="C34836" s="74" t="s">
        <v>417</v>
      </c>
    </row>
    <row r="34837" spans="1:3">
      <c r="A34837" s="250">
        <v>80244</v>
      </c>
      <c r="B34837" s="74" t="s">
        <v>3040</v>
      </c>
      <c r="C34837" s="74" t="s">
        <v>417</v>
      </c>
    </row>
    <row r="34838" spans="1:3">
      <c r="A34838" s="250">
        <v>80246</v>
      </c>
      <c r="B34838" s="74" t="s">
        <v>3040</v>
      </c>
      <c r="C34838" s="74" t="s">
        <v>417</v>
      </c>
    </row>
    <row r="34839" spans="1:3">
      <c r="A34839" s="250">
        <v>80247</v>
      </c>
      <c r="B34839" s="74" t="s">
        <v>3040</v>
      </c>
      <c r="C34839" s="74" t="s">
        <v>417</v>
      </c>
    </row>
    <row r="34840" spans="1:3">
      <c r="A34840" s="250">
        <v>80248</v>
      </c>
      <c r="B34840" s="74" t="s">
        <v>3040</v>
      </c>
      <c r="C34840" s="74" t="s">
        <v>417</v>
      </c>
    </row>
    <row r="34841" spans="1:3">
      <c r="A34841" s="250">
        <v>80249</v>
      </c>
      <c r="B34841" s="74" t="s">
        <v>3040</v>
      </c>
      <c r="C34841" s="74" t="s">
        <v>417</v>
      </c>
    </row>
    <row r="34842" spans="1:3">
      <c r="A34842" s="250">
        <v>80250</v>
      </c>
      <c r="B34842" s="74" t="s">
        <v>3040</v>
      </c>
      <c r="C34842" s="74" t="s">
        <v>417</v>
      </c>
    </row>
    <row r="34843" spans="1:3">
      <c r="A34843" s="250">
        <v>80251</v>
      </c>
      <c r="B34843" s="74" t="s">
        <v>3040</v>
      </c>
      <c r="C34843" s="74" t="s">
        <v>417</v>
      </c>
    </row>
    <row r="34844" spans="1:3">
      <c r="A34844" s="250">
        <v>80252</v>
      </c>
      <c r="B34844" s="74" t="s">
        <v>3040</v>
      </c>
      <c r="C34844" s="74" t="s">
        <v>417</v>
      </c>
    </row>
    <row r="34845" spans="1:3">
      <c r="A34845" s="250">
        <v>80256</v>
      </c>
      <c r="B34845" s="74" t="s">
        <v>3040</v>
      </c>
      <c r="C34845" s="74" t="s">
        <v>417</v>
      </c>
    </row>
    <row r="34846" spans="1:3">
      <c r="A34846" s="250">
        <v>80257</v>
      </c>
      <c r="B34846" s="74" t="s">
        <v>3040</v>
      </c>
      <c r="C34846" s="74" t="s">
        <v>417</v>
      </c>
    </row>
    <row r="34847" spans="1:3">
      <c r="A34847" s="250">
        <v>80259</v>
      </c>
      <c r="B34847" s="74" t="s">
        <v>3040</v>
      </c>
      <c r="C34847" s="74" t="s">
        <v>417</v>
      </c>
    </row>
    <row r="34848" spans="1:3">
      <c r="A34848" s="250">
        <v>80260</v>
      </c>
      <c r="B34848" s="74" t="s">
        <v>3040</v>
      </c>
      <c r="C34848" s="74" t="s">
        <v>417</v>
      </c>
    </row>
    <row r="34849" spans="1:3">
      <c r="A34849" s="250">
        <v>80261</v>
      </c>
      <c r="B34849" s="74" t="s">
        <v>3040</v>
      </c>
      <c r="C34849" s="74" t="s">
        <v>417</v>
      </c>
    </row>
    <row r="34850" spans="1:3">
      <c r="A34850" s="250">
        <v>80262</v>
      </c>
      <c r="B34850" s="74" t="s">
        <v>3040</v>
      </c>
      <c r="C34850" s="74" t="s">
        <v>417</v>
      </c>
    </row>
    <row r="34851" spans="1:3">
      <c r="A34851" s="250">
        <v>80263</v>
      </c>
      <c r="B34851" s="74" t="s">
        <v>3040</v>
      </c>
      <c r="C34851" s="74" t="s">
        <v>417</v>
      </c>
    </row>
    <row r="34852" spans="1:3">
      <c r="A34852" s="250">
        <v>80264</v>
      </c>
      <c r="B34852" s="74" t="s">
        <v>3040</v>
      </c>
      <c r="C34852" s="74" t="s">
        <v>417</v>
      </c>
    </row>
    <row r="34853" spans="1:3">
      <c r="A34853" s="250">
        <v>80265</v>
      </c>
      <c r="B34853" s="74" t="s">
        <v>3040</v>
      </c>
      <c r="C34853" s="74" t="s">
        <v>417</v>
      </c>
    </row>
    <row r="34854" spans="1:3">
      <c r="A34854" s="250">
        <v>80266</v>
      </c>
      <c r="B34854" s="74" t="s">
        <v>3040</v>
      </c>
      <c r="C34854" s="74" t="s">
        <v>417</v>
      </c>
    </row>
    <row r="34855" spans="1:3">
      <c r="A34855" s="250">
        <v>80271</v>
      </c>
      <c r="B34855" s="74" t="s">
        <v>3040</v>
      </c>
      <c r="C34855" s="74" t="s">
        <v>417</v>
      </c>
    </row>
    <row r="34856" spans="1:3">
      <c r="A34856" s="250">
        <v>80273</v>
      </c>
      <c r="B34856" s="74" t="s">
        <v>3040</v>
      </c>
      <c r="C34856" s="74" t="s">
        <v>417</v>
      </c>
    </row>
    <row r="34857" spans="1:3">
      <c r="A34857" s="250">
        <v>80274</v>
      </c>
      <c r="B34857" s="74" t="s">
        <v>3040</v>
      </c>
      <c r="C34857" s="74" t="s">
        <v>417</v>
      </c>
    </row>
    <row r="34858" spans="1:3">
      <c r="A34858" s="250">
        <v>80279</v>
      </c>
      <c r="B34858" s="74" t="s">
        <v>3040</v>
      </c>
      <c r="C34858" s="74" t="s">
        <v>417</v>
      </c>
    </row>
    <row r="34859" spans="1:3">
      <c r="A34859" s="250">
        <v>80280</v>
      </c>
      <c r="B34859" s="74" t="s">
        <v>3040</v>
      </c>
      <c r="C34859" s="74" t="s">
        <v>417</v>
      </c>
    </row>
    <row r="34860" spans="1:3">
      <c r="A34860" s="250">
        <v>80281</v>
      </c>
      <c r="B34860" s="74" t="s">
        <v>3040</v>
      </c>
      <c r="C34860" s="74" t="s">
        <v>417</v>
      </c>
    </row>
    <row r="34861" spans="1:3">
      <c r="A34861" s="250">
        <v>80290</v>
      </c>
      <c r="B34861" s="74" t="s">
        <v>3040</v>
      </c>
      <c r="C34861" s="74" t="s">
        <v>417</v>
      </c>
    </row>
    <row r="34862" spans="1:3">
      <c r="A34862" s="250">
        <v>80291</v>
      </c>
      <c r="B34862" s="74" t="s">
        <v>3040</v>
      </c>
      <c r="C34862" s="74" t="s">
        <v>417</v>
      </c>
    </row>
    <row r="34863" spans="1:3">
      <c r="A34863" s="250">
        <v>80293</v>
      </c>
      <c r="B34863" s="74" t="s">
        <v>3040</v>
      </c>
      <c r="C34863" s="74" t="s">
        <v>417</v>
      </c>
    </row>
    <row r="34864" spans="1:3">
      <c r="A34864" s="250">
        <v>80294</v>
      </c>
      <c r="B34864" s="74" t="s">
        <v>3040</v>
      </c>
      <c r="C34864" s="74" t="s">
        <v>417</v>
      </c>
    </row>
    <row r="34865" spans="1:3">
      <c r="A34865" s="250">
        <v>80295</v>
      </c>
      <c r="B34865" s="74" t="s">
        <v>3040</v>
      </c>
      <c r="C34865" s="74" t="s">
        <v>417</v>
      </c>
    </row>
    <row r="34866" spans="1:3">
      <c r="A34866" s="250">
        <v>80299</v>
      </c>
      <c r="B34866" s="74" t="s">
        <v>3040</v>
      </c>
      <c r="C34866" s="74" t="s">
        <v>417</v>
      </c>
    </row>
    <row r="34867" spans="1:3">
      <c r="A34867" s="250">
        <v>80301</v>
      </c>
      <c r="B34867" s="74" t="s">
        <v>13357</v>
      </c>
      <c r="C34867" s="74" t="s">
        <v>417</v>
      </c>
    </row>
    <row r="34868" spans="1:3">
      <c r="A34868" s="250">
        <v>80302</v>
      </c>
      <c r="B34868" s="74" t="s">
        <v>13357</v>
      </c>
      <c r="C34868" s="74" t="s">
        <v>417</v>
      </c>
    </row>
    <row r="34869" spans="1:3">
      <c r="A34869" s="250">
        <v>80303</v>
      </c>
      <c r="B34869" s="74" t="s">
        <v>13357</v>
      </c>
      <c r="C34869" s="74" t="s">
        <v>417</v>
      </c>
    </row>
    <row r="34870" spans="1:3">
      <c r="A34870" s="250">
        <v>80304</v>
      </c>
      <c r="B34870" s="74" t="s">
        <v>13357</v>
      </c>
      <c r="C34870" s="74" t="s">
        <v>417</v>
      </c>
    </row>
    <row r="34871" spans="1:3">
      <c r="A34871" s="250">
        <v>80305</v>
      </c>
      <c r="B34871" s="74" t="s">
        <v>13357</v>
      </c>
      <c r="C34871" s="74" t="s">
        <v>417</v>
      </c>
    </row>
    <row r="34872" spans="1:3">
      <c r="A34872" s="250">
        <v>80306</v>
      </c>
      <c r="B34872" s="74" t="s">
        <v>13357</v>
      </c>
      <c r="C34872" s="74" t="s">
        <v>417</v>
      </c>
    </row>
    <row r="34873" spans="1:3">
      <c r="A34873" s="250">
        <v>80307</v>
      </c>
      <c r="B34873" s="74" t="s">
        <v>13357</v>
      </c>
      <c r="C34873" s="74" t="s">
        <v>417</v>
      </c>
    </row>
    <row r="34874" spans="1:3">
      <c r="A34874" s="250">
        <v>80308</v>
      </c>
      <c r="B34874" s="74" t="s">
        <v>13357</v>
      </c>
      <c r="C34874" s="74" t="s">
        <v>417</v>
      </c>
    </row>
    <row r="34875" spans="1:3">
      <c r="A34875" s="250">
        <v>80309</v>
      </c>
      <c r="B34875" s="74" t="s">
        <v>13357</v>
      </c>
      <c r="C34875" s="74" t="s">
        <v>417</v>
      </c>
    </row>
    <row r="34876" spans="1:3">
      <c r="A34876" s="250">
        <v>80310</v>
      </c>
      <c r="B34876" s="74" t="s">
        <v>13357</v>
      </c>
      <c r="C34876" s="74" t="s">
        <v>417</v>
      </c>
    </row>
    <row r="34877" spans="1:3">
      <c r="A34877" s="250">
        <v>80314</v>
      </c>
      <c r="B34877" s="74" t="s">
        <v>13357</v>
      </c>
      <c r="C34877" s="74" t="s">
        <v>417</v>
      </c>
    </row>
    <row r="34878" spans="1:3">
      <c r="A34878" s="250">
        <v>80321</v>
      </c>
      <c r="B34878" s="74" t="s">
        <v>13357</v>
      </c>
      <c r="C34878" s="74" t="s">
        <v>417</v>
      </c>
    </row>
    <row r="34879" spans="1:3">
      <c r="A34879" s="250">
        <v>80322</v>
      </c>
      <c r="B34879" s="74" t="s">
        <v>13357</v>
      </c>
      <c r="C34879" s="74" t="s">
        <v>417</v>
      </c>
    </row>
    <row r="34880" spans="1:3">
      <c r="A34880" s="250">
        <v>80323</v>
      </c>
      <c r="B34880" s="74" t="s">
        <v>13357</v>
      </c>
      <c r="C34880" s="74" t="s">
        <v>417</v>
      </c>
    </row>
    <row r="34881" spans="1:3">
      <c r="A34881" s="250">
        <v>80328</v>
      </c>
      <c r="B34881" s="74" t="s">
        <v>13357</v>
      </c>
      <c r="C34881" s="74" t="s">
        <v>417</v>
      </c>
    </row>
    <row r="34882" spans="1:3">
      <c r="A34882" s="250">
        <v>80329</v>
      </c>
      <c r="B34882" s="74" t="s">
        <v>13357</v>
      </c>
      <c r="C34882" s="74" t="s">
        <v>417</v>
      </c>
    </row>
    <row r="34883" spans="1:3">
      <c r="A34883" s="250">
        <v>80401</v>
      </c>
      <c r="B34883" s="74" t="s">
        <v>9362</v>
      </c>
      <c r="C34883" s="74" t="s">
        <v>417</v>
      </c>
    </row>
    <row r="34884" spans="1:3">
      <c r="A34884" s="250">
        <v>80402</v>
      </c>
      <c r="B34884" s="74" t="s">
        <v>9362</v>
      </c>
      <c r="C34884" s="74" t="s">
        <v>417</v>
      </c>
    </row>
    <row r="34885" spans="1:3">
      <c r="A34885" s="250">
        <v>80403</v>
      </c>
      <c r="B34885" s="74" t="s">
        <v>9362</v>
      </c>
      <c r="C34885" s="74" t="s">
        <v>417</v>
      </c>
    </row>
    <row r="34886" spans="1:3">
      <c r="A34886" s="250">
        <v>80419</v>
      </c>
      <c r="B34886" s="74" t="s">
        <v>9362</v>
      </c>
      <c r="C34886" s="74" t="s">
        <v>417</v>
      </c>
    </row>
    <row r="34887" spans="1:3">
      <c r="A34887" s="250">
        <v>80420</v>
      </c>
      <c r="B34887" s="74" t="s">
        <v>3841</v>
      </c>
      <c r="C34887" s="74" t="s">
        <v>417</v>
      </c>
    </row>
    <row r="34888" spans="1:3">
      <c r="A34888" s="250">
        <v>80421</v>
      </c>
      <c r="B34888" s="74" t="s">
        <v>7178</v>
      </c>
      <c r="C34888" s="74" t="s">
        <v>417</v>
      </c>
    </row>
    <row r="34889" spans="1:3">
      <c r="A34889" s="250">
        <v>80422</v>
      </c>
      <c r="B34889" s="74" t="s">
        <v>12969</v>
      </c>
      <c r="C34889" s="74" t="s">
        <v>417</v>
      </c>
    </row>
    <row r="34890" spans="1:3">
      <c r="A34890" s="250">
        <v>80423</v>
      </c>
      <c r="B34890" s="74" t="s">
        <v>16642</v>
      </c>
      <c r="C34890" s="74" t="s">
        <v>417</v>
      </c>
    </row>
    <row r="34891" spans="1:3">
      <c r="A34891" s="250">
        <v>80424</v>
      </c>
      <c r="B34891" s="74" t="s">
        <v>11090</v>
      </c>
      <c r="C34891" s="74" t="s">
        <v>417</v>
      </c>
    </row>
    <row r="34892" spans="1:3">
      <c r="A34892" s="250">
        <v>80425</v>
      </c>
      <c r="B34892" s="74" t="s">
        <v>16643</v>
      </c>
      <c r="C34892" s="74" t="s">
        <v>417</v>
      </c>
    </row>
    <row r="34893" spans="1:3">
      <c r="A34893" s="250">
        <v>80426</v>
      </c>
      <c r="B34893" s="74" t="s">
        <v>8991</v>
      </c>
      <c r="C34893" s="74" t="s">
        <v>417</v>
      </c>
    </row>
    <row r="34894" spans="1:3">
      <c r="A34894" s="250">
        <v>80427</v>
      </c>
      <c r="B34894" s="74" t="s">
        <v>4347</v>
      </c>
      <c r="C34894" s="74" t="s">
        <v>417</v>
      </c>
    </row>
    <row r="34895" spans="1:3">
      <c r="A34895" s="250">
        <v>80428</v>
      </c>
      <c r="B34895" s="74" t="s">
        <v>2149</v>
      </c>
      <c r="C34895" s="74" t="s">
        <v>417</v>
      </c>
    </row>
    <row r="34896" spans="1:3">
      <c r="A34896" s="250">
        <v>80429</v>
      </c>
      <c r="B34896" s="74" t="s">
        <v>2927</v>
      </c>
      <c r="C34896" s="74" t="s">
        <v>417</v>
      </c>
    </row>
    <row r="34897" spans="1:3">
      <c r="A34897" s="250">
        <v>80430</v>
      </c>
      <c r="B34897" s="74" t="s">
        <v>9051</v>
      </c>
      <c r="C34897" s="74" t="s">
        <v>417</v>
      </c>
    </row>
    <row r="34898" spans="1:3">
      <c r="A34898" s="250">
        <v>80432</v>
      </c>
      <c r="B34898" s="74" t="s">
        <v>7185</v>
      </c>
      <c r="C34898" s="74" t="s">
        <v>417</v>
      </c>
    </row>
    <row r="34899" spans="1:3">
      <c r="A34899" s="250">
        <v>80433</v>
      </c>
      <c r="B34899" s="74" t="s">
        <v>16644</v>
      </c>
      <c r="C34899" s="74" t="s">
        <v>417</v>
      </c>
    </row>
    <row r="34900" spans="1:3">
      <c r="A34900" s="250">
        <v>80434</v>
      </c>
      <c r="B34900" s="74" t="s">
        <v>16645</v>
      </c>
      <c r="C34900" s="74" t="s">
        <v>417</v>
      </c>
    </row>
    <row r="34901" spans="1:3">
      <c r="A34901" s="250">
        <v>80435</v>
      </c>
      <c r="B34901" s="74" t="s">
        <v>7734</v>
      </c>
      <c r="C34901" s="74" t="s">
        <v>417</v>
      </c>
    </row>
    <row r="34902" spans="1:3">
      <c r="A34902" s="250">
        <v>80436</v>
      </c>
      <c r="B34902" s="74" t="s">
        <v>2230</v>
      </c>
      <c r="C34902" s="74" t="s">
        <v>417</v>
      </c>
    </row>
    <row r="34903" spans="1:3">
      <c r="A34903" s="250">
        <v>80437</v>
      </c>
      <c r="B34903" s="74" t="s">
        <v>6233</v>
      </c>
      <c r="C34903" s="74" t="s">
        <v>417</v>
      </c>
    </row>
    <row r="34904" spans="1:3">
      <c r="A34904" s="250">
        <v>80438</v>
      </c>
      <c r="B34904" s="74" t="s">
        <v>8639</v>
      </c>
      <c r="C34904" s="74" t="s">
        <v>417</v>
      </c>
    </row>
    <row r="34905" spans="1:3">
      <c r="A34905" s="250">
        <v>80439</v>
      </c>
      <c r="B34905" s="74" t="s">
        <v>6233</v>
      </c>
      <c r="C34905" s="74" t="s">
        <v>417</v>
      </c>
    </row>
    <row r="34906" spans="1:3">
      <c r="A34906" s="250">
        <v>80440</v>
      </c>
      <c r="B34906" s="74" t="s">
        <v>5798</v>
      </c>
      <c r="C34906" s="74" t="s">
        <v>417</v>
      </c>
    </row>
    <row r="34907" spans="1:3">
      <c r="A34907" s="250">
        <v>80442</v>
      </c>
      <c r="B34907" s="74" t="s">
        <v>10990</v>
      </c>
      <c r="C34907" s="74" t="s">
        <v>417</v>
      </c>
    </row>
    <row r="34908" spans="1:3">
      <c r="A34908" s="250">
        <v>80443</v>
      </c>
      <c r="B34908" s="74" t="s">
        <v>7249</v>
      </c>
      <c r="C34908" s="74" t="s">
        <v>417</v>
      </c>
    </row>
    <row r="34909" spans="1:3">
      <c r="A34909" s="250">
        <v>80444</v>
      </c>
      <c r="B34909" s="74" t="s">
        <v>813</v>
      </c>
      <c r="C34909" s="74" t="s">
        <v>417</v>
      </c>
    </row>
    <row r="34910" spans="1:3">
      <c r="A34910" s="250">
        <v>80446</v>
      </c>
      <c r="B34910" s="74" t="s">
        <v>593</v>
      </c>
      <c r="C34910" s="74" t="s">
        <v>417</v>
      </c>
    </row>
    <row r="34911" spans="1:3">
      <c r="A34911" s="250">
        <v>80447</v>
      </c>
      <c r="B34911" s="74" t="s">
        <v>16646</v>
      </c>
      <c r="C34911" s="74" t="s">
        <v>417</v>
      </c>
    </row>
    <row r="34912" spans="1:3">
      <c r="A34912" s="250">
        <v>80448</v>
      </c>
      <c r="B34912" s="74" t="s">
        <v>8402</v>
      </c>
      <c r="C34912" s="74" t="s">
        <v>417</v>
      </c>
    </row>
    <row r="34913" spans="1:3">
      <c r="A34913" s="250">
        <v>80449</v>
      </c>
      <c r="B34913" s="74" t="s">
        <v>16647</v>
      </c>
      <c r="C34913" s="74" t="s">
        <v>417</v>
      </c>
    </row>
    <row r="34914" spans="1:3">
      <c r="A34914" s="250">
        <v>80451</v>
      </c>
      <c r="B34914" s="74" t="s">
        <v>16648</v>
      </c>
      <c r="C34914" s="74" t="s">
        <v>417</v>
      </c>
    </row>
    <row r="34915" spans="1:3">
      <c r="A34915" s="250">
        <v>80452</v>
      </c>
      <c r="B34915" s="74" t="s">
        <v>16649</v>
      </c>
      <c r="C34915" s="74" t="s">
        <v>417</v>
      </c>
    </row>
    <row r="34916" spans="1:3">
      <c r="A34916" s="250">
        <v>80453</v>
      </c>
      <c r="B34916" s="74" t="s">
        <v>16650</v>
      </c>
      <c r="C34916" s="74" t="s">
        <v>417</v>
      </c>
    </row>
    <row r="34917" spans="1:3">
      <c r="A34917" s="250">
        <v>80454</v>
      </c>
      <c r="B34917" s="74" t="s">
        <v>16651</v>
      </c>
      <c r="C34917" s="74" t="s">
        <v>417</v>
      </c>
    </row>
    <row r="34918" spans="1:3">
      <c r="A34918" s="250">
        <v>80455</v>
      </c>
      <c r="B34918" s="74" t="s">
        <v>1113</v>
      </c>
      <c r="C34918" s="74" t="s">
        <v>417</v>
      </c>
    </row>
    <row r="34919" spans="1:3">
      <c r="A34919" s="250">
        <v>80456</v>
      </c>
      <c r="B34919" s="74" t="s">
        <v>740</v>
      </c>
      <c r="C34919" s="74" t="s">
        <v>417</v>
      </c>
    </row>
    <row r="34920" spans="1:3">
      <c r="A34920" s="250">
        <v>80457</v>
      </c>
      <c r="B34920" s="74" t="s">
        <v>16652</v>
      </c>
      <c r="C34920" s="74" t="s">
        <v>417</v>
      </c>
    </row>
    <row r="34921" spans="1:3">
      <c r="A34921" s="250">
        <v>80459</v>
      </c>
      <c r="B34921" s="74" t="s">
        <v>16653</v>
      </c>
      <c r="C34921" s="74" t="s">
        <v>417</v>
      </c>
    </row>
    <row r="34922" spans="1:3">
      <c r="A34922" s="250">
        <v>80461</v>
      </c>
      <c r="B34922" s="74" t="s">
        <v>16654</v>
      </c>
      <c r="C34922" s="74" t="s">
        <v>417</v>
      </c>
    </row>
    <row r="34923" spans="1:3">
      <c r="A34923" s="250">
        <v>80463</v>
      </c>
      <c r="B34923" s="74" t="s">
        <v>6283</v>
      </c>
      <c r="C34923" s="74" t="s">
        <v>417</v>
      </c>
    </row>
    <row r="34924" spans="1:3">
      <c r="A34924" s="250">
        <v>80465</v>
      </c>
      <c r="B34924" s="74" t="s">
        <v>9073</v>
      </c>
      <c r="C34924" s="74" t="s">
        <v>417</v>
      </c>
    </row>
    <row r="34925" spans="1:3">
      <c r="A34925" s="250">
        <v>80466</v>
      </c>
      <c r="B34925" s="74" t="s">
        <v>16215</v>
      </c>
      <c r="C34925" s="74" t="s">
        <v>417</v>
      </c>
    </row>
    <row r="34926" spans="1:3">
      <c r="A34926" s="250">
        <v>80467</v>
      </c>
      <c r="B34926" s="74" t="s">
        <v>11993</v>
      </c>
      <c r="C34926" s="74" t="s">
        <v>417</v>
      </c>
    </row>
    <row r="34927" spans="1:3">
      <c r="A34927" s="250">
        <v>80468</v>
      </c>
      <c r="B34927" s="74" t="s">
        <v>13188</v>
      </c>
      <c r="C34927" s="74" t="s">
        <v>417</v>
      </c>
    </row>
    <row r="34928" spans="1:3">
      <c r="A34928" s="250">
        <v>80469</v>
      </c>
      <c r="B34928" s="74" t="s">
        <v>1551</v>
      </c>
      <c r="C34928" s="74" t="s">
        <v>417</v>
      </c>
    </row>
    <row r="34929" spans="1:3">
      <c r="A34929" s="250">
        <v>80470</v>
      </c>
      <c r="B34929" s="74" t="s">
        <v>16655</v>
      </c>
      <c r="C34929" s="74" t="s">
        <v>417</v>
      </c>
    </row>
    <row r="34930" spans="1:3">
      <c r="A34930" s="250">
        <v>80471</v>
      </c>
      <c r="B34930" s="74" t="s">
        <v>16656</v>
      </c>
      <c r="C34930" s="74" t="s">
        <v>417</v>
      </c>
    </row>
    <row r="34931" spans="1:3">
      <c r="A34931" s="250">
        <v>80473</v>
      </c>
      <c r="B34931" s="74" t="s">
        <v>16657</v>
      </c>
      <c r="C34931" s="74" t="s">
        <v>417</v>
      </c>
    </row>
    <row r="34932" spans="1:3">
      <c r="A34932" s="250">
        <v>80474</v>
      </c>
      <c r="B34932" s="74" t="s">
        <v>16658</v>
      </c>
      <c r="C34932" s="74" t="s">
        <v>417</v>
      </c>
    </row>
    <row r="34933" spans="1:3">
      <c r="A34933" s="250">
        <v>80475</v>
      </c>
      <c r="B34933" s="74" t="s">
        <v>10246</v>
      </c>
      <c r="C34933" s="74" t="s">
        <v>417</v>
      </c>
    </row>
    <row r="34934" spans="1:3">
      <c r="A34934" s="250">
        <v>80476</v>
      </c>
      <c r="B34934" s="74" t="s">
        <v>16659</v>
      </c>
      <c r="C34934" s="74" t="s">
        <v>417</v>
      </c>
    </row>
    <row r="34935" spans="1:3">
      <c r="A34935" s="250">
        <v>80477</v>
      </c>
      <c r="B34935" s="74" t="s">
        <v>16660</v>
      </c>
      <c r="C34935" s="74" t="s">
        <v>417</v>
      </c>
    </row>
    <row r="34936" spans="1:3">
      <c r="A34936" s="250">
        <v>80478</v>
      </c>
      <c r="B34936" s="74" t="s">
        <v>16661</v>
      </c>
      <c r="C34936" s="74" t="s">
        <v>417</v>
      </c>
    </row>
    <row r="34937" spans="1:3">
      <c r="A34937" s="250">
        <v>80479</v>
      </c>
      <c r="B34937" s="74" t="s">
        <v>16662</v>
      </c>
      <c r="C34937" s="74" t="s">
        <v>417</v>
      </c>
    </row>
    <row r="34938" spans="1:3">
      <c r="A34938" s="250">
        <v>80480</v>
      </c>
      <c r="B34938" s="74" t="s">
        <v>3154</v>
      </c>
      <c r="C34938" s="74" t="s">
        <v>417</v>
      </c>
    </row>
    <row r="34939" spans="1:3">
      <c r="A34939" s="250">
        <v>80481</v>
      </c>
      <c r="B34939" s="74" t="s">
        <v>7656</v>
      </c>
      <c r="C34939" s="74" t="s">
        <v>417</v>
      </c>
    </row>
    <row r="34940" spans="1:3">
      <c r="A34940" s="250">
        <v>80482</v>
      </c>
      <c r="B34940" s="74" t="s">
        <v>8391</v>
      </c>
      <c r="C34940" s="74" t="s">
        <v>417</v>
      </c>
    </row>
    <row r="34941" spans="1:3">
      <c r="A34941" s="250">
        <v>80483</v>
      </c>
      <c r="B34941" s="74" t="s">
        <v>16663</v>
      </c>
      <c r="C34941" s="74" t="s">
        <v>417</v>
      </c>
    </row>
    <row r="34942" spans="1:3">
      <c r="A34942" s="250">
        <v>80487</v>
      </c>
      <c r="B34942" s="74" t="s">
        <v>16660</v>
      </c>
      <c r="C34942" s="74" t="s">
        <v>417</v>
      </c>
    </row>
    <row r="34943" spans="1:3">
      <c r="A34943" s="250">
        <v>80488</v>
      </c>
      <c r="B34943" s="74" t="s">
        <v>16660</v>
      </c>
      <c r="C34943" s="74" t="s">
        <v>417</v>
      </c>
    </row>
    <row r="34944" spans="1:3">
      <c r="A34944" s="250">
        <v>80497</v>
      </c>
      <c r="B34944" s="74" t="s">
        <v>16664</v>
      </c>
      <c r="C34944" s="74" t="s">
        <v>417</v>
      </c>
    </row>
    <row r="34945" spans="1:3">
      <c r="A34945" s="250">
        <v>80498</v>
      </c>
      <c r="B34945" s="74" t="s">
        <v>16664</v>
      </c>
      <c r="C34945" s="74" t="s">
        <v>417</v>
      </c>
    </row>
    <row r="34946" spans="1:3">
      <c r="A34946" s="250">
        <v>80501</v>
      </c>
      <c r="B34946" s="74" t="s">
        <v>16665</v>
      </c>
      <c r="C34946" s="74" t="s">
        <v>417</v>
      </c>
    </row>
    <row r="34947" spans="1:3">
      <c r="A34947" s="250">
        <v>80502</v>
      </c>
      <c r="B34947" s="74" t="s">
        <v>16665</v>
      </c>
      <c r="C34947" s="74" t="s">
        <v>417</v>
      </c>
    </row>
    <row r="34948" spans="1:3">
      <c r="A34948" s="250">
        <v>80503</v>
      </c>
      <c r="B34948" s="74" t="s">
        <v>16665</v>
      </c>
      <c r="C34948" s="74" t="s">
        <v>417</v>
      </c>
    </row>
    <row r="34949" spans="1:3">
      <c r="A34949" s="250">
        <v>80504</v>
      </c>
      <c r="B34949" s="74" t="s">
        <v>16665</v>
      </c>
      <c r="C34949" s="74" t="s">
        <v>417</v>
      </c>
    </row>
    <row r="34950" spans="1:3">
      <c r="A34950" s="250">
        <v>80510</v>
      </c>
      <c r="B34950" s="74" t="s">
        <v>16666</v>
      </c>
      <c r="C34950" s="74" t="s">
        <v>417</v>
      </c>
    </row>
    <row r="34951" spans="1:3">
      <c r="A34951" s="250">
        <v>80511</v>
      </c>
      <c r="B34951" s="74" t="s">
        <v>16667</v>
      </c>
      <c r="C34951" s="74" t="s">
        <v>417</v>
      </c>
    </row>
    <row r="34952" spans="1:3">
      <c r="A34952" s="250">
        <v>80512</v>
      </c>
      <c r="B34952" s="74" t="s">
        <v>16668</v>
      </c>
      <c r="C34952" s="74" t="s">
        <v>417</v>
      </c>
    </row>
    <row r="34953" spans="1:3">
      <c r="A34953" s="250">
        <v>80513</v>
      </c>
      <c r="B34953" s="74" t="s">
        <v>16669</v>
      </c>
      <c r="C34953" s="74" t="s">
        <v>417</v>
      </c>
    </row>
    <row r="34954" spans="1:3">
      <c r="A34954" s="250">
        <v>80514</v>
      </c>
      <c r="B34954" s="74" t="s">
        <v>16670</v>
      </c>
      <c r="C34954" s="74" t="s">
        <v>417</v>
      </c>
    </row>
    <row r="34955" spans="1:3">
      <c r="A34955" s="250">
        <v>80515</v>
      </c>
      <c r="B34955" s="74" t="s">
        <v>9959</v>
      </c>
      <c r="C34955" s="74" t="s">
        <v>417</v>
      </c>
    </row>
    <row r="34956" spans="1:3">
      <c r="A34956" s="250">
        <v>80516</v>
      </c>
      <c r="B34956" s="74" t="s">
        <v>4528</v>
      </c>
      <c r="C34956" s="74" t="s">
        <v>417</v>
      </c>
    </row>
    <row r="34957" spans="1:3">
      <c r="A34957" s="250">
        <v>80517</v>
      </c>
      <c r="B34957" s="74" t="s">
        <v>16667</v>
      </c>
      <c r="C34957" s="74" t="s">
        <v>417</v>
      </c>
    </row>
    <row r="34958" spans="1:3">
      <c r="A34958" s="250">
        <v>80520</v>
      </c>
      <c r="B34958" s="74" t="s">
        <v>16671</v>
      </c>
      <c r="C34958" s="74" t="s">
        <v>417</v>
      </c>
    </row>
    <row r="34959" spans="1:3">
      <c r="A34959" s="250">
        <v>80521</v>
      </c>
      <c r="B34959" s="74" t="s">
        <v>16672</v>
      </c>
      <c r="C34959" s="74" t="s">
        <v>417</v>
      </c>
    </row>
    <row r="34960" spans="1:3">
      <c r="A34960" s="250">
        <v>80522</v>
      </c>
      <c r="B34960" s="74" t="s">
        <v>16672</v>
      </c>
      <c r="C34960" s="74" t="s">
        <v>417</v>
      </c>
    </row>
    <row r="34961" spans="1:3">
      <c r="A34961" s="250">
        <v>80523</v>
      </c>
      <c r="B34961" s="74" t="s">
        <v>16672</v>
      </c>
      <c r="C34961" s="74" t="s">
        <v>417</v>
      </c>
    </row>
    <row r="34962" spans="1:3">
      <c r="A34962" s="250">
        <v>80524</v>
      </c>
      <c r="B34962" s="74" t="s">
        <v>16672</v>
      </c>
      <c r="C34962" s="74" t="s">
        <v>417</v>
      </c>
    </row>
    <row r="34963" spans="1:3">
      <c r="A34963" s="250">
        <v>80525</v>
      </c>
      <c r="B34963" s="74" t="s">
        <v>16672</v>
      </c>
      <c r="C34963" s="74" t="s">
        <v>417</v>
      </c>
    </row>
    <row r="34964" spans="1:3">
      <c r="A34964" s="250">
        <v>80526</v>
      </c>
      <c r="B34964" s="74" t="s">
        <v>16672</v>
      </c>
      <c r="C34964" s="74" t="s">
        <v>417</v>
      </c>
    </row>
    <row r="34965" spans="1:3">
      <c r="A34965" s="250">
        <v>80527</v>
      </c>
      <c r="B34965" s="74" t="s">
        <v>16672</v>
      </c>
      <c r="C34965" s="74" t="s">
        <v>417</v>
      </c>
    </row>
    <row r="34966" spans="1:3">
      <c r="A34966" s="250">
        <v>80528</v>
      </c>
      <c r="B34966" s="74" t="s">
        <v>16672</v>
      </c>
      <c r="C34966" s="74" t="s">
        <v>417</v>
      </c>
    </row>
    <row r="34967" spans="1:3">
      <c r="A34967" s="250">
        <v>80530</v>
      </c>
      <c r="B34967" s="74" t="s">
        <v>5417</v>
      </c>
      <c r="C34967" s="74" t="s">
        <v>417</v>
      </c>
    </row>
    <row r="34968" spans="1:3">
      <c r="A34968" s="250">
        <v>80532</v>
      </c>
      <c r="B34968" s="74" t="s">
        <v>12041</v>
      </c>
      <c r="C34968" s="74" t="s">
        <v>417</v>
      </c>
    </row>
    <row r="34969" spans="1:3">
      <c r="A34969" s="250">
        <v>80533</v>
      </c>
      <c r="B34969" s="74" t="s">
        <v>16673</v>
      </c>
      <c r="C34969" s="74" t="s">
        <v>417</v>
      </c>
    </row>
    <row r="34970" spans="1:3">
      <c r="A34970" s="250">
        <v>80534</v>
      </c>
      <c r="B34970" s="74" t="s">
        <v>2969</v>
      </c>
      <c r="C34970" s="74" t="s">
        <v>417</v>
      </c>
    </row>
    <row r="34971" spans="1:3">
      <c r="A34971" s="250">
        <v>80535</v>
      </c>
      <c r="B34971" s="74" t="s">
        <v>5211</v>
      </c>
      <c r="C34971" s="74" t="s">
        <v>417</v>
      </c>
    </row>
    <row r="34972" spans="1:3">
      <c r="A34972" s="250">
        <v>80536</v>
      </c>
      <c r="B34972" s="74" t="s">
        <v>1446</v>
      </c>
      <c r="C34972" s="74" t="s">
        <v>417</v>
      </c>
    </row>
    <row r="34973" spans="1:3">
      <c r="A34973" s="250">
        <v>80537</v>
      </c>
      <c r="B34973" s="74" t="s">
        <v>10475</v>
      </c>
      <c r="C34973" s="74" t="s">
        <v>417</v>
      </c>
    </row>
    <row r="34974" spans="1:3">
      <c r="A34974" s="250">
        <v>80538</v>
      </c>
      <c r="B34974" s="74" t="s">
        <v>10475</v>
      </c>
      <c r="C34974" s="74" t="s">
        <v>417</v>
      </c>
    </row>
    <row r="34975" spans="1:3">
      <c r="A34975" s="250">
        <v>80539</v>
      </c>
      <c r="B34975" s="74" t="s">
        <v>10475</v>
      </c>
      <c r="C34975" s="74" t="s">
        <v>417</v>
      </c>
    </row>
    <row r="34976" spans="1:3">
      <c r="A34976" s="250">
        <v>80540</v>
      </c>
      <c r="B34976" s="74" t="s">
        <v>2349</v>
      </c>
      <c r="C34976" s="74" t="s">
        <v>417</v>
      </c>
    </row>
    <row r="34977" spans="1:3">
      <c r="A34977" s="250">
        <v>80541</v>
      </c>
      <c r="B34977" s="74" t="s">
        <v>3631</v>
      </c>
      <c r="C34977" s="74" t="s">
        <v>417</v>
      </c>
    </row>
    <row r="34978" spans="1:3">
      <c r="A34978" s="250">
        <v>80542</v>
      </c>
      <c r="B34978" s="74" t="s">
        <v>14735</v>
      </c>
      <c r="C34978" s="74" t="s">
        <v>417</v>
      </c>
    </row>
    <row r="34979" spans="1:3">
      <c r="A34979" s="250">
        <v>80543</v>
      </c>
      <c r="B34979" s="74" t="s">
        <v>16674</v>
      </c>
      <c r="C34979" s="74" t="s">
        <v>417</v>
      </c>
    </row>
    <row r="34980" spans="1:3">
      <c r="A34980" s="250">
        <v>80544</v>
      </c>
      <c r="B34980" s="74" t="s">
        <v>16675</v>
      </c>
      <c r="C34980" s="74" t="s">
        <v>417</v>
      </c>
    </row>
    <row r="34981" spans="1:3">
      <c r="A34981" s="250">
        <v>80545</v>
      </c>
      <c r="B34981" s="74" t="s">
        <v>16676</v>
      </c>
      <c r="C34981" s="74" t="s">
        <v>417</v>
      </c>
    </row>
    <row r="34982" spans="1:3">
      <c r="A34982" s="250">
        <v>80546</v>
      </c>
      <c r="B34982" s="74" t="s">
        <v>3265</v>
      </c>
      <c r="C34982" s="74" t="s">
        <v>417</v>
      </c>
    </row>
    <row r="34983" spans="1:3">
      <c r="A34983" s="250">
        <v>80547</v>
      </c>
      <c r="B34983" s="74" t="s">
        <v>16677</v>
      </c>
      <c r="C34983" s="74" t="s">
        <v>417</v>
      </c>
    </row>
    <row r="34984" spans="1:3">
      <c r="A34984" s="250">
        <v>80549</v>
      </c>
      <c r="B34984" s="74" t="s">
        <v>8439</v>
      </c>
      <c r="C34984" s="74" t="s">
        <v>417</v>
      </c>
    </row>
    <row r="34985" spans="1:3">
      <c r="A34985" s="250">
        <v>80550</v>
      </c>
      <c r="B34985" s="74" t="s">
        <v>669</v>
      </c>
      <c r="C34985" s="74" t="s">
        <v>417</v>
      </c>
    </row>
    <row r="34986" spans="1:3">
      <c r="A34986" s="250">
        <v>80551</v>
      </c>
      <c r="B34986" s="74" t="s">
        <v>669</v>
      </c>
      <c r="C34986" s="74" t="s">
        <v>417</v>
      </c>
    </row>
    <row r="34987" spans="1:3">
      <c r="A34987" s="250">
        <v>80553</v>
      </c>
      <c r="B34987" s="74" t="s">
        <v>16672</v>
      </c>
      <c r="C34987" s="74" t="s">
        <v>417</v>
      </c>
    </row>
    <row r="34988" spans="1:3">
      <c r="A34988" s="250">
        <v>80601</v>
      </c>
      <c r="B34988" s="74" t="s">
        <v>911</v>
      </c>
      <c r="C34988" s="74" t="s">
        <v>417</v>
      </c>
    </row>
    <row r="34989" spans="1:3">
      <c r="A34989" s="250">
        <v>80602</v>
      </c>
      <c r="B34989" s="74" t="s">
        <v>911</v>
      </c>
      <c r="C34989" s="74" t="s">
        <v>417</v>
      </c>
    </row>
    <row r="34990" spans="1:3">
      <c r="A34990" s="250">
        <v>80603</v>
      </c>
      <c r="B34990" s="74" t="s">
        <v>911</v>
      </c>
      <c r="C34990" s="74" t="s">
        <v>417</v>
      </c>
    </row>
    <row r="34991" spans="1:3">
      <c r="A34991" s="250">
        <v>80610</v>
      </c>
      <c r="B34991" s="74" t="s">
        <v>16678</v>
      </c>
      <c r="C34991" s="74" t="s">
        <v>417</v>
      </c>
    </row>
    <row r="34992" spans="1:3">
      <c r="A34992" s="250">
        <v>80611</v>
      </c>
      <c r="B34992" s="74" t="s">
        <v>16679</v>
      </c>
      <c r="C34992" s="74" t="s">
        <v>417</v>
      </c>
    </row>
    <row r="34993" spans="1:3">
      <c r="A34993" s="250">
        <v>80612</v>
      </c>
      <c r="B34993" s="74" t="s">
        <v>16680</v>
      </c>
      <c r="C34993" s="74" t="s">
        <v>417</v>
      </c>
    </row>
    <row r="34994" spans="1:3">
      <c r="A34994" s="250">
        <v>80614</v>
      </c>
      <c r="B34994" s="74" t="s">
        <v>10320</v>
      </c>
      <c r="C34994" s="74" t="s">
        <v>417</v>
      </c>
    </row>
    <row r="34995" spans="1:3">
      <c r="A34995" s="250">
        <v>80615</v>
      </c>
      <c r="B34995" s="74" t="s">
        <v>3452</v>
      </c>
      <c r="C34995" s="74" t="s">
        <v>417</v>
      </c>
    </row>
    <row r="34996" spans="1:3">
      <c r="A34996" s="250">
        <v>80620</v>
      </c>
      <c r="B34996" s="74" t="s">
        <v>6665</v>
      </c>
      <c r="C34996" s="74" t="s">
        <v>417</v>
      </c>
    </row>
    <row r="34997" spans="1:3">
      <c r="A34997" s="250">
        <v>80621</v>
      </c>
      <c r="B34997" s="74" t="s">
        <v>16681</v>
      </c>
      <c r="C34997" s="74" t="s">
        <v>417</v>
      </c>
    </row>
    <row r="34998" spans="1:3">
      <c r="A34998" s="250">
        <v>80622</v>
      </c>
      <c r="B34998" s="74" t="s">
        <v>4672</v>
      </c>
      <c r="C34998" s="74" t="s">
        <v>417</v>
      </c>
    </row>
    <row r="34999" spans="1:3">
      <c r="A34999" s="250">
        <v>80623</v>
      </c>
      <c r="B34999" s="74" t="s">
        <v>16682</v>
      </c>
      <c r="C34999" s="74" t="s">
        <v>417</v>
      </c>
    </row>
    <row r="35000" spans="1:3">
      <c r="A35000" s="250">
        <v>80624</v>
      </c>
      <c r="B35000" s="74" t="s">
        <v>686</v>
      </c>
      <c r="C35000" s="74" t="s">
        <v>417</v>
      </c>
    </row>
    <row r="35001" spans="1:3">
      <c r="A35001" s="250">
        <v>80631</v>
      </c>
      <c r="B35001" s="74" t="s">
        <v>5159</v>
      </c>
      <c r="C35001" s="74" t="s">
        <v>417</v>
      </c>
    </row>
    <row r="35002" spans="1:3">
      <c r="A35002" s="250">
        <v>80632</v>
      </c>
      <c r="B35002" s="74" t="s">
        <v>5159</v>
      </c>
      <c r="C35002" s="74" t="s">
        <v>417</v>
      </c>
    </row>
    <row r="35003" spans="1:3">
      <c r="A35003" s="250">
        <v>80633</v>
      </c>
      <c r="B35003" s="74" t="s">
        <v>5159</v>
      </c>
      <c r="C35003" s="74" t="s">
        <v>417</v>
      </c>
    </row>
    <row r="35004" spans="1:3">
      <c r="A35004" s="250">
        <v>80634</v>
      </c>
      <c r="B35004" s="74" t="s">
        <v>5159</v>
      </c>
      <c r="C35004" s="74" t="s">
        <v>417</v>
      </c>
    </row>
    <row r="35005" spans="1:3">
      <c r="A35005" s="250">
        <v>80638</v>
      </c>
      <c r="B35005" s="74" t="s">
        <v>5159</v>
      </c>
      <c r="C35005" s="74" t="s">
        <v>417</v>
      </c>
    </row>
    <row r="35006" spans="1:3">
      <c r="A35006" s="250">
        <v>80639</v>
      </c>
      <c r="B35006" s="74" t="s">
        <v>5159</v>
      </c>
      <c r="C35006" s="74" t="s">
        <v>417</v>
      </c>
    </row>
    <row r="35007" spans="1:3">
      <c r="A35007" s="250">
        <v>80640</v>
      </c>
      <c r="B35007" s="74" t="s">
        <v>3556</v>
      </c>
      <c r="C35007" s="74" t="s">
        <v>417</v>
      </c>
    </row>
    <row r="35008" spans="1:3">
      <c r="A35008" s="250">
        <v>80642</v>
      </c>
      <c r="B35008" s="74" t="s">
        <v>792</v>
      </c>
      <c r="C35008" s="74" t="s">
        <v>417</v>
      </c>
    </row>
    <row r="35009" spans="1:3">
      <c r="A35009" s="250">
        <v>80643</v>
      </c>
      <c r="B35009" s="74" t="s">
        <v>16683</v>
      </c>
      <c r="C35009" s="74" t="s">
        <v>417</v>
      </c>
    </row>
    <row r="35010" spans="1:3">
      <c r="A35010" s="250">
        <v>80644</v>
      </c>
      <c r="B35010" s="74" t="s">
        <v>4327</v>
      </c>
      <c r="C35010" s="74" t="s">
        <v>417</v>
      </c>
    </row>
    <row r="35011" spans="1:3">
      <c r="A35011" s="250">
        <v>80645</v>
      </c>
      <c r="B35011" s="74" t="s">
        <v>11020</v>
      </c>
      <c r="C35011" s="74" t="s">
        <v>417</v>
      </c>
    </row>
    <row r="35012" spans="1:3">
      <c r="A35012" s="250">
        <v>80646</v>
      </c>
      <c r="B35012" s="74" t="s">
        <v>10777</v>
      </c>
      <c r="C35012" s="74" t="s">
        <v>417</v>
      </c>
    </row>
    <row r="35013" spans="1:3">
      <c r="A35013" s="250">
        <v>80648</v>
      </c>
      <c r="B35013" s="74" t="s">
        <v>16684</v>
      </c>
      <c r="C35013" s="74" t="s">
        <v>417</v>
      </c>
    </row>
    <row r="35014" spans="1:3">
      <c r="A35014" s="250">
        <v>80649</v>
      </c>
      <c r="B35014" s="74" t="s">
        <v>11591</v>
      </c>
      <c r="C35014" s="74" t="s">
        <v>417</v>
      </c>
    </row>
    <row r="35015" spans="1:3">
      <c r="A35015" s="250">
        <v>80650</v>
      </c>
      <c r="B35015" s="74" t="s">
        <v>14826</v>
      </c>
      <c r="C35015" s="74" t="s">
        <v>417</v>
      </c>
    </row>
    <row r="35016" spans="1:3">
      <c r="A35016" s="250">
        <v>80651</v>
      </c>
      <c r="B35016" s="74" t="s">
        <v>12044</v>
      </c>
      <c r="C35016" s="74" t="s">
        <v>417</v>
      </c>
    </row>
    <row r="35017" spans="1:3">
      <c r="A35017" s="250">
        <v>80652</v>
      </c>
      <c r="B35017" s="74" t="s">
        <v>16685</v>
      </c>
      <c r="C35017" s="74" t="s">
        <v>417</v>
      </c>
    </row>
    <row r="35018" spans="1:3">
      <c r="A35018" s="250">
        <v>80653</v>
      </c>
      <c r="B35018" s="74" t="s">
        <v>16686</v>
      </c>
      <c r="C35018" s="74" t="s">
        <v>417</v>
      </c>
    </row>
    <row r="35019" spans="1:3">
      <c r="A35019" s="250">
        <v>80654</v>
      </c>
      <c r="B35019" s="74" t="s">
        <v>9519</v>
      </c>
      <c r="C35019" s="74" t="s">
        <v>417</v>
      </c>
    </row>
    <row r="35020" spans="1:3">
      <c r="A35020" s="250">
        <v>80701</v>
      </c>
      <c r="B35020" s="74" t="s">
        <v>16687</v>
      </c>
      <c r="C35020" s="74" t="s">
        <v>417</v>
      </c>
    </row>
    <row r="35021" spans="1:3">
      <c r="A35021" s="250">
        <v>80705</v>
      </c>
      <c r="B35021" s="74" t="s">
        <v>16688</v>
      </c>
      <c r="C35021" s="74" t="s">
        <v>417</v>
      </c>
    </row>
    <row r="35022" spans="1:3">
      <c r="A35022" s="250">
        <v>80720</v>
      </c>
      <c r="B35022" s="74" t="s">
        <v>3667</v>
      </c>
      <c r="C35022" s="74" t="s">
        <v>417</v>
      </c>
    </row>
    <row r="35023" spans="1:3">
      <c r="A35023" s="250">
        <v>80721</v>
      </c>
      <c r="B35023" s="74" t="s">
        <v>577</v>
      </c>
      <c r="C35023" s="74" t="s">
        <v>417</v>
      </c>
    </row>
    <row r="35024" spans="1:3">
      <c r="A35024" s="250">
        <v>80722</v>
      </c>
      <c r="B35024" s="74" t="s">
        <v>9191</v>
      </c>
      <c r="C35024" s="74" t="s">
        <v>417</v>
      </c>
    </row>
    <row r="35025" spans="1:3">
      <c r="A35025" s="250">
        <v>80723</v>
      </c>
      <c r="B35025" s="74" t="s">
        <v>16689</v>
      </c>
      <c r="C35025" s="74" t="s">
        <v>417</v>
      </c>
    </row>
    <row r="35026" spans="1:3">
      <c r="A35026" s="250">
        <v>80726</v>
      </c>
      <c r="B35026" s="74" t="s">
        <v>16690</v>
      </c>
      <c r="C35026" s="74" t="s">
        <v>417</v>
      </c>
    </row>
    <row r="35027" spans="1:3">
      <c r="A35027" s="250">
        <v>80727</v>
      </c>
      <c r="B35027" s="74" t="s">
        <v>16691</v>
      </c>
      <c r="C35027" s="74" t="s">
        <v>417</v>
      </c>
    </row>
    <row r="35028" spans="1:3">
      <c r="A35028" s="250">
        <v>80728</v>
      </c>
      <c r="B35028" s="74" t="s">
        <v>4622</v>
      </c>
      <c r="C35028" s="74" t="s">
        <v>417</v>
      </c>
    </row>
    <row r="35029" spans="1:3">
      <c r="A35029" s="250">
        <v>80729</v>
      </c>
      <c r="B35029" s="74" t="s">
        <v>4907</v>
      </c>
      <c r="C35029" s="74" t="s">
        <v>417</v>
      </c>
    </row>
    <row r="35030" spans="1:3">
      <c r="A35030" s="250">
        <v>80731</v>
      </c>
      <c r="B35030" s="74" t="s">
        <v>16692</v>
      </c>
      <c r="C35030" s="74" t="s">
        <v>417</v>
      </c>
    </row>
    <row r="35031" spans="1:3">
      <c r="A35031" s="250">
        <v>80732</v>
      </c>
      <c r="B35031" s="74" t="s">
        <v>5047</v>
      </c>
      <c r="C35031" s="74" t="s">
        <v>417</v>
      </c>
    </row>
    <row r="35032" spans="1:3">
      <c r="A35032" s="250">
        <v>80733</v>
      </c>
      <c r="B35032" s="74" t="s">
        <v>16693</v>
      </c>
      <c r="C35032" s="74" t="s">
        <v>417</v>
      </c>
    </row>
    <row r="35033" spans="1:3">
      <c r="A35033" s="250">
        <v>80734</v>
      </c>
      <c r="B35033" s="74" t="s">
        <v>600</v>
      </c>
      <c r="C35033" s="74" t="s">
        <v>417</v>
      </c>
    </row>
    <row r="35034" spans="1:3">
      <c r="A35034" s="250">
        <v>80735</v>
      </c>
      <c r="B35034" s="74" t="s">
        <v>16694</v>
      </c>
      <c r="C35034" s="74" t="s">
        <v>417</v>
      </c>
    </row>
    <row r="35035" spans="1:3">
      <c r="A35035" s="250">
        <v>80736</v>
      </c>
      <c r="B35035" s="74" t="s">
        <v>16695</v>
      </c>
      <c r="C35035" s="74" t="s">
        <v>417</v>
      </c>
    </row>
    <row r="35036" spans="1:3">
      <c r="A35036" s="250">
        <v>80737</v>
      </c>
      <c r="B35036" s="74" t="s">
        <v>16696</v>
      </c>
      <c r="C35036" s="74" t="s">
        <v>417</v>
      </c>
    </row>
    <row r="35037" spans="1:3">
      <c r="A35037" s="250">
        <v>80740</v>
      </c>
      <c r="B35037" s="74" t="s">
        <v>16697</v>
      </c>
      <c r="C35037" s="74" t="s">
        <v>417</v>
      </c>
    </row>
    <row r="35038" spans="1:3">
      <c r="A35038" s="250">
        <v>80741</v>
      </c>
      <c r="B35038" s="74" t="s">
        <v>16698</v>
      </c>
      <c r="C35038" s="74" t="s">
        <v>417</v>
      </c>
    </row>
    <row r="35039" spans="1:3">
      <c r="A35039" s="250">
        <v>80742</v>
      </c>
      <c r="B35039" s="74" t="s">
        <v>16699</v>
      </c>
      <c r="C35039" s="74" t="s">
        <v>417</v>
      </c>
    </row>
    <row r="35040" spans="1:3">
      <c r="A35040" s="250">
        <v>80743</v>
      </c>
      <c r="B35040" s="74" t="s">
        <v>657</v>
      </c>
      <c r="C35040" s="74" t="s">
        <v>417</v>
      </c>
    </row>
    <row r="35041" spans="1:3">
      <c r="A35041" s="250">
        <v>80744</v>
      </c>
      <c r="B35041" s="74" t="s">
        <v>3804</v>
      </c>
      <c r="C35041" s="74" t="s">
        <v>417</v>
      </c>
    </row>
    <row r="35042" spans="1:3">
      <c r="A35042" s="250">
        <v>80745</v>
      </c>
      <c r="B35042" s="74" t="s">
        <v>16700</v>
      </c>
      <c r="C35042" s="74" t="s">
        <v>417</v>
      </c>
    </row>
    <row r="35043" spans="1:3">
      <c r="A35043" s="250">
        <v>80746</v>
      </c>
      <c r="B35043" s="74" t="s">
        <v>5366</v>
      </c>
      <c r="C35043" s="74" t="s">
        <v>417</v>
      </c>
    </row>
    <row r="35044" spans="1:3">
      <c r="A35044" s="250">
        <v>80747</v>
      </c>
      <c r="B35044" s="74" t="s">
        <v>16701</v>
      </c>
      <c r="C35044" s="74" t="s">
        <v>417</v>
      </c>
    </row>
    <row r="35045" spans="1:3">
      <c r="A35045" s="250">
        <v>80749</v>
      </c>
      <c r="B35045" s="74" t="s">
        <v>1609</v>
      </c>
      <c r="C35045" s="74" t="s">
        <v>417</v>
      </c>
    </row>
    <row r="35046" spans="1:3">
      <c r="A35046" s="250">
        <v>80750</v>
      </c>
      <c r="B35046" s="74" t="s">
        <v>14806</v>
      </c>
      <c r="C35046" s="74" t="s">
        <v>417</v>
      </c>
    </row>
    <row r="35047" spans="1:3">
      <c r="A35047" s="250">
        <v>80751</v>
      </c>
      <c r="B35047" s="74" t="s">
        <v>763</v>
      </c>
      <c r="C35047" s="74" t="s">
        <v>417</v>
      </c>
    </row>
    <row r="35048" spans="1:3">
      <c r="A35048" s="250">
        <v>80754</v>
      </c>
      <c r="B35048" s="74" t="s">
        <v>925</v>
      </c>
      <c r="C35048" s="74" t="s">
        <v>417</v>
      </c>
    </row>
    <row r="35049" spans="1:3">
      <c r="A35049" s="250">
        <v>80755</v>
      </c>
      <c r="B35049" s="74" t="s">
        <v>1791</v>
      </c>
      <c r="C35049" s="74" t="s">
        <v>417</v>
      </c>
    </row>
    <row r="35050" spans="1:3">
      <c r="A35050" s="250">
        <v>80757</v>
      </c>
      <c r="B35050" s="74" t="s">
        <v>16702</v>
      </c>
      <c r="C35050" s="74" t="s">
        <v>417</v>
      </c>
    </row>
    <row r="35051" spans="1:3">
      <c r="A35051" s="250">
        <v>80758</v>
      </c>
      <c r="B35051" s="74" t="s">
        <v>8192</v>
      </c>
      <c r="C35051" s="74" t="s">
        <v>417</v>
      </c>
    </row>
    <row r="35052" spans="1:3">
      <c r="A35052" s="250">
        <v>80759</v>
      </c>
      <c r="B35052" s="74" t="s">
        <v>9238</v>
      </c>
      <c r="C35052" s="74" t="s">
        <v>417</v>
      </c>
    </row>
    <row r="35053" spans="1:3">
      <c r="A35053" s="250">
        <v>80801</v>
      </c>
      <c r="B35053" s="74" t="s">
        <v>16538</v>
      </c>
      <c r="C35053" s="74" t="s">
        <v>417</v>
      </c>
    </row>
    <row r="35054" spans="1:3">
      <c r="A35054" s="250">
        <v>80802</v>
      </c>
      <c r="B35054" s="74" t="s">
        <v>7425</v>
      </c>
      <c r="C35054" s="74" t="s">
        <v>417</v>
      </c>
    </row>
    <row r="35055" spans="1:3">
      <c r="A35055" s="250">
        <v>80804</v>
      </c>
      <c r="B35055" s="74" t="s">
        <v>16703</v>
      </c>
      <c r="C35055" s="74" t="s">
        <v>417</v>
      </c>
    </row>
    <row r="35056" spans="1:3">
      <c r="A35056" s="250">
        <v>80805</v>
      </c>
      <c r="B35056" s="74" t="s">
        <v>7597</v>
      </c>
      <c r="C35056" s="74" t="s">
        <v>417</v>
      </c>
    </row>
    <row r="35057" spans="1:3">
      <c r="A35057" s="250">
        <v>80807</v>
      </c>
      <c r="B35057" s="74" t="s">
        <v>806</v>
      </c>
      <c r="C35057" s="74" t="s">
        <v>417</v>
      </c>
    </row>
    <row r="35058" spans="1:3">
      <c r="A35058" s="250">
        <v>80808</v>
      </c>
      <c r="B35058" s="74" t="s">
        <v>16704</v>
      </c>
      <c r="C35058" s="74" t="s">
        <v>417</v>
      </c>
    </row>
    <row r="35059" spans="1:3">
      <c r="A35059" s="250">
        <v>80809</v>
      </c>
      <c r="B35059" s="74" t="s">
        <v>5792</v>
      </c>
      <c r="C35059" s="74" t="s">
        <v>417</v>
      </c>
    </row>
    <row r="35060" spans="1:3">
      <c r="A35060" s="250">
        <v>80810</v>
      </c>
      <c r="B35060" s="74" t="s">
        <v>16705</v>
      </c>
      <c r="C35060" s="74" t="s">
        <v>417</v>
      </c>
    </row>
    <row r="35061" spans="1:3">
      <c r="A35061" s="250">
        <v>80812</v>
      </c>
      <c r="B35061" s="74" t="s">
        <v>7605</v>
      </c>
      <c r="C35061" s="74" t="s">
        <v>417</v>
      </c>
    </row>
    <row r="35062" spans="1:3">
      <c r="A35062" s="250">
        <v>80813</v>
      </c>
      <c r="B35062" s="74" t="s">
        <v>6353</v>
      </c>
      <c r="C35062" s="74" t="s">
        <v>417</v>
      </c>
    </row>
    <row r="35063" spans="1:3">
      <c r="A35063" s="250">
        <v>80814</v>
      </c>
      <c r="B35063" s="74" t="s">
        <v>13372</v>
      </c>
      <c r="C35063" s="74" t="s">
        <v>417</v>
      </c>
    </row>
    <row r="35064" spans="1:3">
      <c r="A35064" s="250">
        <v>80815</v>
      </c>
      <c r="B35064" s="74" t="s">
        <v>16706</v>
      </c>
      <c r="C35064" s="74" t="s">
        <v>417</v>
      </c>
    </row>
    <row r="35065" spans="1:3">
      <c r="A35065" s="250">
        <v>80816</v>
      </c>
      <c r="B35065" s="74" t="s">
        <v>14073</v>
      </c>
      <c r="C35065" s="74" t="s">
        <v>417</v>
      </c>
    </row>
    <row r="35066" spans="1:3">
      <c r="A35066" s="250">
        <v>80817</v>
      </c>
      <c r="B35066" s="74" t="s">
        <v>7192</v>
      </c>
      <c r="C35066" s="74" t="s">
        <v>417</v>
      </c>
    </row>
    <row r="35067" spans="1:3">
      <c r="A35067" s="250">
        <v>80818</v>
      </c>
      <c r="B35067" s="74" t="s">
        <v>3366</v>
      </c>
      <c r="C35067" s="74" t="s">
        <v>417</v>
      </c>
    </row>
    <row r="35068" spans="1:3">
      <c r="A35068" s="250">
        <v>80819</v>
      </c>
      <c r="B35068" s="74" t="s">
        <v>16707</v>
      </c>
      <c r="C35068" s="74" t="s">
        <v>417</v>
      </c>
    </row>
    <row r="35069" spans="1:3">
      <c r="A35069" s="250">
        <v>80820</v>
      </c>
      <c r="B35069" s="74" t="s">
        <v>16708</v>
      </c>
      <c r="C35069" s="74" t="s">
        <v>417</v>
      </c>
    </row>
    <row r="35070" spans="1:3">
      <c r="A35070" s="250">
        <v>80821</v>
      </c>
      <c r="B35070" s="74" t="s">
        <v>12372</v>
      </c>
      <c r="C35070" s="74" t="s">
        <v>417</v>
      </c>
    </row>
    <row r="35071" spans="1:3">
      <c r="A35071" s="250">
        <v>80822</v>
      </c>
      <c r="B35071" s="74" t="s">
        <v>16709</v>
      </c>
      <c r="C35071" s="74" t="s">
        <v>417</v>
      </c>
    </row>
    <row r="35072" spans="1:3">
      <c r="A35072" s="250">
        <v>80823</v>
      </c>
      <c r="B35072" s="74" t="s">
        <v>16710</v>
      </c>
      <c r="C35072" s="74" t="s">
        <v>417</v>
      </c>
    </row>
    <row r="35073" spans="1:3">
      <c r="A35073" s="250">
        <v>80824</v>
      </c>
      <c r="B35073" s="74" t="s">
        <v>16711</v>
      </c>
      <c r="C35073" s="74" t="s">
        <v>417</v>
      </c>
    </row>
    <row r="35074" spans="1:3">
      <c r="A35074" s="250">
        <v>80825</v>
      </c>
      <c r="B35074" s="74" t="s">
        <v>16712</v>
      </c>
      <c r="C35074" s="74" t="s">
        <v>417</v>
      </c>
    </row>
    <row r="35075" spans="1:3">
      <c r="A35075" s="250">
        <v>80826</v>
      </c>
      <c r="B35075" s="74" t="s">
        <v>16713</v>
      </c>
      <c r="C35075" s="74" t="s">
        <v>417</v>
      </c>
    </row>
    <row r="35076" spans="1:3">
      <c r="A35076" s="250">
        <v>80827</v>
      </c>
      <c r="B35076" s="74" t="s">
        <v>3243</v>
      </c>
      <c r="C35076" s="74" t="s">
        <v>417</v>
      </c>
    </row>
    <row r="35077" spans="1:3">
      <c r="A35077" s="250">
        <v>80828</v>
      </c>
      <c r="B35077" s="74" t="s">
        <v>16713</v>
      </c>
      <c r="C35077" s="74" t="s">
        <v>417</v>
      </c>
    </row>
    <row r="35078" spans="1:3">
      <c r="A35078" s="250">
        <v>80829</v>
      </c>
      <c r="B35078" s="74" t="s">
        <v>16714</v>
      </c>
      <c r="C35078" s="74" t="s">
        <v>417</v>
      </c>
    </row>
    <row r="35079" spans="1:3">
      <c r="A35079" s="250">
        <v>80830</v>
      </c>
      <c r="B35079" s="74" t="s">
        <v>16715</v>
      </c>
      <c r="C35079" s="74" t="s">
        <v>417</v>
      </c>
    </row>
    <row r="35080" spans="1:3">
      <c r="A35080" s="250">
        <v>80831</v>
      </c>
      <c r="B35080" s="74" t="s">
        <v>16716</v>
      </c>
      <c r="C35080" s="74" t="s">
        <v>417</v>
      </c>
    </row>
    <row r="35081" spans="1:3">
      <c r="A35081" s="250">
        <v>80832</v>
      </c>
      <c r="B35081" s="74" t="s">
        <v>16717</v>
      </c>
      <c r="C35081" s="74" t="s">
        <v>417</v>
      </c>
    </row>
    <row r="35082" spans="1:3">
      <c r="A35082" s="250">
        <v>80833</v>
      </c>
      <c r="B35082" s="74" t="s">
        <v>3816</v>
      </c>
      <c r="C35082" s="74" t="s">
        <v>417</v>
      </c>
    </row>
    <row r="35083" spans="1:3">
      <c r="A35083" s="250">
        <v>80834</v>
      </c>
      <c r="B35083" s="74" t="s">
        <v>16718</v>
      </c>
      <c r="C35083" s="74" t="s">
        <v>417</v>
      </c>
    </row>
    <row r="35084" spans="1:3">
      <c r="A35084" s="250">
        <v>80835</v>
      </c>
      <c r="B35084" s="74" t="s">
        <v>16719</v>
      </c>
      <c r="C35084" s="74" t="s">
        <v>417</v>
      </c>
    </row>
    <row r="35085" spans="1:3">
      <c r="A35085" s="250">
        <v>80836</v>
      </c>
      <c r="B35085" s="74" t="s">
        <v>1721</v>
      </c>
      <c r="C35085" s="74" t="s">
        <v>417</v>
      </c>
    </row>
    <row r="35086" spans="1:3">
      <c r="A35086" s="250">
        <v>80840</v>
      </c>
      <c r="B35086" s="74" t="s">
        <v>16720</v>
      </c>
      <c r="C35086" s="74" t="s">
        <v>417</v>
      </c>
    </row>
    <row r="35087" spans="1:3">
      <c r="A35087" s="250">
        <v>80841</v>
      </c>
      <c r="B35087" s="74" t="s">
        <v>16720</v>
      </c>
      <c r="C35087" s="74" t="s">
        <v>417</v>
      </c>
    </row>
    <row r="35088" spans="1:3">
      <c r="A35088" s="250">
        <v>80860</v>
      </c>
      <c r="B35088" s="74" t="s">
        <v>3832</v>
      </c>
      <c r="C35088" s="74" t="s">
        <v>417</v>
      </c>
    </row>
    <row r="35089" spans="1:3">
      <c r="A35089" s="250">
        <v>80861</v>
      </c>
      <c r="B35089" s="74" t="s">
        <v>16721</v>
      </c>
      <c r="C35089" s="74" t="s">
        <v>417</v>
      </c>
    </row>
    <row r="35090" spans="1:3">
      <c r="A35090" s="250">
        <v>80862</v>
      </c>
      <c r="B35090" s="74" t="s">
        <v>16722</v>
      </c>
      <c r="C35090" s="74" t="s">
        <v>417</v>
      </c>
    </row>
    <row r="35091" spans="1:3">
      <c r="A35091" s="250">
        <v>80863</v>
      </c>
      <c r="B35091" s="74" t="s">
        <v>16723</v>
      </c>
      <c r="C35091" s="74" t="s">
        <v>417</v>
      </c>
    </row>
    <row r="35092" spans="1:3">
      <c r="A35092" s="250">
        <v>80864</v>
      </c>
      <c r="B35092" s="74" t="s">
        <v>10757</v>
      </c>
      <c r="C35092" s="74" t="s">
        <v>417</v>
      </c>
    </row>
    <row r="35093" spans="1:3">
      <c r="A35093" s="250">
        <v>80866</v>
      </c>
      <c r="B35093" s="74" t="s">
        <v>16723</v>
      </c>
      <c r="C35093" s="74" t="s">
        <v>417</v>
      </c>
    </row>
    <row r="35094" spans="1:3">
      <c r="A35094" s="250">
        <v>80901</v>
      </c>
      <c r="B35094" s="74" t="s">
        <v>16724</v>
      </c>
      <c r="C35094" s="74" t="s">
        <v>417</v>
      </c>
    </row>
    <row r="35095" spans="1:3">
      <c r="A35095" s="250">
        <v>80902</v>
      </c>
      <c r="B35095" s="74" t="s">
        <v>16724</v>
      </c>
      <c r="C35095" s="74" t="s">
        <v>417</v>
      </c>
    </row>
    <row r="35096" spans="1:3">
      <c r="A35096" s="250">
        <v>80903</v>
      </c>
      <c r="B35096" s="74" t="s">
        <v>16724</v>
      </c>
      <c r="C35096" s="74" t="s">
        <v>417</v>
      </c>
    </row>
    <row r="35097" spans="1:3">
      <c r="A35097" s="250">
        <v>80904</v>
      </c>
      <c r="B35097" s="74" t="s">
        <v>16724</v>
      </c>
      <c r="C35097" s="74" t="s">
        <v>417</v>
      </c>
    </row>
    <row r="35098" spans="1:3">
      <c r="A35098" s="250">
        <v>80905</v>
      </c>
      <c r="B35098" s="74" t="s">
        <v>16724</v>
      </c>
      <c r="C35098" s="74" t="s">
        <v>417</v>
      </c>
    </row>
    <row r="35099" spans="1:3">
      <c r="A35099" s="250">
        <v>80906</v>
      </c>
      <c r="B35099" s="74" t="s">
        <v>16724</v>
      </c>
      <c r="C35099" s="74" t="s">
        <v>417</v>
      </c>
    </row>
    <row r="35100" spans="1:3">
      <c r="A35100" s="250">
        <v>80907</v>
      </c>
      <c r="B35100" s="74" t="s">
        <v>16724</v>
      </c>
      <c r="C35100" s="74" t="s">
        <v>417</v>
      </c>
    </row>
    <row r="35101" spans="1:3">
      <c r="A35101" s="250">
        <v>80908</v>
      </c>
      <c r="B35101" s="74" t="s">
        <v>16724</v>
      </c>
      <c r="C35101" s="74" t="s">
        <v>417</v>
      </c>
    </row>
    <row r="35102" spans="1:3">
      <c r="A35102" s="250">
        <v>80909</v>
      </c>
      <c r="B35102" s="74" t="s">
        <v>16724</v>
      </c>
      <c r="C35102" s="74" t="s">
        <v>417</v>
      </c>
    </row>
    <row r="35103" spans="1:3">
      <c r="A35103" s="250">
        <v>80910</v>
      </c>
      <c r="B35103" s="74" t="s">
        <v>16724</v>
      </c>
      <c r="C35103" s="74" t="s">
        <v>417</v>
      </c>
    </row>
    <row r="35104" spans="1:3">
      <c r="A35104" s="250">
        <v>80911</v>
      </c>
      <c r="B35104" s="74" t="s">
        <v>16724</v>
      </c>
      <c r="C35104" s="74" t="s">
        <v>417</v>
      </c>
    </row>
    <row r="35105" spans="1:3">
      <c r="A35105" s="250">
        <v>80912</v>
      </c>
      <c r="B35105" s="74" t="s">
        <v>16724</v>
      </c>
      <c r="C35105" s="74" t="s">
        <v>417</v>
      </c>
    </row>
    <row r="35106" spans="1:3">
      <c r="A35106" s="250">
        <v>80913</v>
      </c>
      <c r="B35106" s="74" t="s">
        <v>16724</v>
      </c>
      <c r="C35106" s="74" t="s">
        <v>417</v>
      </c>
    </row>
    <row r="35107" spans="1:3">
      <c r="A35107" s="250">
        <v>80914</v>
      </c>
      <c r="B35107" s="74" t="s">
        <v>16724</v>
      </c>
      <c r="C35107" s="74" t="s">
        <v>417</v>
      </c>
    </row>
    <row r="35108" spans="1:3">
      <c r="A35108" s="250">
        <v>80915</v>
      </c>
      <c r="B35108" s="74" t="s">
        <v>16724</v>
      </c>
      <c r="C35108" s="74" t="s">
        <v>417</v>
      </c>
    </row>
    <row r="35109" spans="1:3">
      <c r="A35109" s="250">
        <v>80916</v>
      </c>
      <c r="B35109" s="74" t="s">
        <v>16724</v>
      </c>
      <c r="C35109" s="74" t="s">
        <v>417</v>
      </c>
    </row>
    <row r="35110" spans="1:3">
      <c r="A35110" s="250">
        <v>80917</v>
      </c>
      <c r="B35110" s="74" t="s">
        <v>16724</v>
      </c>
      <c r="C35110" s="74" t="s">
        <v>417</v>
      </c>
    </row>
    <row r="35111" spans="1:3">
      <c r="A35111" s="250">
        <v>80918</v>
      </c>
      <c r="B35111" s="74" t="s">
        <v>16724</v>
      </c>
      <c r="C35111" s="74" t="s">
        <v>417</v>
      </c>
    </row>
    <row r="35112" spans="1:3">
      <c r="A35112" s="250">
        <v>80919</v>
      </c>
      <c r="B35112" s="74" t="s">
        <v>16724</v>
      </c>
      <c r="C35112" s="74" t="s">
        <v>417</v>
      </c>
    </row>
    <row r="35113" spans="1:3">
      <c r="A35113" s="250">
        <v>80920</v>
      </c>
      <c r="B35113" s="74" t="s">
        <v>16724</v>
      </c>
      <c r="C35113" s="74" t="s">
        <v>417</v>
      </c>
    </row>
    <row r="35114" spans="1:3">
      <c r="A35114" s="250">
        <v>80921</v>
      </c>
      <c r="B35114" s="74" t="s">
        <v>16724</v>
      </c>
      <c r="C35114" s="74" t="s">
        <v>417</v>
      </c>
    </row>
    <row r="35115" spans="1:3">
      <c r="A35115" s="250">
        <v>80922</v>
      </c>
      <c r="B35115" s="74" t="s">
        <v>16724</v>
      </c>
      <c r="C35115" s="74" t="s">
        <v>417</v>
      </c>
    </row>
    <row r="35116" spans="1:3">
      <c r="A35116" s="250">
        <v>80923</v>
      </c>
      <c r="B35116" s="74" t="s">
        <v>16724</v>
      </c>
      <c r="C35116" s="74" t="s">
        <v>417</v>
      </c>
    </row>
    <row r="35117" spans="1:3">
      <c r="A35117" s="250">
        <v>80924</v>
      </c>
      <c r="B35117" s="74" t="s">
        <v>16724</v>
      </c>
      <c r="C35117" s="74" t="s">
        <v>417</v>
      </c>
    </row>
    <row r="35118" spans="1:3">
      <c r="A35118" s="250">
        <v>80925</v>
      </c>
      <c r="B35118" s="74" t="s">
        <v>16724</v>
      </c>
      <c r="C35118" s="74" t="s">
        <v>417</v>
      </c>
    </row>
    <row r="35119" spans="1:3">
      <c r="A35119" s="250">
        <v>80926</v>
      </c>
      <c r="B35119" s="74" t="s">
        <v>16724</v>
      </c>
      <c r="C35119" s="74" t="s">
        <v>417</v>
      </c>
    </row>
    <row r="35120" spans="1:3">
      <c r="A35120" s="250">
        <v>80927</v>
      </c>
      <c r="B35120" s="74" t="s">
        <v>16724</v>
      </c>
      <c r="C35120" s="74" t="s">
        <v>417</v>
      </c>
    </row>
    <row r="35121" spans="1:3">
      <c r="A35121" s="250">
        <v>80928</v>
      </c>
      <c r="B35121" s="74" t="s">
        <v>16724</v>
      </c>
      <c r="C35121" s="74" t="s">
        <v>417</v>
      </c>
    </row>
    <row r="35122" spans="1:3">
      <c r="A35122" s="250">
        <v>80929</v>
      </c>
      <c r="B35122" s="74" t="s">
        <v>16724</v>
      </c>
      <c r="C35122" s="74" t="s">
        <v>417</v>
      </c>
    </row>
    <row r="35123" spans="1:3">
      <c r="A35123" s="250">
        <v>80930</v>
      </c>
      <c r="B35123" s="74" t="s">
        <v>16724</v>
      </c>
      <c r="C35123" s="74" t="s">
        <v>417</v>
      </c>
    </row>
    <row r="35124" spans="1:3">
      <c r="A35124" s="250">
        <v>80931</v>
      </c>
      <c r="B35124" s="74" t="s">
        <v>16724</v>
      </c>
      <c r="C35124" s="74" t="s">
        <v>417</v>
      </c>
    </row>
    <row r="35125" spans="1:3">
      <c r="A35125" s="250">
        <v>80932</v>
      </c>
      <c r="B35125" s="74" t="s">
        <v>16724</v>
      </c>
      <c r="C35125" s="74" t="s">
        <v>417</v>
      </c>
    </row>
    <row r="35126" spans="1:3">
      <c r="A35126" s="250">
        <v>80933</v>
      </c>
      <c r="B35126" s="74" t="s">
        <v>16724</v>
      </c>
      <c r="C35126" s="74" t="s">
        <v>417</v>
      </c>
    </row>
    <row r="35127" spans="1:3">
      <c r="A35127" s="250">
        <v>80934</v>
      </c>
      <c r="B35127" s="74" t="s">
        <v>16724</v>
      </c>
      <c r="C35127" s="74" t="s">
        <v>417</v>
      </c>
    </row>
    <row r="35128" spans="1:3">
      <c r="A35128" s="250">
        <v>80935</v>
      </c>
      <c r="B35128" s="74" t="s">
        <v>16724</v>
      </c>
      <c r="C35128" s="74" t="s">
        <v>417</v>
      </c>
    </row>
    <row r="35129" spans="1:3">
      <c r="A35129" s="250">
        <v>80936</v>
      </c>
      <c r="B35129" s="74" t="s">
        <v>16724</v>
      </c>
      <c r="C35129" s="74" t="s">
        <v>417</v>
      </c>
    </row>
    <row r="35130" spans="1:3">
      <c r="A35130" s="250">
        <v>80937</v>
      </c>
      <c r="B35130" s="74" t="s">
        <v>16724</v>
      </c>
      <c r="C35130" s="74" t="s">
        <v>417</v>
      </c>
    </row>
    <row r="35131" spans="1:3">
      <c r="A35131" s="250">
        <v>80938</v>
      </c>
      <c r="B35131" s="74" t="s">
        <v>16724</v>
      </c>
      <c r="C35131" s="74" t="s">
        <v>417</v>
      </c>
    </row>
    <row r="35132" spans="1:3">
      <c r="A35132" s="250">
        <v>80939</v>
      </c>
      <c r="B35132" s="74" t="s">
        <v>16724</v>
      </c>
      <c r="C35132" s="74" t="s">
        <v>417</v>
      </c>
    </row>
    <row r="35133" spans="1:3">
      <c r="A35133" s="250">
        <v>80940</v>
      </c>
      <c r="B35133" s="74" t="s">
        <v>16724</v>
      </c>
      <c r="C35133" s="74" t="s">
        <v>417</v>
      </c>
    </row>
    <row r="35134" spans="1:3">
      <c r="A35134" s="250">
        <v>80941</v>
      </c>
      <c r="B35134" s="74" t="s">
        <v>16724</v>
      </c>
      <c r="C35134" s="74" t="s">
        <v>417</v>
      </c>
    </row>
    <row r="35135" spans="1:3">
      <c r="A35135" s="250">
        <v>80942</v>
      </c>
      <c r="B35135" s="74" t="s">
        <v>16724</v>
      </c>
      <c r="C35135" s="74" t="s">
        <v>417</v>
      </c>
    </row>
    <row r="35136" spans="1:3">
      <c r="A35136" s="250">
        <v>80943</v>
      </c>
      <c r="B35136" s="74" t="s">
        <v>16724</v>
      </c>
      <c r="C35136" s="74" t="s">
        <v>417</v>
      </c>
    </row>
    <row r="35137" spans="1:3">
      <c r="A35137" s="250">
        <v>80944</v>
      </c>
      <c r="B35137" s="74" t="s">
        <v>16724</v>
      </c>
      <c r="C35137" s="74" t="s">
        <v>417</v>
      </c>
    </row>
    <row r="35138" spans="1:3">
      <c r="A35138" s="250">
        <v>80945</v>
      </c>
      <c r="B35138" s="74" t="s">
        <v>16724</v>
      </c>
      <c r="C35138" s="74" t="s">
        <v>417</v>
      </c>
    </row>
    <row r="35139" spans="1:3">
      <c r="A35139" s="250">
        <v>80946</v>
      </c>
      <c r="B35139" s="74" t="s">
        <v>16724</v>
      </c>
      <c r="C35139" s="74" t="s">
        <v>417</v>
      </c>
    </row>
    <row r="35140" spans="1:3">
      <c r="A35140" s="250">
        <v>80947</v>
      </c>
      <c r="B35140" s="74" t="s">
        <v>16724</v>
      </c>
      <c r="C35140" s="74" t="s">
        <v>417</v>
      </c>
    </row>
    <row r="35141" spans="1:3">
      <c r="A35141" s="250">
        <v>80949</v>
      </c>
      <c r="B35141" s="74" t="s">
        <v>16724</v>
      </c>
      <c r="C35141" s="74" t="s">
        <v>417</v>
      </c>
    </row>
    <row r="35142" spans="1:3">
      <c r="A35142" s="250">
        <v>80950</v>
      </c>
      <c r="B35142" s="74" t="s">
        <v>16724</v>
      </c>
      <c r="C35142" s="74" t="s">
        <v>417</v>
      </c>
    </row>
    <row r="35143" spans="1:3">
      <c r="A35143" s="250">
        <v>80951</v>
      </c>
      <c r="B35143" s="74" t="s">
        <v>16724</v>
      </c>
      <c r="C35143" s="74" t="s">
        <v>417</v>
      </c>
    </row>
    <row r="35144" spans="1:3">
      <c r="A35144" s="250">
        <v>80960</v>
      </c>
      <c r="B35144" s="74" t="s">
        <v>16724</v>
      </c>
      <c r="C35144" s="74" t="s">
        <v>417</v>
      </c>
    </row>
    <row r="35145" spans="1:3">
      <c r="A35145" s="250">
        <v>80962</v>
      </c>
      <c r="B35145" s="74" t="s">
        <v>16724</v>
      </c>
      <c r="C35145" s="74" t="s">
        <v>417</v>
      </c>
    </row>
    <row r="35146" spans="1:3">
      <c r="A35146" s="250">
        <v>80970</v>
      </c>
      <c r="B35146" s="74" t="s">
        <v>16724</v>
      </c>
      <c r="C35146" s="74" t="s">
        <v>417</v>
      </c>
    </row>
    <row r="35147" spans="1:3">
      <c r="A35147" s="250">
        <v>80977</v>
      </c>
      <c r="B35147" s="74" t="s">
        <v>16724</v>
      </c>
      <c r="C35147" s="74" t="s">
        <v>417</v>
      </c>
    </row>
    <row r="35148" spans="1:3">
      <c r="A35148" s="250">
        <v>80995</v>
      </c>
      <c r="B35148" s="74" t="s">
        <v>16724</v>
      </c>
      <c r="C35148" s="74" t="s">
        <v>417</v>
      </c>
    </row>
    <row r="35149" spans="1:3">
      <c r="A35149" s="250">
        <v>80997</v>
      </c>
      <c r="B35149" s="74" t="s">
        <v>16724</v>
      </c>
      <c r="C35149" s="74" t="s">
        <v>417</v>
      </c>
    </row>
    <row r="35150" spans="1:3">
      <c r="A35150" s="250">
        <v>81001</v>
      </c>
      <c r="B35150" s="74" t="s">
        <v>16725</v>
      </c>
      <c r="C35150" s="74" t="s">
        <v>417</v>
      </c>
    </row>
    <row r="35151" spans="1:3">
      <c r="A35151" s="250">
        <v>81002</v>
      </c>
      <c r="B35151" s="74" t="s">
        <v>16725</v>
      </c>
      <c r="C35151" s="74" t="s">
        <v>417</v>
      </c>
    </row>
    <row r="35152" spans="1:3">
      <c r="A35152" s="250">
        <v>81003</v>
      </c>
      <c r="B35152" s="74" t="s">
        <v>16725</v>
      </c>
      <c r="C35152" s="74" t="s">
        <v>417</v>
      </c>
    </row>
    <row r="35153" spans="1:3">
      <c r="A35153" s="250">
        <v>81004</v>
      </c>
      <c r="B35153" s="74" t="s">
        <v>16725</v>
      </c>
      <c r="C35153" s="74" t="s">
        <v>417</v>
      </c>
    </row>
    <row r="35154" spans="1:3">
      <c r="A35154" s="250">
        <v>81005</v>
      </c>
      <c r="B35154" s="74" t="s">
        <v>16725</v>
      </c>
      <c r="C35154" s="74" t="s">
        <v>417</v>
      </c>
    </row>
    <row r="35155" spans="1:3">
      <c r="A35155" s="250">
        <v>81006</v>
      </c>
      <c r="B35155" s="74" t="s">
        <v>16725</v>
      </c>
      <c r="C35155" s="74" t="s">
        <v>417</v>
      </c>
    </row>
    <row r="35156" spans="1:3">
      <c r="A35156" s="250">
        <v>81007</v>
      </c>
      <c r="B35156" s="74" t="s">
        <v>16725</v>
      </c>
      <c r="C35156" s="74" t="s">
        <v>417</v>
      </c>
    </row>
    <row r="35157" spans="1:3">
      <c r="A35157" s="250">
        <v>81008</v>
      </c>
      <c r="B35157" s="74" t="s">
        <v>16725</v>
      </c>
      <c r="C35157" s="74" t="s">
        <v>417</v>
      </c>
    </row>
    <row r="35158" spans="1:3">
      <c r="A35158" s="250">
        <v>81009</v>
      </c>
      <c r="B35158" s="74" t="s">
        <v>16725</v>
      </c>
      <c r="C35158" s="74" t="s">
        <v>417</v>
      </c>
    </row>
    <row r="35159" spans="1:3">
      <c r="A35159" s="250">
        <v>81010</v>
      </c>
      <c r="B35159" s="74" t="s">
        <v>16725</v>
      </c>
      <c r="C35159" s="74" t="s">
        <v>417</v>
      </c>
    </row>
    <row r="35160" spans="1:3">
      <c r="A35160" s="250">
        <v>81011</v>
      </c>
      <c r="B35160" s="74" t="s">
        <v>16725</v>
      </c>
      <c r="C35160" s="74" t="s">
        <v>417</v>
      </c>
    </row>
    <row r="35161" spans="1:3">
      <c r="A35161" s="250">
        <v>81012</v>
      </c>
      <c r="B35161" s="74" t="s">
        <v>16725</v>
      </c>
      <c r="C35161" s="74" t="s">
        <v>417</v>
      </c>
    </row>
    <row r="35162" spans="1:3">
      <c r="A35162" s="250">
        <v>81019</v>
      </c>
      <c r="B35162" s="74" t="s">
        <v>16576</v>
      </c>
      <c r="C35162" s="74" t="s">
        <v>417</v>
      </c>
    </row>
    <row r="35163" spans="1:3">
      <c r="A35163" s="250">
        <v>81020</v>
      </c>
      <c r="B35163" s="74" t="s">
        <v>16726</v>
      </c>
      <c r="C35163" s="74" t="s">
        <v>417</v>
      </c>
    </row>
    <row r="35164" spans="1:3">
      <c r="A35164" s="250">
        <v>81021</v>
      </c>
      <c r="B35164" s="74" t="s">
        <v>984</v>
      </c>
      <c r="C35164" s="74" t="s">
        <v>417</v>
      </c>
    </row>
    <row r="35165" spans="1:3">
      <c r="A35165" s="250">
        <v>81022</v>
      </c>
      <c r="B35165" s="74" t="s">
        <v>5368</v>
      </c>
      <c r="C35165" s="74" t="s">
        <v>417</v>
      </c>
    </row>
    <row r="35166" spans="1:3">
      <c r="A35166" s="250">
        <v>81023</v>
      </c>
      <c r="B35166" s="74" t="s">
        <v>9330</v>
      </c>
      <c r="C35166" s="74" t="s">
        <v>417</v>
      </c>
    </row>
    <row r="35167" spans="1:3">
      <c r="A35167" s="250">
        <v>81024</v>
      </c>
      <c r="B35167" s="74" t="s">
        <v>16727</v>
      </c>
      <c r="C35167" s="74" t="s">
        <v>417</v>
      </c>
    </row>
    <row r="35168" spans="1:3">
      <c r="A35168" s="250">
        <v>81025</v>
      </c>
      <c r="B35168" s="74" t="s">
        <v>7469</v>
      </c>
      <c r="C35168" s="74" t="s">
        <v>417</v>
      </c>
    </row>
    <row r="35169" spans="1:3">
      <c r="A35169" s="250">
        <v>81027</v>
      </c>
      <c r="B35169" s="74" t="s">
        <v>14421</v>
      </c>
      <c r="C35169" s="74" t="s">
        <v>417</v>
      </c>
    </row>
    <row r="35170" spans="1:3">
      <c r="A35170" s="250">
        <v>81029</v>
      </c>
      <c r="B35170" s="74" t="s">
        <v>16728</v>
      </c>
      <c r="C35170" s="74" t="s">
        <v>417</v>
      </c>
    </row>
    <row r="35171" spans="1:3">
      <c r="A35171" s="250">
        <v>81030</v>
      </c>
      <c r="B35171" s="74" t="s">
        <v>7731</v>
      </c>
      <c r="C35171" s="74" t="s">
        <v>417</v>
      </c>
    </row>
    <row r="35172" spans="1:3">
      <c r="A35172" s="250">
        <v>81033</v>
      </c>
      <c r="B35172" s="74" t="s">
        <v>15000</v>
      </c>
      <c r="C35172" s="74" t="s">
        <v>417</v>
      </c>
    </row>
    <row r="35173" spans="1:3">
      <c r="A35173" s="250">
        <v>81034</v>
      </c>
      <c r="B35173" s="74" t="s">
        <v>15000</v>
      </c>
      <c r="C35173" s="74" t="s">
        <v>417</v>
      </c>
    </row>
    <row r="35174" spans="1:3">
      <c r="A35174" s="250">
        <v>81036</v>
      </c>
      <c r="B35174" s="74" t="s">
        <v>9178</v>
      </c>
      <c r="C35174" s="74" t="s">
        <v>417</v>
      </c>
    </row>
    <row r="35175" spans="1:3">
      <c r="A35175" s="250">
        <v>81038</v>
      </c>
      <c r="B35175" s="74" t="s">
        <v>16729</v>
      </c>
      <c r="C35175" s="74" t="s">
        <v>417</v>
      </c>
    </row>
    <row r="35176" spans="1:3">
      <c r="A35176" s="250">
        <v>81039</v>
      </c>
      <c r="B35176" s="74" t="s">
        <v>10361</v>
      </c>
      <c r="C35176" s="74" t="s">
        <v>417</v>
      </c>
    </row>
    <row r="35177" spans="1:3">
      <c r="A35177" s="250">
        <v>81040</v>
      </c>
      <c r="B35177" s="74" t="s">
        <v>707</v>
      </c>
      <c r="C35177" s="74" t="s">
        <v>417</v>
      </c>
    </row>
    <row r="35178" spans="1:3">
      <c r="A35178" s="250">
        <v>81041</v>
      </c>
      <c r="B35178" s="74" t="s">
        <v>12535</v>
      </c>
      <c r="C35178" s="74" t="s">
        <v>417</v>
      </c>
    </row>
    <row r="35179" spans="1:3">
      <c r="A35179" s="250">
        <v>81043</v>
      </c>
      <c r="B35179" s="74" t="s">
        <v>15494</v>
      </c>
      <c r="C35179" s="74" t="s">
        <v>417</v>
      </c>
    </row>
    <row r="35180" spans="1:3">
      <c r="A35180" s="250">
        <v>81044</v>
      </c>
      <c r="B35180" s="74" t="s">
        <v>15455</v>
      </c>
      <c r="C35180" s="74" t="s">
        <v>417</v>
      </c>
    </row>
    <row r="35181" spans="1:3">
      <c r="A35181" s="250">
        <v>81045</v>
      </c>
      <c r="B35181" s="74" t="s">
        <v>16730</v>
      </c>
      <c r="C35181" s="74" t="s">
        <v>417</v>
      </c>
    </row>
    <row r="35182" spans="1:3">
      <c r="A35182" s="250">
        <v>81046</v>
      </c>
      <c r="B35182" s="74" t="s">
        <v>16731</v>
      </c>
      <c r="C35182" s="74" t="s">
        <v>417</v>
      </c>
    </row>
    <row r="35183" spans="1:3">
      <c r="A35183" s="250">
        <v>81047</v>
      </c>
      <c r="B35183" s="74" t="s">
        <v>11070</v>
      </c>
      <c r="C35183" s="74" t="s">
        <v>417</v>
      </c>
    </row>
    <row r="35184" spans="1:3">
      <c r="A35184" s="250">
        <v>81049</v>
      </c>
      <c r="B35184" s="74" t="s">
        <v>16732</v>
      </c>
      <c r="C35184" s="74" t="s">
        <v>417</v>
      </c>
    </row>
    <row r="35185" spans="1:3">
      <c r="A35185" s="250">
        <v>81050</v>
      </c>
      <c r="B35185" s="74" t="s">
        <v>16733</v>
      </c>
      <c r="C35185" s="74" t="s">
        <v>417</v>
      </c>
    </row>
    <row r="35186" spans="1:3">
      <c r="A35186" s="250">
        <v>81052</v>
      </c>
      <c r="B35186" s="74" t="s">
        <v>4632</v>
      </c>
      <c r="C35186" s="74" t="s">
        <v>417</v>
      </c>
    </row>
    <row r="35187" spans="1:3">
      <c r="A35187" s="250">
        <v>81054</v>
      </c>
      <c r="B35187" s="74" t="s">
        <v>16734</v>
      </c>
      <c r="C35187" s="74" t="s">
        <v>417</v>
      </c>
    </row>
    <row r="35188" spans="1:3">
      <c r="A35188" s="250">
        <v>81055</v>
      </c>
      <c r="B35188" s="74" t="s">
        <v>16735</v>
      </c>
      <c r="C35188" s="74" t="s">
        <v>417</v>
      </c>
    </row>
    <row r="35189" spans="1:3">
      <c r="A35189" s="250">
        <v>81057</v>
      </c>
      <c r="B35189" s="74" t="s">
        <v>16736</v>
      </c>
      <c r="C35189" s="74" t="s">
        <v>417</v>
      </c>
    </row>
    <row r="35190" spans="1:3">
      <c r="A35190" s="250">
        <v>81058</v>
      </c>
      <c r="B35190" s="74" t="s">
        <v>16737</v>
      </c>
      <c r="C35190" s="74" t="s">
        <v>417</v>
      </c>
    </row>
    <row r="35191" spans="1:3">
      <c r="A35191" s="250">
        <v>81059</v>
      </c>
      <c r="B35191" s="74" t="s">
        <v>16738</v>
      </c>
      <c r="C35191" s="74" t="s">
        <v>417</v>
      </c>
    </row>
    <row r="35192" spans="1:3">
      <c r="A35192" s="250">
        <v>81062</v>
      </c>
      <c r="B35192" s="74" t="s">
        <v>16739</v>
      </c>
      <c r="C35192" s="74" t="s">
        <v>417</v>
      </c>
    </row>
    <row r="35193" spans="1:3">
      <c r="A35193" s="250">
        <v>81063</v>
      </c>
      <c r="B35193" s="74" t="s">
        <v>16740</v>
      </c>
      <c r="C35193" s="74" t="s">
        <v>417</v>
      </c>
    </row>
    <row r="35194" spans="1:3">
      <c r="A35194" s="250">
        <v>81064</v>
      </c>
      <c r="B35194" s="74" t="s">
        <v>16741</v>
      </c>
      <c r="C35194" s="74" t="s">
        <v>417</v>
      </c>
    </row>
    <row r="35195" spans="1:3">
      <c r="A35195" s="250">
        <v>81067</v>
      </c>
      <c r="B35195" s="74" t="s">
        <v>7951</v>
      </c>
      <c r="C35195" s="74" t="s">
        <v>417</v>
      </c>
    </row>
    <row r="35196" spans="1:3">
      <c r="A35196" s="250">
        <v>81069</v>
      </c>
      <c r="B35196" s="74" t="s">
        <v>1334</v>
      </c>
      <c r="C35196" s="74" t="s">
        <v>417</v>
      </c>
    </row>
    <row r="35197" spans="1:3">
      <c r="A35197" s="250">
        <v>81071</v>
      </c>
      <c r="B35197" s="74" t="s">
        <v>16742</v>
      </c>
      <c r="C35197" s="74" t="s">
        <v>417</v>
      </c>
    </row>
    <row r="35198" spans="1:3">
      <c r="A35198" s="250">
        <v>81073</v>
      </c>
      <c r="B35198" s="74" t="s">
        <v>634</v>
      </c>
      <c r="C35198" s="74" t="s">
        <v>417</v>
      </c>
    </row>
    <row r="35199" spans="1:3">
      <c r="A35199" s="250">
        <v>81075</v>
      </c>
      <c r="B35199" s="74" t="s">
        <v>1613</v>
      </c>
      <c r="C35199" s="74" t="s">
        <v>417</v>
      </c>
    </row>
    <row r="35200" spans="1:3">
      <c r="A35200" s="250">
        <v>81076</v>
      </c>
      <c r="B35200" s="74" t="s">
        <v>16743</v>
      </c>
      <c r="C35200" s="74" t="s">
        <v>417</v>
      </c>
    </row>
    <row r="35201" spans="1:3">
      <c r="A35201" s="250">
        <v>81077</v>
      </c>
      <c r="B35201" s="74" t="s">
        <v>15767</v>
      </c>
      <c r="C35201" s="74" t="s">
        <v>417</v>
      </c>
    </row>
    <row r="35202" spans="1:3">
      <c r="A35202" s="250">
        <v>81081</v>
      </c>
      <c r="B35202" s="74" t="s">
        <v>16744</v>
      </c>
      <c r="C35202" s="74" t="s">
        <v>417</v>
      </c>
    </row>
    <row r="35203" spans="1:3">
      <c r="A35203" s="250">
        <v>81082</v>
      </c>
      <c r="B35203" s="74" t="s">
        <v>15844</v>
      </c>
      <c r="C35203" s="74" t="s">
        <v>417</v>
      </c>
    </row>
    <row r="35204" spans="1:3">
      <c r="A35204" s="250">
        <v>81084</v>
      </c>
      <c r="B35204" s="74" t="s">
        <v>16745</v>
      </c>
      <c r="C35204" s="74" t="s">
        <v>417</v>
      </c>
    </row>
    <row r="35205" spans="1:3">
      <c r="A35205" s="250">
        <v>81087</v>
      </c>
      <c r="B35205" s="74" t="s">
        <v>7523</v>
      </c>
      <c r="C35205" s="74" t="s">
        <v>417</v>
      </c>
    </row>
    <row r="35206" spans="1:3">
      <c r="A35206" s="250">
        <v>81089</v>
      </c>
      <c r="B35206" s="74" t="s">
        <v>16746</v>
      </c>
      <c r="C35206" s="74" t="s">
        <v>417</v>
      </c>
    </row>
    <row r="35207" spans="1:3">
      <c r="A35207" s="250">
        <v>81090</v>
      </c>
      <c r="B35207" s="74" t="s">
        <v>13877</v>
      </c>
      <c r="C35207" s="74" t="s">
        <v>417</v>
      </c>
    </row>
    <row r="35208" spans="1:3">
      <c r="A35208" s="250">
        <v>81091</v>
      </c>
      <c r="B35208" s="74" t="s">
        <v>991</v>
      </c>
      <c r="C35208" s="74" t="s">
        <v>417</v>
      </c>
    </row>
    <row r="35209" spans="1:3">
      <c r="A35209" s="250">
        <v>81092</v>
      </c>
      <c r="B35209" s="74" t="s">
        <v>8000</v>
      </c>
      <c r="C35209" s="74" t="s">
        <v>417</v>
      </c>
    </row>
    <row r="35210" spans="1:3">
      <c r="A35210" s="250">
        <v>81101</v>
      </c>
      <c r="B35210" s="74" t="s">
        <v>16747</v>
      </c>
      <c r="C35210" s="74" t="s">
        <v>417</v>
      </c>
    </row>
    <row r="35211" spans="1:3">
      <c r="A35211" s="250">
        <v>81102</v>
      </c>
      <c r="B35211" s="74" t="s">
        <v>16747</v>
      </c>
      <c r="C35211" s="74" t="s">
        <v>417</v>
      </c>
    </row>
    <row r="35212" spans="1:3">
      <c r="A35212" s="250">
        <v>81120</v>
      </c>
      <c r="B35212" s="74" t="s">
        <v>16748</v>
      </c>
      <c r="C35212" s="74" t="s">
        <v>417</v>
      </c>
    </row>
    <row r="35213" spans="1:3">
      <c r="A35213" s="250">
        <v>81121</v>
      </c>
      <c r="B35213" s="74" t="s">
        <v>16749</v>
      </c>
      <c r="C35213" s="74" t="s">
        <v>417</v>
      </c>
    </row>
    <row r="35214" spans="1:3">
      <c r="A35214" s="250">
        <v>81122</v>
      </c>
      <c r="B35214" s="74" t="s">
        <v>12291</v>
      </c>
      <c r="C35214" s="74" t="s">
        <v>417</v>
      </c>
    </row>
    <row r="35215" spans="1:3">
      <c r="A35215" s="250">
        <v>81123</v>
      </c>
      <c r="B35215" s="74" t="s">
        <v>16750</v>
      </c>
      <c r="C35215" s="74" t="s">
        <v>417</v>
      </c>
    </row>
    <row r="35216" spans="1:3">
      <c r="A35216" s="250">
        <v>81124</v>
      </c>
      <c r="B35216" s="74" t="s">
        <v>16751</v>
      </c>
      <c r="C35216" s="74" t="s">
        <v>417</v>
      </c>
    </row>
    <row r="35217" spans="1:3">
      <c r="A35217" s="250">
        <v>81125</v>
      </c>
      <c r="B35217" s="74" t="s">
        <v>9978</v>
      </c>
      <c r="C35217" s="74" t="s">
        <v>417</v>
      </c>
    </row>
    <row r="35218" spans="1:3">
      <c r="A35218" s="250">
        <v>81126</v>
      </c>
      <c r="B35218" s="74" t="s">
        <v>16752</v>
      </c>
      <c r="C35218" s="74" t="s">
        <v>417</v>
      </c>
    </row>
    <row r="35219" spans="1:3">
      <c r="A35219" s="250">
        <v>81127</v>
      </c>
      <c r="B35219" s="74" t="s">
        <v>7541</v>
      </c>
      <c r="C35219" s="74" t="s">
        <v>417</v>
      </c>
    </row>
    <row r="35220" spans="1:3">
      <c r="A35220" s="250">
        <v>81128</v>
      </c>
      <c r="B35220" s="74" t="s">
        <v>16753</v>
      </c>
      <c r="C35220" s="74" t="s">
        <v>417</v>
      </c>
    </row>
    <row r="35221" spans="1:3">
      <c r="A35221" s="250">
        <v>81129</v>
      </c>
      <c r="B35221" s="74" t="s">
        <v>16754</v>
      </c>
      <c r="C35221" s="74" t="s">
        <v>417</v>
      </c>
    </row>
    <row r="35222" spans="1:3">
      <c r="A35222" s="250">
        <v>81130</v>
      </c>
      <c r="B35222" s="74" t="s">
        <v>16755</v>
      </c>
      <c r="C35222" s="74" t="s">
        <v>417</v>
      </c>
    </row>
    <row r="35223" spans="1:3">
      <c r="A35223" s="250">
        <v>81131</v>
      </c>
      <c r="B35223" s="74" t="s">
        <v>16756</v>
      </c>
      <c r="C35223" s="74" t="s">
        <v>417</v>
      </c>
    </row>
    <row r="35224" spans="1:3">
      <c r="A35224" s="250">
        <v>81132</v>
      </c>
      <c r="B35224" s="74" t="s">
        <v>16757</v>
      </c>
      <c r="C35224" s="74" t="s">
        <v>417</v>
      </c>
    </row>
    <row r="35225" spans="1:3">
      <c r="A35225" s="250">
        <v>81133</v>
      </c>
      <c r="B35225" s="74" t="s">
        <v>16758</v>
      </c>
      <c r="C35225" s="74" t="s">
        <v>417</v>
      </c>
    </row>
    <row r="35226" spans="1:3">
      <c r="A35226" s="250">
        <v>81134</v>
      </c>
      <c r="B35226" s="74" t="s">
        <v>16759</v>
      </c>
      <c r="C35226" s="74" t="s">
        <v>417</v>
      </c>
    </row>
    <row r="35227" spans="1:3">
      <c r="A35227" s="250">
        <v>81135</v>
      </c>
      <c r="B35227" s="74" t="s">
        <v>16760</v>
      </c>
      <c r="C35227" s="74" t="s">
        <v>417</v>
      </c>
    </row>
    <row r="35228" spans="1:3">
      <c r="A35228" s="250">
        <v>81136</v>
      </c>
      <c r="B35228" s="74" t="s">
        <v>14733</v>
      </c>
      <c r="C35228" s="74" t="s">
        <v>417</v>
      </c>
    </row>
    <row r="35229" spans="1:3">
      <c r="A35229" s="250">
        <v>81137</v>
      </c>
      <c r="B35229" s="74" t="s">
        <v>16761</v>
      </c>
      <c r="C35229" s="74" t="s">
        <v>417</v>
      </c>
    </row>
    <row r="35230" spans="1:3">
      <c r="A35230" s="250">
        <v>81138</v>
      </c>
      <c r="B35230" s="74" t="s">
        <v>16762</v>
      </c>
      <c r="C35230" s="74" t="s">
        <v>417</v>
      </c>
    </row>
    <row r="35231" spans="1:3">
      <c r="A35231" s="250">
        <v>81140</v>
      </c>
      <c r="B35231" s="74" t="s">
        <v>16763</v>
      </c>
      <c r="C35231" s="74" t="s">
        <v>417</v>
      </c>
    </row>
    <row r="35232" spans="1:3">
      <c r="A35232" s="250">
        <v>81141</v>
      </c>
      <c r="B35232" s="74" t="s">
        <v>16764</v>
      </c>
      <c r="C35232" s="74" t="s">
        <v>417</v>
      </c>
    </row>
    <row r="35233" spans="1:3">
      <c r="A35233" s="250">
        <v>81143</v>
      </c>
      <c r="B35233" s="74" t="s">
        <v>16765</v>
      </c>
      <c r="C35233" s="74" t="s">
        <v>417</v>
      </c>
    </row>
    <row r="35234" spans="1:3">
      <c r="A35234" s="250">
        <v>81144</v>
      </c>
      <c r="B35234" s="74" t="s">
        <v>16766</v>
      </c>
      <c r="C35234" s="74" t="s">
        <v>417</v>
      </c>
    </row>
    <row r="35235" spans="1:3">
      <c r="A35235" s="250">
        <v>81146</v>
      </c>
      <c r="B35235" s="74" t="s">
        <v>16767</v>
      </c>
      <c r="C35235" s="74" t="s">
        <v>417</v>
      </c>
    </row>
    <row r="35236" spans="1:3">
      <c r="A35236" s="250">
        <v>81147</v>
      </c>
      <c r="B35236" s="74" t="s">
        <v>16768</v>
      </c>
      <c r="C35236" s="74" t="s">
        <v>417</v>
      </c>
    </row>
    <row r="35237" spans="1:3">
      <c r="A35237" s="250">
        <v>81148</v>
      </c>
      <c r="B35237" s="74" t="s">
        <v>11004</v>
      </c>
      <c r="C35237" s="74" t="s">
        <v>417</v>
      </c>
    </row>
    <row r="35238" spans="1:3">
      <c r="A35238" s="250">
        <v>81149</v>
      </c>
      <c r="B35238" s="74" t="s">
        <v>16769</v>
      </c>
      <c r="C35238" s="74" t="s">
        <v>417</v>
      </c>
    </row>
    <row r="35239" spans="1:3">
      <c r="A35239" s="250">
        <v>81151</v>
      </c>
      <c r="B35239" s="74" t="s">
        <v>1408</v>
      </c>
      <c r="C35239" s="74" t="s">
        <v>417</v>
      </c>
    </row>
    <row r="35240" spans="1:3">
      <c r="A35240" s="250">
        <v>81152</v>
      </c>
      <c r="B35240" s="74" t="s">
        <v>16759</v>
      </c>
      <c r="C35240" s="74" t="s">
        <v>417</v>
      </c>
    </row>
    <row r="35241" spans="1:3">
      <c r="A35241" s="250">
        <v>81153</v>
      </c>
      <c r="B35241" s="74" t="s">
        <v>16770</v>
      </c>
      <c r="C35241" s="74" t="s">
        <v>417</v>
      </c>
    </row>
    <row r="35242" spans="1:3">
      <c r="A35242" s="250">
        <v>81154</v>
      </c>
      <c r="B35242" s="74" t="s">
        <v>4370</v>
      </c>
      <c r="C35242" s="74" t="s">
        <v>417</v>
      </c>
    </row>
    <row r="35243" spans="1:3">
      <c r="A35243" s="250">
        <v>81155</v>
      </c>
      <c r="B35243" s="74" t="s">
        <v>13797</v>
      </c>
      <c r="C35243" s="74" t="s">
        <v>417</v>
      </c>
    </row>
    <row r="35244" spans="1:3">
      <c r="A35244" s="250">
        <v>81157</v>
      </c>
      <c r="B35244" s="74" t="s">
        <v>16768</v>
      </c>
      <c r="C35244" s="74" t="s">
        <v>417</v>
      </c>
    </row>
    <row r="35245" spans="1:3">
      <c r="A35245" s="250">
        <v>81201</v>
      </c>
      <c r="B35245" s="74" t="s">
        <v>16771</v>
      </c>
      <c r="C35245" s="74" t="s">
        <v>417</v>
      </c>
    </row>
    <row r="35246" spans="1:3">
      <c r="A35246" s="250">
        <v>81210</v>
      </c>
      <c r="B35246" s="74" t="s">
        <v>10982</v>
      </c>
      <c r="C35246" s="74" t="s">
        <v>417</v>
      </c>
    </row>
    <row r="35247" spans="1:3">
      <c r="A35247" s="250">
        <v>81211</v>
      </c>
      <c r="B35247" s="74" t="s">
        <v>3967</v>
      </c>
      <c r="C35247" s="74" t="s">
        <v>417</v>
      </c>
    </row>
    <row r="35248" spans="1:3">
      <c r="A35248" s="250">
        <v>81212</v>
      </c>
      <c r="B35248" s="74" t="s">
        <v>16772</v>
      </c>
      <c r="C35248" s="74" t="s">
        <v>417</v>
      </c>
    </row>
    <row r="35249" spans="1:3">
      <c r="A35249" s="250">
        <v>81215</v>
      </c>
      <c r="B35249" s="74" t="s">
        <v>16772</v>
      </c>
      <c r="C35249" s="74" t="s">
        <v>417</v>
      </c>
    </row>
    <row r="35250" spans="1:3">
      <c r="A35250" s="250">
        <v>81220</v>
      </c>
      <c r="B35250" s="74" t="s">
        <v>14713</v>
      </c>
      <c r="C35250" s="74" t="s">
        <v>417</v>
      </c>
    </row>
    <row r="35251" spans="1:3">
      <c r="A35251" s="250">
        <v>81221</v>
      </c>
      <c r="B35251" s="74" t="s">
        <v>16773</v>
      </c>
      <c r="C35251" s="74" t="s">
        <v>417</v>
      </c>
    </row>
    <row r="35252" spans="1:3">
      <c r="A35252" s="250">
        <v>81222</v>
      </c>
      <c r="B35252" s="74" t="s">
        <v>5082</v>
      </c>
      <c r="C35252" s="74" t="s">
        <v>417</v>
      </c>
    </row>
    <row r="35253" spans="1:3">
      <c r="A35253" s="250">
        <v>81223</v>
      </c>
      <c r="B35253" s="74" t="s">
        <v>16774</v>
      </c>
      <c r="C35253" s="74" t="s">
        <v>417</v>
      </c>
    </row>
    <row r="35254" spans="1:3">
      <c r="A35254" s="250">
        <v>81224</v>
      </c>
      <c r="B35254" s="74" t="s">
        <v>16775</v>
      </c>
      <c r="C35254" s="74" t="s">
        <v>417</v>
      </c>
    </row>
    <row r="35255" spans="1:3">
      <c r="A35255" s="250">
        <v>81225</v>
      </c>
      <c r="B35255" s="74" t="s">
        <v>16775</v>
      </c>
      <c r="C35255" s="74" t="s">
        <v>417</v>
      </c>
    </row>
    <row r="35256" spans="1:3">
      <c r="A35256" s="250">
        <v>81226</v>
      </c>
      <c r="B35256" s="74" t="s">
        <v>608</v>
      </c>
      <c r="C35256" s="74" t="s">
        <v>417</v>
      </c>
    </row>
    <row r="35257" spans="1:3">
      <c r="A35257" s="250">
        <v>81227</v>
      </c>
      <c r="B35257" s="74" t="s">
        <v>13329</v>
      </c>
      <c r="C35257" s="74" t="s">
        <v>417</v>
      </c>
    </row>
    <row r="35258" spans="1:3">
      <c r="A35258" s="250">
        <v>81228</v>
      </c>
      <c r="B35258" s="74" t="s">
        <v>15568</v>
      </c>
      <c r="C35258" s="74" t="s">
        <v>417</v>
      </c>
    </row>
    <row r="35259" spans="1:3">
      <c r="A35259" s="250">
        <v>81230</v>
      </c>
      <c r="B35259" s="74" t="s">
        <v>9337</v>
      </c>
      <c r="C35259" s="74" t="s">
        <v>417</v>
      </c>
    </row>
    <row r="35260" spans="1:3">
      <c r="A35260" s="250">
        <v>81231</v>
      </c>
      <c r="B35260" s="74" t="s">
        <v>9337</v>
      </c>
      <c r="C35260" s="74" t="s">
        <v>417</v>
      </c>
    </row>
    <row r="35261" spans="1:3">
      <c r="A35261" s="250">
        <v>81232</v>
      </c>
      <c r="B35261" s="74" t="s">
        <v>2179</v>
      </c>
      <c r="C35261" s="74" t="s">
        <v>417</v>
      </c>
    </row>
    <row r="35262" spans="1:3">
      <c r="A35262" s="250">
        <v>81233</v>
      </c>
      <c r="B35262" s="74" t="s">
        <v>4627</v>
      </c>
      <c r="C35262" s="74" t="s">
        <v>417</v>
      </c>
    </row>
    <row r="35263" spans="1:3">
      <c r="A35263" s="250">
        <v>81235</v>
      </c>
      <c r="B35263" s="74" t="s">
        <v>4516</v>
      </c>
      <c r="C35263" s="74" t="s">
        <v>417</v>
      </c>
    </row>
    <row r="35264" spans="1:3">
      <c r="A35264" s="250">
        <v>81236</v>
      </c>
      <c r="B35264" s="74" t="s">
        <v>16776</v>
      </c>
      <c r="C35264" s="74" t="s">
        <v>417</v>
      </c>
    </row>
    <row r="35265" spans="1:3">
      <c r="A35265" s="250">
        <v>81237</v>
      </c>
      <c r="B35265" s="74" t="s">
        <v>10623</v>
      </c>
      <c r="C35265" s="74" t="s">
        <v>417</v>
      </c>
    </row>
    <row r="35266" spans="1:3">
      <c r="A35266" s="250">
        <v>81239</v>
      </c>
      <c r="B35266" s="74" t="s">
        <v>2589</v>
      </c>
      <c r="C35266" s="74" t="s">
        <v>417</v>
      </c>
    </row>
    <row r="35267" spans="1:3">
      <c r="A35267" s="250">
        <v>81240</v>
      </c>
      <c r="B35267" s="74" t="s">
        <v>7568</v>
      </c>
      <c r="C35267" s="74" t="s">
        <v>417</v>
      </c>
    </row>
    <row r="35268" spans="1:3">
      <c r="A35268" s="250">
        <v>81241</v>
      </c>
      <c r="B35268" s="74" t="s">
        <v>15040</v>
      </c>
      <c r="C35268" s="74" t="s">
        <v>417</v>
      </c>
    </row>
    <row r="35269" spans="1:3">
      <c r="A35269" s="250">
        <v>81242</v>
      </c>
      <c r="B35269" s="74" t="s">
        <v>16777</v>
      </c>
      <c r="C35269" s="74" t="s">
        <v>417</v>
      </c>
    </row>
    <row r="35270" spans="1:3">
      <c r="A35270" s="250">
        <v>81243</v>
      </c>
      <c r="B35270" s="74" t="s">
        <v>16778</v>
      </c>
      <c r="C35270" s="74" t="s">
        <v>417</v>
      </c>
    </row>
    <row r="35271" spans="1:3">
      <c r="A35271" s="250">
        <v>81244</v>
      </c>
      <c r="B35271" s="74" t="s">
        <v>9036</v>
      </c>
      <c r="C35271" s="74" t="s">
        <v>417</v>
      </c>
    </row>
    <row r="35272" spans="1:3">
      <c r="A35272" s="250">
        <v>81247</v>
      </c>
      <c r="B35272" s="74" t="s">
        <v>9337</v>
      </c>
      <c r="C35272" s="74" t="s">
        <v>417</v>
      </c>
    </row>
    <row r="35273" spans="1:3">
      <c r="A35273" s="250">
        <v>81248</v>
      </c>
      <c r="B35273" s="74" t="s">
        <v>16779</v>
      </c>
      <c r="C35273" s="74" t="s">
        <v>417</v>
      </c>
    </row>
    <row r="35274" spans="1:3">
      <c r="A35274" s="250">
        <v>81251</v>
      </c>
      <c r="B35274" s="74" t="s">
        <v>12000</v>
      </c>
      <c r="C35274" s="74" t="s">
        <v>417</v>
      </c>
    </row>
    <row r="35275" spans="1:3">
      <c r="A35275" s="250">
        <v>81252</v>
      </c>
      <c r="B35275" s="74" t="s">
        <v>16780</v>
      </c>
      <c r="C35275" s="74" t="s">
        <v>417</v>
      </c>
    </row>
    <row r="35276" spans="1:3">
      <c r="A35276" s="250">
        <v>81253</v>
      </c>
      <c r="B35276" s="74" t="s">
        <v>11445</v>
      </c>
      <c r="C35276" s="74" t="s">
        <v>417</v>
      </c>
    </row>
    <row r="35277" spans="1:3">
      <c r="A35277" s="250">
        <v>81290</v>
      </c>
      <c r="B35277" s="74" t="s">
        <v>608</v>
      </c>
      <c r="C35277" s="74" t="s">
        <v>417</v>
      </c>
    </row>
    <row r="35278" spans="1:3">
      <c r="A35278" s="250">
        <v>81301</v>
      </c>
      <c r="B35278" s="74" t="s">
        <v>11795</v>
      </c>
      <c r="C35278" s="74" t="s">
        <v>417</v>
      </c>
    </row>
    <row r="35279" spans="1:3">
      <c r="A35279" s="250">
        <v>81302</v>
      </c>
      <c r="B35279" s="74" t="s">
        <v>11795</v>
      </c>
      <c r="C35279" s="74" t="s">
        <v>417</v>
      </c>
    </row>
    <row r="35280" spans="1:3">
      <c r="A35280" s="250">
        <v>81303</v>
      </c>
      <c r="B35280" s="74" t="s">
        <v>11795</v>
      </c>
      <c r="C35280" s="74" t="s">
        <v>417</v>
      </c>
    </row>
    <row r="35281" spans="1:3">
      <c r="A35281" s="250">
        <v>81320</v>
      </c>
      <c r="B35281" s="74" t="s">
        <v>16781</v>
      </c>
      <c r="C35281" s="74" t="s">
        <v>417</v>
      </c>
    </row>
    <row r="35282" spans="1:3">
      <c r="A35282" s="250">
        <v>81321</v>
      </c>
      <c r="B35282" s="74" t="s">
        <v>8548</v>
      </c>
      <c r="C35282" s="74" t="s">
        <v>417</v>
      </c>
    </row>
    <row r="35283" spans="1:3">
      <c r="A35283" s="250">
        <v>81323</v>
      </c>
      <c r="B35283" s="74" t="s">
        <v>16782</v>
      </c>
      <c r="C35283" s="74" t="s">
        <v>417</v>
      </c>
    </row>
    <row r="35284" spans="1:3">
      <c r="A35284" s="250">
        <v>81324</v>
      </c>
      <c r="B35284" s="74" t="s">
        <v>16783</v>
      </c>
      <c r="C35284" s="74" t="s">
        <v>417</v>
      </c>
    </row>
    <row r="35285" spans="1:3">
      <c r="A35285" s="250">
        <v>81325</v>
      </c>
      <c r="B35285" s="74" t="s">
        <v>16784</v>
      </c>
      <c r="C35285" s="74" t="s">
        <v>417</v>
      </c>
    </row>
    <row r="35286" spans="1:3">
      <c r="A35286" s="250">
        <v>81326</v>
      </c>
      <c r="B35286" s="74" t="s">
        <v>16785</v>
      </c>
      <c r="C35286" s="74" t="s">
        <v>417</v>
      </c>
    </row>
    <row r="35287" spans="1:3">
      <c r="A35287" s="250">
        <v>81327</v>
      </c>
      <c r="B35287" s="74" t="s">
        <v>3303</v>
      </c>
      <c r="C35287" s="74" t="s">
        <v>417</v>
      </c>
    </row>
    <row r="35288" spans="1:3">
      <c r="A35288" s="250">
        <v>81328</v>
      </c>
      <c r="B35288" s="74" t="s">
        <v>16786</v>
      </c>
      <c r="C35288" s="74" t="s">
        <v>417</v>
      </c>
    </row>
    <row r="35289" spans="1:3">
      <c r="A35289" s="250">
        <v>81329</v>
      </c>
      <c r="B35289" s="74" t="s">
        <v>16787</v>
      </c>
      <c r="C35289" s="74" t="s">
        <v>417</v>
      </c>
    </row>
    <row r="35290" spans="1:3">
      <c r="A35290" s="250">
        <v>81330</v>
      </c>
      <c r="B35290" s="74" t="s">
        <v>16788</v>
      </c>
      <c r="C35290" s="74" t="s">
        <v>417</v>
      </c>
    </row>
    <row r="35291" spans="1:3">
      <c r="A35291" s="250">
        <v>81331</v>
      </c>
      <c r="B35291" s="74" t="s">
        <v>9031</v>
      </c>
      <c r="C35291" s="74" t="s">
        <v>417</v>
      </c>
    </row>
    <row r="35292" spans="1:3">
      <c r="A35292" s="250">
        <v>81332</v>
      </c>
      <c r="B35292" s="74" t="s">
        <v>16789</v>
      </c>
      <c r="C35292" s="74" t="s">
        <v>417</v>
      </c>
    </row>
    <row r="35293" spans="1:3">
      <c r="A35293" s="250">
        <v>81334</v>
      </c>
      <c r="B35293" s="74" t="s">
        <v>16790</v>
      </c>
      <c r="C35293" s="74" t="s">
        <v>417</v>
      </c>
    </row>
    <row r="35294" spans="1:3">
      <c r="A35294" s="250">
        <v>81335</v>
      </c>
      <c r="B35294" s="74" t="s">
        <v>16791</v>
      </c>
      <c r="C35294" s="74" t="s">
        <v>417</v>
      </c>
    </row>
    <row r="35295" spans="1:3">
      <c r="A35295" s="250">
        <v>81401</v>
      </c>
      <c r="B35295" s="74" t="s">
        <v>2645</v>
      </c>
      <c r="C35295" s="74" t="s">
        <v>417</v>
      </c>
    </row>
    <row r="35296" spans="1:3">
      <c r="A35296" s="250">
        <v>81402</v>
      </c>
      <c r="B35296" s="74" t="s">
        <v>2645</v>
      </c>
      <c r="C35296" s="74" t="s">
        <v>417</v>
      </c>
    </row>
    <row r="35297" spans="1:3">
      <c r="A35297" s="250">
        <v>81403</v>
      </c>
      <c r="B35297" s="74" t="s">
        <v>2645</v>
      </c>
      <c r="C35297" s="74" t="s">
        <v>417</v>
      </c>
    </row>
    <row r="35298" spans="1:3">
      <c r="A35298" s="250">
        <v>81410</v>
      </c>
      <c r="B35298" s="74" t="s">
        <v>4587</v>
      </c>
      <c r="C35298" s="74" t="s">
        <v>417</v>
      </c>
    </row>
    <row r="35299" spans="1:3">
      <c r="A35299" s="250">
        <v>81411</v>
      </c>
      <c r="B35299" s="74" t="s">
        <v>16792</v>
      </c>
      <c r="C35299" s="74" t="s">
        <v>417</v>
      </c>
    </row>
    <row r="35300" spans="1:3">
      <c r="A35300" s="250">
        <v>81413</v>
      </c>
      <c r="B35300" s="74" t="s">
        <v>16793</v>
      </c>
      <c r="C35300" s="74" t="s">
        <v>417</v>
      </c>
    </row>
    <row r="35301" spans="1:3">
      <c r="A35301" s="250">
        <v>81414</v>
      </c>
      <c r="B35301" s="74" t="s">
        <v>10932</v>
      </c>
      <c r="C35301" s="74" t="s">
        <v>417</v>
      </c>
    </row>
    <row r="35302" spans="1:3">
      <c r="A35302" s="250">
        <v>81415</v>
      </c>
      <c r="B35302" s="74" t="s">
        <v>6935</v>
      </c>
      <c r="C35302" s="74" t="s">
        <v>417</v>
      </c>
    </row>
    <row r="35303" spans="1:3">
      <c r="A35303" s="250">
        <v>81416</v>
      </c>
      <c r="B35303" s="74" t="s">
        <v>4813</v>
      </c>
      <c r="C35303" s="74" t="s">
        <v>417</v>
      </c>
    </row>
    <row r="35304" spans="1:3">
      <c r="A35304" s="250">
        <v>81418</v>
      </c>
      <c r="B35304" s="74" t="s">
        <v>16794</v>
      </c>
      <c r="C35304" s="74" t="s">
        <v>417</v>
      </c>
    </row>
    <row r="35305" spans="1:3">
      <c r="A35305" s="250">
        <v>81419</v>
      </c>
      <c r="B35305" s="74" t="s">
        <v>16795</v>
      </c>
      <c r="C35305" s="74" t="s">
        <v>417</v>
      </c>
    </row>
    <row r="35306" spans="1:3">
      <c r="A35306" s="250">
        <v>81420</v>
      </c>
      <c r="B35306" s="74" t="s">
        <v>16796</v>
      </c>
      <c r="C35306" s="74" t="s">
        <v>417</v>
      </c>
    </row>
    <row r="35307" spans="1:3">
      <c r="A35307" s="250">
        <v>81422</v>
      </c>
      <c r="B35307" s="74" t="s">
        <v>16797</v>
      </c>
      <c r="C35307" s="74" t="s">
        <v>417</v>
      </c>
    </row>
    <row r="35308" spans="1:3">
      <c r="A35308" s="250">
        <v>81423</v>
      </c>
      <c r="B35308" s="74" t="s">
        <v>890</v>
      </c>
      <c r="C35308" s="74" t="s">
        <v>417</v>
      </c>
    </row>
    <row r="35309" spans="1:3">
      <c r="A35309" s="250">
        <v>81424</v>
      </c>
      <c r="B35309" s="74" t="s">
        <v>16798</v>
      </c>
      <c r="C35309" s="74" t="s">
        <v>417</v>
      </c>
    </row>
    <row r="35310" spans="1:3">
      <c r="A35310" s="250">
        <v>81425</v>
      </c>
      <c r="B35310" s="74" t="s">
        <v>14498</v>
      </c>
      <c r="C35310" s="74" t="s">
        <v>417</v>
      </c>
    </row>
    <row r="35311" spans="1:3">
      <c r="A35311" s="250">
        <v>81426</v>
      </c>
      <c r="B35311" s="74" t="s">
        <v>9804</v>
      </c>
      <c r="C35311" s="74" t="s">
        <v>417</v>
      </c>
    </row>
    <row r="35312" spans="1:3">
      <c r="A35312" s="250">
        <v>81427</v>
      </c>
      <c r="B35312" s="74" t="s">
        <v>16799</v>
      </c>
      <c r="C35312" s="74" t="s">
        <v>417</v>
      </c>
    </row>
    <row r="35313" spans="1:3">
      <c r="A35313" s="250">
        <v>81428</v>
      </c>
      <c r="B35313" s="74" t="s">
        <v>16800</v>
      </c>
      <c r="C35313" s="74" t="s">
        <v>417</v>
      </c>
    </row>
    <row r="35314" spans="1:3">
      <c r="A35314" s="250">
        <v>81429</v>
      </c>
      <c r="B35314" s="74" t="s">
        <v>3256</v>
      </c>
      <c r="C35314" s="74" t="s">
        <v>417</v>
      </c>
    </row>
    <row r="35315" spans="1:3">
      <c r="A35315" s="250">
        <v>81430</v>
      </c>
      <c r="B35315" s="74" t="s">
        <v>16801</v>
      </c>
      <c r="C35315" s="74" t="s">
        <v>417</v>
      </c>
    </row>
    <row r="35316" spans="1:3">
      <c r="A35316" s="250">
        <v>81431</v>
      </c>
      <c r="B35316" s="74" t="s">
        <v>16802</v>
      </c>
      <c r="C35316" s="74" t="s">
        <v>417</v>
      </c>
    </row>
    <row r="35317" spans="1:3">
      <c r="A35317" s="250">
        <v>81432</v>
      </c>
      <c r="B35317" s="74" t="s">
        <v>4331</v>
      </c>
      <c r="C35317" s="74" t="s">
        <v>417</v>
      </c>
    </row>
    <row r="35318" spans="1:3">
      <c r="A35318" s="250">
        <v>81433</v>
      </c>
      <c r="B35318" s="74" t="s">
        <v>16534</v>
      </c>
      <c r="C35318" s="74" t="s">
        <v>417</v>
      </c>
    </row>
    <row r="35319" spans="1:3">
      <c r="A35319" s="250">
        <v>81434</v>
      </c>
      <c r="B35319" s="74" t="s">
        <v>1070</v>
      </c>
      <c r="C35319" s="74" t="s">
        <v>417</v>
      </c>
    </row>
    <row r="35320" spans="1:3">
      <c r="A35320" s="250">
        <v>81435</v>
      </c>
      <c r="B35320" s="74" t="s">
        <v>16803</v>
      </c>
      <c r="C35320" s="74" t="s">
        <v>417</v>
      </c>
    </row>
    <row r="35321" spans="1:3">
      <c r="A35321" s="250">
        <v>81501</v>
      </c>
      <c r="B35321" s="74" t="s">
        <v>9181</v>
      </c>
      <c r="C35321" s="74" t="s">
        <v>417</v>
      </c>
    </row>
    <row r="35322" spans="1:3">
      <c r="A35322" s="250">
        <v>81502</v>
      </c>
      <c r="B35322" s="74" t="s">
        <v>9181</v>
      </c>
      <c r="C35322" s="74" t="s">
        <v>417</v>
      </c>
    </row>
    <row r="35323" spans="1:3">
      <c r="A35323" s="250">
        <v>81503</v>
      </c>
      <c r="B35323" s="74" t="s">
        <v>9181</v>
      </c>
      <c r="C35323" s="74" t="s">
        <v>417</v>
      </c>
    </row>
    <row r="35324" spans="1:3">
      <c r="A35324" s="250">
        <v>81504</v>
      </c>
      <c r="B35324" s="74" t="s">
        <v>9181</v>
      </c>
      <c r="C35324" s="74" t="s">
        <v>417</v>
      </c>
    </row>
    <row r="35325" spans="1:3">
      <c r="A35325" s="250">
        <v>81505</v>
      </c>
      <c r="B35325" s="74" t="s">
        <v>9181</v>
      </c>
      <c r="C35325" s="74" t="s">
        <v>417</v>
      </c>
    </row>
    <row r="35326" spans="1:3">
      <c r="A35326" s="250">
        <v>81506</v>
      </c>
      <c r="B35326" s="74" t="s">
        <v>9181</v>
      </c>
      <c r="C35326" s="74" t="s">
        <v>417</v>
      </c>
    </row>
    <row r="35327" spans="1:3">
      <c r="A35327" s="250">
        <v>81507</v>
      </c>
      <c r="B35327" s="74" t="s">
        <v>9181</v>
      </c>
      <c r="C35327" s="74" t="s">
        <v>417</v>
      </c>
    </row>
    <row r="35328" spans="1:3">
      <c r="A35328" s="250">
        <v>81520</v>
      </c>
      <c r="B35328" s="74" t="s">
        <v>2117</v>
      </c>
      <c r="C35328" s="74" t="s">
        <v>417</v>
      </c>
    </row>
    <row r="35329" spans="1:3">
      <c r="A35329" s="250">
        <v>81521</v>
      </c>
      <c r="B35329" s="74" t="s">
        <v>16804</v>
      </c>
      <c r="C35329" s="74" t="s">
        <v>417</v>
      </c>
    </row>
    <row r="35330" spans="1:3">
      <c r="A35330" s="250">
        <v>81522</v>
      </c>
      <c r="B35330" s="74" t="s">
        <v>15476</v>
      </c>
      <c r="C35330" s="74" t="s">
        <v>417</v>
      </c>
    </row>
    <row r="35331" spans="1:3">
      <c r="A35331" s="250">
        <v>81523</v>
      </c>
      <c r="B35331" s="74" t="s">
        <v>16805</v>
      </c>
      <c r="C35331" s="74" t="s">
        <v>417</v>
      </c>
    </row>
    <row r="35332" spans="1:3">
      <c r="A35332" s="250">
        <v>81524</v>
      </c>
      <c r="B35332" s="74" t="s">
        <v>13326</v>
      </c>
      <c r="C35332" s="74" t="s">
        <v>417</v>
      </c>
    </row>
    <row r="35333" spans="1:3">
      <c r="A35333" s="250">
        <v>81525</v>
      </c>
      <c r="B35333" s="74" t="s">
        <v>16806</v>
      </c>
      <c r="C35333" s="74" t="s">
        <v>417</v>
      </c>
    </row>
    <row r="35334" spans="1:3">
      <c r="A35334" s="250">
        <v>81526</v>
      </c>
      <c r="B35334" s="74" t="s">
        <v>12687</v>
      </c>
      <c r="C35334" s="74" t="s">
        <v>417</v>
      </c>
    </row>
    <row r="35335" spans="1:3">
      <c r="A35335" s="250">
        <v>81527</v>
      </c>
      <c r="B35335" s="74" t="s">
        <v>12002</v>
      </c>
      <c r="C35335" s="74" t="s">
        <v>417</v>
      </c>
    </row>
    <row r="35336" spans="1:3">
      <c r="A35336" s="250">
        <v>81601</v>
      </c>
      <c r="B35336" s="74" t="s">
        <v>16807</v>
      </c>
      <c r="C35336" s="74" t="s">
        <v>417</v>
      </c>
    </row>
    <row r="35337" spans="1:3">
      <c r="A35337" s="250">
        <v>81602</v>
      </c>
      <c r="B35337" s="74" t="s">
        <v>16807</v>
      </c>
      <c r="C35337" s="74" t="s">
        <v>417</v>
      </c>
    </row>
    <row r="35338" spans="1:3">
      <c r="A35338" s="250">
        <v>81610</v>
      </c>
      <c r="B35338" s="74" t="s">
        <v>16808</v>
      </c>
      <c r="C35338" s="74" t="s">
        <v>417</v>
      </c>
    </row>
    <row r="35339" spans="1:3">
      <c r="A35339" s="250">
        <v>81611</v>
      </c>
      <c r="B35339" s="74" t="s">
        <v>16809</v>
      </c>
      <c r="C35339" s="74" t="s">
        <v>417</v>
      </c>
    </row>
    <row r="35340" spans="1:3">
      <c r="A35340" s="250">
        <v>81612</v>
      </c>
      <c r="B35340" s="74" t="s">
        <v>16809</v>
      </c>
      <c r="C35340" s="74" t="s">
        <v>417</v>
      </c>
    </row>
    <row r="35341" spans="1:3">
      <c r="A35341" s="250">
        <v>81615</v>
      </c>
      <c r="B35341" s="74" t="s">
        <v>16810</v>
      </c>
      <c r="C35341" s="74" t="s">
        <v>417</v>
      </c>
    </row>
    <row r="35342" spans="1:3">
      <c r="A35342" s="250">
        <v>81620</v>
      </c>
      <c r="B35342" s="74" t="s">
        <v>935</v>
      </c>
      <c r="C35342" s="74" t="s">
        <v>417</v>
      </c>
    </row>
    <row r="35343" spans="1:3">
      <c r="A35343" s="250">
        <v>81621</v>
      </c>
      <c r="B35343" s="74" t="s">
        <v>16811</v>
      </c>
      <c r="C35343" s="74" t="s">
        <v>417</v>
      </c>
    </row>
    <row r="35344" spans="1:3">
      <c r="A35344" s="250">
        <v>81623</v>
      </c>
      <c r="B35344" s="74" t="s">
        <v>5150</v>
      </c>
      <c r="C35344" s="74" t="s">
        <v>417</v>
      </c>
    </row>
    <row r="35345" spans="1:3">
      <c r="A35345" s="250">
        <v>81624</v>
      </c>
      <c r="B35345" s="74" t="s">
        <v>16812</v>
      </c>
      <c r="C35345" s="74" t="s">
        <v>417</v>
      </c>
    </row>
    <row r="35346" spans="1:3">
      <c r="A35346" s="250">
        <v>81625</v>
      </c>
      <c r="B35346" s="74" t="s">
        <v>14252</v>
      </c>
      <c r="C35346" s="74" t="s">
        <v>417</v>
      </c>
    </row>
    <row r="35347" spans="1:3">
      <c r="A35347" s="250">
        <v>81626</v>
      </c>
      <c r="B35347" s="74" t="s">
        <v>14252</v>
      </c>
      <c r="C35347" s="74" t="s">
        <v>417</v>
      </c>
    </row>
    <row r="35348" spans="1:3">
      <c r="A35348" s="250">
        <v>81630</v>
      </c>
      <c r="B35348" s="74" t="s">
        <v>16813</v>
      </c>
      <c r="C35348" s="74" t="s">
        <v>417</v>
      </c>
    </row>
    <row r="35349" spans="1:3">
      <c r="A35349" s="250">
        <v>81631</v>
      </c>
      <c r="B35349" s="74" t="s">
        <v>11153</v>
      </c>
      <c r="C35349" s="74" t="s">
        <v>417</v>
      </c>
    </row>
    <row r="35350" spans="1:3">
      <c r="A35350" s="250">
        <v>81632</v>
      </c>
      <c r="B35350" s="74" t="s">
        <v>3543</v>
      </c>
      <c r="C35350" s="74" t="s">
        <v>417</v>
      </c>
    </row>
    <row r="35351" spans="1:3">
      <c r="A35351" s="250">
        <v>81633</v>
      </c>
      <c r="B35351" s="74" t="s">
        <v>16808</v>
      </c>
      <c r="C35351" s="74" t="s">
        <v>417</v>
      </c>
    </row>
    <row r="35352" spans="1:3">
      <c r="A35352" s="250">
        <v>81635</v>
      </c>
      <c r="B35352" s="74" t="s">
        <v>16814</v>
      </c>
      <c r="C35352" s="74" t="s">
        <v>417</v>
      </c>
    </row>
    <row r="35353" spans="1:3">
      <c r="A35353" s="250">
        <v>81636</v>
      </c>
      <c r="B35353" s="74" t="s">
        <v>16815</v>
      </c>
      <c r="C35353" s="74" t="s">
        <v>417</v>
      </c>
    </row>
    <row r="35354" spans="1:3">
      <c r="A35354" s="250">
        <v>81637</v>
      </c>
      <c r="B35354" s="74" t="s">
        <v>10161</v>
      </c>
      <c r="C35354" s="74" t="s">
        <v>417</v>
      </c>
    </row>
    <row r="35355" spans="1:3">
      <c r="A35355" s="250">
        <v>81638</v>
      </c>
      <c r="B35355" s="74" t="s">
        <v>844</v>
      </c>
      <c r="C35355" s="74" t="s">
        <v>417</v>
      </c>
    </row>
    <row r="35356" spans="1:3">
      <c r="A35356" s="250">
        <v>81639</v>
      </c>
      <c r="B35356" s="74" t="s">
        <v>8645</v>
      </c>
      <c r="C35356" s="74" t="s">
        <v>417</v>
      </c>
    </row>
    <row r="35357" spans="1:3">
      <c r="A35357" s="250">
        <v>81640</v>
      </c>
      <c r="B35357" s="74" t="s">
        <v>16816</v>
      </c>
      <c r="C35357" s="74" t="s">
        <v>417</v>
      </c>
    </row>
    <row r="35358" spans="1:3">
      <c r="A35358" s="250">
        <v>81641</v>
      </c>
      <c r="B35358" s="74" t="s">
        <v>15783</v>
      </c>
      <c r="C35358" s="74" t="s">
        <v>417</v>
      </c>
    </row>
    <row r="35359" spans="1:3">
      <c r="A35359" s="250">
        <v>81642</v>
      </c>
      <c r="B35359" s="74" t="s">
        <v>1198</v>
      </c>
      <c r="C35359" s="74" t="s">
        <v>417</v>
      </c>
    </row>
    <row r="35360" spans="1:3">
      <c r="A35360" s="250">
        <v>81643</v>
      </c>
      <c r="B35360" s="74" t="s">
        <v>16817</v>
      </c>
      <c r="C35360" s="74" t="s">
        <v>417</v>
      </c>
    </row>
    <row r="35361" spans="1:3">
      <c r="A35361" s="250">
        <v>81645</v>
      </c>
      <c r="B35361" s="74" t="s">
        <v>7750</v>
      </c>
      <c r="C35361" s="74" t="s">
        <v>417</v>
      </c>
    </row>
    <row r="35362" spans="1:3">
      <c r="A35362" s="250">
        <v>81646</v>
      </c>
      <c r="B35362" s="74" t="s">
        <v>16818</v>
      </c>
      <c r="C35362" s="74" t="s">
        <v>417</v>
      </c>
    </row>
    <row r="35363" spans="1:3">
      <c r="A35363" s="250">
        <v>81647</v>
      </c>
      <c r="B35363" s="74" t="s">
        <v>1324</v>
      </c>
      <c r="C35363" s="74" t="s">
        <v>417</v>
      </c>
    </row>
    <row r="35364" spans="1:3">
      <c r="A35364" s="250">
        <v>81648</v>
      </c>
      <c r="B35364" s="74" t="s">
        <v>16819</v>
      </c>
      <c r="C35364" s="74" t="s">
        <v>417</v>
      </c>
    </row>
    <row r="35365" spans="1:3">
      <c r="A35365" s="250">
        <v>81649</v>
      </c>
      <c r="B35365" s="74" t="s">
        <v>16820</v>
      </c>
      <c r="C35365" s="74" t="s">
        <v>417</v>
      </c>
    </row>
    <row r="35366" spans="1:3">
      <c r="A35366" s="250">
        <v>81650</v>
      </c>
      <c r="B35366" s="74" t="s">
        <v>16821</v>
      </c>
      <c r="C35366" s="74" t="s">
        <v>417</v>
      </c>
    </row>
    <row r="35367" spans="1:3">
      <c r="A35367" s="250">
        <v>81652</v>
      </c>
      <c r="B35367" s="74" t="s">
        <v>16822</v>
      </c>
      <c r="C35367" s="74" t="s">
        <v>417</v>
      </c>
    </row>
    <row r="35368" spans="1:3">
      <c r="A35368" s="250">
        <v>81653</v>
      </c>
      <c r="B35368" s="74" t="s">
        <v>7790</v>
      </c>
      <c r="C35368" s="74" t="s">
        <v>417</v>
      </c>
    </row>
    <row r="35369" spans="1:3">
      <c r="A35369" s="250">
        <v>81654</v>
      </c>
      <c r="B35369" s="74" t="s">
        <v>16823</v>
      </c>
      <c r="C35369" s="74" t="s">
        <v>417</v>
      </c>
    </row>
    <row r="35370" spans="1:3">
      <c r="A35370" s="250">
        <v>81655</v>
      </c>
      <c r="B35370" s="74" t="s">
        <v>1860</v>
      </c>
      <c r="C35370" s="74" t="s">
        <v>417</v>
      </c>
    </row>
    <row r="35371" spans="1:3">
      <c r="A35371" s="250">
        <v>81656</v>
      </c>
      <c r="B35371" s="74" t="s">
        <v>16824</v>
      </c>
      <c r="C35371" s="74" t="s">
        <v>417</v>
      </c>
    </row>
    <row r="35372" spans="1:3">
      <c r="A35372" s="250">
        <v>81657</v>
      </c>
      <c r="B35372" s="74" t="s">
        <v>11761</v>
      </c>
      <c r="C35372" s="74" t="s">
        <v>417</v>
      </c>
    </row>
    <row r="35373" spans="1:3">
      <c r="A35373" s="250">
        <v>81658</v>
      </c>
      <c r="B35373" s="74" t="s">
        <v>11761</v>
      </c>
      <c r="C35373" s="74" t="s">
        <v>417</v>
      </c>
    </row>
    <row r="35374" spans="1:3">
      <c r="A35374" s="250">
        <v>82001</v>
      </c>
      <c r="B35374" s="74" t="s">
        <v>15584</v>
      </c>
      <c r="C35374" s="74" t="s">
        <v>460</v>
      </c>
    </row>
    <row r="35375" spans="1:3">
      <c r="A35375" s="250">
        <v>82002</v>
      </c>
      <c r="B35375" s="74" t="s">
        <v>15584</v>
      </c>
      <c r="C35375" s="74" t="s">
        <v>460</v>
      </c>
    </row>
    <row r="35376" spans="1:3">
      <c r="A35376" s="250">
        <v>82003</v>
      </c>
      <c r="B35376" s="74" t="s">
        <v>15584</v>
      </c>
      <c r="C35376" s="74" t="s">
        <v>460</v>
      </c>
    </row>
    <row r="35377" spans="1:3">
      <c r="A35377" s="250">
        <v>82005</v>
      </c>
      <c r="B35377" s="74" t="s">
        <v>16825</v>
      </c>
      <c r="C35377" s="74" t="s">
        <v>460</v>
      </c>
    </row>
    <row r="35378" spans="1:3">
      <c r="A35378" s="250">
        <v>82006</v>
      </c>
      <c r="B35378" s="74" t="s">
        <v>15584</v>
      </c>
      <c r="C35378" s="74" t="s">
        <v>460</v>
      </c>
    </row>
    <row r="35379" spans="1:3">
      <c r="A35379" s="250">
        <v>82007</v>
      </c>
      <c r="B35379" s="74" t="s">
        <v>15584</v>
      </c>
      <c r="C35379" s="74" t="s">
        <v>460</v>
      </c>
    </row>
    <row r="35380" spans="1:3">
      <c r="A35380" s="250">
        <v>82008</v>
      </c>
      <c r="B35380" s="74" t="s">
        <v>15584</v>
      </c>
      <c r="C35380" s="74" t="s">
        <v>460</v>
      </c>
    </row>
    <row r="35381" spans="1:3">
      <c r="A35381" s="250">
        <v>82009</v>
      </c>
      <c r="B35381" s="74" t="s">
        <v>15584</v>
      </c>
      <c r="C35381" s="74" t="s">
        <v>460</v>
      </c>
    </row>
    <row r="35382" spans="1:3">
      <c r="A35382" s="250">
        <v>82010</v>
      </c>
      <c r="B35382" s="74" t="s">
        <v>15584</v>
      </c>
      <c r="C35382" s="74" t="s">
        <v>460</v>
      </c>
    </row>
    <row r="35383" spans="1:3">
      <c r="A35383" s="250">
        <v>82050</v>
      </c>
      <c r="B35383" s="74" t="s">
        <v>16826</v>
      </c>
      <c r="C35383" s="74" t="s">
        <v>460</v>
      </c>
    </row>
    <row r="35384" spans="1:3">
      <c r="A35384" s="250">
        <v>82051</v>
      </c>
      <c r="B35384" s="74" t="s">
        <v>16827</v>
      </c>
      <c r="C35384" s="74" t="s">
        <v>460</v>
      </c>
    </row>
    <row r="35385" spans="1:3">
      <c r="A35385" s="250">
        <v>82052</v>
      </c>
      <c r="B35385" s="74" t="s">
        <v>7962</v>
      </c>
      <c r="C35385" s="74" t="s">
        <v>460</v>
      </c>
    </row>
    <row r="35386" spans="1:3">
      <c r="A35386" s="250">
        <v>82053</v>
      </c>
      <c r="B35386" s="74" t="s">
        <v>8991</v>
      </c>
      <c r="C35386" s="74" t="s">
        <v>460</v>
      </c>
    </row>
    <row r="35387" spans="1:3">
      <c r="A35387" s="250">
        <v>82054</v>
      </c>
      <c r="B35387" s="74" t="s">
        <v>11570</v>
      </c>
      <c r="C35387" s="74" t="s">
        <v>460</v>
      </c>
    </row>
    <row r="35388" spans="1:3">
      <c r="A35388" s="250">
        <v>82055</v>
      </c>
      <c r="B35388" s="74" t="s">
        <v>16828</v>
      </c>
      <c r="C35388" s="74" t="s">
        <v>460</v>
      </c>
    </row>
    <row r="35389" spans="1:3">
      <c r="A35389" s="250">
        <v>82058</v>
      </c>
      <c r="B35389" s="74" t="s">
        <v>4167</v>
      </c>
      <c r="C35389" s="74" t="s">
        <v>460</v>
      </c>
    </row>
    <row r="35390" spans="1:3">
      <c r="A35390" s="250">
        <v>82059</v>
      </c>
      <c r="B35390" s="74" t="s">
        <v>16829</v>
      </c>
      <c r="C35390" s="74" t="s">
        <v>460</v>
      </c>
    </row>
    <row r="35391" spans="1:3">
      <c r="A35391" s="250">
        <v>82060</v>
      </c>
      <c r="B35391" s="74" t="s">
        <v>2236</v>
      </c>
      <c r="C35391" s="74" t="s">
        <v>460</v>
      </c>
    </row>
    <row r="35392" spans="1:3">
      <c r="A35392" s="250">
        <v>82061</v>
      </c>
      <c r="B35392" s="74" t="s">
        <v>16830</v>
      </c>
      <c r="C35392" s="74" t="s">
        <v>460</v>
      </c>
    </row>
    <row r="35393" spans="1:3">
      <c r="A35393" s="250">
        <v>82063</v>
      </c>
      <c r="B35393" s="74" t="s">
        <v>16831</v>
      </c>
      <c r="C35393" s="74" t="s">
        <v>460</v>
      </c>
    </row>
    <row r="35394" spans="1:3">
      <c r="A35394" s="250">
        <v>82070</v>
      </c>
      <c r="B35394" s="74" t="s">
        <v>16832</v>
      </c>
      <c r="C35394" s="74" t="s">
        <v>460</v>
      </c>
    </row>
    <row r="35395" spans="1:3">
      <c r="A35395" s="250">
        <v>82071</v>
      </c>
      <c r="B35395" s="74" t="s">
        <v>16832</v>
      </c>
      <c r="C35395" s="74" t="s">
        <v>460</v>
      </c>
    </row>
    <row r="35396" spans="1:3">
      <c r="A35396" s="250">
        <v>82072</v>
      </c>
      <c r="B35396" s="74" t="s">
        <v>16832</v>
      </c>
      <c r="C35396" s="74" t="s">
        <v>460</v>
      </c>
    </row>
    <row r="35397" spans="1:3">
      <c r="A35397" s="250">
        <v>82073</v>
      </c>
      <c r="B35397" s="74" t="s">
        <v>16832</v>
      </c>
      <c r="C35397" s="74" t="s">
        <v>460</v>
      </c>
    </row>
    <row r="35398" spans="1:3">
      <c r="A35398" s="250">
        <v>82081</v>
      </c>
      <c r="B35398" s="74" t="s">
        <v>1283</v>
      </c>
      <c r="C35398" s="74" t="s">
        <v>460</v>
      </c>
    </row>
    <row r="35399" spans="1:3">
      <c r="A35399" s="250">
        <v>82082</v>
      </c>
      <c r="B35399" s="74" t="s">
        <v>16833</v>
      </c>
      <c r="C35399" s="74" t="s">
        <v>460</v>
      </c>
    </row>
    <row r="35400" spans="1:3">
      <c r="A35400" s="250">
        <v>82083</v>
      </c>
      <c r="B35400" s="74" t="s">
        <v>16834</v>
      </c>
      <c r="C35400" s="74" t="s">
        <v>460</v>
      </c>
    </row>
    <row r="35401" spans="1:3">
      <c r="A35401" s="250">
        <v>82084</v>
      </c>
      <c r="B35401" s="74" t="s">
        <v>16835</v>
      </c>
      <c r="C35401" s="74" t="s">
        <v>460</v>
      </c>
    </row>
    <row r="35402" spans="1:3">
      <c r="A35402" s="250">
        <v>82190</v>
      </c>
      <c r="B35402" s="74" t="s">
        <v>16836</v>
      </c>
      <c r="C35402" s="74" t="s">
        <v>460</v>
      </c>
    </row>
    <row r="35403" spans="1:3">
      <c r="A35403" s="250">
        <v>82201</v>
      </c>
      <c r="B35403" s="74" t="s">
        <v>4437</v>
      </c>
      <c r="C35403" s="74" t="s">
        <v>460</v>
      </c>
    </row>
    <row r="35404" spans="1:3">
      <c r="A35404" s="250">
        <v>82210</v>
      </c>
      <c r="B35404" s="74" t="s">
        <v>16837</v>
      </c>
      <c r="C35404" s="74" t="s">
        <v>460</v>
      </c>
    </row>
    <row r="35405" spans="1:3">
      <c r="A35405" s="250">
        <v>82212</v>
      </c>
      <c r="B35405" s="74" t="s">
        <v>16838</v>
      </c>
      <c r="C35405" s="74" t="s">
        <v>460</v>
      </c>
    </row>
    <row r="35406" spans="1:3">
      <c r="A35406" s="250">
        <v>82213</v>
      </c>
      <c r="B35406" s="74" t="s">
        <v>16839</v>
      </c>
      <c r="C35406" s="74" t="s">
        <v>460</v>
      </c>
    </row>
    <row r="35407" spans="1:3">
      <c r="A35407" s="250">
        <v>82214</v>
      </c>
      <c r="B35407" s="74" t="s">
        <v>11846</v>
      </c>
      <c r="C35407" s="74" t="s">
        <v>460</v>
      </c>
    </row>
    <row r="35408" spans="1:3">
      <c r="A35408" s="250">
        <v>82215</v>
      </c>
      <c r="B35408" s="74" t="s">
        <v>10394</v>
      </c>
      <c r="C35408" s="74" t="s">
        <v>460</v>
      </c>
    </row>
    <row r="35409" spans="1:3">
      <c r="A35409" s="250">
        <v>82217</v>
      </c>
      <c r="B35409" s="74" t="s">
        <v>16840</v>
      </c>
      <c r="C35409" s="74" t="s">
        <v>460</v>
      </c>
    </row>
    <row r="35410" spans="1:3">
      <c r="A35410" s="250">
        <v>82218</v>
      </c>
      <c r="B35410" s="74" t="s">
        <v>12537</v>
      </c>
      <c r="C35410" s="74" t="s">
        <v>460</v>
      </c>
    </row>
    <row r="35411" spans="1:3">
      <c r="A35411" s="250">
        <v>82219</v>
      </c>
      <c r="B35411" s="74" t="s">
        <v>16841</v>
      </c>
      <c r="C35411" s="74" t="s">
        <v>460</v>
      </c>
    </row>
    <row r="35412" spans="1:3">
      <c r="A35412" s="250">
        <v>82221</v>
      </c>
      <c r="B35412" s="74" t="s">
        <v>1511</v>
      </c>
      <c r="C35412" s="74" t="s">
        <v>460</v>
      </c>
    </row>
    <row r="35413" spans="1:3">
      <c r="A35413" s="250">
        <v>82222</v>
      </c>
      <c r="B35413" s="74" t="s">
        <v>16842</v>
      </c>
      <c r="C35413" s="74" t="s">
        <v>460</v>
      </c>
    </row>
    <row r="35414" spans="1:3">
      <c r="A35414" s="250">
        <v>82223</v>
      </c>
      <c r="B35414" s="74" t="s">
        <v>16843</v>
      </c>
      <c r="C35414" s="74" t="s">
        <v>460</v>
      </c>
    </row>
    <row r="35415" spans="1:3">
      <c r="A35415" s="250">
        <v>82224</v>
      </c>
      <c r="B35415" s="74" t="s">
        <v>14568</v>
      </c>
      <c r="C35415" s="74" t="s">
        <v>460</v>
      </c>
    </row>
    <row r="35416" spans="1:3">
      <c r="A35416" s="250">
        <v>82225</v>
      </c>
      <c r="B35416" s="74" t="s">
        <v>16844</v>
      </c>
      <c r="C35416" s="74" t="s">
        <v>460</v>
      </c>
    </row>
    <row r="35417" spans="1:3">
      <c r="A35417" s="250">
        <v>82227</v>
      </c>
      <c r="B35417" s="74" t="s">
        <v>1116</v>
      </c>
      <c r="C35417" s="74" t="s">
        <v>460</v>
      </c>
    </row>
    <row r="35418" spans="1:3">
      <c r="A35418" s="250">
        <v>82229</v>
      </c>
      <c r="B35418" s="74" t="s">
        <v>10246</v>
      </c>
      <c r="C35418" s="74" t="s">
        <v>460</v>
      </c>
    </row>
    <row r="35419" spans="1:3">
      <c r="A35419" s="250">
        <v>82240</v>
      </c>
      <c r="B35419" s="74" t="s">
        <v>2094</v>
      </c>
      <c r="C35419" s="74" t="s">
        <v>460</v>
      </c>
    </row>
    <row r="35420" spans="1:3">
      <c r="A35420" s="250">
        <v>82242</v>
      </c>
      <c r="B35420" s="74" t="s">
        <v>16845</v>
      </c>
      <c r="C35420" s="74" t="s">
        <v>460</v>
      </c>
    </row>
    <row r="35421" spans="1:3">
      <c r="A35421" s="250">
        <v>82243</v>
      </c>
      <c r="B35421" s="74" t="s">
        <v>16846</v>
      </c>
      <c r="C35421" s="74" t="s">
        <v>460</v>
      </c>
    </row>
    <row r="35422" spans="1:3">
      <c r="A35422" s="250">
        <v>82244</v>
      </c>
      <c r="B35422" s="74" t="s">
        <v>10757</v>
      </c>
      <c r="C35422" s="74" t="s">
        <v>460</v>
      </c>
    </row>
    <row r="35423" spans="1:3">
      <c r="A35423" s="250">
        <v>82301</v>
      </c>
      <c r="B35423" s="74" t="s">
        <v>16847</v>
      </c>
      <c r="C35423" s="74" t="s">
        <v>460</v>
      </c>
    </row>
    <row r="35424" spans="1:3">
      <c r="A35424" s="250">
        <v>82310</v>
      </c>
      <c r="B35424" s="74" t="s">
        <v>16848</v>
      </c>
      <c r="C35424" s="74" t="s">
        <v>460</v>
      </c>
    </row>
    <row r="35425" spans="1:3">
      <c r="A35425" s="250">
        <v>82321</v>
      </c>
      <c r="B35425" s="74" t="s">
        <v>16849</v>
      </c>
      <c r="C35425" s="74" t="s">
        <v>460</v>
      </c>
    </row>
    <row r="35426" spans="1:3">
      <c r="A35426" s="250">
        <v>82322</v>
      </c>
      <c r="B35426" s="74" t="s">
        <v>16850</v>
      </c>
      <c r="C35426" s="74" t="s">
        <v>460</v>
      </c>
    </row>
    <row r="35427" spans="1:3">
      <c r="A35427" s="250">
        <v>82323</v>
      </c>
      <c r="B35427" s="74" t="s">
        <v>10025</v>
      </c>
      <c r="C35427" s="74" t="s">
        <v>460</v>
      </c>
    </row>
    <row r="35428" spans="1:3">
      <c r="A35428" s="250">
        <v>82324</v>
      </c>
      <c r="B35428" s="74" t="s">
        <v>16851</v>
      </c>
      <c r="C35428" s="74" t="s">
        <v>460</v>
      </c>
    </row>
    <row r="35429" spans="1:3">
      <c r="A35429" s="250">
        <v>82325</v>
      </c>
      <c r="B35429" s="74" t="s">
        <v>16852</v>
      </c>
      <c r="C35429" s="74" t="s">
        <v>460</v>
      </c>
    </row>
    <row r="35430" spans="1:3">
      <c r="A35430" s="250">
        <v>82327</v>
      </c>
      <c r="B35430" s="74" t="s">
        <v>10685</v>
      </c>
      <c r="C35430" s="74" t="s">
        <v>460</v>
      </c>
    </row>
    <row r="35431" spans="1:3">
      <c r="A35431" s="250">
        <v>82329</v>
      </c>
      <c r="B35431" s="74" t="s">
        <v>16853</v>
      </c>
      <c r="C35431" s="74" t="s">
        <v>460</v>
      </c>
    </row>
    <row r="35432" spans="1:3">
      <c r="A35432" s="250">
        <v>82331</v>
      </c>
      <c r="B35432" s="74" t="s">
        <v>7220</v>
      </c>
      <c r="C35432" s="74" t="s">
        <v>460</v>
      </c>
    </row>
    <row r="35433" spans="1:3">
      <c r="A35433" s="250">
        <v>82332</v>
      </c>
      <c r="B35433" s="74" t="s">
        <v>16854</v>
      </c>
      <c r="C35433" s="74" t="s">
        <v>460</v>
      </c>
    </row>
    <row r="35434" spans="1:3">
      <c r="A35434" s="250">
        <v>82334</v>
      </c>
      <c r="B35434" s="74" t="s">
        <v>1654</v>
      </c>
      <c r="C35434" s="74" t="s">
        <v>460</v>
      </c>
    </row>
    <row r="35435" spans="1:3">
      <c r="A35435" s="250">
        <v>82335</v>
      </c>
      <c r="B35435" s="74" t="s">
        <v>11929</v>
      </c>
      <c r="C35435" s="74" t="s">
        <v>460</v>
      </c>
    </row>
    <row r="35436" spans="1:3">
      <c r="A35436" s="250">
        <v>82336</v>
      </c>
      <c r="B35436" s="74" t="s">
        <v>16855</v>
      </c>
      <c r="C35436" s="74" t="s">
        <v>460</v>
      </c>
    </row>
    <row r="35437" spans="1:3">
      <c r="A35437" s="250">
        <v>82401</v>
      </c>
      <c r="B35437" s="74" t="s">
        <v>16856</v>
      </c>
      <c r="C35437" s="74" t="s">
        <v>460</v>
      </c>
    </row>
    <row r="35438" spans="1:3">
      <c r="A35438" s="250">
        <v>82410</v>
      </c>
      <c r="B35438" s="74" t="s">
        <v>13356</v>
      </c>
      <c r="C35438" s="74" t="s">
        <v>460</v>
      </c>
    </row>
    <row r="35439" spans="1:3">
      <c r="A35439" s="250">
        <v>82411</v>
      </c>
      <c r="B35439" s="74" t="s">
        <v>806</v>
      </c>
      <c r="C35439" s="74" t="s">
        <v>460</v>
      </c>
    </row>
    <row r="35440" spans="1:3">
      <c r="A35440" s="250">
        <v>82412</v>
      </c>
      <c r="B35440" s="74" t="s">
        <v>3758</v>
      </c>
      <c r="C35440" s="74" t="s">
        <v>460</v>
      </c>
    </row>
    <row r="35441" spans="1:3">
      <c r="A35441" s="250">
        <v>82414</v>
      </c>
      <c r="B35441" s="74" t="s">
        <v>14898</v>
      </c>
      <c r="C35441" s="74" t="s">
        <v>460</v>
      </c>
    </row>
    <row r="35442" spans="1:3">
      <c r="A35442" s="250">
        <v>82420</v>
      </c>
      <c r="B35442" s="74" t="s">
        <v>16857</v>
      </c>
      <c r="C35442" s="74" t="s">
        <v>460</v>
      </c>
    </row>
    <row r="35443" spans="1:3">
      <c r="A35443" s="250">
        <v>82421</v>
      </c>
      <c r="B35443" s="74" t="s">
        <v>16858</v>
      </c>
      <c r="C35443" s="74" t="s">
        <v>460</v>
      </c>
    </row>
    <row r="35444" spans="1:3">
      <c r="A35444" s="250">
        <v>82422</v>
      </c>
      <c r="B35444" s="74" t="s">
        <v>16859</v>
      </c>
      <c r="C35444" s="74" t="s">
        <v>460</v>
      </c>
    </row>
    <row r="35445" spans="1:3">
      <c r="A35445" s="250">
        <v>82423</v>
      </c>
      <c r="B35445" s="74" t="s">
        <v>16860</v>
      </c>
      <c r="C35445" s="74" t="s">
        <v>460</v>
      </c>
    </row>
    <row r="35446" spans="1:3">
      <c r="A35446" s="250">
        <v>82426</v>
      </c>
      <c r="B35446" s="74" t="s">
        <v>16861</v>
      </c>
      <c r="C35446" s="74" t="s">
        <v>460</v>
      </c>
    </row>
    <row r="35447" spans="1:3">
      <c r="A35447" s="250">
        <v>82428</v>
      </c>
      <c r="B35447" s="74" t="s">
        <v>16862</v>
      </c>
      <c r="C35447" s="74" t="s">
        <v>460</v>
      </c>
    </row>
    <row r="35448" spans="1:3">
      <c r="A35448" s="250">
        <v>82430</v>
      </c>
      <c r="B35448" s="74" t="s">
        <v>10139</v>
      </c>
      <c r="C35448" s="74" t="s">
        <v>460</v>
      </c>
    </row>
    <row r="35449" spans="1:3">
      <c r="A35449" s="250">
        <v>82431</v>
      </c>
      <c r="B35449" s="74" t="s">
        <v>1395</v>
      </c>
      <c r="C35449" s="74" t="s">
        <v>460</v>
      </c>
    </row>
    <row r="35450" spans="1:3">
      <c r="A35450" s="250">
        <v>82432</v>
      </c>
      <c r="B35450" s="74" t="s">
        <v>12979</v>
      </c>
      <c r="C35450" s="74" t="s">
        <v>460</v>
      </c>
    </row>
    <row r="35451" spans="1:3">
      <c r="A35451" s="250">
        <v>82433</v>
      </c>
      <c r="B35451" s="74" t="s">
        <v>16863</v>
      </c>
      <c r="C35451" s="74" t="s">
        <v>460</v>
      </c>
    </row>
    <row r="35452" spans="1:3">
      <c r="A35452" s="250">
        <v>82434</v>
      </c>
      <c r="B35452" s="74" t="s">
        <v>3880</v>
      </c>
      <c r="C35452" s="74" t="s">
        <v>460</v>
      </c>
    </row>
    <row r="35453" spans="1:3">
      <c r="A35453" s="250">
        <v>82435</v>
      </c>
      <c r="B35453" s="74" t="s">
        <v>9152</v>
      </c>
      <c r="C35453" s="74" t="s">
        <v>460</v>
      </c>
    </row>
    <row r="35454" spans="1:3">
      <c r="A35454" s="250">
        <v>82440</v>
      </c>
      <c r="B35454" s="74" t="s">
        <v>4923</v>
      </c>
      <c r="C35454" s="74" t="s">
        <v>460</v>
      </c>
    </row>
    <row r="35455" spans="1:3">
      <c r="A35455" s="250">
        <v>82441</v>
      </c>
      <c r="B35455" s="74" t="s">
        <v>16864</v>
      </c>
      <c r="C35455" s="74" t="s">
        <v>460</v>
      </c>
    </row>
    <row r="35456" spans="1:3">
      <c r="A35456" s="250">
        <v>82442</v>
      </c>
      <c r="B35456" s="74" t="s">
        <v>16865</v>
      </c>
      <c r="C35456" s="74" t="s">
        <v>460</v>
      </c>
    </row>
    <row r="35457" spans="1:3">
      <c r="A35457" s="250">
        <v>82443</v>
      </c>
      <c r="B35457" s="74" t="s">
        <v>16866</v>
      </c>
      <c r="C35457" s="74" t="s">
        <v>460</v>
      </c>
    </row>
    <row r="35458" spans="1:3">
      <c r="A35458" s="250">
        <v>82450</v>
      </c>
      <c r="B35458" s="74" t="s">
        <v>16867</v>
      </c>
      <c r="C35458" s="74" t="s">
        <v>460</v>
      </c>
    </row>
    <row r="35459" spans="1:3">
      <c r="A35459" s="250">
        <v>82501</v>
      </c>
      <c r="B35459" s="74" t="s">
        <v>1953</v>
      </c>
      <c r="C35459" s="74" t="s">
        <v>460</v>
      </c>
    </row>
    <row r="35460" spans="1:3">
      <c r="A35460" s="250">
        <v>82510</v>
      </c>
      <c r="B35460" s="74" t="s">
        <v>7425</v>
      </c>
      <c r="C35460" s="74" t="s">
        <v>460</v>
      </c>
    </row>
    <row r="35461" spans="1:3">
      <c r="A35461" s="250">
        <v>82512</v>
      </c>
      <c r="B35461" s="74" t="s">
        <v>16868</v>
      </c>
      <c r="C35461" s="74" t="s">
        <v>460</v>
      </c>
    </row>
    <row r="35462" spans="1:3">
      <c r="A35462" s="250">
        <v>82513</v>
      </c>
      <c r="B35462" s="74" t="s">
        <v>10880</v>
      </c>
      <c r="C35462" s="74" t="s">
        <v>460</v>
      </c>
    </row>
    <row r="35463" spans="1:3">
      <c r="A35463" s="250">
        <v>82514</v>
      </c>
      <c r="B35463" s="74" t="s">
        <v>16869</v>
      </c>
      <c r="C35463" s="74" t="s">
        <v>460</v>
      </c>
    </row>
    <row r="35464" spans="1:3">
      <c r="A35464" s="250">
        <v>82515</v>
      </c>
      <c r="B35464" s="74" t="s">
        <v>792</v>
      </c>
      <c r="C35464" s="74" t="s">
        <v>460</v>
      </c>
    </row>
    <row r="35465" spans="1:3">
      <c r="A35465" s="250">
        <v>82516</v>
      </c>
      <c r="B35465" s="74" t="s">
        <v>16870</v>
      </c>
      <c r="C35465" s="74" t="s">
        <v>460</v>
      </c>
    </row>
    <row r="35466" spans="1:3">
      <c r="A35466" s="250">
        <v>82520</v>
      </c>
      <c r="B35466" s="74" t="s">
        <v>16871</v>
      </c>
      <c r="C35466" s="74" t="s">
        <v>460</v>
      </c>
    </row>
    <row r="35467" spans="1:3">
      <c r="A35467" s="250">
        <v>82523</v>
      </c>
      <c r="B35467" s="74" t="s">
        <v>16872</v>
      </c>
      <c r="C35467" s="74" t="s">
        <v>460</v>
      </c>
    </row>
    <row r="35468" spans="1:3">
      <c r="A35468" s="250">
        <v>82524</v>
      </c>
      <c r="B35468" s="74" t="s">
        <v>8921</v>
      </c>
      <c r="C35468" s="74" t="s">
        <v>460</v>
      </c>
    </row>
    <row r="35469" spans="1:3">
      <c r="A35469" s="250">
        <v>82601</v>
      </c>
      <c r="B35469" s="74" t="s">
        <v>16873</v>
      </c>
      <c r="C35469" s="74" t="s">
        <v>460</v>
      </c>
    </row>
    <row r="35470" spans="1:3">
      <c r="A35470" s="250">
        <v>82602</v>
      </c>
      <c r="B35470" s="74" t="s">
        <v>16873</v>
      </c>
      <c r="C35470" s="74" t="s">
        <v>460</v>
      </c>
    </row>
    <row r="35471" spans="1:3">
      <c r="A35471" s="250">
        <v>82604</v>
      </c>
      <c r="B35471" s="74" t="s">
        <v>16873</v>
      </c>
      <c r="C35471" s="74" t="s">
        <v>460</v>
      </c>
    </row>
    <row r="35472" spans="1:3">
      <c r="A35472" s="250">
        <v>82605</v>
      </c>
      <c r="B35472" s="74" t="s">
        <v>16873</v>
      </c>
      <c r="C35472" s="74" t="s">
        <v>460</v>
      </c>
    </row>
    <row r="35473" spans="1:3">
      <c r="A35473" s="250">
        <v>82609</v>
      </c>
      <c r="B35473" s="74" t="s">
        <v>16873</v>
      </c>
      <c r="C35473" s="74" t="s">
        <v>460</v>
      </c>
    </row>
    <row r="35474" spans="1:3">
      <c r="A35474" s="250">
        <v>82615</v>
      </c>
      <c r="B35474" s="74" t="s">
        <v>16874</v>
      </c>
      <c r="C35474" s="74" t="s">
        <v>460</v>
      </c>
    </row>
    <row r="35475" spans="1:3">
      <c r="A35475" s="250">
        <v>82620</v>
      </c>
      <c r="B35475" s="74" t="s">
        <v>16875</v>
      </c>
      <c r="C35475" s="74" t="s">
        <v>460</v>
      </c>
    </row>
    <row r="35476" spans="1:3">
      <c r="A35476" s="250">
        <v>82630</v>
      </c>
      <c r="B35476" s="74" t="s">
        <v>16876</v>
      </c>
      <c r="C35476" s="74" t="s">
        <v>460</v>
      </c>
    </row>
    <row r="35477" spans="1:3">
      <c r="A35477" s="250">
        <v>82633</v>
      </c>
      <c r="B35477" s="74" t="s">
        <v>734</v>
      </c>
      <c r="C35477" s="74" t="s">
        <v>460</v>
      </c>
    </row>
    <row r="35478" spans="1:3">
      <c r="A35478" s="250">
        <v>82635</v>
      </c>
      <c r="B35478" s="74" t="s">
        <v>10187</v>
      </c>
      <c r="C35478" s="74" t="s">
        <v>460</v>
      </c>
    </row>
    <row r="35479" spans="1:3">
      <c r="A35479" s="250">
        <v>82636</v>
      </c>
      <c r="B35479" s="74" t="s">
        <v>10926</v>
      </c>
      <c r="C35479" s="74" t="s">
        <v>460</v>
      </c>
    </row>
    <row r="35480" spans="1:3">
      <c r="A35480" s="250">
        <v>82637</v>
      </c>
      <c r="B35480" s="74" t="s">
        <v>16877</v>
      </c>
      <c r="C35480" s="74" t="s">
        <v>460</v>
      </c>
    </row>
    <row r="35481" spans="1:3">
      <c r="A35481" s="250">
        <v>82638</v>
      </c>
      <c r="B35481" s="74" t="s">
        <v>16878</v>
      </c>
      <c r="C35481" s="74" t="s">
        <v>460</v>
      </c>
    </row>
    <row r="35482" spans="1:3">
      <c r="A35482" s="250">
        <v>82639</v>
      </c>
      <c r="B35482" s="74" t="s">
        <v>16879</v>
      </c>
      <c r="C35482" s="74" t="s">
        <v>460</v>
      </c>
    </row>
    <row r="35483" spans="1:3">
      <c r="A35483" s="250">
        <v>82640</v>
      </c>
      <c r="B35483" s="74" t="s">
        <v>16880</v>
      </c>
      <c r="C35483" s="74" t="s">
        <v>460</v>
      </c>
    </row>
    <row r="35484" spans="1:3">
      <c r="A35484" s="250">
        <v>82642</v>
      </c>
      <c r="B35484" s="74" t="s">
        <v>16881</v>
      </c>
      <c r="C35484" s="74" t="s">
        <v>460</v>
      </c>
    </row>
    <row r="35485" spans="1:3">
      <c r="A35485" s="250">
        <v>82643</v>
      </c>
      <c r="B35485" s="74" t="s">
        <v>16882</v>
      </c>
      <c r="C35485" s="74" t="s">
        <v>460</v>
      </c>
    </row>
    <row r="35486" spans="1:3">
      <c r="A35486" s="250">
        <v>82644</v>
      </c>
      <c r="B35486" s="74" t="s">
        <v>4680</v>
      </c>
      <c r="C35486" s="74" t="s">
        <v>460</v>
      </c>
    </row>
    <row r="35487" spans="1:3">
      <c r="A35487" s="250">
        <v>82646</v>
      </c>
      <c r="B35487" s="74" t="s">
        <v>16883</v>
      </c>
      <c r="C35487" s="74" t="s">
        <v>460</v>
      </c>
    </row>
    <row r="35488" spans="1:3">
      <c r="A35488" s="250">
        <v>82648</v>
      </c>
      <c r="B35488" s="74" t="s">
        <v>16884</v>
      </c>
      <c r="C35488" s="74" t="s">
        <v>460</v>
      </c>
    </row>
    <row r="35489" spans="1:3">
      <c r="A35489" s="250">
        <v>82649</v>
      </c>
      <c r="B35489" s="74" t="s">
        <v>16885</v>
      </c>
      <c r="C35489" s="74" t="s">
        <v>460</v>
      </c>
    </row>
    <row r="35490" spans="1:3">
      <c r="A35490" s="250">
        <v>82701</v>
      </c>
      <c r="B35490" s="74" t="s">
        <v>1546</v>
      </c>
      <c r="C35490" s="74" t="s">
        <v>460</v>
      </c>
    </row>
    <row r="35491" spans="1:3">
      <c r="A35491" s="250">
        <v>82710</v>
      </c>
      <c r="B35491" s="74" t="s">
        <v>16886</v>
      </c>
      <c r="C35491" s="74" t="s">
        <v>460</v>
      </c>
    </row>
    <row r="35492" spans="1:3">
      <c r="A35492" s="250">
        <v>82711</v>
      </c>
      <c r="B35492" s="74" t="s">
        <v>8521</v>
      </c>
      <c r="C35492" s="74" t="s">
        <v>460</v>
      </c>
    </row>
    <row r="35493" spans="1:3">
      <c r="A35493" s="250">
        <v>82712</v>
      </c>
      <c r="B35493" s="74" t="s">
        <v>9330</v>
      </c>
      <c r="C35493" s="74" t="s">
        <v>460</v>
      </c>
    </row>
    <row r="35494" spans="1:3">
      <c r="A35494" s="250">
        <v>82714</v>
      </c>
      <c r="B35494" s="74" t="s">
        <v>16887</v>
      </c>
      <c r="C35494" s="74" t="s">
        <v>460</v>
      </c>
    </row>
    <row r="35495" spans="1:3">
      <c r="A35495" s="250">
        <v>82715</v>
      </c>
      <c r="B35495" s="74" t="s">
        <v>16888</v>
      </c>
      <c r="C35495" s="74" t="s">
        <v>460</v>
      </c>
    </row>
    <row r="35496" spans="1:3">
      <c r="A35496" s="250">
        <v>82716</v>
      </c>
      <c r="B35496" s="74" t="s">
        <v>2344</v>
      </c>
      <c r="C35496" s="74" t="s">
        <v>460</v>
      </c>
    </row>
    <row r="35497" spans="1:3">
      <c r="A35497" s="250">
        <v>82717</v>
      </c>
      <c r="B35497" s="74" t="s">
        <v>2344</v>
      </c>
      <c r="C35497" s="74" t="s">
        <v>460</v>
      </c>
    </row>
    <row r="35498" spans="1:3">
      <c r="A35498" s="250">
        <v>82718</v>
      </c>
      <c r="B35498" s="74" t="s">
        <v>2344</v>
      </c>
      <c r="C35498" s="74" t="s">
        <v>460</v>
      </c>
    </row>
    <row r="35499" spans="1:3">
      <c r="A35499" s="250">
        <v>82720</v>
      </c>
      <c r="B35499" s="74" t="s">
        <v>16889</v>
      </c>
      <c r="C35499" s="74" t="s">
        <v>460</v>
      </c>
    </row>
    <row r="35500" spans="1:3">
      <c r="A35500" s="250">
        <v>82721</v>
      </c>
      <c r="B35500" s="74" t="s">
        <v>16890</v>
      </c>
      <c r="C35500" s="74" t="s">
        <v>460</v>
      </c>
    </row>
    <row r="35501" spans="1:3">
      <c r="A35501" s="250">
        <v>82723</v>
      </c>
      <c r="B35501" s="74" t="s">
        <v>6973</v>
      </c>
      <c r="C35501" s="74" t="s">
        <v>460</v>
      </c>
    </row>
    <row r="35502" spans="1:3">
      <c r="A35502" s="250">
        <v>82725</v>
      </c>
      <c r="B35502" s="74" t="s">
        <v>16891</v>
      </c>
      <c r="C35502" s="74" t="s">
        <v>460</v>
      </c>
    </row>
    <row r="35503" spans="1:3">
      <c r="A35503" s="250">
        <v>82727</v>
      </c>
      <c r="B35503" s="74" t="s">
        <v>16892</v>
      </c>
      <c r="C35503" s="74" t="s">
        <v>460</v>
      </c>
    </row>
    <row r="35504" spans="1:3">
      <c r="A35504" s="250">
        <v>82729</v>
      </c>
      <c r="B35504" s="74" t="s">
        <v>16893</v>
      </c>
      <c r="C35504" s="74" t="s">
        <v>460</v>
      </c>
    </row>
    <row r="35505" spans="1:3">
      <c r="A35505" s="250">
        <v>82730</v>
      </c>
      <c r="B35505" s="74" t="s">
        <v>765</v>
      </c>
      <c r="C35505" s="74" t="s">
        <v>460</v>
      </c>
    </row>
    <row r="35506" spans="1:3">
      <c r="A35506" s="250">
        <v>82731</v>
      </c>
      <c r="B35506" s="74" t="s">
        <v>991</v>
      </c>
      <c r="C35506" s="74" t="s">
        <v>460</v>
      </c>
    </row>
    <row r="35507" spans="1:3">
      <c r="A35507" s="250">
        <v>82732</v>
      </c>
      <c r="B35507" s="74" t="s">
        <v>12490</v>
      </c>
      <c r="C35507" s="74" t="s">
        <v>460</v>
      </c>
    </row>
    <row r="35508" spans="1:3">
      <c r="A35508" s="250">
        <v>82801</v>
      </c>
      <c r="B35508" s="74" t="s">
        <v>1651</v>
      </c>
      <c r="C35508" s="74" t="s">
        <v>460</v>
      </c>
    </row>
    <row r="35509" spans="1:3">
      <c r="A35509" s="250">
        <v>82831</v>
      </c>
      <c r="B35509" s="74" t="s">
        <v>16633</v>
      </c>
      <c r="C35509" s="74" t="s">
        <v>460</v>
      </c>
    </row>
    <row r="35510" spans="1:3">
      <c r="A35510" s="250">
        <v>82832</v>
      </c>
      <c r="B35510" s="74" t="s">
        <v>9381</v>
      </c>
      <c r="C35510" s="74" t="s">
        <v>460</v>
      </c>
    </row>
    <row r="35511" spans="1:3">
      <c r="A35511" s="250">
        <v>82833</v>
      </c>
      <c r="B35511" s="74" t="s">
        <v>16894</v>
      </c>
      <c r="C35511" s="74" t="s">
        <v>460</v>
      </c>
    </row>
    <row r="35512" spans="1:3">
      <c r="A35512" s="250">
        <v>82834</v>
      </c>
      <c r="B35512" s="74" t="s">
        <v>3751</v>
      </c>
      <c r="C35512" s="74" t="s">
        <v>460</v>
      </c>
    </row>
    <row r="35513" spans="1:3">
      <c r="A35513" s="250">
        <v>82835</v>
      </c>
      <c r="B35513" s="74" t="s">
        <v>14249</v>
      </c>
      <c r="C35513" s="74" t="s">
        <v>460</v>
      </c>
    </row>
    <row r="35514" spans="1:3">
      <c r="A35514" s="250">
        <v>82836</v>
      </c>
      <c r="B35514" s="74" t="s">
        <v>2564</v>
      </c>
      <c r="C35514" s="74" t="s">
        <v>460</v>
      </c>
    </row>
    <row r="35515" spans="1:3">
      <c r="A35515" s="250">
        <v>82837</v>
      </c>
      <c r="B35515" s="74" t="s">
        <v>16895</v>
      </c>
      <c r="C35515" s="74" t="s">
        <v>460</v>
      </c>
    </row>
    <row r="35516" spans="1:3">
      <c r="A35516" s="250">
        <v>82838</v>
      </c>
      <c r="B35516" s="74" t="s">
        <v>10314</v>
      </c>
      <c r="C35516" s="74" t="s">
        <v>460</v>
      </c>
    </row>
    <row r="35517" spans="1:3">
      <c r="A35517" s="250">
        <v>82839</v>
      </c>
      <c r="B35517" s="74" t="s">
        <v>16896</v>
      </c>
      <c r="C35517" s="74" t="s">
        <v>460</v>
      </c>
    </row>
    <row r="35518" spans="1:3">
      <c r="A35518" s="250">
        <v>82840</v>
      </c>
      <c r="B35518" s="74" t="s">
        <v>16897</v>
      </c>
      <c r="C35518" s="74" t="s">
        <v>460</v>
      </c>
    </row>
    <row r="35519" spans="1:3">
      <c r="A35519" s="250">
        <v>82842</v>
      </c>
      <c r="B35519" s="74" t="s">
        <v>15260</v>
      </c>
      <c r="C35519" s="74" t="s">
        <v>460</v>
      </c>
    </row>
    <row r="35520" spans="1:3">
      <c r="A35520" s="250">
        <v>82844</v>
      </c>
      <c r="B35520" s="74" t="s">
        <v>16898</v>
      </c>
      <c r="C35520" s="74" t="s">
        <v>460</v>
      </c>
    </row>
    <row r="35521" spans="1:3">
      <c r="A35521" s="250">
        <v>82845</v>
      </c>
      <c r="B35521" s="74" t="s">
        <v>16899</v>
      </c>
      <c r="C35521" s="74" t="s">
        <v>460</v>
      </c>
    </row>
    <row r="35522" spans="1:3">
      <c r="A35522" s="250">
        <v>82901</v>
      </c>
      <c r="B35522" s="74" t="s">
        <v>12074</v>
      </c>
      <c r="C35522" s="74" t="s">
        <v>460</v>
      </c>
    </row>
    <row r="35523" spans="1:3">
      <c r="A35523" s="250">
        <v>82902</v>
      </c>
      <c r="B35523" s="74" t="s">
        <v>12074</v>
      </c>
      <c r="C35523" s="74" t="s">
        <v>460</v>
      </c>
    </row>
    <row r="35524" spans="1:3">
      <c r="A35524" s="250">
        <v>82922</v>
      </c>
      <c r="B35524" s="74" t="s">
        <v>11488</v>
      </c>
      <c r="C35524" s="74" t="s">
        <v>460</v>
      </c>
    </row>
    <row r="35525" spans="1:3">
      <c r="A35525" s="250">
        <v>82923</v>
      </c>
      <c r="B35525" s="74" t="s">
        <v>13357</v>
      </c>
      <c r="C35525" s="74" t="s">
        <v>460</v>
      </c>
    </row>
    <row r="35526" spans="1:3">
      <c r="A35526" s="250">
        <v>82925</v>
      </c>
      <c r="B35526" s="74" t="s">
        <v>6742</v>
      </c>
      <c r="C35526" s="74" t="s">
        <v>460</v>
      </c>
    </row>
    <row r="35527" spans="1:3">
      <c r="A35527" s="250">
        <v>82929</v>
      </c>
      <c r="B35527" s="74" t="s">
        <v>16900</v>
      </c>
      <c r="C35527" s="74" t="s">
        <v>460</v>
      </c>
    </row>
    <row r="35528" spans="1:3">
      <c r="A35528" s="250">
        <v>82930</v>
      </c>
      <c r="B35528" s="74" t="s">
        <v>10883</v>
      </c>
      <c r="C35528" s="74" t="s">
        <v>460</v>
      </c>
    </row>
    <row r="35529" spans="1:3">
      <c r="A35529" s="250">
        <v>82931</v>
      </c>
      <c r="B35529" s="74" t="s">
        <v>10883</v>
      </c>
      <c r="C35529" s="74" t="s">
        <v>460</v>
      </c>
    </row>
    <row r="35530" spans="1:3">
      <c r="A35530" s="250">
        <v>82932</v>
      </c>
      <c r="B35530" s="74" t="s">
        <v>16901</v>
      </c>
      <c r="C35530" s="74" t="s">
        <v>460</v>
      </c>
    </row>
    <row r="35531" spans="1:3">
      <c r="A35531" s="250">
        <v>82933</v>
      </c>
      <c r="B35531" s="74" t="s">
        <v>16902</v>
      </c>
      <c r="C35531" s="74" t="s">
        <v>460</v>
      </c>
    </row>
    <row r="35532" spans="1:3">
      <c r="A35532" s="250">
        <v>82934</v>
      </c>
      <c r="B35532" s="74" t="s">
        <v>10713</v>
      </c>
      <c r="C35532" s="74" t="s">
        <v>460</v>
      </c>
    </row>
    <row r="35533" spans="1:3">
      <c r="A35533" s="250">
        <v>82935</v>
      </c>
      <c r="B35533" s="74" t="s">
        <v>16903</v>
      </c>
      <c r="C35533" s="74" t="s">
        <v>460</v>
      </c>
    </row>
    <row r="35534" spans="1:3">
      <c r="A35534" s="250">
        <v>82936</v>
      </c>
      <c r="B35534" s="74" t="s">
        <v>16904</v>
      </c>
      <c r="C35534" s="74" t="s">
        <v>460</v>
      </c>
    </row>
    <row r="35535" spans="1:3">
      <c r="A35535" s="250">
        <v>82937</v>
      </c>
      <c r="B35535" s="74" t="s">
        <v>7680</v>
      </c>
      <c r="C35535" s="74" t="s">
        <v>460</v>
      </c>
    </row>
    <row r="35536" spans="1:3">
      <c r="A35536" s="250">
        <v>82938</v>
      </c>
      <c r="B35536" s="74" t="s">
        <v>16905</v>
      </c>
      <c r="C35536" s="74" t="s">
        <v>460</v>
      </c>
    </row>
    <row r="35537" spans="1:3">
      <c r="A35537" s="250">
        <v>82939</v>
      </c>
      <c r="B35537" s="74" t="s">
        <v>14405</v>
      </c>
      <c r="C35537" s="74" t="s">
        <v>460</v>
      </c>
    </row>
    <row r="35538" spans="1:3">
      <c r="A35538" s="250">
        <v>82941</v>
      </c>
      <c r="B35538" s="74" t="s">
        <v>16906</v>
      </c>
      <c r="C35538" s="74" t="s">
        <v>460</v>
      </c>
    </row>
    <row r="35539" spans="1:3">
      <c r="A35539" s="250">
        <v>82942</v>
      </c>
      <c r="B35539" s="74" t="s">
        <v>5814</v>
      </c>
      <c r="C35539" s="74" t="s">
        <v>460</v>
      </c>
    </row>
    <row r="35540" spans="1:3">
      <c r="A35540" s="250">
        <v>82943</v>
      </c>
      <c r="B35540" s="74" t="s">
        <v>9076</v>
      </c>
      <c r="C35540" s="74" t="s">
        <v>460</v>
      </c>
    </row>
    <row r="35541" spans="1:3">
      <c r="A35541" s="250">
        <v>82944</v>
      </c>
      <c r="B35541" s="74" t="s">
        <v>16907</v>
      </c>
      <c r="C35541" s="74" t="s">
        <v>460</v>
      </c>
    </row>
    <row r="35542" spans="1:3">
      <c r="A35542" s="250">
        <v>82945</v>
      </c>
      <c r="B35542" s="74" t="s">
        <v>11744</v>
      </c>
      <c r="C35542" s="74" t="s">
        <v>460</v>
      </c>
    </row>
    <row r="35543" spans="1:3">
      <c r="A35543" s="250">
        <v>83001</v>
      </c>
      <c r="B35543" s="74" t="s">
        <v>1318</v>
      </c>
      <c r="C35543" s="74" t="s">
        <v>460</v>
      </c>
    </row>
    <row r="35544" spans="1:3">
      <c r="A35544" s="250">
        <v>83002</v>
      </c>
      <c r="B35544" s="74" t="s">
        <v>1318</v>
      </c>
      <c r="C35544" s="74" t="s">
        <v>460</v>
      </c>
    </row>
    <row r="35545" spans="1:3">
      <c r="A35545" s="250">
        <v>83011</v>
      </c>
      <c r="B35545" s="74" t="s">
        <v>7403</v>
      </c>
      <c r="C35545" s="74" t="s">
        <v>460</v>
      </c>
    </row>
    <row r="35546" spans="1:3">
      <c r="A35546" s="250">
        <v>83012</v>
      </c>
      <c r="B35546" s="74" t="s">
        <v>16908</v>
      </c>
      <c r="C35546" s="74" t="s">
        <v>460</v>
      </c>
    </row>
    <row r="35547" spans="1:3">
      <c r="A35547" s="250">
        <v>83013</v>
      </c>
      <c r="B35547" s="74" t="s">
        <v>11373</v>
      </c>
      <c r="C35547" s="74" t="s">
        <v>460</v>
      </c>
    </row>
    <row r="35548" spans="1:3">
      <c r="A35548" s="250">
        <v>83014</v>
      </c>
      <c r="B35548" s="74" t="s">
        <v>3748</v>
      </c>
      <c r="C35548" s="74" t="s">
        <v>460</v>
      </c>
    </row>
    <row r="35549" spans="1:3">
      <c r="A35549" s="250">
        <v>83025</v>
      </c>
      <c r="B35549" s="74" t="s">
        <v>16909</v>
      </c>
      <c r="C35549" s="74" t="s">
        <v>460</v>
      </c>
    </row>
    <row r="35550" spans="1:3">
      <c r="A35550" s="250">
        <v>83101</v>
      </c>
      <c r="B35550" s="74" t="s">
        <v>16910</v>
      </c>
      <c r="C35550" s="74" t="s">
        <v>460</v>
      </c>
    </row>
    <row r="35551" spans="1:3">
      <c r="A35551" s="250">
        <v>83110</v>
      </c>
      <c r="B35551" s="74" t="s">
        <v>3590</v>
      </c>
      <c r="C35551" s="74" t="s">
        <v>460</v>
      </c>
    </row>
    <row r="35552" spans="1:3">
      <c r="A35552" s="250">
        <v>83111</v>
      </c>
      <c r="B35552" s="74" t="s">
        <v>724</v>
      </c>
      <c r="C35552" s="74" t="s">
        <v>460</v>
      </c>
    </row>
    <row r="35553" spans="1:3">
      <c r="A35553" s="250">
        <v>83112</v>
      </c>
      <c r="B35553" s="74" t="s">
        <v>783</v>
      </c>
      <c r="C35553" s="74" t="s">
        <v>460</v>
      </c>
    </row>
    <row r="35554" spans="1:3">
      <c r="A35554" s="250">
        <v>83113</v>
      </c>
      <c r="B35554" s="74" t="s">
        <v>16911</v>
      </c>
      <c r="C35554" s="74" t="s">
        <v>460</v>
      </c>
    </row>
    <row r="35555" spans="1:3">
      <c r="A35555" s="250">
        <v>83114</v>
      </c>
      <c r="B35555" s="74" t="s">
        <v>16912</v>
      </c>
      <c r="C35555" s="74" t="s">
        <v>460</v>
      </c>
    </row>
    <row r="35556" spans="1:3">
      <c r="A35556" s="250">
        <v>83115</v>
      </c>
      <c r="B35556" s="74" t="s">
        <v>16913</v>
      </c>
      <c r="C35556" s="74" t="s">
        <v>460</v>
      </c>
    </row>
    <row r="35557" spans="1:3">
      <c r="A35557" s="250">
        <v>83116</v>
      </c>
      <c r="B35557" s="74" t="s">
        <v>16914</v>
      </c>
      <c r="C35557" s="74" t="s">
        <v>460</v>
      </c>
    </row>
    <row r="35558" spans="1:3">
      <c r="A35558" s="250">
        <v>83118</v>
      </c>
      <c r="B35558" s="74" t="s">
        <v>1276</v>
      </c>
      <c r="C35558" s="74" t="s">
        <v>460</v>
      </c>
    </row>
    <row r="35559" spans="1:3">
      <c r="A35559" s="250">
        <v>83119</v>
      </c>
      <c r="B35559" s="74" t="s">
        <v>2122</v>
      </c>
      <c r="C35559" s="74" t="s">
        <v>460</v>
      </c>
    </row>
    <row r="35560" spans="1:3">
      <c r="A35560" s="250">
        <v>83120</v>
      </c>
      <c r="B35560" s="74" t="s">
        <v>1310</v>
      </c>
      <c r="C35560" s="74" t="s">
        <v>460</v>
      </c>
    </row>
    <row r="35561" spans="1:3">
      <c r="A35561" s="250">
        <v>83121</v>
      </c>
      <c r="B35561" s="74" t="s">
        <v>11230</v>
      </c>
      <c r="C35561" s="74" t="s">
        <v>460</v>
      </c>
    </row>
    <row r="35562" spans="1:3">
      <c r="A35562" s="250">
        <v>83122</v>
      </c>
      <c r="B35562" s="74" t="s">
        <v>4907</v>
      </c>
      <c r="C35562" s="74" t="s">
        <v>460</v>
      </c>
    </row>
    <row r="35563" spans="1:3">
      <c r="A35563" s="250">
        <v>83123</v>
      </c>
      <c r="B35563" s="74" t="s">
        <v>16915</v>
      </c>
      <c r="C35563" s="74" t="s">
        <v>460</v>
      </c>
    </row>
    <row r="35564" spans="1:3">
      <c r="A35564" s="250">
        <v>83124</v>
      </c>
      <c r="B35564" s="74" t="s">
        <v>16916</v>
      </c>
      <c r="C35564" s="74" t="s">
        <v>460</v>
      </c>
    </row>
    <row r="35565" spans="1:3">
      <c r="A35565" s="250">
        <v>83126</v>
      </c>
      <c r="B35565" s="74" t="s">
        <v>6564</v>
      </c>
      <c r="C35565" s="74" t="s">
        <v>460</v>
      </c>
    </row>
    <row r="35566" spans="1:3">
      <c r="A35566" s="250">
        <v>83127</v>
      </c>
      <c r="B35566" s="74" t="s">
        <v>16917</v>
      </c>
      <c r="C35566" s="74" t="s">
        <v>460</v>
      </c>
    </row>
    <row r="35567" spans="1:3">
      <c r="A35567" s="250">
        <v>83128</v>
      </c>
      <c r="B35567" s="74" t="s">
        <v>2225</v>
      </c>
      <c r="C35567" s="74" t="s">
        <v>460</v>
      </c>
    </row>
    <row r="35568" spans="1:3">
      <c r="A35568" s="250">
        <v>83201</v>
      </c>
      <c r="B35568" s="74" t="s">
        <v>16918</v>
      </c>
      <c r="C35568" s="74" t="s">
        <v>423</v>
      </c>
    </row>
    <row r="35569" spans="1:3">
      <c r="A35569" s="250">
        <v>83202</v>
      </c>
      <c r="B35569" s="74" t="s">
        <v>16918</v>
      </c>
      <c r="C35569" s="74" t="s">
        <v>423</v>
      </c>
    </row>
    <row r="35570" spans="1:3">
      <c r="A35570" s="250">
        <v>83203</v>
      </c>
      <c r="B35570" s="74" t="s">
        <v>16919</v>
      </c>
      <c r="C35570" s="74" t="s">
        <v>423</v>
      </c>
    </row>
    <row r="35571" spans="1:3">
      <c r="A35571" s="250">
        <v>83204</v>
      </c>
      <c r="B35571" s="74" t="s">
        <v>16918</v>
      </c>
      <c r="C35571" s="74" t="s">
        <v>423</v>
      </c>
    </row>
    <row r="35572" spans="1:3">
      <c r="A35572" s="250">
        <v>83205</v>
      </c>
      <c r="B35572" s="74" t="s">
        <v>16918</v>
      </c>
      <c r="C35572" s="74" t="s">
        <v>423</v>
      </c>
    </row>
    <row r="35573" spans="1:3">
      <c r="A35573" s="250">
        <v>83206</v>
      </c>
      <c r="B35573" s="74" t="s">
        <v>16918</v>
      </c>
      <c r="C35573" s="74" t="s">
        <v>423</v>
      </c>
    </row>
    <row r="35574" spans="1:3">
      <c r="A35574" s="250">
        <v>83209</v>
      </c>
      <c r="B35574" s="74" t="s">
        <v>16918</v>
      </c>
      <c r="C35574" s="74" t="s">
        <v>423</v>
      </c>
    </row>
    <row r="35575" spans="1:3">
      <c r="A35575" s="250">
        <v>83210</v>
      </c>
      <c r="B35575" s="74" t="s">
        <v>5648</v>
      </c>
      <c r="C35575" s="74" t="s">
        <v>423</v>
      </c>
    </row>
    <row r="35576" spans="1:3">
      <c r="A35576" s="250">
        <v>83211</v>
      </c>
      <c r="B35576" s="74" t="s">
        <v>16920</v>
      </c>
      <c r="C35576" s="74" t="s">
        <v>423</v>
      </c>
    </row>
    <row r="35577" spans="1:3">
      <c r="A35577" s="250">
        <v>83212</v>
      </c>
      <c r="B35577" s="74" t="s">
        <v>16921</v>
      </c>
      <c r="C35577" s="74" t="s">
        <v>423</v>
      </c>
    </row>
    <row r="35578" spans="1:3">
      <c r="A35578" s="250">
        <v>83213</v>
      </c>
      <c r="B35578" s="74" t="s">
        <v>12558</v>
      </c>
      <c r="C35578" s="74" t="s">
        <v>423</v>
      </c>
    </row>
    <row r="35579" spans="1:3">
      <c r="A35579" s="250">
        <v>83214</v>
      </c>
      <c r="B35579" s="74" t="s">
        <v>16922</v>
      </c>
      <c r="C35579" s="74" t="s">
        <v>423</v>
      </c>
    </row>
    <row r="35580" spans="1:3">
      <c r="A35580" s="250">
        <v>83215</v>
      </c>
      <c r="B35580" s="74" t="s">
        <v>16923</v>
      </c>
      <c r="C35580" s="74" t="s">
        <v>423</v>
      </c>
    </row>
    <row r="35581" spans="1:3">
      <c r="A35581" s="250">
        <v>83217</v>
      </c>
      <c r="B35581" s="74" t="s">
        <v>6574</v>
      </c>
      <c r="C35581" s="74" t="s">
        <v>423</v>
      </c>
    </row>
    <row r="35582" spans="1:3">
      <c r="A35582" s="250">
        <v>83218</v>
      </c>
      <c r="B35582" s="74" t="s">
        <v>16811</v>
      </c>
      <c r="C35582" s="74" t="s">
        <v>423</v>
      </c>
    </row>
    <row r="35583" spans="1:3">
      <c r="A35583" s="250">
        <v>83220</v>
      </c>
      <c r="B35583" s="74" t="s">
        <v>14517</v>
      </c>
      <c r="C35583" s="74" t="s">
        <v>423</v>
      </c>
    </row>
    <row r="35584" spans="1:3">
      <c r="A35584" s="250">
        <v>83221</v>
      </c>
      <c r="B35584" s="74" t="s">
        <v>16924</v>
      </c>
      <c r="C35584" s="74" t="s">
        <v>423</v>
      </c>
    </row>
    <row r="35585" spans="1:3">
      <c r="A35585" s="250">
        <v>83223</v>
      </c>
      <c r="B35585" s="74" t="s">
        <v>3032</v>
      </c>
      <c r="C35585" s="74" t="s">
        <v>423</v>
      </c>
    </row>
    <row r="35586" spans="1:3">
      <c r="A35586" s="250">
        <v>83226</v>
      </c>
      <c r="B35586" s="74" t="s">
        <v>16925</v>
      </c>
      <c r="C35586" s="74" t="s">
        <v>423</v>
      </c>
    </row>
    <row r="35587" spans="1:3">
      <c r="A35587" s="250">
        <v>83227</v>
      </c>
      <c r="B35587" s="74" t="s">
        <v>2476</v>
      </c>
      <c r="C35587" s="74" t="s">
        <v>423</v>
      </c>
    </row>
    <row r="35588" spans="1:3">
      <c r="A35588" s="250">
        <v>83228</v>
      </c>
      <c r="B35588" s="74" t="s">
        <v>2117</v>
      </c>
      <c r="C35588" s="74" t="s">
        <v>423</v>
      </c>
    </row>
    <row r="35589" spans="1:3">
      <c r="A35589" s="250">
        <v>83229</v>
      </c>
      <c r="B35589" s="74" t="s">
        <v>2044</v>
      </c>
      <c r="C35589" s="74" t="s">
        <v>423</v>
      </c>
    </row>
    <row r="35590" spans="1:3">
      <c r="A35590" s="250">
        <v>83230</v>
      </c>
      <c r="B35590" s="74" t="s">
        <v>16926</v>
      </c>
      <c r="C35590" s="74" t="s">
        <v>423</v>
      </c>
    </row>
    <row r="35591" spans="1:3">
      <c r="A35591" s="250">
        <v>83232</v>
      </c>
      <c r="B35591" s="74" t="s">
        <v>2564</v>
      </c>
      <c r="C35591" s="74" t="s">
        <v>423</v>
      </c>
    </row>
    <row r="35592" spans="1:3">
      <c r="A35592" s="250">
        <v>83233</v>
      </c>
      <c r="B35592" s="74" t="s">
        <v>16927</v>
      </c>
      <c r="C35592" s="74" t="s">
        <v>423</v>
      </c>
    </row>
    <row r="35593" spans="1:3">
      <c r="A35593" s="250">
        <v>83234</v>
      </c>
      <c r="B35593" s="74" t="s">
        <v>16928</v>
      </c>
      <c r="C35593" s="74" t="s">
        <v>423</v>
      </c>
    </row>
    <row r="35594" spans="1:3">
      <c r="A35594" s="250">
        <v>83235</v>
      </c>
      <c r="B35594" s="74" t="s">
        <v>14685</v>
      </c>
      <c r="C35594" s="74" t="s">
        <v>423</v>
      </c>
    </row>
    <row r="35595" spans="1:3">
      <c r="A35595" s="250">
        <v>83236</v>
      </c>
      <c r="B35595" s="74" t="s">
        <v>14764</v>
      </c>
      <c r="C35595" s="74" t="s">
        <v>423</v>
      </c>
    </row>
    <row r="35596" spans="1:3">
      <c r="A35596" s="250">
        <v>83237</v>
      </c>
      <c r="B35596" s="74" t="s">
        <v>873</v>
      </c>
      <c r="C35596" s="74" t="s">
        <v>423</v>
      </c>
    </row>
    <row r="35597" spans="1:3">
      <c r="A35597" s="250">
        <v>83238</v>
      </c>
      <c r="B35597" s="74" t="s">
        <v>3776</v>
      </c>
      <c r="C35597" s="74" t="s">
        <v>423</v>
      </c>
    </row>
    <row r="35598" spans="1:3">
      <c r="A35598" s="250">
        <v>83239</v>
      </c>
      <c r="B35598" s="74" t="s">
        <v>813</v>
      </c>
      <c r="C35598" s="74" t="s">
        <v>423</v>
      </c>
    </row>
    <row r="35599" spans="1:3">
      <c r="A35599" s="250">
        <v>83241</v>
      </c>
      <c r="B35599" s="74" t="s">
        <v>9336</v>
      </c>
      <c r="C35599" s="74" t="s">
        <v>423</v>
      </c>
    </row>
    <row r="35600" spans="1:3">
      <c r="A35600" s="250">
        <v>83243</v>
      </c>
      <c r="B35600" s="74" t="s">
        <v>946</v>
      </c>
      <c r="C35600" s="74" t="s">
        <v>423</v>
      </c>
    </row>
    <row r="35601" spans="1:3">
      <c r="A35601" s="250">
        <v>83244</v>
      </c>
      <c r="B35601" s="74" t="s">
        <v>10734</v>
      </c>
      <c r="C35601" s="74" t="s">
        <v>423</v>
      </c>
    </row>
    <row r="35602" spans="1:3">
      <c r="A35602" s="250">
        <v>83245</v>
      </c>
      <c r="B35602" s="74" t="s">
        <v>16929</v>
      </c>
      <c r="C35602" s="74" t="s">
        <v>423</v>
      </c>
    </row>
    <row r="35603" spans="1:3">
      <c r="A35603" s="250">
        <v>83246</v>
      </c>
      <c r="B35603" s="74" t="s">
        <v>16930</v>
      </c>
      <c r="C35603" s="74" t="s">
        <v>423</v>
      </c>
    </row>
    <row r="35604" spans="1:3">
      <c r="A35604" s="250">
        <v>83250</v>
      </c>
      <c r="B35604" s="74" t="s">
        <v>16931</v>
      </c>
      <c r="C35604" s="74" t="s">
        <v>423</v>
      </c>
    </row>
    <row r="35605" spans="1:3">
      <c r="A35605" s="250">
        <v>83251</v>
      </c>
      <c r="B35605" s="74" t="s">
        <v>16932</v>
      </c>
      <c r="C35605" s="74" t="s">
        <v>423</v>
      </c>
    </row>
    <row r="35606" spans="1:3">
      <c r="A35606" s="250">
        <v>83252</v>
      </c>
      <c r="B35606" s="74" t="s">
        <v>16933</v>
      </c>
      <c r="C35606" s="74" t="s">
        <v>423</v>
      </c>
    </row>
    <row r="35607" spans="1:3">
      <c r="A35607" s="250">
        <v>83253</v>
      </c>
      <c r="B35607" s="74" t="s">
        <v>15626</v>
      </c>
      <c r="C35607" s="74" t="s">
        <v>423</v>
      </c>
    </row>
    <row r="35608" spans="1:3">
      <c r="A35608" s="250">
        <v>83254</v>
      </c>
      <c r="B35608" s="74" t="s">
        <v>1838</v>
      </c>
      <c r="C35608" s="74" t="s">
        <v>423</v>
      </c>
    </row>
    <row r="35609" spans="1:3">
      <c r="A35609" s="250">
        <v>83255</v>
      </c>
      <c r="B35609" s="74" t="s">
        <v>7681</v>
      </c>
      <c r="C35609" s="74" t="s">
        <v>423</v>
      </c>
    </row>
    <row r="35610" spans="1:3">
      <c r="A35610" s="250">
        <v>83256</v>
      </c>
      <c r="B35610" s="74" t="s">
        <v>7919</v>
      </c>
      <c r="C35610" s="74" t="s">
        <v>423</v>
      </c>
    </row>
    <row r="35611" spans="1:3">
      <c r="A35611" s="250">
        <v>83261</v>
      </c>
      <c r="B35611" s="74" t="s">
        <v>1459</v>
      </c>
      <c r="C35611" s="74" t="s">
        <v>423</v>
      </c>
    </row>
    <row r="35612" spans="1:3">
      <c r="A35612" s="250">
        <v>83262</v>
      </c>
      <c r="B35612" s="74" t="s">
        <v>13118</v>
      </c>
      <c r="C35612" s="74" t="s">
        <v>423</v>
      </c>
    </row>
    <row r="35613" spans="1:3">
      <c r="A35613" s="250">
        <v>83263</v>
      </c>
      <c r="B35613" s="74" t="s">
        <v>2023</v>
      </c>
      <c r="C35613" s="74" t="s">
        <v>423</v>
      </c>
    </row>
    <row r="35614" spans="1:3">
      <c r="A35614" s="250">
        <v>83271</v>
      </c>
      <c r="B35614" s="74" t="s">
        <v>961</v>
      </c>
      <c r="C35614" s="74" t="s">
        <v>423</v>
      </c>
    </row>
    <row r="35615" spans="1:3">
      <c r="A35615" s="250">
        <v>83272</v>
      </c>
      <c r="B35615" s="74" t="s">
        <v>6340</v>
      </c>
      <c r="C35615" s="74" t="s">
        <v>423</v>
      </c>
    </row>
    <row r="35616" spans="1:3">
      <c r="A35616" s="250">
        <v>83274</v>
      </c>
      <c r="B35616" s="74" t="s">
        <v>16934</v>
      </c>
      <c r="C35616" s="74" t="s">
        <v>423</v>
      </c>
    </row>
    <row r="35617" spans="1:3">
      <c r="A35617" s="250">
        <v>83276</v>
      </c>
      <c r="B35617" s="74" t="s">
        <v>16935</v>
      </c>
      <c r="C35617" s="74" t="s">
        <v>423</v>
      </c>
    </row>
    <row r="35618" spans="1:3">
      <c r="A35618" s="250">
        <v>83277</v>
      </c>
      <c r="B35618" s="74" t="s">
        <v>634</v>
      </c>
      <c r="C35618" s="74" t="s">
        <v>423</v>
      </c>
    </row>
    <row r="35619" spans="1:3">
      <c r="A35619" s="250">
        <v>83278</v>
      </c>
      <c r="B35619" s="74" t="s">
        <v>3830</v>
      </c>
      <c r="C35619" s="74" t="s">
        <v>423</v>
      </c>
    </row>
    <row r="35620" spans="1:3">
      <c r="A35620" s="250">
        <v>83281</v>
      </c>
      <c r="B35620" s="74" t="s">
        <v>16936</v>
      </c>
      <c r="C35620" s="74" t="s">
        <v>423</v>
      </c>
    </row>
    <row r="35621" spans="1:3">
      <c r="A35621" s="250">
        <v>83283</v>
      </c>
      <c r="B35621" s="74" t="s">
        <v>16937</v>
      </c>
      <c r="C35621" s="74" t="s">
        <v>423</v>
      </c>
    </row>
    <row r="35622" spans="1:3">
      <c r="A35622" s="250">
        <v>83285</v>
      </c>
      <c r="B35622" s="74" t="s">
        <v>16938</v>
      </c>
      <c r="C35622" s="74" t="s">
        <v>423</v>
      </c>
    </row>
    <row r="35623" spans="1:3">
      <c r="A35623" s="250">
        <v>83286</v>
      </c>
      <c r="B35623" s="74" t="s">
        <v>991</v>
      </c>
      <c r="C35623" s="74" t="s">
        <v>423</v>
      </c>
    </row>
    <row r="35624" spans="1:3">
      <c r="A35624" s="250">
        <v>83287</v>
      </c>
      <c r="B35624" s="74" t="s">
        <v>16939</v>
      </c>
      <c r="C35624" s="74" t="s">
        <v>423</v>
      </c>
    </row>
    <row r="35625" spans="1:3">
      <c r="A35625" s="250">
        <v>83301</v>
      </c>
      <c r="B35625" s="74" t="s">
        <v>16940</v>
      </c>
      <c r="C35625" s="74" t="s">
        <v>423</v>
      </c>
    </row>
    <row r="35626" spans="1:3">
      <c r="A35626" s="250">
        <v>83302</v>
      </c>
      <c r="B35626" s="74" t="s">
        <v>16941</v>
      </c>
      <c r="C35626" s="74" t="s">
        <v>423</v>
      </c>
    </row>
    <row r="35627" spans="1:3">
      <c r="A35627" s="250">
        <v>83303</v>
      </c>
      <c r="B35627" s="74" t="s">
        <v>16940</v>
      </c>
      <c r="C35627" s="74" t="s">
        <v>423</v>
      </c>
    </row>
    <row r="35628" spans="1:3">
      <c r="A35628" s="250">
        <v>83311</v>
      </c>
      <c r="B35628" s="74" t="s">
        <v>1093</v>
      </c>
      <c r="C35628" s="74" t="s">
        <v>423</v>
      </c>
    </row>
    <row r="35629" spans="1:3">
      <c r="A35629" s="250">
        <v>83312</v>
      </c>
      <c r="B35629" s="74" t="s">
        <v>9925</v>
      </c>
      <c r="C35629" s="74" t="s">
        <v>423</v>
      </c>
    </row>
    <row r="35630" spans="1:3">
      <c r="A35630" s="250">
        <v>83313</v>
      </c>
      <c r="B35630" s="74" t="s">
        <v>9741</v>
      </c>
      <c r="C35630" s="74" t="s">
        <v>423</v>
      </c>
    </row>
    <row r="35631" spans="1:3">
      <c r="A35631" s="250">
        <v>83314</v>
      </c>
      <c r="B35631" s="74" t="s">
        <v>3678</v>
      </c>
      <c r="C35631" s="74" t="s">
        <v>423</v>
      </c>
    </row>
    <row r="35632" spans="1:3">
      <c r="A35632" s="250">
        <v>83316</v>
      </c>
      <c r="B35632" s="74" t="s">
        <v>8684</v>
      </c>
      <c r="C35632" s="74" t="s">
        <v>423</v>
      </c>
    </row>
    <row r="35633" spans="1:3">
      <c r="A35633" s="250">
        <v>83318</v>
      </c>
      <c r="B35633" s="74" t="s">
        <v>16942</v>
      </c>
      <c r="C35633" s="74" t="s">
        <v>423</v>
      </c>
    </row>
    <row r="35634" spans="1:3">
      <c r="A35634" s="250">
        <v>83320</v>
      </c>
      <c r="B35634" s="74" t="s">
        <v>10132</v>
      </c>
      <c r="C35634" s="74" t="s">
        <v>423</v>
      </c>
    </row>
    <row r="35635" spans="1:3">
      <c r="A35635" s="250">
        <v>83321</v>
      </c>
      <c r="B35635" s="74" t="s">
        <v>16943</v>
      </c>
      <c r="C35635" s="74" t="s">
        <v>423</v>
      </c>
    </row>
    <row r="35636" spans="1:3">
      <c r="A35636" s="250">
        <v>83322</v>
      </c>
      <c r="B35636" s="74" t="s">
        <v>16944</v>
      </c>
      <c r="C35636" s="74" t="s">
        <v>423</v>
      </c>
    </row>
    <row r="35637" spans="1:3">
      <c r="A35637" s="250">
        <v>83323</v>
      </c>
      <c r="B35637" s="74" t="s">
        <v>16945</v>
      </c>
      <c r="C35637" s="74" t="s">
        <v>423</v>
      </c>
    </row>
    <row r="35638" spans="1:3">
      <c r="A35638" s="250">
        <v>83324</v>
      </c>
      <c r="B35638" s="74" t="s">
        <v>16946</v>
      </c>
      <c r="C35638" s="74" t="s">
        <v>423</v>
      </c>
    </row>
    <row r="35639" spans="1:3">
      <c r="A35639" s="250">
        <v>83325</v>
      </c>
      <c r="B35639" s="74" t="s">
        <v>1844</v>
      </c>
      <c r="C35639" s="74" t="s">
        <v>423</v>
      </c>
    </row>
    <row r="35640" spans="1:3">
      <c r="A35640" s="250">
        <v>83327</v>
      </c>
      <c r="B35640" s="74" t="s">
        <v>1694</v>
      </c>
      <c r="C35640" s="74" t="s">
        <v>423</v>
      </c>
    </row>
    <row r="35641" spans="1:3">
      <c r="A35641" s="250">
        <v>83328</v>
      </c>
      <c r="B35641" s="74" t="s">
        <v>16947</v>
      </c>
      <c r="C35641" s="74" t="s">
        <v>423</v>
      </c>
    </row>
    <row r="35642" spans="1:3">
      <c r="A35642" s="250">
        <v>83330</v>
      </c>
      <c r="B35642" s="74" t="s">
        <v>16948</v>
      </c>
      <c r="C35642" s="74" t="s">
        <v>423</v>
      </c>
    </row>
    <row r="35643" spans="1:3">
      <c r="A35643" s="250">
        <v>83332</v>
      </c>
      <c r="B35643" s="74" t="s">
        <v>16949</v>
      </c>
      <c r="C35643" s="74" t="s">
        <v>423</v>
      </c>
    </row>
    <row r="35644" spans="1:3">
      <c r="A35644" s="250">
        <v>83333</v>
      </c>
      <c r="B35644" s="74" t="s">
        <v>16950</v>
      </c>
      <c r="C35644" s="74" t="s">
        <v>423</v>
      </c>
    </row>
    <row r="35645" spans="1:3">
      <c r="A35645" s="250">
        <v>83334</v>
      </c>
      <c r="B35645" s="74" t="s">
        <v>16951</v>
      </c>
      <c r="C35645" s="74" t="s">
        <v>423</v>
      </c>
    </row>
    <row r="35646" spans="1:3">
      <c r="A35646" s="250">
        <v>83335</v>
      </c>
      <c r="B35646" s="74" t="s">
        <v>13134</v>
      </c>
      <c r="C35646" s="74" t="s">
        <v>423</v>
      </c>
    </row>
    <row r="35647" spans="1:3">
      <c r="A35647" s="250">
        <v>83336</v>
      </c>
      <c r="B35647" s="74" t="s">
        <v>16952</v>
      </c>
      <c r="C35647" s="74" t="s">
        <v>423</v>
      </c>
    </row>
    <row r="35648" spans="1:3">
      <c r="A35648" s="250">
        <v>83337</v>
      </c>
      <c r="B35648" s="74" t="s">
        <v>12460</v>
      </c>
      <c r="C35648" s="74" t="s">
        <v>423</v>
      </c>
    </row>
    <row r="35649" spans="1:3">
      <c r="A35649" s="250">
        <v>83338</v>
      </c>
      <c r="B35649" s="74" t="s">
        <v>4356</v>
      </c>
      <c r="C35649" s="74" t="s">
        <v>423</v>
      </c>
    </row>
    <row r="35650" spans="1:3">
      <c r="A35650" s="250">
        <v>83340</v>
      </c>
      <c r="B35650" s="74" t="s">
        <v>15689</v>
      </c>
      <c r="C35650" s="74" t="s">
        <v>423</v>
      </c>
    </row>
    <row r="35651" spans="1:3">
      <c r="A35651" s="250">
        <v>83341</v>
      </c>
      <c r="B35651" s="74" t="s">
        <v>6621</v>
      </c>
      <c r="C35651" s="74" t="s">
        <v>423</v>
      </c>
    </row>
    <row r="35652" spans="1:3">
      <c r="A35652" s="250">
        <v>83342</v>
      </c>
      <c r="B35652" s="74" t="s">
        <v>10233</v>
      </c>
      <c r="C35652" s="74" t="s">
        <v>423</v>
      </c>
    </row>
    <row r="35653" spans="1:3">
      <c r="A35653" s="250">
        <v>83343</v>
      </c>
      <c r="B35653" s="74" t="s">
        <v>16953</v>
      </c>
      <c r="C35653" s="74" t="s">
        <v>423</v>
      </c>
    </row>
    <row r="35654" spans="1:3">
      <c r="A35654" s="250">
        <v>83344</v>
      </c>
      <c r="B35654" s="74" t="s">
        <v>16954</v>
      </c>
      <c r="C35654" s="74" t="s">
        <v>423</v>
      </c>
    </row>
    <row r="35655" spans="1:3">
      <c r="A35655" s="250">
        <v>83346</v>
      </c>
      <c r="B35655" s="74" t="s">
        <v>11104</v>
      </c>
      <c r="C35655" s="74" t="s">
        <v>423</v>
      </c>
    </row>
    <row r="35656" spans="1:3">
      <c r="A35656" s="250">
        <v>83347</v>
      </c>
      <c r="B35656" s="74" t="s">
        <v>16955</v>
      </c>
      <c r="C35656" s="74" t="s">
        <v>423</v>
      </c>
    </row>
    <row r="35657" spans="1:3">
      <c r="A35657" s="250">
        <v>83348</v>
      </c>
      <c r="B35657" s="74" t="s">
        <v>16956</v>
      </c>
      <c r="C35657" s="74" t="s">
        <v>423</v>
      </c>
    </row>
    <row r="35658" spans="1:3">
      <c r="A35658" s="250">
        <v>83349</v>
      </c>
      <c r="B35658" s="74" t="s">
        <v>4750</v>
      </c>
      <c r="C35658" s="74" t="s">
        <v>423</v>
      </c>
    </row>
    <row r="35659" spans="1:3">
      <c r="A35659" s="250">
        <v>83350</v>
      </c>
      <c r="B35659" s="74" t="s">
        <v>1889</v>
      </c>
      <c r="C35659" s="74" t="s">
        <v>423</v>
      </c>
    </row>
    <row r="35660" spans="1:3">
      <c r="A35660" s="250">
        <v>83352</v>
      </c>
      <c r="B35660" s="74" t="s">
        <v>16957</v>
      </c>
      <c r="C35660" s="74" t="s">
        <v>423</v>
      </c>
    </row>
    <row r="35661" spans="1:3">
      <c r="A35661" s="250">
        <v>83353</v>
      </c>
      <c r="B35661" s="74" t="s">
        <v>16958</v>
      </c>
      <c r="C35661" s="74" t="s">
        <v>423</v>
      </c>
    </row>
    <row r="35662" spans="1:3">
      <c r="A35662" s="250">
        <v>83354</v>
      </c>
      <c r="B35662" s="74" t="s">
        <v>16958</v>
      </c>
      <c r="C35662" s="74" t="s">
        <v>423</v>
      </c>
    </row>
    <row r="35663" spans="1:3">
      <c r="A35663" s="250">
        <v>83355</v>
      </c>
      <c r="B35663" s="74" t="s">
        <v>698</v>
      </c>
      <c r="C35663" s="74" t="s">
        <v>423</v>
      </c>
    </row>
    <row r="35664" spans="1:3">
      <c r="A35664" s="250">
        <v>83401</v>
      </c>
      <c r="B35664" s="74" t="s">
        <v>16959</v>
      </c>
      <c r="C35664" s="74" t="s">
        <v>423</v>
      </c>
    </row>
    <row r="35665" spans="1:3">
      <c r="A35665" s="250">
        <v>83402</v>
      </c>
      <c r="B35665" s="74" t="s">
        <v>16959</v>
      </c>
      <c r="C35665" s="74" t="s">
        <v>423</v>
      </c>
    </row>
    <row r="35666" spans="1:3">
      <c r="A35666" s="250">
        <v>83403</v>
      </c>
      <c r="B35666" s="74" t="s">
        <v>16959</v>
      </c>
      <c r="C35666" s="74" t="s">
        <v>423</v>
      </c>
    </row>
    <row r="35667" spans="1:3">
      <c r="A35667" s="250">
        <v>83404</v>
      </c>
      <c r="B35667" s="74" t="s">
        <v>16959</v>
      </c>
      <c r="C35667" s="74" t="s">
        <v>423</v>
      </c>
    </row>
    <row r="35668" spans="1:3">
      <c r="A35668" s="250">
        <v>83405</v>
      </c>
      <c r="B35668" s="74" t="s">
        <v>16959</v>
      </c>
      <c r="C35668" s="74" t="s">
        <v>423</v>
      </c>
    </row>
    <row r="35669" spans="1:3">
      <c r="A35669" s="250">
        <v>83406</v>
      </c>
      <c r="B35669" s="74" t="s">
        <v>16959</v>
      </c>
      <c r="C35669" s="74" t="s">
        <v>423</v>
      </c>
    </row>
    <row r="35670" spans="1:3">
      <c r="A35670" s="250">
        <v>83414</v>
      </c>
      <c r="B35670" s="74" t="s">
        <v>11691</v>
      </c>
      <c r="C35670" s="74" t="s">
        <v>460</v>
      </c>
    </row>
    <row r="35671" spans="1:3">
      <c r="A35671" s="250">
        <v>83415</v>
      </c>
      <c r="B35671" s="74" t="s">
        <v>16959</v>
      </c>
      <c r="C35671" s="74" t="s">
        <v>423</v>
      </c>
    </row>
    <row r="35672" spans="1:3">
      <c r="A35672" s="250">
        <v>83420</v>
      </c>
      <c r="B35672" s="74" t="s">
        <v>5637</v>
      </c>
      <c r="C35672" s="74" t="s">
        <v>423</v>
      </c>
    </row>
    <row r="35673" spans="1:3">
      <c r="A35673" s="250">
        <v>83421</v>
      </c>
      <c r="B35673" s="74" t="s">
        <v>583</v>
      </c>
      <c r="C35673" s="74" t="s">
        <v>423</v>
      </c>
    </row>
    <row r="35674" spans="1:3">
      <c r="A35674" s="250">
        <v>83422</v>
      </c>
      <c r="B35674" s="74" t="s">
        <v>16960</v>
      </c>
      <c r="C35674" s="74" t="s">
        <v>423</v>
      </c>
    </row>
    <row r="35675" spans="1:3">
      <c r="A35675" s="250">
        <v>83423</v>
      </c>
      <c r="B35675" s="74" t="s">
        <v>10880</v>
      </c>
      <c r="C35675" s="74" t="s">
        <v>423</v>
      </c>
    </row>
    <row r="35676" spans="1:3">
      <c r="A35676" s="250">
        <v>83424</v>
      </c>
      <c r="B35676" s="74" t="s">
        <v>15633</v>
      </c>
      <c r="C35676" s="74" t="s">
        <v>423</v>
      </c>
    </row>
    <row r="35677" spans="1:3">
      <c r="A35677" s="250">
        <v>83425</v>
      </c>
      <c r="B35677" s="74" t="s">
        <v>7738</v>
      </c>
      <c r="C35677" s="74" t="s">
        <v>423</v>
      </c>
    </row>
    <row r="35678" spans="1:3">
      <c r="A35678" s="250">
        <v>83427</v>
      </c>
      <c r="B35678" s="74" t="s">
        <v>12570</v>
      </c>
      <c r="C35678" s="74" t="s">
        <v>423</v>
      </c>
    </row>
    <row r="35679" spans="1:3">
      <c r="A35679" s="250">
        <v>83428</v>
      </c>
      <c r="B35679" s="74" t="s">
        <v>4213</v>
      </c>
      <c r="C35679" s="74" t="s">
        <v>423</v>
      </c>
    </row>
    <row r="35680" spans="1:3">
      <c r="A35680" s="250">
        <v>83429</v>
      </c>
      <c r="B35680" s="74" t="s">
        <v>2778</v>
      </c>
      <c r="C35680" s="74" t="s">
        <v>423</v>
      </c>
    </row>
    <row r="35681" spans="1:3">
      <c r="A35681" s="250">
        <v>83431</v>
      </c>
      <c r="B35681" s="74" t="s">
        <v>5387</v>
      </c>
      <c r="C35681" s="74" t="s">
        <v>423</v>
      </c>
    </row>
    <row r="35682" spans="1:3">
      <c r="A35682" s="250">
        <v>83433</v>
      </c>
      <c r="B35682" s="74" t="s">
        <v>16961</v>
      </c>
      <c r="C35682" s="74" t="s">
        <v>423</v>
      </c>
    </row>
    <row r="35683" spans="1:3">
      <c r="A35683" s="250">
        <v>83434</v>
      </c>
      <c r="B35683" s="74" t="s">
        <v>16962</v>
      </c>
      <c r="C35683" s="74" t="s">
        <v>423</v>
      </c>
    </row>
    <row r="35684" spans="1:3">
      <c r="A35684" s="250">
        <v>83435</v>
      </c>
      <c r="B35684" s="74" t="s">
        <v>16963</v>
      </c>
      <c r="C35684" s="74" t="s">
        <v>423</v>
      </c>
    </row>
    <row r="35685" spans="1:3">
      <c r="A35685" s="250">
        <v>83436</v>
      </c>
      <c r="B35685" s="74" t="s">
        <v>16964</v>
      </c>
      <c r="C35685" s="74" t="s">
        <v>423</v>
      </c>
    </row>
    <row r="35686" spans="1:3">
      <c r="A35686" s="250">
        <v>83438</v>
      </c>
      <c r="B35686" s="74" t="s">
        <v>4396</v>
      </c>
      <c r="C35686" s="74" t="s">
        <v>423</v>
      </c>
    </row>
    <row r="35687" spans="1:3">
      <c r="A35687" s="250">
        <v>83440</v>
      </c>
      <c r="B35687" s="74" t="s">
        <v>16965</v>
      </c>
      <c r="C35687" s="74" t="s">
        <v>423</v>
      </c>
    </row>
    <row r="35688" spans="1:3">
      <c r="A35688" s="250">
        <v>83441</v>
      </c>
      <c r="B35688" s="74" t="s">
        <v>16965</v>
      </c>
      <c r="C35688" s="74" t="s">
        <v>423</v>
      </c>
    </row>
    <row r="35689" spans="1:3">
      <c r="A35689" s="250">
        <v>83442</v>
      </c>
      <c r="B35689" s="74" t="s">
        <v>16966</v>
      </c>
      <c r="C35689" s="74" t="s">
        <v>423</v>
      </c>
    </row>
    <row r="35690" spans="1:3">
      <c r="A35690" s="250">
        <v>83443</v>
      </c>
      <c r="B35690" s="74" t="s">
        <v>16967</v>
      </c>
      <c r="C35690" s="74" t="s">
        <v>423</v>
      </c>
    </row>
    <row r="35691" spans="1:3">
      <c r="A35691" s="250">
        <v>83444</v>
      </c>
      <c r="B35691" s="74" t="s">
        <v>12086</v>
      </c>
      <c r="C35691" s="74" t="s">
        <v>423</v>
      </c>
    </row>
    <row r="35692" spans="1:3">
      <c r="A35692" s="250">
        <v>83445</v>
      </c>
      <c r="B35692" s="74" t="s">
        <v>10898</v>
      </c>
      <c r="C35692" s="74" t="s">
        <v>423</v>
      </c>
    </row>
    <row r="35693" spans="1:3">
      <c r="A35693" s="250">
        <v>83446</v>
      </c>
      <c r="B35693" s="74" t="s">
        <v>762</v>
      </c>
      <c r="C35693" s="74" t="s">
        <v>423</v>
      </c>
    </row>
    <row r="35694" spans="1:3">
      <c r="A35694" s="250">
        <v>83448</v>
      </c>
      <c r="B35694" s="74" t="s">
        <v>16743</v>
      </c>
      <c r="C35694" s="74" t="s">
        <v>423</v>
      </c>
    </row>
    <row r="35695" spans="1:3">
      <c r="A35695" s="250">
        <v>83449</v>
      </c>
      <c r="B35695" s="74" t="s">
        <v>16968</v>
      </c>
      <c r="C35695" s="74" t="s">
        <v>423</v>
      </c>
    </row>
    <row r="35696" spans="1:3">
      <c r="A35696" s="250">
        <v>83450</v>
      </c>
      <c r="B35696" s="74" t="s">
        <v>16969</v>
      </c>
      <c r="C35696" s="74" t="s">
        <v>423</v>
      </c>
    </row>
    <row r="35697" spans="1:3">
      <c r="A35697" s="250">
        <v>83451</v>
      </c>
      <c r="B35697" s="74" t="s">
        <v>16970</v>
      </c>
      <c r="C35697" s="74" t="s">
        <v>423</v>
      </c>
    </row>
    <row r="35698" spans="1:3">
      <c r="A35698" s="250">
        <v>83452</v>
      </c>
      <c r="B35698" s="74" t="s">
        <v>16971</v>
      </c>
      <c r="C35698" s="74" t="s">
        <v>423</v>
      </c>
    </row>
    <row r="35699" spans="1:3">
      <c r="A35699" s="250">
        <v>83454</v>
      </c>
      <c r="B35699" s="74" t="s">
        <v>16972</v>
      </c>
      <c r="C35699" s="74" t="s">
        <v>423</v>
      </c>
    </row>
    <row r="35700" spans="1:3">
      <c r="A35700" s="250">
        <v>83455</v>
      </c>
      <c r="B35700" s="74" t="s">
        <v>3832</v>
      </c>
      <c r="C35700" s="74" t="s">
        <v>423</v>
      </c>
    </row>
    <row r="35701" spans="1:3">
      <c r="A35701" s="250">
        <v>83460</v>
      </c>
      <c r="B35701" s="74" t="s">
        <v>16965</v>
      </c>
      <c r="C35701" s="74" t="s">
        <v>423</v>
      </c>
    </row>
    <row r="35702" spans="1:3">
      <c r="A35702" s="250">
        <v>83462</v>
      </c>
      <c r="B35702" s="74" t="s">
        <v>15601</v>
      </c>
      <c r="C35702" s="74" t="s">
        <v>423</v>
      </c>
    </row>
    <row r="35703" spans="1:3">
      <c r="A35703" s="250">
        <v>83463</v>
      </c>
      <c r="B35703" s="74" t="s">
        <v>16973</v>
      </c>
      <c r="C35703" s="74" t="s">
        <v>423</v>
      </c>
    </row>
    <row r="35704" spans="1:3">
      <c r="A35704" s="250">
        <v>83464</v>
      </c>
      <c r="B35704" s="74" t="s">
        <v>16974</v>
      </c>
      <c r="C35704" s="74" t="s">
        <v>423</v>
      </c>
    </row>
    <row r="35705" spans="1:3">
      <c r="A35705" s="250">
        <v>83465</v>
      </c>
      <c r="B35705" s="74" t="s">
        <v>16975</v>
      </c>
      <c r="C35705" s="74" t="s">
        <v>423</v>
      </c>
    </row>
    <row r="35706" spans="1:3">
      <c r="A35706" s="250">
        <v>83466</v>
      </c>
      <c r="B35706" s="74" t="s">
        <v>16976</v>
      </c>
      <c r="C35706" s="74" t="s">
        <v>423</v>
      </c>
    </row>
    <row r="35707" spans="1:3">
      <c r="A35707" s="250">
        <v>83467</v>
      </c>
      <c r="B35707" s="74" t="s">
        <v>16977</v>
      </c>
      <c r="C35707" s="74" t="s">
        <v>423</v>
      </c>
    </row>
    <row r="35708" spans="1:3">
      <c r="A35708" s="250">
        <v>83468</v>
      </c>
      <c r="B35708" s="74" t="s">
        <v>16978</v>
      </c>
      <c r="C35708" s="74" t="s">
        <v>423</v>
      </c>
    </row>
    <row r="35709" spans="1:3">
      <c r="A35709" s="250">
        <v>83469</v>
      </c>
      <c r="B35709" s="74" t="s">
        <v>16979</v>
      </c>
      <c r="C35709" s="74" t="s">
        <v>423</v>
      </c>
    </row>
    <row r="35710" spans="1:3">
      <c r="A35710" s="250">
        <v>83501</v>
      </c>
      <c r="B35710" s="74" t="s">
        <v>1444</v>
      </c>
      <c r="C35710" s="74" t="s">
        <v>423</v>
      </c>
    </row>
    <row r="35711" spans="1:3">
      <c r="A35711" s="250">
        <v>83520</v>
      </c>
      <c r="B35711" s="74" t="s">
        <v>16980</v>
      </c>
      <c r="C35711" s="74" t="s">
        <v>423</v>
      </c>
    </row>
    <row r="35712" spans="1:3">
      <c r="A35712" s="250">
        <v>83522</v>
      </c>
      <c r="B35712" s="74" t="s">
        <v>8846</v>
      </c>
      <c r="C35712" s="74" t="s">
        <v>423</v>
      </c>
    </row>
    <row r="35713" spans="1:3">
      <c r="A35713" s="250">
        <v>83523</v>
      </c>
      <c r="B35713" s="74" t="s">
        <v>16981</v>
      </c>
      <c r="C35713" s="74" t="s">
        <v>423</v>
      </c>
    </row>
    <row r="35714" spans="1:3">
      <c r="A35714" s="250">
        <v>83524</v>
      </c>
      <c r="B35714" s="74" t="s">
        <v>16982</v>
      </c>
      <c r="C35714" s="74" t="s">
        <v>423</v>
      </c>
    </row>
    <row r="35715" spans="1:3">
      <c r="A35715" s="250">
        <v>83525</v>
      </c>
      <c r="B35715" s="74" t="s">
        <v>14628</v>
      </c>
      <c r="C35715" s="74" t="s">
        <v>423</v>
      </c>
    </row>
    <row r="35716" spans="1:3">
      <c r="A35716" s="250">
        <v>83526</v>
      </c>
      <c r="B35716" s="74" t="s">
        <v>10884</v>
      </c>
      <c r="C35716" s="74" t="s">
        <v>423</v>
      </c>
    </row>
    <row r="35717" spans="1:3">
      <c r="A35717" s="250">
        <v>83530</v>
      </c>
      <c r="B35717" s="74" t="s">
        <v>16983</v>
      </c>
      <c r="C35717" s="74" t="s">
        <v>423</v>
      </c>
    </row>
    <row r="35718" spans="1:3">
      <c r="A35718" s="250">
        <v>83531</v>
      </c>
      <c r="B35718" s="74" t="s">
        <v>16984</v>
      </c>
      <c r="C35718" s="74" t="s">
        <v>423</v>
      </c>
    </row>
    <row r="35719" spans="1:3">
      <c r="A35719" s="250">
        <v>83533</v>
      </c>
      <c r="B35719" s="74" t="s">
        <v>16985</v>
      </c>
      <c r="C35719" s="74" t="s">
        <v>423</v>
      </c>
    </row>
    <row r="35720" spans="1:3">
      <c r="A35720" s="250">
        <v>83535</v>
      </c>
      <c r="B35720" s="74" t="s">
        <v>16986</v>
      </c>
      <c r="C35720" s="74" t="s">
        <v>423</v>
      </c>
    </row>
    <row r="35721" spans="1:3">
      <c r="A35721" s="250">
        <v>83536</v>
      </c>
      <c r="B35721" s="74" t="s">
        <v>16987</v>
      </c>
      <c r="C35721" s="74" t="s">
        <v>423</v>
      </c>
    </row>
    <row r="35722" spans="1:3">
      <c r="A35722" s="250">
        <v>83537</v>
      </c>
      <c r="B35722" s="74" t="s">
        <v>16988</v>
      </c>
      <c r="C35722" s="74" t="s">
        <v>423</v>
      </c>
    </row>
    <row r="35723" spans="1:3">
      <c r="A35723" s="250">
        <v>83539</v>
      </c>
      <c r="B35723" s="74" t="s">
        <v>16989</v>
      </c>
      <c r="C35723" s="74" t="s">
        <v>423</v>
      </c>
    </row>
    <row r="35724" spans="1:3">
      <c r="A35724" s="250">
        <v>83540</v>
      </c>
      <c r="B35724" s="74" t="s">
        <v>16990</v>
      </c>
      <c r="C35724" s="74" t="s">
        <v>423</v>
      </c>
    </row>
    <row r="35725" spans="1:3">
      <c r="A35725" s="250">
        <v>83541</v>
      </c>
      <c r="B35725" s="74" t="s">
        <v>6768</v>
      </c>
      <c r="C35725" s="74" t="s">
        <v>423</v>
      </c>
    </row>
    <row r="35726" spans="1:3">
      <c r="A35726" s="250">
        <v>83542</v>
      </c>
      <c r="B35726" s="74" t="s">
        <v>16991</v>
      </c>
      <c r="C35726" s="74" t="s">
        <v>423</v>
      </c>
    </row>
    <row r="35727" spans="1:3">
      <c r="A35727" s="250">
        <v>83543</v>
      </c>
      <c r="B35727" s="74" t="s">
        <v>16992</v>
      </c>
      <c r="C35727" s="74" t="s">
        <v>423</v>
      </c>
    </row>
    <row r="35728" spans="1:3">
      <c r="A35728" s="250">
        <v>83544</v>
      </c>
      <c r="B35728" s="74" t="s">
        <v>16993</v>
      </c>
      <c r="C35728" s="74" t="s">
        <v>423</v>
      </c>
    </row>
    <row r="35729" spans="1:3">
      <c r="A35729" s="250">
        <v>83545</v>
      </c>
      <c r="B35729" s="74" t="s">
        <v>11081</v>
      </c>
      <c r="C35729" s="74" t="s">
        <v>423</v>
      </c>
    </row>
    <row r="35730" spans="1:3">
      <c r="A35730" s="250">
        <v>83546</v>
      </c>
      <c r="B35730" s="74" t="s">
        <v>14826</v>
      </c>
      <c r="C35730" s="74" t="s">
        <v>423</v>
      </c>
    </row>
    <row r="35731" spans="1:3">
      <c r="A35731" s="250">
        <v>83547</v>
      </c>
      <c r="B35731" s="74" t="s">
        <v>12961</v>
      </c>
      <c r="C35731" s="74" t="s">
        <v>423</v>
      </c>
    </row>
    <row r="35732" spans="1:3">
      <c r="A35732" s="250">
        <v>83548</v>
      </c>
      <c r="B35732" s="74" t="s">
        <v>16994</v>
      </c>
      <c r="C35732" s="74" t="s">
        <v>423</v>
      </c>
    </row>
    <row r="35733" spans="1:3">
      <c r="A35733" s="250">
        <v>83549</v>
      </c>
      <c r="B35733" s="74" t="s">
        <v>16995</v>
      </c>
      <c r="C35733" s="74" t="s">
        <v>423</v>
      </c>
    </row>
    <row r="35734" spans="1:3">
      <c r="A35734" s="250">
        <v>83552</v>
      </c>
      <c r="B35734" s="74" t="s">
        <v>16996</v>
      </c>
      <c r="C35734" s="74" t="s">
        <v>423</v>
      </c>
    </row>
    <row r="35735" spans="1:3">
      <c r="A35735" s="250">
        <v>83553</v>
      </c>
      <c r="B35735" s="74" t="s">
        <v>16997</v>
      </c>
      <c r="C35735" s="74" t="s">
        <v>423</v>
      </c>
    </row>
    <row r="35736" spans="1:3">
      <c r="A35736" s="250">
        <v>83554</v>
      </c>
      <c r="B35736" s="74" t="s">
        <v>16998</v>
      </c>
      <c r="C35736" s="74" t="s">
        <v>423</v>
      </c>
    </row>
    <row r="35737" spans="1:3">
      <c r="A35737" s="250">
        <v>83555</v>
      </c>
      <c r="B35737" s="74" t="s">
        <v>832</v>
      </c>
      <c r="C35737" s="74" t="s">
        <v>423</v>
      </c>
    </row>
    <row r="35738" spans="1:3">
      <c r="A35738" s="250">
        <v>83601</v>
      </c>
      <c r="B35738" s="74" t="s">
        <v>3895</v>
      </c>
      <c r="C35738" s="74" t="s">
        <v>423</v>
      </c>
    </row>
    <row r="35739" spans="1:3">
      <c r="A35739" s="250">
        <v>83602</v>
      </c>
      <c r="B35739" s="74" t="s">
        <v>8782</v>
      </c>
      <c r="C35739" s="74" t="s">
        <v>423</v>
      </c>
    </row>
    <row r="35740" spans="1:3">
      <c r="A35740" s="250">
        <v>83604</v>
      </c>
      <c r="B35740" s="74" t="s">
        <v>16999</v>
      </c>
      <c r="C35740" s="74" t="s">
        <v>423</v>
      </c>
    </row>
    <row r="35741" spans="1:3">
      <c r="A35741" s="250">
        <v>83605</v>
      </c>
      <c r="B35741" s="74" t="s">
        <v>2113</v>
      </c>
      <c r="C35741" s="74" t="s">
        <v>423</v>
      </c>
    </row>
    <row r="35742" spans="1:3">
      <c r="A35742" s="250">
        <v>83606</v>
      </c>
      <c r="B35742" s="74" t="s">
        <v>2113</v>
      </c>
      <c r="C35742" s="74" t="s">
        <v>423</v>
      </c>
    </row>
    <row r="35743" spans="1:3">
      <c r="A35743" s="250">
        <v>83607</v>
      </c>
      <c r="B35743" s="74" t="s">
        <v>2113</v>
      </c>
      <c r="C35743" s="74" t="s">
        <v>423</v>
      </c>
    </row>
    <row r="35744" spans="1:3">
      <c r="A35744" s="250">
        <v>83610</v>
      </c>
      <c r="B35744" s="74" t="s">
        <v>914</v>
      </c>
      <c r="C35744" s="74" t="s">
        <v>423</v>
      </c>
    </row>
    <row r="35745" spans="1:3">
      <c r="A35745" s="250">
        <v>83611</v>
      </c>
      <c r="B35745" s="74" t="s">
        <v>5792</v>
      </c>
      <c r="C35745" s="74" t="s">
        <v>423</v>
      </c>
    </row>
    <row r="35746" spans="1:3">
      <c r="A35746" s="250">
        <v>83612</v>
      </c>
      <c r="B35746" s="74" t="s">
        <v>7396</v>
      </c>
      <c r="C35746" s="74" t="s">
        <v>423</v>
      </c>
    </row>
    <row r="35747" spans="1:3">
      <c r="A35747" s="250">
        <v>83615</v>
      </c>
      <c r="B35747" s="74" t="s">
        <v>12609</v>
      </c>
      <c r="C35747" s="74" t="s">
        <v>423</v>
      </c>
    </row>
    <row r="35748" spans="1:3">
      <c r="A35748" s="250">
        <v>83616</v>
      </c>
      <c r="B35748" s="74" t="s">
        <v>11153</v>
      </c>
      <c r="C35748" s="74" t="s">
        <v>423</v>
      </c>
    </row>
    <row r="35749" spans="1:3">
      <c r="A35749" s="250">
        <v>83617</v>
      </c>
      <c r="B35749" s="74" t="s">
        <v>10989</v>
      </c>
      <c r="C35749" s="74" t="s">
        <v>423</v>
      </c>
    </row>
    <row r="35750" spans="1:3">
      <c r="A35750" s="250">
        <v>83619</v>
      </c>
      <c r="B35750" s="74" t="s">
        <v>5832</v>
      </c>
      <c r="C35750" s="74" t="s">
        <v>423</v>
      </c>
    </row>
    <row r="35751" spans="1:3">
      <c r="A35751" s="250">
        <v>83622</v>
      </c>
      <c r="B35751" s="74" t="s">
        <v>17000</v>
      </c>
      <c r="C35751" s="74" t="s">
        <v>423</v>
      </c>
    </row>
    <row r="35752" spans="1:3">
      <c r="A35752" s="250">
        <v>83623</v>
      </c>
      <c r="B35752" s="74" t="s">
        <v>17001</v>
      </c>
      <c r="C35752" s="74" t="s">
        <v>423</v>
      </c>
    </row>
    <row r="35753" spans="1:3">
      <c r="A35753" s="250">
        <v>83624</v>
      </c>
      <c r="B35753" s="74" t="s">
        <v>12299</v>
      </c>
      <c r="C35753" s="74" t="s">
        <v>423</v>
      </c>
    </row>
    <row r="35754" spans="1:3">
      <c r="A35754" s="250">
        <v>83626</v>
      </c>
      <c r="B35754" s="74" t="s">
        <v>12100</v>
      </c>
      <c r="C35754" s="74" t="s">
        <v>423</v>
      </c>
    </row>
    <row r="35755" spans="1:3">
      <c r="A35755" s="250">
        <v>83627</v>
      </c>
      <c r="B35755" s="74" t="s">
        <v>17002</v>
      </c>
      <c r="C35755" s="74" t="s">
        <v>423</v>
      </c>
    </row>
    <row r="35756" spans="1:3">
      <c r="A35756" s="250">
        <v>83628</v>
      </c>
      <c r="B35756" s="74" t="s">
        <v>17003</v>
      </c>
      <c r="C35756" s="74" t="s">
        <v>423</v>
      </c>
    </row>
    <row r="35757" spans="1:3">
      <c r="A35757" s="250">
        <v>83629</v>
      </c>
      <c r="B35757" s="74" t="s">
        <v>15410</v>
      </c>
      <c r="C35757" s="74" t="s">
        <v>423</v>
      </c>
    </row>
    <row r="35758" spans="1:3">
      <c r="A35758" s="250">
        <v>83630</v>
      </c>
      <c r="B35758" s="74" t="s">
        <v>17004</v>
      </c>
      <c r="C35758" s="74" t="s">
        <v>423</v>
      </c>
    </row>
    <row r="35759" spans="1:3">
      <c r="A35759" s="250">
        <v>83631</v>
      </c>
      <c r="B35759" s="74" t="s">
        <v>17005</v>
      </c>
      <c r="C35759" s="74" t="s">
        <v>423</v>
      </c>
    </row>
    <row r="35760" spans="1:3">
      <c r="A35760" s="250">
        <v>83632</v>
      </c>
      <c r="B35760" s="74" t="s">
        <v>6282</v>
      </c>
      <c r="C35760" s="74" t="s">
        <v>423</v>
      </c>
    </row>
    <row r="35761" spans="1:3">
      <c r="A35761" s="250">
        <v>83633</v>
      </c>
      <c r="B35761" s="74" t="s">
        <v>17006</v>
      </c>
      <c r="C35761" s="74" t="s">
        <v>423</v>
      </c>
    </row>
    <row r="35762" spans="1:3">
      <c r="A35762" s="250">
        <v>83634</v>
      </c>
      <c r="B35762" s="74" t="s">
        <v>17007</v>
      </c>
      <c r="C35762" s="74" t="s">
        <v>423</v>
      </c>
    </row>
    <row r="35763" spans="1:3">
      <c r="A35763" s="250">
        <v>83635</v>
      </c>
      <c r="B35763" s="74" t="s">
        <v>13929</v>
      </c>
      <c r="C35763" s="74" t="s">
        <v>423</v>
      </c>
    </row>
    <row r="35764" spans="1:3">
      <c r="A35764" s="250">
        <v>83636</v>
      </c>
      <c r="B35764" s="74" t="s">
        <v>17008</v>
      </c>
      <c r="C35764" s="74" t="s">
        <v>423</v>
      </c>
    </row>
    <row r="35765" spans="1:3">
      <c r="A35765" s="250">
        <v>83637</v>
      </c>
      <c r="B35765" s="74" t="s">
        <v>3927</v>
      </c>
      <c r="C35765" s="74" t="s">
        <v>423</v>
      </c>
    </row>
    <row r="35766" spans="1:3">
      <c r="A35766" s="250">
        <v>83638</v>
      </c>
      <c r="B35766" s="74" t="s">
        <v>17009</v>
      </c>
      <c r="C35766" s="74" t="s">
        <v>423</v>
      </c>
    </row>
    <row r="35767" spans="1:3">
      <c r="A35767" s="250">
        <v>83639</v>
      </c>
      <c r="B35767" s="74" t="s">
        <v>17010</v>
      </c>
      <c r="C35767" s="74" t="s">
        <v>423</v>
      </c>
    </row>
    <row r="35768" spans="1:3">
      <c r="A35768" s="250">
        <v>83641</v>
      </c>
      <c r="B35768" s="74" t="s">
        <v>17011</v>
      </c>
      <c r="C35768" s="74" t="s">
        <v>423</v>
      </c>
    </row>
    <row r="35769" spans="1:3">
      <c r="A35769" s="250">
        <v>83642</v>
      </c>
      <c r="B35769" s="74" t="s">
        <v>3388</v>
      </c>
      <c r="C35769" s="74" t="s">
        <v>423</v>
      </c>
    </row>
    <row r="35770" spans="1:3">
      <c r="A35770" s="250">
        <v>83643</v>
      </c>
      <c r="B35770" s="74" t="s">
        <v>16817</v>
      </c>
      <c r="C35770" s="74" t="s">
        <v>423</v>
      </c>
    </row>
    <row r="35771" spans="1:3">
      <c r="A35771" s="250">
        <v>83644</v>
      </c>
      <c r="B35771" s="74" t="s">
        <v>850</v>
      </c>
      <c r="C35771" s="74" t="s">
        <v>423</v>
      </c>
    </row>
    <row r="35772" spans="1:3">
      <c r="A35772" s="250">
        <v>83645</v>
      </c>
      <c r="B35772" s="74" t="s">
        <v>10404</v>
      </c>
      <c r="C35772" s="74" t="s">
        <v>423</v>
      </c>
    </row>
    <row r="35773" spans="1:3">
      <c r="A35773" s="250">
        <v>83646</v>
      </c>
      <c r="B35773" s="74" t="s">
        <v>3388</v>
      </c>
      <c r="C35773" s="74" t="s">
        <v>423</v>
      </c>
    </row>
    <row r="35774" spans="1:3">
      <c r="A35774" s="250">
        <v>83647</v>
      </c>
      <c r="B35774" s="74" t="s">
        <v>7564</v>
      </c>
      <c r="C35774" s="74" t="s">
        <v>423</v>
      </c>
    </row>
    <row r="35775" spans="1:3">
      <c r="A35775" s="250">
        <v>83648</v>
      </c>
      <c r="B35775" s="74" t="s">
        <v>17012</v>
      </c>
      <c r="C35775" s="74" t="s">
        <v>423</v>
      </c>
    </row>
    <row r="35776" spans="1:3">
      <c r="A35776" s="250">
        <v>83650</v>
      </c>
      <c r="B35776" s="74" t="s">
        <v>7591</v>
      </c>
      <c r="C35776" s="74" t="s">
        <v>423</v>
      </c>
    </row>
    <row r="35777" spans="1:3">
      <c r="A35777" s="250">
        <v>83651</v>
      </c>
      <c r="B35777" s="74" t="s">
        <v>17013</v>
      </c>
      <c r="C35777" s="74" t="s">
        <v>423</v>
      </c>
    </row>
    <row r="35778" spans="1:3">
      <c r="A35778" s="250">
        <v>83652</v>
      </c>
      <c r="B35778" s="74" t="s">
        <v>17013</v>
      </c>
      <c r="C35778" s="74" t="s">
        <v>423</v>
      </c>
    </row>
    <row r="35779" spans="1:3">
      <c r="A35779" s="250">
        <v>83653</v>
      </c>
      <c r="B35779" s="74" t="s">
        <v>17013</v>
      </c>
      <c r="C35779" s="74" t="s">
        <v>423</v>
      </c>
    </row>
    <row r="35780" spans="1:3">
      <c r="A35780" s="250">
        <v>83654</v>
      </c>
      <c r="B35780" s="74" t="s">
        <v>17014</v>
      </c>
      <c r="C35780" s="74" t="s">
        <v>423</v>
      </c>
    </row>
    <row r="35781" spans="1:3">
      <c r="A35781" s="250">
        <v>83655</v>
      </c>
      <c r="B35781" s="74" t="s">
        <v>10542</v>
      </c>
      <c r="C35781" s="74" t="s">
        <v>423</v>
      </c>
    </row>
    <row r="35782" spans="1:3">
      <c r="A35782" s="250">
        <v>83656</v>
      </c>
      <c r="B35782" s="74" t="s">
        <v>17015</v>
      </c>
      <c r="C35782" s="74" t="s">
        <v>423</v>
      </c>
    </row>
    <row r="35783" spans="1:3">
      <c r="A35783" s="250">
        <v>83657</v>
      </c>
      <c r="B35783" s="74" t="s">
        <v>15497</v>
      </c>
      <c r="C35783" s="74" t="s">
        <v>423</v>
      </c>
    </row>
    <row r="35784" spans="1:3">
      <c r="A35784" s="250">
        <v>83660</v>
      </c>
      <c r="B35784" s="74" t="s">
        <v>11242</v>
      </c>
      <c r="C35784" s="74" t="s">
        <v>423</v>
      </c>
    </row>
    <row r="35785" spans="1:3">
      <c r="A35785" s="250">
        <v>83661</v>
      </c>
      <c r="B35785" s="74" t="s">
        <v>17016</v>
      </c>
      <c r="C35785" s="74" t="s">
        <v>423</v>
      </c>
    </row>
    <row r="35786" spans="1:3">
      <c r="A35786" s="250">
        <v>83666</v>
      </c>
      <c r="B35786" s="74" t="s">
        <v>16801</v>
      </c>
      <c r="C35786" s="74" t="s">
        <v>423</v>
      </c>
    </row>
    <row r="35787" spans="1:3">
      <c r="A35787" s="250">
        <v>83669</v>
      </c>
      <c r="B35787" s="74" t="s">
        <v>7125</v>
      </c>
      <c r="C35787" s="74" t="s">
        <v>423</v>
      </c>
    </row>
    <row r="35788" spans="1:3">
      <c r="A35788" s="250">
        <v>83670</v>
      </c>
      <c r="B35788" s="74" t="s">
        <v>17017</v>
      </c>
      <c r="C35788" s="74" t="s">
        <v>423</v>
      </c>
    </row>
    <row r="35789" spans="1:3">
      <c r="A35789" s="250">
        <v>83671</v>
      </c>
      <c r="B35789" s="74" t="s">
        <v>622</v>
      </c>
      <c r="C35789" s="74" t="s">
        <v>423</v>
      </c>
    </row>
    <row r="35790" spans="1:3">
      <c r="A35790" s="250">
        <v>83672</v>
      </c>
      <c r="B35790" s="74" t="s">
        <v>17018</v>
      </c>
      <c r="C35790" s="74" t="s">
        <v>423</v>
      </c>
    </row>
    <row r="35791" spans="1:3">
      <c r="A35791" s="250">
        <v>83676</v>
      </c>
      <c r="B35791" s="74" t="s">
        <v>1761</v>
      </c>
      <c r="C35791" s="74" t="s">
        <v>423</v>
      </c>
    </row>
    <row r="35792" spans="1:3">
      <c r="A35792" s="250">
        <v>83677</v>
      </c>
      <c r="B35792" s="74" t="s">
        <v>17019</v>
      </c>
      <c r="C35792" s="74" t="s">
        <v>423</v>
      </c>
    </row>
    <row r="35793" spans="1:3">
      <c r="A35793" s="250">
        <v>83680</v>
      </c>
      <c r="B35793" s="74" t="s">
        <v>3388</v>
      </c>
      <c r="C35793" s="74" t="s">
        <v>423</v>
      </c>
    </row>
    <row r="35794" spans="1:3">
      <c r="A35794" s="250">
        <v>83686</v>
      </c>
      <c r="B35794" s="74" t="s">
        <v>17013</v>
      </c>
      <c r="C35794" s="74" t="s">
        <v>423</v>
      </c>
    </row>
    <row r="35795" spans="1:3">
      <c r="A35795" s="250">
        <v>83687</v>
      </c>
      <c r="B35795" s="74" t="s">
        <v>17013</v>
      </c>
      <c r="C35795" s="74" t="s">
        <v>423</v>
      </c>
    </row>
    <row r="35796" spans="1:3">
      <c r="A35796" s="250">
        <v>83701</v>
      </c>
      <c r="B35796" s="74" t="s">
        <v>17020</v>
      </c>
      <c r="C35796" s="74" t="s">
        <v>423</v>
      </c>
    </row>
    <row r="35797" spans="1:3">
      <c r="A35797" s="250">
        <v>83702</v>
      </c>
      <c r="B35797" s="74" t="s">
        <v>17020</v>
      </c>
      <c r="C35797" s="74" t="s">
        <v>423</v>
      </c>
    </row>
    <row r="35798" spans="1:3">
      <c r="A35798" s="250">
        <v>83703</v>
      </c>
      <c r="B35798" s="74" t="s">
        <v>17020</v>
      </c>
      <c r="C35798" s="74" t="s">
        <v>423</v>
      </c>
    </row>
    <row r="35799" spans="1:3">
      <c r="A35799" s="250">
        <v>83704</v>
      </c>
      <c r="B35799" s="74" t="s">
        <v>17020</v>
      </c>
      <c r="C35799" s="74" t="s">
        <v>423</v>
      </c>
    </row>
    <row r="35800" spans="1:3">
      <c r="A35800" s="250">
        <v>83705</v>
      </c>
      <c r="B35800" s="74" t="s">
        <v>17020</v>
      </c>
      <c r="C35800" s="74" t="s">
        <v>423</v>
      </c>
    </row>
    <row r="35801" spans="1:3">
      <c r="A35801" s="250">
        <v>83706</v>
      </c>
      <c r="B35801" s="74" t="s">
        <v>17020</v>
      </c>
      <c r="C35801" s="74" t="s">
        <v>423</v>
      </c>
    </row>
    <row r="35802" spans="1:3">
      <c r="A35802" s="250">
        <v>83707</v>
      </c>
      <c r="B35802" s="74" t="s">
        <v>17020</v>
      </c>
      <c r="C35802" s="74" t="s">
        <v>423</v>
      </c>
    </row>
    <row r="35803" spans="1:3">
      <c r="A35803" s="250">
        <v>83708</v>
      </c>
      <c r="B35803" s="74" t="s">
        <v>17020</v>
      </c>
      <c r="C35803" s="74" t="s">
        <v>423</v>
      </c>
    </row>
    <row r="35804" spans="1:3">
      <c r="A35804" s="250">
        <v>83709</v>
      </c>
      <c r="B35804" s="74" t="s">
        <v>17020</v>
      </c>
      <c r="C35804" s="74" t="s">
        <v>423</v>
      </c>
    </row>
    <row r="35805" spans="1:3">
      <c r="A35805" s="250">
        <v>83711</v>
      </c>
      <c r="B35805" s="74" t="s">
        <v>17020</v>
      </c>
      <c r="C35805" s="74" t="s">
        <v>423</v>
      </c>
    </row>
    <row r="35806" spans="1:3">
      <c r="A35806" s="250">
        <v>83712</v>
      </c>
      <c r="B35806" s="74" t="s">
        <v>17020</v>
      </c>
      <c r="C35806" s="74" t="s">
        <v>423</v>
      </c>
    </row>
    <row r="35807" spans="1:3">
      <c r="A35807" s="250">
        <v>83713</v>
      </c>
      <c r="B35807" s="74" t="s">
        <v>17020</v>
      </c>
      <c r="C35807" s="74" t="s">
        <v>423</v>
      </c>
    </row>
    <row r="35808" spans="1:3">
      <c r="A35808" s="250">
        <v>83714</v>
      </c>
      <c r="B35808" s="74" t="s">
        <v>2769</v>
      </c>
      <c r="C35808" s="74" t="s">
        <v>423</v>
      </c>
    </row>
    <row r="35809" spans="1:3">
      <c r="A35809" s="250">
        <v>83715</v>
      </c>
      <c r="B35809" s="74" t="s">
        <v>17020</v>
      </c>
      <c r="C35809" s="74" t="s">
        <v>423</v>
      </c>
    </row>
    <row r="35810" spans="1:3">
      <c r="A35810" s="250">
        <v>83716</v>
      </c>
      <c r="B35810" s="74" t="s">
        <v>17020</v>
      </c>
      <c r="C35810" s="74" t="s">
        <v>423</v>
      </c>
    </row>
    <row r="35811" spans="1:3">
      <c r="A35811" s="250">
        <v>83717</v>
      </c>
      <c r="B35811" s="74" t="s">
        <v>17020</v>
      </c>
      <c r="C35811" s="74" t="s">
        <v>423</v>
      </c>
    </row>
    <row r="35812" spans="1:3">
      <c r="A35812" s="250">
        <v>83719</v>
      </c>
      <c r="B35812" s="74" t="s">
        <v>17020</v>
      </c>
      <c r="C35812" s="74" t="s">
        <v>423</v>
      </c>
    </row>
    <row r="35813" spans="1:3">
      <c r="A35813" s="250">
        <v>83720</v>
      </c>
      <c r="B35813" s="74" t="s">
        <v>17020</v>
      </c>
      <c r="C35813" s="74" t="s">
        <v>423</v>
      </c>
    </row>
    <row r="35814" spans="1:3">
      <c r="A35814" s="250">
        <v>83721</v>
      </c>
      <c r="B35814" s="74" t="s">
        <v>17020</v>
      </c>
      <c r="C35814" s="74" t="s">
        <v>423</v>
      </c>
    </row>
    <row r="35815" spans="1:3">
      <c r="A35815" s="250">
        <v>83722</v>
      </c>
      <c r="B35815" s="74" t="s">
        <v>17020</v>
      </c>
      <c r="C35815" s="74" t="s">
        <v>423</v>
      </c>
    </row>
    <row r="35816" spans="1:3">
      <c r="A35816" s="250">
        <v>83724</v>
      </c>
      <c r="B35816" s="74" t="s">
        <v>17020</v>
      </c>
      <c r="C35816" s="74" t="s">
        <v>423</v>
      </c>
    </row>
    <row r="35817" spans="1:3">
      <c r="A35817" s="250">
        <v>83725</v>
      </c>
      <c r="B35817" s="74" t="s">
        <v>17020</v>
      </c>
      <c r="C35817" s="74" t="s">
        <v>423</v>
      </c>
    </row>
    <row r="35818" spans="1:3">
      <c r="A35818" s="250">
        <v>83726</v>
      </c>
      <c r="B35818" s="74" t="s">
        <v>17020</v>
      </c>
      <c r="C35818" s="74" t="s">
        <v>423</v>
      </c>
    </row>
    <row r="35819" spans="1:3">
      <c r="A35819" s="250">
        <v>83727</v>
      </c>
      <c r="B35819" s="74" t="s">
        <v>17020</v>
      </c>
      <c r="C35819" s="74" t="s">
        <v>423</v>
      </c>
    </row>
    <row r="35820" spans="1:3">
      <c r="A35820" s="250">
        <v>83728</v>
      </c>
      <c r="B35820" s="74" t="s">
        <v>17020</v>
      </c>
      <c r="C35820" s="74" t="s">
        <v>423</v>
      </c>
    </row>
    <row r="35821" spans="1:3">
      <c r="A35821" s="250">
        <v>83729</v>
      </c>
      <c r="B35821" s="74" t="s">
        <v>17020</v>
      </c>
      <c r="C35821" s="74" t="s">
        <v>423</v>
      </c>
    </row>
    <row r="35822" spans="1:3">
      <c r="A35822" s="250">
        <v>83730</v>
      </c>
      <c r="B35822" s="74" t="s">
        <v>17020</v>
      </c>
      <c r="C35822" s="74" t="s">
        <v>423</v>
      </c>
    </row>
    <row r="35823" spans="1:3">
      <c r="A35823" s="250">
        <v>83731</v>
      </c>
      <c r="B35823" s="74" t="s">
        <v>17020</v>
      </c>
      <c r="C35823" s="74" t="s">
        <v>423</v>
      </c>
    </row>
    <row r="35824" spans="1:3">
      <c r="A35824" s="250">
        <v>83732</v>
      </c>
      <c r="B35824" s="74" t="s">
        <v>17020</v>
      </c>
      <c r="C35824" s="74" t="s">
        <v>423</v>
      </c>
    </row>
    <row r="35825" spans="1:3">
      <c r="A35825" s="250">
        <v>83733</v>
      </c>
      <c r="B35825" s="74" t="s">
        <v>17020</v>
      </c>
      <c r="C35825" s="74" t="s">
        <v>423</v>
      </c>
    </row>
    <row r="35826" spans="1:3">
      <c r="A35826" s="250">
        <v>83735</v>
      </c>
      <c r="B35826" s="74" t="s">
        <v>17020</v>
      </c>
      <c r="C35826" s="74" t="s">
        <v>423</v>
      </c>
    </row>
    <row r="35827" spans="1:3">
      <c r="A35827" s="250">
        <v>83756</v>
      </c>
      <c r="B35827" s="74" t="s">
        <v>17020</v>
      </c>
      <c r="C35827" s="74" t="s">
        <v>423</v>
      </c>
    </row>
    <row r="35828" spans="1:3">
      <c r="A35828" s="250">
        <v>83757</v>
      </c>
      <c r="B35828" s="74" t="s">
        <v>17020</v>
      </c>
      <c r="C35828" s="74" t="s">
        <v>423</v>
      </c>
    </row>
    <row r="35829" spans="1:3">
      <c r="A35829" s="250">
        <v>83799</v>
      </c>
      <c r="B35829" s="74" t="s">
        <v>17020</v>
      </c>
      <c r="C35829" s="74" t="s">
        <v>423</v>
      </c>
    </row>
    <row r="35830" spans="1:3">
      <c r="A35830" s="250">
        <v>83801</v>
      </c>
      <c r="B35830" s="74" t="s">
        <v>672</v>
      </c>
      <c r="C35830" s="74" t="s">
        <v>423</v>
      </c>
    </row>
    <row r="35831" spans="1:3">
      <c r="A35831" s="250">
        <v>83802</v>
      </c>
      <c r="B35831" s="74" t="s">
        <v>15888</v>
      </c>
      <c r="C35831" s="74" t="s">
        <v>423</v>
      </c>
    </row>
    <row r="35832" spans="1:3">
      <c r="A35832" s="250">
        <v>83803</v>
      </c>
      <c r="B35832" s="74" t="s">
        <v>17021</v>
      </c>
      <c r="C35832" s="74" t="s">
        <v>423</v>
      </c>
    </row>
    <row r="35833" spans="1:3">
      <c r="A35833" s="250">
        <v>83804</v>
      </c>
      <c r="B35833" s="74" t="s">
        <v>4615</v>
      </c>
      <c r="C35833" s="74" t="s">
        <v>423</v>
      </c>
    </row>
    <row r="35834" spans="1:3">
      <c r="A35834" s="250">
        <v>83805</v>
      </c>
      <c r="B35834" s="74" t="s">
        <v>17022</v>
      </c>
      <c r="C35834" s="74" t="s">
        <v>423</v>
      </c>
    </row>
    <row r="35835" spans="1:3">
      <c r="A35835" s="250">
        <v>83806</v>
      </c>
      <c r="B35835" s="74" t="s">
        <v>17023</v>
      </c>
      <c r="C35835" s="74" t="s">
        <v>423</v>
      </c>
    </row>
    <row r="35836" spans="1:3">
      <c r="A35836" s="250">
        <v>83808</v>
      </c>
      <c r="B35836" s="74" t="s">
        <v>17024</v>
      </c>
      <c r="C35836" s="74" t="s">
        <v>423</v>
      </c>
    </row>
    <row r="35837" spans="1:3">
      <c r="A35837" s="250">
        <v>83809</v>
      </c>
      <c r="B35837" s="74" t="s">
        <v>17025</v>
      </c>
      <c r="C35837" s="74" t="s">
        <v>423</v>
      </c>
    </row>
    <row r="35838" spans="1:3">
      <c r="A35838" s="250">
        <v>83810</v>
      </c>
      <c r="B35838" s="74" t="s">
        <v>17026</v>
      </c>
      <c r="C35838" s="74" t="s">
        <v>423</v>
      </c>
    </row>
    <row r="35839" spans="1:3">
      <c r="A35839" s="250">
        <v>83811</v>
      </c>
      <c r="B35839" s="74" t="s">
        <v>17027</v>
      </c>
      <c r="C35839" s="74" t="s">
        <v>423</v>
      </c>
    </row>
    <row r="35840" spans="1:3">
      <c r="A35840" s="250">
        <v>83812</v>
      </c>
      <c r="B35840" s="74" t="s">
        <v>17028</v>
      </c>
      <c r="C35840" s="74" t="s">
        <v>423</v>
      </c>
    </row>
    <row r="35841" spans="1:3">
      <c r="A35841" s="250">
        <v>83813</v>
      </c>
      <c r="B35841" s="74" t="s">
        <v>17029</v>
      </c>
      <c r="C35841" s="74" t="s">
        <v>423</v>
      </c>
    </row>
    <row r="35842" spans="1:3">
      <c r="A35842" s="250">
        <v>83814</v>
      </c>
      <c r="B35842" s="74" t="s">
        <v>17030</v>
      </c>
      <c r="C35842" s="74" t="s">
        <v>423</v>
      </c>
    </row>
    <row r="35843" spans="1:3">
      <c r="A35843" s="250">
        <v>83815</v>
      </c>
      <c r="B35843" s="74" t="s">
        <v>17030</v>
      </c>
      <c r="C35843" s="74" t="s">
        <v>423</v>
      </c>
    </row>
    <row r="35844" spans="1:3">
      <c r="A35844" s="250">
        <v>83816</v>
      </c>
      <c r="B35844" s="74" t="s">
        <v>17030</v>
      </c>
      <c r="C35844" s="74" t="s">
        <v>423</v>
      </c>
    </row>
    <row r="35845" spans="1:3">
      <c r="A35845" s="250">
        <v>83821</v>
      </c>
      <c r="B35845" s="74" t="s">
        <v>17031</v>
      </c>
      <c r="C35845" s="74" t="s">
        <v>423</v>
      </c>
    </row>
    <row r="35846" spans="1:3">
      <c r="A35846" s="250">
        <v>83822</v>
      </c>
      <c r="B35846" s="74" t="s">
        <v>5736</v>
      </c>
      <c r="C35846" s="74" t="s">
        <v>423</v>
      </c>
    </row>
    <row r="35847" spans="1:3">
      <c r="A35847" s="250">
        <v>83823</v>
      </c>
      <c r="B35847" s="74" t="s">
        <v>17032</v>
      </c>
      <c r="C35847" s="74" t="s">
        <v>423</v>
      </c>
    </row>
    <row r="35848" spans="1:3">
      <c r="A35848" s="250">
        <v>83824</v>
      </c>
      <c r="B35848" s="74" t="s">
        <v>17033</v>
      </c>
      <c r="C35848" s="74" t="s">
        <v>423</v>
      </c>
    </row>
    <row r="35849" spans="1:3">
      <c r="A35849" s="250">
        <v>83825</v>
      </c>
      <c r="B35849" s="74" t="s">
        <v>869</v>
      </c>
      <c r="C35849" s="74" t="s">
        <v>423</v>
      </c>
    </row>
    <row r="35850" spans="1:3">
      <c r="A35850" s="250">
        <v>83826</v>
      </c>
      <c r="B35850" s="74" t="s">
        <v>1583</v>
      </c>
      <c r="C35850" s="74" t="s">
        <v>423</v>
      </c>
    </row>
    <row r="35851" spans="1:3">
      <c r="A35851" s="250">
        <v>83827</v>
      </c>
      <c r="B35851" s="74" t="s">
        <v>12406</v>
      </c>
      <c r="C35851" s="74" t="s">
        <v>423</v>
      </c>
    </row>
    <row r="35852" spans="1:3">
      <c r="A35852" s="250">
        <v>83830</v>
      </c>
      <c r="B35852" s="74" t="s">
        <v>9523</v>
      </c>
      <c r="C35852" s="74" t="s">
        <v>423</v>
      </c>
    </row>
    <row r="35853" spans="1:3">
      <c r="A35853" s="250">
        <v>83832</v>
      </c>
      <c r="B35853" s="74" t="s">
        <v>4673</v>
      </c>
      <c r="C35853" s="74" t="s">
        <v>423</v>
      </c>
    </row>
    <row r="35854" spans="1:3">
      <c r="A35854" s="250">
        <v>83833</v>
      </c>
      <c r="B35854" s="74" t="s">
        <v>1386</v>
      </c>
      <c r="C35854" s="74" t="s">
        <v>423</v>
      </c>
    </row>
    <row r="35855" spans="1:3">
      <c r="A35855" s="250">
        <v>83834</v>
      </c>
      <c r="B35855" s="74" t="s">
        <v>710</v>
      </c>
      <c r="C35855" s="74" t="s">
        <v>423</v>
      </c>
    </row>
    <row r="35856" spans="1:3">
      <c r="A35856" s="250">
        <v>83835</v>
      </c>
      <c r="B35856" s="74" t="s">
        <v>8645</v>
      </c>
      <c r="C35856" s="74" t="s">
        <v>423</v>
      </c>
    </row>
    <row r="35857" spans="1:3">
      <c r="A35857" s="250">
        <v>83836</v>
      </c>
      <c r="B35857" s="74" t="s">
        <v>1111</v>
      </c>
      <c r="C35857" s="74" t="s">
        <v>423</v>
      </c>
    </row>
    <row r="35858" spans="1:3">
      <c r="A35858" s="250">
        <v>83837</v>
      </c>
      <c r="B35858" s="74" t="s">
        <v>11519</v>
      </c>
      <c r="C35858" s="74" t="s">
        <v>423</v>
      </c>
    </row>
    <row r="35859" spans="1:3">
      <c r="A35859" s="250">
        <v>83839</v>
      </c>
      <c r="B35859" s="74" t="s">
        <v>957</v>
      </c>
      <c r="C35859" s="74" t="s">
        <v>423</v>
      </c>
    </row>
    <row r="35860" spans="1:3">
      <c r="A35860" s="250">
        <v>83840</v>
      </c>
      <c r="B35860" s="74" t="s">
        <v>17034</v>
      </c>
      <c r="C35860" s="74" t="s">
        <v>423</v>
      </c>
    </row>
    <row r="35861" spans="1:3">
      <c r="A35861" s="250">
        <v>83841</v>
      </c>
      <c r="B35861" s="74" t="s">
        <v>14282</v>
      </c>
      <c r="C35861" s="74" t="s">
        <v>423</v>
      </c>
    </row>
    <row r="35862" spans="1:3">
      <c r="A35862" s="250">
        <v>83842</v>
      </c>
      <c r="B35862" s="74" t="s">
        <v>17035</v>
      </c>
      <c r="C35862" s="74" t="s">
        <v>423</v>
      </c>
    </row>
    <row r="35863" spans="1:3">
      <c r="A35863" s="250">
        <v>83843</v>
      </c>
      <c r="B35863" s="74" t="s">
        <v>1851</v>
      </c>
      <c r="C35863" s="74" t="s">
        <v>423</v>
      </c>
    </row>
    <row r="35864" spans="1:3">
      <c r="A35864" s="250">
        <v>83844</v>
      </c>
      <c r="B35864" s="74" t="s">
        <v>1851</v>
      </c>
      <c r="C35864" s="74" t="s">
        <v>423</v>
      </c>
    </row>
    <row r="35865" spans="1:3">
      <c r="A35865" s="250">
        <v>83845</v>
      </c>
      <c r="B35865" s="74" t="s">
        <v>17036</v>
      </c>
      <c r="C35865" s="74" t="s">
        <v>423</v>
      </c>
    </row>
    <row r="35866" spans="1:3">
      <c r="A35866" s="250">
        <v>83846</v>
      </c>
      <c r="B35866" s="74" t="s">
        <v>17037</v>
      </c>
      <c r="C35866" s="74" t="s">
        <v>423</v>
      </c>
    </row>
    <row r="35867" spans="1:3">
      <c r="A35867" s="250">
        <v>83847</v>
      </c>
      <c r="B35867" s="74" t="s">
        <v>1397</v>
      </c>
      <c r="C35867" s="74" t="s">
        <v>423</v>
      </c>
    </row>
    <row r="35868" spans="1:3">
      <c r="A35868" s="250">
        <v>83848</v>
      </c>
      <c r="B35868" s="74" t="s">
        <v>17038</v>
      </c>
      <c r="C35868" s="74" t="s">
        <v>423</v>
      </c>
    </row>
    <row r="35869" spans="1:3">
      <c r="A35869" s="250">
        <v>83849</v>
      </c>
      <c r="B35869" s="74" t="s">
        <v>17039</v>
      </c>
      <c r="C35869" s="74" t="s">
        <v>423</v>
      </c>
    </row>
    <row r="35870" spans="1:3">
      <c r="A35870" s="250">
        <v>83850</v>
      </c>
      <c r="B35870" s="74" t="s">
        <v>824</v>
      </c>
      <c r="C35870" s="74" t="s">
        <v>423</v>
      </c>
    </row>
    <row r="35871" spans="1:3">
      <c r="A35871" s="250">
        <v>83851</v>
      </c>
      <c r="B35871" s="74" t="s">
        <v>12793</v>
      </c>
      <c r="C35871" s="74" t="s">
        <v>423</v>
      </c>
    </row>
    <row r="35872" spans="1:3">
      <c r="A35872" s="250">
        <v>83852</v>
      </c>
      <c r="B35872" s="74" t="s">
        <v>17040</v>
      </c>
      <c r="C35872" s="74" t="s">
        <v>423</v>
      </c>
    </row>
    <row r="35873" spans="1:3">
      <c r="A35873" s="250">
        <v>83853</v>
      </c>
      <c r="B35873" s="74" t="s">
        <v>17041</v>
      </c>
      <c r="C35873" s="74" t="s">
        <v>423</v>
      </c>
    </row>
    <row r="35874" spans="1:3">
      <c r="A35874" s="250">
        <v>83854</v>
      </c>
      <c r="B35874" s="74" t="s">
        <v>17042</v>
      </c>
      <c r="C35874" s="74" t="s">
        <v>423</v>
      </c>
    </row>
    <row r="35875" spans="1:3">
      <c r="A35875" s="250">
        <v>83855</v>
      </c>
      <c r="B35875" s="74" t="s">
        <v>17043</v>
      </c>
      <c r="C35875" s="74" t="s">
        <v>423</v>
      </c>
    </row>
    <row r="35876" spans="1:3">
      <c r="A35876" s="250">
        <v>83856</v>
      </c>
      <c r="B35876" s="74" t="s">
        <v>17044</v>
      </c>
      <c r="C35876" s="74" t="s">
        <v>423</v>
      </c>
    </row>
    <row r="35877" spans="1:3">
      <c r="A35877" s="250">
        <v>83857</v>
      </c>
      <c r="B35877" s="74" t="s">
        <v>755</v>
      </c>
      <c r="C35877" s="74" t="s">
        <v>423</v>
      </c>
    </row>
    <row r="35878" spans="1:3">
      <c r="A35878" s="250">
        <v>83858</v>
      </c>
      <c r="B35878" s="74" t="s">
        <v>17045</v>
      </c>
      <c r="C35878" s="74" t="s">
        <v>423</v>
      </c>
    </row>
    <row r="35879" spans="1:3">
      <c r="A35879" s="250">
        <v>83860</v>
      </c>
      <c r="B35879" s="74" t="s">
        <v>17046</v>
      </c>
      <c r="C35879" s="74" t="s">
        <v>423</v>
      </c>
    </row>
    <row r="35880" spans="1:3">
      <c r="A35880" s="250">
        <v>83861</v>
      </c>
      <c r="B35880" s="74" t="s">
        <v>17047</v>
      </c>
      <c r="C35880" s="74" t="s">
        <v>423</v>
      </c>
    </row>
    <row r="35881" spans="1:3">
      <c r="A35881" s="250">
        <v>83864</v>
      </c>
      <c r="B35881" s="74" t="s">
        <v>17048</v>
      </c>
      <c r="C35881" s="74" t="s">
        <v>423</v>
      </c>
    </row>
    <row r="35882" spans="1:3">
      <c r="A35882" s="250">
        <v>83865</v>
      </c>
      <c r="B35882" s="74" t="s">
        <v>17049</v>
      </c>
      <c r="C35882" s="74" t="s">
        <v>423</v>
      </c>
    </row>
    <row r="35883" spans="1:3">
      <c r="A35883" s="250">
        <v>83866</v>
      </c>
      <c r="B35883" s="74" t="s">
        <v>17050</v>
      </c>
      <c r="C35883" s="74" t="s">
        <v>423</v>
      </c>
    </row>
    <row r="35884" spans="1:3">
      <c r="A35884" s="250">
        <v>83867</v>
      </c>
      <c r="B35884" s="74" t="s">
        <v>16534</v>
      </c>
      <c r="C35884" s="74" t="s">
        <v>423</v>
      </c>
    </row>
    <row r="35885" spans="1:3">
      <c r="A35885" s="250">
        <v>83868</v>
      </c>
      <c r="B35885" s="74" t="s">
        <v>17051</v>
      </c>
      <c r="C35885" s="74" t="s">
        <v>423</v>
      </c>
    </row>
    <row r="35886" spans="1:3">
      <c r="A35886" s="250">
        <v>83869</v>
      </c>
      <c r="B35886" s="74" t="s">
        <v>11743</v>
      </c>
      <c r="C35886" s="74" t="s">
        <v>423</v>
      </c>
    </row>
    <row r="35887" spans="1:3">
      <c r="A35887" s="250">
        <v>83870</v>
      </c>
      <c r="B35887" s="74" t="s">
        <v>17052</v>
      </c>
      <c r="C35887" s="74" t="s">
        <v>423</v>
      </c>
    </row>
    <row r="35888" spans="1:3">
      <c r="A35888" s="250">
        <v>83871</v>
      </c>
      <c r="B35888" s="74" t="s">
        <v>1243</v>
      </c>
      <c r="C35888" s="74" t="s">
        <v>423</v>
      </c>
    </row>
    <row r="35889" spans="1:3">
      <c r="A35889" s="250">
        <v>83872</v>
      </c>
      <c r="B35889" s="74" t="s">
        <v>5510</v>
      </c>
      <c r="C35889" s="74" t="s">
        <v>423</v>
      </c>
    </row>
    <row r="35890" spans="1:3">
      <c r="A35890" s="250">
        <v>83873</v>
      </c>
      <c r="B35890" s="74" t="s">
        <v>6961</v>
      </c>
      <c r="C35890" s="74" t="s">
        <v>423</v>
      </c>
    </row>
    <row r="35891" spans="1:3">
      <c r="A35891" s="250">
        <v>83874</v>
      </c>
      <c r="B35891" s="74" t="s">
        <v>9947</v>
      </c>
      <c r="C35891" s="74" t="s">
        <v>423</v>
      </c>
    </row>
    <row r="35892" spans="1:3">
      <c r="A35892" s="250">
        <v>83876</v>
      </c>
      <c r="B35892" s="74" t="s">
        <v>17053</v>
      </c>
      <c r="C35892" s="74" t="s">
        <v>423</v>
      </c>
    </row>
    <row r="35893" spans="1:3">
      <c r="A35893" s="250">
        <v>83877</v>
      </c>
      <c r="B35893" s="74" t="s">
        <v>17042</v>
      </c>
      <c r="C35893" s="74" t="s">
        <v>423</v>
      </c>
    </row>
    <row r="35894" spans="1:3">
      <c r="A35894" s="250">
        <v>84001</v>
      </c>
      <c r="B35894" s="74" t="s">
        <v>2909</v>
      </c>
      <c r="C35894" s="74" t="s">
        <v>454</v>
      </c>
    </row>
    <row r="35895" spans="1:3">
      <c r="A35895" s="250">
        <v>84002</v>
      </c>
      <c r="B35895" s="74" t="s">
        <v>17054</v>
      </c>
      <c r="C35895" s="74" t="s">
        <v>454</v>
      </c>
    </row>
    <row r="35896" spans="1:3">
      <c r="A35896" s="250">
        <v>84003</v>
      </c>
      <c r="B35896" s="74" t="s">
        <v>17055</v>
      </c>
      <c r="C35896" s="74" t="s">
        <v>454</v>
      </c>
    </row>
    <row r="35897" spans="1:3">
      <c r="A35897" s="250">
        <v>84004</v>
      </c>
      <c r="B35897" s="74" t="s">
        <v>2225</v>
      </c>
      <c r="C35897" s="74" t="s">
        <v>454</v>
      </c>
    </row>
    <row r="35898" spans="1:3">
      <c r="A35898" s="250">
        <v>84005</v>
      </c>
      <c r="B35898" s="74" t="s">
        <v>17056</v>
      </c>
      <c r="C35898" s="74" t="s">
        <v>454</v>
      </c>
    </row>
    <row r="35899" spans="1:3">
      <c r="A35899" s="250">
        <v>84006</v>
      </c>
      <c r="B35899" s="74" t="s">
        <v>17057</v>
      </c>
      <c r="C35899" s="74" t="s">
        <v>454</v>
      </c>
    </row>
    <row r="35900" spans="1:3">
      <c r="A35900" s="250">
        <v>84007</v>
      </c>
      <c r="B35900" s="74" t="s">
        <v>17058</v>
      </c>
      <c r="C35900" s="74" t="s">
        <v>454</v>
      </c>
    </row>
    <row r="35901" spans="1:3">
      <c r="A35901" s="250">
        <v>84008</v>
      </c>
      <c r="B35901" s="74" t="s">
        <v>17059</v>
      </c>
      <c r="C35901" s="74" t="s">
        <v>454</v>
      </c>
    </row>
    <row r="35902" spans="1:3">
      <c r="A35902" s="250">
        <v>84010</v>
      </c>
      <c r="B35902" s="74" t="s">
        <v>17060</v>
      </c>
      <c r="C35902" s="74" t="s">
        <v>454</v>
      </c>
    </row>
    <row r="35903" spans="1:3">
      <c r="A35903" s="250">
        <v>84011</v>
      </c>
      <c r="B35903" s="74" t="s">
        <v>17060</v>
      </c>
      <c r="C35903" s="74" t="s">
        <v>454</v>
      </c>
    </row>
    <row r="35904" spans="1:3">
      <c r="A35904" s="250">
        <v>84013</v>
      </c>
      <c r="B35904" s="74" t="s">
        <v>17061</v>
      </c>
      <c r="C35904" s="74" t="s">
        <v>454</v>
      </c>
    </row>
    <row r="35905" spans="1:3">
      <c r="A35905" s="250">
        <v>84014</v>
      </c>
      <c r="B35905" s="74" t="s">
        <v>1024</v>
      </c>
      <c r="C35905" s="74" t="s">
        <v>454</v>
      </c>
    </row>
    <row r="35906" spans="1:3">
      <c r="A35906" s="250">
        <v>84015</v>
      </c>
      <c r="B35906" s="74" t="s">
        <v>4618</v>
      </c>
      <c r="C35906" s="74" t="s">
        <v>454</v>
      </c>
    </row>
    <row r="35907" spans="1:3">
      <c r="A35907" s="250">
        <v>84016</v>
      </c>
      <c r="B35907" s="74" t="s">
        <v>4618</v>
      </c>
      <c r="C35907" s="74" t="s">
        <v>454</v>
      </c>
    </row>
    <row r="35908" spans="1:3">
      <c r="A35908" s="250">
        <v>84017</v>
      </c>
      <c r="B35908" s="74" t="s">
        <v>17062</v>
      </c>
      <c r="C35908" s="74" t="s">
        <v>454</v>
      </c>
    </row>
    <row r="35909" spans="1:3">
      <c r="A35909" s="250">
        <v>84018</v>
      </c>
      <c r="B35909" s="74" t="s">
        <v>5322</v>
      </c>
      <c r="C35909" s="74" t="s">
        <v>454</v>
      </c>
    </row>
    <row r="35910" spans="1:3">
      <c r="A35910" s="250">
        <v>84020</v>
      </c>
      <c r="B35910" s="74" t="s">
        <v>6355</v>
      </c>
      <c r="C35910" s="74" t="s">
        <v>454</v>
      </c>
    </row>
    <row r="35911" spans="1:3">
      <c r="A35911" s="250">
        <v>84021</v>
      </c>
      <c r="B35911" s="74" t="s">
        <v>17063</v>
      </c>
      <c r="C35911" s="74" t="s">
        <v>454</v>
      </c>
    </row>
    <row r="35912" spans="1:3">
      <c r="A35912" s="250">
        <v>84022</v>
      </c>
      <c r="B35912" s="74" t="s">
        <v>17064</v>
      </c>
      <c r="C35912" s="74" t="s">
        <v>454</v>
      </c>
    </row>
    <row r="35913" spans="1:3">
      <c r="A35913" s="250">
        <v>84023</v>
      </c>
      <c r="B35913" s="74" t="s">
        <v>17065</v>
      </c>
      <c r="C35913" s="74" t="s">
        <v>454</v>
      </c>
    </row>
    <row r="35914" spans="1:3">
      <c r="A35914" s="250">
        <v>84024</v>
      </c>
      <c r="B35914" s="74" t="s">
        <v>12610</v>
      </c>
      <c r="C35914" s="74" t="s">
        <v>454</v>
      </c>
    </row>
    <row r="35915" spans="1:3">
      <c r="A35915" s="250">
        <v>84025</v>
      </c>
      <c r="B35915" s="74" t="s">
        <v>1309</v>
      </c>
      <c r="C35915" s="74" t="s">
        <v>454</v>
      </c>
    </row>
    <row r="35916" spans="1:3">
      <c r="A35916" s="250">
        <v>84026</v>
      </c>
      <c r="B35916" s="74" t="s">
        <v>17066</v>
      </c>
      <c r="C35916" s="74" t="s">
        <v>454</v>
      </c>
    </row>
    <row r="35917" spans="1:3">
      <c r="A35917" s="250">
        <v>84027</v>
      </c>
      <c r="B35917" s="74" t="s">
        <v>5832</v>
      </c>
      <c r="C35917" s="74" t="s">
        <v>454</v>
      </c>
    </row>
    <row r="35918" spans="1:3">
      <c r="A35918" s="250">
        <v>84028</v>
      </c>
      <c r="B35918" s="74" t="s">
        <v>2769</v>
      </c>
      <c r="C35918" s="74" t="s">
        <v>454</v>
      </c>
    </row>
    <row r="35919" spans="1:3">
      <c r="A35919" s="250">
        <v>84029</v>
      </c>
      <c r="B35919" s="74" t="s">
        <v>5729</v>
      </c>
      <c r="C35919" s="74" t="s">
        <v>454</v>
      </c>
    </row>
    <row r="35920" spans="1:3">
      <c r="A35920" s="250">
        <v>84031</v>
      </c>
      <c r="B35920" s="74" t="s">
        <v>10685</v>
      </c>
      <c r="C35920" s="74" t="s">
        <v>454</v>
      </c>
    </row>
    <row r="35921" spans="1:3">
      <c r="A35921" s="250">
        <v>84032</v>
      </c>
      <c r="B35921" s="74" t="s">
        <v>17067</v>
      </c>
      <c r="C35921" s="74" t="s">
        <v>454</v>
      </c>
    </row>
    <row r="35922" spans="1:3">
      <c r="A35922" s="250">
        <v>84033</v>
      </c>
      <c r="B35922" s="74" t="s">
        <v>17068</v>
      </c>
      <c r="C35922" s="74" t="s">
        <v>454</v>
      </c>
    </row>
    <row r="35923" spans="1:3">
      <c r="A35923" s="250">
        <v>84034</v>
      </c>
      <c r="B35923" s="74" t="s">
        <v>17069</v>
      </c>
      <c r="C35923" s="74" t="s">
        <v>454</v>
      </c>
    </row>
    <row r="35924" spans="1:3">
      <c r="A35924" s="250">
        <v>84035</v>
      </c>
      <c r="B35924" s="74" t="s">
        <v>17070</v>
      </c>
      <c r="C35924" s="74" t="s">
        <v>454</v>
      </c>
    </row>
    <row r="35925" spans="1:3">
      <c r="A35925" s="250">
        <v>84036</v>
      </c>
      <c r="B35925" s="74" t="s">
        <v>17071</v>
      </c>
      <c r="C35925" s="74" t="s">
        <v>454</v>
      </c>
    </row>
    <row r="35926" spans="1:3">
      <c r="A35926" s="250">
        <v>84037</v>
      </c>
      <c r="B35926" s="74" t="s">
        <v>17072</v>
      </c>
      <c r="C35926" s="74" t="s">
        <v>454</v>
      </c>
    </row>
    <row r="35927" spans="1:3">
      <c r="A35927" s="250">
        <v>84038</v>
      </c>
      <c r="B35927" s="74" t="s">
        <v>17073</v>
      </c>
      <c r="C35927" s="74" t="s">
        <v>454</v>
      </c>
    </row>
    <row r="35928" spans="1:3">
      <c r="A35928" s="250">
        <v>84039</v>
      </c>
      <c r="B35928" s="74" t="s">
        <v>17074</v>
      </c>
      <c r="C35928" s="74" t="s">
        <v>454</v>
      </c>
    </row>
    <row r="35929" spans="1:3">
      <c r="A35929" s="250">
        <v>84040</v>
      </c>
      <c r="B35929" s="74" t="s">
        <v>2318</v>
      </c>
      <c r="C35929" s="74" t="s">
        <v>454</v>
      </c>
    </row>
    <row r="35930" spans="1:3">
      <c r="A35930" s="250">
        <v>84041</v>
      </c>
      <c r="B35930" s="74" t="s">
        <v>2318</v>
      </c>
      <c r="C35930" s="74" t="s">
        <v>454</v>
      </c>
    </row>
    <row r="35931" spans="1:3">
      <c r="A35931" s="250">
        <v>84042</v>
      </c>
      <c r="B35931" s="74" t="s">
        <v>16697</v>
      </c>
      <c r="C35931" s="74" t="s">
        <v>454</v>
      </c>
    </row>
    <row r="35932" spans="1:3">
      <c r="A35932" s="250">
        <v>84043</v>
      </c>
      <c r="B35932" s="74" t="s">
        <v>17075</v>
      </c>
      <c r="C35932" s="74" t="s">
        <v>454</v>
      </c>
    </row>
    <row r="35933" spans="1:3">
      <c r="A35933" s="250">
        <v>84044</v>
      </c>
      <c r="B35933" s="74" t="s">
        <v>17076</v>
      </c>
      <c r="C35933" s="74" t="s">
        <v>454</v>
      </c>
    </row>
    <row r="35934" spans="1:3">
      <c r="A35934" s="250">
        <v>84045</v>
      </c>
      <c r="B35934" s="74" t="s">
        <v>3262</v>
      </c>
      <c r="C35934" s="74" t="s">
        <v>454</v>
      </c>
    </row>
    <row r="35935" spans="1:3">
      <c r="A35935" s="250">
        <v>84046</v>
      </c>
      <c r="B35935" s="74" t="s">
        <v>15389</v>
      </c>
      <c r="C35935" s="74" t="s">
        <v>454</v>
      </c>
    </row>
    <row r="35936" spans="1:3">
      <c r="A35936" s="250">
        <v>84047</v>
      </c>
      <c r="B35936" s="74" t="s">
        <v>10404</v>
      </c>
      <c r="C35936" s="74" t="s">
        <v>454</v>
      </c>
    </row>
    <row r="35937" spans="1:3">
      <c r="A35937" s="250">
        <v>84049</v>
      </c>
      <c r="B35937" s="74" t="s">
        <v>3995</v>
      </c>
      <c r="C35937" s="74" t="s">
        <v>454</v>
      </c>
    </row>
    <row r="35938" spans="1:3">
      <c r="A35938" s="250">
        <v>84050</v>
      </c>
      <c r="B35938" s="74" t="s">
        <v>1918</v>
      </c>
      <c r="C35938" s="74" t="s">
        <v>454</v>
      </c>
    </row>
    <row r="35939" spans="1:3">
      <c r="A35939" s="250">
        <v>84051</v>
      </c>
      <c r="B35939" s="74" t="s">
        <v>7564</v>
      </c>
      <c r="C35939" s="74" t="s">
        <v>454</v>
      </c>
    </row>
    <row r="35940" spans="1:3">
      <c r="A35940" s="250">
        <v>84052</v>
      </c>
      <c r="B35940" s="74" t="s">
        <v>17077</v>
      </c>
      <c r="C35940" s="74" t="s">
        <v>454</v>
      </c>
    </row>
    <row r="35941" spans="1:3">
      <c r="A35941" s="250">
        <v>84053</v>
      </c>
      <c r="B35941" s="74" t="s">
        <v>11778</v>
      </c>
      <c r="C35941" s="74" t="s">
        <v>454</v>
      </c>
    </row>
    <row r="35942" spans="1:3">
      <c r="A35942" s="250">
        <v>84054</v>
      </c>
      <c r="B35942" s="74" t="s">
        <v>17078</v>
      </c>
      <c r="C35942" s="74" t="s">
        <v>454</v>
      </c>
    </row>
    <row r="35943" spans="1:3">
      <c r="A35943" s="250">
        <v>84055</v>
      </c>
      <c r="B35943" s="74" t="s">
        <v>11104</v>
      </c>
      <c r="C35943" s="74" t="s">
        <v>454</v>
      </c>
    </row>
    <row r="35944" spans="1:3">
      <c r="A35944" s="250">
        <v>84056</v>
      </c>
      <c r="B35944" s="74" t="s">
        <v>17079</v>
      </c>
      <c r="C35944" s="74" t="s">
        <v>454</v>
      </c>
    </row>
    <row r="35945" spans="1:3">
      <c r="A35945" s="250">
        <v>84057</v>
      </c>
      <c r="B35945" s="74" t="s">
        <v>17080</v>
      </c>
      <c r="C35945" s="74" t="s">
        <v>454</v>
      </c>
    </row>
    <row r="35946" spans="1:3">
      <c r="A35946" s="250">
        <v>84058</v>
      </c>
      <c r="B35946" s="74" t="s">
        <v>17080</v>
      </c>
      <c r="C35946" s="74" t="s">
        <v>454</v>
      </c>
    </row>
    <row r="35947" spans="1:3">
      <c r="A35947" s="250">
        <v>84059</v>
      </c>
      <c r="B35947" s="74" t="s">
        <v>17080</v>
      </c>
      <c r="C35947" s="74" t="s">
        <v>454</v>
      </c>
    </row>
    <row r="35948" spans="1:3">
      <c r="A35948" s="250">
        <v>84060</v>
      </c>
      <c r="B35948" s="74" t="s">
        <v>9970</v>
      </c>
      <c r="C35948" s="74" t="s">
        <v>454</v>
      </c>
    </row>
    <row r="35949" spans="1:3">
      <c r="A35949" s="250">
        <v>84061</v>
      </c>
      <c r="B35949" s="74" t="s">
        <v>17081</v>
      </c>
      <c r="C35949" s="74" t="s">
        <v>454</v>
      </c>
    </row>
    <row r="35950" spans="1:3">
      <c r="A35950" s="250">
        <v>84062</v>
      </c>
      <c r="B35950" s="74" t="s">
        <v>8660</v>
      </c>
      <c r="C35950" s="74" t="s">
        <v>454</v>
      </c>
    </row>
    <row r="35951" spans="1:3">
      <c r="A35951" s="250">
        <v>84063</v>
      </c>
      <c r="B35951" s="74" t="s">
        <v>15575</v>
      </c>
      <c r="C35951" s="74" t="s">
        <v>454</v>
      </c>
    </row>
    <row r="35952" spans="1:3">
      <c r="A35952" s="250">
        <v>84064</v>
      </c>
      <c r="B35952" s="74" t="s">
        <v>960</v>
      </c>
      <c r="C35952" s="74" t="s">
        <v>454</v>
      </c>
    </row>
    <row r="35953" spans="1:3">
      <c r="A35953" s="250">
        <v>84065</v>
      </c>
      <c r="B35953" s="74" t="s">
        <v>1953</v>
      </c>
      <c r="C35953" s="74" t="s">
        <v>454</v>
      </c>
    </row>
    <row r="35954" spans="1:3">
      <c r="A35954" s="250">
        <v>84066</v>
      </c>
      <c r="B35954" s="74" t="s">
        <v>2525</v>
      </c>
      <c r="C35954" s="74" t="s">
        <v>454</v>
      </c>
    </row>
    <row r="35955" spans="1:3">
      <c r="A35955" s="250">
        <v>84067</v>
      </c>
      <c r="B35955" s="74" t="s">
        <v>13335</v>
      </c>
      <c r="C35955" s="74" t="s">
        <v>454</v>
      </c>
    </row>
    <row r="35956" spans="1:3">
      <c r="A35956" s="250">
        <v>84068</v>
      </c>
      <c r="B35956" s="74" t="s">
        <v>9970</v>
      </c>
      <c r="C35956" s="74" t="s">
        <v>454</v>
      </c>
    </row>
    <row r="35957" spans="1:3">
      <c r="A35957" s="250">
        <v>84069</v>
      </c>
      <c r="B35957" s="74" t="s">
        <v>17082</v>
      </c>
      <c r="C35957" s="74" t="s">
        <v>454</v>
      </c>
    </row>
    <row r="35958" spans="1:3">
      <c r="A35958" s="250">
        <v>84070</v>
      </c>
      <c r="B35958" s="74" t="s">
        <v>17083</v>
      </c>
      <c r="C35958" s="74" t="s">
        <v>454</v>
      </c>
    </row>
    <row r="35959" spans="1:3">
      <c r="A35959" s="250">
        <v>84071</v>
      </c>
      <c r="B35959" s="74" t="s">
        <v>2529</v>
      </c>
      <c r="C35959" s="74" t="s">
        <v>454</v>
      </c>
    </row>
    <row r="35960" spans="1:3">
      <c r="A35960" s="250">
        <v>84072</v>
      </c>
      <c r="B35960" s="74" t="s">
        <v>17084</v>
      </c>
      <c r="C35960" s="74" t="s">
        <v>454</v>
      </c>
    </row>
    <row r="35961" spans="1:3">
      <c r="A35961" s="250">
        <v>84073</v>
      </c>
      <c r="B35961" s="74" t="s">
        <v>4891</v>
      </c>
      <c r="C35961" s="74" t="s">
        <v>454</v>
      </c>
    </row>
    <row r="35962" spans="1:3">
      <c r="A35962" s="250">
        <v>84074</v>
      </c>
      <c r="B35962" s="74" t="s">
        <v>17085</v>
      </c>
      <c r="C35962" s="74" t="s">
        <v>454</v>
      </c>
    </row>
    <row r="35963" spans="1:3">
      <c r="A35963" s="250">
        <v>84075</v>
      </c>
      <c r="B35963" s="74" t="s">
        <v>3428</v>
      </c>
      <c r="C35963" s="74" t="s">
        <v>454</v>
      </c>
    </row>
    <row r="35964" spans="1:3">
      <c r="A35964" s="250">
        <v>84076</v>
      </c>
      <c r="B35964" s="74" t="s">
        <v>17086</v>
      </c>
      <c r="C35964" s="74" t="s">
        <v>454</v>
      </c>
    </row>
    <row r="35965" spans="1:3">
      <c r="A35965" s="250">
        <v>84078</v>
      </c>
      <c r="B35965" s="74" t="s">
        <v>17087</v>
      </c>
      <c r="C35965" s="74" t="s">
        <v>454</v>
      </c>
    </row>
    <row r="35966" spans="1:3">
      <c r="A35966" s="250">
        <v>84079</v>
      </c>
      <c r="B35966" s="74" t="s">
        <v>17087</v>
      </c>
      <c r="C35966" s="74" t="s">
        <v>454</v>
      </c>
    </row>
    <row r="35967" spans="1:3">
      <c r="A35967" s="250">
        <v>84080</v>
      </c>
      <c r="B35967" s="74" t="s">
        <v>1791</v>
      </c>
      <c r="C35967" s="74" t="s">
        <v>454</v>
      </c>
    </row>
    <row r="35968" spans="1:3">
      <c r="A35968" s="250">
        <v>84081</v>
      </c>
      <c r="B35968" s="74" t="s">
        <v>17088</v>
      </c>
      <c r="C35968" s="74" t="s">
        <v>454</v>
      </c>
    </row>
    <row r="35969" spans="1:3">
      <c r="A35969" s="250">
        <v>84082</v>
      </c>
      <c r="B35969" s="74" t="s">
        <v>17089</v>
      </c>
      <c r="C35969" s="74" t="s">
        <v>454</v>
      </c>
    </row>
    <row r="35970" spans="1:3">
      <c r="A35970" s="250">
        <v>84083</v>
      </c>
      <c r="B35970" s="74" t="s">
        <v>9894</v>
      </c>
      <c r="C35970" s="74" t="s">
        <v>454</v>
      </c>
    </row>
    <row r="35971" spans="1:3">
      <c r="A35971" s="250">
        <v>84084</v>
      </c>
      <c r="B35971" s="74" t="s">
        <v>17088</v>
      </c>
      <c r="C35971" s="74" t="s">
        <v>454</v>
      </c>
    </row>
    <row r="35972" spans="1:3">
      <c r="A35972" s="250">
        <v>84085</v>
      </c>
      <c r="B35972" s="74" t="s">
        <v>17090</v>
      </c>
      <c r="C35972" s="74" t="s">
        <v>454</v>
      </c>
    </row>
    <row r="35973" spans="1:3">
      <c r="A35973" s="250">
        <v>84086</v>
      </c>
      <c r="B35973" s="74" t="s">
        <v>7690</v>
      </c>
      <c r="C35973" s="74" t="s">
        <v>454</v>
      </c>
    </row>
    <row r="35974" spans="1:3">
      <c r="A35974" s="250">
        <v>84087</v>
      </c>
      <c r="B35974" s="74" t="s">
        <v>17091</v>
      </c>
      <c r="C35974" s="74" t="s">
        <v>454</v>
      </c>
    </row>
    <row r="35975" spans="1:3">
      <c r="A35975" s="250">
        <v>84088</v>
      </c>
      <c r="B35975" s="74" t="s">
        <v>17088</v>
      </c>
      <c r="C35975" s="74" t="s">
        <v>454</v>
      </c>
    </row>
    <row r="35976" spans="1:3">
      <c r="A35976" s="250">
        <v>84089</v>
      </c>
      <c r="B35976" s="74" t="s">
        <v>4618</v>
      </c>
      <c r="C35976" s="74" t="s">
        <v>454</v>
      </c>
    </row>
    <row r="35977" spans="1:3">
      <c r="A35977" s="250">
        <v>84090</v>
      </c>
      <c r="B35977" s="74" t="s">
        <v>17083</v>
      </c>
      <c r="C35977" s="74" t="s">
        <v>454</v>
      </c>
    </row>
    <row r="35978" spans="1:3">
      <c r="A35978" s="250">
        <v>84091</v>
      </c>
      <c r="B35978" s="74" t="s">
        <v>17083</v>
      </c>
      <c r="C35978" s="74" t="s">
        <v>454</v>
      </c>
    </row>
    <row r="35979" spans="1:3">
      <c r="A35979" s="250">
        <v>84092</v>
      </c>
      <c r="B35979" s="74" t="s">
        <v>17083</v>
      </c>
      <c r="C35979" s="74" t="s">
        <v>454</v>
      </c>
    </row>
    <row r="35980" spans="1:3">
      <c r="A35980" s="250">
        <v>84093</v>
      </c>
      <c r="B35980" s="74" t="s">
        <v>17083</v>
      </c>
      <c r="C35980" s="74" t="s">
        <v>454</v>
      </c>
    </row>
    <row r="35981" spans="1:3">
      <c r="A35981" s="250">
        <v>84094</v>
      </c>
      <c r="B35981" s="74" t="s">
        <v>17083</v>
      </c>
      <c r="C35981" s="74" t="s">
        <v>454</v>
      </c>
    </row>
    <row r="35982" spans="1:3">
      <c r="A35982" s="250">
        <v>84095</v>
      </c>
      <c r="B35982" s="74" t="s">
        <v>17092</v>
      </c>
      <c r="C35982" s="74" t="s">
        <v>454</v>
      </c>
    </row>
    <row r="35983" spans="1:3">
      <c r="A35983" s="250">
        <v>84096</v>
      </c>
      <c r="B35983" s="74" t="s">
        <v>17093</v>
      </c>
      <c r="C35983" s="74" t="s">
        <v>454</v>
      </c>
    </row>
    <row r="35984" spans="1:3">
      <c r="A35984" s="250">
        <v>84097</v>
      </c>
      <c r="B35984" s="74" t="s">
        <v>17080</v>
      </c>
      <c r="C35984" s="74" t="s">
        <v>454</v>
      </c>
    </row>
    <row r="35985" spans="1:3">
      <c r="A35985" s="250">
        <v>84098</v>
      </c>
      <c r="B35985" s="74" t="s">
        <v>9970</v>
      </c>
      <c r="C35985" s="74" t="s">
        <v>454</v>
      </c>
    </row>
    <row r="35986" spans="1:3">
      <c r="A35986" s="250">
        <v>84101</v>
      </c>
      <c r="B35986" s="74" t="s">
        <v>17094</v>
      </c>
      <c r="C35986" s="74" t="s">
        <v>454</v>
      </c>
    </row>
    <row r="35987" spans="1:3">
      <c r="A35987" s="250">
        <v>84102</v>
      </c>
      <c r="B35987" s="74" t="s">
        <v>17094</v>
      </c>
      <c r="C35987" s="74" t="s">
        <v>454</v>
      </c>
    </row>
    <row r="35988" spans="1:3">
      <c r="A35988" s="250">
        <v>84103</v>
      </c>
      <c r="B35988" s="74" t="s">
        <v>17094</v>
      </c>
      <c r="C35988" s="74" t="s">
        <v>454</v>
      </c>
    </row>
    <row r="35989" spans="1:3">
      <c r="A35989" s="250">
        <v>84104</v>
      </c>
      <c r="B35989" s="74" t="s">
        <v>17094</v>
      </c>
      <c r="C35989" s="74" t="s">
        <v>454</v>
      </c>
    </row>
    <row r="35990" spans="1:3">
      <c r="A35990" s="250">
        <v>84105</v>
      </c>
      <c r="B35990" s="74" t="s">
        <v>17094</v>
      </c>
      <c r="C35990" s="74" t="s">
        <v>454</v>
      </c>
    </row>
    <row r="35991" spans="1:3">
      <c r="A35991" s="250">
        <v>84106</v>
      </c>
      <c r="B35991" s="74" t="s">
        <v>17094</v>
      </c>
      <c r="C35991" s="74" t="s">
        <v>454</v>
      </c>
    </row>
    <row r="35992" spans="1:3">
      <c r="A35992" s="250">
        <v>84107</v>
      </c>
      <c r="B35992" s="74" t="s">
        <v>17094</v>
      </c>
      <c r="C35992" s="74" t="s">
        <v>454</v>
      </c>
    </row>
    <row r="35993" spans="1:3">
      <c r="A35993" s="250">
        <v>84108</v>
      </c>
      <c r="B35993" s="74" t="s">
        <v>17094</v>
      </c>
      <c r="C35993" s="74" t="s">
        <v>454</v>
      </c>
    </row>
    <row r="35994" spans="1:3">
      <c r="A35994" s="250">
        <v>84109</v>
      </c>
      <c r="B35994" s="74" t="s">
        <v>17094</v>
      </c>
      <c r="C35994" s="74" t="s">
        <v>454</v>
      </c>
    </row>
    <row r="35995" spans="1:3">
      <c r="A35995" s="250">
        <v>84110</v>
      </c>
      <c r="B35995" s="74" t="s">
        <v>17094</v>
      </c>
      <c r="C35995" s="74" t="s">
        <v>454</v>
      </c>
    </row>
    <row r="35996" spans="1:3">
      <c r="A35996" s="250">
        <v>84111</v>
      </c>
      <c r="B35996" s="74" t="s">
        <v>17094</v>
      </c>
      <c r="C35996" s="74" t="s">
        <v>454</v>
      </c>
    </row>
    <row r="35997" spans="1:3">
      <c r="A35997" s="250">
        <v>84112</v>
      </c>
      <c r="B35997" s="74" t="s">
        <v>17094</v>
      </c>
      <c r="C35997" s="74" t="s">
        <v>454</v>
      </c>
    </row>
    <row r="35998" spans="1:3">
      <c r="A35998" s="250">
        <v>84113</v>
      </c>
      <c r="B35998" s="74" t="s">
        <v>17094</v>
      </c>
      <c r="C35998" s="74" t="s">
        <v>454</v>
      </c>
    </row>
    <row r="35999" spans="1:3">
      <c r="A35999" s="250">
        <v>84114</v>
      </c>
      <c r="B35999" s="74" t="s">
        <v>17094</v>
      </c>
      <c r="C35999" s="74" t="s">
        <v>454</v>
      </c>
    </row>
    <row r="36000" spans="1:3">
      <c r="A36000" s="250">
        <v>84115</v>
      </c>
      <c r="B36000" s="74" t="s">
        <v>17094</v>
      </c>
      <c r="C36000" s="74" t="s">
        <v>454</v>
      </c>
    </row>
    <row r="36001" spans="1:3">
      <c r="A36001" s="250">
        <v>84116</v>
      </c>
      <c r="B36001" s="74" t="s">
        <v>17094</v>
      </c>
      <c r="C36001" s="74" t="s">
        <v>454</v>
      </c>
    </row>
    <row r="36002" spans="1:3">
      <c r="A36002" s="250">
        <v>84117</v>
      </c>
      <c r="B36002" s="74" t="s">
        <v>17094</v>
      </c>
      <c r="C36002" s="74" t="s">
        <v>454</v>
      </c>
    </row>
    <row r="36003" spans="1:3">
      <c r="A36003" s="250">
        <v>84118</v>
      </c>
      <c r="B36003" s="74" t="s">
        <v>17094</v>
      </c>
      <c r="C36003" s="74" t="s">
        <v>454</v>
      </c>
    </row>
    <row r="36004" spans="1:3">
      <c r="A36004" s="250">
        <v>84119</v>
      </c>
      <c r="B36004" s="74" t="s">
        <v>17094</v>
      </c>
      <c r="C36004" s="74" t="s">
        <v>454</v>
      </c>
    </row>
    <row r="36005" spans="1:3">
      <c r="A36005" s="250">
        <v>84120</v>
      </c>
      <c r="B36005" s="74" t="s">
        <v>17094</v>
      </c>
      <c r="C36005" s="74" t="s">
        <v>454</v>
      </c>
    </row>
    <row r="36006" spans="1:3">
      <c r="A36006" s="250">
        <v>84121</v>
      </c>
      <c r="B36006" s="74" t="s">
        <v>17094</v>
      </c>
      <c r="C36006" s="74" t="s">
        <v>454</v>
      </c>
    </row>
    <row r="36007" spans="1:3">
      <c r="A36007" s="250">
        <v>84122</v>
      </c>
      <c r="B36007" s="74" t="s">
        <v>17094</v>
      </c>
      <c r="C36007" s="74" t="s">
        <v>454</v>
      </c>
    </row>
    <row r="36008" spans="1:3">
      <c r="A36008" s="250">
        <v>84123</v>
      </c>
      <c r="B36008" s="74" t="s">
        <v>17094</v>
      </c>
      <c r="C36008" s="74" t="s">
        <v>454</v>
      </c>
    </row>
    <row r="36009" spans="1:3">
      <c r="A36009" s="250">
        <v>84124</v>
      </c>
      <c r="B36009" s="74" t="s">
        <v>17094</v>
      </c>
      <c r="C36009" s="74" t="s">
        <v>454</v>
      </c>
    </row>
    <row r="36010" spans="1:3">
      <c r="A36010" s="250">
        <v>84125</v>
      </c>
      <c r="B36010" s="74" t="s">
        <v>17094</v>
      </c>
      <c r="C36010" s="74" t="s">
        <v>454</v>
      </c>
    </row>
    <row r="36011" spans="1:3">
      <c r="A36011" s="250">
        <v>84126</v>
      </c>
      <c r="B36011" s="74" t="s">
        <v>17094</v>
      </c>
      <c r="C36011" s="74" t="s">
        <v>454</v>
      </c>
    </row>
    <row r="36012" spans="1:3">
      <c r="A36012" s="250">
        <v>84127</v>
      </c>
      <c r="B36012" s="74" t="s">
        <v>17094</v>
      </c>
      <c r="C36012" s="74" t="s">
        <v>454</v>
      </c>
    </row>
    <row r="36013" spans="1:3">
      <c r="A36013" s="250">
        <v>84128</v>
      </c>
      <c r="B36013" s="74" t="s">
        <v>17094</v>
      </c>
      <c r="C36013" s="74" t="s">
        <v>454</v>
      </c>
    </row>
    <row r="36014" spans="1:3">
      <c r="A36014" s="250">
        <v>84129</v>
      </c>
      <c r="B36014" s="74" t="s">
        <v>17094</v>
      </c>
      <c r="C36014" s="74" t="s">
        <v>454</v>
      </c>
    </row>
    <row r="36015" spans="1:3">
      <c r="A36015" s="250">
        <v>84130</v>
      </c>
      <c r="B36015" s="74" t="s">
        <v>17094</v>
      </c>
      <c r="C36015" s="74" t="s">
        <v>454</v>
      </c>
    </row>
    <row r="36016" spans="1:3">
      <c r="A36016" s="250">
        <v>84131</v>
      </c>
      <c r="B36016" s="74" t="s">
        <v>17094</v>
      </c>
      <c r="C36016" s="74" t="s">
        <v>454</v>
      </c>
    </row>
    <row r="36017" spans="1:3">
      <c r="A36017" s="250">
        <v>84132</v>
      </c>
      <c r="B36017" s="74" t="s">
        <v>17094</v>
      </c>
      <c r="C36017" s="74" t="s">
        <v>454</v>
      </c>
    </row>
    <row r="36018" spans="1:3">
      <c r="A36018" s="250">
        <v>84133</v>
      </c>
      <c r="B36018" s="74" t="s">
        <v>17094</v>
      </c>
      <c r="C36018" s="74" t="s">
        <v>454</v>
      </c>
    </row>
    <row r="36019" spans="1:3">
      <c r="A36019" s="250">
        <v>84134</v>
      </c>
      <c r="B36019" s="74" t="s">
        <v>17094</v>
      </c>
      <c r="C36019" s="74" t="s">
        <v>454</v>
      </c>
    </row>
    <row r="36020" spans="1:3">
      <c r="A36020" s="250">
        <v>84136</v>
      </c>
      <c r="B36020" s="74" t="s">
        <v>17094</v>
      </c>
      <c r="C36020" s="74" t="s">
        <v>454</v>
      </c>
    </row>
    <row r="36021" spans="1:3">
      <c r="A36021" s="250">
        <v>84138</v>
      </c>
      <c r="B36021" s="74" t="s">
        <v>17094</v>
      </c>
      <c r="C36021" s="74" t="s">
        <v>454</v>
      </c>
    </row>
    <row r="36022" spans="1:3">
      <c r="A36022" s="250">
        <v>84139</v>
      </c>
      <c r="B36022" s="74" t="s">
        <v>17094</v>
      </c>
      <c r="C36022" s="74" t="s">
        <v>454</v>
      </c>
    </row>
    <row r="36023" spans="1:3">
      <c r="A36023" s="250">
        <v>84141</v>
      </c>
      <c r="B36023" s="74" t="s">
        <v>17094</v>
      </c>
      <c r="C36023" s="74" t="s">
        <v>454</v>
      </c>
    </row>
    <row r="36024" spans="1:3">
      <c r="A36024" s="250">
        <v>84143</v>
      </c>
      <c r="B36024" s="74" t="s">
        <v>17094</v>
      </c>
      <c r="C36024" s="74" t="s">
        <v>454</v>
      </c>
    </row>
    <row r="36025" spans="1:3">
      <c r="A36025" s="250">
        <v>84144</v>
      </c>
      <c r="B36025" s="74" t="s">
        <v>17094</v>
      </c>
      <c r="C36025" s="74" t="s">
        <v>454</v>
      </c>
    </row>
    <row r="36026" spans="1:3">
      <c r="A36026" s="250">
        <v>84145</v>
      </c>
      <c r="B36026" s="74" t="s">
        <v>17094</v>
      </c>
      <c r="C36026" s="74" t="s">
        <v>454</v>
      </c>
    </row>
    <row r="36027" spans="1:3">
      <c r="A36027" s="250">
        <v>84147</v>
      </c>
      <c r="B36027" s="74" t="s">
        <v>17094</v>
      </c>
      <c r="C36027" s="74" t="s">
        <v>454</v>
      </c>
    </row>
    <row r="36028" spans="1:3">
      <c r="A36028" s="250">
        <v>84148</v>
      </c>
      <c r="B36028" s="74" t="s">
        <v>17094</v>
      </c>
      <c r="C36028" s="74" t="s">
        <v>454</v>
      </c>
    </row>
    <row r="36029" spans="1:3">
      <c r="A36029" s="250">
        <v>84150</v>
      </c>
      <c r="B36029" s="74" t="s">
        <v>17094</v>
      </c>
      <c r="C36029" s="74" t="s">
        <v>454</v>
      </c>
    </row>
    <row r="36030" spans="1:3">
      <c r="A36030" s="250">
        <v>84151</v>
      </c>
      <c r="B36030" s="74" t="s">
        <v>17094</v>
      </c>
      <c r="C36030" s="74" t="s">
        <v>454</v>
      </c>
    </row>
    <row r="36031" spans="1:3">
      <c r="A36031" s="250">
        <v>84152</v>
      </c>
      <c r="B36031" s="74" t="s">
        <v>17094</v>
      </c>
      <c r="C36031" s="74" t="s">
        <v>454</v>
      </c>
    </row>
    <row r="36032" spans="1:3">
      <c r="A36032" s="250">
        <v>84157</v>
      </c>
      <c r="B36032" s="74" t="s">
        <v>17094</v>
      </c>
      <c r="C36032" s="74" t="s">
        <v>454</v>
      </c>
    </row>
    <row r="36033" spans="1:3">
      <c r="A36033" s="250">
        <v>84158</v>
      </c>
      <c r="B36033" s="74" t="s">
        <v>17094</v>
      </c>
      <c r="C36033" s="74" t="s">
        <v>454</v>
      </c>
    </row>
    <row r="36034" spans="1:3">
      <c r="A36034" s="250">
        <v>84165</v>
      </c>
      <c r="B36034" s="74" t="s">
        <v>17094</v>
      </c>
      <c r="C36034" s="74" t="s">
        <v>454</v>
      </c>
    </row>
    <row r="36035" spans="1:3">
      <c r="A36035" s="250">
        <v>84170</v>
      </c>
      <c r="B36035" s="74" t="s">
        <v>17094</v>
      </c>
      <c r="C36035" s="74" t="s">
        <v>454</v>
      </c>
    </row>
    <row r="36036" spans="1:3">
      <c r="A36036" s="250">
        <v>84171</v>
      </c>
      <c r="B36036" s="74" t="s">
        <v>17094</v>
      </c>
      <c r="C36036" s="74" t="s">
        <v>454</v>
      </c>
    </row>
    <row r="36037" spans="1:3">
      <c r="A36037" s="250">
        <v>84180</v>
      </c>
      <c r="B36037" s="74" t="s">
        <v>17094</v>
      </c>
      <c r="C36037" s="74" t="s">
        <v>454</v>
      </c>
    </row>
    <row r="36038" spans="1:3">
      <c r="A36038" s="250">
        <v>84184</v>
      </c>
      <c r="B36038" s="74" t="s">
        <v>17094</v>
      </c>
      <c r="C36038" s="74" t="s">
        <v>454</v>
      </c>
    </row>
    <row r="36039" spans="1:3">
      <c r="A36039" s="250">
        <v>84189</v>
      </c>
      <c r="B36039" s="74" t="s">
        <v>17094</v>
      </c>
      <c r="C36039" s="74" t="s">
        <v>454</v>
      </c>
    </row>
    <row r="36040" spans="1:3">
      <c r="A36040" s="250">
        <v>84190</v>
      </c>
      <c r="B36040" s="74" t="s">
        <v>17094</v>
      </c>
      <c r="C36040" s="74" t="s">
        <v>454</v>
      </c>
    </row>
    <row r="36041" spans="1:3">
      <c r="A36041" s="250">
        <v>84199</v>
      </c>
      <c r="B36041" s="74" t="s">
        <v>17094</v>
      </c>
      <c r="C36041" s="74" t="s">
        <v>454</v>
      </c>
    </row>
    <row r="36042" spans="1:3">
      <c r="A36042" s="250">
        <v>84201</v>
      </c>
      <c r="B36042" s="74" t="s">
        <v>11533</v>
      </c>
      <c r="C36042" s="74" t="s">
        <v>454</v>
      </c>
    </row>
    <row r="36043" spans="1:3">
      <c r="A36043" s="250">
        <v>84244</v>
      </c>
      <c r="B36043" s="74" t="s">
        <v>11533</v>
      </c>
      <c r="C36043" s="74" t="s">
        <v>454</v>
      </c>
    </row>
    <row r="36044" spans="1:3">
      <c r="A36044" s="250">
        <v>84301</v>
      </c>
      <c r="B36044" s="74" t="s">
        <v>17095</v>
      </c>
      <c r="C36044" s="74" t="s">
        <v>454</v>
      </c>
    </row>
    <row r="36045" spans="1:3">
      <c r="A36045" s="250">
        <v>84302</v>
      </c>
      <c r="B36045" s="74" t="s">
        <v>17096</v>
      </c>
      <c r="C36045" s="74" t="s">
        <v>454</v>
      </c>
    </row>
    <row r="36046" spans="1:3">
      <c r="A36046" s="250">
        <v>84304</v>
      </c>
      <c r="B36046" s="74" t="s">
        <v>17097</v>
      </c>
      <c r="C36046" s="74" t="s">
        <v>454</v>
      </c>
    </row>
    <row r="36047" spans="1:3">
      <c r="A36047" s="250">
        <v>84305</v>
      </c>
      <c r="B36047" s="74" t="s">
        <v>7857</v>
      </c>
      <c r="C36047" s="74" t="s">
        <v>454</v>
      </c>
    </row>
    <row r="36048" spans="1:3">
      <c r="A36048" s="250">
        <v>84306</v>
      </c>
      <c r="B36048" s="74" t="s">
        <v>15121</v>
      </c>
      <c r="C36048" s="74" t="s">
        <v>454</v>
      </c>
    </row>
    <row r="36049" spans="1:3">
      <c r="A36049" s="250">
        <v>84307</v>
      </c>
      <c r="B36049" s="74" t="s">
        <v>6784</v>
      </c>
      <c r="C36049" s="74" t="s">
        <v>454</v>
      </c>
    </row>
    <row r="36050" spans="1:3">
      <c r="A36050" s="250">
        <v>84308</v>
      </c>
      <c r="B36050" s="74" t="s">
        <v>1272</v>
      </c>
      <c r="C36050" s="74" t="s">
        <v>454</v>
      </c>
    </row>
    <row r="36051" spans="1:3">
      <c r="A36051" s="250">
        <v>84309</v>
      </c>
      <c r="B36051" s="74" t="s">
        <v>16205</v>
      </c>
      <c r="C36051" s="74" t="s">
        <v>454</v>
      </c>
    </row>
    <row r="36052" spans="1:3">
      <c r="A36052" s="250">
        <v>84310</v>
      </c>
      <c r="B36052" s="74" t="s">
        <v>1844</v>
      </c>
      <c r="C36052" s="74" t="s">
        <v>454</v>
      </c>
    </row>
    <row r="36053" spans="1:3">
      <c r="A36053" s="250">
        <v>84311</v>
      </c>
      <c r="B36053" s="74" t="s">
        <v>17098</v>
      </c>
      <c r="C36053" s="74" t="s">
        <v>454</v>
      </c>
    </row>
    <row r="36054" spans="1:3">
      <c r="A36054" s="250">
        <v>84312</v>
      </c>
      <c r="B36054" s="74" t="s">
        <v>1695</v>
      </c>
      <c r="C36054" s="74" t="s">
        <v>454</v>
      </c>
    </row>
    <row r="36055" spans="1:3">
      <c r="A36055" s="250">
        <v>84313</v>
      </c>
      <c r="B36055" s="74" t="s">
        <v>17099</v>
      </c>
      <c r="C36055" s="74" t="s">
        <v>454</v>
      </c>
    </row>
    <row r="36056" spans="1:3">
      <c r="A36056" s="250">
        <v>84314</v>
      </c>
      <c r="B36056" s="74" t="s">
        <v>17100</v>
      </c>
      <c r="C36056" s="74" t="s">
        <v>454</v>
      </c>
    </row>
    <row r="36057" spans="1:3">
      <c r="A36057" s="250">
        <v>84315</v>
      </c>
      <c r="B36057" s="74" t="s">
        <v>14733</v>
      </c>
      <c r="C36057" s="74" t="s">
        <v>454</v>
      </c>
    </row>
    <row r="36058" spans="1:3">
      <c r="A36058" s="250">
        <v>84316</v>
      </c>
      <c r="B36058" s="74" t="s">
        <v>2270</v>
      </c>
      <c r="C36058" s="74" t="s">
        <v>454</v>
      </c>
    </row>
    <row r="36059" spans="1:3">
      <c r="A36059" s="250">
        <v>84317</v>
      </c>
      <c r="B36059" s="74" t="s">
        <v>8758</v>
      </c>
      <c r="C36059" s="74" t="s">
        <v>454</v>
      </c>
    </row>
    <row r="36060" spans="1:3">
      <c r="A36060" s="250">
        <v>84318</v>
      </c>
      <c r="B36060" s="74" t="s">
        <v>912</v>
      </c>
      <c r="C36060" s="74" t="s">
        <v>454</v>
      </c>
    </row>
    <row r="36061" spans="1:3">
      <c r="A36061" s="250">
        <v>84319</v>
      </c>
      <c r="B36061" s="74" t="s">
        <v>17101</v>
      </c>
      <c r="C36061" s="74" t="s">
        <v>454</v>
      </c>
    </row>
    <row r="36062" spans="1:3">
      <c r="A36062" s="250">
        <v>84320</v>
      </c>
      <c r="B36062" s="74" t="s">
        <v>1444</v>
      </c>
      <c r="C36062" s="74" t="s">
        <v>454</v>
      </c>
    </row>
    <row r="36063" spans="1:3">
      <c r="A36063" s="250">
        <v>84321</v>
      </c>
      <c r="B36063" s="74" t="s">
        <v>6736</v>
      </c>
      <c r="C36063" s="74" t="s">
        <v>454</v>
      </c>
    </row>
    <row r="36064" spans="1:3">
      <c r="A36064" s="250">
        <v>84322</v>
      </c>
      <c r="B36064" s="74" t="s">
        <v>6736</v>
      </c>
      <c r="C36064" s="74" t="s">
        <v>454</v>
      </c>
    </row>
    <row r="36065" spans="1:3">
      <c r="A36065" s="250">
        <v>84323</v>
      </c>
      <c r="B36065" s="74" t="s">
        <v>6736</v>
      </c>
      <c r="C36065" s="74" t="s">
        <v>454</v>
      </c>
    </row>
    <row r="36066" spans="1:3">
      <c r="A36066" s="250">
        <v>84324</v>
      </c>
      <c r="B36066" s="74" t="s">
        <v>2400</v>
      </c>
      <c r="C36066" s="74" t="s">
        <v>454</v>
      </c>
    </row>
    <row r="36067" spans="1:3">
      <c r="A36067" s="250">
        <v>84325</v>
      </c>
      <c r="B36067" s="74" t="s">
        <v>795</v>
      </c>
      <c r="C36067" s="74" t="s">
        <v>454</v>
      </c>
    </row>
    <row r="36068" spans="1:3">
      <c r="A36068" s="250">
        <v>84326</v>
      </c>
      <c r="B36068" s="74" t="s">
        <v>746</v>
      </c>
      <c r="C36068" s="74" t="s">
        <v>454</v>
      </c>
    </row>
    <row r="36069" spans="1:3">
      <c r="A36069" s="250">
        <v>84327</v>
      </c>
      <c r="B36069" s="74" t="s">
        <v>973</v>
      </c>
      <c r="C36069" s="74" t="s">
        <v>454</v>
      </c>
    </row>
    <row r="36070" spans="1:3">
      <c r="A36070" s="250">
        <v>84328</v>
      </c>
      <c r="B36070" s="74" t="s">
        <v>4877</v>
      </c>
      <c r="C36070" s="74" t="s">
        <v>454</v>
      </c>
    </row>
    <row r="36071" spans="1:3">
      <c r="A36071" s="250">
        <v>84329</v>
      </c>
      <c r="B36071" s="74" t="s">
        <v>17102</v>
      </c>
      <c r="C36071" s="74" t="s">
        <v>454</v>
      </c>
    </row>
    <row r="36072" spans="1:3">
      <c r="A36072" s="250">
        <v>84330</v>
      </c>
      <c r="B36072" s="74" t="s">
        <v>956</v>
      </c>
      <c r="C36072" s="74" t="s">
        <v>454</v>
      </c>
    </row>
    <row r="36073" spans="1:3">
      <c r="A36073" s="250">
        <v>84331</v>
      </c>
      <c r="B36073" s="74" t="s">
        <v>1646</v>
      </c>
      <c r="C36073" s="74" t="s">
        <v>454</v>
      </c>
    </row>
    <row r="36074" spans="1:3">
      <c r="A36074" s="250">
        <v>84332</v>
      </c>
      <c r="B36074" s="74" t="s">
        <v>1143</v>
      </c>
      <c r="C36074" s="74" t="s">
        <v>454</v>
      </c>
    </row>
    <row r="36075" spans="1:3">
      <c r="A36075" s="250">
        <v>84333</v>
      </c>
      <c r="B36075" s="74" t="s">
        <v>658</v>
      </c>
      <c r="C36075" s="74" t="s">
        <v>454</v>
      </c>
    </row>
    <row r="36076" spans="1:3">
      <c r="A36076" s="250">
        <v>84334</v>
      </c>
      <c r="B36076" s="74" t="s">
        <v>1147</v>
      </c>
      <c r="C36076" s="74" t="s">
        <v>454</v>
      </c>
    </row>
    <row r="36077" spans="1:3">
      <c r="A36077" s="250">
        <v>84335</v>
      </c>
      <c r="B36077" s="74" t="s">
        <v>1149</v>
      </c>
      <c r="C36077" s="74" t="s">
        <v>454</v>
      </c>
    </row>
    <row r="36078" spans="1:3">
      <c r="A36078" s="250">
        <v>84336</v>
      </c>
      <c r="B36078" s="74" t="s">
        <v>17103</v>
      </c>
      <c r="C36078" s="74" t="s">
        <v>454</v>
      </c>
    </row>
    <row r="36079" spans="1:3">
      <c r="A36079" s="250">
        <v>84337</v>
      </c>
      <c r="B36079" s="74" t="s">
        <v>17104</v>
      </c>
      <c r="C36079" s="74" t="s">
        <v>454</v>
      </c>
    </row>
    <row r="36080" spans="1:3">
      <c r="A36080" s="250">
        <v>84338</v>
      </c>
      <c r="B36080" s="74" t="s">
        <v>2532</v>
      </c>
      <c r="C36080" s="74" t="s">
        <v>454</v>
      </c>
    </row>
    <row r="36081" spans="1:3">
      <c r="A36081" s="250">
        <v>84339</v>
      </c>
      <c r="B36081" s="74" t="s">
        <v>3952</v>
      </c>
      <c r="C36081" s="74" t="s">
        <v>454</v>
      </c>
    </row>
    <row r="36082" spans="1:3">
      <c r="A36082" s="250">
        <v>84340</v>
      </c>
      <c r="B36082" s="74" t="s">
        <v>3838</v>
      </c>
      <c r="C36082" s="74" t="s">
        <v>454</v>
      </c>
    </row>
    <row r="36083" spans="1:3">
      <c r="A36083" s="250">
        <v>84341</v>
      </c>
      <c r="B36083" s="74" t="s">
        <v>6736</v>
      </c>
      <c r="C36083" s="74" t="s">
        <v>454</v>
      </c>
    </row>
    <row r="36084" spans="1:3">
      <c r="A36084" s="250">
        <v>84401</v>
      </c>
      <c r="B36084" s="74" t="s">
        <v>11533</v>
      </c>
      <c r="C36084" s="74" t="s">
        <v>454</v>
      </c>
    </row>
    <row r="36085" spans="1:3">
      <c r="A36085" s="250">
        <v>84402</v>
      </c>
      <c r="B36085" s="74" t="s">
        <v>11533</v>
      </c>
      <c r="C36085" s="74" t="s">
        <v>454</v>
      </c>
    </row>
    <row r="36086" spans="1:3">
      <c r="A36086" s="250">
        <v>84403</v>
      </c>
      <c r="B36086" s="74" t="s">
        <v>11533</v>
      </c>
      <c r="C36086" s="74" t="s">
        <v>454</v>
      </c>
    </row>
    <row r="36087" spans="1:3">
      <c r="A36087" s="250">
        <v>84404</v>
      </c>
      <c r="B36087" s="74" t="s">
        <v>11533</v>
      </c>
      <c r="C36087" s="74" t="s">
        <v>454</v>
      </c>
    </row>
    <row r="36088" spans="1:3">
      <c r="A36088" s="250">
        <v>84405</v>
      </c>
      <c r="B36088" s="74" t="s">
        <v>11533</v>
      </c>
      <c r="C36088" s="74" t="s">
        <v>454</v>
      </c>
    </row>
    <row r="36089" spans="1:3">
      <c r="A36089" s="250">
        <v>84407</v>
      </c>
      <c r="B36089" s="74" t="s">
        <v>11533</v>
      </c>
      <c r="C36089" s="74" t="s">
        <v>454</v>
      </c>
    </row>
    <row r="36090" spans="1:3">
      <c r="A36090" s="250">
        <v>84408</v>
      </c>
      <c r="B36090" s="74" t="s">
        <v>11533</v>
      </c>
      <c r="C36090" s="74" t="s">
        <v>454</v>
      </c>
    </row>
    <row r="36091" spans="1:3">
      <c r="A36091" s="250">
        <v>84409</v>
      </c>
      <c r="B36091" s="74" t="s">
        <v>11533</v>
      </c>
      <c r="C36091" s="74" t="s">
        <v>454</v>
      </c>
    </row>
    <row r="36092" spans="1:3">
      <c r="A36092" s="250">
        <v>84412</v>
      </c>
      <c r="B36092" s="74" t="s">
        <v>11533</v>
      </c>
      <c r="C36092" s="74" t="s">
        <v>454</v>
      </c>
    </row>
    <row r="36093" spans="1:3">
      <c r="A36093" s="250">
        <v>84414</v>
      </c>
      <c r="B36093" s="74" t="s">
        <v>11533</v>
      </c>
      <c r="C36093" s="74" t="s">
        <v>454</v>
      </c>
    </row>
    <row r="36094" spans="1:3">
      <c r="A36094" s="250">
        <v>84415</v>
      </c>
      <c r="B36094" s="74" t="s">
        <v>11533</v>
      </c>
      <c r="C36094" s="74" t="s">
        <v>454</v>
      </c>
    </row>
    <row r="36095" spans="1:3">
      <c r="A36095" s="250">
        <v>84501</v>
      </c>
      <c r="B36095" s="74" t="s">
        <v>5765</v>
      </c>
      <c r="C36095" s="74" t="s">
        <v>454</v>
      </c>
    </row>
    <row r="36096" spans="1:3">
      <c r="A36096" s="250">
        <v>84510</v>
      </c>
      <c r="B36096" s="74" t="s">
        <v>17105</v>
      </c>
      <c r="C36096" s="74" t="s">
        <v>454</v>
      </c>
    </row>
    <row r="36097" spans="1:3">
      <c r="A36097" s="250">
        <v>84511</v>
      </c>
      <c r="B36097" s="74" t="s">
        <v>17106</v>
      </c>
      <c r="C36097" s="74" t="s">
        <v>454</v>
      </c>
    </row>
    <row r="36098" spans="1:3">
      <c r="A36098" s="250">
        <v>84512</v>
      </c>
      <c r="B36098" s="74" t="s">
        <v>17107</v>
      </c>
      <c r="C36098" s="74" t="s">
        <v>454</v>
      </c>
    </row>
    <row r="36099" spans="1:3">
      <c r="A36099" s="250">
        <v>84513</v>
      </c>
      <c r="B36099" s="74" t="s">
        <v>17108</v>
      </c>
      <c r="C36099" s="74" t="s">
        <v>454</v>
      </c>
    </row>
    <row r="36100" spans="1:3">
      <c r="A36100" s="250">
        <v>84515</v>
      </c>
      <c r="B36100" s="74" t="s">
        <v>8027</v>
      </c>
      <c r="C36100" s="74" t="s">
        <v>454</v>
      </c>
    </row>
    <row r="36101" spans="1:3">
      <c r="A36101" s="250">
        <v>84516</v>
      </c>
      <c r="B36101" s="74" t="s">
        <v>10987</v>
      </c>
      <c r="C36101" s="74" t="s">
        <v>454</v>
      </c>
    </row>
    <row r="36102" spans="1:3">
      <c r="A36102" s="250">
        <v>84518</v>
      </c>
      <c r="B36102" s="74" t="s">
        <v>3350</v>
      </c>
      <c r="C36102" s="74" t="s">
        <v>454</v>
      </c>
    </row>
    <row r="36103" spans="1:3">
      <c r="A36103" s="250">
        <v>84520</v>
      </c>
      <c r="B36103" s="74" t="s">
        <v>17109</v>
      </c>
      <c r="C36103" s="74" t="s">
        <v>454</v>
      </c>
    </row>
    <row r="36104" spans="1:3">
      <c r="A36104" s="250">
        <v>84521</v>
      </c>
      <c r="B36104" s="74" t="s">
        <v>13419</v>
      </c>
      <c r="C36104" s="74" t="s">
        <v>454</v>
      </c>
    </row>
    <row r="36105" spans="1:3">
      <c r="A36105" s="250">
        <v>84522</v>
      </c>
      <c r="B36105" s="74" t="s">
        <v>12869</v>
      </c>
      <c r="C36105" s="74" t="s">
        <v>454</v>
      </c>
    </row>
    <row r="36106" spans="1:3">
      <c r="A36106" s="250">
        <v>84523</v>
      </c>
      <c r="B36106" s="74" t="s">
        <v>17110</v>
      </c>
      <c r="C36106" s="74" t="s">
        <v>454</v>
      </c>
    </row>
    <row r="36107" spans="1:3">
      <c r="A36107" s="250">
        <v>84525</v>
      </c>
      <c r="B36107" s="74" t="s">
        <v>16903</v>
      </c>
      <c r="C36107" s="74" t="s">
        <v>454</v>
      </c>
    </row>
    <row r="36108" spans="1:3">
      <c r="A36108" s="250">
        <v>84526</v>
      </c>
      <c r="B36108" s="74" t="s">
        <v>17111</v>
      </c>
      <c r="C36108" s="74" t="s">
        <v>454</v>
      </c>
    </row>
    <row r="36109" spans="1:3">
      <c r="A36109" s="250">
        <v>84528</v>
      </c>
      <c r="B36109" s="74" t="s">
        <v>601</v>
      </c>
      <c r="C36109" s="74" t="s">
        <v>454</v>
      </c>
    </row>
    <row r="36110" spans="1:3">
      <c r="A36110" s="250">
        <v>84529</v>
      </c>
      <c r="B36110" s="74" t="s">
        <v>2131</v>
      </c>
      <c r="C36110" s="74" t="s">
        <v>454</v>
      </c>
    </row>
    <row r="36111" spans="1:3">
      <c r="A36111" s="250">
        <v>84530</v>
      </c>
      <c r="B36111" s="74" t="s">
        <v>17112</v>
      </c>
      <c r="C36111" s="74" t="s">
        <v>454</v>
      </c>
    </row>
    <row r="36112" spans="1:3">
      <c r="A36112" s="250">
        <v>84531</v>
      </c>
      <c r="B36112" s="74" t="s">
        <v>17113</v>
      </c>
      <c r="C36112" s="74" t="s">
        <v>454</v>
      </c>
    </row>
    <row r="36113" spans="1:3">
      <c r="A36113" s="250">
        <v>84532</v>
      </c>
      <c r="B36113" s="74" t="s">
        <v>17114</v>
      </c>
      <c r="C36113" s="74" t="s">
        <v>454</v>
      </c>
    </row>
    <row r="36114" spans="1:3">
      <c r="A36114" s="250">
        <v>84533</v>
      </c>
      <c r="B36114" s="74" t="s">
        <v>17115</v>
      </c>
      <c r="C36114" s="74" t="s">
        <v>454</v>
      </c>
    </row>
    <row r="36115" spans="1:3">
      <c r="A36115" s="250">
        <v>84534</v>
      </c>
      <c r="B36115" s="74" t="s">
        <v>17116</v>
      </c>
      <c r="C36115" s="74" t="s">
        <v>454</v>
      </c>
    </row>
    <row r="36116" spans="1:3">
      <c r="A36116" s="250">
        <v>84535</v>
      </c>
      <c r="B36116" s="74" t="s">
        <v>1639</v>
      </c>
      <c r="C36116" s="74" t="s">
        <v>454</v>
      </c>
    </row>
    <row r="36117" spans="1:3">
      <c r="A36117" s="250">
        <v>84536</v>
      </c>
      <c r="B36117" s="74" t="s">
        <v>17117</v>
      </c>
      <c r="C36117" s="74" t="s">
        <v>454</v>
      </c>
    </row>
    <row r="36118" spans="1:3">
      <c r="A36118" s="250">
        <v>84537</v>
      </c>
      <c r="B36118" s="74" t="s">
        <v>4965</v>
      </c>
      <c r="C36118" s="74" t="s">
        <v>454</v>
      </c>
    </row>
    <row r="36119" spans="1:3">
      <c r="A36119" s="250">
        <v>84539</v>
      </c>
      <c r="B36119" s="74" t="s">
        <v>2733</v>
      </c>
      <c r="C36119" s="74" t="s">
        <v>454</v>
      </c>
    </row>
    <row r="36120" spans="1:3">
      <c r="A36120" s="250">
        <v>84540</v>
      </c>
      <c r="B36120" s="74" t="s">
        <v>2006</v>
      </c>
      <c r="C36120" s="74" t="s">
        <v>454</v>
      </c>
    </row>
    <row r="36121" spans="1:3">
      <c r="A36121" s="250">
        <v>84542</v>
      </c>
      <c r="B36121" s="74" t="s">
        <v>8439</v>
      </c>
      <c r="C36121" s="74" t="s">
        <v>454</v>
      </c>
    </row>
    <row r="36122" spans="1:3">
      <c r="A36122" s="250">
        <v>84601</v>
      </c>
      <c r="B36122" s="74" t="s">
        <v>17118</v>
      </c>
      <c r="C36122" s="74" t="s">
        <v>454</v>
      </c>
    </row>
    <row r="36123" spans="1:3">
      <c r="A36123" s="250">
        <v>84602</v>
      </c>
      <c r="B36123" s="74" t="s">
        <v>17118</v>
      </c>
      <c r="C36123" s="74" t="s">
        <v>454</v>
      </c>
    </row>
    <row r="36124" spans="1:3">
      <c r="A36124" s="250">
        <v>84603</v>
      </c>
      <c r="B36124" s="74" t="s">
        <v>17118</v>
      </c>
      <c r="C36124" s="74" t="s">
        <v>454</v>
      </c>
    </row>
    <row r="36125" spans="1:3">
      <c r="A36125" s="250">
        <v>84604</v>
      </c>
      <c r="B36125" s="74" t="s">
        <v>17118</v>
      </c>
      <c r="C36125" s="74" t="s">
        <v>454</v>
      </c>
    </row>
    <row r="36126" spans="1:3">
      <c r="A36126" s="250">
        <v>84605</v>
      </c>
      <c r="B36126" s="74" t="s">
        <v>17118</v>
      </c>
      <c r="C36126" s="74" t="s">
        <v>454</v>
      </c>
    </row>
    <row r="36127" spans="1:3">
      <c r="A36127" s="250">
        <v>84606</v>
      </c>
      <c r="B36127" s="74" t="s">
        <v>17118</v>
      </c>
      <c r="C36127" s="74" t="s">
        <v>454</v>
      </c>
    </row>
    <row r="36128" spans="1:3">
      <c r="A36128" s="250">
        <v>84620</v>
      </c>
      <c r="B36128" s="74" t="s">
        <v>1489</v>
      </c>
      <c r="C36128" s="74" t="s">
        <v>454</v>
      </c>
    </row>
    <row r="36129" spans="1:3">
      <c r="A36129" s="250">
        <v>84621</v>
      </c>
      <c r="B36129" s="74" t="s">
        <v>14514</v>
      </c>
      <c r="C36129" s="74" t="s">
        <v>454</v>
      </c>
    </row>
    <row r="36130" spans="1:3">
      <c r="A36130" s="250">
        <v>84622</v>
      </c>
      <c r="B36130" s="74" t="s">
        <v>17119</v>
      </c>
      <c r="C36130" s="74" t="s">
        <v>454</v>
      </c>
    </row>
    <row r="36131" spans="1:3">
      <c r="A36131" s="250">
        <v>84623</v>
      </c>
      <c r="B36131" s="74" t="s">
        <v>583</v>
      </c>
      <c r="C36131" s="74" t="s">
        <v>454</v>
      </c>
    </row>
    <row r="36132" spans="1:3">
      <c r="A36132" s="250">
        <v>84624</v>
      </c>
      <c r="B36132" s="74" t="s">
        <v>4813</v>
      </c>
      <c r="C36132" s="74" t="s">
        <v>454</v>
      </c>
    </row>
    <row r="36133" spans="1:3">
      <c r="A36133" s="250">
        <v>84626</v>
      </c>
      <c r="B36133" s="74" t="s">
        <v>8903</v>
      </c>
      <c r="C36133" s="74" t="s">
        <v>454</v>
      </c>
    </row>
    <row r="36134" spans="1:3">
      <c r="A36134" s="250">
        <v>84627</v>
      </c>
      <c r="B36134" s="74" t="s">
        <v>12129</v>
      </c>
      <c r="C36134" s="74" t="s">
        <v>454</v>
      </c>
    </row>
    <row r="36135" spans="1:3">
      <c r="A36135" s="250">
        <v>84628</v>
      </c>
      <c r="B36135" s="74" t="s">
        <v>11160</v>
      </c>
      <c r="C36135" s="74" t="s">
        <v>454</v>
      </c>
    </row>
    <row r="36136" spans="1:3">
      <c r="A36136" s="250">
        <v>84629</v>
      </c>
      <c r="B36136" s="74" t="s">
        <v>2122</v>
      </c>
      <c r="C36136" s="74" t="s">
        <v>454</v>
      </c>
    </row>
    <row r="36137" spans="1:3">
      <c r="A36137" s="250">
        <v>84630</v>
      </c>
      <c r="B36137" s="74" t="s">
        <v>3362</v>
      </c>
      <c r="C36137" s="74" t="s">
        <v>454</v>
      </c>
    </row>
    <row r="36138" spans="1:3">
      <c r="A36138" s="250">
        <v>84631</v>
      </c>
      <c r="B36138" s="74" t="s">
        <v>3862</v>
      </c>
      <c r="C36138" s="74" t="s">
        <v>454</v>
      </c>
    </row>
    <row r="36139" spans="1:3">
      <c r="A36139" s="250">
        <v>84632</v>
      </c>
      <c r="B36139" s="74" t="s">
        <v>17120</v>
      </c>
      <c r="C36139" s="74" t="s">
        <v>454</v>
      </c>
    </row>
    <row r="36140" spans="1:3">
      <c r="A36140" s="250">
        <v>84633</v>
      </c>
      <c r="B36140" s="74" t="s">
        <v>592</v>
      </c>
      <c r="C36140" s="74" t="s">
        <v>454</v>
      </c>
    </row>
    <row r="36141" spans="1:3">
      <c r="A36141" s="250">
        <v>84634</v>
      </c>
      <c r="B36141" s="74" t="s">
        <v>9337</v>
      </c>
      <c r="C36141" s="74" t="s">
        <v>454</v>
      </c>
    </row>
    <row r="36142" spans="1:3">
      <c r="A36142" s="250">
        <v>84635</v>
      </c>
      <c r="B36142" s="74" t="s">
        <v>1698</v>
      </c>
      <c r="C36142" s="74" t="s">
        <v>454</v>
      </c>
    </row>
    <row r="36143" spans="1:3">
      <c r="A36143" s="250">
        <v>84636</v>
      </c>
      <c r="B36143" s="74" t="s">
        <v>738</v>
      </c>
      <c r="C36143" s="74" t="s">
        <v>454</v>
      </c>
    </row>
    <row r="36144" spans="1:3">
      <c r="A36144" s="250">
        <v>84637</v>
      </c>
      <c r="B36144" s="74" t="s">
        <v>17121</v>
      </c>
      <c r="C36144" s="74" t="s">
        <v>454</v>
      </c>
    </row>
    <row r="36145" spans="1:3">
      <c r="A36145" s="250">
        <v>84638</v>
      </c>
      <c r="B36145" s="74" t="s">
        <v>17122</v>
      </c>
      <c r="C36145" s="74" t="s">
        <v>454</v>
      </c>
    </row>
    <row r="36146" spans="1:3">
      <c r="A36146" s="250">
        <v>84639</v>
      </c>
      <c r="B36146" s="74" t="s">
        <v>17123</v>
      </c>
      <c r="C36146" s="74" t="s">
        <v>454</v>
      </c>
    </row>
    <row r="36147" spans="1:3">
      <c r="A36147" s="250">
        <v>84640</v>
      </c>
      <c r="B36147" s="74" t="s">
        <v>17124</v>
      </c>
      <c r="C36147" s="74" t="s">
        <v>454</v>
      </c>
    </row>
    <row r="36148" spans="1:3">
      <c r="A36148" s="250">
        <v>84642</v>
      </c>
      <c r="B36148" s="74" t="s">
        <v>17125</v>
      </c>
      <c r="C36148" s="74" t="s">
        <v>454</v>
      </c>
    </row>
    <row r="36149" spans="1:3">
      <c r="A36149" s="250">
        <v>84643</v>
      </c>
      <c r="B36149" s="74" t="s">
        <v>2975</v>
      </c>
      <c r="C36149" s="74" t="s">
        <v>454</v>
      </c>
    </row>
    <row r="36150" spans="1:3">
      <c r="A36150" s="250">
        <v>84644</v>
      </c>
      <c r="B36150" s="74" t="s">
        <v>12959</v>
      </c>
      <c r="C36150" s="74" t="s">
        <v>454</v>
      </c>
    </row>
    <row r="36151" spans="1:3">
      <c r="A36151" s="250">
        <v>84645</v>
      </c>
      <c r="B36151" s="74" t="s">
        <v>17126</v>
      </c>
      <c r="C36151" s="74" t="s">
        <v>454</v>
      </c>
    </row>
    <row r="36152" spans="1:3">
      <c r="A36152" s="250">
        <v>84646</v>
      </c>
      <c r="B36152" s="74" t="s">
        <v>17127</v>
      </c>
      <c r="C36152" s="74" t="s">
        <v>454</v>
      </c>
    </row>
    <row r="36153" spans="1:3">
      <c r="A36153" s="250">
        <v>84647</v>
      </c>
      <c r="B36153" s="74" t="s">
        <v>4226</v>
      </c>
      <c r="C36153" s="74" t="s">
        <v>454</v>
      </c>
    </row>
    <row r="36154" spans="1:3">
      <c r="A36154" s="250">
        <v>84648</v>
      </c>
      <c r="B36154" s="74" t="s">
        <v>17128</v>
      </c>
      <c r="C36154" s="74" t="s">
        <v>454</v>
      </c>
    </row>
    <row r="36155" spans="1:3">
      <c r="A36155" s="250">
        <v>84649</v>
      </c>
      <c r="B36155" s="74" t="s">
        <v>7207</v>
      </c>
      <c r="C36155" s="74" t="s">
        <v>454</v>
      </c>
    </row>
    <row r="36156" spans="1:3">
      <c r="A36156" s="250">
        <v>84651</v>
      </c>
      <c r="B36156" s="74" t="s">
        <v>13891</v>
      </c>
      <c r="C36156" s="74" t="s">
        <v>454</v>
      </c>
    </row>
    <row r="36157" spans="1:3">
      <c r="A36157" s="250">
        <v>84652</v>
      </c>
      <c r="B36157" s="74" t="s">
        <v>17129</v>
      </c>
      <c r="C36157" s="74" t="s">
        <v>454</v>
      </c>
    </row>
    <row r="36158" spans="1:3">
      <c r="A36158" s="250">
        <v>84653</v>
      </c>
      <c r="B36158" s="74" t="s">
        <v>858</v>
      </c>
      <c r="C36158" s="74" t="s">
        <v>454</v>
      </c>
    </row>
    <row r="36159" spans="1:3">
      <c r="A36159" s="250">
        <v>84654</v>
      </c>
      <c r="B36159" s="74" t="s">
        <v>4238</v>
      </c>
      <c r="C36159" s="74" t="s">
        <v>454</v>
      </c>
    </row>
    <row r="36160" spans="1:3">
      <c r="A36160" s="250">
        <v>84655</v>
      </c>
      <c r="B36160" s="74" t="s">
        <v>17130</v>
      </c>
      <c r="C36160" s="74" t="s">
        <v>454</v>
      </c>
    </row>
    <row r="36161" spans="1:3">
      <c r="A36161" s="250">
        <v>84656</v>
      </c>
      <c r="B36161" s="74" t="s">
        <v>10834</v>
      </c>
      <c r="C36161" s="74" t="s">
        <v>454</v>
      </c>
    </row>
    <row r="36162" spans="1:3">
      <c r="A36162" s="250">
        <v>84657</v>
      </c>
      <c r="B36162" s="74" t="s">
        <v>17131</v>
      </c>
      <c r="C36162" s="74" t="s">
        <v>454</v>
      </c>
    </row>
    <row r="36163" spans="1:3">
      <c r="A36163" s="250">
        <v>84660</v>
      </c>
      <c r="B36163" s="74" t="s">
        <v>17132</v>
      </c>
      <c r="C36163" s="74" t="s">
        <v>454</v>
      </c>
    </row>
    <row r="36164" spans="1:3">
      <c r="A36164" s="250">
        <v>84662</v>
      </c>
      <c r="B36164" s="74" t="s">
        <v>5439</v>
      </c>
      <c r="C36164" s="74" t="s">
        <v>454</v>
      </c>
    </row>
    <row r="36165" spans="1:3">
      <c r="A36165" s="250">
        <v>84663</v>
      </c>
      <c r="B36165" s="74" t="s">
        <v>3739</v>
      </c>
      <c r="C36165" s="74" t="s">
        <v>454</v>
      </c>
    </row>
    <row r="36166" spans="1:3">
      <c r="A36166" s="250">
        <v>84664</v>
      </c>
      <c r="B36166" s="74" t="s">
        <v>1637</v>
      </c>
      <c r="C36166" s="74" t="s">
        <v>454</v>
      </c>
    </row>
    <row r="36167" spans="1:3">
      <c r="A36167" s="250">
        <v>84665</v>
      </c>
      <c r="B36167" s="74" t="s">
        <v>763</v>
      </c>
      <c r="C36167" s="74" t="s">
        <v>454</v>
      </c>
    </row>
    <row r="36168" spans="1:3">
      <c r="A36168" s="250">
        <v>84667</v>
      </c>
      <c r="B36168" s="74" t="s">
        <v>620</v>
      </c>
      <c r="C36168" s="74" t="s">
        <v>454</v>
      </c>
    </row>
    <row r="36169" spans="1:3">
      <c r="A36169" s="250">
        <v>84701</v>
      </c>
      <c r="B36169" s="74" t="s">
        <v>4750</v>
      </c>
      <c r="C36169" s="74" t="s">
        <v>454</v>
      </c>
    </row>
    <row r="36170" spans="1:3">
      <c r="A36170" s="250">
        <v>84710</v>
      </c>
      <c r="B36170" s="74" t="s">
        <v>1293</v>
      </c>
      <c r="C36170" s="74" t="s">
        <v>454</v>
      </c>
    </row>
    <row r="36171" spans="1:3">
      <c r="A36171" s="250">
        <v>84711</v>
      </c>
      <c r="B36171" s="74" t="s">
        <v>17133</v>
      </c>
      <c r="C36171" s="74" t="s">
        <v>454</v>
      </c>
    </row>
    <row r="36172" spans="1:3">
      <c r="A36172" s="250">
        <v>84712</v>
      </c>
      <c r="B36172" s="74" t="s">
        <v>17134</v>
      </c>
      <c r="C36172" s="74" t="s">
        <v>454</v>
      </c>
    </row>
    <row r="36173" spans="1:3">
      <c r="A36173" s="250">
        <v>84713</v>
      </c>
      <c r="B36173" s="74" t="s">
        <v>3962</v>
      </c>
      <c r="C36173" s="74" t="s">
        <v>454</v>
      </c>
    </row>
    <row r="36174" spans="1:3">
      <c r="A36174" s="250">
        <v>84714</v>
      </c>
      <c r="B36174" s="74" t="s">
        <v>17135</v>
      </c>
      <c r="C36174" s="74" t="s">
        <v>454</v>
      </c>
    </row>
    <row r="36175" spans="1:3">
      <c r="A36175" s="250">
        <v>84715</v>
      </c>
      <c r="B36175" s="74" t="s">
        <v>10873</v>
      </c>
      <c r="C36175" s="74" t="s">
        <v>454</v>
      </c>
    </row>
    <row r="36176" spans="1:3">
      <c r="A36176" s="250">
        <v>84716</v>
      </c>
      <c r="B36176" s="74" t="s">
        <v>13357</v>
      </c>
      <c r="C36176" s="74" t="s">
        <v>454</v>
      </c>
    </row>
    <row r="36177" spans="1:3">
      <c r="A36177" s="250">
        <v>84717</v>
      </c>
      <c r="B36177" s="74" t="s">
        <v>17136</v>
      </c>
      <c r="C36177" s="74" t="s">
        <v>454</v>
      </c>
    </row>
    <row r="36178" spans="1:3">
      <c r="A36178" s="250">
        <v>84718</v>
      </c>
      <c r="B36178" s="74" t="s">
        <v>17137</v>
      </c>
      <c r="C36178" s="74" t="s">
        <v>454</v>
      </c>
    </row>
    <row r="36179" spans="1:3">
      <c r="A36179" s="250">
        <v>84719</v>
      </c>
      <c r="B36179" s="74" t="s">
        <v>17138</v>
      </c>
      <c r="C36179" s="74" t="s">
        <v>454</v>
      </c>
    </row>
    <row r="36180" spans="1:3">
      <c r="A36180" s="250">
        <v>84720</v>
      </c>
      <c r="B36180" s="74" t="s">
        <v>17139</v>
      </c>
      <c r="C36180" s="74" t="s">
        <v>454</v>
      </c>
    </row>
    <row r="36181" spans="1:3">
      <c r="A36181" s="250">
        <v>84721</v>
      </c>
      <c r="B36181" s="74" t="s">
        <v>17139</v>
      </c>
      <c r="C36181" s="74" t="s">
        <v>454</v>
      </c>
    </row>
    <row r="36182" spans="1:3">
      <c r="A36182" s="250">
        <v>84722</v>
      </c>
      <c r="B36182" s="74" t="s">
        <v>7767</v>
      </c>
      <c r="C36182" s="74" t="s">
        <v>454</v>
      </c>
    </row>
    <row r="36183" spans="1:3">
      <c r="A36183" s="250">
        <v>84723</v>
      </c>
      <c r="B36183" s="74" t="s">
        <v>2681</v>
      </c>
      <c r="C36183" s="74" t="s">
        <v>454</v>
      </c>
    </row>
    <row r="36184" spans="1:3">
      <c r="A36184" s="250">
        <v>84724</v>
      </c>
      <c r="B36184" s="74" t="s">
        <v>17140</v>
      </c>
      <c r="C36184" s="74" t="s">
        <v>454</v>
      </c>
    </row>
    <row r="36185" spans="1:3">
      <c r="A36185" s="250">
        <v>84725</v>
      </c>
      <c r="B36185" s="74" t="s">
        <v>6981</v>
      </c>
      <c r="C36185" s="74" t="s">
        <v>454</v>
      </c>
    </row>
    <row r="36186" spans="1:3">
      <c r="A36186" s="250">
        <v>84726</v>
      </c>
      <c r="B36186" s="74" t="s">
        <v>17141</v>
      </c>
      <c r="C36186" s="74" t="s">
        <v>454</v>
      </c>
    </row>
    <row r="36187" spans="1:3">
      <c r="A36187" s="250">
        <v>84728</v>
      </c>
      <c r="B36187" s="74" t="s">
        <v>2630</v>
      </c>
      <c r="C36187" s="74" t="s">
        <v>454</v>
      </c>
    </row>
    <row r="36188" spans="1:3">
      <c r="A36188" s="250">
        <v>84729</v>
      </c>
      <c r="B36188" s="74" t="s">
        <v>644</v>
      </c>
      <c r="C36188" s="74" t="s">
        <v>454</v>
      </c>
    </row>
    <row r="36189" spans="1:3">
      <c r="A36189" s="250">
        <v>84730</v>
      </c>
      <c r="B36189" s="74" t="s">
        <v>2187</v>
      </c>
      <c r="C36189" s="74" t="s">
        <v>454</v>
      </c>
    </row>
    <row r="36190" spans="1:3">
      <c r="A36190" s="250">
        <v>84731</v>
      </c>
      <c r="B36190" s="74" t="s">
        <v>1108</v>
      </c>
      <c r="C36190" s="74" t="s">
        <v>454</v>
      </c>
    </row>
    <row r="36191" spans="1:3">
      <c r="A36191" s="250">
        <v>84732</v>
      </c>
      <c r="B36191" s="74" t="s">
        <v>2101</v>
      </c>
      <c r="C36191" s="74" t="s">
        <v>454</v>
      </c>
    </row>
    <row r="36192" spans="1:3">
      <c r="A36192" s="250">
        <v>84733</v>
      </c>
      <c r="B36192" s="74" t="s">
        <v>9850</v>
      </c>
      <c r="C36192" s="74" t="s">
        <v>454</v>
      </c>
    </row>
    <row r="36193" spans="1:3">
      <c r="A36193" s="250">
        <v>84734</v>
      </c>
      <c r="B36193" s="74" t="s">
        <v>17142</v>
      </c>
      <c r="C36193" s="74" t="s">
        <v>454</v>
      </c>
    </row>
    <row r="36194" spans="1:3">
      <c r="A36194" s="250">
        <v>84735</v>
      </c>
      <c r="B36194" s="74" t="s">
        <v>17143</v>
      </c>
      <c r="C36194" s="74" t="s">
        <v>454</v>
      </c>
    </row>
    <row r="36195" spans="1:3">
      <c r="A36195" s="250">
        <v>84736</v>
      </c>
      <c r="B36195" s="74" t="s">
        <v>17144</v>
      </c>
      <c r="C36195" s="74" t="s">
        <v>454</v>
      </c>
    </row>
    <row r="36196" spans="1:3">
      <c r="A36196" s="250">
        <v>84737</v>
      </c>
      <c r="B36196" s="74" t="s">
        <v>6716</v>
      </c>
      <c r="C36196" s="74" t="s">
        <v>454</v>
      </c>
    </row>
    <row r="36197" spans="1:3">
      <c r="A36197" s="250">
        <v>84738</v>
      </c>
      <c r="B36197" s="74" t="s">
        <v>17145</v>
      </c>
      <c r="C36197" s="74" t="s">
        <v>454</v>
      </c>
    </row>
    <row r="36198" spans="1:3">
      <c r="A36198" s="250">
        <v>84739</v>
      </c>
      <c r="B36198" s="74" t="s">
        <v>17146</v>
      </c>
      <c r="C36198" s="74" t="s">
        <v>454</v>
      </c>
    </row>
    <row r="36199" spans="1:3">
      <c r="A36199" s="250">
        <v>84740</v>
      </c>
      <c r="B36199" s="74" t="s">
        <v>14045</v>
      </c>
      <c r="C36199" s="74" t="s">
        <v>454</v>
      </c>
    </row>
    <row r="36200" spans="1:3">
      <c r="A36200" s="250">
        <v>84741</v>
      </c>
      <c r="B36200" s="74" t="s">
        <v>17147</v>
      </c>
      <c r="C36200" s="74" t="s">
        <v>454</v>
      </c>
    </row>
    <row r="36201" spans="1:3">
      <c r="A36201" s="250">
        <v>84742</v>
      </c>
      <c r="B36201" s="74" t="s">
        <v>17148</v>
      </c>
      <c r="C36201" s="74" t="s">
        <v>454</v>
      </c>
    </row>
    <row r="36202" spans="1:3">
      <c r="A36202" s="250">
        <v>84743</v>
      </c>
      <c r="B36202" s="74" t="s">
        <v>957</v>
      </c>
      <c r="C36202" s="74" t="s">
        <v>454</v>
      </c>
    </row>
    <row r="36203" spans="1:3">
      <c r="A36203" s="250">
        <v>84744</v>
      </c>
      <c r="B36203" s="74" t="s">
        <v>17149</v>
      </c>
      <c r="C36203" s="74" t="s">
        <v>454</v>
      </c>
    </row>
    <row r="36204" spans="1:3">
      <c r="A36204" s="250">
        <v>84745</v>
      </c>
      <c r="B36204" s="74" t="s">
        <v>17150</v>
      </c>
      <c r="C36204" s="74" t="s">
        <v>454</v>
      </c>
    </row>
    <row r="36205" spans="1:3">
      <c r="A36205" s="250">
        <v>84746</v>
      </c>
      <c r="B36205" s="74" t="s">
        <v>602</v>
      </c>
      <c r="C36205" s="74" t="s">
        <v>454</v>
      </c>
    </row>
    <row r="36206" spans="1:3">
      <c r="A36206" s="250">
        <v>84747</v>
      </c>
      <c r="B36206" s="74" t="s">
        <v>17151</v>
      </c>
      <c r="C36206" s="74" t="s">
        <v>454</v>
      </c>
    </row>
    <row r="36207" spans="1:3">
      <c r="A36207" s="250">
        <v>84749</v>
      </c>
      <c r="B36207" s="74" t="s">
        <v>7680</v>
      </c>
      <c r="C36207" s="74" t="s">
        <v>454</v>
      </c>
    </row>
    <row r="36208" spans="1:3">
      <c r="A36208" s="250">
        <v>84750</v>
      </c>
      <c r="B36208" s="74" t="s">
        <v>17152</v>
      </c>
      <c r="C36208" s="74" t="s">
        <v>454</v>
      </c>
    </row>
    <row r="36209" spans="1:3">
      <c r="A36209" s="250">
        <v>84751</v>
      </c>
      <c r="B36209" s="74" t="s">
        <v>796</v>
      </c>
      <c r="C36209" s="74" t="s">
        <v>454</v>
      </c>
    </row>
    <row r="36210" spans="1:3">
      <c r="A36210" s="250">
        <v>84752</v>
      </c>
      <c r="B36210" s="74" t="s">
        <v>5007</v>
      </c>
      <c r="C36210" s="74" t="s">
        <v>454</v>
      </c>
    </row>
    <row r="36211" spans="1:3">
      <c r="A36211" s="250">
        <v>84753</v>
      </c>
      <c r="B36211" s="74" t="s">
        <v>3130</v>
      </c>
      <c r="C36211" s="74" t="s">
        <v>454</v>
      </c>
    </row>
    <row r="36212" spans="1:3">
      <c r="A36212" s="250">
        <v>84754</v>
      </c>
      <c r="B36212" s="74" t="s">
        <v>1284</v>
      </c>
      <c r="C36212" s="74" t="s">
        <v>454</v>
      </c>
    </row>
    <row r="36213" spans="1:3">
      <c r="A36213" s="250">
        <v>84755</v>
      </c>
      <c r="B36213" s="74" t="s">
        <v>4960</v>
      </c>
      <c r="C36213" s="74" t="s">
        <v>454</v>
      </c>
    </row>
    <row r="36214" spans="1:3">
      <c r="A36214" s="250">
        <v>84756</v>
      </c>
      <c r="B36214" s="74" t="s">
        <v>1546</v>
      </c>
      <c r="C36214" s="74" t="s">
        <v>454</v>
      </c>
    </row>
    <row r="36215" spans="1:3">
      <c r="A36215" s="250">
        <v>84757</v>
      </c>
      <c r="B36215" s="74" t="s">
        <v>10915</v>
      </c>
      <c r="C36215" s="74" t="s">
        <v>454</v>
      </c>
    </row>
    <row r="36216" spans="1:3">
      <c r="A36216" s="250">
        <v>84758</v>
      </c>
      <c r="B36216" s="74" t="s">
        <v>17153</v>
      </c>
      <c r="C36216" s="74" t="s">
        <v>454</v>
      </c>
    </row>
    <row r="36217" spans="1:3">
      <c r="A36217" s="250">
        <v>84759</v>
      </c>
      <c r="B36217" s="74" t="s">
        <v>17154</v>
      </c>
      <c r="C36217" s="74" t="s">
        <v>454</v>
      </c>
    </row>
    <row r="36218" spans="1:3">
      <c r="A36218" s="250">
        <v>84760</v>
      </c>
      <c r="B36218" s="74" t="s">
        <v>17155</v>
      </c>
      <c r="C36218" s="74" t="s">
        <v>454</v>
      </c>
    </row>
    <row r="36219" spans="1:3">
      <c r="A36219" s="250">
        <v>84761</v>
      </c>
      <c r="B36219" s="74" t="s">
        <v>17156</v>
      </c>
      <c r="C36219" s="74" t="s">
        <v>454</v>
      </c>
    </row>
    <row r="36220" spans="1:3">
      <c r="A36220" s="250">
        <v>84762</v>
      </c>
      <c r="B36220" s="74" t="s">
        <v>17157</v>
      </c>
      <c r="C36220" s="74" t="s">
        <v>454</v>
      </c>
    </row>
    <row r="36221" spans="1:3">
      <c r="A36221" s="250">
        <v>84763</v>
      </c>
      <c r="B36221" s="74" t="s">
        <v>1128</v>
      </c>
      <c r="C36221" s="74" t="s">
        <v>454</v>
      </c>
    </row>
    <row r="36222" spans="1:3">
      <c r="A36222" s="250">
        <v>84764</v>
      </c>
      <c r="B36222" s="74" t="s">
        <v>17158</v>
      </c>
      <c r="C36222" s="74" t="s">
        <v>454</v>
      </c>
    </row>
    <row r="36223" spans="1:3">
      <c r="A36223" s="250">
        <v>84765</v>
      </c>
      <c r="B36223" s="74" t="s">
        <v>17159</v>
      </c>
      <c r="C36223" s="74" t="s">
        <v>454</v>
      </c>
    </row>
    <row r="36224" spans="1:3">
      <c r="A36224" s="250">
        <v>84766</v>
      </c>
      <c r="B36224" s="74" t="s">
        <v>17160</v>
      </c>
      <c r="C36224" s="74" t="s">
        <v>454</v>
      </c>
    </row>
    <row r="36225" spans="1:3">
      <c r="A36225" s="250">
        <v>84767</v>
      </c>
      <c r="B36225" s="74" t="s">
        <v>4036</v>
      </c>
      <c r="C36225" s="74" t="s">
        <v>454</v>
      </c>
    </row>
    <row r="36226" spans="1:3">
      <c r="A36226" s="250">
        <v>84770</v>
      </c>
      <c r="B36226" s="74" t="s">
        <v>7719</v>
      </c>
      <c r="C36226" s="74" t="s">
        <v>454</v>
      </c>
    </row>
    <row r="36227" spans="1:3">
      <c r="A36227" s="250">
        <v>84771</v>
      </c>
      <c r="B36227" s="74" t="s">
        <v>7719</v>
      </c>
      <c r="C36227" s="74" t="s">
        <v>454</v>
      </c>
    </row>
    <row r="36228" spans="1:3">
      <c r="A36228" s="250">
        <v>84772</v>
      </c>
      <c r="B36228" s="74" t="s">
        <v>2335</v>
      </c>
      <c r="C36228" s="74" t="s">
        <v>454</v>
      </c>
    </row>
    <row r="36229" spans="1:3">
      <c r="A36229" s="250">
        <v>84773</v>
      </c>
      <c r="B36229" s="74" t="s">
        <v>17161</v>
      </c>
      <c r="C36229" s="74" t="s">
        <v>454</v>
      </c>
    </row>
    <row r="36230" spans="1:3">
      <c r="A36230" s="250">
        <v>84774</v>
      </c>
      <c r="B36230" s="74" t="s">
        <v>17162</v>
      </c>
      <c r="C36230" s="74" t="s">
        <v>454</v>
      </c>
    </row>
    <row r="36231" spans="1:3">
      <c r="A36231" s="250">
        <v>84775</v>
      </c>
      <c r="B36231" s="74" t="s">
        <v>17163</v>
      </c>
      <c r="C36231" s="74" t="s">
        <v>454</v>
      </c>
    </row>
    <row r="36232" spans="1:3">
      <c r="A36232" s="250">
        <v>84776</v>
      </c>
      <c r="B36232" s="74" t="s">
        <v>17164</v>
      </c>
      <c r="C36232" s="74" t="s">
        <v>454</v>
      </c>
    </row>
    <row r="36233" spans="1:3">
      <c r="A36233" s="250">
        <v>84779</v>
      </c>
      <c r="B36233" s="74" t="s">
        <v>17165</v>
      </c>
      <c r="C36233" s="74" t="s">
        <v>454</v>
      </c>
    </row>
    <row r="36234" spans="1:3">
      <c r="A36234" s="250">
        <v>84780</v>
      </c>
      <c r="B36234" s="74" t="s">
        <v>1215</v>
      </c>
      <c r="C36234" s="74" t="s">
        <v>454</v>
      </c>
    </row>
    <row r="36235" spans="1:3">
      <c r="A36235" s="250">
        <v>84781</v>
      </c>
      <c r="B36235" s="74" t="s">
        <v>3934</v>
      </c>
      <c r="C36235" s="74" t="s">
        <v>454</v>
      </c>
    </row>
    <row r="36236" spans="1:3">
      <c r="A36236" s="250">
        <v>84782</v>
      </c>
      <c r="B36236" s="74" t="s">
        <v>17166</v>
      </c>
      <c r="C36236" s="74" t="s">
        <v>454</v>
      </c>
    </row>
    <row r="36237" spans="1:3">
      <c r="A36237" s="250">
        <v>84783</v>
      </c>
      <c r="B36237" s="74" t="s">
        <v>17167</v>
      </c>
      <c r="C36237" s="74" t="s">
        <v>454</v>
      </c>
    </row>
    <row r="36238" spans="1:3">
      <c r="A36238" s="250">
        <v>84784</v>
      </c>
      <c r="B36238" s="74" t="s">
        <v>17168</v>
      </c>
      <c r="C36238" s="74" t="s">
        <v>454</v>
      </c>
    </row>
    <row r="36239" spans="1:3">
      <c r="A36239" s="250">
        <v>84790</v>
      </c>
      <c r="B36239" s="74" t="s">
        <v>7719</v>
      </c>
      <c r="C36239" s="74" t="s">
        <v>454</v>
      </c>
    </row>
    <row r="36240" spans="1:3">
      <c r="A36240" s="250">
        <v>84791</v>
      </c>
      <c r="B36240" s="74" t="s">
        <v>7719</v>
      </c>
      <c r="C36240" s="74" t="s">
        <v>454</v>
      </c>
    </row>
    <row r="36241" spans="1:3">
      <c r="A36241" s="250">
        <v>85001</v>
      </c>
      <c r="B36241" s="74" t="s">
        <v>3402</v>
      </c>
      <c r="C36241" s="74" t="s">
        <v>414</v>
      </c>
    </row>
    <row r="36242" spans="1:3">
      <c r="A36242" s="250">
        <v>85002</v>
      </c>
      <c r="B36242" s="74" t="s">
        <v>3402</v>
      </c>
      <c r="C36242" s="74" t="s">
        <v>414</v>
      </c>
    </row>
    <row r="36243" spans="1:3">
      <c r="A36243" s="250">
        <v>85003</v>
      </c>
      <c r="B36243" s="74" t="s">
        <v>3402</v>
      </c>
      <c r="C36243" s="74" t="s">
        <v>414</v>
      </c>
    </row>
    <row r="36244" spans="1:3">
      <c r="A36244" s="250">
        <v>85004</v>
      </c>
      <c r="B36244" s="74" t="s">
        <v>3402</v>
      </c>
      <c r="C36244" s="74" t="s">
        <v>414</v>
      </c>
    </row>
    <row r="36245" spans="1:3">
      <c r="A36245" s="250">
        <v>85005</v>
      </c>
      <c r="B36245" s="74" t="s">
        <v>3402</v>
      </c>
      <c r="C36245" s="74" t="s">
        <v>414</v>
      </c>
    </row>
    <row r="36246" spans="1:3">
      <c r="A36246" s="250">
        <v>85006</v>
      </c>
      <c r="B36246" s="74" t="s">
        <v>3402</v>
      </c>
      <c r="C36246" s="74" t="s">
        <v>414</v>
      </c>
    </row>
    <row r="36247" spans="1:3">
      <c r="A36247" s="250">
        <v>85007</v>
      </c>
      <c r="B36247" s="74" t="s">
        <v>3402</v>
      </c>
      <c r="C36247" s="74" t="s">
        <v>414</v>
      </c>
    </row>
    <row r="36248" spans="1:3">
      <c r="A36248" s="250">
        <v>85008</v>
      </c>
      <c r="B36248" s="74" t="s">
        <v>3402</v>
      </c>
      <c r="C36248" s="74" t="s">
        <v>414</v>
      </c>
    </row>
    <row r="36249" spans="1:3">
      <c r="A36249" s="250">
        <v>85009</v>
      </c>
      <c r="B36249" s="74" t="s">
        <v>3402</v>
      </c>
      <c r="C36249" s="74" t="s">
        <v>414</v>
      </c>
    </row>
    <row r="36250" spans="1:3">
      <c r="A36250" s="250">
        <v>85010</v>
      </c>
      <c r="B36250" s="74" t="s">
        <v>3402</v>
      </c>
      <c r="C36250" s="74" t="s">
        <v>414</v>
      </c>
    </row>
    <row r="36251" spans="1:3">
      <c r="A36251" s="250">
        <v>85011</v>
      </c>
      <c r="B36251" s="74" t="s">
        <v>3402</v>
      </c>
      <c r="C36251" s="74" t="s">
        <v>414</v>
      </c>
    </row>
    <row r="36252" spans="1:3">
      <c r="A36252" s="250">
        <v>85012</v>
      </c>
      <c r="B36252" s="74" t="s">
        <v>3402</v>
      </c>
      <c r="C36252" s="74" t="s">
        <v>414</v>
      </c>
    </row>
    <row r="36253" spans="1:3">
      <c r="A36253" s="250">
        <v>85013</v>
      </c>
      <c r="B36253" s="74" t="s">
        <v>3402</v>
      </c>
      <c r="C36253" s="74" t="s">
        <v>414</v>
      </c>
    </row>
    <row r="36254" spans="1:3">
      <c r="A36254" s="250">
        <v>85014</v>
      </c>
      <c r="B36254" s="74" t="s">
        <v>3402</v>
      </c>
      <c r="C36254" s="74" t="s">
        <v>414</v>
      </c>
    </row>
    <row r="36255" spans="1:3">
      <c r="A36255" s="250">
        <v>85015</v>
      </c>
      <c r="B36255" s="74" t="s">
        <v>3402</v>
      </c>
      <c r="C36255" s="74" t="s">
        <v>414</v>
      </c>
    </row>
    <row r="36256" spans="1:3">
      <c r="A36256" s="250">
        <v>85016</v>
      </c>
      <c r="B36256" s="74" t="s">
        <v>3402</v>
      </c>
      <c r="C36256" s="74" t="s">
        <v>414</v>
      </c>
    </row>
    <row r="36257" spans="1:3">
      <c r="A36257" s="250">
        <v>85017</v>
      </c>
      <c r="B36257" s="74" t="s">
        <v>3402</v>
      </c>
      <c r="C36257" s="74" t="s">
        <v>414</v>
      </c>
    </row>
    <row r="36258" spans="1:3">
      <c r="A36258" s="250">
        <v>85018</v>
      </c>
      <c r="B36258" s="74" t="s">
        <v>3402</v>
      </c>
      <c r="C36258" s="74" t="s">
        <v>414</v>
      </c>
    </row>
    <row r="36259" spans="1:3">
      <c r="A36259" s="250">
        <v>85019</v>
      </c>
      <c r="B36259" s="74" t="s">
        <v>3402</v>
      </c>
      <c r="C36259" s="74" t="s">
        <v>414</v>
      </c>
    </row>
    <row r="36260" spans="1:3">
      <c r="A36260" s="250">
        <v>85020</v>
      </c>
      <c r="B36260" s="74" t="s">
        <v>3402</v>
      </c>
      <c r="C36260" s="74" t="s">
        <v>414</v>
      </c>
    </row>
    <row r="36261" spans="1:3">
      <c r="A36261" s="250">
        <v>85021</v>
      </c>
      <c r="B36261" s="74" t="s">
        <v>3402</v>
      </c>
      <c r="C36261" s="74" t="s">
        <v>414</v>
      </c>
    </row>
    <row r="36262" spans="1:3">
      <c r="A36262" s="250">
        <v>85022</v>
      </c>
      <c r="B36262" s="74" t="s">
        <v>3402</v>
      </c>
      <c r="C36262" s="74" t="s">
        <v>414</v>
      </c>
    </row>
    <row r="36263" spans="1:3">
      <c r="A36263" s="250">
        <v>85023</v>
      </c>
      <c r="B36263" s="74" t="s">
        <v>3402</v>
      </c>
      <c r="C36263" s="74" t="s">
        <v>414</v>
      </c>
    </row>
    <row r="36264" spans="1:3">
      <c r="A36264" s="250">
        <v>85024</v>
      </c>
      <c r="B36264" s="74" t="s">
        <v>3402</v>
      </c>
      <c r="C36264" s="74" t="s">
        <v>414</v>
      </c>
    </row>
    <row r="36265" spans="1:3">
      <c r="A36265" s="250">
        <v>85025</v>
      </c>
      <c r="B36265" s="74" t="s">
        <v>3402</v>
      </c>
      <c r="C36265" s="74" t="s">
        <v>414</v>
      </c>
    </row>
    <row r="36266" spans="1:3">
      <c r="A36266" s="250">
        <v>85026</v>
      </c>
      <c r="B36266" s="74" t="s">
        <v>3402</v>
      </c>
      <c r="C36266" s="74" t="s">
        <v>414</v>
      </c>
    </row>
    <row r="36267" spans="1:3">
      <c r="A36267" s="250">
        <v>85027</v>
      </c>
      <c r="B36267" s="74" t="s">
        <v>3402</v>
      </c>
      <c r="C36267" s="74" t="s">
        <v>414</v>
      </c>
    </row>
    <row r="36268" spans="1:3">
      <c r="A36268" s="250">
        <v>85028</v>
      </c>
      <c r="B36268" s="74" t="s">
        <v>3402</v>
      </c>
      <c r="C36268" s="74" t="s">
        <v>414</v>
      </c>
    </row>
    <row r="36269" spans="1:3">
      <c r="A36269" s="250">
        <v>85029</v>
      </c>
      <c r="B36269" s="74" t="s">
        <v>3402</v>
      </c>
      <c r="C36269" s="74" t="s">
        <v>414</v>
      </c>
    </row>
    <row r="36270" spans="1:3">
      <c r="A36270" s="250">
        <v>85030</v>
      </c>
      <c r="B36270" s="74" t="s">
        <v>3402</v>
      </c>
      <c r="C36270" s="74" t="s">
        <v>414</v>
      </c>
    </row>
    <row r="36271" spans="1:3">
      <c r="A36271" s="250">
        <v>85031</v>
      </c>
      <c r="B36271" s="74" t="s">
        <v>3402</v>
      </c>
      <c r="C36271" s="74" t="s">
        <v>414</v>
      </c>
    </row>
    <row r="36272" spans="1:3">
      <c r="A36272" s="250">
        <v>85032</v>
      </c>
      <c r="B36272" s="74" t="s">
        <v>3402</v>
      </c>
      <c r="C36272" s="74" t="s">
        <v>414</v>
      </c>
    </row>
    <row r="36273" spans="1:3">
      <c r="A36273" s="250">
        <v>85033</v>
      </c>
      <c r="B36273" s="74" t="s">
        <v>3402</v>
      </c>
      <c r="C36273" s="74" t="s">
        <v>414</v>
      </c>
    </row>
    <row r="36274" spans="1:3">
      <c r="A36274" s="250">
        <v>85034</v>
      </c>
      <c r="B36274" s="74" t="s">
        <v>3402</v>
      </c>
      <c r="C36274" s="74" t="s">
        <v>414</v>
      </c>
    </row>
    <row r="36275" spans="1:3">
      <c r="A36275" s="250">
        <v>85035</v>
      </c>
      <c r="B36275" s="74" t="s">
        <v>3402</v>
      </c>
      <c r="C36275" s="74" t="s">
        <v>414</v>
      </c>
    </row>
    <row r="36276" spans="1:3">
      <c r="A36276" s="250">
        <v>85036</v>
      </c>
      <c r="B36276" s="74" t="s">
        <v>3402</v>
      </c>
      <c r="C36276" s="74" t="s">
        <v>414</v>
      </c>
    </row>
    <row r="36277" spans="1:3">
      <c r="A36277" s="250">
        <v>85037</v>
      </c>
      <c r="B36277" s="74" t="s">
        <v>3402</v>
      </c>
      <c r="C36277" s="74" t="s">
        <v>414</v>
      </c>
    </row>
    <row r="36278" spans="1:3">
      <c r="A36278" s="250">
        <v>85038</v>
      </c>
      <c r="B36278" s="74" t="s">
        <v>3402</v>
      </c>
      <c r="C36278" s="74" t="s">
        <v>414</v>
      </c>
    </row>
    <row r="36279" spans="1:3">
      <c r="A36279" s="250">
        <v>85039</v>
      </c>
      <c r="B36279" s="74" t="s">
        <v>3402</v>
      </c>
      <c r="C36279" s="74" t="s">
        <v>414</v>
      </c>
    </row>
    <row r="36280" spans="1:3">
      <c r="A36280" s="250">
        <v>85040</v>
      </c>
      <c r="B36280" s="74" t="s">
        <v>3402</v>
      </c>
      <c r="C36280" s="74" t="s">
        <v>414</v>
      </c>
    </row>
    <row r="36281" spans="1:3">
      <c r="A36281" s="250">
        <v>85041</v>
      </c>
      <c r="B36281" s="74" t="s">
        <v>3402</v>
      </c>
      <c r="C36281" s="74" t="s">
        <v>414</v>
      </c>
    </row>
    <row r="36282" spans="1:3">
      <c r="A36282" s="250">
        <v>85042</v>
      </c>
      <c r="B36282" s="74" t="s">
        <v>3402</v>
      </c>
      <c r="C36282" s="74" t="s">
        <v>414</v>
      </c>
    </row>
    <row r="36283" spans="1:3">
      <c r="A36283" s="250">
        <v>85043</v>
      </c>
      <c r="B36283" s="74" t="s">
        <v>3402</v>
      </c>
      <c r="C36283" s="74" t="s">
        <v>414</v>
      </c>
    </row>
    <row r="36284" spans="1:3">
      <c r="A36284" s="250">
        <v>85044</v>
      </c>
      <c r="B36284" s="74" t="s">
        <v>3402</v>
      </c>
      <c r="C36284" s="74" t="s">
        <v>414</v>
      </c>
    </row>
    <row r="36285" spans="1:3">
      <c r="A36285" s="250">
        <v>85045</v>
      </c>
      <c r="B36285" s="74" t="s">
        <v>3402</v>
      </c>
      <c r="C36285" s="74" t="s">
        <v>414</v>
      </c>
    </row>
    <row r="36286" spans="1:3">
      <c r="A36286" s="250">
        <v>85046</v>
      </c>
      <c r="B36286" s="74" t="s">
        <v>3402</v>
      </c>
      <c r="C36286" s="74" t="s">
        <v>414</v>
      </c>
    </row>
    <row r="36287" spans="1:3">
      <c r="A36287" s="250">
        <v>85048</v>
      </c>
      <c r="B36287" s="74" t="s">
        <v>3402</v>
      </c>
      <c r="C36287" s="74" t="s">
        <v>414</v>
      </c>
    </row>
    <row r="36288" spans="1:3">
      <c r="A36288" s="250">
        <v>85050</v>
      </c>
      <c r="B36288" s="74" t="s">
        <v>3402</v>
      </c>
      <c r="C36288" s="74" t="s">
        <v>414</v>
      </c>
    </row>
    <row r="36289" spans="1:3">
      <c r="A36289" s="250">
        <v>85051</v>
      </c>
      <c r="B36289" s="74" t="s">
        <v>3402</v>
      </c>
      <c r="C36289" s="74" t="s">
        <v>414</v>
      </c>
    </row>
    <row r="36290" spans="1:3">
      <c r="A36290" s="250">
        <v>85053</v>
      </c>
      <c r="B36290" s="74" t="s">
        <v>3402</v>
      </c>
      <c r="C36290" s="74" t="s">
        <v>414</v>
      </c>
    </row>
    <row r="36291" spans="1:3">
      <c r="A36291" s="250">
        <v>85054</v>
      </c>
      <c r="B36291" s="74" t="s">
        <v>3402</v>
      </c>
      <c r="C36291" s="74" t="s">
        <v>414</v>
      </c>
    </row>
    <row r="36292" spans="1:3">
      <c r="A36292" s="250">
        <v>85055</v>
      </c>
      <c r="B36292" s="74" t="s">
        <v>3402</v>
      </c>
      <c r="C36292" s="74" t="s">
        <v>414</v>
      </c>
    </row>
    <row r="36293" spans="1:3">
      <c r="A36293" s="250">
        <v>85060</v>
      </c>
      <c r="B36293" s="74" t="s">
        <v>3402</v>
      </c>
      <c r="C36293" s="74" t="s">
        <v>414</v>
      </c>
    </row>
    <row r="36294" spans="1:3">
      <c r="A36294" s="250">
        <v>85061</v>
      </c>
      <c r="B36294" s="74" t="s">
        <v>3402</v>
      </c>
      <c r="C36294" s="74" t="s">
        <v>414</v>
      </c>
    </row>
    <row r="36295" spans="1:3">
      <c r="A36295" s="250">
        <v>85062</v>
      </c>
      <c r="B36295" s="74" t="s">
        <v>3402</v>
      </c>
      <c r="C36295" s="74" t="s">
        <v>414</v>
      </c>
    </row>
    <row r="36296" spans="1:3">
      <c r="A36296" s="250">
        <v>85063</v>
      </c>
      <c r="B36296" s="74" t="s">
        <v>3402</v>
      </c>
      <c r="C36296" s="74" t="s">
        <v>414</v>
      </c>
    </row>
    <row r="36297" spans="1:3">
      <c r="A36297" s="250">
        <v>85064</v>
      </c>
      <c r="B36297" s="74" t="s">
        <v>3402</v>
      </c>
      <c r="C36297" s="74" t="s">
        <v>414</v>
      </c>
    </row>
    <row r="36298" spans="1:3">
      <c r="A36298" s="250">
        <v>85065</v>
      </c>
      <c r="B36298" s="74" t="s">
        <v>3402</v>
      </c>
      <c r="C36298" s="74" t="s">
        <v>414</v>
      </c>
    </row>
    <row r="36299" spans="1:3">
      <c r="A36299" s="250">
        <v>85066</v>
      </c>
      <c r="B36299" s="74" t="s">
        <v>3402</v>
      </c>
      <c r="C36299" s="74" t="s">
        <v>414</v>
      </c>
    </row>
    <row r="36300" spans="1:3">
      <c r="A36300" s="250">
        <v>85067</v>
      </c>
      <c r="B36300" s="74" t="s">
        <v>3402</v>
      </c>
      <c r="C36300" s="74" t="s">
        <v>414</v>
      </c>
    </row>
    <row r="36301" spans="1:3">
      <c r="A36301" s="250">
        <v>85068</v>
      </c>
      <c r="B36301" s="74" t="s">
        <v>3402</v>
      </c>
      <c r="C36301" s="74" t="s">
        <v>414</v>
      </c>
    </row>
    <row r="36302" spans="1:3">
      <c r="A36302" s="250">
        <v>85069</v>
      </c>
      <c r="B36302" s="74" t="s">
        <v>3402</v>
      </c>
      <c r="C36302" s="74" t="s">
        <v>414</v>
      </c>
    </row>
    <row r="36303" spans="1:3">
      <c r="A36303" s="250">
        <v>85070</v>
      </c>
      <c r="B36303" s="74" t="s">
        <v>3402</v>
      </c>
      <c r="C36303" s="74" t="s">
        <v>414</v>
      </c>
    </row>
    <row r="36304" spans="1:3">
      <c r="A36304" s="250">
        <v>85071</v>
      </c>
      <c r="B36304" s="74" t="s">
        <v>3402</v>
      </c>
      <c r="C36304" s="74" t="s">
        <v>414</v>
      </c>
    </row>
    <row r="36305" spans="1:3">
      <c r="A36305" s="250">
        <v>85072</v>
      </c>
      <c r="B36305" s="74" t="s">
        <v>3402</v>
      </c>
      <c r="C36305" s="74" t="s">
        <v>414</v>
      </c>
    </row>
    <row r="36306" spans="1:3">
      <c r="A36306" s="250">
        <v>85073</v>
      </c>
      <c r="B36306" s="74" t="s">
        <v>3402</v>
      </c>
      <c r="C36306" s="74" t="s">
        <v>414</v>
      </c>
    </row>
    <row r="36307" spans="1:3">
      <c r="A36307" s="250">
        <v>85074</v>
      </c>
      <c r="B36307" s="74" t="s">
        <v>3402</v>
      </c>
      <c r="C36307" s="74" t="s">
        <v>414</v>
      </c>
    </row>
    <row r="36308" spans="1:3">
      <c r="A36308" s="250">
        <v>85075</v>
      </c>
      <c r="B36308" s="74" t="s">
        <v>3402</v>
      </c>
      <c r="C36308" s="74" t="s">
        <v>414</v>
      </c>
    </row>
    <row r="36309" spans="1:3">
      <c r="A36309" s="250">
        <v>85076</v>
      </c>
      <c r="B36309" s="74" t="s">
        <v>3402</v>
      </c>
      <c r="C36309" s="74" t="s">
        <v>414</v>
      </c>
    </row>
    <row r="36310" spans="1:3">
      <c r="A36310" s="250">
        <v>85077</v>
      </c>
      <c r="B36310" s="74" t="s">
        <v>3402</v>
      </c>
      <c r="C36310" s="74" t="s">
        <v>414</v>
      </c>
    </row>
    <row r="36311" spans="1:3">
      <c r="A36311" s="250">
        <v>85078</v>
      </c>
      <c r="B36311" s="74" t="s">
        <v>3402</v>
      </c>
      <c r="C36311" s="74" t="s">
        <v>414</v>
      </c>
    </row>
    <row r="36312" spans="1:3">
      <c r="A36312" s="250">
        <v>85079</v>
      </c>
      <c r="B36312" s="74" t="s">
        <v>3402</v>
      </c>
      <c r="C36312" s="74" t="s">
        <v>414</v>
      </c>
    </row>
    <row r="36313" spans="1:3">
      <c r="A36313" s="250">
        <v>85080</v>
      </c>
      <c r="B36313" s="74" t="s">
        <v>3402</v>
      </c>
      <c r="C36313" s="74" t="s">
        <v>414</v>
      </c>
    </row>
    <row r="36314" spans="1:3">
      <c r="A36314" s="250">
        <v>85082</v>
      </c>
      <c r="B36314" s="74" t="s">
        <v>3402</v>
      </c>
      <c r="C36314" s="74" t="s">
        <v>414</v>
      </c>
    </row>
    <row r="36315" spans="1:3">
      <c r="A36315" s="250">
        <v>85083</v>
      </c>
      <c r="B36315" s="74" t="s">
        <v>3402</v>
      </c>
      <c r="C36315" s="74" t="s">
        <v>414</v>
      </c>
    </row>
    <row r="36316" spans="1:3">
      <c r="A36316" s="250">
        <v>85085</v>
      </c>
      <c r="B36316" s="74" t="s">
        <v>3402</v>
      </c>
      <c r="C36316" s="74" t="s">
        <v>414</v>
      </c>
    </row>
    <row r="36317" spans="1:3">
      <c r="A36317" s="250">
        <v>85086</v>
      </c>
      <c r="B36317" s="74" t="s">
        <v>3402</v>
      </c>
      <c r="C36317" s="74" t="s">
        <v>414</v>
      </c>
    </row>
    <row r="36318" spans="1:3">
      <c r="A36318" s="250">
        <v>85087</v>
      </c>
      <c r="B36318" s="74" t="s">
        <v>6288</v>
      </c>
      <c r="C36318" s="74" t="s">
        <v>414</v>
      </c>
    </row>
    <row r="36319" spans="1:3">
      <c r="A36319" s="250">
        <v>85096</v>
      </c>
      <c r="B36319" s="74" t="s">
        <v>3402</v>
      </c>
      <c r="C36319" s="74" t="s">
        <v>414</v>
      </c>
    </row>
    <row r="36320" spans="1:3">
      <c r="A36320" s="250">
        <v>85097</v>
      </c>
      <c r="B36320" s="74" t="s">
        <v>3402</v>
      </c>
      <c r="C36320" s="74" t="s">
        <v>414</v>
      </c>
    </row>
    <row r="36321" spans="1:3">
      <c r="A36321" s="250">
        <v>85098</v>
      </c>
      <c r="B36321" s="74" t="s">
        <v>3402</v>
      </c>
      <c r="C36321" s="74" t="s">
        <v>414</v>
      </c>
    </row>
    <row r="36322" spans="1:3">
      <c r="A36322" s="250">
        <v>85099</v>
      </c>
      <c r="B36322" s="74" t="s">
        <v>3402</v>
      </c>
      <c r="C36322" s="74" t="s">
        <v>414</v>
      </c>
    </row>
    <row r="36323" spans="1:3">
      <c r="A36323" s="250">
        <v>85117</v>
      </c>
      <c r="B36323" s="74" t="s">
        <v>17169</v>
      </c>
      <c r="C36323" s="74" t="s">
        <v>414</v>
      </c>
    </row>
    <row r="36324" spans="1:3">
      <c r="A36324" s="250">
        <v>85118</v>
      </c>
      <c r="B36324" s="74" t="s">
        <v>17170</v>
      </c>
      <c r="C36324" s="74" t="s">
        <v>414</v>
      </c>
    </row>
    <row r="36325" spans="1:3">
      <c r="A36325" s="250">
        <v>85119</v>
      </c>
      <c r="B36325" s="74" t="s">
        <v>17169</v>
      </c>
      <c r="C36325" s="74" t="s">
        <v>414</v>
      </c>
    </row>
    <row r="36326" spans="1:3">
      <c r="A36326" s="250">
        <v>85120</v>
      </c>
      <c r="B36326" s="74" t="s">
        <v>17169</v>
      </c>
      <c r="C36326" s="74" t="s">
        <v>414</v>
      </c>
    </row>
    <row r="36327" spans="1:3">
      <c r="A36327" s="250">
        <v>85121</v>
      </c>
      <c r="B36327" s="74" t="s">
        <v>17171</v>
      </c>
      <c r="C36327" s="74" t="s">
        <v>414</v>
      </c>
    </row>
    <row r="36328" spans="1:3">
      <c r="A36328" s="250">
        <v>85122</v>
      </c>
      <c r="B36328" s="74" t="s">
        <v>17172</v>
      </c>
      <c r="C36328" s="74" t="s">
        <v>414</v>
      </c>
    </row>
    <row r="36329" spans="1:3">
      <c r="A36329" s="250">
        <v>85123</v>
      </c>
      <c r="B36329" s="74" t="s">
        <v>17173</v>
      </c>
      <c r="C36329" s="74" t="s">
        <v>414</v>
      </c>
    </row>
    <row r="36330" spans="1:3">
      <c r="A36330" s="250">
        <v>85127</v>
      </c>
      <c r="B36330" s="74" t="s">
        <v>17174</v>
      </c>
      <c r="C36330" s="74" t="s">
        <v>414</v>
      </c>
    </row>
    <row r="36331" spans="1:3">
      <c r="A36331" s="250">
        <v>85128</v>
      </c>
      <c r="B36331" s="74" t="s">
        <v>8169</v>
      </c>
      <c r="C36331" s="74" t="s">
        <v>414</v>
      </c>
    </row>
    <row r="36332" spans="1:3">
      <c r="A36332" s="250">
        <v>85130</v>
      </c>
      <c r="B36332" s="74" t="s">
        <v>17172</v>
      </c>
      <c r="C36332" s="74" t="s">
        <v>414</v>
      </c>
    </row>
    <row r="36333" spans="1:3">
      <c r="A36333" s="250">
        <v>85131</v>
      </c>
      <c r="B36333" s="74" t="s">
        <v>17175</v>
      </c>
      <c r="C36333" s="74" t="s">
        <v>414</v>
      </c>
    </row>
    <row r="36334" spans="1:3">
      <c r="A36334" s="250">
        <v>85132</v>
      </c>
      <c r="B36334" s="74" t="s">
        <v>608</v>
      </c>
      <c r="C36334" s="74" t="s">
        <v>414</v>
      </c>
    </row>
    <row r="36335" spans="1:3">
      <c r="A36335" s="250">
        <v>85135</v>
      </c>
      <c r="B36335" s="74" t="s">
        <v>8645</v>
      </c>
      <c r="C36335" s="74" t="s">
        <v>414</v>
      </c>
    </row>
    <row r="36336" spans="1:3">
      <c r="A36336" s="250">
        <v>85137</v>
      </c>
      <c r="B36336" s="74" t="s">
        <v>2130</v>
      </c>
      <c r="C36336" s="74" t="s">
        <v>414</v>
      </c>
    </row>
    <row r="36337" spans="1:3">
      <c r="A36337" s="250">
        <v>85138</v>
      </c>
      <c r="B36337" s="74" t="s">
        <v>17176</v>
      </c>
      <c r="C36337" s="74" t="s">
        <v>414</v>
      </c>
    </row>
    <row r="36338" spans="1:3">
      <c r="A36338" s="250">
        <v>85139</v>
      </c>
      <c r="B36338" s="74" t="s">
        <v>17176</v>
      </c>
      <c r="C36338" s="74" t="s">
        <v>414</v>
      </c>
    </row>
    <row r="36339" spans="1:3">
      <c r="A36339" s="250">
        <v>85140</v>
      </c>
      <c r="B36339" s="74" t="s">
        <v>17177</v>
      </c>
      <c r="C36339" s="74" t="s">
        <v>414</v>
      </c>
    </row>
    <row r="36340" spans="1:3">
      <c r="A36340" s="250">
        <v>85141</v>
      </c>
      <c r="B36340" s="74" t="s">
        <v>17178</v>
      </c>
      <c r="C36340" s="74" t="s">
        <v>414</v>
      </c>
    </row>
    <row r="36341" spans="1:3">
      <c r="A36341" s="250">
        <v>85142</v>
      </c>
      <c r="B36341" s="74" t="s">
        <v>17179</v>
      </c>
      <c r="C36341" s="74" t="s">
        <v>414</v>
      </c>
    </row>
    <row r="36342" spans="1:3">
      <c r="A36342" s="250">
        <v>85143</v>
      </c>
      <c r="B36342" s="74" t="s">
        <v>17177</v>
      </c>
      <c r="C36342" s="74" t="s">
        <v>414</v>
      </c>
    </row>
    <row r="36343" spans="1:3">
      <c r="A36343" s="250">
        <v>85145</v>
      </c>
      <c r="B36343" s="74" t="s">
        <v>15750</v>
      </c>
      <c r="C36343" s="74" t="s">
        <v>414</v>
      </c>
    </row>
    <row r="36344" spans="1:3">
      <c r="A36344" s="250">
        <v>85147</v>
      </c>
      <c r="B36344" s="74" t="s">
        <v>17180</v>
      </c>
      <c r="C36344" s="74" t="s">
        <v>414</v>
      </c>
    </row>
    <row r="36345" spans="1:3">
      <c r="A36345" s="250">
        <v>85172</v>
      </c>
      <c r="B36345" s="74" t="s">
        <v>7337</v>
      </c>
      <c r="C36345" s="74" t="s">
        <v>414</v>
      </c>
    </row>
    <row r="36346" spans="1:3">
      <c r="A36346" s="250">
        <v>85173</v>
      </c>
      <c r="B36346" s="74" t="s">
        <v>11744</v>
      </c>
      <c r="C36346" s="74" t="s">
        <v>414</v>
      </c>
    </row>
    <row r="36347" spans="1:3">
      <c r="A36347" s="250">
        <v>85178</v>
      </c>
      <c r="B36347" s="74" t="s">
        <v>17169</v>
      </c>
      <c r="C36347" s="74" t="s">
        <v>414</v>
      </c>
    </row>
    <row r="36348" spans="1:3">
      <c r="A36348" s="250">
        <v>85190</v>
      </c>
      <c r="B36348" s="74" t="s">
        <v>17181</v>
      </c>
      <c r="C36348" s="74" t="s">
        <v>414</v>
      </c>
    </row>
    <row r="36349" spans="1:3">
      <c r="A36349" s="250">
        <v>85191</v>
      </c>
      <c r="B36349" s="74" t="s">
        <v>17182</v>
      </c>
      <c r="C36349" s="74" t="s">
        <v>414</v>
      </c>
    </row>
    <row r="36350" spans="1:3">
      <c r="A36350" s="250">
        <v>85192</v>
      </c>
      <c r="B36350" s="74" t="s">
        <v>17183</v>
      </c>
      <c r="C36350" s="74" t="s">
        <v>414</v>
      </c>
    </row>
    <row r="36351" spans="1:3">
      <c r="A36351" s="250">
        <v>85193</v>
      </c>
      <c r="B36351" s="74" t="s">
        <v>17172</v>
      </c>
      <c r="C36351" s="74" t="s">
        <v>414</v>
      </c>
    </row>
    <row r="36352" spans="1:3">
      <c r="A36352" s="250">
        <v>85194</v>
      </c>
      <c r="B36352" s="74" t="s">
        <v>17172</v>
      </c>
      <c r="C36352" s="74" t="s">
        <v>414</v>
      </c>
    </row>
    <row r="36353" spans="1:3">
      <c r="A36353" s="250">
        <v>85201</v>
      </c>
      <c r="B36353" s="74" t="s">
        <v>16817</v>
      </c>
      <c r="C36353" s="74" t="s">
        <v>414</v>
      </c>
    </row>
    <row r="36354" spans="1:3">
      <c r="A36354" s="250">
        <v>85202</v>
      </c>
      <c r="B36354" s="74" t="s">
        <v>16817</v>
      </c>
      <c r="C36354" s="74" t="s">
        <v>414</v>
      </c>
    </row>
    <row r="36355" spans="1:3">
      <c r="A36355" s="250">
        <v>85203</v>
      </c>
      <c r="B36355" s="74" t="s">
        <v>16817</v>
      </c>
      <c r="C36355" s="74" t="s">
        <v>414</v>
      </c>
    </row>
    <row r="36356" spans="1:3">
      <c r="A36356" s="250">
        <v>85204</v>
      </c>
      <c r="B36356" s="74" t="s">
        <v>16817</v>
      </c>
      <c r="C36356" s="74" t="s">
        <v>414</v>
      </c>
    </row>
    <row r="36357" spans="1:3">
      <c r="A36357" s="250">
        <v>85205</v>
      </c>
      <c r="B36357" s="74" t="s">
        <v>16817</v>
      </c>
      <c r="C36357" s="74" t="s">
        <v>414</v>
      </c>
    </row>
    <row r="36358" spans="1:3">
      <c r="A36358" s="250">
        <v>85206</v>
      </c>
      <c r="B36358" s="74" t="s">
        <v>16817</v>
      </c>
      <c r="C36358" s="74" t="s">
        <v>414</v>
      </c>
    </row>
    <row r="36359" spans="1:3">
      <c r="A36359" s="250">
        <v>85207</v>
      </c>
      <c r="B36359" s="74" t="s">
        <v>16817</v>
      </c>
      <c r="C36359" s="74" t="s">
        <v>414</v>
      </c>
    </row>
    <row r="36360" spans="1:3">
      <c r="A36360" s="250">
        <v>85208</v>
      </c>
      <c r="B36360" s="74" t="s">
        <v>16817</v>
      </c>
      <c r="C36360" s="74" t="s">
        <v>414</v>
      </c>
    </row>
    <row r="36361" spans="1:3">
      <c r="A36361" s="250">
        <v>85209</v>
      </c>
      <c r="B36361" s="74" t="s">
        <v>16817</v>
      </c>
      <c r="C36361" s="74" t="s">
        <v>414</v>
      </c>
    </row>
    <row r="36362" spans="1:3">
      <c r="A36362" s="250">
        <v>85210</v>
      </c>
      <c r="B36362" s="74" t="s">
        <v>16817</v>
      </c>
      <c r="C36362" s="74" t="s">
        <v>414</v>
      </c>
    </row>
    <row r="36363" spans="1:3">
      <c r="A36363" s="250">
        <v>85211</v>
      </c>
      <c r="B36363" s="74" t="s">
        <v>16817</v>
      </c>
      <c r="C36363" s="74" t="s">
        <v>414</v>
      </c>
    </row>
    <row r="36364" spans="1:3">
      <c r="A36364" s="250">
        <v>85212</v>
      </c>
      <c r="B36364" s="74" t="s">
        <v>16817</v>
      </c>
      <c r="C36364" s="74" t="s">
        <v>414</v>
      </c>
    </row>
    <row r="36365" spans="1:3">
      <c r="A36365" s="250">
        <v>85213</v>
      </c>
      <c r="B36365" s="74" t="s">
        <v>16817</v>
      </c>
      <c r="C36365" s="74" t="s">
        <v>414</v>
      </c>
    </row>
    <row r="36366" spans="1:3">
      <c r="A36366" s="250">
        <v>85214</v>
      </c>
      <c r="B36366" s="74" t="s">
        <v>16817</v>
      </c>
      <c r="C36366" s="74" t="s">
        <v>414</v>
      </c>
    </row>
    <row r="36367" spans="1:3">
      <c r="A36367" s="250">
        <v>85215</v>
      </c>
      <c r="B36367" s="74" t="s">
        <v>16817</v>
      </c>
      <c r="C36367" s="74" t="s">
        <v>414</v>
      </c>
    </row>
    <row r="36368" spans="1:3">
      <c r="A36368" s="250">
        <v>85216</v>
      </c>
      <c r="B36368" s="74" t="s">
        <v>16817</v>
      </c>
      <c r="C36368" s="74" t="s">
        <v>414</v>
      </c>
    </row>
    <row r="36369" spans="1:3">
      <c r="A36369" s="250">
        <v>85217</v>
      </c>
      <c r="B36369" s="74" t="s">
        <v>17169</v>
      </c>
      <c r="C36369" s="74" t="s">
        <v>414</v>
      </c>
    </row>
    <row r="36370" spans="1:3">
      <c r="A36370" s="250">
        <v>85218</v>
      </c>
      <c r="B36370" s="74" t="s">
        <v>17169</v>
      </c>
      <c r="C36370" s="74" t="s">
        <v>414</v>
      </c>
    </row>
    <row r="36371" spans="1:3">
      <c r="A36371" s="250">
        <v>85219</v>
      </c>
      <c r="B36371" s="74" t="s">
        <v>17169</v>
      </c>
      <c r="C36371" s="74" t="s">
        <v>414</v>
      </c>
    </row>
    <row r="36372" spans="1:3">
      <c r="A36372" s="250">
        <v>85220</v>
      </c>
      <c r="B36372" s="74" t="s">
        <v>17169</v>
      </c>
      <c r="C36372" s="74" t="s">
        <v>414</v>
      </c>
    </row>
    <row r="36373" spans="1:3">
      <c r="A36373" s="250">
        <v>85221</v>
      </c>
      <c r="B36373" s="74" t="s">
        <v>17171</v>
      </c>
      <c r="C36373" s="74" t="s">
        <v>414</v>
      </c>
    </row>
    <row r="36374" spans="1:3">
      <c r="A36374" s="250">
        <v>85222</v>
      </c>
      <c r="B36374" s="74" t="s">
        <v>17172</v>
      </c>
      <c r="C36374" s="74" t="s">
        <v>414</v>
      </c>
    </row>
    <row r="36375" spans="1:3">
      <c r="A36375" s="250">
        <v>85223</v>
      </c>
      <c r="B36375" s="74" t="s">
        <v>17173</v>
      </c>
      <c r="C36375" s="74" t="s">
        <v>414</v>
      </c>
    </row>
    <row r="36376" spans="1:3">
      <c r="A36376" s="250">
        <v>85224</v>
      </c>
      <c r="B36376" s="74" t="s">
        <v>10910</v>
      </c>
      <c r="C36376" s="74" t="s">
        <v>414</v>
      </c>
    </row>
    <row r="36377" spans="1:3">
      <c r="A36377" s="250">
        <v>85225</v>
      </c>
      <c r="B36377" s="74" t="s">
        <v>10910</v>
      </c>
      <c r="C36377" s="74" t="s">
        <v>414</v>
      </c>
    </row>
    <row r="36378" spans="1:3">
      <c r="A36378" s="250">
        <v>85226</v>
      </c>
      <c r="B36378" s="74" t="s">
        <v>10910</v>
      </c>
      <c r="C36378" s="74" t="s">
        <v>414</v>
      </c>
    </row>
    <row r="36379" spans="1:3">
      <c r="A36379" s="250">
        <v>85227</v>
      </c>
      <c r="B36379" s="74" t="s">
        <v>17174</v>
      </c>
      <c r="C36379" s="74" t="s">
        <v>414</v>
      </c>
    </row>
    <row r="36380" spans="1:3">
      <c r="A36380" s="250">
        <v>85228</v>
      </c>
      <c r="B36380" s="74" t="s">
        <v>8169</v>
      </c>
      <c r="C36380" s="74" t="s">
        <v>414</v>
      </c>
    </row>
    <row r="36381" spans="1:3">
      <c r="A36381" s="250">
        <v>85230</v>
      </c>
      <c r="B36381" s="74" t="s">
        <v>17172</v>
      </c>
      <c r="C36381" s="74" t="s">
        <v>414</v>
      </c>
    </row>
    <row r="36382" spans="1:3">
      <c r="A36382" s="250">
        <v>85231</v>
      </c>
      <c r="B36382" s="74" t="s">
        <v>17175</v>
      </c>
      <c r="C36382" s="74" t="s">
        <v>414</v>
      </c>
    </row>
    <row r="36383" spans="1:3">
      <c r="A36383" s="250">
        <v>85232</v>
      </c>
      <c r="B36383" s="74" t="s">
        <v>608</v>
      </c>
      <c r="C36383" s="74" t="s">
        <v>414</v>
      </c>
    </row>
    <row r="36384" spans="1:3">
      <c r="A36384" s="250">
        <v>85233</v>
      </c>
      <c r="B36384" s="74" t="s">
        <v>5122</v>
      </c>
      <c r="C36384" s="74" t="s">
        <v>414</v>
      </c>
    </row>
    <row r="36385" spans="1:3">
      <c r="A36385" s="250">
        <v>85234</v>
      </c>
      <c r="B36385" s="74" t="s">
        <v>5122</v>
      </c>
      <c r="C36385" s="74" t="s">
        <v>414</v>
      </c>
    </row>
    <row r="36386" spans="1:3">
      <c r="A36386" s="250">
        <v>85235</v>
      </c>
      <c r="B36386" s="74" t="s">
        <v>8645</v>
      </c>
      <c r="C36386" s="74" t="s">
        <v>414</v>
      </c>
    </row>
    <row r="36387" spans="1:3">
      <c r="A36387" s="250">
        <v>85236</v>
      </c>
      <c r="B36387" s="74" t="s">
        <v>17184</v>
      </c>
      <c r="C36387" s="74" t="s">
        <v>414</v>
      </c>
    </row>
    <row r="36388" spans="1:3">
      <c r="A36388" s="250">
        <v>85237</v>
      </c>
      <c r="B36388" s="74" t="s">
        <v>2130</v>
      </c>
      <c r="C36388" s="74" t="s">
        <v>414</v>
      </c>
    </row>
    <row r="36389" spans="1:3">
      <c r="A36389" s="250">
        <v>85238</v>
      </c>
      <c r="B36389" s="74" t="s">
        <v>17176</v>
      </c>
      <c r="C36389" s="74" t="s">
        <v>414</v>
      </c>
    </row>
    <row r="36390" spans="1:3">
      <c r="A36390" s="250">
        <v>85239</v>
      </c>
      <c r="B36390" s="74" t="s">
        <v>17176</v>
      </c>
      <c r="C36390" s="74" t="s">
        <v>414</v>
      </c>
    </row>
    <row r="36391" spans="1:3">
      <c r="A36391" s="250">
        <v>85240</v>
      </c>
      <c r="B36391" s="74" t="s">
        <v>17179</v>
      </c>
      <c r="C36391" s="74" t="s">
        <v>414</v>
      </c>
    </row>
    <row r="36392" spans="1:3">
      <c r="A36392" s="250">
        <v>85241</v>
      </c>
      <c r="B36392" s="74" t="s">
        <v>17178</v>
      </c>
      <c r="C36392" s="74" t="s">
        <v>414</v>
      </c>
    </row>
    <row r="36393" spans="1:3">
      <c r="A36393" s="250">
        <v>85242</v>
      </c>
      <c r="B36393" s="74" t="s">
        <v>17179</v>
      </c>
      <c r="C36393" s="74" t="s">
        <v>414</v>
      </c>
    </row>
    <row r="36394" spans="1:3">
      <c r="A36394" s="250">
        <v>85243</v>
      </c>
      <c r="B36394" s="74" t="s">
        <v>17179</v>
      </c>
      <c r="C36394" s="74" t="s">
        <v>414</v>
      </c>
    </row>
    <row r="36395" spans="1:3">
      <c r="A36395" s="250">
        <v>85244</v>
      </c>
      <c r="B36395" s="74" t="s">
        <v>10910</v>
      </c>
      <c r="C36395" s="74" t="s">
        <v>414</v>
      </c>
    </row>
    <row r="36396" spans="1:3">
      <c r="A36396" s="250">
        <v>85245</v>
      </c>
      <c r="B36396" s="74" t="s">
        <v>15750</v>
      </c>
      <c r="C36396" s="74" t="s">
        <v>414</v>
      </c>
    </row>
    <row r="36397" spans="1:3">
      <c r="A36397" s="250">
        <v>85246</v>
      </c>
      <c r="B36397" s="74" t="s">
        <v>10910</v>
      </c>
      <c r="C36397" s="74" t="s">
        <v>414</v>
      </c>
    </row>
    <row r="36398" spans="1:3">
      <c r="A36398" s="250">
        <v>85247</v>
      </c>
      <c r="B36398" s="74" t="s">
        <v>17180</v>
      </c>
      <c r="C36398" s="74" t="s">
        <v>414</v>
      </c>
    </row>
    <row r="36399" spans="1:3">
      <c r="A36399" s="250">
        <v>85248</v>
      </c>
      <c r="B36399" s="74" t="s">
        <v>10910</v>
      </c>
      <c r="C36399" s="74" t="s">
        <v>414</v>
      </c>
    </row>
    <row r="36400" spans="1:3">
      <c r="A36400" s="250">
        <v>85249</v>
      </c>
      <c r="B36400" s="74" t="s">
        <v>10910</v>
      </c>
      <c r="C36400" s="74" t="s">
        <v>414</v>
      </c>
    </row>
    <row r="36401" spans="1:3">
      <c r="A36401" s="250">
        <v>85250</v>
      </c>
      <c r="B36401" s="74" t="s">
        <v>17185</v>
      </c>
      <c r="C36401" s="74" t="s">
        <v>414</v>
      </c>
    </row>
    <row r="36402" spans="1:3">
      <c r="A36402" s="250">
        <v>85251</v>
      </c>
      <c r="B36402" s="74" t="s">
        <v>17185</v>
      </c>
      <c r="C36402" s="74" t="s">
        <v>414</v>
      </c>
    </row>
    <row r="36403" spans="1:3">
      <c r="A36403" s="250">
        <v>85252</v>
      </c>
      <c r="B36403" s="74" t="s">
        <v>17185</v>
      </c>
      <c r="C36403" s="74" t="s">
        <v>414</v>
      </c>
    </row>
    <row r="36404" spans="1:3">
      <c r="A36404" s="250">
        <v>85253</v>
      </c>
      <c r="B36404" s="74" t="s">
        <v>17186</v>
      </c>
      <c r="C36404" s="74" t="s">
        <v>414</v>
      </c>
    </row>
    <row r="36405" spans="1:3">
      <c r="A36405" s="250">
        <v>85254</v>
      </c>
      <c r="B36405" s="74" t="s">
        <v>17185</v>
      </c>
      <c r="C36405" s="74" t="s">
        <v>414</v>
      </c>
    </row>
    <row r="36406" spans="1:3">
      <c r="A36406" s="250">
        <v>85255</v>
      </c>
      <c r="B36406" s="74" t="s">
        <v>17185</v>
      </c>
      <c r="C36406" s="74" t="s">
        <v>414</v>
      </c>
    </row>
    <row r="36407" spans="1:3">
      <c r="A36407" s="250">
        <v>85256</v>
      </c>
      <c r="B36407" s="74" t="s">
        <v>17185</v>
      </c>
      <c r="C36407" s="74" t="s">
        <v>414</v>
      </c>
    </row>
    <row r="36408" spans="1:3">
      <c r="A36408" s="250">
        <v>85257</v>
      </c>
      <c r="B36408" s="74" t="s">
        <v>17185</v>
      </c>
      <c r="C36408" s="74" t="s">
        <v>414</v>
      </c>
    </row>
    <row r="36409" spans="1:3">
      <c r="A36409" s="250">
        <v>85258</v>
      </c>
      <c r="B36409" s="74" t="s">
        <v>17185</v>
      </c>
      <c r="C36409" s="74" t="s">
        <v>414</v>
      </c>
    </row>
    <row r="36410" spans="1:3">
      <c r="A36410" s="250">
        <v>85259</v>
      </c>
      <c r="B36410" s="74" t="s">
        <v>17185</v>
      </c>
      <c r="C36410" s="74" t="s">
        <v>414</v>
      </c>
    </row>
    <row r="36411" spans="1:3">
      <c r="A36411" s="250">
        <v>85260</v>
      </c>
      <c r="B36411" s="74" t="s">
        <v>17185</v>
      </c>
      <c r="C36411" s="74" t="s">
        <v>414</v>
      </c>
    </row>
    <row r="36412" spans="1:3">
      <c r="A36412" s="250">
        <v>85261</v>
      </c>
      <c r="B36412" s="74" t="s">
        <v>17185</v>
      </c>
      <c r="C36412" s="74" t="s">
        <v>414</v>
      </c>
    </row>
    <row r="36413" spans="1:3">
      <c r="A36413" s="250">
        <v>85262</v>
      </c>
      <c r="B36413" s="74" t="s">
        <v>17185</v>
      </c>
      <c r="C36413" s="74" t="s">
        <v>414</v>
      </c>
    </row>
    <row r="36414" spans="1:3">
      <c r="A36414" s="250">
        <v>85263</v>
      </c>
      <c r="B36414" s="74" t="s">
        <v>17187</v>
      </c>
      <c r="C36414" s="74" t="s">
        <v>414</v>
      </c>
    </row>
    <row r="36415" spans="1:3">
      <c r="A36415" s="250">
        <v>85264</v>
      </c>
      <c r="B36415" s="74" t="s">
        <v>17188</v>
      </c>
      <c r="C36415" s="74" t="s">
        <v>414</v>
      </c>
    </row>
    <row r="36416" spans="1:3">
      <c r="A36416" s="250">
        <v>85266</v>
      </c>
      <c r="B36416" s="74" t="s">
        <v>17185</v>
      </c>
      <c r="C36416" s="74" t="s">
        <v>414</v>
      </c>
    </row>
    <row r="36417" spans="1:3">
      <c r="A36417" s="250">
        <v>85267</v>
      </c>
      <c r="B36417" s="74" t="s">
        <v>17185</v>
      </c>
      <c r="C36417" s="74" t="s">
        <v>414</v>
      </c>
    </row>
    <row r="36418" spans="1:3">
      <c r="A36418" s="250">
        <v>85268</v>
      </c>
      <c r="B36418" s="74" t="s">
        <v>17189</v>
      </c>
      <c r="C36418" s="74" t="s">
        <v>414</v>
      </c>
    </row>
    <row r="36419" spans="1:3">
      <c r="A36419" s="250">
        <v>85269</v>
      </c>
      <c r="B36419" s="74" t="s">
        <v>17189</v>
      </c>
      <c r="C36419" s="74" t="s">
        <v>414</v>
      </c>
    </row>
    <row r="36420" spans="1:3">
      <c r="A36420" s="250">
        <v>85271</v>
      </c>
      <c r="B36420" s="74" t="s">
        <v>17185</v>
      </c>
      <c r="C36420" s="74" t="s">
        <v>414</v>
      </c>
    </row>
    <row r="36421" spans="1:3">
      <c r="A36421" s="250">
        <v>85272</v>
      </c>
      <c r="B36421" s="74" t="s">
        <v>7337</v>
      </c>
      <c r="C36421" s="74" t="s">
        <v>414</v>
      </c>
    </row>
    <row r="36422" spans="1:3">
      <c r="A36422" s="250">
        <v>85273</v>
      </c>
      <c r="B36422" s="74" t="s">
        <v>11744</v>
      </c>
      <c r="C36422" s="74" t="s">
        <v>414</v>
      </c>
    </row>
    <row r="36423" spans="1:3">
      <c r="A36423" s="250">
        <v>85274</v>
      </c>
      <c r="B36423" s="74" t="s">
        <v>16817</v>
      </c>
      <c r="C36423" s="74" t="s">
        <v>414</v>
      </c>
    </row>
    <row r="36424" spans="1:3">
      <c r="A36424" s="250">
        <v>85275</v>
      </c>
      <c r="B36424" s="74" t="s">
        <v>16817</v>
      </c>
      <c r="C36424" s="74" t="s">
        <v>414</v>
      </c>
    </row>
    <row r="36425" spans="1:3">
      <c r="A36425" s="250">
        <v>85277</v>
      </c>
      <c r="B36425" s="74" t="s">
        <v>16817</v>
      </c>
      <c r="C36425" s="74" t="s">
        <v>414</v>
      </c>
    </row>
    <row r="36426" spans="1:3">
      <c r="A36426" s="250">
        <v>85278</v>
      </c>
      <c r="B36426" s="74" t="s">
        <v>17169</v>
      </c>
      <c r="C36426" s="74" t="s">
        <v>414</v>
      </c>
    </row>
    <row r="36427" spans="1:3">
      <c r="A36427" s="250">
        <v>85279</v>
      </c>
      <c r="B36427" s="74" t="s">
        <v>608</v>
      </c>
      <c r="C36427" s="74" t="s">
        <v>414</v>
      </c>
    </row>
    <row r="36428" spans="1:3">
      <c r="A36428" s="250">
        <v>85280</v>
      </c>
      <c r="B36428" s="74" t="s">
        <v>17190</v>
      </c>
      <c r="C36428" s="74" t="s">
        <v>414</v>
      </c>
    </row>
    <row r="36429" spans="1:3">
      <c r="A36429" s="250">
        <v>85281</v>
      </c>
      <c r="B36429" s="74" t="s">
        <v>17190</v>
      </c>
      <c r="C36429" s="74" t="s">
        <v>414</v>
      </c>
    </row>
    <row r="36430" spans="1:3">
      <c r="A36430" s="250">
        <v>85282</v>
      </c>
      <c r="B36430" s="74" t="s">
        <v>17190</v>
      </c>
      <c r="C36430" s="74" t="s">
        <v>414</v>
      </c>
    </row>
    <row r="36431" spans="1:3">
      <c r="A36431" s="250">
        <v>85283</v>
      </c>
      <c r="B36431" s="74" t="s">
        <v>17190</v>
      </c>
      <c r="C36431" s="74" t="s">
        <v>414</v>
      </c>
    </row>
    <row r="36432" spans="1:3">
      <c r="A36432" s="250">
        <v>85284</v>
      </c>
      <c r="B36432" s="74" t="s">
        <v>17190</v>
      </c>
      <c r="C36432" s="74" t="s">
        <v>414</v>
      </c>
    </row>
    <row r="36433" spans="1:3">
      <c r="A36433" s="250">
        <v>85285</v>
      </c>
      <c r="B36433" s="74" t="s">
        <v>17190</v>
      </c>
      <c r="C36433" s="74" t="s">
        <v>414</v>
      </c>
    </row>
    <row r="36434" spans="1:3">
      <c r="A36434" s="250">
        <v>85286</v>
      </c>
      <c r="B36434" s="74" t="s">
        <v>10910</v>
      </c>
      <c r="C36434" s="74" t="s">
        <v>414</v>
      </c>
    </row>
    <row r="36435" spans="1:3">
      <c r="A36435" s="250">
        <v>85287</v>
      </c>
      <c r="B36435" s="74" t="s">
        <v>17190</v>
      </c>
      <c r="C36435" s="74" t="s">
        <v>414</v>
      </c>
    </row>
    <row r="36436" spans="1:3">
      <c r="A36436" s="250">
        <v>85289</v>
      </c>
      <c r="B36436" s="74" t="s">
        <v>17190</v>
      </c>
      <c r="C36436" s="74" t="s">
        <v>414</v>
      </c>
    </row>
    <row r="36437" spans="1:3">
      <c r="A36437" s="250">
        <v>85290</v>
      </c>
      <c r="B36437" s="74" t="s">
        <v>17169</v>
      </c>
      <c r="C36437" s="74" t="s">
        <v>414</v>
      </c>
    </row>
    <row r="36438" spans="1:3">
      <c r="A36438" s="250">
        <v>85291</v>
      </c>
      <c r="B36438" s="74" t="s">
        <v>17182</v>
      </c>
      <c r="C36438" s="74" t="s">
        <v>414</v>
      </c>
    </row>
    <row r="36439" spans="1:3">
      <c r="A36439" s="250">
        <v>85292</v>
      </c>
      <c r="B36439" s="74" t="s">
        <v>17183</v>
      </c>
      <c r="C36439" s="74" t="s">
        <v>414</v>
      </c>
    </row>
    <row r="36440" spans="1:3">
      <c r="A36440" s="250">
        <v>85293</v>
      </c>
      <c r="B36440" s="74" t="s">
        <v>17172</v>
      </c>
      <c r="C36440" s="74" t="s">
        <v>414</v>
      </c>
    </row>
    <row r="36441" spans="1:3">
      <c r="A36441" s="250">
        <v>85294</v>
      </c>
      <c r="B36441" s="74" t="s">
        <v>17172</v>
      </c>
      <c r="C36441" s="74" t="s">
        <v>414</v>
      </c>
    </row>
    <row r="36442" spans="1:3">
      <c r="A36442" s="250">
        <v>85295</v>
      </c>
      <c r="B36442" s="74" t="s">
        <v>5122</v>
      </c>
      <c r="C36442" s="74" t="s">
        <v>414</v>
      </c>
    </row>
    <row r="36443" spans="1:3">
      <c r="A36443" s="250">
        <v>85296</v>
      </c>
      <c r="B36443" s="74" t="s">
        <v>5122</v>
      </c>
      <c r="C36443" s="74" t="s">
        <v>414</v>
      </c>
    </row>
    <row r="36444" spans="1:3">
      <c r="A36444" s="250">
        <v>85297</v>
      </c>
      <c r="B36444" s="74" t="s">
        <v>5122</v>
      </c>
      <c r="C36444" s="74" t="s">
        <v>414</v>
      </c>
    </row>
    <row r="36445" spans="1:3">
      <c r="A36445" s="250">
        <v>85298</v>
      </c>
      <c r="B36445" s="74" t="s">
        <v>5122</v>
      </c>
      <c r="C36445" s="74" t="s">
        <v>414</v>
      </c>
    </row>
    <row r="36446" spans="1:3">
      <c r="A36446" s="250">
        <v>85299</v>
      </c>
      <c r="B36446" s="74" t="s">
        <v>5122</v>
      </c>
      <c r="C36446" s="74" t="s">
        <v>414</v>
      </c>
    </row>
    <row r="36447" spans="1:3">
      <c r="A36447" s="250">
        <v>85301</v>
      </c>
      <c r="B36447" s="74" t="s">
        <v>644</v>
      </c>
      <c r="C36447" s="74" t="s">
        <v>414</v>
      </c>
    </row>
    <row r="36448" spans="1:3">
      <c r="A36448" s="250">
        <v>85302</v>
      </c>
      <c r="B36448" s="74" t="s">
        <v>644</v>
      </c>
      <c r="C36448" s="74" t="s">
        <v>414</v>
      </c>
    </row>
    <row r="36449" spans="1:3">
      <c r="A36449" s="250">
        <v>85303</v>
      </c>
      <c r="B36449" s="74" t="s">
        <v>644</v>
      </c>
      <c r="C36449" s="74" t="s">
        <v>414</v>
      </c>
    </row>
    <row r="36450" spans="1:3">
      <c r="A36450" s="250">
        <v>85304</v>
      </c>
      <c r="B36450" s="74" t="s">
        <v>644</v>
      </c>
      <c r="C36450" s="74" t="s">
        <v>414</v>
      </c>
    </row>
    <row r="36451" spans="1:3">
      <c r="A36451" s="250">
        <v>85305</v>
      </c>
      <c r="B36451" s="74" t="s">
        <v>644</v>
      </c>
      <c r="C36451" s="74" t="s">
        <v>414</v>
      </c>
    </row>
    <row r="36452" spans="1:3">
      <c r="A36452" s="250">
        <v>85306</v>
      </c>
      <c r="B36452" s="74" t="s">
        <v>644</v>
      </c>
      <c r="C36452" s="74" t="s">
        <v>414</v>
      </c>
    </row>
    <row r="36453" spans="1:3">
      <c r="A36453" s="250">
        <v>85307</v>
      </c>
      <c r="B36453" s="74" t="s">
        <v>644</v>
      </c>
      <c r="C36453" s="74" t="s">
        <v>414</v>
      </c>
    </row>
    <row r="36454" spans="1:3">
      <c r="A36454" s="250">
        <v>85308</v>
      </c>
      <c r="B36454" s="74" t="s">
        <v>644</v>
      </c>
      <c r="C36454" s="74" t="s">
        <v>414</v>
      </c>
    </row>
    <row r="36455" spans="1:3">
      <c r="A36455" s="250">
        <v>85309</v>
      </c>
      <c r="B36455" s="74" t="s">
        <v>17191</v>
      </c>
      <c r="C36455" s="74" t="s">
        <v>414</v>
      </c>
    </row>
    <row r="36456" spans="1:3">
      <c r="A36456" s="250">
        <v>85310</v>
      </c>
      <c r="B36456" s="74" t="s">
        <v>644</v>
      </c>
      <c r="C36456" s="74" t="s">
        <v>414</v>
      </c>
    </row>
    <row r="36457" spans="1:3">
      <c r="A36457" s="250">
        <v>85311</v>
      </c>
      <c r="B36457" s="74" t="s">
        <v>644</v>
      </c>
      <c r="C36457" s="74" t="s">
        <v>414</v>
      </c>
    </row>
    <row r="36458" spans="1:3">
      <c r="A36458" s="250">
        <v>85312</v>
      </c>
      <c r="B36458" s="74" t="s">
        <v>644</v>
      </c>
      <c r="C36458" s="74" t="s">
        <v>414</v>
      </c>
    </row>
    <row r="36459" spans="1:3">
      <c r="A36459" s="250">
        <v>85313</v>
      </c>
      <c r="B36459" s="74" t="s">
        <v>644</v>
      </c>
      <c r="C36459" s="74" t="s">
        <v>414</v>
      </c>
    </row>
    <row r="36460" spans="1:3">
      <c r="A36460" s="250">
        <v>85318</v>
      </c>
      <c r="B36460" s="74" t="s">
        <v>644</v>
      </c>
      <c r="C36460" s="74" t="s">
        <v>414</v>
      </c>
    </row>
    <row r="36461" spans="1:3">
      <c r="A36461" s="250">
        <v>85320</v>
      </c>
      <c r="B36461" s="74" t="s">
        <v>17192</v>
      </c>
      <c r="C36461" s="74" t="s">
        <v>414</v>
      </c>
    </row>
    <row r="36462" spans="1:3">
      <c r="A36462" s="250">
        <v>85321</v>
      </c>
      <c r="B36462" s="74" t="s">
        <v>17193</v>
      </c>
      <c r="C36462" s="74" t="s">
        <v>414</v>
      </c>
    </row>
    <row r="36463" spans="1:3">
      <c r="A36463" s="250">
        <v>85322</v>
      </c>
      <c r="B36463" s="74" t="s">
        <v>984</v>
      </c>
      <c r="C36463" s="74" t="s">
        <v>414</v>
      </c>
    </row>
    <row r="36464" spans="1:3">
      <c r="A36464" s="250">
        <v>85323</v>
      </c>
      <c r="B36464" s="74" t="s">
        <v>5368</v>
      </c>
      <c r="C36464" s="74" t="s">
        <v>414</v>
      </c>
    </row>
    <row r="36465" spans="1:3">
      <c r="A36465" s="250">
        <v>85324</v>
      </c>
      <c r="B36465" s="74" t="s">
        <v>17194</v>
      </c>
      <c r="C36465" s="74" t="s">
        <v>414</v>
      </c>
    </row>
    <row r="36466" spans="1:3">
      <c r="A36466" s="250">
        <v>85325</v>
      </c>
      <c r="B36466" s="74" t="s">
        <v>17195</v>
      </c>
      <c r="C36466" s="74" t="s">
        <v>414</v>
      </c>
    </row>
    <row r="36467" spans="1:3">
      <c r="A36467" s="250">
        <v>85326</v>
      </c>
      <c r="B36467" s="74" t="s">
        <v>6548</v>
      </c>
      <c r="C36467" s="74" t="s">
        <v>414</v>
      </c>
    </row>
    <row r="36468" spans="1:3">
      <c r="A36468" s="250">
        <v>85327</v>
      </c>
      <c r="B36468" s="74" t="s">
        <v>17196</v>
      </c>
      <c r="C36468" s="74" t="s">
        <v>414</v>
      </c>
    </row>
    <row r="36469" spans="1:3">
      <c r="A36469" s="250">
        <v>85328</v>
      </c>
      <c r="B36469" s="74" t="s">
        <v>17197</v>
      </c>
      <c r="C36469" s="74" t="s">
        <v>414</v>
      </c>
    </row>
    <row r="36470" spans="1:3">
      <c r="A36470" s="250">
        <v>85329</v>
      </c>
      <c r="B36470" s="74" t="s">
        <v>15515</v>
      </c>
      <c r="C36470" s="74" t="s">
        <v>414</v>
      </c>
    </row>
    <row r="36471" spans="1:3">
      <c r="A36471" s="250">
        <v>85331</v>
      </c>
      <c r="B36471" s="74" t="s">
        <v>17196</v>
      </c>
      <c r="C36471" s="74" t="s">
        <v>414</v>
      </c>
    </row>
    <row r="36472" spans="1:3">
      <c r="A36472" s="250">
        <v>85332</v>
      </c>
      <c r="B36472" s="74" t="s">
        <v>17198</v>
      </c>
      <c r="C36472" s="74" t="s">
        <v>414</v>
      </c>
    </row>
    <row r="36473" spans="1:3">
      <c r="A36473" s="250">
        <v>85333</v>
      </c>
      <c r="B36473" s="74" t="s">
        <v>17199</v>
      </c>
      <c r="C36473" s="74" t="s">
        <v>414</v>
      </c>
    </row>
    <row r="36474" spans="1:3">
      <c r="A36474" s="250">
        <v>85334</v>
      </c>
      <c r="B36474" s="74" t="s">
        <v>17200</v>
      </c>
      <c r="C36474" s="74" t="s">
        <v>414</v>
      </c>
    </row>
    <row r="36475" spans="1:3">
      <c r="A36475" s="250">
        <v>85335</v>
      </c>
      <c r="B36475" s="74" t="s">
        <v>17201</v>
      </c>
      <c r="C36475" s="74" t="s">
        <v>414</v>
      </c>
    </row>
    <row r="36476" spans="1:3">
      <c r="A36476" s="250">
        <v>85336</v>
      </c>
      <c r="B36476" s="74" t="s">
        <v>7613</v>
      </c>
      <c r="C36476" s="74" t="s">
        <v>414</v>
      </c>
    </row>
    <row r="36477" spans="1:3">
      <c r="A36477" s="250">
        <v>85337</v>
      </c>
      <c r="B36477" s="74" t="s">
        <v>17202</v>
      </c>
      <c r="C36477" s="74" t="s">
        <v>414</v>
      </c>
    </row>
    <row r="36478" spans="1:3">
      <c r="A36478" s="250">
        <v>85338</v>
      </c>
      <c r="B36478" s="74" t="s">
        <v>17203</v>
      </c>
      <c r="C36478" s="74" t="s">
        <v>414</v>
      </c>
    </row>
    <row r="36479" spans="1:3">
      <c r="A36479" s="250">
        <v>85339</v>
      </c>
      <c r="B36479" s="74" t="s">
        <v>17204</v>
      </c>
      <c r="C36479" s="74" t="s">
        <v>414</v>
      </c>
    </row>
    <row r="36480" spans="1:3">
      <c r="A36480" s="250">
        <v>85340</v>
      </c>
      <c r="B36480" s="74" t="s">
        <v>17205</v>
      </c>
      <c r="C36480" s="74" t="s">
        <v>414</v>
      </c>
    </row>
    <row r="36481" spans="1:3">
      <c r="A36481" s="250">
        <v>85341</v>
      </c>
      <c r="B36481" s="74" t="s">
        <v>17206</v>
      </c>
      <c r="C36481" s="74" t="s">
        <v>414</v>
      </c>
    </row>
    <row r="36482" spans="1:3">
      <c r="A36482" s="250">
        <v>85342</v>
      </c>
      <c r="B36482" s="74" t="s">
        <v>2353</v>
      </c>
      <c r="C36482" s="74" t="s">
        <v>414</v>
      </c>
    </row>
    <row r="36483" spans="1:3">
      <c r="A36483" s="250">
        <v>85343</v>
      </c>
      <c r="B36483" s="74" t="s">
        <v>17207</v>
      </c>
      <c r="C36483" s="74" t="s">
        <v>414</v>
      </c>
    </row>
    <row r="36484" spans="1:3">
      <c r="A36484" s="250">
        <v>85344</v>
      </c>
      <c r="B36484" s="74" t="s">
        <v>4396</v>
      </c>
      <c r="C36484" s="74" t="s">
        <v>414</v>
      </c>
    </row>
    <row r="36485" spans="1:3">
      <c r="A36485" s="250">
        <v>85345</v>
      </c>
      <c r="B36485" s="74" t="s">
        <v>13730</v>
      </c>
      <c r="C36485" s="74" t="s">
        <v>414</v>
      </c>
    </row>
    <row r="36486" spans="1:3">
      <c r="A36486" s="250">
        <v>85346</v>
      </c>
      <c r="B36486" s="74" t="s">
        <v>17208</v>
      </c>
      <c r="C36486" s="74" t="s">
        <v>414</v>
      </c>
    </row>
    <row r="36487" spans="1:3">
      <c r="A36487" s="250">
        <v>85347</v>
      </c>
      <c r="B36487" s="74" t="s">
        <v>17209</v>
      </c>
      <c r="C36487" s="74" t="s">
        <v>414</v>
      </c>
    </row>
    <row r="36488" spans="1:3">
      <c r="A36488" s="250">
        <v>85348</v>
      </c>
      <c r="B36488" s="74" t="s">
        <v>17210</v>
      </c>
      <c r="C36488" s="74" t="s">
        <v>414</v>
      </c>
    </row>
    <row r="36489" spans="1:3">
      <c r="A36489" s="250">
        <v>85349</v>
      </c>
      <c r="B36489" s="74" t="s">
        <v>16759</v>
      </c>
      <c r="C36489" s="74" t="s">
        <v>414</v>
      </c>
    </row>
    <row r="36490" spans="1:3">
      <c r="A36490" s="250">
        <v>85350</v>
      </c>
      <c r="B36490" s="74" t="s">
        <v>17211</v>
      </c>
      <c r="C36490" s="74" t="s">
        <v>414</v>
      </c>
    </row>
    <row r="36491" spans="1:3">
      <c r="A36491" s="250">
        <v>85351</v>
      </c>
      <c r="B36491" s="74" t="s">
        <v>8481</v>
      </c>
      <c r="C36491" s="74" t="s">
        <v>414</v>
      </c>
    </row>
    <row r="36492" spans="1:3">
      <c r="A36492" s="250">
        <v>85352</v>
      </c>
      <c r="B36492" s="74" t="s">
        <v>17212</v>
      </c>
      <c r="C36492" s="74" t="s">
        <v>414</v>
      </c>
    </row>
    <row r="36493" spans="1:3">
      <c r="A36493" s="250">
        <v>85353</v>
      </c>
      <c r="B36493" s="74" t="s">
        <v>17213</v>
      </c>
      <c r="C36493" s="74" t="s">
        <v>414</v>
      </c>
    </row>
    <row r="36494" spans="1:3">
      <c r="A36494" s="250">
        <v>85354</v>
      </c>
      <c r="B36494" s="74" t="s">
        <v>17214</v>
      </c>
      <c r="C36494" s="74" t="s">
        <v>414</v>
      </c>
    </row>
    <row r="36495" spans="1:3">
      <c r="A36495" s="250">
        <v>85355</v>
      </c>
      <c r="B36495" s="74" t="s">
        <v>17215</v>
      </c>
      <c r="C36495" s="74" t="s">
        <v>414</v>
      </c>
    </row>
    <row r="36496" spans="1:3">
      <c r="A36496" s="250">
        <v>85356</v>
      </c>
      <c r="B36496" s="74" t="s">
        <v>17216</v>
      </c>
      <c r="C36496" s="74" t="s">
        <v>414</v>
      </c>
    </row>
    <row r="36497" spans="1:3">
      <c r="A36497" s="250">
        <v>85357</v>
      </c>
      <c r="B36497" s="74" t="s">
        <v>17217</v>
      </c>
      <c r="C36497" s="74" t="s">
        <v>414</v>
      </c>
    </row>
    <row r="36498" spans="1:3">
      <c r="A36498" s="250">
        <v>85358</v>
      </c>
      <c r="B36498" s="74" t="s">
        <v>17218</v>
      </c>
      <c r="C36498" s="74" t="s">
        <v>414</v>
      </c>
    </row>
    <row r="36499" spans="1:3">
      <c r="A36499" s="250">
        <v>85359</v>
      </c>
      <c r="B36499" s="74" t="s">
        <v>17208</v>
      </c>
      <c r="C36499" s="74" t="s">
        <v>414</v>
      </c>
    </row>
    <row r="36500" spans="1:3">
      <c r="A36500" s="250">
        <v>85360</v>
      </c>
      <c r="B36500" s="74" t="s">
        <v>17219</v>
      </c>
      <c r="C36500" s="74" t="s">
        <v>414</v>
      </c>
    </row>
    <row r="36501" spans="1:3">
      <c r="A36501" s="250">
        <v>85361</v>
      </c>
      <c r="B36501" s="74" t="s">
        <v>17220</v>
      </c>
      <c r="C36501" s="74" t="s">
        <v>414</v>
      </c>
    </row>
    <row r="36502" spans="1:3">
      <c r="A36502" s="250">
        <v>85362</v>
      </c>
      <c r="B36502" s="74" t="s">
        <v>17221</v>
      </c>
      <c r="C36502" s="74" t="s">
        <v>414</v>
      </c>
    </row>
    <row r="36503" spans="1:3">
      <c r="A36503" s="250">
        <v>85363</v>
      </c>
      <c r="B36503" s="74" t="s">
        <v>17222</v>
      </c>
      <c r="C36503" s="74" t="s">
        <v>414</v>
      </c>
    </row>
    <row r="36504" spans="1:3">
      <c r="A36504" s="250">
        <v>85364</v>
      </c>
      <c r="B36504" s="74" t="s">
        <v>9238</v>
      </c>
      <c r="C36504" s="74" t="s">
        <v>414</v>
      </c>
    </row>
    <row r="36505" spans="1:3">
      <c r="A36505" s="250">
        <v>85365</v>
      </c>
      <c r="B36505" s="74" t="s">
        <v>9238</v>
      </c>
      <c r="C36505" s="74" t="s">
        <v>414</v>
      </c>
    </row>
    <row r="36506" spans="1:3">
      <c r="A36506" s="250">
        <v>85366</v>
      </c>
      <c r="B36506" s="74" t="s">
        <v>9238</v>
      </c>
      <c r="C36506" s="74" t="s">
        <v>414</v>
      </c>
    </row>
    <row r="36507" spans="1:3">
      <c r="A36507" s="250">
        <v>85367</v>
      </c>
      <c r="B36507" s="74" t="s">
        <v>9238</v>
      </c>
      <c r="C36507" s="74" t="s">
        <v>414</v>
      </c>
    </row>
    <row r="36508" spans="1:3">
      <c r="A36508" s="250">
        <v>85369</v>
      </c>
      <c r="B36508" s="74" t="s">
        <v>9238</v>
      </c>
      <c r="C36508" s="74" t="s">
        <v>414</v>
      </c>
    </row>
    <row r="36509" spans="1:3">
      <c r="A36509" s="250">
        <v>85371</v>
      </c>
      <c r="B36509" s="74" t="s">
        <v>17223</v>
      </c>
      <c r="C36509" s="74" t="s">
        <v>414</v>
      </c>
    </row>
    <row r="36510" spans="1:3">
      <c r="A36510" s="250">
        <v>85372</v>
      </c>
      <c r="B36510" s="74" t="s">
        <v>8481</v>
      </c>
      <c r="C36510" s="74" t="s">
        <v>414</v>
      </c>
    </row>
    <row r="36511" spans="1:3">
      <c r="A36511" s="250">
        <v>85373</v>
      </c>
      <c r="B36511" s="74" t="s">
        <v>8481</v>
      </c>
      <c r="C36511" s="74" t="s">
        <v>414</v>
      </c>
    </row>
    <row r="36512" spans="1:3">
      <c r="A36512" s="250">
        <v>85374</v>
      </c>
      <c r="B36512" s="74" t="s">
        <v>3015</v>
      </c>
      <c r="C36512" s="74" t="s">
        <v>414</v>
      </c>
    </row>
    <row r="36513" spans="1:3">
      <c r="A36513" s="250">
        <v>85375</v>
      </c>
      <c r="B36513" s="74" t="s">
        <v>17224</v>
      </c>
      <c r="C36513" s="74" t="s">
        <v>414</v>
      </c>
    </row>
    <row r="36514" spans="1:3">
      <c r="A36514" s="250">
        <v>85376</v>
      </c>
      <c r="B36514" s="74" t="s">
        <v>17224</v>
      </c>
      <c r="C36514" s="74" t="s">
        <v>414</v>
      </c>
    </row>
    <row r="36515" spans="1:3">
      <c r="A36515" s="250">
        <v>85377</v>
      </c>
      <c r="B36515" s="74" t="s">
        <v>17225</v>
      </c>
      <c r="C36515" s="74" t="s">
        <v>414</v>
      </c>
    </row>
    <row r="36516" spans="1:3">
      <c r="A36516" s="250">
        <v>85378</v>
      </c>
      <c r="B36516" s="74" t="s">
        <v>3015</v>
      </c>
      <c r="C36516" s="74" t="s">
        <v>414</v>
      </c>
    </row>
    <row r="36517" spans="1:3">
      <c r="A36517" s="250">
        <v>85379</v>
      </c>
      <c r="B36517" s="74" t="s">
        <v>3015</v>
      </c>
      <c r="C36517" s="74" t="s">
        <v>414</v>
      </c>
    </row>
    <row r="36518" spans="1:3">
      <c r="A36518" s="250">
        <v>85380</v>
      </c>
      <c r="B36518" s="74" t="s">
        <v>13730</v>
      </c>
      <c r="C36518" s="74" t="s">
        <v>414</v>
      </c>
    </row>
    <row r="36519" spans="1:3">
      <c r="A36519" s="250">
        <v>85381</v>
      </c>
      <c r="B36519" s="74" t="s">
        <v>13730</v>
      </c>
      <c r="C36519" s="74" t="s">
        <v>414</v>
      </c>
    </row>
    <row r="36520" spans="1:3">
      <c r="A36520" s="250">
        <v>85382</v>
      </c>
      <c r="B36520" s="74" t="s">
        <v>13730</v>
      </c>
      <c r="C36520" s="74" t="s">
        <v>414</v>
      </c>
    </row>
    <row r="36521" spans="1:3">
      <c r="A36521" s="250">
        <v>85383</v>
      </c>
      <c r="B36521" s="74" t="s">
        <v>13730</v>
      </c>
      <c r="C36521" s="74" t="s">
        <v>414</v>
      </c>
    </row>
    <row r="36522" spans="1:3">
      <c r="A36522" s="250">
        <v>85385</v>
      </c>
      <c r="B36522" s="74" t="s">
        <v>13730</v>
      </c>
      <c r="C36522" s="74" t="s">
        <v>414</v>
      </c>
    </row>
    <row r="36523" spans="1:3">
      <c r="A36523" s="250">
        <v>85387</v>
      </c>
      <c r="B36523" s="74" t="s">
        <v>3015</v>
      </c>
      <c r="C36523" s="74" t="s">
        <v>414</v>
      </c>
    </row>
    <row r="36524" spans="1:3">
      <c r="A36524" s="250">
        <v>85388</v>
      </c>
      <c r="B36524" s="74" t="s">
        <v>3015</v>
      </c>
      <c r="C36524" s="74" t="s">
        <v>414</v>
      </c>
    </row>
    <row r="36525" spans="1:3">
      <c r="A36525" s="250">
        <v>85390</v>
      </c>
      <c r="B36525" s="74" t="s">
        <v>17218</v>
      </c>
      <c r="C36525" s="74" t="s">
        <v>414</v>
      </c>
    </row>
    <row r="36526" spans="1:3">
      <c r="A36526" s="250">
        <v>85392</v>
      </c>
      <c r="B36526" s="74" t="s">
        <v>5368</v>
      </c>
      <c r="C36526" s="74" t="s">
        <v>414</v>
      </c>
    </row>
    <row r="36527" spans="1:3">
      <c r="A36527" s="250">
        <v>85395</v>
      </c>
      <c r="B36527" s="74" t="s">
        <v>17203</v>
      </c>
      <c r="C36527" s="74" t="s">
        <v>414</v>
      </c>
    </row>
    <row r="36528" spans="1:3">
      <c r="A36528" s="250">
        <v>85396</v>
      </c>
      <c r="B36528" s="74" t="s">
        <v>6548</v>
      </c>
      <c r="C36528" s="74" t="s">
        <v>414</v>
      </c>
    </row>
    <row r="36529" spans="1:3">
      <c r="A36529" s="250">
        <v>85501</v>
      </c>
      <c r="B36529" s="74" t="s">
        <v>17226</v>
      </c>
      <c r="C36529" s="74" t="s">
        <v>414</v>
      </c>
    </row>
    <row r="36530" spans="1:3">
      <c r="A36530" s="250">
        <v>85502</v>
      </c>
      <c r="B36530" s="74" t="s">
        <v>17226</v>
      </c>
      <c r="C36530" s="74" t="s">
        <v>414</v>
      </c>
    </row>
    <row r="36531" spans="1:3">
      <c r="A36531" s="250">
        <v>85530</v>
      </c>
      <c r="B36531" s="74" t="s">
        <v>17227</v>
      </c>
      <c r="C36531" s="74" t="s">
        <v>414</v>
      </c>
    </row>
    <row r="36532" spans="1:3">
      <c r="A36532" s="250">
        <v>85531</v>
      </c>
      <c r="B36532" s="74" t="s">
        <v>7767</v>
      </c>
      <c r="C36532" s="74" t="s">
        <v>414</v>
      </c>
    </row>
    <row r="36533" spans="1:3">
      <c r="A36533" s="250">
        <v>85532</v>
      </c>
      <c r="B36533" s="74" t="s">
        <v>10708</v>
      </c>
      <c r="C36533" s="74" t="s">
        <v>414</v>
      </c>
    </row>
    <row r="36534" spans="1:3">
      <c r="A36534" s="250">
        <v>85533</v>
      </c>
      <c r="B36534" s="74" t="s">
        <v>2117</v>
      </c>
      <c r="C36534" s="74" t="s">
        <v>414</v>
      </c>
    </row>
    <row r="36535" spans="1:3">
      <c r="A36535" s="250">
        <v>85534</v>
      </c>
      <c r="B36535" s="74" t="s">
        <v>7669</v>
      </c>
      <c r="C36535" s="74" t="s">
        <v>414</v>
      </c>
    </row>
    <row r="36536" spans="1:3">
      <c r="A36536" s="250">
        <v>85535</v>
      </c>
      <c r="B36536" s="74" t="s">
        <v>1844</v>
      </c>
      <c r="C36536" s="74" t="s">
        <v>414</v>
      </c>
    </row>
    <row r="36537" spans="1:3">
      <c r="A36537" s="250">
        <v>85536</v>
      </c>
      <c r="B36537" s="74" t="s">
        <v>9742</v>
      </c>
      <c r="C36537" s="74" t="s">
        <v>414</v>
      </c>
    </row>
    <row r="36538" spans="1:3">
      <c r="A36538" s="250">
        <v>85539</v>
      </c>
      <c r="B36538" s="74" t="s">
        <v>6627</v>
      </c>
      <c r="C36538" s="74" t="s">
        <v>414</v>
      </c>
    </row>
    <row r="36539" spans="1:3">
      <c r="A36539" s="250">
        <v>85540</v>
      </c>
      <c r="B36539" s="74" t="s">
        <v>11234</v>
      </c>
      <c r="C36539" s="74" t="s">
        <v>414</v>
      </c>
    </row>
    <row r="36540" spans="1:3">
      <c r="A36540" s="250">
        <v>85541</v>
      </c>
      <c r="B36540" s="74" t="s">
        <v>13891</v>
      </c>
      <c r="C36540" s="74" t="s">
        <v>414</v>
      </c>
    </row>
    <row r="36541" spans="1:3">
      <c r="A36541" s="250">
        <v>85542</v>
      </c>
      <c r="B36541" s="74" t="s">
        <v>17228</v>
      </c>
      <c r="C36541" s="74" t="s">
        <v>414</v>
      </c>
    </row>
    <row r="36542" spans="1:3">
      <c r="A36542" s="250">
        <v>85543</v>
      </c>
      <c r="B36542" s="74" t="s">
        <v>17229</v>
      </c>
      <c r="C36542" s="74" t="s">
        <v>414</v>
      </c>
    </row>
    <row r="36543" spans="1:3">
      <c r="A36543" s="250">
        <v>85544</v>
      </c>
      <c r="B36543" s="74" t="s">
        <v>16655</v>
      </c>
      <c r="C36543" s="74" t="s">
        <v>414</v>
      </c>
    </row>
    <row r="36544" spans="1:3">
      <c r="A36544" s="250">
        <v>85545</v>
      </c>
      <c r="B36544" s="74" t="s">
        <v>2525</v>
      </c>
      <c r="C36544" s="74" t="s">
        <v>414</v>
      </c>
    </row>
    <row r="36545" spans="1:3">
      <c r="A36545" s="250">
        <v>85546</v>
      </c>
      <c r="B36545" s="74" t="s">
        <v>8954</v>
      </c>
      <c r="C36545" s="74" t="s">
        <v>414</v>
      </c>
    </row>
    <row r="36546" spans="1:3">
      <c r="A36546" s="250">
        <v>85547</v>
      </c>
      <c r="B36546" s="74" t="s">
        <v>13891</v>
      </c>
      <c r="C36546" s="74" t="s">
        <v>414</v>
      </c>
    </row>
    <row r="36547" spans="1:3">
      <c r="A36547" s="250">
        <v>85548</v>
      </c>
      <c r="B36547" s="74" t="s">
        <v>8954</v>
      </c>
      <c r="C36547" s="74" t="s">
        <v>414</v>
      </c>
    </row>
    <row r="36548" spans="1:3">
      <c r="A36548" s="250">
        <v>85550</v>
      </c>
      <c r="B36548" s="74" t="s">
        <v>17230</v>
      </c>
      <c r="C36548" s="74" t="s">
        <v>414</v>
      </c>
    </row>
    <row r="36549" spans="1:3">
      <c r="A36549" s="250">
        <v>85551</v>
      </c>
      <c r="B36549" s="74" t="s">
        <v>14650</v>
      </c>
      <c r="C36549" s="74" t="s">
        <v>414</v>
      </c>
    </row>
    <row r="36550" spans="1:3">
      <c r="A36550" s="250">
        <v>85552</v>
      </c>
      <c r="B36550" s="74" t="s">
        <v>16937</v>
      </c>
      <c r="C36550" s="74" t="s">
        <v>414</v>
      </c>
    </row>
    <row r="36551" spans="1:3">
      <c r="A36551" s="250">
        <v>85553</v>
      </c>
      <c r="B36551" s="74" t="s">
        <v>17231</v>
      </c>
      <c r="C36551" s="74" t="s">
        <v>414</v>
      </c>
    </row>
    <row r="36552" spans="1:3">
      <c r="A36552" s="250">
        <v>85554</v>
      </c>
      <c r="B36552" s="74" t="s">
        <v>17232</v>
      </c>
      <c r="C36552" s="74" t="s">
        <v>414</v>
      </c>
    </row>
    <row r="36553" spans="1:3">
      <c r="A36553" s="250">
        <v>85601</v>
      </c>
      <c r="B36553" s="74" t="s">
        <v>17233</v>
      </c>
      <c r="C36553" s="74" t="s">
        <v>414</v>
      </c>
    </row>
    <row r="36554" spans="1:3">
      <c r="A36554" s="250">
        <v>85602</v>
      </c>
      <c r="B36554" s="74" t="s">
        <v>1862</v>
      </c>
      <c r="C36554" s="74" t="s">
        <v>414</v>
      </c>
    </row>
    <row r="36555" spans="1:3">
      <c r="A36555" s="250">
        <v>85603</v>
      </c>
      <c r="B36555" s="74" t="s">
        <v>13064</v>
      </c>
      <c r="C36555" s="74" t="s">
        <v>414</v>
      </c>
    </row>
    <row r="36556" spans="1:3">
      <c r="A36556" s="250">
        <v>85605</v>
      </c>
      <c r="B36556" s="74" t="s">
        <v>5602</v>
      </c>
      <c r="C36556" s="74" t="s">
        <v>414</v>
      </c>
    </row>
    <row r="36557" spans="1:3">
      <c r="A36557" s="250">
        <v>85606</v>
      </c>
      <c r="B36557" s="74" t="s">
        <v>17234</v>
      </c>
      <c r="C36557" s="74" t="s">
        <v>414</v>
      </c>
    </row>
    <row r="36558" spans="1:3">
      <c r="A36558" s="250">
        <v>85607</v>
      </c>
      <c r="B36558" s="74" t="s">
        <v>734</v>
      </c>
      <c r="C36558" s="74" t="s">
        <v>414</v>
      </c>
    </row>
    <row r="36559" spans="1:3">
      <c r="A36559" s="250">
        <v>85608</v>
      </c>
      <c r="B36559" s="74" t="s">
        <v>734</v>
      </c>
      <c r="C36559" s="74" t="s">
        <v>414</v>
      </c>
    </row>
    <row r="36560" spans="1:3">
      <c r="A36560" s="250">
        <v>85609</v>
      </c>
      <c r="B36560" s="74" t="s">
        <v>17235</v>
      </c>
      <c r="C36560" s="74" t="s">
        <v>414</v>
      </c>
    </row>
    <row r="36561" spans="1:3">
      <c r="A36561" s="250">
        <v>85610</v>
      </c>
      <c r="B36561" s="74" t="s">
        <v>17236</v>
      </c>
      <c r="C36561" s="74" t="s">
        <v>414</v>
      </c>
    </row>
    <row r="36562" spans="1:3">
      <c r="A36562" s="250">
        <v>85611</v>
      </c>
      <c r="B36562" s="74" t="s">
        <v>4511</v>
      </c>
      <c r="C36562" s="74" t="s">
        <v>414</v>
      </c>
    </row>
    <row r="36563" spans="1:3">
      <c r="A36563" s="250">
        <v>85613</v>
      </c>
      <c r="B36563" s="74" t="s">
        <v>17237</v>
      </c>
      <c r="C36563" s="74" t="s">
        <v>414</v>
      </c>
    </row>
    <row r="36564" spans="1:3">
      <c r="A36564" s="250">
        <v>85614</v>
      </c>
      <c r="B36564" s="74" t="s">
        <v>12101</v>
      </c>
      <c r="C36564" s="74" t="s">
        <v>414</v>
      </c>
    </row>
    <row r="36565" spans="1:3">
      <c r="A36565" s="250">
        <v>85615</v>
      </c>
      <c r="B36565" s="74" t="s">
        <v>5047</v>
      </c>
      <c r="C36565" s="74" t="s">
        <v>414</v>
      </c>
    </row>
    <row r="36566" spans="1:3">
      <c r="A36566" s="250">
        <v>85616</v>
      </c>
      <c r="B36566" s="74" t="s">
        <v>17238</v>
      </c>
      <c r="C36566" s="74" t="s">
        <v>414</v>
      </c>
    </row>
    <row r="36567" spans="1:3">
      <c r="A36567" s="250">
        <v>85617</v>
      </c>
      <c r="B36567" s="74" t="s">
        <v>17239</v>
      </c>
      <c r="C36567" s="74" t="s">
        <v>414</v>
      </c>
    </row>
    <row r="36568" spans="1:3">
      <c r="A36568" s="250">
        <v>85618</v>
      </c>
      <c r="B36568" s="74" t="s">
        <v>4224</v>
      </c>
      <c r="C36568" s="74" t="s">
        <v>414</v>
      </c>
    </row>
    <row r="36569" spans="1:3">
      <c r="A36569" s="250">
        <v>85619</v>
      </c>
      <c r="B36569" s="74" t="s">
        <v>17240</v>
      </c>
      <c r="C36569" s="74" t="s">
        <v>414</v>
      </c>
    </row>
    <row r="36570" spans="1:3">
      <c r="A36570" s="250">
        <v>85620</v>
      </c>
      <c r="B36570" s="74" t="s">
        <v>17241</v>
      </c>
      <c r="C36570" s="74" t="s">
        <v>414</v>
      </c>
    </row>
    <row r="36571" spans="1:3">
      <c r="A36571" s="250">
        <v>85621</v>
      </c>
      <c r="B36571" s="74" t="s">
        <v>17242</v>
      </c>
      <c r="C36571" s="74" t="s">
        <v>414</v>
      </c>
    </row>
    <row r="36572" spans="1:3">
      <c r="A36572" s="250">
        <v>85622</v>
      </c>
      <c r="B36572" s="74" t="s">
        <v>12101</v>
      </c>
      <c r="C36572" s="74" t="s">
        <v>414</v>
      </c>
    </row>
    <row r="36573" spans="1:3">
      <c r="A36573" s="250">
        <v>85623</v>
      </c>
      <c r="B36573" s="74" t="s">
        <v>17243</v>
      </c>
      <c r="C36573" s="74" t="s">
        <v>414</v>
      </c>
    </row>
    <row r="36574" spans="1:3">
      <c r="A36574" s="250">
        <v>85624</v>
      </c>
      <c r="B36574" s="74" t="s">
        <v>17244</v>
      </c>
      <c r="C36574" s="74" t="s">
        <v>414</v>
      </c>
    </row>
    <row r="36575" spans="1:3">
      <c r="A36575" s="250">
        <v>85625</v>
      </c>
      <c r="B36575" s="74" t="s">
        <v>17245</v>
      </c>
      <c r="C36575" s="74" t="s">
        <v>414</v>
      </c>
    </row>
    <row r="36576" spans="1:3">
      <c r="A36576" s="250">
        <v>85626</v>
      </c>
      <c r="B36576" s="74" t="s">
        <v>17246</v>
      </c>
      <c r="C36576" s="74" t="s">
        <v>414</v>
      </c>
    </row>
    <row r="36577" spans="1:3">
      <c r="A36577" s="250">
        <v>85627</v>
      </c>
      <c r="B36577" s="74" t="s">
        <v>17247</v>
      </c>
      <c r="C36577" s="74" t="s">
        <v>414</v>
      </c>
    </row>
    <row r="36578" spans="1:3">
      <c r="A36578" s="250">
        <v>85628</v>
      </c>
      <c r="B36578" s="74" t="s">
        <v>17242</v>
      </c>
      <c r="C36578" s="74" t="s">
        <v>414</v>
      </c>
    </row>
    <row r="36579" spans="1:3">
      <c r="A36579" s="250">
        <v>85629</v>
      </c>
      <c r="B36579" s="74" t="s">
        <v>17248</v>
      </c>
      <c r="C36579" s="74" t="s">
        <v>414</v>
      </c>
    </row>
    <row r="36580" spans="1:3">
      <c r="A36580" s="250">
        <v>85630</v>
      </c>
      <c r="B36580" s="74" t="s">
        <v>1649</v>
      </c>
      <c r="C36580" s="74" t="s">
        <v>414</v>
      </c>
    </row>
    <row r="36581" spans="1:3">
      <c r="A36581" s="250">
        <v>85631</v>
      </c>
      <c r="B36581" s="74" t="s">
        <v>17249</v>
      </c>
      <c r="C36581" s="74" t="s">
        <v>414</v>
      </c>
    </row>
    <row r="36582" spans="1:3">
      <c r="A36582" s="250">
        <v>85632</v>
      </c>
      <c r="B36582" s="74" t="s">
        <v>17250</v>
      </c>
      <c r="C36582" s="74" t="s">
        <v>414</v>
      </c>
    </row>
    <row r="36583" spans="1:3">
      <c r="A36583" s="250">
        <v>85633</v>
      </c>
      <c r="B36583" s="74" t="s">
        <v>17251</v>
      </c>
      <c r="C36583" s="74" t="s">
        <v>414</v>
      </c>
    </row>
    <row r="36584" spans="1:3">
      <c r="A36584" s="250">
        <v>85634</v>
      </c>
      <c r="B36584" s="74" t="s">
        <v>17252</v>
      </c>
      <c r="C36584" s="74" t="s">
        <v>414</v>
      </c>
    </row>
    <row r="36585" spans="1:3">
      <c r="A36585" s="250">
        <v>85635</v>
      </c>
      <c r="B36585" s="74" t="s">
        <v>17253</v>
      </c>
      <c r="C36585" s="74" t="s">
        <v>414</v>
      </c>
    </row>
    <row r="36586" spans="1:3">
      <c r="A36586" s="250">
        <v>85636</v>
      </c>
      <c r="B36586" s="74" t="s">
        <v>17253</v>
      </c>
      <c r="C36586" s="74" t="s">
        <v>414</v>
      </c>
    </row>
    <row r="36587" spans="1:3">
      <c r="A36587" s="250">
        <v>85637</v>
      </c>
      <c r="B36587" s="74" t="s">
        <v>17254</v>
      </c>
      <c r="C36587" s="74" t="s">
        <v>414</v>
      </c>
    </row>
    <row r="36588" spans="1:3">
      <c r="A36588" s="250">
        <v>85638</v>
      </c>
      <c r="B36588" s="74" t="s">
        <v>17255</v>
      </c>
      <c r="C36588" s="74" t="s">
        <v>414</v>
      </c>
    </row>
    <row r="36589" spans="1:3">
      <c r="A36589" s="250">
        <v>85639</v>
      </c>
      <c r="B36589" s="74" t="s">
        <v>17256</v>
      </c>
      <c r="C36589" s="74" t="s">
        <v>414</v>
      </c>
    </row>
    <row r="36590" spans="1:3">
      <c r="A36590" s="250">
        <v>85640</v>
      </c>
      <c r="B36590" s="74" t="s">
        <v>17257</v>
      </c>
      <c r="C36590" s="74" t="s">
        <v>414</v>
      </c>
    </row>
    <row r="36591" spans="1:3">
      <c r="A36591" s="250">
        <v>85641</v>
      </c>
      <c r="B36591" s="74" t="s">
        <v>11761</v>
      </c>
      <c r="C36591" s="74" t="s">
        <v>414</v>
      </c>
    </row>
    <row r="36592" spans="1:3">
      <c r="A36592" s="250">
        <v>85643</v>
      </c>
      <c r="B36592" s="74" t="s">
        <v>17258</v>
      </c>
      <c r="C36592" s="74" t="s">
        <v>414</v>
      </c>
    </row>
    <row r="36593" spans="1:3">
      <c r="A36593" s="250">
        <v>85644</v>
      </c>
      <c r="B36593" s="74" t="s">
        <v>17258</v>
      </c>
      <c r="C36593" s="74" t="s">
        <v>414</v>
      </c>
    </row>
    <row r="36594" spans="1:3">
      <c r="A36594" s="250">
        <v>85645</v>
      </c>
      <c r="B36594" s="74" t="s">
        <v>17259</v>
      </c>
      <c r="C36594" s="74" t="s">
        <v>414</v>
      </c>
    </row>
    <row r="36595" spans="1:3">
      <c r="A36595" s="250">
        <v>85646</v>
      </c>
      <c r="B36595" s="74" t="s">
        <v>17260</v>
      </c>
      <c r="C36595" s="74" t="s">
        <v>414</v>
      </c>
    </row>
    <row r="36596" spans="1:3">
      <c r="A36596" s="250">
        <v>85648</v>
      </c>
      <c r="B36596" s="74" t="s">
        <v>17261</v>
      </c>
      <c r="C36596" s="74" t="s">
        <v>414</v>
      </c>
    </row>
    <row r="36597" spans="1:3">
      <c r="A36597" s="250">
        <v>85650</v>
      </c>
      <c r="B36597" s="74" t="s">
        <v>17253</v>
      </c>
      <c r="C36597" s="74" t="s">
        <v>414</v>
      </c>
    </row>
    <row r="36598" spans="1:3">
      <c r="A36598" s="250">
        <v>85652</v>
      </c>
      <c r="B36598" s="74" t="s">
        <v>17262</v>
      </c>
      <c r="C36598" s="74" t="s">
        <v>414</v>
      </c>
    </row>
    <row r="36599" spans="1:3">
      <c r="A36599" s="250">
        <v>85653</v>
      </c>
      <c r="B36599" s="74" t="s">
        <v>17263</v>
      </c>
      <c r="C36599" s="74" t="s">
        <v>414</v>
      </c>
    </row>
    <row r="36600" spans="1:3">
      <c r="A36600" s="250">
        <v>85654</v>
      </c>
      <c r="B36600" s="74" t="s">
        <v>17264</v>
      </c>
      <c r="C36600" s="74" t="s">
        <v>414</v>
      </c>
    </row>
    <row r="36601" spans="1:3">
      <c r="A36601" s="250">
        <v>85655</v>
      </c>
      <c r="B36601" s="74" t="s">
        <v>734</v>
      </c>
      <c r="C36601" s="74" t="s">
        <v>414</v>
      </c>
    </row>
    <row r="36602" spans="1:3">
      <c r="A36602" s="250">
        <v>85658</v>
      </c>
      <c r="B36602" s="74" t="s">
        <v>17263</v>
      </c>
      <c r="C36602" s="74" t="s">
        <v>414</v>
      </c>
    </row>
    <row r="36603" spans="1:3">
      <c r="A36603" s="250">
        <v>85662</v>
      </c>
      <c r="B36603" s="74" t="s">
        <v>17242</v>
      </c>
      <c r="C36603" s="74" t="s">
        <v>414</v>
      </c>
    </row>
    <row r="36604" spans="1:3">
      <c r="A36604" s="250">
        <v>85670</v>
      </c>
      <c r="B36604" s="74" t="s">
        <v>17237</v>
      </c>
      <c r="C36604" s="74" t="s">
        <v>414</v>
      </c>
    </row>
    <row r="36605" spans="1:3">
      <c r="A36605" s="250">
        <v>85671</v>
      </c>
      <c r="B36605" s="74" t="s">
        <v>17253</v>
      </c>
      <c r="C36605" s="74" t="s">
        <v>414</v>
      </c>
    </row>
    <row r="36606" spans="1:3">
      <c r="A36606" s="250">
        <v>85701</v>
      </c>
      <c r="B36606" s="74" t="s">
        <v>17265</v>
      </c>
      <c r="C36606" s="74" t="s">
        <v>414</v>
      </c>
    </row>
    <row r="36607" spans="1:3">
      <c r="A36607" s="250">
        <v>85702</v>
      </c>
      <c r="B36607" s="74" t="s">
        <v>17265</v>
      </c>
      <c r="C36607" s="74" t="s">
        <v>414</v>
      </c>
    </row>
    <row r="36608" spans="1:3">
      <c r="A36608" s="250">
        <v>85703</v>
      </c>
      <c r="B36608" s="74" t="s">
        <v>17265</v>
      </c>
      <c r="C36608" s="74" t="s">
        <v>414</v>
      </c>
    </row>
    <row r="36609" spans="1:3">
      <c r="A36609" s="250">
        <v>85704</v>
      </c>
      <c r="B36609" s="74" t="s">
        <v>17265</v>
      </c>
      <c r="C36609" s="74" t="s">
        <v>414</v>
      </c>
    </row>
    <row r="36610" spans="1:3">
      <c r="A36610" s="250">
        <v>85705</v>
      </c>
      <c r="B36610" s="74" t="s">
        <v>17265</v>
      </c>
      <c r="C36610" s="74" t="s">
        <v>414</v>
      </c>
    </row>
    <row r="36611" spans="1:3">
      <c r="A36611" s="250">
        <v>85706</v>
      </c>
      <c r="B36611" s="74" t="s">
        <v>17265</v>
      </c>
      <c r="C36611" s="74" t="s">
        <v>414</v>
      </c>
    </row>
    <row r="36612" spans="1:3">
      <c r="A36612" s="250">
        <v>85707</v>
      </c>
      <c r="B36612" s="74" t="s">
        <v>17265</v>
      </c>
      <c r="C36612" s="74" t="s">
        <v>414</v>
      </c>
    </row>
    <row r="36613" spans="1:3">
      <c r="A36613" s="250">
        <v>85708</v>
      </c>
      <c r="B36613" s="74" t="s">
        <v>17265</v>
      </c>
      <c r="C36613" s="74" t="s">
        <v>414</v>
      </c>
    </row>
    <row r="36614" spans="1:3">
      <c r="A36614" s="250">
        <v>85709</v>
      </c>
      <c r="B36614" s="74" t="s">
        <v>17265</v>
      </c>
      <c r="C36614" s="74" t="s">
        <v>414</v>
      </c>
    </row>
    <row r="36615" spans="1:3">
      <c r="A36615" s="250">
        <v>85710</v>
      </c>
      <c r="B36615" s="74" t="s">
        <v>17265</v>
      </c>
      <c r="C36615" s="74" t="s">
        <v>414</v>
      </c>
    </row>
    <row r="36616" spans="1:3">
      <c r="A36616" s="250">
        <v>85711</v>
      </c>
      <c r="B36616" s="74" t="s">
        <v>17265</v>
      </c>
      <c r="C36616" s="74" t="s">
        <v>414</v>
      </c>
    </row>
    <row r="36617" spans="1:3">
      <c r="A36617" s="250">
        <v>85712</v>
      </c>
      <c r="B36617" s="74" t="s">
        <v>17265</v>
      </c>
      <c r="C36617" s="74" t="s">
        <v>414</v>
      </c>
    </row>
    <row r="36618" spans="1:3">
      <c r="A36618" s="250">
        <v>85713</v>
      </c>
      <c r="B36618" s="74" t="s">
        <v>17265</v>
      </c>
      <c r="C36618" s="74" t="s">
        <v>414</v>
      </c>
    </row>
    <row r="36619" spans="1:3">
      <c r="A36619" s="250">
        <v>85714</v>
      </c>
      <c r="B36619" s="74" t="s">
        <v>17265</v>
      </c>
      <c r="C36619" s="74" t="s">
        <v>414</v>
      </c>
    </row>
    <row r="36620" spans="1:3">
      <c r="A36620" s="250">
        <v>85715</v>
      </c>
      <c r="B36620" s="74" t="s">
        <v>17265</v>
      </c>
      <c r="C36620" s="74" t="s">
        <v>414</v>
      </c>
    </row>
    <row r="36621" spans="1:3">
      <c r="A36621" s="250">
        <v>85716</v>
      </c>
      <c r="B36621" s="74" t="s">
        <v>17265</v>
      </c>
      <c r="C36621" s="74" t="s">
        <v>414</v>
      </c>
    </row>
    <row r="36622" spans="1:3">
      <c r="A36622" s="250">
        <v>85717</v>
      </c>
      <c r="B36622" s="74" t="s">
        <v>17265</v>
      </c>
      <c r="C36622" s="74" t="s">
        <v>414</v>
      </c>
    </row>
    <row r="36623" spans="1:3">
      <c r="A36623" s="250">
        <v>85718</v>
      </c>
      <c r="B36623" s="74" t="s">
        <v>17265</v>
      </c>
      <c r="C36623" s="74" t="s">
        <v>414</v>
      </c>
    </row>
    <row r="36624" spans="1:3">
      <c r="A36624" s="250">
        <v>85719</v>
      </c>
      <c r="B36624" s="74" t="s">
        <v>17265</v>
      </c>
      <c r="C36624" s="74" t="s">
        <v>414</v>
      </c>
    </row>
    <row r="36625" spans="1:3">
      <c r="A36625" s="250">
        <v>85720</v>
      </c>
      <c r="B36625" s="74" t="s">
        <v>17265</v>
      </c>
      <c r="C36625" s="74" t="s">
        <v>414</v>
      </c>
    </row>
    <row r="36626" spans="1:3">
      <c r="A36626" s="250">
        <v>85721</v>
      </c>
      <c r="B36626" s="74" t="s">
        <v>17265</v>
      </c>
      <c r="C36626" s="74" t="s">
        <v>414</v>
      </c>
    </row>
    <row r="36627" spans="1:3">
      <c r="A36627" s="250">
        <v>85722</v>
      </c>
      <c r="B36627" s="74" t="s">
        <v>17265</v>
      </c>
      <c r="C36627" s="74" t="s">
        <v>414</v>
      </c>
    </row>
    <row r="36628" spans="1:3">
      <c r="A36628" s="250">
        <v>85723</v>
      </c>
      <c r="B36628" s="74" t="s">
        <v>17265</v>
      </c>
      <c r="C36628" s="74" t="s">
        <v>414</v>
      </c>
    </row>
    <row r="36629" spans="1:3">
      <c r="A36629" s="250">
        <v>85724</v>
      </c>
      <c r="B36629" s="74" t="s">
        <v>17265</v>
      </c>
      <c r="C36629" s="74" t="s">
        <v>414</v>
      </c>
    </row>
    <row r="36630" spans="1:3">
      <c r="A36630" s="250">
        <v>85725</v>
      </c>
      <c r="B36630" s="74" t="s">
        <v>17265</v>
      </c>
      <c r="C36630" s="74" t="s">
        <v>414</v>
      </c>
    </row>
    <row r="36631" spans="1:3">
      <c r="A36631" s="250">
        <v>85726</v>
      </c>
      <c r="B36631" s="74" t="s">
        <v>17265</v>
      </c>
      <c r="C36631" s="74" t="s">
        <v>414</v>
      </c>
    </row>
    <row r="36632" spans="1:3">
      <c r="A36632" s="250">
        <v>85728</v>
      </c>
      <c r="B36632" s="74" t="s">
        <v>17265</v>
      </c>
      <c r="C36632" s="74" t="s">
        <v>414</v>
      </c>
    </row>
    <row r="36633" spans="1:3">
      <c r="A36633" s="250">
        <v>85730</v>
      </c>
      <c r="B36633" s="74" t="s">
        <v>17265</v>
      </c>
      <c r="C36633" s="74" t="s">
        <v>414</v>
      </c>
    </row>
    <row r="36634" spans="1:3">
      <c r="A36634" s="250">
        <v>85731</v>
      </c>
      <c r="B36634" s="74" t="s">
        <v>17265</v>
      </c>
      <c r="C36634" s="74" t="s">
        <v>414</v>
      </c>
    </row>
    <row r="36635" spans="1:3">
      <c r="A36635" s="250">
        <v>85732</v>
      </c>
      <c r="B36635" s="74" t="s">
        <v>17265</v>
      </c>
      <c r="C36635" s="74" t="s">
        <v>414</v>
      </c>
    </row>
    <row r="36636" spans="1:3">
      <c r="A36636" s="250">
        <v>85733</v>
      </c>
      <c r="B36636" s="74" t="s">
        <v>17265</v>
      </c>
      <c r="C36636" s="74" t="s">
        <v>414</v>
      </c>
    </row>
    <row r="36637" spans="1:3">
      <c r="A36637" s="250">
        <v>85734</v>
      </c>
      <c r="B36637" s="74" t="s">
        <v>17265</v>
      </c>
      <c r="C36637" s="74" t="s">
        <v>414</v>
      </c>
    </row>
    <row r="36638" spans="1:3">
      <c r="A36638" s="250">
        <v>85735</v>
      </c>
      <c r="B36638" s="74" t="s">
        <v>17265</v>
      </c>
      <c r="C36638" s="74" t="s">
        <v>414</v>
      </c>
    </row>
    <row r="36639" spans="1:3">
      <c r="A36639" s="250">
        <v>85736</v>
      </c>
      <c r="B36639" s="74" t="s">
        <v>17265</v>
      </c>
      <c r="C36639" s="74" t="s">
        <v>414</v>
      </c>
    </row>
    <row r="36640" spans="1:3">
      <c r="A36640" s="250">
        <v>85737</v>
      </c>
      <c r="B36640" s="74" t="s">
        <v>17265</v>
      </c>
      <c r="C36640" s="74" t="s">
        <v>414</v>
      </c>
    </row>
    <row r="36641" spans="1:3">
      <c r="A36641" s="250">
        <v>85738</v>
      </c>
      <c r="B36641" s="74" t="s">
        <v>17266</v>
      </c>
      <c r="C36641" s="74" t="s">
        <v>414</v>
      </c>
    </row>
    <row r="36642" spans="1:3">
      <c r="A36642" s="250">
        <v>85739</v>
      </c>
      <c r="B36642" s="74" t="s">
        <v>17265</v>
      </c>
      <c r="C36642" s="74" t="s">
        <v>414</v>
      </c>
    </row>
    <row r="36643" spans="1:3">
      <c r="A36643" s="250">
        <v>85740</v>
      </c>
      <c r="B36643" s="74" t="s">
        <v>17265</v>
      </c>
      <c r="C36643" s="74" t="s">
        <v>414</v>
      </c>
    </row>
    <row r="36644" spans="1:3">
      <c r="A36644" s="250">
        <v>85741</v>
      </c>
      <c r="B36644" s="74" t="s">
        <v>17265</v>
      </c>
      <c r="C36644" s="74" t="s">
        <v>414</v>
      </c>
    </row>
    <row r="36645" spans="1:3">
      <c r="A36645" s="250">
        <v>85742</v>
      </c>
      <c r="B36645" s="74" t="s">
        <v>17265</v>
      </c>
      <c r="C36645" s="74" t="s">
        <v>414</v>
      </c>
    </row>
    <row r="36646" spans="1:3">
      <c r="A36646" s="250">
        <v>85743</v>
      </c>
      <c r="B36646" s="74" t="s">
        <v>17265</v>
      </c>
      <c r="C36646" s="74" t="s">
        <v>414</v>
      </c>
    </row>
    <row r="36647" spans="1:3">
      <c r="A36647" s="250">
        <v>85744</v>
      </c>
      <c r="B36647" s="74" t="s">
        <v>17265</v>
      </c>
      <c r="C36647" s="74" t="s">
        <v>414</v>
      </c>
    </row>
    <row r="36648" spans="1:3">
      <c r="A36648" s="250">
        <v>85745</v>
      </c>
      <c r="B36648" s="74" t="s">
        <v>17265</v>
      </c>
      <c r="C36648" s="74" t="s">
        <v>414</v>
      </c>
    </row>
    <row r="36649" spans="1:3">
      <c r="A36649" s="250">
        <v>85746</v>
      </c>
      <c r="B36649" s="74" t="s">
        <v>17265</v>
      </c>
      <c r="C36649" s="74" t="s">
        <v>414</v>
      </c>
    </row>
    <row r="36650" spans="1:3">
      <c r="A36650" s="250">
        <v>85747</v>
      </c>
      <c r="B36650" s="74" t="s">
        <v>17265</v>
      </c>
      <c r="C36650" s="74" t="s">
        <v>414</v>
      </c>
    </row>
    <row r="36651" spans="1:3">
      <c r="A36651" s="250">
        <v>85748</v>
      </c>
      <c r="B36651" s="74" t="s">
        <v>17265</v>
      </c>
      <c r="C36651" s="74" t="s">
        <v>414</v>
      </c>
    </row>
    <row r="36652" spans="1:3">
      <c r="A36652" s="250">
        <v>85749</v>
      </c>
      <c r="B36652" s="74" t="s">
        <v>17265</v>
      </c>
      <c r="C36652" s="74" t="s">
        <v>414</v>
      </c>
    </row>
    <row r="36653" spans="1:3">
      <c r="A36653" s="250">
        <v>85750</v>
      </c>
      <c r="B36653" s="74" t="s">
        <v>17265</v>
      </c>
      <c r="C36653" s="74" t="s">
        <v>414</v>
      </c>
    </row>
    <row r="36654" spans="1:3">
      <c r="A36654" s="250">
        <v>85751</v>
      </c>
      <c r="B36654" s="74" t="s">
        <v>17265</v>
      </c>
      <c r="C36654" s="74" t="s">
        <v>414</v>
      </c>
    </row>
    <row r="36655" spans="1:3">
      <c r="A36655" s="250">
        <v>85752</v>
      </c>
      <c r="B36655" s="74" t="s">
        <v>17265</v>
      </c>
      <c r="C36655" s="74" t="s">
        <v>414</v>
      </c>
    </row>
    <row r="36656" spans="1:3">
      <c r="A36656" s="250">
        <v>85754</v>
      </c>
      <c r="B36656" s="74" t="s">
        <v>17265</v>
      </c>
      <c r="C36656" s="74" t="s">
        <v>414</v>
      </c>
    </row>
    <row r="36657" spans="1:3">
      <c r="A36657" s="250">
        <v>85755</v>
      </c>
      <c r="B36657" s="74" t="s">
        <v>17265</v>
      </c>
      <c r="C36657" s="74" t="s">
        <v>414</v>
      </c>
    </row>
    <row r="36658" spans="1:3">
      <c r="A36658" s="250">
        <v>85756</v>
      </c>
      <c r="B36658" s="74" t="s">
        <v>17265</v>
      </c>
      <c r="C36658" s="74" t="s">
        <v>414</v>
      </c>
    </row>
    <row r="36659" spans="1:3">
      <c r="A36659" s="250">
        <v>85757</v>
      </c>
      <c r="B36659" s="74" t="s">
        <v>17265</v>
      </c>
      <c r="C36659" s="74" t="s">
        <v>414</v>
      </c>
    </row>
    <row r="36660" spans="1:3">
      <c r="A36660" s="250">
        <v>85775</v>
      </c>
      <c r="B36660" s="74" t="s">
        <v>17265</v>
      </c>
      <c r="C36660" s="74" t="s">
        <v>414</v>
      </c>
    </row>
    <row r="36661" spans="1:3">
      <c r="A36661" s="250">
        <v>85777</v>
      </c>
      <c r="B36661" s="74" t="s">
        <v>17265</v>
      </c>
      <c r="C36661" s="74" t="s">
        <v>414</v>
      </c>
    </row>
    <row r="36662" spans="1:3">
      <c r="A36662" s="250">
        <v>85901</v>
      </c>
      <c r="B36662" s="74" t="s">
        <v>17267</v>
      </c>
      <c r="C36662" s="74" t="s">
        <v>414</v>
      </c>
    </row>
    <row r="36663" spans="1:3">
      <c r="A36663" s="250">
        <v>85902</v>
      </c>
      <c r="B36663" s="74" t="s">
        <v>17267</v>
      </c>
      <c r="C36663" s="74" t="s">
        <v>414</v>
      </c>
    </row>
    <row r="36664" spans="1:3">
      <c r="A36664" s="250">
        <v>85911</v>
      </c>
      <c r="B36664" s="74" t="s">
        <v>17268</v>
      </c>
      <c r="C36664" s="74" t="s">
        <v>414</v>
      </c>
    </row>
    <row r="36665" spans="1:3">
      <c r="A36665" s="250">
        <v>85912</v>
      </c>
      <c r="B36665" s="74" t="s">
        <v>17269</v>
      </c>
      <c r="C36665" s="74" t="s">
        <v>414</v>
      </c>
    </row>
    <row r="36666" spans="1:3">
      <c r="A36666" s="250">
        <v>85920</v>
      </c>
      <c r="B36666" s="74" t="s">
        <v>2225</v>
      </c>
      <c r="C36666" s="74" t="s">
        <v>414</v>
      </c>
    </row>
    <row r="36667" spans="1:3">
      <c r="A36667" s="250">
        <v>85922</v>
      </c>
      <c r="B36667" s="74" t="s">
        <v>17270</v>
      </c>
      <c r="C36667" s="74" t="s">
        <v>414</v>
      </c>
    </row>
    <row r="36668" spans="1:3">
      <c r="A36668" s="250">
        <v>85923</v>
      </c>
      <c r="B36668" s="74" t="s">
        <v>17271</v>
      </c>
      <c r="C36668" s="74" t="s">
        <v>414</v>
      </c>
    </row>
    <row r="36669" spans="1:3">
      <c r="A36669" s="250">
        <v>85924</v>
      </c>
      <c r="B36669" s="74" t="s">
        <v>15518</v>
      </c>
      <c r="C36669" s="74" t="s">
        <v>414</v>
      </c>
    </row>
    <row r="36670" spans="1:3">
      <c r="A36670" s="250">
        <v>85925</v>
      </c>
      <c r="B36670" s="74" t="s">
        <v>17272</v>
      </c>
      <c r="C36670" s="74" t="s">
        <v>414</v>
      </c>
    </row>
    <row r="36671" spans="1:3">
      <c r="A36671" s="250">
        <v>85926</v>
      </c>
      <c r="B36671" s="74" t="s">
        <v>17273</v>
      </c>
      <c r="C36671" s="74" t="s">
        <v>414</v>
      </c>
    </row>
    <row r="36672" spans="1:3">
      <c r="A36672" s="250">
        <v>85927</v>
      </c>
      <c r="B36672" s="74" t="s">
        <v>7776</v>
      </c>
      <c r="C36672" s="74" t="s">
        <v>414</v>
      </c>
    </row>
    <row r="36673" spans="1:3">
      <c r="A36673" s="250">
        <v>85928</v>
      </c>
      <c r="B36673" s="74" t="s">
        <v>17274</v>
      </c>
      <c r="C36673" s="74" t="s">
        <v>414</v>
      </c>
    </row>
    <row r="36674" spans="1:3">
      <c r="A36674" s="250">
        <v>85929</v>
      </c>
      <c r="B36674" s="74" t="s">
        <v>2085</v>
      </c>
      <c r="C36674" s="74" t="s">
        <v>414</v>
      </c>
    </row>
    <row r="36675" spans="1:3">
      <c r="A36675" s="250">
        <v>85930</v>
      </c>
      <c r="B36675" s="74" t="s">
        <v>17275</v>
      </c>
      <c r="C36675" s="74" t="s">
        <v>414</v>
      </c>
    </row>
    <row r="36676" spans="1:3">
      <c r="A36676" s="250">
        <v>85931</v>
      </c>
      <c r="B36676" s="74" t="s">
        <v>17276</v>
      </c>
      <c r="C36676" s="74" t="s">
        <v>414</v>
      </c>
    </row>
    <row r="36677" spans="1:3">
      <c r="A36677" s="250">
        <v>85932</v>
      </c>
      <c r="B36677" s="74" t="s">
        <v>17277</v>
      </c>
      <c r="C36677" s="74" t="s">
        <v>414</v>
      </c>
    </row>
    <row r="36678" spans="1:3">
      <c r="A36678" s="250">
        <v>85933</v>
      </c>
      <c r="B36678" s="74" t="s">
        <v>17278</v>
      </c>
      <c r="C36678" s="74" t="s">
        <v>414</v>
      </c>
    </row>
    <row r="36679" spans="1:3">
      <c r="A36679" s="250">
        <v>85934</v>
      </c>
      <c r="B36679" s="74" t="s">
        <v>16906</v>
      </c>
      <c r="C36679" s="74" t="s">
        <v>414</v>
      </c>
    </row>
    <row r="36680" spans="1:3">
      <c r="A36680" s="250">
        <v>85935</v>
      </c>
      <c r="B36680" s="74" t="s">
        <v>17279</v>
      </c>
      <c r="C36680" s="74" t="s">
        <v>414</v>
      </c>
    </row>
    <row r="36681" spans="1:3">
      <c r="A36681" s="250">
        <v>85936</v>
      </c>
      <c r="B36681" s="74" t="s">
        <v>5103</v>
      </c>
      <c r="C36681" s="74" t="s">
        <v>414</v>
      </c>
    </row>
    <row r="36682" spans="1:3">
      <c r="A36682" s="250">
        <v>85937</v>
      </c>
      <c r="B36682" s="74" t="s">
        <v>17280</v>
      </c>
      <c r="C36682" s="74" t="s">
        <v>414</v>
      </c>
    </row>
    <row r="36683" spans="1:3">
      <c r="A36683" s="250">
        <v>85938</v>
      </c>
      <c r="B36683" s="74" t="s">
        <v>17281</v>
      </c>
      <c r="C36683" s="74" t="s">
        <v>414</v>
      </c>
    </row>
    <row r="36684" spans="1:3">
      <c r="A36684" s="250">
        <v>85939</v>
      </c>
      <c r="B36684" s="74" t="s">
        <v>5195</v>
      </c>
      <c r="C36684" s="74" t="s">
        <v>414</v>
      </c>
    </row>
    <row r="36685" spans="1:3">
      <c r="A36685" s="250">
        <v>85940</v>
      </c>
      <c r="B36685" s="74" t="s">
        <v>1791</v>
      </c>
      <c r="C36685" s="74" t="s">
        <v>414</v>
      </c>
    </row>
    <row r="36686" spans="1:3">
      <c r="A36686" s="250">
        <v>85941</v>
      </c>
      <c r="B36686" s="74" t="s">
        <v>17282</v>
      </c>
      <c r="C36686" s="74" t="s">
        <v>414</v>
      </c>
    </row>
    <row r="36687" spans="1:3">
      <c r="A36687" s="250">
        <v>85942</v>
      </c>
      <c r="B36687" s="74" t="s">
        <v>7690</v>
      </c>
      <c r="C36687" s="74" t="s">
        <v>414</v>
      </c>
    </row>
    <row r="36688" spans="1:3">
      <c r="A36688" s="250">
        <v>86001</v>
      </c>
      <c r="B36688" s="74" t="s">
        <v>17283</v>
      </c>
      <c r="C36688" s="74" t="s">
        <v>414</v>
      </c>
    </row>
    <row r="36689" spans="1:3">
      <c r="A36689" s="250">
        <v>86002</v>
      </c>
      <c r="B36689" s="74" t="s">
        <v>17283</v>
      </c>
      <c r="C36689" s="74" t="s">
        <v>414</v>
      </c>
    </row>
    <row r="36690" spans="1:3">
      <c r="A36690" s="250">
        <v>86003</v>
      </c>
      <c r="B36690" s="74" t="s">
        <v>17283</v>
      </c>
      <c r="C36690" s="74" t="s">
        <v>414</v>
      </c>
    </row>
    <row r="36691" spans="1:3">
      <c r="A36691" s="250">
        <v>86004</v>
      </c>
      <c r="B36691" s="74" t="s">
        <v>17283</v>
      </c>
      <c r="C36691" s="74" t="s">
        <v>414</v>
      </c>
    </row>
    <row r="36692" spans="1:3">
      <c r="A36692" s="250">
        <v>86011</v>
      </c>
      <c r="B36692" s="74" t="s">
        <v>17283</v>
      </c>
      <c r="C36692" s="74" t="s">
        <v>414</v>
      </c>
    </row>
    <row r="36693" spans="1:3">
      <c r="A36693" s="250">
        <v>86015</v>
      </c>
      <c r="B36693" s="74" t="s">
        <v>17284</v>
      </c>
      <c r="C36693" s="74" t="s">
        <v>414</v>
      </c>
    </row>
    <row r="36694" spans="1:3">
      <c r="A36694" s="250">
        <v>86016</v>
      </c>
      <c r="B36694" s="74" t="s">
        <v>17285</v>
      </c>
      <c r="C36694" s="74" t="s">
        <v>414</v>
      </c>
    </row>
    <row r="36695" spans="1:3">
      <c r="A36695" s="250">
        <v>86017</v>
      </c>
      <c r="B36695" s="74" t="s">
        <v>17286</v>
      </c>
      <c r="C36695" s="74" t="s">
        <v>414</v>
      </c>
    </row>
    <row r="36696" spans="1:3">
      <c r="A36696" s="250">
        <v>86018</v>
      </c>
      <c r="B36696" s="74" t="s">
        <v>14881</v>
      </c>
      <c r="C36696" s="74" t="s">
        <v>414</v>
      </c>
    </row>
    <row r="36697" spans="1:3">
      <c r="A36697" s="250">
        <v>86020</v>
      </c>
      <c r="B36697" s="74" t="s">
        <v>3902</v>
      </c>
      <c r="C36697" s="74" t="s">
        <v>414</v>
      </c>
    </row>
    <row r="36698" spans="1:3">
      <c r="A36698" s="250">
        <v>86021</v>
      </c>
      <c r="B36698" s="74" t="s">
        <v>16576</v>
      </c>
      <c r="C36698" s="74" t="s">
        <v>414</v>
      </c>
    </row>
    <row r="36699" spans="1:3">
      <c r="A36699" s="250">
        <v>86022</v>
      </c>
      <c r="B36699" s="74" t="s">
        <v>3706</v>
      </c>
      <c r="C36699" s="74" t="s">
        <v>414</v>
      </c>
    </row>
    <row r="36700" spans="1:3">
      <c r="A36700" s="250">
        <v>86023</v>
      </c>
      <c r="B36700" s="74" t="s">
        <v>17287</v>
      </c>
      <c r="C36700" s="74" t="s">
        <v>414</v>
      </c>
    </row>
    <row r="36701" spans="1:3">
      <c r="A36701" s="250">
        <v>86024</v>
      </c>
      <c r="B36701" s="74" t="s">
        <v>17288</v>
      </c>
      <c r="C36701" s="74" t="s">
        <v>414</v>
      </c>
    </row>
    <row r="36702" spans="1:3">
      <c r="A36702" s="250">
        <v>86025</v>
      </c>
      <c r="B36702" s="74" t="s">
        <v>946</v>
      </c>
      <c r="C36702" s="74" t="s">
        <v>414</v>
      </c>
    </row>
    <row r="36703" spans="1:3">
      <c r="A36703" s="250">
        <v>86028</v>
      </c>
      <c r="B36703" s="74" t="s">
        <v>17289</v>
      </c>
      <c r="C36703" s="74" t="s">
        <v>414</v>
      </c>
    </row>
    <row r="36704" spans="1:3">
      <c r="A36704" s="250">
        <v>86029</v>
      </c>
      <c r="B36704" s="74" t="s">
        <v>16958</v>
      </c>
      <c r="C36704" s="74" t="s">
        <v>414</v>
      </c>
    </row>
    <row r="36705" spans="1:3">
      <c r="A36705" s="250">
        <v>86030</v>
      </c>
      <c r="B36705" s="74" t="s">
        <v>17290</v>
      </c>
      <c r="C36705" s="74" t="s">
        <v>414</v>
      </c>
    </row>
    <row r="36706" spans="1:3">
      <c r="A36706" s="250">
        <v>86031</v>
      </c>
      <c r="B36706" s="74" t="s">
        <v>17291</v>
      </c>
      <c r="C36706" s="74" t="s">
        <v>414</v>
      </c>
    </row>
    <row r="36707" spans="1:3">
      <c r="A36707" s="250">
        <v>86032</v>
      </c>
      <c r="B36707" s="74" t="s">
        <v>17292</v>
      </c>
      <c r="C36707" s="74" t="s">
        <v>414</v>
      </c>
    </row>
    <row r="36708" spans="1:3">
      <c r="A36708" s="250">
        <v>86033</v>
      </c>
      <c r="B36708" s="74" t="s">
        <v>17293</v>
      </c>
      <c r="C36708" s="74" t="s">
        <v>414</v>
      </c>
    </row>
    <row r="36709" spans="1:3">
      <c r="A36709" s="250">
        <v>86034</v>
      </c>
      <c r="B36709" s="74" t="s">
        <v>17294</v>
      </c>
      <c r="C36709" s="74" t="s">
        <v>414</v>
      </c>
    </row>
    <row r="36710" spans="1:3">
      <c r="A36710" s="250">
        <v>86035</v>
      </c>
      <c r="B36710" s="74" t="s">
        <v>17295</v>
      </c>
      <c r="C36710" s="74" t="s">
        <v>414</v>
      </c>
    </row>
    <row r="36711" spans="1:3">
      <c r="A36711" s="250">
        <v>86036</v>
      </c>
      <c r="B36711" s="74" t="s">
        <v>17296</v>
      </c>
      <c r="C36711" s="74" t="s">
        <v>414</v>
      </c>
    </row>
    <row r="36712" spans="1:3">
      <c r="A36712" s="250">
        <v>86038</v>
      </c>
      <c r="B36712" s="74" t="s">
        <v>17297</v>
      </c>
      <c r="C36712" s="74" t="s">
        <v>414</v>
      </c>
    </row>
    <row r="36713" spans="1:3">
      <c r="A36713" s="250">
        <v>86039</v>
      </c>
      <c r="B36713" s="74" t="s">
        <v>17298</v>
      </c>
      <c r="C36713" s="74" t="s">
        <v>414</v>
      </c>
    </row>
    <row r="36714" spans="1:3">
      <c r="A36714" s="250">
        <v>86040</v>
      </c>
      <c r="B36714" s="74" t="s">
        <v>6635</v>
      </c>
      <c r="C36714" s="74" t="s">
        <v>414</v>
      </c>
    </row>
    <row r="36715" spans="1:3">
      <c r="A36715" s="250">
        <v>86042</v>
      </c>
      <c r="B36715" s="74" t="s">
        <v>17299</v>
      </c>
      <c r="C36715" s="74" t="s">
        <v>414</v>
      </c>
    </row>
    <row r="36716" spans="1:3">
      <c r="A36716" s="250">
        <v>86043</v>
      </c>
      <c r="B36716" s="74" t="s">
        <v>17300</v>
      </c>
      <c r="C36716" s="74" t="s">
        <v>414</v>
      </c>
    </row>
    <row r="36717" spans="1:3">
      <c r="A36717" s="250">
        <v>86044</v>
      </c>
      <c r="B36717" s="74" t="s">
        <v>17301</v>
      </c>
      <c r="C36717" s="74" t="s">
        <v>414</v>
      </c>
    </row>
    <row r="36718" spans="1:3">
      <c r="A36718" s="250">
        <v>86045</v>
      </c>
      <c r="B36718" s="74" t="s">
        <v>17302</v>
      </c>
      <c r="C36718" s="74" t="s">
        <v>414</v>
      </c>
    </row>
    <row r="36719" spans="1:3">
      <c r="A36719" s="250">
        <v>86046</v>
      </c>
      <c r="B36719" s="74" t="s">
        <v>7725</v>
      </c>
      <c r="C36719" s="74" t="s">
        <v>414</v>
      </c>
    </row>
    <row r="36720" spans="1:3">
      <c r="A36720" s="250">
        <v>86047</v>
      </c>
      <c r="B36720" s="74" t="s">
        <v>2433</v>
      </c>
      <c r="C36720" s="74" t="s">
        <v>414</v>
      </c>
    </row>
    <row r="36721" spans="1:3">
      <c r="A36721" s="250">
        <v>86052</v>
      </c>
      <c r="B36721" s="74" t="s">
        <v>17303</v>
      </c>
      <c r="C36721" s="74" t="s">
        <v>414</v>
      </c>
    </row>
    <row r="36722" spans="1:3">
      <c r="A36722" s="250">
        <v>86053</v>
      </c>
      <c r="B36722" s="74" t="s">
        <v>17304</v>
      </c>
      <c r="C36722" s="74" t="s">
        <v>414</v>
      </c>
    </row>
    <row r="36723" spans="1:3">
      <c r="A36723" s="250">
        <v>86054</v>
      </c>
      <c r="B36723" s="74" t="s">
        <v>17305</v>
      </c>
      <c r="C36723" s="74" t="s">
        <v>414</v>
      </c>
    </row>
    <row r="36724" spans="1:3">
      <c r="A36724" s="250">
        <v>86301</v>
      </c>
      <c r="B36724" s="74" t="s">
        <v>11136</v>
      </c>
      <c r="C36724" s="74" t="s">
        <v>414</v>
      </c>
    </row>
    <row r="36725" spans="1:3">
      <c r="A36725" s="250">
        <v>86302</v>
      </c>
      <c r="B36725" s="74" t="s">
        <v>11136</v>
      </c>
      <c r="C36725" s="74" t="s">
        <v>414</v>
      </c>
    </row>
    <row r="36726" spans="1:3">
      <c r="A36726" s="250">
        <v>86303</v>
      </c>
      <c r="B36726" s="74" t="s">
        <v>11136</v>
      </c>
      <c r="C36726" s="74" t="s">
        <v>414</v>
      </c>
    </row>
    <row r="36727" spans="1:3">
      <c r="A36727" s="250">
        <v>86304</v>
      </c>
      <c r="B36727" s="74" t="s">
        <v>11136</v>
      </c>
      <c r="C36727" s="74" t="s">
        <v>414</v>
      </c>
    </row>
    <row r="36728" spans="1:3">
      <c r="A36728" s="250">
        <v>86305</v>
      </c>
      <c r="B36728" s="74" t="s">
        <v>11136</v>
      </c>
      <c r="C36728" s="74" t="s">
        <v>414</v>
      </c>
    </row>
    <row r="36729" spans="1:3">
      <c r="A36729" s="250">
        <v>86312</v>
      </c>
      <c r="B36729" s="74" t="s">
        <v>17306</v>
      </c>
      <c r="C36729" s="74" t="s">
        <v>414</v>
      </c>
    </row>
    <row r="36730" spans="1:3">
      <c r="A36730" s="250">
        <v>86313</v>
      </c>
      <c r="B36730" s="74" t="s">
        <v>11136</v>
      </c>
      <c r="C36730" s="74" t="s">
        <v>414</v>
      </c>
    </row>
    <row r="36731" spans="1:3">
      <c r="A36731" s="250">
        <v>86314</v>
      </c>
      <c r="B36731" s="74" t="s">
        <v>17306</v>
      </c>
      <c r="C36731" s="74" t="s">
        <v>414</v>
      </c>
    </row>
    <row r="36732" spans="1:3">
      <c r="A36732" s="250">
        <v>86315</v>
      </c>
      <c r="B36732" s="74" t="s">
        <v>17306</v>
      </c>
      <c r="C36732" s="74" t="s">
        <v>414</v>
      </c>
    </row>
    <row r="36733" spans="1:3">
      <c r="A36733" s="250">
        <v>86320</v>
      </c>
      <c r="B36733" s="74" t="s">
        <v>17307</v>
      </c>
      <c r="C36733" s="74" t="s">
        <v>414</v>
      </c>
    </row>
    <row r="36734" spans="1:3">
      <c r="A36734" s="250">
        <v>86321</v>
      </c>
      <c r="B36734" s="74" t="s">
        <v>8320</v>
      </c>
      <c r="C36734" s="74" t="s">
        <v>414</v>
      </c>
    </row>
    <row r="36735" spans="1:3">
      <c r="A36735" s="250">
        <v>86322</v>
      </c>
      <c r="B36735" s="74" t="s">
        <v>17308</v>
      </c>
      <c r="C36735" s="74" t="s">
        <v>414</v>
      </c>
    </row>
    <row r="36736" spans="1:3">
      <c r="A36736" s="250">
        <v>86323</v>
      </c>
      <c r="B36736" s="74" t="s">
        <v>17309</v>
      </c>
      <c r="C36736" s="74" t="s">
        <v>414</v>
      </c>
    </row>
    <row r="36737" spans="1:3">
      <c r="A36737" s="250">
        <v>86324</v>
      </c>
      <c r="B36737" s="74" t="s">
        <v>7881</v>
      </c>
      <c r="C36737" s="74" t="s">
        <v>414</v>
      </c>
    </row>
    <row r="36738" spans="1:3">
      <c r="A36738" s="250">
        <v>86325</v>
      </c>
      <c r="B36738" s="74" t="s">
        <v>17310</v>
      </c>
      <c r="C36738" s="74" t="s">
        <v>414</v>
      </c>
    </row>
    <row r="36739" spans="1:3">
      <c r="A36739" s="250">
        <v>86326</v>
      </c>
      <c r="B36739" s="74" t="s">
        <v>8846</v>
      </c>
      <c r="C36739" s="74" t="s">
        <v>414</v>
      </c>
    </row>
    <row r="36740" spans="1:3">
      <c r="A36740" s="250">
        <v>86327</v>
      </c>
      <c r="B36740" s="74" t="s">
        <v>13769</v>
      </c>
      <c r="C36740" s="74" t="s">
        <v>414</v>
      </c>
    </row>
    <row r="36741" spans="1:3">
      <c r="A36741" s="250">
        <v>86329</v>
      </c>
      <c r="B36741" s="74" t="s">
        <v>9221</v>
      </c>
      <c r="C36741" s="74" t="s">
        <v>414</v>
      </c>
    </row>
    <row r="36742" spans="1:3">
      <c r="A36742" s="250">
        <v>86330</v>
      </c>
      <c r="B36742" s="74" t="s">
        <v>11136</v>
      </c>
      <c r="C36742" s="74" t="s">
        <v>414</v>
      </c>
    </row>
    <row r="36743" spans="1:3">
      <c r="A36743" s="250">
        <v>86331</v>
      </c>
      <c r="B36743" s="74" t="s">
        <v>4356</v>
      </c>
      <c r="C36743" s="74" t="s">
        <v>414</v>
      </c>
    </row>
    <row r="36744" spans="1:3">
      <c r="A36744" s="250">
        <v>86332</v>
      </c>
      <c r="B36744" s="74" t="s">
        <v>13476</v>
      </c>
      <c r="C36744" s="74" t="s">
        <v>414</v>
      </c>
    </row>
    <row r="36745" spans="1:3">
      <c r="A36745" s="250">
        <v>86333</v>
      </c>
      <c r="B36745" s="74" t="s">
        <v>12417</v>
      </c>
      <c r="C36745" s="74" t="s">
        <v>414</v>
      </c>
    </row>
    <row r="36746" spans="1:3">
      <c r="A36746" s="250">
        <v>86334</v>
      </c>
      <c r="B36746" s="74" t="s">
        <v>17311</v>
      </c>
      <c r="C36746" s="74" t="s">
        <v>414</v>
      </c>
    </row>
    <row r="36747" spans="1:3">
      <c r="A36747" s="250">
        <v>86335</v>
      </c>
      <c r="B36747" s="74" t="s">
        <v>17312</v>
      </c>
      <c r="C36747" s="74" t="s">
        <v>414</v>
      </c>
    </row>
    <row r="36748" spans="1:3">
      <c r="A36748" s="250">
        <v>86336</v>
      </c>
      <c r="B36748" s="74" t="s">
        <v>17313</v>
      </c>
      <c r="C36748" s="74" t="s">
        <v>414</v>
      </c>
    </row>
    <row r="36749" spans="1:3">
      <c r="A36749" s="250">
        <v>86337</v>
      </c>
      <c r="B36749" s="74" t="s">
        <v>14465</v>
      </c>
      <c r="C36749" s="74" t="s">
        <v>414</v>
      </c>
    </row>
    <row r="36750" spans="1:3">
      <c r="A36750" s="250">
        <v>86338</v>
      </c>
      <c r="B36750" s="74" t="s">
        <v>17314</v>
      </c>
      <c r="C36750" s="74" t="s">
        <v>414</v>
      </c>
    </row>
    <row r="36751" spans="1:3">
      <c r="A36751" s="250">
        <v>86339</v>
      </c>
      <c r="B36751" s="74" t="s">
        <v>17313</v>
      </c>
      <c r="C36751" s="74" t="s">
        <v>414</v>
      </c>
    </row>
    <row r="36752" spans="1:3">
      <c r="A36752" s="250">
        <v>86340</v>
      </c>
      <c r="B36752" s="74" t="s">
        <v>17313</v>
      </c>
      <c r="C36752" s="74" t="s">
        <v>414</v>
      </c>
    </row>
    <row r="36753" spans="1:3">
      <c r="A36753" s="250">
        <v>86341</v>
      </c>
      <c r="B36753" s="74" t="s">
        <v>17313</v>
      </c>
      <c r="C36753" s="74" t="s">
        <v>414</v>
      </c>
    </row>
    <row r="36754" spans="1:3">
      <c r="A36754" s="250">
        <v>86342</v>
      </c>
      <c r="B36754" s="74" t="s">
        <v>17315</v>
      </c>
      <c r="C36754" s="74" t="s">
        <v>414</v>
      </c>
    </row>
    <row r="36755" spans="1:3">
      <c r="A36755" s="250">
        <v>86343</v>
      </c>
      <c r="B36755" s="74" t="s">
        <v>17316</v>
      </c>
      <c r="C36755" s="74" t="s">
        <v>414</v>
      </c>
    </row>
    <row r="36756" spans="1:3">
      <c r="A36756" s="250">
        <v>86351</v>
      </c>
      <c r="B36756" s="74" t="s">
        <v>17313</v>
      </c>
      <c r="C36756" s="74" t="s">
        <v>414</v>
      </c>
    </row>
    <row r="36757" spans="1:3">
      <c r="A36757" s="250">
        <v>86401</v>
      </c>
      <c r="B36757" s="74" t="s">
        <v>1510</v>
      </c>
      <c r="C36757" s="74" t="s">
        <v>414</v>
      </c>
    </row>
    <row r="36758" spans="1:3">
      <c r="A36758" s="250">
        <v>86402</v>
      </c>
      <c r="B36758" s="74" t="s">
        <v>1510</v>
      </c>
      <c r="C36758" s="74" t="s">
        <v>414</v>
      </c>
    </row>
    <row r="36759" spans="1:3">
      <c r="A36759" s="250">
        <v>86403</v>
      </c>
      <c r="B36759" s="74" t="s">
        <v>17317</v>
      </c>
      <c r="C36759" s="74" t="s">
        <v>414</v>
      </c>
    </row>
    <row r="36760" spans="1:3">
      <c r="A36760" s="250">
        <v>86404</v>
      </c>
      <c r="B36760" s="74" t="s">
        <v>17317</v>
      </c>
      <c r="C36760" s="74" t="s">
        <v>414</v>
      </c>
    </row>
    <row r="36761" spans="1:3">
      <c r="A36761" s="250">
        <v>86405</v>
      </c>
      <c r="B36761" s="74" t="s">
        <v>17317</v>
      </c>
      <c r="C36761" s="74" t="s">
        <v>414</v>
      </c>
    </row>
    <row r="36762" spans="1:3">
      <c r="A36762" s="250">
        <v>86406</v>
      </c>
      <c r="B36762" s="74" t="s">
        <v>17317</v>
      </c>
      <c r="C36762" s="74" t="s">
        <v>414</v>
      </c>
    </row>
    <row r="36763" spans="1:3">
      <c r="A36763" s="250">
        <v>86409</v>
      </c>
      <c r="B36763" s="74" t="s">
        <v>1510</v>
      </c>
      <c r="C36763" s="74" t="s">
        <v>414</v>
      </c>
    </row>
    <row r="36764" spans="1:3">
      <c r="A36764" s="250">
        <v>86411</v>
      </c>
      <c r="B36764" s="74" t="s">
        <v>15033</v>
      </c>
      <c r="C36764" s="74" t="s">
        <v>414</v>
      </c>
    </row>
    <row r="36765" spans="1:3">
      <c r="A36765" s="250">
        <v>86412</v>
      </c>
      <c r="B36765" s="74" t="s">
        <v>17318</v>
      </c>
      <c r="C36765" s="74" t="s">
        <v>414</v>
      </c>
    </row>
    <row r="36766" spans="1:3">
      <c r="A36766" s="250">
        <v>86413</v>
      </c>
      <c r="B36766" s="74" t="s">
        <v>13133</v>
      </c>
      <c r="C36766" s="74" t="s">
        <v>414</v>
      </c>
    </row>
    <row r="36767" spans="1:3">
      <c r="A36767" s="250">
        <v>86426</v>
      </c>
      <c r="B36767" s="74" t="s">
        <v>17319</v>
      </c>
      <c r="C36767" s="74" t="s">
        <v>414</v>
      </c>
    </row>
    <row r="36768" spans="1:3">
      <c r="A36768" s="250">
        <v>86427</v>
      </c>
      <c r="B36768" s="74" t="s">
        <v>17319</v>
      </c>
      <c r="C36768" s="74" t="s">
        <v>414</v>
      </c>
    </row>
    <row r="36769" spans="1:3">
      <c r="A36769" s="250">
        <v>86429</v>
      </c>
      <c r="B36769" s="74" t="s">
        <v>17320</v>
      </c>
      <c r="C36769" s="74" t="s">
        <v>414</v>
      </c>
    </row>
    <row r="36770" spans="1:3">
      <c r="A36770" s="250">
        <v>86430</v>
      </c>
      <c r="B36770" s="74" t="s">
        <v>17320</v>
      </c>
      <c r="C36770" s="74" t="s">
        <v>414</v>
      </c>
    </row>
    <row r="36771" spans="1:3">
      <c r="A36771" s="250">
        <v>86431</v>
      </c>
      <c r="B36771" s="74" t="s">
        <v>17321</v>
      </c>
      <c r="C36771" s="74" t="s">
        <v>414</v>
      </c>
    </row>
    <row r="36772" spans="1:3">
      <c r="A36772" s="250">
        <v>86432</v>
      </c>
      <c r="B36772" s="74" t="s">
        <v>16548</v>
      </c>
      <c r="C36772" s="74" t="s">
        <v>414</v>
      </c>
    </row>
    <row r="36773" spans="1:3">
      <c r="A36773" s="250">
        <v>86433</v>
      </c>
      <c r="B36773" s="74" t="s">
        <v>17322</v>
      </c>
      <c r="C36773" s="74" t="s">
        <v>414</v>
      </c>
    </row>
    <row r="36774" spans="1:3">
      <c r="A36774" s="250">
        <v>86434</v>
      </c>
      <c r="B36774" s="74" t="s">
        <v>17323</v>
      </c>
      <c r="C36774" s="74" t="s">
        <v>414</v>
      </c>
    </row>
    <row r="36775" spans="1:3">
      <c r="A36775" s="250">
        <v>86435</v>
      </c>
      <c r="B36775" s="74" t="s">
        <v>17324</v>
      </c>
      <c r="C36775" s="74" t="s">
        <v>414</v>
      </c>
    </row>
    <row r="36776" spans="1:3">
      <c r="A36776" s="250">
        <v>86436</v>
      </c>
      <c r="B36776" s="74" t="s">
        <v>17325</v>
      </c>
      <c r="C36776" s="74" t="s">
        <v>414</v>
      </c>
    </row>
    <row r="36777" spans="1:3">
      <c r="A36777" s="250">
        <v>86437</v>
      </c>
      <c r="B36777" s="74" t="s">
        <v>14897</v>
      </c>
      <c r="C36777" s="74" t="s">
        <v>414</v>
      </c>
    </row>
    <row r="36778" spans="1:3">
      <c r="A36778" s="250">
        <v>86438</v>
      </c>
      <c r="B36778" s="74" t="s">
        <v>17326</v>
      </c>
      <c r="C36778" s="74" t="s">
        <v>414</v>
      </c>
    </row>
    <row r="36779" spans="1:3">
      <c r="A36779" s="250">
        <v>86439</v>
      </c>
      <c r="B36779" s="74" t="s">
        <v>17320</v>
      </c>
      <c r="C36779" s="74" t="s">
        <v>414</v>
      </c>
    </row>
    <row r="36780" spans="1:3">
      <c r="A36780" s="250">
        <v>86440</v>
      </c>
      <c r="B36780" s="74" t="s">
        <v>17327</v>
      </c>
      <c r="C36780" s="74" t="s">
        <v>414</v>
      </c>
    </row>
    <row r="36781" spans="1:3">
      <c r="A36781" s="250">
        <v>86441</v>
      </c>
      <c r="B36781" s="74" t="s">
        <v>17328</v>
      </c>
      <c r="C36781" s="74" t="s">
        <v>414</v>
      </c>
    </row>
    <row r="36782" spans="1:3">
      <c r="A36782" s="250">
        <v>86442</v>
      </c>
      <c r="B36782" s="74" t="s">
        <v>17320</v>
      </c>
      <c r="C36782" s="74" t="s">
        <v>414</v>
      </c>
    </row>
    <row r="36783" spans="1:3">
      <c r="A36783" s="250">
        <v>86443</v>
      </c>
      <c r="B36783" s="74" t="s">
        <v>17329</v>
      </c>
      <c r="C36783" s="74" t="s">
        <v>414</v>
      </c>
    </row>
    <row r="36784" spans="1:3">
      <c r="A36784" s="250">
        <v>86444</v>
      </c>
      <c r="B36784" s="74" t="s">
        <v>17330</v>
      </c>
      <c r="C36784" s="74" t="s">
        <v>414</v>
      </c>
    </row>
    <row r="36785" spans="1:3">
      <c r="A36785" s="250">
        <v>86445</v>
      </c>
      <c r="B36785" s="74" t="s">
        <v>17331</v>
      </c>
      <c r="C36785" s="74" t="s">
        <v>414</v>
      </c>
    </row>
    <row r="36786" spans="1:3">
      <c r="A36786" s="250">
        <v>86446</v>
      </c>
      <c r="B36786" s="74" t="s">
        <v>17327</v>
      </c>
      <c r="C36786" s="74" t="s">
        <v>414</v>
      </c>
    </row>
    <row r="36787" spans="1:3">
      <c r="A36787" s="250">
        <v>86502</v>
      </c>
      <c r="B36787" s="74" t="s">
        <v>14809</v>
      </c>
      <c r="C36787" s="74" t="s">
        <v>414</v>
      </c>
    </row>
    <row r="36788" spans="1:3">
      <c r="A36788" s="250">
        <v>86503</v>
      </c>
      <c r="B36788" s="74" t="s">
        <v>17332</v>
      </c>
      <c r="C36788" s="74" t="s">
        <v>414</v>
      </c>
    </row>
    <row r="36789" spans="1:3">
      <c r="A36789" s="250">
        <v>86504</v>
      </c>
      <c r="B36789" s="74" t="s">
        <v>6388</v>
      </c>
      <c r="C36789" s="74" t="s">
        <v>414</v>
      </c>
    </row>
    <row r="36790" spans="1:3">
      <c r="A36790" s="250">
        <v>86505</v>
      </c>
      <c r="B36790" s="74" t="s">
        <v>16250</v>
      </c>
      <c r="C36790" s="74" t="s">
        <v>414</v>
      </c>
    </row>
    <row r="36791" spans="1:3">
      <c r="A36791" s="250">
        <v>86506</v>
      </c>
      <c r="B36791" s="74" t="s">
        <v>17333</v>
      </c>
      <c r="C36791" s="74" t="s">
        <v>414</v>
      </c>
    </row>
    <row r="36792" spans="1:3">
      <c r="A36792" s="250">
        <v>86507</v>
      </c>
      <c r="B36792" s="74" t="s">
        <v>17334</v>
      </c>
      <c r="C36792" s="74" t="s">
        <v>414</v>
      </c>
    </row>
    <row r="36793" spans="1:3">
      <c r="A36793" s="250">
        <v>86508</v>
      </c>
      <c r="B36793" s="74" t="s">
        <v>11101</v>
      </c>
      <c r="C36793" s="74" t="s">
        <v>414</v>
      </c>
    </row>
    <row r="36794" spans="1:3">
      <c r="A36794" s="250">
        <v>86510</v>
      </c>
      <c r="B36794" s="74" t="s">
        <v>17335</v>
      </c>
      <c r="C36794" s="74" t="s">
        <v>414</v>
      </c>
    </row>
    <row r="36795" spans="1:3">
      <c r="A36795" s="250">
        <v>86511</v>
      </c>
      <c r="B36795" s="74" t="s">
        <v>5772</v>
      </c>
      <c r="C36795" s="74" t="s">
        <v>414</v>
      </c>
    </row>
    <row r="36796" spans="1:3">
      <c r="A36796" s="250">
        <v>86512</v>
      </c>
      <c r="B36796" s="74" t="s">
        <v>9744</v>
      </c>
      <c r="C36796" s="74" t="s">
        <v>414</v>
      </c>
    </row>
    <row r="36797" spans="1:3">
      <c r="A36797" s="250">
        <v>86514</v>
      </c>
      <c r="B36797" s="74" t="s">
        <v>17336</v>
      </c>
      <c r="C36797" s="74" t="s">
        <v>414</v>
      </c>
    </row>
    <row r="36798" spans="1:3">
      <c r="A36798" s="250">
        <v>86515</v>
      </c>
      <c r="B36798" s="74" t="s">
        <v>17337</v>
      </c>
      <c r="C36798" s="74" t="s">
        <v>414</v>
      </c>
    </row>
    <row r="36799" spans="1:3">
      <c r="A36799" s="250">
        <v>86520</v>
      </c>
      <c r="B36799" s="74" t="s">
        <v>17338</v>
      </c>
      <c r="C36799" s="74" t="s">
        <v>414</v>
      </c>
    </row>
    <row r="36800" spans="1:3">
      <c r="A36800" s="250">
        <v>86535</v>
      </c>
      <c r="B36800" s="74" t="s">
        <v>17339</v>
      </c>
      <c r="C36800" s="74" t="s">
        <v>414</v>
      </c>
    </row>
    <row r="36801" spans="1:3">
      <c r="A36801" s="250">
        <v>86538</v>
      </c>
      <c r="B36801" s="74" t="s">
        <v>17340</v>
      </c>
      <c r="C36801" s="74" t="s">
        <v>414</v>
      </c>
    </row>
    <row r="36802" spans="1:3">
      <c r="A36802" s="250">
        <v>86540</v>
      </c>
      <c r="B36802" s="74" t="s">
        <v>17341</v>
      </c>
      <c r="C36802" s="74" t="s">
        <v>414</v>
      </c>
    </row>
    <row r="36803" spans="1:3">
      <c r="A36803" s="250">
        <v>86544</v>
      </c>
      <c r="B36803" s="74" t="s">
        <v>17342</v>
      </c>
      <c r="C36803" s="74" t="s">
        <v>414</v>
      </c>
    </row>
    <row r="36804" spans="1:3">
      <c r="A36804" s="250">
        <v>86545</v>
      </c>
      <c r="B36804" s="74" t="s">
        <v>5586</v>
      </c>
      <c r="C36804" s="74" t="s">
        <v>414</v>
      </c>
    </row>
    <row r="36805" spans="1:3">
      <c r="A36805" s="250">
        <v>86547</v>
      </c>
      <c r="B36805" s="74" t="s">
        <v>16430</v>
      </c>
      <c r="C36805" s="74" t="s">
        <v>414</v>
      </c>
    </row>
    <row r="36806" spans="1:3">
      <c r="A36806" s="250">
        <v>86555</v>
      </c>
      <c r="B36806" s="74" t="s">
        <v>734</v>
      </c>
      <c r="C36806" s="74" t="s">
        <v>414</v>
      </c>
    </row>
    <row r="36807" spans="1:3">
      <c r="A36807" s="250">
        <v>86556</v>
      </c>
      <c r="B36807" s="74" t="s">
        <v>17343</v>
      </c>
      <c r="C36807" s="74" t="s">
        <v>414</v>
      </c>
    </row>
    <row r="36808" spans="1:3">
      <c r="A36808" s="250">
        <v>87001</v>
      </c>
      <c r="B36808" s="74" t="s">
        <v>17344</v>
      </c>
      <c r="C36808" s="74" t="s">
        <v>442</v>
      </c>
    </row>
    <row r="36809" spans="1:3">
      <c r="A36809" s="250">
        <v>87002</v>
      </c>
      <c r="B36809" s="74" t="s">
        <v>9289</v>
      </c>
      <c r="C36809" s="74" t="s">
        <v>442</v>
      </c>
    </row>
    <row r="36810" spans="1:3">
      <c r="A36810" s="250">
        <v>87004</v>
      </c>
      <c r="B36810" s="74" t="s">
        <v>17345</v>
      </c>
      <c r="C36810" s="74" t="s">
        <v>442</v>
      </c>
    </row>
    <row r="36811" spans="1:3">
      <c r="A36811" s="250">
        <v>87005</v>
      </c>
      <c r="B36811" s="74" t="s">
        <v>17346</v>
      </c>
      <c r="C36811" s="74" t="s">
        <v>442</v>
      </c>
    </row>
    <row r="36812" spans="1:3">
      <c r="A36812" s="250">
        <v>87006</v>
      </c>
      <c r="B36812" s="74" t="s">
        <v>17347</v>
      </c>
      <c r="C36812" s="74" t="s">
        <v>442</v>
      </c>
    </row>
    <row r="36813" spans="1:3">
      <c r="A36813" s="250">
        <v>87007</v>
      </c>
      <c r="B36813" s="74" t="s">
        <v>17348</v>
      </c>
      <c r="C36813" s="74" t="s">
        <v>442</v>
      </c>
    </row>
    <row r="36814" spans="1:3">
      <c r="A36814" s="250">
        <v>87008</v>
      </c>
      <c r="B36814" s="74" t="s">
        <v>17349</v>
      </c>
      <c r="C36814" s="74" t="s">
        <v>442</v>
      </c>
    </row>
    <row r="36815" spans="1:3">
      <c r="A36815" s="250">
        <v>87009</v>
      </c>
      <c r="B36815" s="74" t="s">
        <v>17350</v>
      </c>
      <c r="C36815" s="74" t="s">
        <v>442</v>
      </c>
    </row>
    <row r="36816" spans="1:3">
      <c r="A36816" s="250">
        <v>87010</v>
      </c>
      <c r="B36816" s="74" t="s">
        <v>17351</v>
      </c>
      <c r="C36816" s="74" t="s">
        <v>442</v>
      </c>
    </row>
    <row r="36817" spans="1:3">
      <c r="A36817" s="250">
        <v>87011</v>
      </c>
      <c r="B36817" s="74" t="s">
        <v>17352</v>
      </c>
      <c r="C36817" s="74" t="s">
        <v>442</v>
      </c>
    </row>
    <row r="36818" spans="1:3">
      <c r="A36818" s="250">
        <v>87012</v>
      </c>
      <c r="B36818" s="74" t="s">
        <v>17353</v>
      </c>
      <c r="C36818" s="74" t="s">
        <v>442</v>
      </c>
    </row>
    <row r="36819" spans="1:3">
      <c r="A36819" s="250">
        <v>87013</v>
      </c>
      <c r="B36819" s="74" t="s">
        <v>3857</v>
      </c>
      <c r="C36819" s="74" t="s">
        <v>442</v>
      </c>
    </row>
    <row r="36820" spans="1:3">
      <c r="A36820" s="250">
        <v>87014</v>
      </c>
      <c r="B36820" s="74" t="s">
        <v>17354</v>
      </c>
      <c r="C36820" s="74" t="s">
        <v>442</v>
      </c>
    </row>
    <row r="36821" spans="1:3">
      <c r="A36821" s="250">
        <v>87015</v>
      </c>
      <c r="B36821" s="74" t="s">
        <v>5662</v>
      </c>
      <c r="C36821" s="74" t="s">
        <v>442</v>
      </c>
    </row>
    <row r="36822" spans="1:3">
      <c r="A36822" s="250">
        <v>87016</v>
      </c>
      <c r="B36822" s="74" t="s">
        <v>17355</v>
      </c>
      <c r="C36822" s="74" t="s">
        <v>442</v>
      </c>
    </row>
    <row r="36823" spans="1:3">
      <c r="A36823" s="250">
        <v>87017</v>
      </c>
      <c r="B36823" s="74" t="s">
        <v>17356</v>
      </c>
      <c r="C36823" s="74" t="s">
        <v>442</v>
      </c>
    </row>
    <row r="36824" spans="1:3">
      <c r="A36824" s="250">
        <v>87018</v>
      </c>
      <c r="B36824" s="74" t="s">
        <v>17357</v>
      </c>
      <c r="C36824" s="74" t="s">
        <v>442</v>
      </c>
    </row>
    <row r="36825" spans="1:3">
      <c r="A36825" s="250">
        <v>87020</v>
      </c>
      <c r="B36825" s="74" t="s">
        <v>17358</v>
      </c>
      <c r="C36825" s="74" t="s">
        <v>442</v>
      </c>
    </row>
    <row r="36826" spans="1:3">
      <c r="A36826" s="250">
        <v>87021</v>
      </c>
      <c r="B36826" s="74" t="s">
        <v>1256</v>
      </c>
      <c r="C36826" s="74" t="s">
        <v>442</v>
      </c>
    </row>
    <row r="36827" spans="1:3">
      <c r="A36827" s="250">
        <v>87022</v>
      </c>
      <c r="B36827" s="74" t="s">
        <v>17359</v>
      </c>
      <c r="C36827" s="74" t="s">
        <v>442</v>
      </c>
    </row>
    <row r="36828" spans="1:3">
      <c r="A36828" s="250">
        <v>87023</v>
      </c>
      <c r="B36828" s="74" t="s">
        <v>17360</v>
      </c>
      <c r="C36828" s="74" t="s">
        <v>442</v>
      </c>
    </row>
    <row r="36829" spans="1:3">
      <c r="A36829" s="250">
        <v>87024</v>
      </c>
      <c r="B36829" s="74" t="s">
        <v>17361</v>
      </c>
      <c r="C36829" s="74" t="s">
        <v>442</v>
      </c>
    </row>
    <row r="36830" spans="1:3">
      <c r="A36830" s="250">
        <v>87025</v>
      </c>
      <c r="B36830" s="74" t="s">
        <v>17362</v>
      </c>
      <c r="C36830" s="74" t="s">
        <v>442</v>
      </c>
    </row>
    <row r="36831" spans="1:3">
      <c r="A36831" s="250">
        <v>87026</v>
      </c>
      <c r="B36831" s="74" t="s">
        <v>17363</v>
      </c>
      <c r="C36831" s="74" t="s">
        <v>442</v>
      </c>
    </row>
    <row r="36832" spans="1:3">
      <c r="A36832" s="250">
        <v>87027</v>
      </c>
      <c r="B36832" s="74" t="s">
        <v>16763</v>
      </c>
      <c r="C36832" s="74" t="s">
        <v>442</v>
      </c>
    </row>
    <row r="36833" spans="1:3">
      <c r="A36833" s="250">
        <v>87028</v>
      </c>
      <c r="B36833" s="74" t="s">
        <v>16378</v>
      </c>
      <c r="C36833" s="74" t="s">
        <v>442</v>
      </c>
    </row>
    <row r="36834" spans="1:3">
      <c r="A36834" s="250">
        <v>87029</v>
      </c>
      <c r="B36834" s="74" t="s">
        <v>17364</v>
      </c>
      <c r="C36834" s="74" t="s">
        <v>442</v>
      </c>
    </row>
    <row r="36835" spans="1:3">
      <c r="A36835" s="250">
        <v>87031</v>
      </c>
      <c r="B36835" s="74" t="s">
        <v>17365</v>
      </c>
      <c r="C36835" s="74" t="s">
        <v>442</v>
      </c>
    </row>
    <row r="36836" spans="1:3">
      <c r="A36836" s="250">
        <v>87032</v>
      </c>
      <c r="B36836" s="74" t="s">
        <v>12715</v>
      </c>
      <c r="C36836" s="74" t="s">
        <v>442</v>
      </c>
    </row>
    <row r="36837" spans="1:3">
      <c r="A36837" s="250">
        <v>87034</v>
      </c>
      <c r="B36837" s="74" t="s">
        <v>17366</v>
      </c>
      <c r="C36837" s="74" t="s">
        <v>442</v>
      </c>
    </row>
    <row r="36838" spans="1:3">
      <c r="A36838" s="250">
        <v>87035</v>
      </c>
      <c r="B36838" s="74" t="s">
        <v>17367</v>
      </c>
      <c r="C36838" s="74" t="s">
        <v>442</v>
      </c>
    </row>
    <row r="36839" spans="1:3">
      <c r="A36839" s="250">
        <v>87036</v>
      </c>
      <c r="B36839" s="74" t="s">
        <v>17368</v>
      </c>
      <c r="C36839" s="74" t="s">
        <v>442</v>
      </c>
    </row>
    <row r="36840" spans="1:3">
      <c r="A36840" s="250">
        <v>87037</v>
      </c>
      <c r="B36840" s="74" t="s">
        <v>17369</v>
      </c>
      <c r="C36840" s="74" t="s">
        <v>442</v>
      </c>
    </row>
    <row r="36841" spans="1:3">
      <c r="A36841" s="250">
        <v>87038</v>
      </c>
      <c r="B36841" s="74" t="s">
        <v>17370</v>
      </c>
      <c r="C36841" s="74" t="s">
        <v>442</v>
      </c>
    </row>
    <row r="36842" spans="1:3">
      <c r="A36842" s="250">
        <v>87040</v>
      </c>
      <c r="B36842" s="74" t="s">
        <v>17371</v>
      </c>
      <c r="C36842" s="74" t="s">
        <v>442</v>
      </c>
    </row>
    <row r="36843" spans="1:3">
      <c r="A36843" s="250">
        <v>87041</v>
      </c>
      <c r="B36843" s="74" t="s">
        <v>17372</v>
      </c>
      <c r="C36843" s="74" t="s">
        <v>442</v>
      </c>
    </row>
    <row r="36844" spans="1:3">
      <c r="A36844" s="250">
        <v>87042</v>
      </c>
      <c r="B36844" s="74" t="s">
        <v>17373</v>
      </c>
      <c r="C36844" s="74" t="s">
        <v>442</v>
      </c>
    </row>
    <row r="36845" spans="1:3">
      <c r="A36845" s="250">
        <v>87043</v>
      </c>
      <c r="B36845" s="74" t="s">
        <v>17374</v>
      </c>
      <c r="C36845" s="74" t="s">
        <v>442</v>
      </c>
    </row>
    <row r="36846" spans="1:3">
      <c r="A36846" s="250">
        <v>87044</v>
      </c>
      <c r="B36846" s="74" t="s">
        <v>17375</v>
      </c>
      <c r="C36846" s="74" t="s">
        <v>442</v>
      </c>
    </row>
    <row r="36847" spans="1:3">
      <c r="A36847" s="250">
        <v>87045</v>
      </c>
      <c r="B36847" s="74" t="s">
        <v>17376</v>
      </c>
      <c r="C36847" s="74" t="s">
        <v>442</v>
      </c>
    </row>
    <row r="36848" spans="1:3">
      <c r="A36848" s="250">
        <v>87046</v>
      </c>
      <c r="B36848" s="74" t="s">
        <v>9832</v>
      </c>
      <c r="C36848" s="74" t="s">
        <v>442</v>
      </c>
    </row>
    <row r="36849" spans="1:3">
      <c r="A36849" s="250">
        <v>87047</v>
      </c>
      <c r="B36849" s="74" t="s">
        <v>17377</v>
      </c>
      <c r="C36849" s="74" t="s">
        <v>442</v>
      </c>
    </row>
    <row r="36850" spans="1:3">
      <c r="A36850" s="250">
        <v>87048</v>
      </c>
      <c r="B36850" s="74" t="s">
        <v>17378</v>
      </c>
      <c r="C36850" s="74" t="s">
        <v>442</v>
      </c>
    </row>
    <row r="36851" spans="1:3">
      <c r="A36851" s="250">
        <v>87049</v>
      </c>
      <c r="B36851" s="74" t="s">
        <v>17379</v>
      </c>
      <c r="C36851" s="74" t="s">
        <v>442</v>
      </c>
    </row>
    <row r="36852" spans="1:3">
      <c r="A36852" s="250">
        <v>87051</v>
      </c>
      <c r="B36852" s="74" t="s">
        <v>17380</v>
      </c>
      <c r="C36852" s="74" t="s">
        <v>442</v>
      </c>
    </row>
    <row r="36853" spans="1:3">
      <c r="A36853" s="250">
        <v>87052</v>
      </c>
      <c r="B36853" s="74" t="s">
        <v>17381</v>
      </c>
      <c r="C36853" s="74" t="s">
        <v>442</v>
      </c>
    </row>
    <row r="36854" spans="1:3">
      <c r="A36854" s="250">
        <v>87053</v>
      </c>
      <c r="B36854" s="74" t="s">
        <v>17382</v>
      </c>
      <c r="C36854" s="74" t="s">
        <v>442</v>
      </c>
    </row>
    <row r="36855" spans="1:3">
      <c r="A36855" s="250">
        <v>87056</v>
      </c>
      <c r="B36855" s="74" t="s">
        <v>3830</v>
      </c>
      <c r="C36855" s="74" t="s">
        <v>442</v>
      </c>
    </row>
    <row r="36856" spans="1:3">
      <c r="A36856" s="250">
        <v>87059</v>
      </c>
      <c r="B36856" s="74" t="s">
        <v>17383</v>
      </c>
      <c r="C36856" s="74" t="s">
        <v>442</v>
      </c>
    </row>
    <row r="36857" spans="1:3">
      <c r="A36857" s="250">
        <v>87060</v>
      </c>
      <c r="B36857" s="74" t="s">
        <v>17384</v>
      </c>
      <c r="C36857" s="74" t="s">
        <v>442</v>
      </c>
    </row>
    <row r="36858" spans="1:3">
      <c r="A36858" s="250">
        <v>87061</v>
      </c>
      <c r="B36858" s="74" t="s">
        <v>17385</v>
      </c>
      <c r="C36858" s="74" t="s">
        <v>442</v>
      </c>
    </row>
    <row r="36859" spans="1:3">
      <c r="A36859" s="250">
        <v>87062</v>
      </c>
      <c r="B36859" s="74" t="s">
        <v>17386</v>
      </c>
      <c r="C36859" s="74" t="s">
        <v>442</v>
      </c>
    </row>
    <row r="36860" spans="1:3">
      <c r="A36860" s="250">
        <v>87063</v>
      </c>
      <c r="B36860" s="74" t="s">
        <v>3838</v>
      </c>
      <c r="C36860" s="74" t="s">
        <v>442</v>
      </c>
    </row>
    <row r="36861" spans="1:3">
      <c r="A36861" s="250">
        <v>87064</v>
      </c>
      <c r="B36861" s="74" t="s">
        <v>3216</v>
      </c>
      <c r="C36861" s="74" t="s">
        <v>442</v>
      </c>
    </row>
    <row r="36862" spans="1:3">
      <c r="A36862" s="250">
        <v>87068</v>
      </c>
      <c r="B36862" s="74" t="s">
        <v>17387</v>
      </c>
      <c r="C36862" s="74" t="s">
        <v>442</v>
      </c>
    </row>
    <row r="36863" spans="1:3">
      <c r="A36863" s="250">
        <v>87070</v>
      </c>
      <c r="B36863" s="74" t="s">
        <v>17388</v>
      </c>
      <c r="C36863" s="74" t="s">
        <v>442</v>
      </c>
    </row>
    <row r="36864" spans="1:3">
      <c r="A36864" s="250">
        <v>87072</v>
      </c>
      <c r="B36864" s="74" t="s">
        <v>17389</v>
      </c>
      <c r="C36864" s="74" t="s">
        <v>442</v>
      </c>
    </row>
    <row r="36865" spans="1:3">
      <c r="A36865" s="250">
        <v>87083</v>
      </c>
      <c r="B36865" s="74" t="s">
        <v>17390</v>
      </c>
      <c r="C36865" s="74" t="s">
        <v>442</v>
      </c>
    </row>
    <row r="36866" spans="1:3">
      <c r="A36866" s="250">
        <v>87101</v>
      </c>
      <c r="B36866" s="74" t="s">
        <v>17391</v>
      </c>
      <c r="C36866" s="74" t="s">
        <v>442</v>
      </c>
    </row>
    <row r="36867" spans="1:3">
      <c r="A36867" s="250">
        <v>87102</v>
      </c>
      <c r="B36867" s="74" t="s">
        <v>17391</v>
      </c>
      <c r="C36867" s="74" t="s">
        <v>442</v>
      </c>
    </row>
    <row r="36868" spans="1:3">
      <c r="A36868" s="250">
        <v>87103</v>
      </c>
      <c r="B36868" s="74" t="s">
        <v>17391</v>
      </c>
      <c r="C36868" s="74" t="s">
        <v>442</v>
      </c>
    </row>
    <row r="36869" spans="1:3">
      <c r="A36869" s="250">
        <v>87104</v>
      </c>
      <c r="B36869" s="74" t="s">
        <v>17391</v>
      </c>
      <c r="C36869" s="74" t="s">
        <v>442</v>
      </c>
    </row>
    <row r="36870" spans="1:3">
      <c r="A36870" s="250">
        <v>87105</v>
      </c>
      <c r="B36870" s="74" t="s">
        <v>17391</v>
      </c>
      <c r="C36870" s="74" t="s">
        <v>442</v>
      </c>
    </row>
    <row r="36871" spans="1:3">
      <c r="A36871" s="250">
        <v>87106</v>
      </c>
      <c r="B36871" s="74" t="s">
        <v>17391</v>
      </c>
      <c r="C36871" s="74" t="s">
        <v>442</v>
      </c>
    </row>
    <row r="36872" spans="1:3">
      <c r="A36872" s="250">
        <v>87107</v>
      </c>
      <c r="B36872" s="74" t="s">
        <v>17391</v>
      </c>
      <c r="C36872" s="74" t="s">
        <v>442</v>
      </c>
    </row>
    <row r="36873" spans="1:3">
      <c r="A36873" s="250">
        <v>87108</v>
      </c>
      <c r="B36873" s="74" t="s">
        <v>17391</v>
      </c>
      <c r="C36873" s="74" t="s">
        <v>442</v>
      </c>
    </row>
    <row r="36874" spans="1:3">
      <c r="A36874" s="250">
        <v>87109</v>
      </c>
      <c r="B36874" s="74" t="s">
        <v>17391</v>
      </c>
      <c r="C36874" s="74" t="s">
        <v>442</v>
      </c>
    </row>
    <row r="36875" spans="1:3">
      <c r="A36875" s="250">
        <v>87110</v>
      </c>
      <c r="B36875" s="74" t="s">
        <v>17391</v>
      </c>
      <c r="C36875" s="74" t="s">
        <v>442</v>
      </c>
    </row>
    <row r="36876" spans="1:3">
      <c r="A36876" s="250">
        <v>87111</v>
      </c>
      <c r="B36876" s="74" t="s">
        <v>17391</v>
      </c>
      <c r="C36876" s="74" t="s">
        <v>442</v>
      </c>
    </row>
    <row r="36877" spans="1:3">
      <c r="A36877" s="250">
        <v>87112</v>
      </c>
      <c r="B36877" s="74" t="s">
        <v>17391</v>
      </c>
      <c r="C36877" s="74" t="s">
        <v>442</v>
      </c>
    </row>
    <row r="36878" spans="1:3">
      <c r="A36878" s="250">
        <v>87113</v>
      </c>
      <c r="B36878" s="74" t="s">
        <v>17391</v>
      </c>
      <c r="C36878" s="74" t="s">
        <v>442</v>
      </c>
    </row>
    <row r="36879" spans="1:3">
      <c r="A36879" s="250">
        <v>87114</v>
      </c>
      <c r="B36879" s="74" t="s">
        <v>17391</v>
      </c>
      <c r="C36879" s="74" t="s">
        <v>442</v>
      </c>
    </row>
    <row r="36880" spans="1:3">
      <c r="A36880" s="250">
        <v>87115</v>
      </c>
      <c r="B36880" s="74" t="s">
        <v>17391</v>
      </c>
      <c r="C36880" s="74" t="s">
        <v>442</v>
      </c>
    </row>
    <row r="36881" spans="1:3">
      <c r="A36881" s="250">
        <v>87116</v>
      </c>
      <c r="B36881" s="74" t="s">
        <v>17391</v>
      </c>
      <c r="C36881" s="74" t="s">
        <v>442</v>
      </c>
    </row>
    <row r="36882" spans="1:3">
      <c r="A36882" s="250">
        <v>87117</v>
      </c>
      <c r="B36882" s="74" t="s">
        <v>17392</v>
      </c>
      <c r="C36882" s="74" t="s">
        <v>442</v>
      </c>
    </row>
    <row r="36883" spans="1:3">
      <c r="A36883" s="250">
        <v>87119</v>
      </c>
      <c r="B36883" s="74" t="s">
        <v>17391</v>
      </c>
      <c r="C36883" s="74" t="s">
        <v>442</v>
      </c>
    </row>
    <row r="36884" spans="1:3">
      <c r="A36884" s="250">
        <v>87120</v>
      </c>
      <c r="B36884" s="74" t="s">
        <v>17391</v>
      </c>
      <c r="C36884" s="74" t="s">
        <v>442</v>
      </c>
    </row>
    <row r="36885" spans="1:3">
      <c r="A36885" s="250">
        <v>87121</v>
      </c>
      <c r="B36885" s="74" t="s">
        <v>17391</v>
      </c>
      <c r="C36885" s="74" t="s">
        <v>442</v>
      </c>
    </row>
    <row r="36886" spans="1:3">
      <c r="A36886" s="250">
        <v>87122</v>
      </c>
      <c r="B36886" s="74" t="s">
        <v>17391</v>
      </c>
      <c r="C36886" s="74" t="s">
        <v>442</v>
      </c>
    </row>
    <row r="36887" spans="1:3">
      <c r="A36887" s="250">
        <v>87123</v>
      </c>
      <c r="B36887" s="74" t="s">
        <v>17391</v>
      </c>
      <c r="C36887" s="74" t="s">
        <v>442</v>
      </c>
    </row>
    <row r="36888" spans="1:3">
      <c r="A36888" s="250">
        <v>87124</v>
      </c>
      <c r="B36888" s="74" t="s">
        <v>17393</v>
      </c>
      <c r="C36888" s="74" t="s">
        <v>442</v>
      </c>
    </row>
    <row r="36889" spans="1:3">
      <c r="A36889" s="250">
        <v>87125</v>
      </c>
      <c r="B36889" s="74" t="s">
        <v>17391</v>
      </c>
      <c r="C36889" s="74" t="s">
        <v>442</v>
      </c>
    </row>
    <row r="36890" spans="1:3">
      <c r="A36890" s="250">
        <v>87131</v>
      </c>
      <c r="B36890" s="74" t="s">
        <v>17391</v>
      </c>
      <c r="C36890" s="74" t="s">
        <v>442</v>
      </c>
    </row>
    <row r="36891" spans="1:3">
      <c r="A36891" s="250">
        <v>87144</v>
      </c>
      <c r="B36891" s="74" t="s">
        <v>17393</v>
      </c>
      <c r="C36891" s="74" t="s">
        <v>442</v>
      </c>
    </row>
    <row r="36892" spans="1:3">
      <c r="A36892" s="250">
        <v>87151</v>
      </c>
      <c r="B36892" s="74" t="s">
        <v>17391</v>
      </c>
      <c r="C36892" s="74" t="s">
        <v>442</v>
      </c>
    </row>
    <row r="36893" spans="1:3">
      <c r="A36893" s="250">
        <v>87153</v>
      </c>
      <c r="B36893" s="74" t="s">
        <v>17391</v>
      </c>
      <c r="C36893" s="74" t="s">
        <v>442</v>
      </c>
    </row>
    <row r="36894" spans="1:3">
      <c r="A36894" s="250">
        <v>87154</v>
      </c>
      <c r="B36894" s="74" t="s">
        <v>17391</v>
      </c>
      <c r="C36894" s="74" t="s">
        <v>442</v>
      </c>
    </row>
    <row r="36895" spans="1:3">
      <c r="A36895" s="250">
        <v>87158</v>
      </c>
      <c r="B36895" s="74" t="s">
        <v>17391</v>
      </c>
      <c r="C36895" s="74" t="s">
        <v>442</v>
      </c>
    </row>
    <row r="36896" spans="1:3">
      <c r="A36896" s="250">
        <v>87165</v>
      </c>
      <c r="B36896" s="74" t="s">
        <v>17391</v>
      </c>
      <c r="C36896" s="74" t="s">
        <v>442</v>
      </c>
    </row>
    <row r="36897" spans="1:3">
      <c r="A36897" s="250">
        <v>87174</v>
      </c>
      <c r="B36897" s="74" t="s">
        <v>17393</v>
      </c>
      <c r="C36897" s="74" t="s">
        <v>442</v>
      </c>
    </row>
    <row r="36898" spans="1:3">
      <c r="A36898" s="250">
        <v>87176</v>
      </c>
      <c r="B36898" s="74" t="s">
        <v>17391</v>
      </c>
      <c r="C36898" s="74" t="s">
        <v>442</v>
      </c>
    </row>
    <row r="36899" spans="1:3">
      <c r="A36899" s="250">
        <v>87181</v>
      </c>
      <c r="B36899" s="74" t="s">
        <v>17391</v>
      </c>
      <c r="C36899" s="74" t="s">
        <v>442</v>
      </c>
    </row>
    <row r="36900" spans="1:3">
      <c r="A36900" s="250">
        <v>87184</v>
      </c>
      <c r="B36900" s="74" t="s">
        <v>17391</v>
      </c>
      <c r="C36900" s="74" t="s">
        <v>442</v>
      </c>
    </row>
    <row r="36901" spans="1:3">
      <c r="A36901" s="250">
        <v>87185</v>
      </c>
      <c r="B36901" s="74" t="s">
        <v>17391</v>
      </c>
      <c r="C36901" s="74" t="s">
        <v>442</v>
      </c>
    </row>
    <row r="36902" spans="1:3">
      <c r="A36902" s="250">
        <v>87187</v>
      </c>
      <c r="B36902" s="74" t="s">
        <v>17391</v>
      </c>
      <c r="C36902" s="74" t="s">
        <v>442</v>
      </c>
    </row>
    <row r="36903" spans="1:3">
      <c r="A36903" s="250">
        <v>87190</v>
      </c>
      <c r="B36903" s="74" t="s">
        <v>17391</v>
      </c>
      <c r="C36903" s="74" t="s">
        <v>442</v>
      </c>
    </row>
    <row r="36904" spans="1:3">
      <c r="A36904" s="250">
        <v>87191</v>
      </c>
      <c r="B36904" s="74" t="s">
        <v>17391</v>
      </c>
      <c r="C36904" s="74" t="s">
        <v>442</v>
      </c>
    </row>
    <row r="36905" spans="1:3">
      <c r="A36905" s="250">
        <v>87192</v>
      </c>
      <c r="B36905" s="74" t="s">
        <v>17391</v>
      </c>
      <c r="C36905" s="74" t="s">
        <v>442</v>
      </c>
    </row>
    <row r="36906" spans="1:3">
      <c r="A36906" s="250">
        <v>87193</v>
      </c>
      <c r="B36906" s="74" t="s">
        <v>17391</v>
      </c>
      <c r="C36906" s="74" t="s">
        <v>442</v>
      </c>
    </row>
    <row r="36907" spans="1:3">
      <c r="A36907" s="250">
        <v>87194</v>
      </c>
      <c r="B36907" s="74" t="s">
        <v>17391</v>
      </c>
      <c r="C36907" s="74" t="s">
        <v>442</v>
      </c>
    </row>
    <row r="36908" spans="1:3">
      <c r="A36908" s="250">
        <v>87195</v>
      </c>
      <c r="B36908" s="74" t="s">
        <v>17391</v>
      </c>
      <c r="C36908" s="74" t="s">
        <v>442</v>
      </c>
    </row>
    <row r="36909" spans="1:3">
      <c r="A36909" s="250">
        <v>87196</v>
      </c>
      <c r="B36909" s="74" t="s">
        <v>17391</v>
      </c>
      <c r="C36909" s="74" t="s">
        <v>442</v>
      </c>
    </row>
    <row r="36910" spans="1:3">
      <c r="A36910" s="250">
        <v>87197</v>
      </c>
      <c r="B36910" s="74" t="s">
        <v>17391</v>
      </c>
      <c r="C36910" s="74" t="s">
        <v>442</v>
      </c>
    </row>
    <row r="36911" spans="1:3">
      <c r="A36911" s="250">
        <v>87198</v>
      </c>
      <c r="B36911" s="74" t="s">
        <v>17391</v>
      </c>
      <c r="C36911" s="74" t="s">
        <v>442</v>
      </c>
    </row>
    <row r="36912" spans="1:3">
      <c r="A36912" s="250">
        <v>87199</v>
      </c>
      <c r="B36912" s="74" t="s">
        <v>17391</v>
      </c>
      <c r="C36912" s="74" t="s">
        <v>442</v>
      </c>
    </row>
    <row r="36913" spans="1:3">
      <c r="A36913" s="250">
        <v>87301</v>
      </c>
      <c r="B36913" s="74" t="s">
        <v>17394</v>
      </c>
      <c r="C36913" s="74" t="s">
        <v>442</v>
      </c>
    </row>
    <row r="36914" spans="1:3">
      <c r="A36914" s="250">
        <v>87302</v>
      </c>
      <c r="B36914" s="74" t="s">
        <v>17394</v>
      </c>
      <c r="C36914" s="74" t="s">
        <v>442</v>
      </c>
    </row>
    <row r="36915" spans="1:3">
      <c r="A36915" s="250">
        <v>87305</v>
      </c>
      <c r="B36915" s="74" t="s">
        <v>17394</v>
      </c>
      <c r="C36915" s="74" t="s">
        <v>442</v>
      </c>
    </row>
    <row r="36916" spans="1:3">
      <c r="A36916" s="250">
        <v>87310</v>
      </c>
      <c r="B36916" s="74" t="s">
        <v>17395</v>
      </c>
      <c r="C36916" s="74" t="s">
        <v>442</v>
      </c>
    </row>
    <row r="36917" spans="1:3">
      <c r="A36917" s="250">
        <v>87311</v>
      </c>
      <c r="B36917" s="74" t="s">
        <v>17396</v>
      </c>
      <c r="C36917" s="74" t="s">
        <v>442</v>
      </c>
    </row>
    <row r="36918" spans="1:3">
      <c r="A36918" s="250">
        <v>87312</v>
      </c>
      <c r="B36918" s="74" t="s">
        <v>17397</v>
      </c>
      <c r="C36918" s="74" t="s">
        <v>442</v>
      </c>
    </row>
    <row r="36919" spans="1:3">
      <c r="A36919" s="250">
        <v>87313</v>
      </c>
      <c r="B36919" s="74" t="s">
        <v>17398</v>
      </c>
      <c r="C36919" s="74" t="s">
        <v>442</v>
      </c>
    </row>
    <row r="36920" spans="1:3">
      <c r="A36920" s="250">
        <v>87315</v>
      </c>
      <c r="B36920" s="74" t="s">
        <v>17399</v>
      </c>
      <c r="C36920" s="74" t="s">
        <v>442</v>
      </c>
    </row>
    <row r="36921" spans="1:3">
      <c r="A36921" s="250">
        <v>87316</v>
      </c>
      <c r="B36921" s="74" t="s">
        <v>17400</v>
      </c>
      <c r="C36921" s="74" t="s">
        <v>442</v>
      </c>
    </row>
    <row r="36922" spans="1:3">
      <c r="A36922" s="250">
        <v>87317</v>
      </c>
      <c r="B36922" s="74" t="s">
        <v>17401</v>
      </c>
      <c r="C36922" s="74" t="s">
        <v>442</v>
      </c>
    </row>
    <row r="36923" spans="1:3">
      <c r="A36923" s="250">
        <v>87319</v>
      </c>
      <c r="B36923" s="74" t="s">
        <v>17402</v>
      </c>
      <c r="C36923" s="74" t="s">
        <v>442</v>
      </c>
    </row>
    <row r="36924" spans="1:3">
      <c r="A36924" s="250">
        <v>87320</v>
      </c>
      <c r="B36924" s="74" t="s">
        <v>17403</v>
      </c>
      <c r="C36924" s="74" t="s">
        <v>442</v>
      </c>
    </row>
    <row r="36925" spans="1:3">
      <c r="A36925" s="250">
        <v>87321</v>
      </c>
      <c r="B36925" s="74" t="s">
        <v>16717</v>
      </c>
      <c r="C36925" s="74" t="s">
        <v>442</v>
      </c>
    </row>
    <row r="36926" spans="1:3">
      <c r="A36926" s="250">
        <v>87322</v>
      </c>
      <c r="B36926" s="74" t="s">
        <v>1084</v>
      </c>
      <c r="C36926" s="74" t="s">
        <v>442</v>
      </c>
    </row>
    <row r="36927" spans="1:3">
      <c r="A36927" s="250">
        <v>87323</v>
      </c>
      <c r="B36927" s="74" t="s">
        <v>17404</v>
      </c>
      <c r="C36927" s="74" t="s">
        <v>442</v>
      </c>
    </row>
    <row r="36928" spans="1:3">
      <c r="A36928" s="250">
        <v>87325</v>
      </c>
      <c r="B36928" s="74" t="s">
        <v>17405</v>
      </c>
      <c r="C36928" s="74" t="s">
        <v>442</v>
      </c>
    </row>
    <row r="36929" spans="1:3">
      <c r="A36929" s="250">
        <v>87326</v>
      </c>
      <c r="B36929" s="74" t="s">
        <v>17406</v>
      </c>
      <c r="C36929" s="74" t="s">
        <v>442</v>
      </c>
    </row>
    <row r="36930" spans="1:3">
      <c r="A36930" s="250">
        <v>87327</v>
      </c>
      <c r="B36930" s="74" t="s">
        <v>6219</v>
      </c>
      <c r="C36930" s="74" t="s">
        <v>442</v>
      </c>
    </row>
    <row r="36931" spans="1:3">
      <c r="A36931" s="250">
        <v>87328</v>
      </c>
      <c r="B36931" s="74" t="s">
        <v>17407</v>
      </c>
      <c r="C36931" s="74" t="s">
        <v>442</v>
      </c>
    </row>
    <row r="36932" spans="1:3">
      <c r="A36932" s="250">
        <v>87347</v>
      </c>
      <c r="B36932" s="74" t="s">
        <v>1113</v>
      </c>
      <c r="C36932" s="74" t="s">
        <v>442</v>
      </c>
    </row>
    <row r="36933" spans="1:3">
      <c r="A36933" s="250">
        <v>87357</v>
      </c>
      <c r="B36933" s="74" t="s">
        <v>17408</v>
      </c>
      <c r="C36933" s="74" t="s">
        <v>442</v>
      </c>
    </row>
    <row r="36934" spans="1:3">
      <c r="A36934" s="250">
        <v>87364</v>
      </c>
      <c r="B36934" s="74" t="s">
        <v>17409</v>
      </c>
      <c r="C36934" s="74" t="s">
        <v>442</v>
      </c>
    </row>
    <row r="36935" spans="1:3">
      <c r="A36935" s="250">
        <v>87365</v>
      </c>
      <c r="B36935" s="74" t="s">
        <v>17410</v>
      </c>
      <c r="C36935" s="74" t="s">
        <v>442</v>
      </c>
    </row>
    <row r="36936" spans="1:3">
      <c r="A36936" s="250">
        <v>87375</v>
      </c>
      <c r="B36936" s="74" t="s">
        <v>17411</v>
      </c>
      <c r="C36936" s="74" t="s">
        <v>442</v>
      </c>
    </row>
    <row r="36937" spans="1:3">
      <c r="A36937" s="250">
        <v>87401</v>
      </c>
      <c r="B36937" s="74" t="s">
        <v>1309</v>
      </c>
      <c r="C36937" s="74" t="s">
        <v>442</v>
      </c>
    </row>
    <row r="36938" spans="1:3">
      <c r="A36938" s="250">
        <v>87402</v>
      </c>
      <c r="B36938" s="74" t="s">
        <v>1309</v>
      </c>
      <c r="C36938" s="74" t="s">
        <v>442</v>
      </c>
    </row>
    <row r="36939" spans="1:3">
      <c r="A36939" s="250">
        <v>87410</v>
      </c>
      <c r="B36939" s="74" t="s">
        <v>17412</v>
      </c>
      <c r="C36939" s="74" t="s">
        <v>442</v>
      </c>
    </row>
    <row r="36940" spans="1:3">
      <c r="A36940" s="250">
        <v>87412</v>
      </c>
      <c r="B36940" s="74" t="s">
        <v>15725</v>
      </c>
      <c r="C36940" s="74" t="s">
        <v>442</v>
      </c>
    </row>
    <row r="36941" spans="1:3">
      <c r="A36941" s="250">
        <v>87413</v>
      </c>
      <c r="B36941" s="74" t="s">
        <v>1933</v>
      </c>
      <c r="C36941" s="74" t="s">
        <v>442</v>
      </c>
    </row>
    <row r="36942" spans="1:3">
      <c r="A36942" s="250">
        <v>87415</v>
      </c>
      <c r="B36942" s="74" t="s">
        <v>17413</v>
      </c>
      <c r="C36942" s="74" t="s">
        <v>442</v>
      </c>
    </row>
    <row r="36943" spans="1:3">
      <c r="A36943" s="250">
        <v>87416</v>
      </c>
      <c r="B36943" s="74" t="s">
        <v>5832</v>
      </c>
      <c r="C36943" s="74" t="s">
        <v>442</v>
      </c>
    </row>
    <row r="36944" spans="1:3">
      <c r="A36944" s="250">
        <v>87417</v>
      </c>
      <c r="B36944" s="74" t="s">
        <v>17414</v>
      </c>
      <c r="C36944" s="74" t="s">
        <v>442</v>
      </c>
    </row>
    <row r="36945" spans="1:3">
      <c r="A36945" s="250">
        <v>87418</v>
      </c>
      <c r="B36945" s="74" t="s">
        <v>556</v>
      </c>
      <c r="C36945" s="74" t="s">
        <v>442</v>
      </c>
    </row>
    <row r="36946" spans="1:3">
      <c r="A36946" s="250">
        <v>87419</v>
      </c>
      <c r="B36946" s="74" t="s">
        <v>17415</v>
      </c>
      <c r="C36946" s="74" t="s">
        <v>442</v>
      </c>
    </row>
    <row r="36947" spans="1:3">
      <c r="A36947" s="250">
        <v>87420</v>
      </c>
      <c r="B36947" s="74" t="s">
        <v>17416</v>
      </c>
      <c r="C36947" s="74" t="s">
        <v>442</v>
      </c>
    </row>
    <row r="36948" spans="1:3">
      <c r="A36948" s="250">
        <v>87421</v>
      </c>
      <c r="B36948" s="74" t="s">
        <v>17417</v>
      </c>
      <c r="C36948" s="74" t="s">
        <v>442</v>
      </c>
    </row>
    <row r="36949" spans="1:3">
      <c r="A36949" s="250">
        <v>87455</v>
      </c>
      <c r="B36949" s="74" t="s">
        <v>3250</v>
      </c>
      <c r="C36949" s="74" t="s">
        <v>442</v>
      </c>
    </row>
    <row r="36950" spans="1:3">
      <c r="A36950" s="250">
        <v>87461</v>
      </c>
      <c r="B36950" s="74" t="s">
        <v>17418</v>
      </c>
      <c r="C36950" s="74" t="s">
        <v>442</v>
      </c>
    </row>
    <row r="36951" spans="1:3">
      <c r="A36951" s="250">
        <v>87499</v>
      </c>
      <c r="B36951" s="74" t="s">
        <v>1309</v>
      </c>
      <c r="C36951" s="74" t="s">
        <v>442</v>
      </c>
    </row>
    <row r="36952" spans="1:3">
      <c r="A36952" s="250">
        <v>87501</v>
      </c>
      <c r="B36952" s="74" t="s">
        <v>9259</v>
      </c>
      <c r="C36952" s="74" t="s">
        <v>442</v>
      </c>
    </row>
    <row r="36953" spans="1:3">
      <c r="A36953" s="250">
        <v>87502</v>
      </c>
      <c r="B36953" s="74" t="s">
        <v>9259</v>
      </c>
      <c r="C36953" s="74" t="s">
        <v>442</v>
      </c>
    </row>
    <row r="36954" spans="1:3">
      <c r="A36954" s="250">
        <v>87503</v>
      </c>
      <c r="B36954" s="74" t="s">
        <v>9259</v>
      </c>
      <c r="C36954" s="74" t="s">
        <v>442</v>
      </c>
    </row>
    <row r="36955" spans="1:3">
      <c r="A36955" s="250">
        <v>87504</v>
      </c>
      <c r="B36955" s="74" t="s">
        <v>9259</v>
      </c>
      <c r="C36955" s="74" t="s">
        <v>442</v>
      </c>
    </row>
    <row r="36956" spans="1:3">
      <c r="A36956" s="250">
        <v>87505</v>
      </c>
      <c r="B36956" s="74" t="s">
        <v>9259</v>
      </c>
      <c r="C36956" s="74" t="s">
        <v>442</v>
      </c>
    </row>
    <row r="36957" spans="1:3">
      <c r="A36957" s="250">
        <v>87506</v>
      </c>
      <c r="B36957" s="74" t="s">
        <v>9259</v>
      </c>
      <c r="C36957" s="74" t="s">
        <v>442</v>
      </c>
    </row>
    <row r="36958" spans="1:3">
      <c r="A36958" s="250">
        <v>87507</v>
      </c>
      <c r="B36958" s="74" t="s">
        <v>9259</v>
      </c>
      <c r="C36958" s="74" t="s">
        <v>442</v>
      </c>
    </row>
    <row r="36959" spans="1:3">
      <c r="A36959" s="250">
        <v>87508</v>
      </c>
      <c r="B36959" s="74" t="s">
        <v>9259</v>
      </c>
      <c r="C36959" s="74" t="s">
        <v>442</v>
      </c>
    </row>
    <row r="36960" spans="1:3">
      <c r="A36960" s="250">
        <v>87509</v>
      </c>
      <c r="B36960" s="74" t="s">
        <v>9259</v>
      </c>
      <c r="C36960" s="74" t="s">
        <v>442</v>
      </c>
    </row>
    <row r="36961" spans="1:3">
      <c r="A36961" s="250">
        <v>87510</v>
      </c>
      <c r="B36961" s="74" t="s">
        <v>17419</v>
      </c>
      <c r="C36961" s="74" t="s">
        <v>442</v>
      </c>
    </row>
    <row r="36962" spans="1:3">
      <c r="A36962" s="250">
        <v>87511</v>
      </c>
      <c r="B36962" s="74" t="s">
        <v>17420</v>
      </c>
      <c r="C36962" s="74" t="s">
        <v>442</v>
      </c>
    </row>
    <row r="36963" spans="1:3">
      <c r="A36963" s="250">
        <v>87512</v>
      </c>
      <c r="B36963" s="74" t="s">
        <v>17421</v>
      </c>
      <c r="C36963" s="74" t="s">
        <v>442</v>
      </c>
    </row>
    <row r="36964" spans="1:3">
      <c r="A36964" s="250">
        <v>87513</v>
      </c>
      <c r="B36964" s="74" t="s">
        <v>17422</v>
      </c>
      <c r="C36964" s="74" t="s">
        <v>442</v>
      </c>
    </row>
    <row r="36965" spans="1:3">
      <c r="A36965" s="250">
        <v>87514</v>
      </c>
      <c r="B36965" s="74" t="s">
        <v>17423</v>
      </c>
      <c r="C36965" s="74" t="s">
        <v>442</v>
      </c>
    </row>
    <row r="36966" spans="1:3">
      <c r="A36966" s="250">
        <v>87515</v>
      </c>
      <c r="B36966" s="74" t="s">
        <v>17424</v>
      </c>
      <c r="C36966" s="74" t="s">
        <v>442</v>
      </c>
    </row>
    <row r="36967" spans="1:3">
      <c r="A36967" s="250">
        <v>87516</v>
      </c>
      <c r="B36967" s="74" t="s">
        <v>17425</v>
      </c>
      <c r="C36967" s="74" t="s">
        <v>442</v>
      </c>
    </row>
    <row r="36968" spans="1:3">
      <c r="A36968" s="250">
        <v>87517</v>
      </c>
      <c r="B36968" s="74" t="s">
        <v>6190</v>
      </c>
      <c r="C36968" s="74" t="s">
        <v>442</v>
      </c>
    </row>
    <row r="36969" spans="1:3">
      <c r="A36969" s="250">
        <v>87518</v>
      </c>
      <c r="B36969" s="74" t="s">
        <v>17426</v>
      </c>
      <c r="C36969" s="74" t="s">
        <v>442</v>
      </c>
    </row>
    <row r="36970" spans="1:3">
      <c r="A36970" s="250">
        <v>87519</v>
      </c>
      <c r="B36970" s="74" t="s">
        <v>17427</v>
      </c>
      <c r="C36970" s="74" t="s">
        <v>442</v>
      </c>
    </row>
    <row r="36971" spans="1:3">
      <c r="A36971" s="250">
        <v>87520</v>
      </c>
      <c r="B36971" s="74" t="s">
        <v>16752</v>
      </c>
      <c r="C36971" s="74" t="s">
        <v>442</v>
      </c>
    </row>
    <row r="36972" spans="1:3">
      <c r="A36972" s="250">
        <v>87521</v>
      </c>
      <c r="B36972" s="74" t="s">
        <v>17428</v>
      </c>
      <c r="C36972" s="74" t="s">
        <v>442</v>
      </c>
    </row>
    <row r="36973" spans="1:3">
      <c r="A36973" s="250">
        <v>87522</v>
      </c>
      <c r="B36973" s="74" t="s">
        <v>17429</v>
      </c>
      <c r="C36973" s="74" t="s">
        <v>442</v>
      </c>
    </row>
    <row r="36974" spans="1:3">
      <c r="A36974" s="250">
        <v>87523</v>
      </c>
      <c r="B36974" s="74" t="s">
        <v>5747</v>
      </c>
      <c r="C36974" s="74" t="s">
        <v>442</v>
      </c>
    </row>
    <row r="36975" spans="1:3">
      <c r="A36975" s="250">
        <v>87524</v>
      </c>
      <c r="B36975" s="74" t="s">
        <v>17430</v>
      </c>
      <c r="C36975" s="74" t="s">
        <v>442</v>
      </c>
    </row>
    <row r="36976" spans="1:3">
      <c r="A36976" s="250">
        <v>87525</v>
      </c>
      <c r="B36976" s="74" t="s">
        <v>17431</v>
      </c>
      <c r="C36976" s="74" t="s">
        <v>442</v>
      </c>
    </row>
    <row r="36977" spans="1:3">
      <c r="A36977" s="250">
        <v>87527</v>
      </c>
      <c r="B36977" s="74" t="s">
        <v>10025</v>
      </c>
      <c r="C36977" s="74" t="s">
        <v>442</v>
      </c>
    </row>
    <row r="36978" spans="1:3">
      <c r="A36978" s="250">
        <v>87528</v>
      </c>
      <c r="B36978" s="74" t="s">
        <v>17432</v>
      </c>
      <c r="C36978" s="74" t="s">
        <v>442</v>
      </c>
    </row>
    <row r="36979" spans="1:3">
      <c r="A36979" s="250">
        <v>87529</v>
      </c>
      <c r="B36979" s="74" t="s">
        <v>17433</v>
      </c>
      <c r="C36979" s="74" t="s">
        <v>442</v>
      </c>
    </row>
    <row r="36980" spans="1:3">
      <c r="A36980" s="250">
        <v>87530</v>
      </c>
      <c r="B36980" s="74" t="s">
        <v>17434</v>
      </c>
      <c r="C36980" s="74" t="s">
        <v>442</v>
      </c>
    </row>
    <row r="36981" spans="1:3">
      <c r="A36981" s="250">
        <v>87531</v>
      </c>
      <c r="B36981" s="74" t="s">
        <v>17435</v>
      </c>
      <c r="C36981" s="74" t="s">
        <v>442</v>
      </c>
    </row>
    <row r="36982" spans="1:3">
      <c r="A36982" s="250">
        <v>87532</v>
      </c>
      <c r="B36982" s="74" t="s">
        <v>17436</v>
      </c>
      <c r="C36982" s="74" t="s">
        <v>442</v>
      </c>
    </row>
    <row r="36983" spans="1:3">
      <c r="A36983" s="250">
        <v>87533</v>
      </c>
      <c r="B36983" s="74" t="s">
        <v>17436</v>
      </c>
      <c r="C36983" s="74" t="s">
        <v>442</v>
      </c>
    </row>
    <row r="36984" spans="1:3">
      <c r="A36984" s="250">
        <v>87535</v>
      </c>
      <c r="B36984" s="74" t="s">
        <v>17437</v>
      </c>
      <c r="C36984" s="74" t="s">
        <v>442</v>
      </c>
    </row>
    <row r="36985" spans="1:3">
      <c r="A36985" s="250">
        <v>87537</v>
      </c>
      <c r="B36985" s="74" t="s">
        <v>17438</v>
      </c>
      <c r="C36985" s="74" t="s">
        <v>442</v>
      </c>
    </row>
    <row r="36986" spans="1:3">
      <c r="A36986" s="250">
        <v>87538</v>
      </c>
      <c r="B36986" s="74" t="s">
        <v>17439</v>
      </c>
      <c r="C36986" s="74" t="s">
        <v>442</v>
      </c>
    </row>
    <row r="36987" spans="1:3">
      <c r="A36987" s="250">
        <v>87539</v>
      </c>
      <c r="B36987" s="74" t="s">
        <v>17440</v>
      </c>
      <c r="C36987" s="74" t="s">
        <v>442</v>
      </c>
    </row>
    <row r="36988" spans="1:3">
      <c r="A36988" s="250">
        <v>87540</v>
      </c>
      <c r="B36988" s="74" t="s">
        <v>17441</v>
      </c>
      <c r="C36988" s="74" t="s">
        <v>442</v>
      </c>
    </row>
    <row r="36989" spans="1:3">
      <c r="A36989" s="250">
        <v>87543</v>
      </c>
      <c r="B36989" s="74" t="s">
        <v>16421</v>
      </c>
      <c r="C36989" s="74" t="s">
        <v>442</v>
      </c>
    </row>
    <row r="36990" spans="1:3">
      <c r="A36990" s="250">
        <v>87544</v>
      </c>
      <c r="B36990" s="74" t="s">
        <v>17442</v>
      </c>
      <c r="C36990" s="74" t="s">
        <v>442</v>
      </c>
    </row>
    <row r="36991" spans="1:3">
      <c r="A36991" s="250">
        <v>87545</v>
      </c>
      <c r="B36991" s="74" t="s">
        <v>17442</v>
      </c>
      <c r="C36991" s="74" t="s">
        <v>442</v>
      </c>
    </row>
    <row r="36992" spans="1:3">
      <c r="A36992" s="250">
        <v>87548</v>
      </c>
      <c r="B36992" s="74" t="s">
        <v>17443</v>
      </c>
      <c r="C36992" s="74" t="s">
        <v>442</v>
      </c>
    </row>
    <row r="36993" spans="1:3">
      <c r="A36993" s="250">
        <v>87549</v>
      </c>
      <c r="B36993" s="74" t="s">
        <v>17444</v>
      </c>
      <c r="C36993" s="74" t="s">
        <v>442</v>
      </c>
    </row>
    <row r="36994" spans="1:3">
      <c r="A36994" s="250">
        <v>87551</v>
      </c>
      <c r="B36994" s="74" t="s">
        <v>17445</v>
      </c>
      <c r="C36994" s="74" t="s">
        <v>442</v>
      </c>
    </row>
    <row r="36995" spans="1:3">
      <c r="A36995" s="250">
        <v>87552</v>
      </c>
      <c r="B36995" s="74" t="s">
        <v>16609</v>
      </c>
      <c r="C36995" s="74" t="s">
        <v>442</v>
      </c>
    </row>
    <row r="36996" spans="1:3">
      <c r="A36996" s="250">
        <v>87553</v>
      </c>
      <c r="B36996" s="74" t="s">
        <v>17446</v>
      </c>
      <c r="C36996" s="74" t="s">
        <v>442</v>
      </c>
    </row>
    <row r="36997" spans="1:3">
      <c r="A36997" s="250">
        <v>87554</v>
      </c>
      <c r="B36997" s="74" t="s">
        <v>17447</v>
      </c>
      <c r="C36997" s="74" t="s">
        <v>442</v>
      </c>
    </row>
    <row r="36998" spans="1:3">
      <c r="A36998" s="250">
        <v>87556</v>
      </c>
      <c r="B36998" s="74" t="s">
        <v>17448</v>
      </c>
      <c r="C36998" s="74" t="s">
        <v>442</v>
      </c>
    </row>
    <row r="36999" spans="1:3">
      <c r="A36999" s="250">
        <v>87557</v>
      </c>
      <c r="B36999" s="74" t="s">
        <v>17449</v>
      </c>
      <c r="C36999" s="74" t="s">
        <v>442</v>
      </c>
    </row>
    <row r="37000" spans="1:3">
      <c r="A37000" s="250">
        <v>87558</v>
      </c>
      <c r="B37000" s="74" t="s">
        <v>17450</v>
      </c>
      <c r="C37000" s="74" t="s">
        <v>442</v>
      </c>
    </row>
    <row r="37001" spans="1:3">
      <c r="A37001" s="250">
        <v>87560</v>
      </c>
      <c r="B37001" s="74" t="s">
        <v>17451</v>
      </c>
      <c r="C37001" s="74" t="s">
        <v>442</v>
      </c>
    </row>
    <row r="37002" spans="1:3">
      <c r="A37002" s="250">
        <v>87562</v>
      </c>
      <c r="B37002" s="74" t="s">
        <v>691</v>
      </c>
      <c r="C37002" s="74" t="s">
        <v>442</v>
      </c>
    </row>
    <row r="37003" spans="1:3">
      <c r="A37003" s="250">
        <v>87564</v>
      </c>
      <c r="B37003" s="74" t="s">
        <v>17452</v>
      </c>
      <c r="C37003" s="74" t="s">
        <v>442</v>
      </c>
    </row>
    <row r="37004" spans="1:3">
      <c r="A37004" s="250">
        <v>87565</v>
      </c>
      <c r="B37004" s="74" t="s">
        <v>13961</v>
      </c>
      <c r="C37004" s="74" t="s">
        <v>442</v>
      </c>
    </row>
    <row r="37005" spans="1:3">
      <c r="A37005" s="250">
        <v>87566</v>
      </c>
      <c r="B37005" s="74" t="s">
        <v>17453</v>
      </c>
      <c r="C37005" s="74" t="s">
        <v>442</v>
      </c>
    </row>
    <row r="37006" spans="1:3">
      <c r="A37006" s="250">
        <v>87567</v>
      </c>
      <c r="B37006" s="74" t="s">
        <v>17454</v>
      </c>
      <c r="C37006" s="74" t="s">
        <v>442</v>
      </c>
    </row>
    <row r="37007" spans="1:3">
      <c r="A37007" s="250">
        <v>87569</v>
      </c>
      <c r="B37007" s="74" t="s">
        <v>17455</v>
      </c>
      <c r="C37007" s="74" t="s">
        <v>442</v>
      </c>
    </row>
    <row r="37008" spans="1:3">
      <c r="A37008" s="250">
        <v>87571</v>
      </c>
      <c r="B37008" s="74" t="s">
        <v>17456</v>
      </c>
      <c r="C37008" s="74" t="s">
        <v>442</v>
      </c>
    </row>
    <row r="37009" spans="1:3">
      <c r="A37009" s="250">
        <v>87573</v>
      </c>
      <c r="B37009" s="74" t="s">
        <v>17457</v>
      </c>
      <c r="C37009" s="74" t="s">
        <v>442</v>
      </c>
    </row>
    <row r="37010" spans="1:3">
      <c r="A37010" s="250">
        <v>87574</v>
      </c>
      <c r="B37010" s="74" t="s">
        <v>17458</v>
      </c>
      <c r="C37010" s="74" t="s">
        <v>442</v>
      </c>
    </row>
    <row r="37011" spans="1:3">
      <c r="A37011" s="250">
        <v>87575</v>
      </c>
      <c r="B37011" s="74" t="s">
        <v>17459</v>
      </c>
      <c r="C37011" s="74" t="s">
        <v>442</v>
      </c>
    </row>
    <row r="37012" spans="1:3">
      <c r="A37012" s="250">
        <v>87576</v>
      </c>
      <c r="B37012" s="74" t="s">
        <v>17460</v>
      </c>
      <c r="C37012" s="74" t="s">
        <v>442</v>
      </c>
    </row>
    <row r="37013" spans="1:3">
      <c r="A37013" s="250">
        <v>87577</v>
      </c>
      <c r="B37013" s="74" t="s">
        <v>17461</v>
      </c>
      <c r="C37013" s="74" t="s">
        <v>442</v>
      </c>
    </row>
    <row r="37014" spans="1:3">
      <c r="A37014" s="250">
        <v>87578</v>
      </c>
      <c r="B37014" s="74" t="s">
        <v>17462</v>
      </c>
      <c r="C37014" s="74" t="s">
        <v>442</v>
      </c>
    </row>
    <row r="37015" spans="1:3">
      <c r="A37015" s="250">
        <v>87579</v>
      </c>
      <c r="B37015" s="74" t="s">
        <v>17463</v>
      </c>
      <c r="C37015" s="74" t="s">
        <v>442</v>
      </c>
    </row>
    <row r="37016" spans="1:3">
      <c r="A37016" s="250">
        <v>87580</v>
      </c>
      <c r="B37016" s="74" t="s">
        <v>17464</v>
      </c>
      <c r="C37016" s="74" t="s">
        <v>442</v>
      </c>
    </row>
    <row r="37017" spans="1:3">
      <c r="A37017" s="250">
        <v>87581</v>
      </c>
      <c r="B37017" s="74" t="s">
        <v>17465</v>
      </c>
      <c r="C37017" s="74" t="s">
        <v>442</v>
      </c>
    </row>
    <row r="37018" spans="1:3">
      <c r="A37018" s="250">
        <v>87582</v>
      </c>
      <c r="B37018" s="74" t="s">
        <v>17466</v>
      </c>
      <c r="C37018" s="74" t="s">
        <v>442</v>
      </c>
    </row>
    <row r="37019" spans="1:3">
      <c r="A37019" s="250">
        <v>87583</v>
      </c>
      <c r="B37019" s="74" t="s">
        <v>17467</v>
      </c>
      <c r="C37019" s="74" t="s">
        <v>442</v>
      </c>
    </row>
    <row r="37020" spans="1:3">
      <c r="A37020" s="250">
        <v>87592</v>
      </c>
      <c r="B37020" s="74" t="s">
        <v>9259</v>
      </c>
      <c r="C37020" s="74" t="s">
        <v>442</v>
      </c>
    </row>
    <row r="37021" spans="1:3">
      <c r="A37021" s="250">
        <v>87594</v>
      </c>
      <c r="B37021" s="74" t="s">
        <v>9259</v>
      </c>
      <c r="C37021" s="74" t="s">
        <v>442</v>
      </c>
    </row>
    <row r="37022" spans="1:3">
      <c r="A37022" s="250">
        <v>87701</v>
      </c>
      <c r="B37022" s="74" t="s">
        <v>17468</v>
      </c>
      <c r="C37022" s="74" t="s">
        <v>442</v>
      </c>
    </row>
    <row r="37023" spans="1:3">
      <c r="A37023" s="250">
        <v>87710</v>
      </c>
      <c r="B37023" s="74" t="s">
        <v>17469</v>
      </c>
      <c r="C37023" s="74" t="s">
        <v>442</v>
      </c>
    </row>
    <row r="37024" spans="1:3">
      <c r="A37024" s="250">
        <v>87711</v>
      </c>
      <c r="B37024" s="74" t="s">
        <v>17470</v>
      </c>
      <c r="C37024" s="74" t="s">
        <v>442</v>
      </c>
    </row>
    <row r="37025" spans="1:3">
      <c r="A37025" s="250">
        <v>87712</v>
      </c>
      <c r="B37025" s="74" t="s">
        <v>3967</v>
      </c>
      <c r="C37025" s="74" t="s">
        <v>442</v>
      </c>
    </row>
    <row r="37026" spans="1:3">
      <c r="A37026" s="250">
        <v>87713</v>
      </c>
      <c r="B37026" s="74" t="s">
        <v>17471</v>
      </c>
      <c r="C37026" s="74" t="s">
        <v>442</v>
      </c>
    </row>
    <row r="37027" spans="1:3">
      <c r="A37027" s="250">
        <v>87714</v>
      </c>
      <c r="B37027" s="74" t="s">
        <v>14713</v>
      </c>
      <c r="C37027" s="74" t="s">
        <v>442</v>
      </c>
    </row>
    <row r="37028" spans="1:3">
      <c r="A37028" s="250">
        <v>87715</v>
      </c>
      <c r="B37028" s="74" t="s">
        <v>3350</v>
      </c>
      <c r="C37028" s="74" t="s">
        <v>442</v>
      </c>
    </row>
    <row r="37029" spans="1:3">
      <c r="A37029" s="250">
        <v>87718</v>
      </c>
      <c r="B37029" s="74" t="s">
        <v>17472</v>
      </c>
      <c r="C37029" s="74" t="s">
        <v>442</v>
      </c>
    </row>
    <row r="37030" spans="1:3">
      <c r="A37030" s="250">
        <v>87722</v>
      </c>
      <c r="B37030" s="74" t="s">
        <v>17473</v>
      </c>
      <c r="C37030" s="74" t="s">
        <v>442</v>
      </c>
    </row>
    <row r="37031" spans="1:3">
      <c r="A37031" s="250">
        <v>87723</v>
      </c>
      <c r="B37031" s="74" t="s">
        <v>17474</v>
      </c>
      <c r="C37031" s="74" t="s">
        <v>442</v>
      </c>
    </row>
    <row r="37032" spans="1:3">
      <c r="A37032" s="250">
        <v>87724</v>
      </c>
      <c r="B37032" s="74" t="s">
        <v>17475</v>
      </c>
      <c r="C37032" s="74" t="s">
        <v>442</v>
      </c>
    </row>
    <row r="37033" spans="1:3">
      <c r="A37033" s="250">
        <v>87728</v>
      </c>
      <c r="B37033" s="74" t="s">
        <v>10665</v>
      </c>
      <c r="C37033" s="74" t="s">
        <v>442</v>
      </c>
    </row>
    <row r="37034" spans="1:3">
      <c r="A37034" s="250">
        <v>87729</v>
      </c>
      <c r="B37034" s="74" t="s">
        <v>6627</v>
      </c>
      <c r="C37034" s="74" t="s">
        <v>442</v>
      </c>
    </row>
    <row r="37035" spans="1:3">
      <c r="A37035" s="250">
        <v>87730</v>
      </c>
      <c r="B37035" s="74" t="s">
        <v>4680</v>
      </c>
      <c r="C37035" s="74" t="s">
        <v>442</v>
      </c>
    </row>
    <row r="37036" spans="1:3">
      <c r="A37036" s="250">
        <v>87731</v>
      </c>
      <c r="B37036" s="74" t="s">
        <v>3391</v>
      </c>
      <c r="C37036" s="74" t="s">
        <v>442</v>
      </c>
    </row>
    <row r="37037" spans="1:3">
      <c r="A37037" s="250">
        <v>87732</v>
      </c>
      <c r="B37037" s="74" t="s">
        <v>12378</v>
      </c>
      <c r="C37037" s="74" t="s">
        <v>442</v>
      </c>
    </row>
    <row r="37038" spans="1:3">
      <c r="A37038" s="250">
        <v>87733</v>
      </c>
      <c r="B37038" s="74" t="s">
        <v>17476</v>
      </c>
      <c r="C37038" s="74" t="s">
        <v>442</v>
      </c>
    </row>
    <row r="37039" spans="1:3">
      <c r="A37039" s="250">
        <v>87734</v>
      </c>
      <c r="B37039" s="74" t="s">
        <v>17477</v>
      </c>
      <c r="C37039" s="74" t="s">
        <v>442</v>
      </c>
    </row>
    <row r="37040" spans="1:3">
      <c r="A37040" s="250">
        <v>87735</v>
      </c>
      <c r="B37040" s="74" t="s">
        <v>17478</v>
      </c>
      <c r="C37040" s="74" t="s">
        <v>442</v>
      </c>
    </row>
    <row r="37041" spans="1:3">
      <c r="A37041" s="250">
        <v>87736</v>
      </c>
      <c r="B37041" s="74" t="s">
        <v>8778</v>
      </c>
      <c r="C37041" s="74" t="s">
        <v>442</v>
      </c>
    </row>
    <row r="37042" spans="1:3">
      <c r="A37042" s="250">
        <v>87740</v>
      </c>
      <c r="B37042" s="74" t="s">
        <v>17479</v>
      </c>
      <c r="C37042" s="74" t="s">
        <v>442</v>
      </c>
    </row>
    <row r="37043" spans="1:3">
      <c r="A37043" s="250">
        <v>87742</v>
      </c>
      <c r="B37043" s="74" t="s">
        <v>17480</v>
      </c>
      <c r="C37043" s="74" t="s">
        <v>442</v>
      </c>
    </row>
    <row r="37044" spans="1:3">
      <c r="A37044" s="250">
        <v>87743</v>
      </c>
      <c r="B37044" s="74" t="s">
        <v>13335</v>
      </c>
      <c r="C37044" s="74" t="s">
        <v>442</v>
      </c>
    </row>
    <row r="37045" spans="1:3">
      <c r="A37045" s="250">
        <v>87745</v>
      </c>
      <c r="B37045" s="74" t="s">
        <v>17481</v>
      </c>
      <c r="C37045" s="74" t="s">
        <v>442</v>
      </c>
    </row>
    <row r="37046" spans="1:3">
      <c r="A37046" s="250">
        <v>87746</v>
      </c>
      <c r="B37046" s="74" t="s">
        <v>17482</v>
      </c>
      <c r="C37046" s="74" t="s">
        <v>442</v>
      </c>
    </row>
    <row r="37047" spans="1:3">
      <c r="A37047" s="250">
        <v>87747</v>
      </c>
      <c r="B37047" s="74" t="s">
        <v>15552</v>
      </c>
      <c r="C37047" s="74" t="s">
        <v>442</v>
      </c>
    </row>
    <row r="37048" spans="1:3">
      <c r="A37048" s="250">
        <v>87749</v>
      </c>
      <c r="B37048" s="74" t="s">
        <v>17483</v>
      </c>
      <c r="C37048" s="74" t="s">
        <v>442</v>
      </c>
    </row>
    <row r="37049" spans="1:3">
      <c r="A37049" s="250">
        <v>87750</v>
      </c>
      <c r="B37049" s="74" t="s">
        <v>17484</v>
      </c>
      <c r="C37049" s="74" t="s">
        <v>442</v>
      </c>
    </row>
    <row r="37050" spans="1:3">
      <c r="A37050" s="250">
        <v>87752</v>
      </c>
      <c r="B37050" s="74" t="s">
        <v>17485</v>
      </c>
      <c r="C37050" s="74" t="s">
        <v>442</v>
      </c>
    </row>
    <row r="37051" spans="1:3">
      <c r="A37051" s="250">
        <v>87753</v>
      </c>
      <c r="B37051" s="74" t="s">
        <v>17486</v>
      </c>
      <c r="C37051" s="74" t="s">
        <v>442</v>
      </c>
    </row>
    <row r="37052" spans="1:3">
      <c r="A37052" s="250">
        <v>87801</v>
      </c>
      <c r="B37052" s="74" t="s">
        <v>17487</v>
      </c>
      <c r="C37052" s="74" t="s">
        <v>442</v>
      </c>
    </row>
    <row r="37053" spans="1:3">
      <c r="A37053" s="250">
        <v>87820</v>
      </c>
      <c r="B37053" s="74" t="s">
        <v>7875</v>
      </c>
      <c r="C37053" s="74" t="s">
        <v>442</v>
      </c>
    </row>
    <row r="37054" spans="1:3">
      <c r="A37054" s="250">
        <v>87821</v>
      </c>
      <c r="B37054" s="74" t="s">
        <v>17488</v>
      </c>
      <c r="C37054" s="74" t="s">
        <v>442</v>
      </c>
    </row>
    <row r="37055" spans="1:3">
      <c r="A37055" s="250">
        <v>87823</v>
      </c>
      <c r="B37055" s="74" t="s">
        <v>17489</v>
      </c>
      <c r="C37055" s="74" t="s">
        <v>442</v>
      </c>
    </row>
    <row r="37056" spans="1:3">
      <c r="A37056" s="250">
        <v>87824</v>
      </c>
      <c r="B37056" s="74" t="s">
        <v>17490</v>
      </c>
      <c r="C37056" s="74" t="s">
        <v>442</v>
      </c>
    </row>
    <row r="37057" spans="1:3">
      <c r="A37057" s="250">
        <v>87825</v>
      </c>
      <c r="B37057" s="74" t="s">
        <v>17491</v>
      </c>
      <c r="C37057" s="74" t="s">
        <v>442</v>
      </c>
    </row>
    <row r="37058" spans="1:3">
      <c r="A37058" s="250">
        <v>87827</v>
      </c>
      <c r="B37058" s="74" t="s">
        <v>17492</v>
      </c>
      <c r="C37058" s="74" t="s">
        <v>442</v>
      </c>
    </row>
    <row r="37059" spans="1:3">
      <c r="A37059" s="250">
        <v>87828</v>
      </c>
      <c r="B37059" s="74" t="s">
        <v>17493</v>
      </c>
      <c r="C37059" s="74" t="s">
        <v>442</v>
      </c>
    </row>
    <row r="37060" spans="1:3">
      <c r="A37060" s="250">
        <v>87829</v>
      </c>
      <c r="B37060" s="74" t="s">
        <v>16455</v>
      </c>
      <c r="C37060" s="74" t="s">
        <v>442</v>
      </c>
    </row>
    <row r="37061" spans="1:3">
      <c r="A37061" s="250">
        <v>87830</v>
      </c>
      <c r="B37061" s="74" t="s">
        <v>13277</v>
      </c>
      <c r="C37061" s="74" t="s">
        <v>442</v>
      </c>
    </row>
    <row r="37062" spans="1:3">
      <c r="A37062" s="250">
        <v>87831</v>
      </c>
      <c r="B37062" s="74" t="s">
        <v>17494</v>
      </c>
      <c r="C37062" s="74" t="s">
        <v>442</v>
      </c>
    </row>
    <row r="37063" spans="1:3">
      <c r="A37063" s="250">
        <v>87832</v>
      </c>
      <c r="B37063" s="74" t="s">
        <v>512</v>
      </c>
      <c r="C37063" s="74" t="s">
        <v>442</v>
      </c>
    </row>
    <row r="37064" spans="1:3">
      <c r="A37064" s="250">
        <v>87901</v>
      </c>
      <c r="B37064" s="74" t="s">
        <v>17495</v>
      </c>
      <c r="C37064" s="74" t="s">
        <v>442</v>
      </c>
    </row>
    <row r="37065" spans="1:3">
      <c r="A37065" s="250">
        <v>87930</v>
      </c>
      <c r="B37065" s="74" t="s">
        <v>17496</v>
      </c>
      <c r="C37065" s="74" t="s">
        <v>442</v>
      </c>
    </row>
    <row r="37066" spans="1:3">
      <c r="A37066" s="250">
        <v>87931</v>
      </c>
      <c r="B37066" s="74" t="s">
        <v>17497</v>
      </c>
      <c r="C37066" s="74" t="s">
        <v>442</v>
      </c>
    </row>
    <row r="37067" spans="1:3">
      <c r="A37067" s="250">
        <v>87933</v>
      </c>
      <c r="B37067" s="74" t="s">
        <v>1152</v>
      </c>
      <c r="C37067" s="74" t="s">
        <v>442</v>
      </c>
    </row>
    <row r="37068" spans="1:3">
      <c r="A37068" s="250">
        <v>87935</v>
      </c>
      <c r="B37068" s="74" t="s">
        <v>17498</v>
      </c>
      <c r="C37068" s="74" t="s">
        <v>442</v>
      </c>
    </row>
    <row r="37069" spans="1:3">
      <c r="A37069" s="250">
        <v>87936</v>
      </c>
      <c r="B37069" s="74" t="s">
        <v>2125</v>
      </c>
      <c r="C37069" s="74" t="s">
        <v>442</v>
      </c>
    </row>
    <row r="37070" spans="1:3">
      <c r="A37070" s="250">
        <v>87937</v>
      </c>
      <c r="B37070" s="74" t="s">
        <v>17143</v>
      </c>
      <c r="C37070" s="74" t="s">
        <v>442</v>
      </c>
    </row>
    <row r="37071" spans="1:3">
      <c r="A37071" s="250">
        <v>87939</v>
      </c>
      <c r="B37071" s="74" t="s">
        <v>1639</v>
      </c>
      <c r="C37071" s="74" t="s">
        <v>442</v>
      </c>
    </row>
    <row r="37072" spans="1:3">
      <c r="A37072" s="250">
        <v>87940</v>
      </c>
      <c r="B37072" s="74" t="s">
        <v>505</v>
      </c>
      <c r="C37072" s="74" t="s">
        <v>442</v>
      </c>
    </row>
    <row r="37073" spans="1:3">
      <c r="A37073" s="250">
        <v>87941</v>
      </c>
      <c r="B37073" s="74" t="s">
        <v>858</v>
      </c>
      <c r="C37073" s="74" t="s">
        <v>442</v>
      </c>
    </row>
    <row r="37074" spans="1:3">
      <c r="A37074" s="250">
        <v>87942</v>
      </c>
      <c r="B37074" s="74" t="s">
        <v>631</v>
      </c>
      <c r="C37074" s="74" t="s">
        <v>442</v>
      </c>
    </row>
    <row r="37075" spans="1:3">
      <c r="A37075" s="250">
        <v>87943</v>
      </c>
      <c r="B37075" s="74" t="s">
        <v>7904</v>
      </c>
      <c r="C37075" s="74" t="s">
        <v>442</v>
      </c>
    </row>
    <row r="37076" spans="1:3">
      <c r="A37076" s="250">
        <v>88001</v>
      </c>
      <c r="B37076" s="74" t="s">
        <v>17499</v>
      </c>
      <c r="C37076" s="74" t="s">
        <v>442</v>
      </c>
    </row>
    <row r="37077" spans="1:3">
      <c r="A37077" s="250">
        <v>88002</v>
      </c>
      <c r="B37077" s="74" t="s">
        <v>17500</v>
      </c>
      <c r="C37077" s="74" t="s">
        <v>442</v>
      </c>
    </row>
    <row r="37078" spans="1:3">
      <c r="A37078" s="250">
        <v>88003</v>
      </c>
      <c r="B37078" s="74" t="s">
        <v>17499</v>
      </c>
      <c r="C37078" s="74" t="s">
        <v>442</v>
      </c>
    </row>
    <row r="37079" spans="1:3">
      <c r="A37079" s="250">
        <v>88004</v>
      </c>
      <c r="B37079" s="74" t="s">
        <v>17499</v>
      </c>
      <c r="C37079" s="74" t="s">
        <v>442</v>
      </c>
    </row>
    <row r="37080" spans="1:3">
      <c r="A37080" s="250">
        <v>88005</v>
      </c>
      <c r="B37080" s="74" t="s">
        <v>17499</v>
      </c>
      <c r="C37080" s="74" t="s">
        <v>442</v>
      </c>
    </row>
    <row r="37081" spans="1:3">
      <c r="A37081" s="250">
        <v>88006</v>
      </c>
      <c r="B37081" s="74" t="s">
        <v>17499</v>
      </c>
      <c r="C37081" s="74" t="s">
        <v>442</v>
      </c>
    </row>
    <row r="37082" spans="1:3">
      <c r="A37082" s="250">
        <v>88007</v>
      </c>
      <c r="B37082" s="74" t="s">
        <v>17499</v>
      </c>
      <c r="C37082" s="74" t="s">
        <v>442</v>
      </c>
    </row>
    <row r="37083" spans="1:3">
      <c r="A37083" s="250">
        <v>88008</v>
      </c>
      <c r="B37083" s="74" t="s">
        <v>17501</v>
      </c>
      <c r="C37083" s="74" t="s">
        <v>442</v>
      </c>
    </row>
    <row r="37084" spans="1:3">
      <c r="A37084" s="250">
        <v>88009</v>
      </c>
      <c r="B37084" s="74" t="s">
        <v>17502</v>
      </c>
      <c r="C37084" s="74" t="s">
        <v>442</v>
      </c>
    </row>
    <row r="37085" spans="1:3">
      <c r="A37085" s="250">
        <v>88011</v>
      </c>
      <c r="B37085" s="74" t="s">
        <v>17499</v>
      </c>
      <c r="C37085" s="74" t="s">
        <v>442</v>
      </c>
    </row>
    <row r="37086" spans="1:3">
      <c r="A37086" s="250">
        <v>88012</v>
      </c>
      <c r="B37086" s="74" t="s">
        <v>17499</v>
      </c>
      <c r="C37086" s="74" t="s">
        <v>442</v>
      </c>
    </row>
    <row r="37087" spans="1:3">
      <c r="A37087" s="250">
        <v>88013</v>
      </c>
      <c r="B37087" s="74" t="s">
        <v>17499</v>
      </c>
      <c r="C37087" s="74" t="s">
        <v>442</v>
      </c>
    </row>
    <row r="37088" spans="1:3">
      <c r="A37088" s="250">
        <v>88020</v>
      </c>
      <c r="B37088" s="74" t="s">
        <v>17503</v>
      </c>
      <c r="C37088" s="74" t="s">
        <v>442</v>
      </c>
    </row>
    <row r="37089" spans="1:3">
      <c r="A37089" s="250">
        <v>88021</v>
      </c>
      <c r="B37089" s="74" t="s">
        <v>8341</v>
      </c>
      <c r="C37089" s="74" t="s">
        <v>442</v>
      </c>
    </row>
    <row r="37090" spans="1:3">
      <c r="A37090" s="250">
        <v>88022</v>
      </c>
      <c r="B37090" s="74" t="s">
        <v>17504</v>
      </c>
      <c r="C37090" s="74" t="s">
        <v>442</v>
      </c>
    </row>
    <row r="37091" spans="1:3">
      <c r="A37091" s="250">
        <v>88023</v>
      </c>
      <c r="B37091" s="74" t="s">
        <v>7016</v>
      </c>
      <c r="C37091" s="74" t="s">
        <v>442</v>
      </c>
    </row>
    <row r="37092" spans="1:3">
      <c r="A37092" s="250">
        <v>88024</v>
      </c>
      <c r="B37092" s="74" t="s">
        <v>17505</v>
      </c>
      <c r="C37092" s="74" t="s">
        <v>442</v>
      </c>
    </row>
    <row r="37093" spans="1:3">
      <c r="A37093" s="250">
        <v>88025</v>
      </c>
      <c r="B37093" s="74" t="s">
        <v>9867</v>
      </c>
      <c r="C37093" s="74" t="s">
        <v>442</v>
      </c>
    </row>
    <row r="37094" spans="1:3">
      <c r="A37094" s="250">
        <v>88026</v>
      </c>
      <c r="B37094" s="74" t="s">
        <v>17159</v>
      </c>
      <c r="C37094" s="74" t="s">
        <v>442</v>
      </c>
    </row>
    <row r="37095" spans="1:3">
      <c r="A37095" s="250">
        <v>88027</v>
      </c>
      <c r="B37095" s="74" t="s">
        <v>17506</v>
      </c>
      <c r="C37095" s="74" t="s">
        <v>442</v>
      </c>
    </row>
    <row r="37096" spans="1:3">
      <c r="A37096" s="250">
        <v>88028</v>
      </c>
      <c r="B37096" s="74" t="s">
        <v>17507</v>
      </c>
      <c r="C37096" s="74" t="s">
        <v>442</v>
      </c>
    </row>
    <row r="37097" spans="1:3">
      <c r="A37097" s="250">
        <v>88029</v>
      </c>
      <c r="B37097" s="74" t="s">
        <v>2376</v>
      </c>
      <c r="C37097" s="74" t="s">
        <v>442</v>
      </c>
    </row>
    <row r="37098" spans="1:3">
      <c r="A37098" s="250">
        <v>88030</v>
      </c>
      <c r="B37098" s="74" t="s">
        <v>17508</v>
      </c>
      <c r="C37098" s="74" t="s">
        <v>442</v>
      </c>
    </row>
    <row r="37099" spans="1:3">
      <c r="A37099" s="250">
        <v>88031</v>
      </c>
      <c r="B37099" s="74" t="s">
        <v>17508</v>
      </c>
      <c r="C37099" s="74" t="s">
        <v>442</v>
      </c>
    </row>
    <row r="37100" spans="1:3">
      <c r="A37100" s="250">
        <v>88032</v>
      </c>
      <c r="B37100" s="74" t="s">
        <v>17509</v>
      </c>
      <c r="C37100" s="74" t="s">
        <v>442</v>
      </c>
    </row>
    <row r="37101" spans="1:3">
      <c r="A37101" s="250">
        <v>88033</v>
      </c>
      <c r="B37101" s="74" t="s">
        <v>17510</v>
      </c>
      <c r="C37101" s="74" t="s">
        <v>442</v>
      </c>
    </row>
    <row r="37102" spans="1:3">
      <c r="A37102" s="250">
        <v>88034</v>
      </c>
      <c r="B37102" s="74" t="s">
        <v>17511</v>
      </c>
      <c r="C37102" s="74" t="s">
        <v>442</v>
      </c>
    </row>
    <row r="37103" spans="1:3">
      <c r="A37103" s="250">
        <v>88036</v>
      </c>
      <c r="B37103" s="74" t="s">
        <v>17512</v>
      </c>
      <c r="C37103" s="74" t="s">
        <v>442</v>
      </c>
    </row>
    <row r="37104" spans="1:3">
      <c r="A37104" s="250">
        <v>88038</v>
      </c>
      <c r="B37104" s="74" t="s">
        <v>17513</v>
      </c>
      <c r="C37104" s="74" t="s">
        <v>442</v>
      </c>
    </row>
    <row r="37105" spans="1:3">
      <c r="A37105" s="250">
        <v>88039</v>
      </c>
      <c r="B37105" s="74" t="s">
        <v>2187</v>
      </c>
      <c r="C37105" s="74" t="s">
        <v>442</v>
      </c>
    </row>
    <row r="37106" spans="1:3">
      <c r="A37106" s="250">
        <v>88040</v>
      </c>
      <c r="B37106" s="74" t="s">
        <v>17514</v>
      </c>
      <c r="C37106" s="74" t="s">
        <v>442</v>
      </c>
    </row>
    <row r="37107" spans="1:3">
      <c r="A37107" s="250">
        <v>88041</v>
      </c>
      <c r="B37107" s="74" t="s">
        <v>944</v>
      </c>
      <c r="C37107" s="74" t="s">
        <v>442</v>
      </c>
    </row>
    <row r="37108" spans="1:3">
      <c r="A37108" s="250">
        <v>88042</v>
      </c>
      <c r="B37108" s="74" t="s">
        <v>5758</v>
      </c>
      <c r="C37108" s="74" t="s">
        <v>442</v>
      </c>
    </row>
    <row r="37109" spans="1:3">
      <c r="A37109" s="250">
        <v>88043</v>
      </c>
      <c r="B37109" s="74" t="s">
        <v>3057</v>
      </c>
      <c r="C37109" s="74" t="s">
        <v>442</v>
      </c>
    </row>
    <row r="37110" spans="1:3">
      <c r="A37110" s="250">
        <v>88044</v>
      </c>
      <c r="B37110" s="74" t="s">
        <v>17515</v>
      </c>
      <c r="C37110" s="74" t="s">
        <v>442</v>
      </c>
    </row>
    <row r="37111" spans="1:3">
      <c r="A37111" s="250">
        <v>88045</v>
      </c>
      <c r="B37111" s="74" t="s">
        <v>17516</v>
      </c>
      <c r="C37111" s="74" t="s">
        <v>442</v>
      </c>
    </row>
    <row r="37112" spans="1:3">
      <c r="A37112" s="250">
        <v>88046</v>
      </c>
      <c r="B37112" s="74" t="s">
        <v>17517</v>
      </c>
      <c r="C37112" s="74" t="s">
        <v>442</v>
      </c>
    </row>
    <row r="37113" spans="1:3">
      <c r="A37113" s="250">
        <v>88047</v>
      </c>
      <c r="B37113" s="74" t="s">
        <v>17518</v>
      </c>
      <c r="C37113" s="74" t="s">
        <v>442</v>
      </c>
    </row>
    <row r="37114" spans="1:3">
      <c r="A37114" s="250">
        <v>88048</v>
      </c>
      <c r="B37114" s="74" t="s">
        <v>15840</v>
      </c>
      <c r="C37114" s="74" t="s">
        <v>442</v>
      </c>
    </row>
    <row r="37115" spans="1:3">
      <c r="A37115" s="250">
        <v>88049</v>
      </c>
      <c r="B37115" s="74" t="s">
        <v>17519</v>
      </c>
      <c r="C37115" s="74" t="s">
        <v>442</v>
      </c>
    </row>
    <row r="37116" spans="1:3">
      <c r="A37116" s="250">
        <v>88051</v>
      </c>
      <c r="B37116" s="74" t="s">
        <v>17520</v>
      </c>
      <c r="C37116" s="74" t="s">
        <v>442</v>
      </c>
    </row>
    <row r="37117" spans="1:3">
      <c r="A37117" s="250">
        <v>88052</v>
      </c>
      <c r="B37117" s="74" t="s">
        <v>17521</v>
      </c>
      <c r="C37117" s="74" t="s">
        <v>442</v>
      </c>
    </row>
    <row r="37118" spans="1:3">
      <c r="A37118" s="250">
        <v>88053</v>
      </c>
      <c r="B37118" s="74" t="s">
        <v>17522</v>
      </c>
      <c r="C37118" s="74" t="s">
        <v>442</v>
      </c>
    </row>
    <row r="37119" spans="1:3">
      <c r="A37119" s="250">
        <v>88054</v>
      </c>
      <c r="B37119" s="74" t="s">
        <v>17523</v>
      </c>
      <c r="C37119" s="74" t="s">
        <v>442</v>
      </c>
    </row>
    <row r="37120" spans="1:3">
      <c r="A37120" s="250">
        <v>88055</v>
      </c>
      <c r="B37120" s="74" t="s">
        <v>17524</v>
      </c>
      <c r="C37120" s="74" t="s">
        <v>442</v>
      </c>
    </row>
    <row r="37121" spans="1:3">
      <c r="A37121" s="250">
        <v>88056</v>
      </c>
      <c r="B37121" s="74" t="s">
        <v>17525</v>
      </c>
      <c r="C37121" s="74" t="s">
        <v>442</v>
      </c>
    </row>
    <row r="37122" spans="1:3">
      <c r="A37122" s="250">
        <v>88058</v>
      </c>
      <c r="B37122" s="74" t="s">
        <v>17526</v>
      </c>
      <c r="C37122" s="74" t="s">
        <v>442</v>
      </c>
    </row>
    <row r="37123" spans="1:3">
      <c r="A37123" s="250">
        <v>88061</v>
      </c>
      <c r="B37123" s="74" t="s">
        <v>9444</v>
      </c>
      <c r="C37123" s="74" t="s">
        <v>442</v>
      </c>
    </row>
    <row r="37124" spans="1:3">
      <c r="A37124" s="250">
        <v>88062</v>
      </c>
      <c r="B37124" s="74" t="s">
        <v>9444</v>
      </c>
      <c r="C37124" s="74" t="s">
        <v>442</v>
      </c>
    </row>
    <row r="37125" spans="1:3">
      <c r="A37125" s="250">
        <v>88063</v>
      </c>
      <c r="B37125" s="74" t="s">
        <v>17527</v>
      </c>
      <c r="C37125" s="74" t="s">
        <v>442</v>
      </c>
    </row>
    <row r="37126" spans="1:3">
      <c r="A37126" s="250">
        <v>88065</v>
      </c>
      <c r="B37126" s="74" t="s">
        <v>3947</v>
      </c>
      <c r="C37126" s="74" t="s">
        <v>442</v>
      </c>
    </row>
    <row r="37127" spans="1:3">
      <c r="A37127" s="250">
        <v>88072</v>
      </c>
      <c r="B37127" s="74" t="s">
        <v>17528</v>
      </c>
      <c r="C37127" s="74" t="s">
        <v>442</v>
      </c>
    </row>
    <row r="37128" spans="1:3">
      <c r="A37128" s="250">
        <v>88081</v>
      </c>
      <c r="B37128" s="74" t="s">
        <v>17529</v>
      </c>
      <c r="C37128" s="74" t="s">
        <v>442</v>
      </c>
    </row>
    <row r="37129" spans="1:3">
      <c r="A37129" s="250">
        <v>88101</v>
      </c>
      <c r="B37129" s="74" t="s">
        <v>17530</v>
      </c>
      <c r="C37129" s="74" t="s">
        <v>442</v>
      </c>
    </row>
    <row r="37130" spans="1:3">
      <c r="A37130" s="250">
        <v>88102</v>
      </c>
      <c r="B37130" s="74" t="s">
        <v>17530</v>
      </c>
      <c r="C37130" s="74" t="s">
        <v>442</v>
      </c>
    </row>
    <row r="37131" spans="1:3">
      <c r="A37131" s="250">
        <v>88103</v>
      </c>
      <c r="B37131" s="74" t="s">
        <v>17531</v>
      </c>
      <c r="C37131" s="74" t="s">
        <v>442</v>
      </c>
    </row>
    <row r="37132" spans="1:3">
      <c r="A37132" s="250">
        <v>88112</v>
      </c>
      <c r="B37132" s="74" t="s">
        <v>13215</v>
      </c>
      <c r="C37132" s="74" t="s">
        <v>442</v>
      </c>
    </row>
    <row r="37133" spans="1:3">
      <c r="A37133" s="250">
        <v>88113</v>
      </c>
      <c r="B37133" s="74" t="s">
        <v>17532</v>
      </c>
      <c r="C37133" s="74" t="s">
        <v>442</v>
      </c>
    </row>
    <row r="37134" spans="1:3">
      <c r="A37134" s="250">
        <v>88114</v>
      </c>
      <c r="B37134" s="74" t="s">
        <v>17533</v>
      </c>
      <c r="C37134" s="74" t="s">
        <v>442</v>
      </c>
    </row>
    <row r="37135" spans="1:3">
      <c r="A37135" s="250">
        <v>88115</v>
      </c>
      <c r="B37135" s="74" t="s">
        <v>8638</v>
      </c>
      <c r="C37135" s="74" t="s">
        <v>442</v>
      </c>
    </row>
    <row r="37136" spans="1:3">
      <c r="A37136" s="250">
        <v>88116</v>
      </c>
      <c r="B37136" s="74" t="s">
        <v>17534</v>
      </c>
      <c r="C37136" s="74" t="s">
        <v>442</v>
      </c>
    </row>
    <row r="37137" spans="1:3">
      <c r="A37137" s="250">
        <v>88118</v>
      </c>
      <c r="B37137" s="74" t="s">
        <v>6275</v>
      </c>
      <c r="C37137" s="74" t="s">
        <v>442</v>
      </c>
    </row>
    <row r="37138" spans="1:3">
      <c r="A37138" s="250">
        <v>88119</v>
      </c>
      <c r="B37138" s="74" t="s">
        <v>17535</v>
      </c>
      <c r="C37138" s="74" t="s">
        <v>442</v>
      </c>
    </row>
    <row r="37139" spans="1:3">
      <c r="A37139" s="250">
        <v>88120</v>
      </c>
      <c r="B37139" s="74" t="s">
        <v>8801</v>
      </c>
      <c r="C37139" s="74" t="s">
        <v>442</v>
      </c>
    </row>
    <row r="37140" spans="1:3">
      <c r="A37140" s="250">
        <v>88121</v>
      </c>
      <c r="B37140" s="74" t="s">
        <v>17536</v>
      </c>
      <c r="C37140" s="74" t="s">
        <v>442</v>
      </c>
    </row>
    <row r="37141" spans="1:3">
      <c r="A37141" s="250">
        <v>88122</v>
      </c>
      <c r="B37141" s="74" t="s">
        <v>6669</v>
      </c>
      <c r="C37141" s="74" t="s">
        <v>442</v>
      </c>
    </row>
    <row r="37142" spans="1:3">
      <c r="A37142" s="250">
        <v>88123</v>
      </c>
      <c r="B37142" s="74" t="s">
        <v>17537</v>
      </c>
      <c r="C37142" s="74" t="s">
        <v>442</v>
      </c>
    </row>
    <row r="37143" spans="1:3">
      <c r="A37143" s="250">
        <v>88124</v>
      </c>
      <c r="B37143" s="74" t="s">
        <v>924</v>
      </c>
      <c r="C37143" s="74" t="s">
        <v>442</v>
      </c>
    </row>
    <row r="37144" spans="1:3">
      <c r="A37144" s="250">
        <v>88125</v>
      </c>
      <c r="B37144" s="74" t="s">
        <v>17538</v>
      </c>
      <c r="C37144" s="74" t="s">
        <v>442</v>
      </c>
    </row>
    <row r="37145" spans="1:3">
      <c r="A37145" s="250">
        <v>88126</v>
      </c>
      <c r="B37145" s="74" t="s">
        <v>16554</v>
      </c>
      <c r="C37145" s="74" t="s">
        <v>442</v>
      </c>
    </row>
    <row r="37146" spans="1:3">
      <c r="A37146" s="250">
        <v>88130</v>
      </c>
      <c r="B37146" s="74" t="s">
        <v>17539</v>
      </c>
      <c r="C37146" s="74" t="s">
        <v>442</v>
      </c>
    </row>
    <row r="37147" spans="1:3">
      <c r="A37147" s="250">
        <v>88132</v>
      </c>
      <c r="B37147" s="74" t="s">
        <v>2002</v>
      </c>
      <c r="C37147" s="74" t="s">
        <v>442</v>
      </c>
    </row>
    <row r="37148" spans="1:3">
      <c r="A37148" s="250">
        <v>88133</v>
      </c>
      <c r="B37148" s="74" t="s">
        <v>17540</v>
      </c>
      <c r="C37148" s="74" t="s">
        <v>442</v>
      </c>
    </row>
    <row r="37149" spans="1:3">
      <c r="A37149" s="250">
        <v>88134</v>
      </c>
      <c r="B37149" s="74" t="s">
        <v>17541</v>
      </c>
      <c r="C37149" s="74" t="s">
        <v>442</v>
      </c>
    </row>
    <row r="37150" spans="1:3">
      <c r="A37150" s="250">
        <v>88135</v>
      </c>
      <c r="B37150" s="74" t="s">
        <v>14014</v>
      </c>
      <c r="C37150" s="74" t="s">
        <v>442</v>
      </c>
    </row>
    <row r="37151" spans="1:3">
      <c r="A37151" s="250">
        <v>88136</v>
      </c>
      <c r="B37151" s="74" t="s">
        <v>17542</v>
      </c>
      <c r="C37151" s="74" t="s">
        <v>442</v>
      </c>
    </row>
    <row r="37152" spans="1:3">
      <c r="A37152" s="250">
        <v>88201</v>
      </c>
      <c r="B37152" s="74" t="s">
        <v>7870</v>
      </c>
      <c r="C37152" s="74" t="s">
        <v>442</v>
      </c>
    </row>
    <row r="37153" spans="1:3">
      <c r="A37153" s="250">
        <v>88202</v>
      </c>
      <c r="B37153" s="74" t="s">
        <v>7870</v>
      </c>
      <c r="C37153" s="74" t="s">
        <v>442</v>
      </c>
    </row>
    <row r="37154" spans="1:3">
      <c r="A37154" s="250">
        <v>88203</v>
      </c>
      <c r="B37154" s="74" t="s">
        <v>7870</v>
      </c>
      <c r="C37154" s="74" t="s">
        <v>442</v>
      </c>
    </row>
    <row r="37155" spans="1:3">
      <c r="A37155" s="250">
        <v>88210</v>
      </c>
      <c r="B37155" s="74" t="s">
        <v>9538</v>
      </c>
      <c r="C37155" s="74" t="s">
        <v>442</v>
      </c>
    </row>
    <row r="37156" spans="1:3">
      <c r="A37156" s="250">
        <v>88211</v>
      </c>
      <c r="B37156" s="74" t="s">
        <v>9538</v>
      </c>
      <c r="C37156" s="74" t="s">
        <v>442</v>
      </c>
    </row>
    <row r="37157" spans="1:3">
      <c r="A37157" s="250">
        <v>88213</v>
      </c>
      <c r="B37157" s="74" t="s">
        <v>17543</v>
      </c>
      <c r="C37157" s="74" t="s">
        <v>442</v>
      </c>
    </row>
    <row r="37158" spans="1:3">
      <c r="A37158" s="250">
        <v>88220</v>
      </c>
      <c r="B37158" s="74" t="s">
        <v>16112</v>
      </c>
      <c r="C37158" s="74" t="s">
        <v>442</v>
      </c>
    </row>
    <row r="37159" spans="1:3">
      <c r="A37159" s="250">
        <v>88221</v>
      </c>
      <c r="B37159" s="74" t="s">
        <v>16112</v>
      </c>
      <c r="C37159" s="74" t="s">
        <v>442</v>
      </c>
    </row>
    <row r="37160" spans="1:3">
      <c r="A37160" s="250">
        <v>88230</v>
      </c>
      <c r="B37160" s="74" t="s">
        <v>1689</v>
      </c>
      <c r="C37160" s="74" t="s">
        <v>442</v>
      </c>
    </row>
    <row r="37161" spans="1:3">
      <c r="A37161" s="250">
        <v>88231</v>
      </c>
      <c r="B37161" s="74" t="s">
        <v>14396</v>
      </c>
      <c r="C37161" s="74" t="s">
        <v>442</v>
      </c>
    </row>
    <row r="37162" spans="1:3">
      <c r="A37162" s="250">
        <v>88232</v>
      </c>
      <c r="B37162" s="74" t="s">
        <v>16949</v>
      </c>
      <c r="C37162" s="74" t="s">
        <v>442</v>
      </c>
    </row>
    <row r="37163" spans="1:3">
      <c r="A37163" s="250">
        <v>88240</v>
      </c>
      <c r="B37163" s="74" t="s">
        <v>10641</v>
      </c>
      <c r="C37163" s="74" t="s">
        <v>442</v>
      </c>
    </row>
    <row r="37164" spans="1:3">
      <c r="A37164" s="250">
        <v>88241</v>
      </c>
      <c r="B37164" s="74" t="s">
        <v>10641</v>
      </c>
      <c r="C37164" s="74" t="s">
        <v>442</v>
      </c>
    </row>
    <row r="37165" spans="1:3">
      <c r="A37165" s="250">
        <v>88242</v>
      </c>
      <c r="B37165" s="74" t="s">
        <v>10641</v>
      </c>
      <c r="C37165" s="74" t="s">
        <v>442</v>
      </c>
    </row>
    <row r="37166" spans="1:3">
      <c r="A37166" s="250">
        <v>88244</v>
      </c>
      <c r="B37166" s="74" t="s">
        <v>10641</v>
      </c>
      <c r="C37166" s="74" t="s">
        <v>442</v>
      </c>
    </row>
    <row r="37167" spans="1:3">
      <c r="A37167" s="250">
        <v>88250</v>
      </c>
      <c r="B37167" s="74" t="s">
        <v>1111</v>
      </c>
      <c r="C37167" s="74" t="s">
        <v>442</v>
      </c>
    </row>
    <row r="37168" spans="1:3">
      <c r="A37168" s="250">
        <v>88252</v>
      </c>
      <c r="B37168" s="74" t="s">
        <v>17544</v>
      </c>
      <c r="C37168" s="74" t="s">
        <v>442</v>
      </c>
    </row>
    <row r="37169" spans="1:3">
      <c r="A37169" s="250">
        <v>88253</v>
      </c>
      <c r="B37169" s="74" t="s">
        <v>15011</v>
      </c>
      <c r="C37169" s="74" t="s">
        <v>442</v>
      </c>
    </row>
    <row r="37170" spans="1:3">
      <c r="A37170" s="250">
        <v>88254</v>
      </c>
      <c r="B37170" s="74" t="s">
        <v>2535</v>
      </c>
      <c r="C37170" s="74" t="s">
        <v>442</v>
      </c>
    </row>
    <row r="37171" spans="1:3">
      <c r="A37171" s="250">
        <v>88255</v>
      </c>
      <c r="B37171" s="74" t="s">
        <v>17545</v>
      </c>
      <c r="C37171" s="74" t="s">
        <v>442</v>
      </c>
    </row>
    <row r="37172" spans="1:3">
      <c r="A37172" s="250">
        <v>88256</v>
      </c>
      <c r="B37172" s="74" t="s">
        <v>16015</v>
      </c>
      <c r="C37172" s="74" t="s">
        <v>442</v>
      </c>
    </row>
    <row r="37173" spans="1:3">
      <c r="A37173" s="250">
        <v>88260</v>
      </c>
      <c r="B37173" s="74" t="s">
        <v>13792</v>
      </c>
      <c r="C37173" s="74" t="s">
        <v>442</v>
      </c>
    </row>
    <row r="37174" spans="1:3">
      <c r="A37174" s="250">
        <v>88262</v>
      </c>
      <c r="B37174" s="74" t="s">
        <v>17546</v>
      </c>
      <c r="C37174" s="74" t="s">
        <v>442</v>
      </c>
    </row>
    <row r="37175" spans="1:3">
      <c r="A37175" s="250">
        <v>88263</v>
      </c>
      <c r="B37175" s="74" t="s">
        <v>2489</v>
      </c>
      <c r="C37175" s="74" t="s">
        <v>442</v>
      </c>
    </row>
    <row r="37176" spans="1:3">
      <c r="A37176" s="250">
        <v>88264</v>
      </c>
      <c r="B37176" s="74" t="s">
        <v>17547</v>
      </c>
      <c r="C37176" s="74" t="s">
        <v>442</v>
      </c>
    </row>
    <row r="37177" spans="1:3">
      <c r="A37177" s="250">
        <v>88265</v>
      </c>
      <c r="B37177" s="74" t="s">
        <v>14708</v>
      </c>
      <c r="C37177" s="74" t="s">
        <v>442</v>
      </c>
    </row>
    <row r="37178" spans="1:3">
      <c r="A37178" s="250">
        <v>88267</v>
      </c>
      <c r="B37178" s="74" t="s">
        <v>7762</v>
      </c>
      <c r="C37178" s="74" t="s">
        <v>442</v>
      </c>
    </row>
    <row r="37179" spans="1:3">
      <c r="A37179" s="250">
        <v>88268</v>
      </c>
      <c r="B37179" s="74" t="s">
        <v>17548</v>
      </c>
      <c r="C37179" s="74" t="s">
        <v>442</v>
      </c>
    </row>
    <row r="37180" spans="1:3">
      <c r="A37180" s="250">
        <v>88301</v>
      </c>
      <c r="B37180" s="74" t="s">
        <v>17549</v>
      </c>
      <c r="C37180" s="74" t="s">
        <v>442</v>
      </c>
    </row>
    <row r="37181" spans="1:3">
      <c r="A37181" s="250">
        <v>88310</v>
      </c>
      <c r="B37181" s="74" t="s">
        <v>17550</v>
      </c>
      <c r="C37181" s="74" t="s">
        <v>442</v>
      </c>
    </row>
    <row r="37182" spans="1:3">
      <c r="A37182" s="250">
        <v>88311</v>
      </c>
      <c r="B37182" s="74" t="s">
        <v>17550</v>
      </c>
      <c r="C37182" s="74" t="s">
        <v>442</v>
      </c>
    </row>
    <row r="37183" spans="1:3">
      <c r="A37183" s="250">
        <v>88312</v>
      </c>
      <c r="B37183" s="74" t="s">
        <v>7961</v>
      </c>
      <c r="C37183" s="74" t="s">
        <v>442</v>
      </c>
    </row>
    <row r="37184" spans="1:3">
      <c r="A37184" s="250">
        <v>88314</v>
      </c>
      <c r="B37184" s="74" t="s">
        <v>17551</v>
      </c>
      <c r="C37184" s="74" t="s">
        <v>442</v>
      </c>
    </row>
    <row r="37185" spans="1:3">
      <c r="A37185" s="250">
        <v>88316</v>
      </c>
      <c r="B37185" s="74" t="s">
        <v>17552</v>
      </c>
      <c r="C37185" s="74" t="s">
        <v>442</v>
      </c>
    </row>
    <row r="37186" spans="1:3">
      <c r="A37186" s="250">
        <v>88317</v>
      </c>
      <c r="B37186" s="74" t="s">
        <v>17553</v>
      </c>
      <c r="C37186" s="74" t="s">
        <v>442</v>
      </c>
    </row>
    <row r="37187" spans="1:3">
      <c r="A37187" s="250">
        <v>88318</v>
      </c>
      <c r="B37187" s="74" t="s">
        <v>2741</v>
      </c>
      <c r="C37187" s="74" t="s">
        <v>442</v>
      </c>
    </row>
    <row r="37188" spans="1:3">
      <c r="A37188" s="250">
        <v>88321</v>
      </c>
      <c r="B37188" s="74" t="s">
        <v>16344</v>
      </c>
      <c r="C37188" s="74" t="s">
        <v>442</v>
      </c>
    </row>
    <row r="37189" spans="1:3">
      <c r="A37189" s="250">
        <v>88323</v>
      </c>
      <c r="B37189" s="74" t="s">
        <v>17554</v>
      </c>
      <c r="C37189" s="74" t="s">
        <v>442</v>
      </c>
    </row>
    <row r="37190" spans="1:3">
      <c r="A37190" s="250">
        <v>88324</v>
      </c>
      <c r="B37190" s="74" t="s">
        <v>9736</v>
      </c>
      <c r="C37190" s="74" t="s">
        <v>442</v>
      </c>
    </row>
    <row r="37191" spans="1:3">
      <c r="A37191" s="250">
        <v>88325</v>
      </c>
      <c r="B37191" s="74" t="s">
        <v>17555</v>
      </c>
      <c r="C37191" s="74" t="s">
        <v>442</v>
      </c>
    </row>
    <row r="37192" spans="1:3">
      <c r="A37192" s="250">
        <v>88330</v>
      </c>
      <c r="B37192" s="74" t="s">
        <v>17556</v>
      </c>
      <c r="C37192" s="74" t="s">
        <v>442</v>
      </c>
    </row>
    <row r="37193" spans="1:3">
      <c r="A37193" s="250">
        <v>88336</v>
      </c>
      <c r="B37193" s="74" t="s">
        <v>16450</v>
      </c>
      <c r="C37193" s="74" t="s">
        <v>442</v>
      </c>
    </row>
    <row r="37194" spans="1:3">
      <c r="A37194" s="250">
        <v>88337</v>
      </c>
      <c r="B37194" s="74" t="s">
        <v>17557</v>
      </c>
      <c r="C37194" s="74" t="s">
        <v>442</v>
      </c>
    </row>
    <row r="37195" spans="1:3">
      <c r="A37195" s="250">
        <v>88338</v>
      </c>
      <c r="B37195" s="74" t="s">
        <v>800</v>
      </c>
      <c r="C37195" s="74" t="s">
        <v>442</v>
      </c>
    </row>
    <row r="37196" spans="1:3">
      <c r="A37196" s="250">
        <v>88339</v>
      </c>
      <c r="B37196" s="74" t="s">
        <v>17558</v>
      </c>
      <c r="C37196" s="74" t="s">
        <v>442</v>
      </c>
    </row>
    <row r="37197" spans="1:3">
      <c r="A37197" s="250">
        <v>88340</v>
      </c>
      <c r="B37197" s="74" t="s">
        <v>17559</v>
      </c>
      <c r="C37197" s="74" t="s">
        <v>442</v>
      </c>
    </row>
    <row r="37198" spans="1:3">
      <c r="A37198" s="250">
        <v>88341</v>
      </c>
      <c r="B37198" s="74" t="s">
        <v>17560</v>
      </c>
      <c r="C37198" s="74" t="s">
        <v>442</v>
      </c>
    </row>
    <row r="37199" spans="1:3">
      <c r="A37199" s="250">
        <v>88342</v>
      </c>
      <c r="B37199" s="74" t="s">
        <v>17561</v>
      </c>
      <c r="C37199" s="74" t="s">
        <v>442</v>
      </c>
    </row>
    <row r="37200" spans="1:3">
      <c r="A37200" s="250">
        <v>88343</v>
      </c>
      <c r="B37200" s="74" t="s">
        <v>17178</v>
      </c>
      <c r="C37200" s="74" t="s">
        <v>442</v>
      </c>
    </row>
    <row r="37201" spans="1:3">
      <c r="A37201" s="250">
        <v>88344</v>
      </c>
      <c r="B37201" s="74" t="s">
        <v>17335</v>
      </c>
      <c r="C37201" s="74" t="s">
        <v>442</v>
      </c>
    </row>
    <row r="37202" spans="1:3">
      <c r="A37202" s="250">
        <v>88345</v>
      </c>
      <c r="B37202" s="74" t="s">
        <v>17562</v>
      </c>
      <c r="C37202" s="74" t="s">
        <v>442</v>
      </c>
    </row>
    <row r="37203" spans="1:3">
      <c r="A37203" s="250">
        <v>88346</v>
      </c>
      <c r="B37203" s="74" t="s">
        <v>17563</v>
      </c>
      <c r="C37203" s="74" t="s">
        <v>442</v>
      </c>
    </row>
    <row r="37204" spans="1:3">
      <c r="A37204" s="250">
        <v>88347</v>
      </c>
      <c r="B37204" s="74" t="s">
        <v>5016</v>
      </c>
      <c r="C37204" s="74" t="s">
        <v>442</v>
      </c>
    </row>
    <row r="37205" spans="1:3">
      <c r="A37205" s="250">
        <v>88348</v>
      </c>
      <c r="B37205" s="74" t="s">
        <v>17564</v>
      </c>
      <c r="C37205" s="74" t="s">
        <v>442</v>
      </c>
    </row>
    <row r="37206" spans="1:3">
      <c r="A37206" s="250">
        <v>88349</v>
      </c>
      <c r="B37206" s="74" t="s">
        <v>17565</v>
      </c>
      <c r="C37206" s="74" t="s">
        <v>442</v>
      </c>
    </row>
    <row r="37207" spans="1:3">
      <c r="A37207" s="250">
        <v>88350</v>
      </c>
      <c r="B37207" s="74" t="s">
        <v>17566</v>
      </c>
      <c r="C37207" s="74" t="s">
        <v>442</v>
      </c>
    </row>
    <row r="37208" spans="1:3">
      <c r="A37208" s="250">
        <v>88351</v>
      </c>
      <c r="B37208" s="74" t="s">
        <v>17567</v>
      </c>
      <c r="C37208" s="74" t="s">
        <v>442</v>
      </c>
    </row>
    <row r="37209" spans="1:3">
      <c r="A37209" s="250">
        <v>88352</v>
      </c>
      <c r="B37209" s="74" t="s">
        <v>17568</v>
      </c>
      <c r="C37209" s="74" t="s">
        <v>442</v>
      </c>
    </row>
    <row r="37210" spans="1:3">
      <c r="A37210" s="250">
        <v>88353</v>
      </c>
      <c r="B37210" s="74" t="s">
        <v>13343</v>
      </c>
      <c r="C37210" s="74" t="s">
        <v>442</v>
      </c>
    </row>
    <row r="37211" spans="1:3">
      <c r="A37211" s="250">
        <v>88354</v>
      </c>
      <c r="B37211" s="74" t="s">
        <v>17569</v>
      </c>
      <c r="C37211" s="74" t="s">
        <v>442</v>
      </c>
    </row>
    <row r="37212" spans="1:3">
      <c r="A37212" s="250">
        <v>88355</v>
      </c>
      <c r="B37212" s="74" t="s">
        <v>17562</v>
      </c>
      <c r="C37212" s="74" t="s">
        <v>442</v>
      </c>
    </row>
    <row r="37213" spans="1:3">
      <c r="A37213" s="250">
        <v>88401</v>
      </c>
      <c r="B37213" s="74" t="s">
        <v>17570</v>
      </c>
      <c r="C37213" s="74" t="s">
        <v>442</v>
      </c>
    </row>
    <row r="37214" spans="1:3">
      <c r="A37214" s="250">
        <v>88410</v>
      </c>
      <c r="B37214" s="74" t="s">
        <v>17571</v>
      </c>
      <c r="C37214" s="74" t="s">
        <v>442</v>
      </c>
    </row>
    <row r="37215" spans="1:3">
      <c r="A37215" s="250">
        <v>88411</v>
      </c>
      <c r="B37215" s="74" t="s">
        <v>17572</v>
      </c>
      <c r="C37215" s="74" t="s">
        <v>442</v>
      </c>
    </row>
    <row r="37216" spans="1:3">
      <c r="A37216" s="250">
        <v>88414</v>
      </c>
      <c r="B37216" s="74" t="s">
        <v>16751</v>
      </c>
      <c r="C37216" s="74" t="s">
        <v>442</v>
      </c>
    </row>
    <row r="37217" spans="1:3">
      <c r="A37217" s="250">
        <v>88415</v>
      </c>
      <c r="B37217" s="74" t="s">
        <v>2476</v>
      </c>
      <c r="C37217" s="74" t="s">
        <v>442</v>
      </c>
    </row>
    <row r="37218" spans="1:3">
      <c r="A37218" s="250">
        <v>88416</v>
      </c>
      <c r="B37218" s="74" t="s">
        <v>17573</v>
      </c>
      <c r="C37218" s="74" t="s">
        <v>442</v>
      </c>
    </row>
    <row r="37219" spans="1:3">
      <c r="A37219" s="250">
        <v>88417</v>
      </c>
      <c r="B37219" s="74" t="s">
        <v>17574</v>
      </c>
      <c r="C37219" s="74" t="s">
        <v>442</v>
      </c>
    </row>
    <row r="37220" spans="1:3">
      <c r="A37220" s="250">
        <v>88418</v>
      </c>
      <c r="B37220" s="74" t="s">
        <v>11563</v>
      </c>
      <c r="C37220" s="74" t="s">
        <v>442</v>
      </c>
    </row>
    <row r="37221" spans="1:3">
      <c r="A37221" s="250">
        <v>88419</v>
      </c>
      <c r="B37221" s="74" t="s">
        <v>5333</v>
      </c>
      <c r="C37221" s="74" t="s">
        <v>442</v>
      </c>
    </row>
    <row r="37222" spans="1:3">
      <c r="A37222" s="250">
        <v>88421</v>
      </c>
      <c r="B37222" s="74" t="s">
        <v>17575</v>
      </c>
      <c r="C37222" s="74" t="s">
        <v>442</v>
      </c>
    </row>
    <row r="37223" spans="1:3">
      <c r="A37223" s="250">
        <v>88422</v>
      </c>
      <c r="B37223" s="74" t="s">
        <v>2345</v>
      </c>
      <c r="C37223" s="74" t="s">
        <v>442</v>
      </c>
    </row>
    <row r="37224" spans="1:3">
      <c r="A37224" s="250">
        <v>88424</v>
      </c>
      <c r="B37224" s="74" t="s">
        <v>12846</v>
      </c>
      <c r="C37224" s="74" t="s">
        <v>442</v>
      </c>
    </row>
    <row r="37225" spans="1:3">
      <c r="A37225" s="250">
        <v>88426</v>
      </c>
      <c r="B37225" s="74" t="s">
        <v>6736</v>
      </c>
      <c r="C37225" s="74" t="s">
        <v>442</v>
      </c>
    </row>
    <row r="37226" spans="1:3">
      <c r="A37226" s="250">
        <v>88427</v>
      </c>
      <c r="B37226" s="74" t="s">
        <v>17576</v>
      </c>
      <c r="C37226" s="74" t="s">
        <v>442</v>
      </c>
    </row>
    <row r="37227" spans="1:3">
      <c r="A37227" s="250">
        <v>88430</v>
      </c>
      <c r="B37227" s="74" t="s">
        <v>17577</v>
      </c>
      <c r="C37227" s="74" t="s">
        <v>442</v>
      </c>
    </row>
    <row r="37228" spans="1:3">
      <c r="A37228" s="250">
        <v>88431</v>
      </c>
      <c r="B37228" s="74" t="s">
        <v>15749</v>
      </c>
      <c r="C37228" s="74" t="s">
        <v>442</v>
      </c>
    </row>
    <row r="37229" spans="1:3">
      <c r="A37229" s="250">
        <v>88433</v>
      </c>
      <c r="B37229" s="74" t="s">
        <v>17578</v>
      </c>
      <c r="C37229" s="74" t="s">
        <v>442</v>
      </c>
    </row>
    <row r="37230" spans="1:3">
      <c r="A37230" s="250">
        <v>88434</v>
      </c>
      <c r="B37230" s="74" t="s">
        <v>17579</v>
      </c>
      <c r="C37230" s="74" t="s">
        <v>442</v>
      </c>
    </row>
    <row r="37231" spans="1:3">
      <c r="A37231" s="250">
        <v>88435</v>
      </c>
      <c r="B37231" s="74" t="s">
        <v>16402</v>
      </c>
      <c r="C37231" s="74" t="s">
        <v>442</v>
      </c>
    </row>
    <row r="37232" spans="1:3">
      <c r="A37232" s="250">
        <v>88436</v>
      </c>
      <c r="B37232" s="74" t="s">
        <v>14634</v>
      </c>
      <c r="C37232" s="74" t="s">
        <v>442</v>
      </c>
    </row>
    <row r="37233" spans="1:3">
      <c r="A37233" s="250">
        <v>88439</v>
      </c>
      <c r="B37233" s="74" t="s">
        <v>17580</v>
      </c>
      <c r="C37233" s="74" t="s">
        <v>442</v>
      </c>
    </row>
    <row r="37234" spans="1:3">
      <c r="A37234" s="250">
        <v>88510</v>
      </c>
      <c r="B37234" s="74" t="s">
        <v>13743</v>
      </c>
      <c r="C37234" s="74" t="s">
        <v>453</v>
      </c>
    </row>
    <row r="37235" spans="1:3">
      <c r="A37235" s="250">
        <v>88511</v>
      </c>
      <c r="B37235" s="74" t="s">
        <v>13743</v>
      </c>
      <c r="C37235" s="74" t="s">
        <v>453</v>
      </c>
    </row>
    <row r="37236" spans="1:3">
      <c r="A37236" s="250">
        <v>88512</v>
      </c>
      <c r="B37236" s="74" t="s">
        <v>13743</v>
      </c>
      <c r="C37236" s="74" t="s">
        <v>453</v>
      </c>
    </row>
    <row r="37237" spans="1:3">
      <c r="A37237" s="250">
        <v>88513</v>
      </c>
      <c r="B37237" s="74" t="s">
        <v>13743</v>
      </c>
      <c r="C37237" s="74" t="s">
        <v>453</v>
      </c>
    </row>
    <row r="37238" spans="1:3">
      <c r="A37238" s="250">
        <v>88514</v>
      </c>
      <c r="B37238" s="74" t="s">
        <v>13743</v>
      </c>
      <c r="C37238" s="74" t="s">
        <v>453</v>
      </c>
    </row>
    <row r="37239" spans="1:3">
      <c r="A37239" s="250">
        <v>88515</v>
      </c>
      <c r="B37239" s="74" t="s">
        <v>13743</v>
      </c>
      <c r="C37239" s="74" t="s">
        <v>453</v>
      </c>
    </row>
    <row r="37240" spans="1:3">
      <c r="A37240" s="250">
        <v>88516</v>
      </c>
      <c r="B37240" s="74" t="s">
        <v>13743</v>
      </c>
      <c r="C37240" s="74" t="s">
        <v>453</v>
      </c>
    </row>
    <row r="37241" spans="1:3">
      <c r="A37241" s="250">
        <v>88517</v>
      </c>
      <c r="B37241" s="74" t="s">
        <v>13743</v>
      </c>
      <c r="C37241" s="74" t="s">
        <v>453</v>
      </c>
    </row>
    <row r="37242" spans="1:3">
      <c r="A37242" s="250">
        <v>88518</v>
      </c>
      <c r="B37242" s="74" t="s">
        <v>13743</v>
      </c>
      <c r="C37242" s="74" t="s">
        <v>453</v>
      </c>
    </row>
    <row r="37243" spans="1:3">
      <c r="A37243" s="250">
        <v>88519</v>
      </c>
      <c r="B37243" s="74" t="s">
        <v>13743</v>
      </c>
      <c r="C37243" s="74" t="s">
        <v>453</v>
      </c>
    </row>
    <row r="37244" spans="1:3">
      <c r="A37244" s="250">
        <v>88520</v>
      </c>
      <c r="B37244" s="74" t="s">
        <v>13743</v>
      </c>
      <c r="C37244" s="74" t="s">
        <v>453</v>
      </c>
    </row>
    <row r="37245" spans="1:3">
      <c r="A37245" s="250">
        <v>88521</v>
      </c>
      <c r="B37245" s="74" t="s">
        <v>13743</v>
      </c>
      <c r="C37245" s="74" t="s">
        <v>453</v>
      </c>
    </row>
    <row r="37246" spans="1:3">
      <c r="A37246" s="250">
        <v>88523</v>
      </c>
      <c r="B37246" s="74" t="s">
        <v>13743</v>
      </c>
      <c r="C37246" s="74" t="s">
        <v>453</v>
      </c>
    </row>
    <row r="37247" spans="1:3">
      <c r="A37247" s="250">
        <v>88524</v>
      </c>
      <c r="B37247" s="74" t="s">
        <v>13743</v>
      </c>
      <c r="C37247" s="74" t="s">
        <v>453</v>
      </c>
    </row>
    <row r="37248" spans="1:3">
      <c r="A37248" s="250">
        <v>88525</v>
      </c>
      <c r="B37248" s="74" t="s">
        <v>13743</v>
      </c>
      <c r="C37248" s="74" t="s">
        <v>453</v>
      </c>
    </row>
    <row r="37249" spans="1:3">
      <c r="A37249" s="250">
        <v>88526</v>
      </c>
      <c r="B37249" s="74" t="s">
        <v>13743</v>
      </c>
      <c r="C37249" s="74" t="s">
        <v>453</v>
      </c>
    </row>
    <row r="37250" spans="1:3">
      <c r="A37250" s="250">
        <v>88527</v>
      </c>
      <c r="B37250" s="74" t="s">
        <v>13743</v>
      </c>
      <c r="C37250" s="74" t="s">
        <v>453</v>
      </c>
    </row>
    <row r="37251" spans="1:3">
      <c r="A37251" s="250">
        <v>88528</v>
      </c>
      <c r="B37251" s="74" t="s">
        <v>13743</v>
      </c>
      <c r="C37251" s="74" t="s">
        <v>453</v>
      </c>
    </row>
    <row r="37252" spans="1:3">
      <c r="A37252" s="250">
        <v>88529</v>
      </c>
      <c r="B37252" s="74" t="s">
        <v>13743</v>
      </c>
      <c r="C37252" s="74" t="s">
        <v>453</v>
      </c>
    </row>
    <row r="37253" spans="1:3">
      <c r="A37253" s="250">
        <v>88530</v>
      </c>
      <c r="B37253" s="74" t="s">
        <v>13743</v>
      </c>
      <c r="C37253" s="74" t="s">
        <v>453</v>
      </c>
    </row>
    <row r="37254" spans="1:3">
      <c r="A37254" s="250">
        <v>88531</v>
      </c>
      <c r="B37254" s="74" t="s">
        <v>13743</v>
      </c>
      <c r="C37254" s="74" t="s">
        <v>453</v>
      </c>
    </row>
    <row r="37255" spans="1:3">
      <c r="A37255" s="250">
        <v>88532</v>
      </c>
      <c r="B37255" s="74" t="s">
        <v>13743</v>
      </c>
      <c r="C37255" s="74" t="s">
        <v>453</v>
      </c>
    </row>
    <row r="37256" spans="1:3">
      <c r="A37256" s="250">
        <v>88533</v>
      </c>
      <c r="B37256" s="74" t="s">
        <v>13743</v>
      </c>
      <c r="C37256" s="74" t="s">
        <v>453</v>
      </c>
    </row>
    <row r="37257" spans="1:3">
      <c r="A37257" s="250">
        <v>88534</v>
      </c>
      <c r="B37257" s="74" t="s">
        <v>13743</v>
      </c>
      <c r="C37257" s="74" t="s">
        <v>453</v>
      </c>
    </row>
    <row r="37258" spans="1:3">
      <c r="A37258" s="250">
        <v>88535</v>
      </c>
      <c r="B37258" s="74" t="s">
        <v>13743</v>
      </c>
      <c r="C37258" s="74" t="s">
        <v>453</v>
      </c>
    </row>
    <row r="37259" spans="1:3">
      <c r="A37259" s="250">
        <v>88536</v>
      </c>
      <c r="B37259" s="74" t="s">
        <v>13743</v>
      </c>
      <c r="C37259" s="74" t="s">
        <v>453</v>
      </c>
    </row>
    <row r="37260" spans="1:3">
      <c r="A37260" s="250">
        <v>88538</v>
      </c>
      <c r="B37260" s="74" t="s">
        <v>13743</v>
      </c>
      <c r="C37260" s="74" t="s">
        <v>453</v>
      </c>
    </row>
    <row r="37261" spans="1:3">
      <c r="A37261" s="250">
        <v>88539</v>
      </c>
      <c r="B37261" s="74" t="s">
        <v>13743</v>
      </c>
      <c r="C37261" s="74" t="s">
        <v>453</v>
      </c>
    </row>
    <row r="37262" spans="1:3">
      <c r="A37262" s="250">
        <v>88540</v>
      </c>
      <c r="B37262" s="74" t="s">
        <v>13743</v>
      </c>
      <c r="C37262" s="74" t="s">
        <v>453</v>
      </c>
    </row>
    <row r="37263" spans="1:3">
      <c r="A37263" s="250">
        <v>88541</v>
      </c>
      <c r="B37263" s="74" t="s">
        <v>13743</v>
      </c>
      <c r="C37263" s="74" t="s">
        <v>453</v>
      </c>
    </row>
    <row r="37264" spans="1:3">
      <c r="A37264" s="250">
        <v>88542</v>
      </c>
      <c r="B37264" s="74" t="s">
        <v>13743</v>
      </c>
      <c r="C37264" s="74" t="s">
        <v>453</v>
      </c>
    </row>
    <row r="37265" spans="1:3">
      <c r="A37265" s="250">
        <v>88543</v>
      </c>
      <c r="B37265" s="74" t="s">
        <v>13743</v>
      </c>
      <c r="C37265" s="74" t="s">
        <v>453</v>
      </c>
    </row>
    <row r="37266" spans="1:3">
      <c r="A37266" s="250">
        <v>88544</v>
      </c>
      <c r="B37266" s="74" t="s">
        <v>13743</v>
      </c>
      <c r="C37266" s="74" t="s">
        <v>453</v>
      </c>
    </row>
    <row r="37267" spans="1:3">
      <c r="A37267" s="250">
        <v>88545</v>
      </c>
      <c r="B37267" s="74" t="s">
        <v>13743</v>
      </c>
      <c r="C37267" s="74" t="s">
        <v>453</v>
      </c>
    </row>
    <row r="37268" spans="1:3">
      <c r="A37268" s="250">
        <v>88546</v>
      </c>
      <c r="B37268" s="74" t="s">
        <v>13743</v>
      </c>
      <c r="C37268" s="74" t="s">
        <v>453</v>
      </c>
    </row>
    <row r="37269" spans="1:3">
      <c r="A37269" s="250">
        <v>88547</v>
      </c>
      <c r="B37269" s="74" t="s">
        <v>13743</v>
      </c>
      <c r="C37269" s="74" t="s">
        <v>453</v>
      </c>
    </row>
    <row r="37270" spans="1:3">
      <c r="A37270" s="250">
        <v>88548</v>
      </c>
      <c r="B37270" s="74" t="s">
        <v>13743</v>
      </c>
      <c r="C37270" s="74" t="s">
        <v>453</v>
      </c>
    </row>
    <row r="37271" spans="1:3">
      <c r="A37271" s="250">
        <v>88549</v>
      </c>
      <c r="B37271" s="74" t="s">
        <v>13743</v>
      </c>
      <c r="C37271" s="74" t="s">
        <v>453</v>
      </c>
    </row>
    <row r="37272" spans="1:3">
      <c r="A37272" s="250">
        <v>88550</v>
      </c>
      <c r="B37272" s="74" t="s">
        <v>13743</v>
      </c>
      <c r="C37272" s="74" t="s">
        <v>453</v>
      </c>
    </row>
    <row r="37273" spans="1:3">
      <c r="A37273" s="250">
        <v>88553</v>
      </c>
      <c r="B37273" s="74" t="s">
        <v>13743</v>
      </c>
      <c r="C37273" s="74" t="s">
        <v>453</v>
      </c>
    </row>
    <row r="37274" spans="1:3">
      <c r="A37274" s="250">
        <v>88554</v>
      </c>
      <c r="B37274" s="74" t="s">
        <v>13743</v>
      </c>
      <c r="C37274" s="74" t="s">
        <v>453</v>
      </c>
    </row>
    <row r="37275" spans="1:3">
      <c r="A37275" s="250">
        <v>88555</v>
      </c>
      <c r="B37275" s="74" t="s">
        <v>13743</v>
      </c>
      <c r="C37275" s="74" t="s">
        <v>453</v>
      </c>
    </row>
    <row r="37276" spans="1:3">
      <c r="A37276" s="250">
        <v>88556</v>
      </c>
      <c r="B37276" s="74" t="s">
        <v>13743</v>
      </c>
      <c r="C37276" s="74" t="s">
        <v>453</v>
      </c>
    </row>
    <row r="37277" spans="1:3">
      <c r="A37277" s="250">
        <v>88557</v>
      </c>
      <c r="B37277" s="74" t="s">
        <v>13743</v>
      </c>
      <c r="C37277" s="74" t="s">
        <v>453</v>
      </c>
    </row>
    <row r="37278" spans="1:3">
      <c r="A37278" s="250">
        <v>88558</v>
      </c>
      <c r="B37278" s="74" t="s">
        <v>13743</v>
      </c>
      <c r="C37278" s="74" t="s">
        <v>453</v>
      </c>
    </row>
    <row r="37279" spans="1:3">
      <c r="A37279" s="250">
        <v>88559</v>
      </c>
      <c r="B37279" s="74" t="s">
        <v>13743</v>
      </c>
      <c r="C37279" s="74" t="s">
        <v>453</v>
      </c>
    </row>
    <row r="37280" spans="1:3">
      <c r="A37280" s="250">
        <v>88560</v>
      </c>
      <c r="B37280" s="74" t="s">
        <v>13743</v>
      </c>
      <c r="C37280" s="74" t="s">
        <v>453</v>
      </c>
    </row>
    <row r="37281" spans="1:3">
      <c r="A37281" s="250">
        <v>88561</v>
      </c>
      <c r="B37281" s="74" t="s">
        <v>13743</v>
      </c>
      <c r="C37281" s="74" t="s">
        <v>453</v>
      </c>
    </row>
    <row r="37282" spans="1:3">
      <c r="A37282" s="250">
        <v>88562</v>
      </c>
      <c r="B37282" s="74" t="s">
        <v>13743</v>
      </c>
      <c r="C37282" s="74" t="s">
        <v>453</v>
      </c>
    </row>
    <row r="37283" spans="1:3">
      <c r="A37283" s="250">
        <v>88563</v>
      </c>
      <c r="B37283" s="74" t="s">
        <v>13743</v>
      </c>
      <c r="C37283" s="74" t="s">
        <v>453</v>
      </c>
    </row>
    <row r="37284" spans="1:3">
      <c r="A37284" s="250">
        <v>88565</v>
      </c>
      <c r="B37284" s="74" t="s">
        <v>13743</v>
      </c>
      <c r="C37284" s="74" t="s">
        <v>453</v>
      </c>
    </row>
    <row r="37285" spans="1:3">
      <c r="A37285" s="250">
        <v>88566</v>
      </c>
      <c r="B37285" s="74" t="s">
        <v>13743</v>
      </c>
      <c r="C37285" s="74" t="s">
        <v>453</v>
      </c>
    </row>
    <row r="37286" spans="1:3">
      <c r="A37286" s="250">
        <v>88567</v>
      </c>
      <c r="B37286" s="74" t="s">
        <v>13743</v>
      </c>
      <c r="C37286" s="74" t="s">
        <v>453</v>
      </c>
    </row>
    <row r="37287" spans="1:3">
      <c r="A37287" s="250">
        <v>88568</v>
      </c>
      <c r="B37287" s="74" t="s">
        <v>13743</v>
      </c>
      <c r="C37287" s="74" t="s">
        <v>453</v>
      </c>
    </row>
    <row r="37288" spans="1:3">
      <c r="A37288" s="250">
        <v>88569</v>
      </c>
      <c r="B37288" s="74" t="s">
        <v>13743</v>
      </c>
      <c r="C37288" s="74" t="s">
        <v>453</v>
      </c>
    </row>
    <row r="37289" spans="1:3">
      <c r="A37289" s="250">
        <v>88570</v>
      </c>
      <c r="B37289" s="74" t="s">
        <v>13743</v>
      </c>
      <c r="C37289" s="74" t="s">
        <v>453</v>
      </c>
    </row>
    <row r="37290" spans="1:3">
      <c r="A37290" s="250">
        <v>88571</v>
      </c>
      <c r="B37290" s="74" t="s">
        <v>13743</v>
      </c>
      <c r="C37290" s="74" t="s">
        <v>453</v>
      </c>
    </row>
    <row r="37291" spans="1:3">
      <c r="A37291" s="250">
        <v>88572</v>
      </c>
      <c r="B37291" s="74" t="s">
        <v>13743</v>
      </c>
      <c r="C37291" s="74" t="s">
        <v>453</v>
      </c>
    </row>
    <row r="37292" spans="1:3">
      <c r="A37292" s="250">
        <v>88573</v>
      </c>
      <c r="B37292" s="74" t="s">
        <v>13743</v>
      </c>
      <c r="C37292" s="74" t="s">
        <v>453</v>
      </c>
    </row>
    <row r="37293" spans="1:3">
      <c r="A37293" s="250">
        <v>88574</v>
      </c>
      <c r="B37293" s="74" t="s">
        <v>13743</v>
      </c>
      <c r="C37293" s="74" t="s">
        <v>453</v>
      </c>
    </row>
    <row r="37294" spans="1:3">
      <c r="A37294" s="250">
        <v>88575</v>
      </c>
      <c r="B37294" s="74" t="s">
        <v>13743</v>
      </c>
      <c r="C37294" s="74" t="s">
        <v>453</v>
      </c>
    </row>
    <row r="37295" spans="1:3">
      <c r="A37295" s="250">
        <v>88576</v>
      </c>
      <c r="B37295" s="74" t="s">
        <v>13743</v>
      </c>
      <c r="C37295" s="74" t="s">
        <v>453</v>
      </c>
    </row>
    <row r="37296" spans="1:3">
      <c r="A37296" s="250">
        <v>88577</v>
      </c>
      <c r="B37296" s="74" t="s">
        <v>13743</v>
      </c>
      <c r="C37296" s="74" t="s">
        <v>453</v>
      </c>
    </row>
    <row r="37297" spans="1:3">
      <c r="A37297" s="250">
        <v>88578</v>
      </c>
      <c r="B37297" s="74" t="s">
        <v>13743</v>
      </c>
      <c r="C37297" s="74" t="s">
        <v>453</v>
      </c>
    </row>
    <row r="37298" spans="1:3">
      <c r="A37298" s="250">
        <v>88579</v>
      </c>
      <c r="B37298" s="74" t="s">
        <v>13743</v>
      </c>
      <c r="C37298" s="74" t="s">
        <v>453</v>
      </c>
    </row>
    <row r="37299" spans="1:3">
      <c r="A37299" s="250">
        <v>88580</v>
      </c>
      <c r="B37299" s="74" t="s">
        <v>13743</v>
      </c>
      <c r="C37299" s="74" t="s">
        <v>453</v>
      </c>
    </row>
    <row r="37300" spans="1:3">
      <c r="A37300" s="250">
        <v>88581</v>
      </c>
      <c r="B37300" s="74" t="s">
        <v>13743</v>
      </c>
      <c r="C37300" s="74" t="s">
        <v>453</v>
      </c>
    </row>
    <row r="37301" spans="1:3">
      <c r="A37301" s="250">
        <v>88582</v>
      </c>
      <c r="B37301" s="74" t="s">
        <v>13743</v>
      </c>
      <c r="C37301" s="74" t="s">
        <v>453</v>
      </c>
    </row>
    <row r="37302" spans="1:3">
      <c r="A37302" s="250">
        <v>88583</v>
      </c>
      <c r="B37302" s="74" t="s">
        <v>13743</v>
      </c>
      <c r="C37302" s="74" t="s">
        <v>453</v>
      </c>
    </row>
    <row r="37303" spans="1:3">
      <c r="A37303" s="250">
        <v>88584</v>
      </c>
      <c r="B37303" s="74" t="s">
        <v>13743</v>
      </c>
      <c r="C37303" s="74" t="s">
        <v>453</v>
      </c>
    </row>
    <row r="37304" spans="1:3">
      <c r="A37304" s="250">
        <v>88585</v>
      </c>
      <c r="B37304" s="74" t="s">
        <v>13743</v>
      </c>
      <c r="C37304" s="74" t="s">
        <v>453</v>
      </c>
    </row>
    <row r="37305" spans="1:3">
      <c r="A37305" s="250">
        <v>88586</v>
      </c>
      <c r="B37305" s="74" t="s">
        <v>13743</v>
      </c>
      <c r="C37305" s="74" t="s">
        <v>453</v>
      </c>
    </row>
    <row r="37306" spans="1:3">
      <c r="A37306" s="250">
        <v>88587</v>
      </c>
      <c r="B37306" s="74" t="s">
        <v>13743</v>
      </c>
      <c r="C37306" s="74" t="s">
        <v>453</v>
      </c>
    </row>
    <row r="37307" spans="1:3">
      <c r="A37307" s="250">
        <v>88588</v>
      </c>
      <c r="B37307" s="74" t="s">
        <v>13743</v>
      </c>
      <c r="C37307" s="74" t="s">
        <v>453</v>
      </c>
    </row>
    <row r="37308" spans="1:3">
      <c r="A37308" s="250">
        <v>88589</v>
      </c>
      <c r="B37308" s="74" t="s">
        <v>13743</v>
      </c>
      <c r="C37308" s="74" t="s">
        <v>453</v>
      </c>
    </row>
    <row r="37309" spans="1:3">
      <c r="A37309" s="250">
        <v>88590</v>
      </c>
      <c r="B37309" s="74" t="s">
        <v>13743</v>
      </c>
      <c r="C37309" s="74" t="s">
        <v>453</v>
      </c>
    </row>
    <row r="37310" spans="1:3">
      <c r="A37310" s="250">
        <v>88595</v>
      </c>
      <c r="B37310" s="74" t="s">
        <v>13743</v>
      </c>
      <c r="C37310" s="74" t="s">
        <v>453</v>
      </c>
    </row>
    <row r="37311" spans="1:3">
      <c r="A37311" s="250">
        <v>88901</v>
      </c>
      <c r="B37311" s="74" t="s">
        <v>17581</v>
      </c>
      <c r="C37311" s="74" t="s">
        <v>439</v>
      </c>
    </row>
    <row r="37312" spans="1:3">
      <c r="A37312" s="250">
        <v>88905</v>
      </c>
      <c r="B37312" s="74" t="s">
        <v>17581</v>
      </c>
      <c r="C37312" s="74" t="s">
        <v>439</v>
      </c>
    </row>
    <row r="37313" spans="1:3">
      <c r="A37313" s="250">
        <v>89001</v>
      </c>
      <c r="B37313" s="74" t="s">
        <v>7934</v>
      </c>
      <c r="C37313" s="74" t="s">
        <v>439</v>
      </c>
    </row>
    <row r="37314" spans="1:3">
      <c r="A37314" s="250">
        <v>89002</v>
      </c>
      <c r="B37314" s="74" t="s">
        <v>3556</v>
      </c>
      <c r="C37314" s="74" t="s">
        <v>439</v>
      </c>
    </row>
    <row r="37315" spans="1:3">
      <c r="A37315" s="250">
        <v>89003</v>
      </c>
      <c r="B37315" s="74" t="s">
        <v>17582</v>
      </c>
      <c r="C37315" s="74" t="s">
        <v>439</v>
      </c>
    </row>
    <row r="37316" spans="1:3">
      <c r="A37316" s="250">
        <v>89004</v>
      </c>
      <c r="B37316" s="74" t="s">
        <v>17583</v>
      </c>
      <c r="C37316" s="74" t="s">
        <v>439</v>
      </c>
    </row>
    <row r="37317" spans="1:3">
      <c r="A37317" s="250">
        <v>89005</v>
      </c>
      <c r="B37317" s="74" t="s">
        <v>17584</v>
      </c>
      <c r="C37317" s="74" t="s">
        <v>439</v>
      </c>
    </row>
    <row r="37318" spans="1:3">
      <c r="A37318" s="250">
        <v>89006</v>
      </c>
      <c r="B37318" s="74" t="s">
        <v>17584</v>
      </c>
      <c r="C37318" s="74" t="s">
        <v>439</v>
      </c>
    </row>
    <row r="37319" spans="1:3">
      <c r="A37319" s="250">
        <v>89007</v>
      </c>
      <c r="B37319" s="74" t="s">
        <v>17585</v>
      </c>
      <c r="C37319" s="74" t="s">
        <v>439</v>
      </c>
    </row>
    <row r="37320" spans="1:3">
      <c r="A37320" s="250">
        <v>89008</v>
      </c>
      <c r="B37320" s="74" t="s">
        <v>17586</v>
      </c>
      <c r="C37320" s="74" t="s">
        <v>439</v>
      </c>
    </row>
    <row r="37321" spans="1:3">
      <c r="A37321" s="250">
        <v>89009</v>
      </c>
      <c r="B37321" s="74" t="s">
        <v>3556</v>
      </c>
      <c r="C37321" s="74" t="s">
        <v>439</v>
      </c>
    </row>
    <row r="37322" spans="1:3">
      <c r="A37322" s="250">
        <v>89010</v>
      </c>
      <c r="B37322" s="74" t="s">
        <v>9214</v>
      </c>
      <c r="C37322" s="74" t="s">
        <v>439</v>
      </c>
    </row>
    <row r="37323" spans="1:3">
      <c r="A37323" s="250">
        <v>89011</v>
      </c>
      <c r="B37323" s="74" t="s">
        <v>3556</v>
      </c>
      <c r="C37323" s="74" t="s">
        <v>439</v>
      </c>
    </row>
    <row r="37324" spans="1:3">
      <c r="A37324" s="250">
        <v>89012</v>
      </c>
      <c r="B37324" s="74" t="s">
        <v>3556</v>
      </c>
      <c r="C37324" s="74" t="s">
        <v>439</v>
      </c>
    </row>
    <row r="37325" spans="1:3">
      <c r="A37325" s="250">
        <v>89013</v>
      </c>
      <c r="B37325" s="74" t="s">
        <v>11623</v>
      </c>
      <c r="C37325" s="74" t="s">
        <v>439</v>
      </c>
    </row>
    <row r="37326" spans="1:3">
      <c r="A37326" s="250">
        <v>89014</v>
      </c>
      <c r="B37326" s="74" t="s">
        <v>3556</v>
      </c>
      <c r="C37326" s="74" t="s">
        <v>439</v>
      </c>
    </row>
    <row r="37327" spans="1:3">
      <c r="A37327" s="250">
        <v>89015</v>
      </c>
      <c r="B37327" s="74" t="s">
        <v>3556</v>
      </c>
      <c r="C37327" s="74" t="s">
        <v>439</v>
      </c>
    </row>
    <row r="37328" spans="1:3">
      <c r="A37328" s="250">
        <v>89016</v>
      </c>
      <c r="B37328" s="74" t="s">
        <v>3556</v>
      </c>
      <c r="C37328" s="74" t="s">
        <v>439</v>
      </c>
    </row>
    <row r="37329" spans="1:3">
      <c r="A37329" s="250">
        <v>89017</v>
      </c>
      <c r="B37329" s="74" t="s">
        <v>17587</v>
      </c>
      <c r="C37329" s="74" t="s">
        <v>439</v>
      </c>
    </row>
    <row r="37330" spans="1:3">
      <c r="A37330" s="250">
        <v>89018</v>
      </c>
      <c r="B37330" s="74" t="s">
        <v>17588</v>
      </c>
      <c r="C37330" s="74" t="s">
        <v>439</v>
      </c>
    </row>
    <row r="37331" spans="1:3">
      <c r="A37331" s="250">
        <v>89019</v>
      </c>
      <c r="B37331" s="74" t="s">
        <v>17589</v>
      </c>
      <c r="C37331" s="74" t="s">
        <v>439</v>
      </c>
    </row>
    <row r="37332" spans="1:3">
      <c r="A37332" s="250">
        <v>89020</v>
      </c>
      <c r="B37332" s="74" t="s">
        <v>17590</v>
      </c>
      <c r="C37332" s="74" t="s">
        <v>439</v>
      </c>
    </row>
    <row r="37333" spans="1:3">
      <c r="A37333" s="250">
        <v>89021</v>
      </c>
      <c r="B37333" s="74" t="s">
        <v>17591</v>
      </c>
      <c r="C37333" s="74" t="s">
        <v>439</v>
      </c>
    </row>
    <row r="37334" spans="1:3">
      <c r="A37334" s="250">
        <v>89022</v>
      </c>
      <c r="B37334" s="74" t="s">
        <v>13377</v>
      </c>
      <c r="C37334" s="74" t="s">
        <v>439</v>
      </c>
    </row>
    <row r="37335" spans="1:3">
      <c r="A37335" s="250">
        <v>89023</v>
      </c>
      <c r="B37335" s="74" t="s">
        <v>17592</v>
      </c>
      <c r="C37335" s="74" t="s">
        <v>439</v>
      </c>
    </row>
    <row r="37336" spans="1:3">
      <c r="A37336" s="250">
        <v>89024</v>
      </c>
      <c r="B37336" s="74" t="s">
        <v>15840</v>
      </c>
      <c r="C37336" s="74" t="s">
        <v>439</v>
      </c>
    </row>
    <row r="37337" spans="1:3">
      <c r="A37337" s="250">
        <v>89025</v>
      </c>
      <c r="B37337" s="74" t="s">
        <v>17593</v>
      </c>
      <c r="C37337" s="74" t="s">
        <v>439</v>
      </c>
    </row>
    <row r="37338" spans="1:3">
      <c r="A37338" s="250">
        <v>89026</v>
      </c>
      <c r="B37338" s="74" t="s">
        <v>17589</v>
      </c>
      <c r="C37338" s="74" t="s">
        <v>439</v>
      </c>
    </row>
    <row r="37339" spans="1:3">
      <c r="A37339" s="250">
        <v>89027</v>
      </c>
      <c r="B37339" s="74" t="s">
        <v>15840</v>
      </c>
      <c r="C37339" s="74" t="s">
        <v>439</v>
      </c>
    </row>
    <row r="37340" spans="1:3">
      <c r="A37340" s="250">
        <v>89028</v>
      </c>
      <c r="B37340" s="74" t="s">
        <v>17594</v>
      </c>
      <c r="C37340" s="74" t="s">
        <v>439</v>
      </c>
    </row>
    <row r="37341" spans="1:3">
      <c r="A37341" s="250">
        <v>89029</v>
      </c>
      <c r="B37341" s="74" t="s">
        <v>17594</v>
      </c>
      <c r="C37341" s="74" t="s">
        <v>439</v>
      </c>
    </row>
    <row r="37342" spans="1:3">
      <c r="A37342" s="250">
        <v>89030</v>
      </c>
      <c r="B37342" s="74" t="s">
        <v>17595</v>
      </c>
      <c r="C37342" s="74" t="s">
        <v>439</v>
      </c>
    </row>
    <row r="37343" spans="1:3">
      <c r="A37343" s="250">
        <v>89031</v>
      </c>
      <c r="B37343" s="74" t="s">
        <v>17595</v>
      </c>
      <c r="C37343" s="74" t="s">
        <v>439</v>
      </c>
    </row>
    <row r="37344" spans="1:3">
      <c r="A37344" s="250">
        <v>89032</v>
      </c>
      <c r="B37344" s="74" t="s">
        <v>17595</v>
      </c>
      <c r="C37344" s="74" t="s">
        <v>439</v>
      </c>
    </row>
    <row r="37345" spans="1:3">
      <c r="A37345" s="250">
        <v>89033</v>
      </c>
      <c r="B37345" s="74" t="s">
        <v>17595</v>
      </c>
      <c r="C37345" s="74" t="s">
        <v>439</v>
      </c>
    </row>
    <row r="37346" spans="1:3">
      <c r="A37346" s="250">
        <v>89034</v>
      </c>
      <c r="B37346" s="74" t="s">
        <v>15840</v>
      </c>
      <c r="C37346" s="74" t="s">
        <v>439</v>
      </c>
    </row>
    <row r="37347" spans="1:3">
      <c r="A37347" s="250">
        <v>89036</v>
      </c>
      <c r="B37347" s="74" t="s">
        <v>17595</v>
      </c>
      <c r="C37347" s="74" t="s">
        <v>439</v>
      </c>
    </row>
    <row r="37348" spans="1:3">
      <c r="A37348" s="250">
        <v>89037</v>
      </c>
      <c r="B37348" s="74" t="s">
        <v>17596</v>
      </c>
      <c r="C37348" s="74" t="s">
        <v>439</v>
      </c>
    </row>
    <row r="37349" spans="1:3">
      <c r="A37349" s="250">
        <v>89039</v>
      </c>
      <c r="B37349" s="74" t="s">
        <v>17597</v>
      </c>
      <c r="C37349" s="74" t="s">
        <v>439</v>
      </c>
    </row>
    <row r="37350" spans="1:3">
      <c r="A37350" s="250">
        <v>89040</v>
      </c>
      <c r="B37350" s="74" t="s">
        <v>14852</v>
      </c>
      <c r="C37350" s="74" t="s">
        <v>439</v>
      </c>
    </row>
    <row r="37351" spans="1:3">
      <c r="A37351" s="250">
        <v>89041</v>
      </c>
      <c r="B37351" s="74" t="s">
        <v>17598</v>
      </c>
      <c r="C37351" s="74" t="s">
        <v>439</v>
      </c>
    </row>
    <row r="37352" spans="1:3">
      <c r="A37352" s="250">
        <v>89042</v>
      </c>
      <c r="B37352" s="74" t="s">
        <v>17599</v>
      </c>
      <c r="C37352" s="74" t="s">
        <v>439</v>
      </c>
    </row>
    <row r="37353" spans="1:3">
      <c r="A37353" s="250">
        <v>89043</v>
      </c>
      <c r="B37353" s="74" t="s">
        <v>17600</v>
      </c>
      <c r="C37353" s="74" t="s">
        <v>439</v>
      </c>
    </row>
    <row r="37354" spans="1:3">
      <c r="A37354" s="250">
        <v>89044</v>
      </c>
      <c r="B37354" s="74" t="s">
        <v>3556</v>
      </c>
      <c r="C37354" s="74" t="s">
        <v>439</v>
      </c>
    </row>
    <row r="37355" spans="1:3">
      <c r="A37355" s="250">
        <v>89045</v>
      </c>
      <c r="B37355" s="74" t="s">
        <v>16429</v>
      </c>
      <c r="C37355" s="74" t="s">
        <v>439</v>
      </c>
    </row>
    <row r="37356" spans="1:3">
      <c r="A37356" s="250">
        <v>89046</v>
      </c>
      <c r="B37356" s="74" t="s">
        <v>17601</v>
      </c>
      <c r="C37356" s="74" t="s">
        <v>439</v>
      </c>
    </row>
    <row r="37357" spans="1:3">
      <c r="A37357" s="250">
        <v>89047</v>
      </c>
      <c r="B37357" s="74" t="s">
        <v>17602</v>
      </c>
      <c r="C37357" s="74" t="s">
        <v>439</v>
      </c>
    </row>
    <row r="37358" spans="1:3">
      <c r="A37358" s="250">
        <v>89048</v>
      </c>
      <c r="B37358" s="74" t="s">
        <v>17598</v>
      </c>
      <c r="C37358" s="74" t="s">
        <v>439</v>
      </c>
    </row>
    <row r="37359" spans="1:3">
      <c r="A37359" s="250">
        <v>89049</v>
      </c>
      <c r="B37359" s="74" t="s">
        <v>17214</v>
      </c>
      <c r="C37359" s="74" t="s">
        <v>439</v>
      </c>
    </row>
    <row r="37360" spans="1:3">
      <c r="A37360" s="250">
        <v>89052</v>
      </c>
      <c r="B37360" s="74" t="s">
        <v>3556</v>
      </c>
      <c r="C37360" s="74" t="s">
        <v>439</v>
      </c>
    </row>
    <row r="37361" spans="1:3">
      <c r="A37361" s="250">
        <v>89053</v>
      </c>
      <c r="B37361" s="74" t="s">
        <v>3556</v>
      </c>
      <c r="C37361" s="74" t="s">
        <v>439</v>
      </c>
    </row>
    <row r="37362" spans="1:3">
      <c r="A37362" s="250">
        <v>89054</v>
      </c>
      <c r="B37362" s="74" t="s">
        <v>11716</v>
      </c>
      <c r="C37362" s="74" t="s">
        <v>439</v>
      </c>
    </row>
    <row r="37363" spans="1:3">
      <c r="A37363" s="250">
        <v>89060</v>
      </c>
      <c r="B37363" s="74" t="s">
        <v>17598</v>
      </c>
      <c r="C37363" s="74" t="s">
        <v>439</v>
      </c>
    </row>
    <row r="37364" spans="1:3">
      <c r="A37364" s="250">
        <v>89061</v>
      </c>
      <c r="B37364" s="74" t="s">
        <v>17598</v>
      </c>
      <c r="C37364" s="74" t="s">
        <v>439</v>
      </c>
    </row>
    <row r="37365" spans="1:3">
      <c r="A37365" s="250">
        <v>89067</v>
      </c>
      <c r="B37365" s="74" t="s">
        <v>17596</v>
      </c>
      <c r="C37365" s="74" t="s">
        <v>439</v>
      </c>
    </row>
    <row r="37366" spans="1:3">
      <c r="A37366" s="250">
        <v>89070</v>
      </c>
      <c r="B37366" s="74" t="s">
        <v>17588</v>
      </c>
      <c r="C37366" s="74" t="s">
        <v>439</v>
      </c>
    </row>
    <row r="37367" spans="1:3">
      <c r="A37367" s="250">
        <v>89074</v>
      </c>
      <c r="B37367" s="74" t="s">
        <v>3556</v>
      </c>
      <c r="C37367" s="74" t="s">
        <v>439</v>
      </c>
    </row>
    <row r="37368" spans="1:3">
      <c r="A37368" s="250">
        <v>89077</v>
      </c>
      <c r="B37368" s="74" t="s">
        <v>3556</v>
      </c>
      <c r="C37368" s="74" t="s">
        <v>439</v>
      </c>
    </row>
    <row r="37369" spans="1:3">
      <c r="A37369" s="250">
        <v>89081</v>
      </c>
      <c r="B37369" s="74" t="s">
        <v>17595</v>
      </c>
      <c r="C37369" s="74" t="s">
        <v>439</v>
      </c>
    </row>
    <row r="37370" spans="1:3">
      <c r="A37370" s="250">
        <v>89084</v>
      </c>
      <c r="B37370" s="74" t="s">
        <v>17595</v>
      </c>
      <c r="C37370" s="74" t="s">
        <v>439</v>
      </c>
    </row>
    <row r="37371" spans="1:3">
      <c r="A37371" s="250">
        <v>89085</v>
      </c>
      <c r="B37371" s="74" t="s">
        <v>17595</v>
      </c>
      <c r="C37371" s="74" t="s">
        <v>439</v>
      </c>
    </row>
    <row r="37372" spans="1:3">
      <c r="A37372" s="250">
        <v>89086</v>
      </c>
      <c r="B37372" s="74" t="s">
        <v>17595</v>
      </c>
      <c r="C37372" s="74" t="s">
        <v>439</v>
      </c>
    </row>
    <row r="37373" spans="1:3">
      <c r="A37373" s="250">
        <v>89087</v>
      </c>
      <c r="B37373" s="74" t="s">
        <v>17595</v>
      </c>
      <c r="C37373" s="74" t="s">
        <v>439</v>
      </c>
    </row>
    <row r="37374" spans="1:3">
      <c r="A37374" s="250">
        <v>89101</v>
      </c>
      <c r="B37374" s="74" t="s">
        <v>17468</v>
      </c>
      <c r="C37374" s="74" t="s">
        <v>439</v>
      </c>
    </row>
    <row r="37375" spans="1:3">
      <c r="A37375" s="250">
        <v>89102</v>
      </c>
      <c r="B37375" s="74" t="s">
        <v>17468</v>
      </c>
      <c r="C37375" s="74" t="s">
        <v>439</v>
      </c>
    </row>
    <row r="37376" spans="1:3">
      <c r="A37376" s="250">
        <v>89103</v>
      </c>
      <c r="B37376" s="74" t="s">
        <v>17468</v>
      </c>
      <c r="C37376" s="74" t="s">
        <v>439</v>
      </c>
    </row>
    <row r="37377" spans="1:3">
      <c r="A37377" s="250">
        <v>89104</v>
      </c>
      <c r="B37377" s="74" t="s">
        <v>17468</v>
      </c>
      <c r="C37377" s="74" t="s">
        <v>439</v>
      </c>
    </row>
    <row r="37378" spans="1:3">
      <c r="A37378" s="250">
        <v>89105</v>
      </c>
      <c r="B37378" s="74" t="s">
        <v>17468</v>
      </c>
      <c r="C37378" s="74" t="s">
        <v>439</v>
      </c>
    </row>
    <row r="37379" spans="1:3">
      <c r="A37379" s="250">
        <v>89106</v>
      </c>
      <c r="B37379" s="74" t="s">
        <v>17468</v>
      </c>
      <c r="C37379" s="74" t="s">
        <v>439</v>
      </c>
    </row>
    <row r="37380" spans="1:3">
      <c r="A37380" s="250">
        <v>89107</v>
      </c>
      <c r="B37380" s="74" t="s">
        <v>17468</v>
      </c>
      <c r="C37380" s="74" t="s">
        <v>439</v>
      </c>
    </row>
    <row r="37381" spans="1:3">
      <c r="A37381" s="250">
        <v>89108</v>
      </c>
      <c r="B37381" s="74" t="s">
        <v>17468</v>
      </c>
      <c r="C37381" s="74" t="s">
        <v>439</v>
      </c>
    </row>
    <row r="37382" spans="1:3">
      <c r="A37382" s="250">
        <v>89109</v>
      </c>
      <c r="B37382" s="74" t="s">
        <v>17468</v>
      </c>
      <c r="C37382" s="74" t="s">
        <v>439</v>
      </c>
    </row>
    <row r="37383" spans="1:3">
      <c r="A37383" s="250">
        <v>89110</v>
      </c>
      <c r="B37383" s="74" t="s">
        <v>17468</v>
      </c>
      <c r="C37383" s="74" t="s">
        <v>439</v>
      </c>
    </row>
    <row r="37384" spans="1:3">
      <c r="A37384" s="250">
        <v>89111</v>
      </c>
      <c r="B37384" s="74" t="s">
        <v>17468</v>
      </c>
      <c r="C37384" s="74" t="s">
        <v>439</v>
      </c>
    </row>
    <row r="37385" spans="1:3">
      <c r="A37385" s="250">
        <v>89112</v>
      </c>
      <c r="B37385" s="74" t="s">
        <v>17468</v>
      </c>
      <c r="C37385" s="74" t="s">
        <v>439</v>
      </c>
    </row>
    <row r="37386" spans="1:3">
      <c r="A37386" s="250">
        <v>89113</v>
      </c>
      <c r="B37386" s="74" t="s">
        <v>17468</v>
      </c>
      <c r="C37386" s="74" t="s">
        <v>439</v>
      </c>
    </row>
    <row r="37387" spans="1:3">
      <c r="A37387" s="250">
        <v>89114</v>
      </c>
      <c r="B37387" s="74" t="s">
        <v>17468</v>
      </c>
      <c r="C37387" s="74" t="s">
        <v>439</v>
      </c>
    </row>
    <row r="37388" spans="1:3">
      <c r="A37388" s="250">
        <v>89115</v>
      </c>
      <c r="B37388" s="74" t="s">
        <v>17468</v>
      </c>
      <c r="C37388" s="74" t="s">
        <v>439</v>
      </c>
    </row>
    <row r="37389" spans="1:3">
      <c r="A37389" s="250">
        <v>89116</v>
      </c>
      <c r="B37389" s="74" t="s">
        <v>17468</v>
      </c>
      <c r="C37389" s="74" t="s">
        <v>439</v>
      </c>
    </row>
    <row r="37390" spans="1:3">
      <c r="A37390" s="250">
        <v>89117</v>
      </c>
      <c r="B37390" s="74" t="s">
        <v>17468</v>
      </c>
      <c r="C37390" s="74" t="s">
        <v>439</v>
      </c>
    </row>
    <row r="37391" spans="1:3">
      <c r="A37391" s="250">
        <v>89118</v>
      </c>
      <c r="B37391" s="74" t="s">
        <v>17468</v>
      </c>
      <c r="C37391" s="74" t="s">
        <v>439</v>
      </c>
    </row>
    <row r="37392" spans="1:3">
      <c r="A37392" s="250">
        <v>89119</v>
      </c>
      <c r="B37392" s="74" t="s">
        <v>17468</v>
      </c>
      <c r="C37392" s="74" t="s">
        <v>439</v>
      </c>
    </row>
    <row r="37393" spans="1:3">
      <c r="A37393" s="250">
        <v>89120</v>
      </c>
      <c r="B37393" s="74" t="s">
        <v>17468</v>
      </c>
      <c r="C37393" s="74" t="s">
        <v>439</v>
      </c>
    </row>
    <row r="37394" spans="1:3">
      <c r="A37394" s="250">
        <v>89121</v>
      </c>
      <c r="B37394" s="74" t="s">
        <v>17468</v>
      </c>
      <c r="C37394" s="74" t="s">
        <v>439</v>
      </c>
    </row>
    <row r="37395" spans="1:3">
      <c r="A37395" s="250">
        <v>89122</v>
      </c>
      <c r="B37395" s="74" t="s">
        <v>17468</v>
      </c>
      <c r="C37395" s="74" t="s">
        <v>439</v>
      </c>
    </row>
    <row r="37396" spans="1:3">
      <c r="A37396" s="250">
        <v>89123</v>
      </c>
      <c r="B37396" s="74" t="s">
        <v>17468</v>
      </c>
      <c r="C37396" s="74" t="s">
        <v>439</v>
      </c>
    </row>
    <row r="37397" spans="1:3">
      <c r="A37397" s="250">
        <v>89124</v>
      </c>
      <c r="B37397" s="74" t="s">
        <v>17468</v>
      </c>
      <c r="C37397" s="74" t="s">
        <v>439</v>
      </c>
    </row>
    <row r="37398" spans="1:3">
      <c r="A37398" s="250">
        <v>89125</v>
      </c>
      <c r="B37398" s="74" t="s">
        <v>17468</v>
      </c>
      <c r="C37398" s="74" t="s">
        <v>439</v>
      </c>
    </row>
    <row r="37399" spans="1:3">
      <c r="A37399" s="250">
        <v>89126</v>
      </c>
      <c r="B37399" s="74" t="s">
        <v>17468</v>
      </c>
      <c r="C37399" s="74" t="s">
        <v>439</v>
      </c>
    </row>
    <row r="37400" spans="1:3">
      <c r="A37400" s="250">
        <v>89127</v>
      </c>
      <c r="B37400" s="74" t="s">
        <v>17468</v>
      </c>
      <c r="C37400" s="74" t="s">
        <v>439</v>
      </c>
    </row>
    <row r="37401" spans="1:3">
      <c r="A37401" s="250">
        <v>89128</v>
      </c>
      <c r="B37401" s="74" t="s">
        <v>17468</v>
      </c>
      <c r="C37401" s="74" t="s">
        <v>439</v>
      </c>
    </row>
    <row r="37402" spans="1:3">
      <c r="A37402" s="250">
        <v>89129</v>
      </c>
      <c r="B37402" s="74" t="s">
        <v>17468</v>
      </c>
      <c r="C37402" s="74" t="s">
        <v>439</v>
      </c>
    </row>
    <row r="37403" spans="1:3">
      <c r="A37403" s="250">
        <v>89130</v>
      </c>
      <c r="B37403" s="74" t="s">
        <v>17468</v>
      </c>
      <c r="C37403" s="74" t="s">
        <v>439</v>
      </c>
    </row>
    <row r="37404" spans="1:3">
      <c r="A37404" s="250">
        <v>89131</v>
      </c>
      <c r="B37404" s="74" t="s">
        <v>17468</v>
      </c>
      <c r="C37404" s="74" t="s">
        <v>439</v>
      </c>
    </row>
    <row r="37405" spans="1:3">
      <c r="A37405" s="250">
        <v>89132</v>
      </c>
      <c r="B37405" s="74" t="s">
        <v>17468</v>
      </c>
      <c r="C37405" s="74" t="s">
        <v>439</v>
      </c>
    </row>
    <row r="37406" spans="1:3">
      <c r="A37406" s="250">
        <v>89133</v>
      </c>
      <c r="B37406" s="74" t="s">
        <v>17468</v>
      </c>
      <c r="C37406" s="74" t="s">
        <v>439</v>
      </c>
    </row>
    <row r="37407" spans="1:3">
      <c r="A37407" s="250">
        <v>89134</v>
      </c>
      <c r="B37407" s="74" t="s">
        <v>17468</v>
      </c>
      <c r="C37407" s="74" t="s">
        <v>439</v>
      </c>
    </row>
    <row r="37408" spans="1:3">
      <c r="A37408" s="250">
        <v>89135</v>
      </c>
      <c r="B37408" s="74" t="s">
        <v>17468</v>
      </c>
      <c r="C37408" s="74" t="s">
        <v>439</v>
      </c>
    </row>
    <row r="37409" spans="1:3">
      <c r="A37409" s="250">
        <v>89136</v>
      </c>
      <c r="B37409" s="74" t="s">
        <v>17468</v>
      </c>
      <c r="C37409" s="74" t="s">
        <v>439</v>
      </c>
    </row>
    <row r="37410" spans="1:3">
      <c r="A37410" s="250">
        <v>89137</v>
      </c>
      <c r="B37410" s="74" t="s">
        <v>17468</v>
      </c>
      <c r="C37410" s="74" t="s">
        <v>439</v>
      </c>
    </row>
    <row r="37411" spans="1:3">
      <c r="A37411" s="250">
        <v>89138</v>
      </c>
      <c r="B37411" s="74" t="s">
        <v>17468</v>
      </c>
      <c r="C37411" s="74" t="s">
        <v>439</v>
      </c>
    </row>
    <row r="37412" spans="1:3">
      <c r="A37412" s="250">
        <v>89139</v>
      </c>
      <c r="B37412" s="74" t="s">
        <v>17468</v>
      </c>
      <c r="C37412" s="74" t="s">
        <v>439</v>
      </c>
    </row>
    <row r="37413" spans="1:3">
      <c r="A37413" s="250">
        <v>89140</v>
      </c>
      <c r="B37413" s="74" t="s">
        <v>17468</v>
      </c>
      <c r="C37413" s="74" t="s">
        <v>439</v>
      </c>
    </row>
    <row r="37414" spans="1:3">
      <c r="A37414" s="250">
        <v>89141</v>
      </c>
      <c r="B37414" s="74" t="s">
        <v>17468</v>
      </c>
      <c r="C37414" s="74" t="s">
        <v>439</v>
      </c>
    </row>
    <row r="37415" spans="1:3">
      <c r="A37415" s="250">
        <v>89142</v>
      </c>
      <c r="B37415" s="74" t="s">
        <v>17468</v>
      </c>
      <c r="C37415" s="74" t="s">
        <v>439</v>
      </c>
    </row>
    <row r="37416" spans="1:3">
      <c r="A37416" s="250">
        <v>89143</v>
      </c>
      <c r="B37416" s="74" t="s">
        <v>17468</v>
      </c>
      <c r="C37416" s="74" t="s">
        <v>439</v>
      </c>
    </row>
    <row r="37417" spans="1:3">
      <c r="A37417" s="250">
        <v>89144</v>
      </c>
      <c r="B37417" s="74" t="s">
        <v>17468</v>
      </c>
      <c r="C37417" s="74" t="s">
        <v>439</v>
      </c>
    </row>
    <row r="37418" spans="1:3">
      <c r="A37418" s="250">
        <v>89145</v>
      </c>
      <c r="B37418" s="74" t="s">
        <v>17468</v>
      </c>
      <c r="C37418" s="74" t="s">
        <v>439</v>
      </c>
    </row>
    <row r="37419" spans="1:3">
      <c r="A37419" s="250">
        <v>89146</v>
      </c>
      <c r="B37419" s="74" t="s">
        <v>17468</v>
      </c>
      <c r="C37419" s="74" t="s">
        <v>439</v>
      </c>
    </row>
    <row r="37420" spans="1:3">
      <c r="A37420" s="250">
        <v>89147</v>
      </c>
      <c r="B37420" s="74" t="s">
        <v>17468</v>
      </c>
      <c r="C37420" s="74" t="s">
        <v>439</v>
      </c>
    </row>
    <row r="37421" spans="1:3">
      <c r="A37421" s="250">
        <v>89148</v>
      </c>
      <c r="B37421" s="74" t="s">
        <v>17468</v>
      </c>
      <c r="C37421" s="74" t="s">
        <v>439</v>
      </c>
    </row>
    <row r="37422" spans="1:3">
      <c r="A37422" s="250">
        <v>89149</v>
      </c>
      <c r="B37422" s="74" t="s">
        <v>17468</v>
      </c>
      <c r="C37422" s="74" t="s">
        <v>439</v>
      </c>
    </row>
    <row r="37423" spans="1:3">
      <c r="A37423" s="250">
        <v>89150</v>
      </c>
      <c r="B37423" s="74" t="s">
        <v>17468</v>
      </c>
      <c r="C37423" s="74" t="s">
        <v>439</v>
      </c>
    </row>
    <row r="37424" spans="1:3">
      <c r="A37424" s="250">
        <v>89151</v>
      </c>
      <c r="B37424" s="74" t="s">
        <v>17468</v>
      </c>
      <c r="C37424" s="74" t="s">
        <v>439</v>
      </c>
    </row>
    <row r="37425" spans="1:3">
      <c r="A37425" s="250">
        <v>89152</v>
      </c>
      <c r="B37425" s="74" t="s">
        <v>17468</v>
      </c>
      <c r="C37425" s="74" t="s">
        <v>439</v>
      </c>
    </row>
    <row r="37426" spans="1:3">
      <c r="A37426" s="250">
        <v>89153</v>
      </c>
      <c r="B37426" s="74" t="s">
        <v>17468</v>
      </c>
      <c r="C37426" s="74" t="s">
        <v>439</v>
      </c>
    </row>
    <row r="37427" spans="1:3">
      <c r="A37427" s="250">
        <v>89154</v>
      </c>
      <c r="B37427" s="74" t="s">
        <v>17468</v>
      </c>
      <c r="C37427" s="74" t="s">
        <v>439</v>
      </c>
    </row>
    <row r="37428" spans="1:3">
      <c r="A37428" s="250">
        <v>89155</v>
      </c>
      <c r="B37428" s="74" t="s">
        <v>17468</v>
      </c>
      <c r="C37428" s="74" t="s">
        <v>439</v>
      </c>
    </row>
    <row r="37429" spans="1:3">
      <c r="A37429" s="250">
        <v>89156</v>
      </c>
      <c r="B37429" s="74" t="s">
        <v>17468</v>
      </c>
      <c r="C37429" s="74" t="s">
        <v>439</v>
      </c>
    </row>
    <row r="37430" spans="1:3">
      <c r="A37430" s="250">
        <v>89157</v>
      </c>
      <c r="B37430" s="74" t="s">
        <v>17468</v>
      </c>
      <c r="C37430" s="74" t="s">
        <v>439</v>
      </c>
    </row>
    <row r="37431" spans="1:3">
      <c r="A37431" s="250">
        <v>89158</v>
      </c>
      <c r="B37431" s="74" t="s">
        <v>17468</v>
      </c>
      <c r="C37431" s="74" t="s">
        <v>439</v>
      </c>
    </row>
    <row r="37432" spans="1:3">
      <c r="A37432" s="250">
        <v>89159</v>
      </c>
      <c r="B37432" s="74" t="s">
        <v>17468</v>
      </c>
      <c r="C37432" s="74" t="s">
        <v>439</v>
      </c>
    </row>
    <row r="37433" spans="1:3">
      <c r="A37433" s="250">
        <v>89160</v>
      </c>
      <c r="B37433" s="74" t="s">
        <v>17468</v>
      </c>
      <c r="C37433" s="74" t="s">
        <v>439</v>
      </c>
    </row>
    <row r="37434" spans="1:3">
      <c r="A37434" s="250">
        <v>89161</v>
      </c>
      <c r="B37434" s="74" t="s">
        <v>17468</v>
      </c>
      <c r="C37434" s="74" t="s">
        <v>439</v>
      </c>
    </row>
    <row r="37435" spans="1:3">
      <c r="A37435" s="250">
        <v>89162</v>
      </c>
      <c r="B37435" s="74" t="s">
        <v>17468</v>
      </c>
      <c r="C37435" s="74" t="s">
        <v>439</v>
      </c>
    </row>
    <row r="37436" spans="1:3">
      <c r="A37436" s="250">
        <v>89163</v>
      </c>
      <c r="B37436" s="74" t="s">
        <v>17581</v>
      </c>
      <c r="C37436" s="74" t="s">
        <v>439</v>
      </c>
    </row>
    <row r="37437" spans="1:3">
      <c r="A37437" s="250">
        <v>89164</v>
      </c>
      <c r="B37437" s="74" t="s">
        <v>17468</v>
      </c>
      <c r="C37437" s="74" t="s">
        <v>439</v>
      </c>
    </row>
    <row r="37438" spans="1:3">
      <c r="A37438" s="250">
        <v>89165</v>
      </c>
      <c r="B37438" s="74" t="s">
        <v>17468</v>
      </c>
      <c r="C37438" s="74" t="s">
        <v>439</v>
      </c>
    </row>
    <row r="37439" spans="1:3">
      <c r="A37439" s="250">
        <v>89166</v>
      </c>
      <c r="B37439" s="74" t="s">
        <v>17468</v>
      </c>
      <c r="C37439" s="74" t="s">
        <v>439</v>
      </c>
    </row>
    <row r="37440" spans="1:3">
      <c r="A37440" s="250">
        <v>89169</v>
      </c>
      <c r="B37440" s="74" t="s">
        <v>17468</v>
      </c>
      <c r="C37440" s="74" t="s">
        <v>439</v>
      </c>
    </row>
    <row r="37441" spans="1:3">
      <c r="A37441" s="250">
        <v>89170</v>
      </c>
      <c r="B37441" s="74" t="s">
        <v>17468</v>
      </c>
      <c r="C37441" s="74" t="s">
        <v>439</v>
      </c>
    </row>
    <row r="37442" spans="1:3">
      <c r="A37442" s="250">
        <v>89173</v>
      </c>
      <c r="B37442" s="74" t="s">
        <v>17468</v>
      </c>
      <c r="C37442" s="74" t="s">
        <v>439</v>
      </c>
    </row>
    <row r="37443" spans="1:3">
      <c r="A37443" s="250">
        <v>89177</v>
      </c>
      <c r="B37443" s="74" t="s">
        <v>17468</v>
      </c>
      <c r="C37443" s="74" t="s">
        <v>439</v>
      </c>
    </row>
    <row r="37444" spans="1:3">
      <c r="A37444" s="250">
        <v>89178</v>
      </c>
      <c r="B37444" s="74" t="s">
        <v>17468</v>
      </c>
      <c r="C37444" s="74" t="s">
        <v>439</v>
      </c>
    </row>
    <row r="37445" spans="1:3">
      <c r="A37445" s="250">
        <v>89179</v>
      </c>
      <c r="B37445" s="74" t="s">
        <v>17468</v>
      </c>
      <c r="C37445" s="74" t="s">
        <v>439</v>
      </c>
    </row>
    <row r="37446" spans="1:3">
      <c r="A37446" s="250">
        <v>89180</v>
      </c>
      <c r="B37446" s="74" t="s">
        <v>17468</v>
      </c>
      <c r="C37446" s="74" t="s">
        <v>439</v>
      </c>
    </row>
    <row r="37447" spans="1:3">
      <c r="A37447" s="250">
        <v>89183</v>
      </c>
      <c r="B37447" s="74" t="s">
        <v>17468</v>
      </c>
      <c r="C37447" s="74" t="s">
        <v>439</v>
      </c>
    </row>
    <row r="37448" spans="1:3">
      <c r="A37448" s="250">
        <v>89185</v>
      </c>
      <c r="B37448" s="74" t="s">
        <v>17468</v>
      </c>
      <c r="C37448" s="74" t="s">
        <v>439</v>
      </c>
    </row>
    <row r="37449" spans="1:3">
      <c r="A37449" s="250">
        <v>89191</v>
      </c>
      <c r="B37449" s="74" t="s">
        <v>17603</v>
      </c>
      <c r="C37449" s="74" t="s">
        <v>439</v>
      </c>
    </row>
    <row r="37450" spans="1:3">
      <c r="A37450" s="250">
        <v>89193</v>
      </c>
      <c r="B37450" s="74" t="s">
        <v>17468</v>
      </c>
      <c r="C37450" s="74" t="s">
        <v>439</v>
      </c>
    </row>
    <row r="37451" spans="1:3">
      <c r="A37451" s="250">
        <v>89195</v>
      </c>
      <c r="B37451" s="74" t="s">
        <v>17468</v>
      </c>
      <c r="C37451" s="74" t="s">
        <v>439</v>
      </c>
    </row>
    <row r="37452" spans="1:3">
      <c r="A37452" s="250">
        <v>89199</v>
      </c>
      <c r="B37452" s="74" t="s">
        <v>17468</v>
      </c>
      <c r="C37452" s="74" t="s">
        <v>439</v>
      </c>
    </row>
    <row r="37453" spans="1:3">
      <c r="A37453" s="250">
        <v>89301</v>
      </c>
      <c r="B37453" s="74" t="s">
        <v>11847</v>
      </c>
      <c r="C37453" s="74" t="s">
        <v>439</v>
      </c>
    </row>
    <row r="37454" spans="1:3">
      <c r="A37454" s="250">
        <v>89310</v>
      </c>
      <c r="B37454" s="74" t="s">
        <v>4587</v>
      </c>
      <c r="C37454" s="74" t="s">
        <v>439</v>
      </c>
    </row>
    <row r="37455" spans="1:3">
      <c r="A37455" s="250">
        <v>89311</v>
      </c>
      <c r="B37455" s="74" t="s">
        <v>7035</v>
      </c>
      <c r="C37455" s="74" t="s">
        <v>439</v>
      </c>
    </row>
    <row r="37456" spans="1:3">
      <c r="A37456" s="250">
        <v>89314</v>
      </c>
      <c r="B37456" s="74" t="s">
        <v>17604</v>
      </c>
      <c r="C37456" s="74" t="s">
        <v>439</v>
      </c>
    </row>
    <row r="37457" spans="1:3">
      <c r="A37457" s="250">
        <v>89315</v>
      </c>
      <c r="B37457" s="74" t="s">
        <v>11847</v>
      </c>
      <c r="C37457" s="74" t="s">
        <v>439</v>
      </c>
    </row>
    <row r="37458" spans="1:3">
      <c r="A37458" s="250">
        <v>89316</v>
      </c>
      <c r="B37458" s="74" t="s">
        <v>11160</v>
      </c>
      <c r="C37458" s="74" t="s">
        <v>439</v>
      </c>
    </row>
    <row r="37459" spans="1:3">
      <c r="A37459" s="250">
        <v>89317</v>
      </c>
      <c r="B37459" s="74" t="s">
        <v>17605</v>
      </c>
      <c r="C37459" s="74" t="s">
        <v>439</v>
      </c>
    </row>
    <row r="37460" spans="1:3">
      <c r="A37460" s="250">
        <v>89318</v>
      </c>
      <c r="B37460" s="74" t="s">
        <v>17606</v>
      </c>
      <c r="C37460" s="74" t="s">
        <v>439</v>
      </c>
    </row>
    <row r="37461" spans="1:3">
      <c r="A37461" s="250">
        <v>89319</v>
      </c>
      <c r="B37461" s="74" t="s">
        <v>9532</v>
      </c>
      <c r="C37461" s="74" t="s">
        <v>439</v>
      </c>
    </row>
    <row r="37462" spans="1:3">
      <c r="A37462" s="250">
        <v>89402</v>
      </c>
      <c r="B37462" s="74" t="s">
        <v>12402</v>
      </c>
      <c r="C37462" s="74" t="s">
        <v>439</v>
      </c>
    </row>
    <row r="37463" spans="1:3">
      <c r="A37463" s="250">
        <v>89403</v>
      </c>
      <c r="B37463" s="74" t="s">
        <v>2564</v>
      </c>
      <c r="C37463" s="74" t="s">
        <v>439</v>
      </c>
    </row>
    <row r="37464" spans="1:3">
      <c r="A37464" s="250">
        <v>89404</v>
      </c>
      <c r="B37464" s="74" t="s">
        <v>17607</v>
      </c>
      <c r="C37464" s="74" t="s">
        <v>439</v>
      </c>
    </row>
    <row r="37465" spans="1:3">
      <c r="A37465" s="250">
        <v>89405</v>
      </c>
      <c r="B37465" s="74" t="s">
        <v>8639</v>
      </c>
      <c r="C37465" s="74" t="s">
        <v>439</v>
      </c>
    </row>
    <row r="37466" spans="1:3">
      <c r="A37466" s="250">
        <v>89406</v>
      </c>
      <c r="B37466" s="74" t="s">
        <v>13292</v>
      </c>
      <c r="C37466" s="74" t="s">
        <v>439</v>
      </c>
    </row>
    <row r="37467" spans="1:3">
      <c r="A37467" s="250">
        <v>89407</v>
      </c>
      <c r="B37467" s="74" t="s">
        <v>13292</v>
      </c>
      <c r="C37467" s="74" t="s">
        <v>439</v>
      </c>
    </row>
    <row r="37468" spans="1:3">
      <c r="A37468" s="250">
        <v>89408</v>
      </c>
      <c r="B37468" s="74" t="s">
        <v>17608</v>
      </c>
      <c r="C37468" s="74" t="s">
        <v>439</v>
      </c>
    </row>
    <row r="37469" spans="1:3">
      <c r="A37469" s="250">
        <v>89409</v>
      </c>
      <c r="B37469" s="74" t="s">
        <v>17609</v>
      </c>
      <c r="C37469" s="74" t="s">
        <v>439</v>
      </c>
    </row>
    <row r="37470" spans="1:3">
      <c r="A37470" s="250">
        <v>89410</v>
      </c>
      <c r="B37470" s="74" t="s">
        <v>17610</v>
      </c>
      <c r="C37470" s="74" t="s">
        <v>439</v>
      </c>
    </row>
    <row r="37471" spans="1:3">
      <c r="A37471" s="250">
        <v>89411</v>
      </c>
      <c r="B37471" s="74" t="s">
        <v>3366</v>
      </c>
      <c r="C37471" s="74" t="s">
        <v>439</v>
      </c>
    </row>
    <row r="37472" spans="1:3">
      <c r="A37472" s="250">
        <v>89412</v>
      </c>
      <c r="B37472" s="74" t="s">
        <v>17611</v>
      </c>
      <c r="C37472" s="74" t="s">
        <v>439</v>
      </c>
    </row>
    <row r="37473" spans="1:3">
      <c r="A37473" s="250">
        <v>89413</v>
      </c>
      <c r="B37473" s="74" t="s">
        <v>17612</v>
      </c>
      <c r="C37473" s="74" t="s">
        <v>439</v>
      </c>
    </row>
    <row r="37474" spans="1:3">
      <c r="A37474" s="250">
        <v>89414</v>
      </c>
      <c r="B37474" s="74" t="s">
        <v>14036</v>
      </c>
      <c r="C37474" s="74" t="s">
        <v>439</v>
      </c>
    </row>
    <row r="37475" spans="1:3">
      <c r="A37475" s="250">
        <v>89415</v>
      </c>
      <c r="B37475" s="74" t="s">
        <v>2215</v>
      </c>
      <c r="C37475" s="74" t="s">
        <v>439</v>
      </c>
    </row>
    <row r="37476" spans="1:3">
      <c r="A37476" s="250">
        <v>89418</v>
      </c>
      <c r="B37476" s="74" t="s">
        <v>17613</v>
      </c>
      <c r="C37476" s="74" t="s">
        <v>439</v>
      </c>
    </row>
    <row r="37477" spans="1:3">
      <c r="A37477" s="250">
        <v>89419</v>
      </c>
      <c r="B37477" s="74" t="s">
        <v>17614</v>
      </c>
      <c r="C37477" s="74" t="s">
        <v>439</v>
      </c>
    </row>
    <row r="37478" spans="1:3">
      <c r="A37478" s="250">
        <v>89420</v>
      </c>
      <c r="B37478" s="74" t="s">
        <v>17615</v>
      </c>
      <c r="C37478" s="74" t="s">
        <v>439</v>
      </c>
    </row>
    <row r="37479" spans="1:3">
      <c r="A37479" s="250">
        <v>89421</v>
      </c>
      <c r="B37479" s="74" t="s">
        <v>17616</v>
      </c>
      <c r="C37479" s="74" t="s">
        <v>439</v>
      </c>
    </row>
    <row r="37480" spans="1:3">
      <c r="A37480" s="250">
        <v>89422</v>
      </c>
      <c r="B37480" s="74" t="s">
        <v>17617</v>
      </c>
      <c r="C37480" s="74" t="s">
        <v>439</v>
      </c>
    </row>
    <row r="37481" spans="1:3">
      <c r="A37481" s="250">
        <v>89423</v>
      </c>
      <c r="B37481" s="74" t="s">
        <v>6811</v>
      </c>
      <c r="C37481" s="74" t="s">
        <v>439</v>
      </c>
    </row>
    <row r="37482" spans="1:3">
      <c r="A37482" s="250">
        <v>89424</v>
      </c>
      <c r="B37482" s="74" t="s">
        <v>16316</v>
      </c>
      <c r="C37482" s="74" t="s">
        <v>439</v>
      </c>
    </row>
    <row r="37483" spans="1:3">
      <c r="A37483" s="250">
        <v>89425</v>
      </c>
      <c r="B37483" s="74" t="s">
        <v>17618</v>
      </c>
      <c r="C37483" s="74" t="s">
        <v>439</v>
      </c>
    </row>
    <row r="37484" spans="1:3">
      <c r="A37484" s="250">
        <v>89426</v>
      </c>
      <c r="B37484" s="74" t="s">
        <v>17186</v>
      </c>
      <c r="C37484" s="74" t="s">
        <v>439</v>
      </c>
    </row>
    <row r="37485" spans="1:3">
      <c r="A37485" s="250">
        <v>89427</v>
      </c>
      <c r="B37485" s="74" t="s">
        <v>17619</v>
      </c>
      <c r="C37485" s="74" t="s">
        <v>439</v>
      </c>
    </row>
    <row r="37486" spans="1:3">
      <c r="A37486" s="250">
        <v>89428</v>
      </c>
      <c r="B37486" s="74" t="s">
        <v>9444</v>
      </c>
      <c r="C37486" s="74" t="s">
        <v>439</v>
      </c>
    </row>
    <row r="37487" spans="1:3">
      <c r="A37487" s="250">
        <v>89429</v>
      </c>
      <c r="B37487" s="74" t="s">
        <v>3822</v>
      </c>
      <c r="C37487" s="74" t="s">
        <v>439</v>
      </c>
    </row>
    <row r="37488" spans="1:3">
      <c r="A37488" s="250">
        <v>89430</v>
      </c>
      <c r="B37488" s="74" t="s">
        <v>17620</v>
      </c>
      <c r="C37488" s="74" t="s">
        <v>439</v>
      </c>
    </row>
    <row r="37489" spans="1:3">
      <c r="A37489" s="250">
        <v>89431</v>
      </c>
      <c r="B37489" s="74" t="s">
        <v>8157</v>
      </c>
      <c r="C37489" s="74" t="s">
        <v>439</v>
      </c>
    </row>
    <row r="37490" spans="1:3">
      <c r="A37490" s="250">
        <v>89432</v>
      </c>
      <c r="B37490" s="74" t="s">
        <v>8157</v>
      </c>
      <c r="C37490" s="74" t="s">
        <v>439</v>
      </c>
    </row>
    <row r="37491" spans="1:3">
      <c r="A37491" s="250">
        <v>89433</v>
      </c>
      <c r="B37491" s="74" t="s">
        <v>16958</v>
      </c>
      <c r="C37491" s="74" t="s">
        <v>439</v>
      </c>
    </row>
    <row r="37492" spans="1:3">
      <c r="A37492" s="250">
        <v>89434</v>
      </c>
      <c r="B37492" s="74" t="s">
        <v>8157</v>
      </c>
      <c r="C37492" s="74" t="s">
        <v>439</v>
      </c>
    </row>
    <row r="37493" spans="1:3">
      <c r="A37493" s="250">
        <v>89435</v>
      </c>
      <c r="B37493" s="74" t="s">
        <v>8157</v>
      </c>
      <c r="C37493" s="74" t="s">
        <v>439</v>
      </c>
    </row>
    <row r="37494" spans="1:3">
      <c r="A37494" s="250">
        <v>89436</v>
      </c>
      <c r="B37494" s="74" t="s">
        <v>8157</v>
      </c>
      <c r="C37494" s="74" t="s">
        <v>439</v>
      </c>
    </row>
    <row r="37495" spans="1:3">
      <c r="A37495" s="250">
        <v>89438</v>
      </c>
      <c r="B37495" s="74" t="s">
        <v>17621</v>
      </c>
      <c r="C37495" s="74" t="s">
        <v>439</v>
      </c>
    </row>
    <row r="37496" spans="1:3">
      <c r="A37496" s="250">
        <v>89439</v>
      </c>
      <c r="B37496" s="74" t="s">
        <v>17622</v>
      </c>
      <c r="C37496" s="74" t="s">
        <v>439</v>
      </c>
    </row>
    <row r="37497" spans="1:3">
      <c r="A37497" s="250">
        <v>89440</v>
      </c>
      <c r="B37497" s="74" t="s">
        <v>13383</v>
      </c>
      <c r="C37497" s="74" t="s">
        <v>439</v>
      </c>
    </row>
    <row r="37498" spans="1:3">
      <c r="A37498" s="250">
        <v>89441</v>
      </c>
      <c r="B37498" s="74" t="s">
        <v>8157</v>
      </c>
      <c r="C37498" s="74" t="s">
        <v>439</v>
      </c>
    </row>
    <row r="37499" spans="1:3">
      <c r="A37499" s="250">
        <v>89442</v>
      </c>
      <c r="B37499" s="74" t="s">
        <v>10351</v>
      </c>
      <c r="C37499" s="74" t="s">
        <v>439</v>
      </c>
    </row>
    <row r="37500" spans="1:3">
      <c r="A37500" s="250">
        <v>89444</v>
      </c>
      <c r="B37500" s="74" t="s">
        <v>8439</v>
      </c>
      <c r="C37500" s="74" t="s">
        <v>439</v>
      </c>
    </row>
    <row r="37501" spans="1:3">
      <c r="A37501" s="250">
        <v>89445</v>
      </c>
      <c r="B37501" s="74" t="s">
        <v>17623</v>
      </c>
      <c r="C37501" s="74" t="s">
        <v>439</v>
      </c>
    </row>
    <row r="37502" spans="1:3">
      <c r="A37502" s="250">
        <v>89446</v>
      </c>
      <c r="B37502" s="74" t="s">
        <v>17623</v>
      </c>
      <c r="C37502" s="74" t="s">
        <v>439</v>
      </c>
    </row>
    <row r="37503" spans="1:3">
      <c r="A37503" s="250">
        <v>89447</v>
      </c>
      <c r="B37503" s="74" t="s">
        <v>17624</v>
      </c>
      <c r="C37503" s="74" t="s">
        <v>439</v>
      </c>
    </row>
    <row r="37504" spans="1:3">
      <c r="A37504" s="250">
        <v>89448</v>
      </c>
      <c r="B37504" s="74" t="s">
        <v>17625</v>
      </c>
      <c r="C37504" s="74" t="s">
        <v>439</v>
      </c>
    </row>
    <row r="37505" spans="1:3">
      <c r="A37505" s="250">
        <v>89449</v>
      </c>
      <c r="B37505" s="74" t="s">
        <v>17626</v>
      </c>
      <c r="C37505" s="74" t="s">
        <v>439</v>
      </c>
    </row>
    <row r="37506" spans="1:3">
      <c r="A37506" s="250">
        <v>89450</v>
      </c>
      <c r="B37506" s="74" t="s">
        <v>17627</v>
      </c>
      <c r="C37506" s="74" t="s">
        <v>439</v>
      </c>
    </row>
    <row r="37507" spans="1:3">
      <c r="A37507" s="250">
        <v>89451</v>
      </c>
      <c r="B37507" s="74" t="s">
        <v>17627</v>
      </c>
      <c r="C37507" s="74" t="s">
        <v>439</v>
      </c>
    </row>
    <row r="37508" spans="1:3">
      <c r="A37508" s="250">
        <v>89452</v>
      </c>
      <c r="B37508" s="74" t="s">
        <v>17627</v>
      </c>
      <c r="C37508" s="74" t="s">
        <v>439</v>
      </c>
    </row>
    <row r="37509" spans="1:3">
      <c r="A37509" s="250">
        <v>89460</v>
      </c>
      <c r="B37509" s="74" t="s">
        <v>17610</v>
      </c>
      <c r="C37509" s="74" t="s">
        <v>439</v>
      </c>
    </row>
    <row r="37510" spans="1:3">
      <c r="A37510" s="250">
        <v>89496</v>
      </c>
      <c r="B37510" s="74" t="s">
        <v>13292</v>
      </c>
      <c r="C37510" s="74" t="s">
        <v>439</v>
      </c>
    </row>
    <row r="37511" spans="1:3">
      <c r="A37511" s="250">
        <v>89501</v>
      </c>
      <c r="B37511" s="74" t="s">
        <v>4490</v>
      </c>
      <c r="C37511" s="74" t="s">
        <v>439</v>
      </c>
    </row>
    <row r="37512" spans="1:3">
      <c r="A37512" s="250">
        <v>89502</v>
      </c>
      <c r="B37512" s="74" t="s">
        <v>4490</v>
      </c>
      <c r="C37512" s="74" t="s">
        <v>439</v>
      </c>
    </row>
    <row r="37513" spans="1:3">
      <c r="A37513" s="250">
        <v>89503</v>
      </c>
      <c r="B37513" s="74" t="s">
        <v>4490</v>
      </c>
      <c r="C37513" s="74" t="s">
        <v>439</v>
      </c>
    </row>
    <row r="37514" spans="1:3">
      <c r="A37514" s="250">
        <v>89504</v>
      </c>
      <c r="B37514" s="74" t="s">
        <v>4490</v>
      </c>
      <c r="C37514" s="74" t="s">
        <v>439</v>
      </c>
    </row>
    <row r="37515" spans="1:3">
      <c r="A37515" s="250">
        <v>89505</v>
      </c>
      <c r="B37515" s="74" t="s">
        <v>4490</v>
      </c>
      <c r="C37515" s="74" t="s">
        <v>439</v>
      </c>
    </row>
    <row r="37516" spans="1:3">
      <c r="A37516" s="250">
        <v>89506</v>
      </c>
      <c r="B37516" s="74" t="s">
        <v>4490</v>
      </c>
      <c r="C37516" s="74" t="s">
        <v>439</v>
      </c>
    </row>
    <row r="37517" spans="1:3">
      <c r="A37517" s="250">
        <v>89507</v>
      </c>
      <c r="B37517" s="74" t="s">
        <v>4490</v>
      </c>
      <c r="C37517" s="74" t="s">
        <v>439</v>
      </c>
    </row>
    <row r="37518" spans="1:3">
      <c r="A37518" s="250">
        <v>89508</v>
      </c>
      <c r="B37518" s="74" t="s">
        <v>4490</v>
      </c>
      <c r="C37518" s="74" t="s">
        <v>439</v>
      </c>
    </row>
    <row r="37519" spans="1:3">
      <c r="A37519" s="250">
        <v>89509</v>
      </c>
      <c r="B37519" s="74" t="s">
        <v>4490</v>
      </c>
      <c r="C37519" s="74" t="s">
        <v>439</v>
      </c>
    </row>
    <row r="37520" spans="1:3">
      <c r="A37520" s="250">
        <v>89510</v>
      </c>
      <c r="B37520" s="74" t="s">
        <v>4490</v>
      </c>
      <c r="C37520" s="74" t="s">
        <v>439</v>
      </c>
    </row>
    <row r="37521" spans="1:3">
      <c r="A37521" s="250">
        <v>89511</v>
      </c>
      <c r="B37521" s="74" t="s">
        <v>4490</v>
      </c>
      <c r="C37521" s="74" t="s">
        <v>439</v>
      </c>
    </row>
    <row r="37522" spans="1:3">
      <c r="A37522" s="250">
        <v>89512</v>
      </c>
      <c r="B37522" s="74" t="s">
        <v>4490</v>
      </c>
      <c r="C37522" s="74" t="s">
        <v>439</v>
      </c>
    </row>
    <row r="37523" spans="1:3">
      <c r="A37523" s="250">
        <v>89513</v>
      </c>
      <c r="B37523" s="74" t="s">
        <v>4490</v>
      </c>
      <c r="C37523" s="74" t="s">
        <v>439</v>
      </c>
    </row>
    <row r="37524" spans="1:3">
      <c r="A37524" s="250">
        <v>89515</v>
      </c>
      <c r="B37524" s="74" t="s">
        <v>4490</v>
      </c>
      <c r="C37524" s="74" t="s">
        <v>439</v>
      </c>
    </row>
    <row r="37525" spans="1:3">
      <c r="A37525" s="250">
        <v>89519</v>
      </c>
      <c r="B37525" s="74" t="s">
        <v>4490</v>
      </c>
      <c r="C37525" s="74" t="s">
        <v>439</v>
      </c>
    </row>
    <row r="37526" spans="1:3">
      <c r="A37526" s="250">
        <v>89520</v>
      </c>
      <c r="B37526" s="74" t="s">
        <v>4490</v>
      </c>
      <c r="C37526" s="74" t="s">
        <v>439</v>
      </c>
    </row>
    <row r="37527" spans="1:3">
      <c r="A37527" s="250">
        <v>89521</v>
      </c>
      <c r="B37527" s="74" t="s">
        <v>4490</v>
      </c>
      <c r="C37527" s="74" t="s">
        <v>439</v>
      </c>
    </row>
    <row r="37528" spans="1:3">
      <c r="A37528" s="250">
        <v>89523</v>
      </c>
      <c r="B37528" s="74" t="s">
        <v>4490</v>
      </c>
      <c r="C37528" s="74" t="s">
        <v>439</v>
      </c>
    </row>
    <row r="37529" spans="1:3">
      <c r="A37529" s="250">
        <v>89533</v>
      </c>
      <c r="B37529" s="74" t="s">
        <v>4490</v>
      </c>
      <c r="C37529" s="74" t="s">
        <v>439</v>
      </c>
    </row>
    <row r="37530" spans="1:3">
      <c r="A37530" s="250">
        <v>89555</v>
      </c>
      <c r="B37530" s="74" t="s">
        <v>4490</v>
      </c>
      <c r="C37530" s="74" t="s">
        <v>439</v>
      </c>
    </row>
    <row r="37531" spans="1:3">
      <c r="A37531" s="250">
        <v>89557</v>
      </c>
      <c r="B37531" s="74" t="s">
        <v>4490</v>
      </c>
      <c r="C37531" s="74" t="s">
        <v>439</v>
      </c>
    </row>
    <row r="37532" spans="1:3">
      <c r="A37532" s="250">
        <v>89570</v>
      </c>
      <c r="B37532" s="74" t="s">
        <v>4490</v>
      </c>
      <c r="C37532" s="74" t="s">
        <v>439</v>
      </c>
    </row>
    <row r="37533" spans="1:3">
      <c r="A37533" s="250">
        <v>89595</v>
      </c>
      <c r="B37533" s="74" t="s">
        <v>4490</v>
      </c>
      <c r="C37533" s="74" t="s">
        <v>439</v>
      </c>
    </row>
    <row r="37534" spans="1:3">
      <c r="A37534" s="250">
        <v>89599</v>
      </c>
      <c r="B37534" s="74" t="s">
        <v>4490</v>
      </c>
      <c r="C37534" s="74" t="s">
        <v>439</v>
      </c>
    </row>
    <row r="37535" spans="1:3">
      <c r="A37535" s="250">
        <v>89701</v>
      </c>
      <c r="B37535" s="74" t="s">
        <v>11149</v>
      </c>
      <c r="C37535" s="74" t="s">
        <v>439</v>
      </c>
    </row>
    <row r="37536" spans="1:3">
      <c r="A37536" s="250">
        <v>89702</v>
      </c>
      <c r="B37536" s="74" t="s">
        <v>11149</v>
      </c>
      <c r="C37536" s="74" t="s">
        <v>439</v>
      </c>
    </row>
    <row r="37537" spans="1:3">
      <c r="A37537" s="250">
        <v>89703</v>
      </c>
      <c r="B37537" s="74" t="s">
        <v>11149</v>
      </c>
      <c r="C37537" s="74" t="s">
        <v>439</v>
      </c>
    </row>
    <row r="37538" spans="1:3">
      <c r="A37538" s="250">
        <v>89704</v>
      </c>
      <c r="B37538" s="74" t="s">
        <v>17628</v>
      </c>
      <c r="C37538" s="74" t="s">
        <v>439</v>
      </c>
    </row>
    <row r="37539" spans="1:3">
      <c r="A37539" s="250">
        <v>89705</v>
      </c>
      <c r="B37539" s="74" t="s">
        <v>11149</v>
      </c>
      <c r="C37539" s="74" t="s">
        <v>439</v>
      </c>
    </row>
    <row r="37540" spans="1:3">
      <c r="A37540" s="250">
        <v>89706</v>
      </c>
      <c r="B37540" s="74" t="s">
        <v>11149</v>
      </c>
      <c r="C37540" s="74" t="s">
        <v>439</v>
      </c>
    </row>
    <row r="37541" spans="1:3">
      <c r="A37541" s="250">
        <v>89711</v>
      </c>
      <c r="B37541" s="74" t="s">
        <v>11149</v>
      </c>
      <c r="C37541" s="74" t="s">
        <v>439</v>
      </c>
    </row>
    <row r="37542" spans="1:3">
      <c r="A37542" s="250">
        <v>89712</v>
      </c>
      <c r="B37542" s="74" t="s">
        <v>11149</v>
      </c>
      <c r="C37542" s="74" t="s">
        <v>439</v>
      </c>
    </row>
    <row r="37543" spans="1:3">
      <c r="A37543" s="250">
        <v>89713</v>
      </c>
      <c r="B37543" s="74" t="s">
        <v>11149</v>
      </c>
      <c r="C37543" s="74" t="s">
        <v>439</v>
      </c>
    </row>
    <row r="37544" spans="1:3">
      <c r="A37544" s="250">
        <v>89714</v>
      </c>
      <c r="B37544" s="74" t="s">
        <v>11149</v>
      </c>
      <c r="C37544" s="74" t="s">
        <v>439</v>
      </c>
    </row>
    <row r="37545" spans="1:3">
      <c r="A37545" s="250">
        <v>89721</v>
      </c>
      <c r="B37545" s="74" t="s">
        <v>11149</v>
      </c>
      <c r="C37545" s="74" t="s">
        <v>439</v>
      </c>
    </row>
    <row r="37546" spans="1:3">
      <c r="A37546" s="250">
        <v>89801</v>
      </c>
      <c r="B37546" s="74" t="s">
        <v>7815</v>
      </c>
      <c r="C37546" s="74" t="s">
        <v>439</v>
      </c>
    </row>
    <row r="37547" spans="1:3">
      <c r="A37547" s="250">
        <v>89802</v>
      </c>
      <c r="B37547" s="74" t="s">
        <v>7815</v>
      </c>
      <c r="C37547" s="74" t="s">
        <v>439</v>
      </c>
    </row>
    <row r="37548" spans="1:3">
      <c r="A37548" s="250">
        <v>89803</v>
      </c>
      <c r="B37548" s="74" t="s">
        <v>7815</v>
      </c>
      <c r="C37548" s="74" t="s">
        <v>439</v>
      </c>
    </row>
    <row r="37549" spans="1:3">
      <c r="A37549" s="250">
        <v>89815</v>
      </c>
      <c r="B37549" s="74" t="s">
        <v>4525</v>
      </c>
      <c r="C37549" s="74" t="s">
        <v>439</v>
      </c>
    </row>
    <row r="37550" spans="1:3">
      <c r="A37550" s="250">
        <v>89820</v>
      </c>
      <c r="B37550" s="74" t="s">
        <v>17629</v>
      </c>
      <c r="C37550" s="74" t="s">
        <v>439</v>
      </c>
    </row>
    <row r="37551" spans="1:3">
      <c r="A37551" s="250">
        <v>89821</v>
      </c>
      <c r="B37551" s="74" t="s">
        <v>17630</v>
      </c>
      <c r="C37551" s="74" t="s">
        <v>439</v>
      </c>
    </row>
    <row r="37552" spans="1:3">
      <c r="A37552" s="250">
        <v>89822</v>
      </c>
      <c r="B37552" s="74" t="s">
        <v>17631</v>
      </c>
      <c r="C37552" s="74" t="s">
        <v>439</v>
      </c>
    </row>
    <row r="37553" spans="1:3">
      <c r="A37553" s="250">
        <v>89823</v>
      </c>
      <c r="B37553" s="74" t="s">
        <v>17632</v>
      </c>
      <c r="C37553" s="74" t="s">
        <v>439</v>
      </c>
    </row>
    <row r="37554" spans="1:3">
      <c r="A37554" s="250">
        <v>89824</v>
      </c>
      <c r="B37554" s="74" t="s">
        <v>17633</v>
      </c>
      <c r="C37554" s="74" t="s">
        <v>439</v>
      </c>
    </row>
    <row r="37555" spans="1:3">
      <c r="A37555" s="250">
        <v>89825</v>
      </c>
      <c r="B37555" s="74" t="s">
        <v>17634</v>
      </c>
      <c r="C37555" s="74" t="s">
        <v>439</v>
      </c>
    </row>
    <row r="37556" spans="1:3">
      <c r="A37556" s="250">
        <v>89826</v>
      </c>
      <c r="B37556" s="74" t="s">
        <v>17635</v>
      </c>
      <c r="C37556" s="74" t="s">
        <v>439</v>
      </c>
    </row>
    <row r="37557" spans="1:3">
      <c r="A37557" s="250">
        <v>89828</v>
      </c>
      <c r="B37557" s="74" t="s">
        <v>17636</v>
      </c>
      <c r="C37557" s="74" t="s">
        <v>439</v>
      </c>
    </row>
    <row r="37558" spans="1:3">
      <c r="A37558" s="250">
        <v>89830</v>
      </c>
      <c r="B37558" s="74" t="s">
        <v>12068</v>
      </c>
      <c r="C37558" s="74" t="s">
        <v>439</v>
      </c>
    </row>
    <row r="37559" spans="1:3">
      <c r="A37559" s="250">
        <v>89831</v>
      </c>
      <c r="B37559" s="74" t="s">
        <v>7989</v>
      </c>
      <c r="C37559" s="74" t="s">
        <v>439</v>
      </c>
    </row>
    <row r="37560" spans="1:3">
      <c r="A37560" s="250">
        <v>89832</v>
      </c>
      <c r="B37560" s="74" t="s">
        <v>17637</v>
      </c>
      <c r="C37560" s="74" t="s">
        <v>439</v>
      </c>
    </row>
    <row r="37561" spans="1:3">
      <c r="A37561" s="250">
        <v>89833</v>
      </c>
      <c r="B37561" s="74" t="s">
        <v>17638</v>
      </c>
      <c r="C37561" s="74" t="s">
        <v>439</v>
      </c>
    </row>
    <row r="37562" spans="1:3">
      <c r="A37562" s="250">
        <v>89834</v>
      </c>
      <c r="B37562" s="74" t="s">
        <v>5024</v>
      </c>
      <c r="C37562" s="74" t="s">
        <v>439</v>
      </c>
    </row>
    <row r="37563" spans="1:3">
      <c r="A37563" s="250">
        <v>89835</v>
      </c>
      <c r="B37563" s="74" t="s">
        <v>1421</v>
      </c>
      <c r="C37563" s="74" t="s">
        <v>439</v>
      </c>
    </row>
    <row r="37564" spans="1:3">
      <c r="A37564" s="250">
        <v>89883</v>
      </c>
      <c r="B37564" s="74" t="s">
        <v>17639</v>
      </c>
      <c r="C37564" s="74" t="s">
        <v>439</v>
      </c>
    </row>
    <row r="37565" spans="1:3">
      <c r="A37565" s="250">
        <v>90001</v>
      </c>
      <c r="B37565" s="74" t="s">
        <v>17640</v>
      </c>
      <c r="C37565" s="74" t="s">
        <v>416</v>
      </c>
    </row>
    <row r="37566" spans="1:3">
      <c r="A37566" s="250">
        <v>90002</v>
      </c>
      <c r="B37566" s="74" t="s">
        <v>17640</v>
      </c>
      <c r="C37566" s="74" t="s">
        <v>416</v>
      </c>
    </row>
    <row r="37567" spans="1:3">
      <c r="A37567" s="250">
        <v>90003</v>
      </c>
      <c r="B37567" s="74" t="s">
        <v>17640</v>
      </c>
      <c r="C37567" s="74" t="s">
        <v>416</v>
      </c>
    </row>
    <row r="37568" spans="1:3">
      <c r="A37568" s="250">
        <v>90004</v>
      </c>
      <c r="B37568" s="74" t="s">
        <v>17640</v>
      </c>
      <c r="C37568" s="74" t="s">
        <v>416</v>
      </c>
    </row>
    <row r="37569" spans="1:3">
      <c r="A37569" s="250">
        <v>90005</v>
      </c>
      <c r="B37569" s="74" t="s">
        <v>17640</v>
      </c>
      <c r="C37569" s="74" t="s">
        <v>416</v>
      </c>
    </row>
    <row r="37570" spans="1:3">
      <c r="A37570" s="250">
        <v>90006</v>
      </c>
      <c r="B37570" s="74" t="s">
        <v>17640</v>
      </c>
      <c r="C37570" s="74" t="s">
        <v>416</v>
      </c>
    </row>
    <row r="37571" spans="1:3">
      <c r="A37571" s="250">
        <v>90007</v>
      </c>
      <c r="B37571" s="74" t="s">
        <v>17640</v>
      </c>
      <c r="C37571" s="74" t="s">
        <v>416</v>
      </c>
    </row>
    <row r="37572" spans="1:3">
      <c r="A37572" s="250">
        <v>90008</v>
      </c>
      <c r="B37572" s="74" t="s">
        <v>17640</v>
      </c>
      <c r="C37572" s="74" t="s">
        <v>416</v>
      </c>
    </row>
    <row r="37573" spans="1:3">
      <c r="A37573" s="250">
        <v>90009</v>
      </c>
      <c r="B37573" s="74" t="s">
        <v>17640</v>
      </c>
      <c r="C37573" s="74" t="s">
        <v>416</v>
      </c>
    </row>
    <row r="37574" spans="1:3">
      <c r="A37574" s="250">
        <v>90010</v>
      </c>
      <c r="B37574" s="74" t="s">
        <v>17640</v>
      </c>
      <c r="C37574" s="74" t="s">
        <v>416</v>
      </c>
    </row>
    <row r="37575" spans="1:3">
      <c r="A37575" s="250">
        <v>90011</v>
      </c>
      <c r="B37575" s="74" t="s">
        <v>17640</v>
      </c>
      <c r="C37575" s="74" t="s">
        <v>416</v>
      </c>
    </row>
    <row r="37576" spans="1:3">
      <c r="A37576" s="250">
        <v>90012</v>
      </c>
      <c r="B37576" s="74" t="s">
        <v>17640</v>
      </c>
      <c r="C37576" s="74" t="s">
        <v>416</v>
      </c>
    </row>
    <row r="37577" spans="1:3">
      <c r="A37577" s="250">
        <v>90013</v>
      </c>
      <c r="B37577" s="74" t="s">
        <v>17640</v>
      </c>
      <c r="C37577" s="74" t="s">
        <v>416</v>
      </c>
    </row>
    <row r="37578" spans="1:3">
      <c r="A37578" s="250">
        <v>90014</v>
      </c>
      <c r="B37578" s="74" t="s">
        <v>17640</v>
      </c>
      <c r="C37578" s="74" t="s">
        <v>416</v>
      </c>
    </row>
    <row r="37579" spans="1:3">
      <c r="A37579" s="250">
        <v>90015</v>
      </c>
      <c r="B37579" s="74" t="s">
        <v>17640</v>
      </c>
      <c r="C37579" s="74" t="s">
        <v>416</v>
      </c>
    </row>
    <row r="37580" spans="1:3">
      <c r="A37580" s="250">
        <v>90016</v>
      </c>
      <c r="B37580" s="74" t="s">
        <v>17640</v>
      </c>
      <c r="C37580" s="74" t="s">
        <v>416</v>
      </c>
    </row>
    <row r="37581" spans="1:3">
      <c r="A37581" s="250">
        <v>90017</v>
      </c>
      <c r="B37581" s="74" t="s">
        <v>17640</v>
      </c>
      <c r="C37581" s="74" t="s">
        <v>416</v>
      </c>
    </row>
    <row r="37582" spans="1:3">
      <c r="A37582" s="250">
        <v>90018</v>
      </c>
      <c r="B37582" s="74" t="s">
        <v>17640</v>
      </c>
      <c r="C37582" s="74" t="s">
        <v>416</v>
      </c>
    </row>
    <row r="37583" spans="1:3">
      <c r="A37583" s="250">
        <v>90019</v>
      </c>
      <c r="B37583" s="74" t="s">
        <v>17640</v>
      </c>
      <c r="C37583" s="74" t="s">
        <v>416</v>
      </c>
    </row>
    <row r="37584" spans="1:3">
      <c r="A37584" s="250">
        <v>90020</v>
      </c>
      <c r="B37584" s="74" t="s">
        <v>17640</v>
      </c>
      <c r="C37584" s="74" t="s">
        <v>416</v>
      </c>
    </row>
    <row r="37585" spans="1:3">
      <c r="A37585" s="250">
        <v>90021</v>
      </c>
      <c r="B37585" s="74" t="s">
        <v>17640</v>
      </c>
      <c r="C37585" s="74" t="s">
        <v>416</v>
      </c>
    </row>
    <row r="37586" spans="1:3">
      <c r="A37586" s="250">
        <v>90022</v>
      </c>
      <c r="B37586" s="74" t="s">
        <v>17640</v>
      </c>
      <c r="C37586" s="74" t="s">
        <v>416</v>
      </c>
    </row>
    <row r="37587" spans="1:3">
      <c r="A37587" s="250">
        <v>90023</v>
      </c>
      <c r="B37587" s="74" t="s">
        <v>17640</v>
      </c>
      <c r="C37587" s="74" t="s">
        <v>416</v>
      </c>
    </row>
    <row r="37588" spans="1:3">
      <c r="A37588" s="250">
        <v>90024</v>
      </c>
      <c r="B37588" s="74" t="s">
        <v>17640</v>
      </c>
      <c r="C37588" s="74" t="s">
        <v>416</v>
      </c>
    </row>
    <row r="37589" spans="1:3">
      <c r="A37589" s="250">
        <v>90025</v>
      </c>
      <c r="B37589" s="74" t="s">
        <v>17640</v>
      </c>
      <c r="C37589" s="74" t="s">
        <v>416</v>
      </c>
    </row>
    <row r="37590" spans="1:3">
      <c r="A37590" s="250">
        <v>90026</v>
      </c>
      <c r="B37590" s="74" t="s">
        <v>17640</v>
      </c>
      <c r="C37590" s="74" t="s">
        <v>416</v>
      </c>
    </row>
    <row r="37591" spans="1:3">
      <c r="A37591" s="250">
        <v>90027</v>
      </c>
      <c r="B37591" s="74" t="s">
        <v>17640</v>
      </c>
      <c r="C37591" s="74" t="s">
        <v>416</v>
      </c>
    </row>
    <row r="37592" spans="1:3">
      <c r="A37592" s="250">
        <v>90028</v>
      </c>
      <c r="B37592" s="74" t="s">
        <v>17640</v>
      </c>
      <c r="C37592" s="74" t="s">
        <v>416</v>
      </c>
    </row>
    <row r="37593" spans="1:3">
      <c r="A37593" s="250">
        <v>90029</v>
      </c>
      <c r="B37593" s="74" t="s">
        <v>17640</v>
      </c>
      <c r="C37593" s="74" t="s">
        <v>416</v>
      </c>
    </row>
    <row r="37594" spans="1:3">
      <c r="A37594" s="250">
        <v>90030</v>
      </c>
      <c r="B37594" s="74" t="s">
        <v>17640</v>
      </c>
      <c r="C37594" s="74" t="s">
        <v>416</v>
      </c>
    </row>
    <row r="37595" spans="1:3">
      <c r="A37595" s="250">
        <v>90031</v>
      </c>
      <c r="B37595" s="74" t="s">
        <v>17640</v>
      </c>
      <c r="C37595" s="74" t="s">
        <v>416</v>
      </c>
    </row>
    <row r="37596" spans="1:3">
      <c r="A37596" s="250">
        <v>90032</v>
      </c>
      <c r="B37596" s="74" t="s">
        <v>17640</v>
      </c>
      <c r="C37596" s="74" t="s">
        <v>416</v>
      </c>
    </row>
    <row r="37597" spans="1:3">
      <c r="A37597" s="250">
        <v>90033</v>
      </c>
      <c r="B37597" s="74" t="s">
        <v>17640</v>
      </c>
      <c r="C37597" s="74" t="s">
        <v>416</v>
      </c>
    </row>
    <row r="37598" spans="1:3">
      <c r="A37598" s="250">
        <v>90034</v>
      </c>
      <c r="B37598" s="74" t="s">
        <v>17640</v>
      </c>
      <c r="C37598" s="74" t="s">
        <v>416</v>
      </c>
    </row>
    <row r="37599" spans="1:3">
      <c r="A37599" s="250">
        <v>90035</v>
      </c>
      <c r="B37599" s="74" t="s">
        <v>17640</v>
      </c>
      <c r="C37599" s="74" t="s">
        <v>416</v>
      </c>
    </row>
    <row r="37600" spans="1:3">
      <c r="A37600" s="250">
        <v>90036</v>
      </c>
      <c r="B37600" s="74" t="s">
        <v>17640</v>
      </c>
      <c r="C37600" s="74" t="s">
        <v>416</v>
      </c>
    </row>
    <row r="37601" spans="1:3">
      <c r="A37601" s="250">
        <v>90037</v>
      </c>
      <c r="B37601" s="74" t="s">
        <v>17640</v>
      </c>
      <c r="C37601" s="74" t="s">
        <v>416</v>
      </c>
    </row>
    <row r="37602" spans="1:3">
      <c r="A37602" s="250">
        <v>90038</v>
      </c>
      <c r="B37602" s="74" t="s">
        <v>17640</v>
      </c>
      <c r="C37602" s="74" t="s">
        <v>416</v>
      </c>
    </row>
    <row r="37603" spans="1:3">
      <c r="A37603" s="250">
        <v>90039</v>
      </c>
      <c r="B37603" s="74" t="s">
        <v>17640</v>
      </c>
      <c r="C37603" s="74" t="s">
        <v>416</v>
      </c>
    </row>
    <row r="37604" spans="1:3">
      <c r="A37604" s="250">
        <v>90040</v>
      </c>
      <c r="B37604" s="74" t="s">
        <v>17640</v>
      </c>
      <c r="C37604" s="74" t="s">
        <v>416</v>
      </c>
    </row>
    <row r="37605" spans="1:3">
      <c r="A37605" s="250">
        <v>90041</v>
      </c>
      <c r="B37605" s="74" t="s">
        <v>17640</v>
      </c>
      <c r="C37605" s="74" t="s">
        <v>416</v>
      </c>
    </row>
    <row r="37606" spans="1:3">
      <c r="A37606" s="250">
        <v>90042</v>
      </c>
      <c r="B37606" s="74" t="s">
        <v>17640</v>
      </c>
      <c r="C37606" s="74" t="s">
        <v>416</v>
      </c>
    </row>
    <row r="37607" spans="1:3">
      <c r="A37607" s="250">
        <v>90043</v>
      </c>
      <c r="B37607" s="74" t="s">
        <v>17640</v>
      </c>
      <c r="C37607" s="74" t="s">
        <v>416</v>
      </c>
    </row>
    <row r="37608" spans="1:3">
      <c r="A37608" s="250">
        <v>90044</v>
      </c>
      <c r="B37608" s="74" t="s">
        <v>17640</v>
      </c>
      <c r="C37608" s="74" t="s">
        <v>416</v>
      </c>
    </row>
    <row r="37609" spans="1:3">
      <c r="A37609" s="250">
        <v>90045</v>
      </c>
      <c r="B37609" s="74" t="s">
        <v>17640</v>
      </c>
      <c r="C37609" s="74" t="s">
        <v>416</v>
      </c>
    </row>
    <row r="37610" spans="1:3">
      <c r="A37610" s="250">
        <v>90046</v>
      </c>
      <c r="B37610" s="74" t="s">
        <v>17640</v>
      </c>
      <c r="C37610" s="74" t="s">
        <v>416</v>
      </c>
    </row>
    <row r="37611" spans="1:3">
      <c r="A37611" s="250">
        <v>90047</v>
      </c>
      <c r="B37611" s="74" t="s">
        <v>17640</v>
      </c>
      <c r="C37611" s="74" t="s">
        <v>416</v>
      </c>
    </row>
    <row r="37612" spans="1:3">
      <c r="A37612" s="250">
        <v>90048</v>
      </c>
      <c r="B37612" s="74" t="s">
        <v>17640</v>
      </c>
      <c r="C37612" s="74" t="s">
        <v>416</v>
      </c>
    </row>
    <row r="37613" spans="1:3">
      <c r="A37613" s="250">
        <v>90049</v>
      </c>
      <c r="B37613" s="74" t="s">
        <v>17640</v>
      </c>
      <c r="C37613" s="74" t="s">
        <v>416</v>
      </c>
    </row>
    <row r="37614" spans="1:3">
      <c r="A37614" s="250">
        <v>90050</v>
      </c>
      <c r="B37614" s="74" t="s">
        <v>17640</v>
      </c>
      <c r="C37614" s="74" t="s">
        <v>416</v>
      </c>
    </row>
    <row r="37615" spans="1:3">
      <c r="A37615" s="250">
        <v>90051</v>
      </c>
      <c r="B37615" s="74" t="s">
        <v>17640</v>
      </c>
      <c r="C37615" s="74" t="s">
        <v>416</v>
      </c>
    </row>
    <row r="37616" spans="1:3">
      <c r="A37616" s="250">
        <v>90052</v>
      </c>
      <c r="B37616" s="74" t="s">
        <v>17640</v>
      </c>
      <c r="C37616" s="74" t="s">
        <v>416</v>
      </c>
    </row>
    <row r="37617" spans="1:3">
      <c r="A37617" s="250">
        <v>90053</v>
      </c>
      <c r="B37617" s="74" t="s">
        <v>17640</v>
      </c>
      <c r="C37617" s="74" t="s">
        <v>416</v>
      </c>
    </row>
    <row r="37618" spans="1:3">
      <c r="A37618" s="250">
        <v>90054</v>
      </c>
      <c r="B37618" s="74" t="s">
        <v>17640</v>
      </c>
      <c r="C37618" s="74" t="s">
        <v>416</v>
      </c>
    </row>
    <row r="37619" spans="1:3">
      <c r="A37619" s="250">
        <v>90055</v>
      </c>
      <c r="B37619" s="74" t="s">
        <v>17640</v>
      </c>
      <c r="C37619" s="74" t="s">
        <v>416</v>
      </c>
    </row>
    <row r="37620" spans="1:3">
      <c r="A37620" s="250">
        <v>90056</v>
      </c>
      <c r="B37620" s="74" t="s">
        <v>17640</v>
      </c>
      <c r="C37620" s="74" t="s">
        <v>416</v>
      </c>
    </row>
    <row r="37621" spans="1:3">
      <c r="A37621" s="250">
        <v>90057</v>
      </c>
      <c r="B37621" s="74" t="s">
        <v>17640</v>
      </c>
      <c r="C37621" s="74" t="s">
        <v>416</v>
      </c>
    </row>
    <row r="37622" spans="1:3">
      <c r="A37622" s="250">
        <v>90058</v>
      </c>
      <c r="B37622" s="74" t="s">
        <v>17640</v>
      </c>
      <c r="C37622" s="74" t="s">
        <v>416</v>
      </c>
    </row>
    <row r="37623" spans="1:3">
      <c r="A37623" s="250">
        <v>90059</v>
      </c>
      <c r="B37623" s="74" t="s">
        <v>17640</v>
      </c>
      <c r="C37623" s="74" t="s">
        <v>416</v>
      </c>
    </row>
    <row r="37624" spans="1:3">
      <c r="A37624" s="250">
        <v>90060</v>
      </c>
      <c r="B37624" s="74" t="s">
        <v>17640</v>
      </c>
      <c r="C37624" s="74" t="s">
        <v>416</v>
      </c>
    </row>
    <row r="37625" spans="1:3">
      <c r="A37625" s="250">
        <v>90061</v>
      </c>
      <c r="B37625" s="74" t="s">
        <v>17640</v>
      </c>
      <c r="C37625" s="74" t="s">
        <v>416</v>
      </c>
    </row>
    <row r="37626" spans="1:3">
      <c r="A37626" s="250">
        <v>90062</v>
      </c>
      <c r="B37626" s="74" t="s">
        <v>17640</v>
      </c>
      <c r="C37626" s="74" t="s">
        <v>416</v>
      </c>
    </row>
    <row r="37627" spans="1:3">
      <c r="A37627" s="250">
        <v>90063</v>
      </c>
      <c r="B37627" s="74" t="s">
        <v>17640</v>
      </c>
      <c r="C37627" s="74" t="s">
        <v>416</v>
      </c>
    </row>
    <row r="37628" spans="1:3">
      <c r="A37628" s="250">
        <v>90064</v>
      </c>
      <c r="B37628" s="74" t="s">
        <v>17640</v>
      </c>
      <c r="C37628" s="74" t="s">
        <v>416</v>
      </c>
    </row>
    <row r="37629" spans="1:3">
      <c r="A37629" s="250">
        <v>90065</v>
      </c>
      <c r="B37629" s="74" t="s">
        <v>17640</v>
      </c>
      <c r="C37629" s="74" t="s">
        <v>416</v>
      </c>
    </row>
    <row r="37630" spans="1:3">
      <c r="A37630" s="250">
        <v>90066</v>
      </c>
      <c r="B37630" s="74" t="s">
        <v>17640</v>
      </c>
      <c r="C37630" s="74" t="s">
        <v>416</v>
      </c>
    </row>
    <row r="37631" spans="1:3">
      <c r="A37631" s="250">
        <v>90067</v>
      </c>
      <c r="B37631" s="74" t="s">
        <v>17640</v>
      </c>
      <c r="C37631" s="74" t="s">
        <v>416</v>
      </c>
    </row>
    <row r="37632" spans="1:3">
      <c r="A37632" s="250">
        <v>90068</v>
      </c>
      <c r="B37632" s="74" t="s">
        <v>17640</v>
      </c>
      <c r="C37632" s="74" t="s">
        <v>416</v>
      </c>
    </row>
    <row r="37633" spans="1:3">
      <c r="A37633" s="250">
        <v>90069</v>
      </c>
      <c r="B37633" s="74" t="s">
        <v>17641</v>
      </c>
      <c r="C37633" s="74" t="s">
        <v>416</v>
      </c>
    </row>
    <row r="37634" spans="1:3">
      <c r="A37634" s="250">
        <v>90070</v>
      </c>
      <c r="B37634" s="74" t="s">
        <v>17640</v>
      </c>
      <c r="C37634" s="74" t="s">
        <v>416</v>
      </c>
    </row>
    <row r="37635" spans="1:3">
      <c r="A37635" s="250">
        <v>90071</v>
      </c>
      <c r="B37635" s="74" t="s">
        <v>17640</v>
      </c>
      <c r="C37635" s="74" t="s">
        <v>416</v>
      </c>
    </row>
    <row r="37636" spans="1:3">
      <c r="A37636" s="250">
        <v>90072</v>
      </c>
      <c r="B37636" s="74" t="s">
        <v>17640</v>
      </c>
      <c r="C37636" s="74" t="s">
        <v>416</v>
      </c>
    </row>
    <row r="37637" spans="1:3">
      <c r="A37637" s="250">
        <v>90073</v>
      </c>
      <c r="B37637" s="74" t="s">
        <v>17640</v>
      </c>
      <c r="C37637" s="74" t="s">
        <v>416</v>
      </c>
    </row>
    <row r="37638" spans="1:3">
      <c r="A37638" s="250">
        <v>90074</v>
      </c>
      <c r="B37638" s="74" t="s">
        <v>17640</v>
      </c>
      <c r="C37638" s="74" t="s">
        <v>416</v>
      </c>
    </row>
    <row r="37639" spans="1:3">
      <c r="A37639" s="250">
        <v>90075</v>
      </c>
      <c r="B37639" s="74" t="s">
        <v>17640</v>
      </c>
      <c r="C37639" s="74" t="s">
        <v>416</v>
      </c>
    </row>
    <row r="37640" spans="1:3">
      <c r="A37640" s="250">
        <v>90076</v>
      </c>
      <c r="B37640" s="74" t="s">
        <v>17640</v>
      </c>
      <c r="C37640" s="74" t="s">
        <v>416</v>
      </c>
    </row>
    <row r="37641" spans="1:3">
      <c r="A37641" s="250">
        <v>90077</v>
      </c>
      <c r="B37641" s="74" t="s">
        <v>17640</v>
      </c>
      <c r="C37641" s="74" t="s">
        <v>416</v>
      </c>
    </row>
    <row r="37642" spans="1:3">
      <c r="A37642" s="250">
        <v>90078</v>
      </c>
      <c r="B37642" s="74" t="s">
        <v>17640</v>
      </c>
      <c r="C37642" s="74" t="s">
        <v>416</v>
      </c>
    </row>
    <row r="37643" spans="1:3">
      <c r="A37643" s="250">
        <v>90079</v>
      </c>
      <c r="B37643" s="74" t="s">
        <v>17640</v>
      </c>
      <c r="C37643" s="74" t="s">
        <v>416</v>
      </c>
    </row>
    <row r="37644" spans="1:3">
      <c r="A37644" s="250">
        <v>90080</v>
      </c>
      <c r="B37644" s="74" t="s">
        <v>17640</v>
      </c>
      <c r="C37644" s="74" t="s">
        <v>416</v>
      </c>
    </row>
    <row r="37645" spans="1:3">
      <c r="A37645" s="250">
        <v>90081</v>
      </c>
      <c r="B37645" s="74" t="s">
        <v>17640</v>
      </c>
      <c r="C37645" s="74" t="s">
        <v>416</v>
      </c>
    </row>
    <row r="37646" spans="1:3">
      <c r="A37646" s="250">
        <v>90082</v>
      </c>
      <c r="B37646" s="74" t="s">
        <v>17640</v>
      </c>
      <c r="C37646" s="74" t="s">
        <v>416</v>
      </c>
    </row>
    <row r="37647" spans="1:3">
      <c r="A37647" s="250">
        <v>90083</v>
      </c>
      <c r="B37647" s="74" t="s">
        <v>17640</v>
      </c>
      <c r="C37647" s="74" t="s">
        <v>416</v>
      </c>
    </row>
    <row r="37648" spans="1:3">
      <c r="A37648" s="250">
        <v>90084</v>
      </c>
      <c r="B37648" s="74" t="s">
        <v>17640</v>
      </c>
      <c r="C37648" s="74" t="s">
        <v>416</v>
      </c>
    </row>
    <row r="37649" spans="1:3">
      <c r="A37649" s="250">
        <v>90086</v>
      </c>
      <c r="B37649" s="74" t="s">
        <v>17640</v>
      </c>
      <c r="C37649" s="74" t="s">
        <v>416</v>
      </c>
    </row>
    <row r="37650" spans="1:3">
      <c r="A37650" s="250">
        <v>90087</v>
      </c>
      <c r="B37650" s="74" t="s">
        <v>17640</v>
      </c>
      <c r="C37650" s="74" t="s">
        <v>416</v>
      </c>
    </row>
    <row r="37651" spans="1:3">
      <c r="A37651" s="250">
        <v>90088</v>
      </c>
      <c r="B37651" s="74" t="s">
        <v>17640</v>
      </c>
      <c r="C37651" s="74" t="s">
        <v>416</v>
      </c>
    </row>
    <row r="37652" spans="1:3">
      <c r="A37652" s="250">
        <v>90089</v>
      </c>
      <c r="B37652" s="74" t="s">
        <v>17640</v>
      </c>
      <c r="C37652" s="74" t="s">
        <v>416</v>
      </c>
    </row>
    <row r="37653" spans="1:3">
      <c r="A37653" s="250">
        <v>90090</v>
      </c>
      <c r="B37653" s="74" t="s">
        <v>17642</v>
      </c>
      <c r="C37653" s="74" t="s">
        <v>416</v>
      </c>
    </row>
    <row r="37654" spans="1:3">
      <c r="A37654" s="250">
        <v>90091</v>
      </c>
      <c r="B37654" s="74" t="s">
        <v>17640</v>
      </c>
      <c r="C37654" s="74" t="s">
        <v>416</v>
      </c>
    </row>
    <row r="37655" spans="1:3">
      <c r="A37655" s="250">
        <v>90093</v>
      </c>
      <c r="B37655" s="74" t="s">
        <v>17640</v>
      </c>
      <c r="C37655" s="74" t="s">
        <v>416</v>
      </c>
    </row>
    <row r="37656" spans="1:3">
      <c r="A37656" s="250">
        <v>90094</v>
      </c>
      <c r="B37656" s="74" t="s">
        <v>17643</v>
      </c>
      <c r="C37656" s="74" t="s">
        <v>416</v>
      </c>
    </row>
    <row r="37657" spans="1:3">
      <c r="A37657" s="250">
        <v>90095</v>
      </c>
      <c r="B37657" s="74" t="s">
        <v>17640</v>
      </c>
      <c r="C37657" s="74" t="s">
        <v>416</v>
      </c>
    </row>
    <row r="37658" spans="1:3">
      <c r="A37658" s="250">
        <v>90096</v>
      </c>
      <c r="B37658" s="74" t="s">
        <v>17640</v>
      </c>
      <c r="C37658" s="74" t="s">
        <v>416</v>
      </c>
    </row>
    <row r="37659" spans="1:3">
      <c r="A37659" s="250">
        <v>90099</v>
      </c>
      <c r="B37659" s="74" t="s">
        <v>17640</v>
      </c>
      <c r="C37659" s="74" t="s">
        <v>416</v>
      </c>
    </row>
    <row r="37660" spans="1:3">
      <c r="A37660" s="250">
        <v>90101</v>
      </c>
      <c r="B37660" s="74" t="s">
        <v>17640</v>
      </c>
      <c r="C37660" s="74" t="s">
        <v>416</v>
      </c>
    </row>
    <row r="37661" spans="1:3">
      <c r="A37661" s="250">
        <v>90102</v>
      </c>
      <c r="B37661" s="74" t="s">
        <v>17640</v>
      </c>
      <c r="C37661" s="74" t="s">
        <v>416</v>
      </c>
    </row>
    <row r="37662" spans="1:3">
      <c r="A37662" s="250">
        <v>90103</v>
      </c>
      <c r="B37662" s="74" t="s">
        <v>17640</v>
      </c>
      <c r="C37662" s="74" t="s">
        <v>416</v>
      </c>
    </row>
    <row r="37663" spans="1:3">
      <c r="A37663" s="250">
        <v>90189</v>
      </c>
      <c r="B37663" s="74" t="s">
        <v>17640</v>
      </c>
      <c r="C37663" s="74" t="s">
        <v>416</v>
      </c>
    </row>
    <row r="37664" spans="1:3">
      <c r="A37664" s="250">
        <v>90201</v>
      </c>
      <c r="B37664" s="74" t="s">
        <v>17644</v>
      </c>
      <c r="C37664" s="74" t="s">
        <v>416</v>
      </c>
    </row>
    <row r="37665" spans="1:3">
      <c r="A37665" s="250">
        <v>90202</v>
      </c>
      <c r="B37665" s="74" t="s">
        <v>8343</v>
      </c>
      <c r="C37665" s="74" t="s">
        <v>416</v>
      </c>
    </row>
    <row r="37666" spans="1:3">
      <c r="A37666" s="250">
        <v>90209</v>
      </c>
      <c r="B37666" s="74" t="s">
        <v>8575</v>
      </c>
      <c r="C37666" s="74" t="s">
        <v>416</v>
      </c>
    </row>
    <row r="37667" spans="1:3">
      <c r="A37667" s="250">
        <v>90210</v>
      </c>
      <c r="B37667" s="74" t="s">
        <v>8575</v>
      </c>
      <c r="C37667" s="74" t="s">
        <v>416</v>
      </c>
    </row>
    <row r="37668" spans="1:3">
      <c r="A37668" s="250">
        <v>90211</v>
      </c>
      <c r="B37668" s="74" t="s">
        <v>8575</v>
      </c>
      <c r="C37668" s="74" t="s">
        <v>416</v>
      </c>
    </row>
    <row r="37669" spans="1:3">
      <c r="A37669" s="250">
        <v>90212</v>
      </c>
      <c r="B37669" s="74" t="s">
        <v>8575</v>
      </c>
      <c r="C37669" s="74" t="s">
        <v>416</v>
      </c>
    </row>
    <row r="37670" spans="1:3">
      <c r="A37670" s="250">
        <v>90213</v>
      </c>
      <c r="B37670" s="74" t="s">
        <v>8575</v>
      </c>
      <c r="C37670" s="74" t="s">
        <v>416</v>
      </c>
    </row>
    <row r="37671" spans="1:3">
      <c r="A37671" s="250">
        <v>90220</v>
      </c>
      <c r="B37671" s="74" t="s">
        <v>5562</v>
      </c>
      <c r="C37671" s="74" t="s">
        <v>416</v>
      </c>
    </row>
    <row r="37672" spans="1:3">
      <c r="A37672" s="250">
        <v>90221</v>
      </c>
      <c r="B37672" s="74" t="s">
        <v>5562</v>
      </c>
      <c r="C37672" s="74" t="s">
        <v>416</v>
      </c>
    </row>
    <row r="37673" spans="1:3">
      <c r="A37673" s="250">
        <v>90222</v>
      </c>
      <c r="B37673" s="74" t="s">
        <v>5562</v>
      </c>
      <c r="C37673" s="74" t="s">
        <v>416</v>
      </c>
    </row>
    <row r="37674" spans="1:3">
      <c r="A37674" s="250">
        <v>90223</v>
      </c>
      <c r="B37674" s="74" t="s">
        <v>5562</v>
      </c>
      <c r="C37674" s="74" t="s">
        <v>416</v>
      </c>
    </row>
    <row r="37675" spans="1:3">
      <c r="A37675" s="250">
        <v>90224</v>
      </c>
      <c r="B37675" s="74" t="s">
        <v>5562</v>
      </c>
      <c r="C37675" s="74" t="s">
        <v>416</v>
      </c>
    </row>
    <row r="37676" spans="1:3">
      <c r="A37676" s="250">
        <v>90230</v>
      </c>
      <c r="B37676" s="74" t="s">
        <v>17645</v>
      </c>
      <c r="C37676" s="74" t="s">
        <v>416</v>
      </c>
    </row>
    <row r="37677" spans="1:3">
      <c r="A37677" s="250">
        <v>90231</v>
      </c>
      <c r="B37677" s="74" t="s">
        <v>17645</v>
      </c>
      <c r="C37677" s="74" t="s">
        <v>416</v>
      </c>
    </row>
    <row r="37678" spans="1:3">
      <c r="A37678" s="250">
        <v>90232</v>
      </c>
      <c r="B37678" s="74" t="s">
        <v>17645</v>
      </c>
      <c r="C37678" s="74" t="s">
        <v>416</v>
      </c>
    </row>
    <row r="37679" spans="1:3">
      <c r="A37679" s="250">
        <v>90233</v>
      </c>
      <c r="B37679" s="74" t="s">
        <v>17645</v>
      </c>
      <c r="C37679" s="74" t="s">
        <v>416</v>
      </c>
    </row>
    <row r="37680" spans="1:3">
      <c r="A37680" s="250">
        <v>90239</v>
      </c>
      <c r="B37680" s="74" t="s">
        <v>16928</v>
      </c>
      <c r="C37680" s="74" t="s">
        <v>416</v>
      </c>
    </row>
    <row r="37681" spans="1:3">
      <c r="A37681" s="250">
        <v>90240</v>
      </c>
      <c r="B37681" s="74" t="s">
        <v>16928</v>
      </c>
      <c r="C37681" s="74" t="s">
        <v>416</v>
      </c>
    </row>
    <row r="37682" spans="1:3">
      <c r="A37682" s="250">
        <v>90241</v>
      </c>
      <c r="B37682" s="74" t="s">
        <v>16928</v>
      </c>
      <c r="C37682" s="74" t="s">
        <v>416</v>
      </c>
    </row>
    <row r="37683" spans="1:3">
      <c r="A37683" s="250">
        <v>90242</v>
      </c>
      <c r="B37683" s="74" t="s">
        <v>16928</v>
      </c>
      <c r="C37683" s="74" t="s">
        <v>416</v>
      </c>
    </row>
    <row r="37684" spans="1:3">
      <c r="A37684" s="250">
        <v>90245</v>
      </c>
      <c r="B37684" s="74" t="s">
        <v>17646</v>
      </c>
      <c r="C37684" s="74" t="s">
        <v>416</v>
      </c>
    </row>
    <row r="37685" spans="1:3">
      <c r="A37685" s="250">
        <v>90247</v>
      </c>
      <c r="B37685" s="74" t="s">
        <v>17647</v>
      </c>
      <c r="C37685" s="74" t="s">
        <v>416</v>
      </c>
    </row>
    <row r="37686" spans="1:3">
      <c r="A37686" s="250">
        <v>90248</v>
      </c>
      <c r="B37686" s="74" t="s">
        <v>17647</v>
      </c>
      <c r="C37686" s="74" t="s">
        <v>416</v>
      </c>
    </row>
    <row r="37687" spans="1:3">
      <c r="A37687" s="250">
        <v>90249</v>
      </c>
      <c r="B37687" s="74" t="s">
        <v>17647</v>
      </c>
      <c r="C37687" s="74" t="s">
        <v>416</v>
      </c>
    </row>
    <row r="37688" spans="1:3">
      <c r="A37688" s="250">
        <v>90250</v>
      </c>
      <c r="B37688" s="74" t="s">
        <v>2215</v>
      </c>
      <c r="C37688" s="74" t="s">
        <v>416</v>
      </c>
    </row>
    <row r="37689" spans="1:3">
      <c r="A37689" s="250">
        <v>90251</v>
      </c>
      <c r="B37689" s="74" t="s">
        <v>2215</v>
      </c>
      <c r="C37689" s="74" t="s">
        <v>416</v>
      </c>
    </row>
    <row r="37690" spans="1:3">
      <c r="A37690" s="250">
        <v>90254</v>
      </c>
      <c r="B37690" s="74" t="s">
        <v>17648</v>
      </c>
      <c r="C37690" s="74" t="s">
        <v>416</v>
      </c>
    </row>
    <row r="37691" spans="1:3">
      <c r="A37691" s="250">
        <v>90255</v>
      </c>
      <c r="B37691" s="74" t="s">
        <v>17649</v>
      </c>
      <c r="C37691" s="74" t="s">
        <v>416</v>
      </c>
    </row>
    <row r="37692" spans="1:3">
      <c r="A37692" s="250">
        <v>90260</v>
      </c>
      <c r="B37692" s="74" t="s">
        <v>7314</v>
      </c>
      <c r="C37692" s="74" t="s">
        <v>416</v>
      </c>
    </row>
    <row r="37693" spans="1:3">
      <c r="A37693" s="250">
        <v>90261</v>
      </c>
      <c r="B37693" s="74" t="s">
        <v>7314</v>
      </c>
      <c r="C37693" s="74" t="s">
        <v>416</v>
      </c>
    </row>
    <row r="37694" spans="1:3">
      <c r="A37694" s="250">
        <v>90262</v>
      </c>
      <c r="B37694" s="74" t="s">
        <v>17650</v>
      </c>
      <c r="C37694" s="74" t="s">
        <v>416</v>
      </c>
    </row>
    <row r="37695" spans="1:3">
      <c r="A37695" s="250">
        <v>90263</v>
      </c>
      <c r="B37695" s="74" t="s">
        <v>17651</v>
      </c>
      <c r="C37695" s="74" t="s">
        <v>416</v>
      </c>
    </row>
    <row r="37696" spans="1:3">
      <c r="A37696" s="250">
        <v>90264</v>
      </c>
      <c r="B37696" s="74" t="s">
        <v>17651</v>
      </c>
      <c r="C37696" s="74" t="s">
        <v>416</v>
      </c>
    </row>
    <row r="37697" spans="1:3">
      <c r="A37697" s="250">
        <v>90265</v>
      </c>
      <c r="B37697" s="74" t="s">
        <v>17651</v>
      </c>
      <c r="C37697" s="74" t="s">
        <v>416</v>
      </c>
    </row>
    <row r="37698" spans="1:3">
      <c r="A37698" s="250">
        <v>90266</v>
      </c>
      <c r="B37698" s="74" t="s">
        <v>17652</v>
      </c>
      <c r="C37698" s="74" t="s">
        <v>416</v>
      </c>
    </row>
    <row r="37699" spans="1:3">
      <c r="A37699" s="250">
        <v>90267</v>
      </c>
      <c r="B37699" s="74" t="s">
        <v>17652</v>
      </c>
      <c r="C37699" s="74" t="s">
        <v>416</v>
      </c>
    </row>
    <row r="37700" spans="1:3">
      <c r="A37700" s="250">
        <v>90270</v>
      </c>
      <c r="B37700" s="74" t="s">
        <v>2223</v>
      </c>
      <c r="C37700" s="74" t="s">
        <v>416</v>
      </c>
    </row>
    <row r="37701" spans="1:3">
      <c r="A37701" s="250">
        <v>90272</v>
      </c>
      <c r="B37701" s="74" t="s">
        <v>17653</v>
      </c>
      <c r="C37701" s="74" t="s">
        <v>416</v>
      </c>
    </row>
    <row r="37702" spans="1:3">
      <c r="A37702" s="250">
        <v>90274</v>
      </c>
      <c r="B37702" s="74" t="s">
        <v>17654</v>
      </c>
      <c r="C37702" s="74" t="s">
        <v>416</v>
      </c>
    </row>
    <row r="37703" spans="1:3">
      <c r="A37703" s="250">
        <v>90275</v>
      </c>
      <c r="B37703" s="74" t="s">
        <v>17655</v>
      </c>
      <c r="C37703" s="74" t="s">
        <v>416</v>
      </c>
    </row>
    <row r="37704" spans="1:3">
      <c r="A37704" s="250">
        <v>90277</v>
      </c>
      <c r="B37704" s="74" t="s">
        <v>17656</v>
      </c>
      <c r="C37704" s="74" t="s">
        <v>416</v>
      </c>
    </row>
    <row r="37705" spans="1:3">
      <c r="A37705" s="250">
        <v>90278</v>
      </c>
      <c r="B37705" s="74" t="s">
        <v>17656</v>
      </c>
      <c r="C37705" s="74" t="s">
        <v>416</v>
      </c>
    </row>
    <row r="37706" spans="1:3">
      <c r="A37706" s="250">
        <v>90280</v>
      </c>
      <c r="B37706" s="74" t="s">
        <v>17657</v>
      </c>
      <c r="C37706" s="74" t="s">
        <v>416</v>
      </c>
    </row>
    <row r="37707" spans="1:3">
      <c r="A37707" s="250">
        <v>90290</v>
      </c>
      <c r="B37707" s="74" t="s">
        <v>17658</v>
      </c>
      <c r="C37707" s="74" t="s">
        <v>416</v>
      </c>
    </row>
    <row r="37708" spans="1:3">
      <c r="A37708" s="250">
        <v>90291</v>
      </c>
      <c r="B37708" s="74" t="s">
        <v>8562</v>
      </c>
      <c r="C37708" s="74" t="s">
        <v>416</v>
      </c>
    </row>
    <row r="37709" spans="1:3">
      <c r="A37709" s="250">
        <v>90292</v>
      </c>
      <c r="B37709" s="74" t="s">
        <v>17659</v>
      </c>
      <c r="C37709" s="74" t="s">
        <v>416</v>
      </c>
    </row>
    <row r="37710" spans="1:3">
      <c r="A37710" s="250">
        <v>90293</v>
      </c>
      <c r="B37710" s="74" t="s">
        <v>17660</v>
      </c>
      <c r="C37710" s="74" t="s">
        <v>416</v>
      </c>
    </row>
    <row r="37711" spans="1:3">
      <c r="A37711" s="250">
        <v>90294</v>
      </c>
      <c r="B37711" s="74" t="s">
        <v>8562</v>
      </c>
      <c r="C37711" s="74" t="s">
        <v>416</v>
      </c>
    </row>
    <row r="37712" spans="1:3">
      <c r="A37712" s="250">
        <v>90295</v>
      </c>
      <c r="B37712" s="74" t="s">
        <v>17659</v>
      </c>
      <c r="C37712" s="74" t="s">
        <v>416</v>
      </c>
    </row>
    <row r="37713" spans="1:3">
      <c r="A37713" s="250">
        <v>90296</v>
      </c>
      <c r="B37713" s="74" t="s">
        <v>17660</v>
      </c>
      <c r="C37713" s="74" t="s">
        <v>416</v>
      </c>
    </row>
    <row r="37714" spans="1:3">
      <c r="A37714" s="250">
        <v>90301</v>
      </c>
      <c r="B37714" s="74" t="s">
        <v>17661</v>
      </c>
      <c r="C37714" s="74" t="s">
        <v>416</v>
      </c>
    </row>
    <row r="37715" spans="1:3">
      <c r="A37715" s="250">
        <v>90302</v>
      </c>
      <c r="B37715" s="74" t="s">
        <v>17661</v>
      </c>
      <c r="C37715" s="74" t="s">
        <v>416</v>
      </c>
    </row>
    <row r="37716" spans="1:3">
      <c r="A37716" s="250">
        <v>90303</v>
      </c>
      <c r="B37716" s="74" t="s">
        <v>17661</v>
      </c>
      <c r="C37716" s="74" t="s">
        <v>416</v>
      </c>
    </row>
    <row r="37717" spans="1:3">
      <c r="A37717" s="250">
        <v>90304</v>
      </c>
      <c r="B37717" s="74" t="s">
        <v>17661</v>
      </c>
      <c r="C37717" s="74" t="s">
        <v>416</v>
      </c>
    </row>
    <row r="37718" spans="1:3">
      <c r="A37718" s="250">
        <v>90305</v>
      </c>
      <c r="B37718" s="74" t="s">
        <v>17661</v>
      </c>
      <c r="C37718" s="74" t="s">
        <v>416</v>
      </c>
    </row>
    <row r="37719" spans="1:3">
      <c r="A37719" s="250">
        <v>90306</v>
      </c>
      <c r="B37719" s="74" t="s">
        <v>17661</v>
      </c>
      <c r="C37719" s="74" t="s">
        <v>416</v>
      </c>
    </row>
    <row r="37720" spans="1:3">
      <c r="A37720" s="250">
        <v>90307</v>
      </c>
      <c r="B37720" s="74" t="s">
        <v>17661</v>
      </c>
      <c r="C37720" s="74" t="s">
        <v>416</v>
      </c>
    </row>
    <row r="37721" spans="1:3">
      <c r="A37721" s="250">
        <v>90308</v>
      </c>
      <c r="B37721" s="74" t="s">
        <v>17661</v>
      </c>
      <c r="C37721" s="74" t="s">
        <v>416</v>
      </c>
    </row>
    <row r="37722" spans="1:3">
      <c r="A37722" s="250">
        <v>90309</v>
      </c>
      <c r="B37722" s="74" t="s">
        <v>17661</v>
      </c>
      <c r="C37722" s="74" t="s">
        <v>416</v>
      </c>
    </row>
    <row r="37723" spans="1:3">
      <c r="A37723" s="250">
        <v>90310</v>
      </c>
      <c r="B37723" s="74" t="s">
        <v>17661</v>
      </c>
      <c r="C37723" s="74" t="s">
        <v>416</v>
      </c>
    </row>
    <row r="37724" spans="1:3">
      <c r="A37724" s="250">
        <v>90311</v>
      </c>
      <c r="B37724" s="74" t="s">
        <v>17661</v>
      </c>
      <c r="C37724" s="74" t="s">
        <v>416</v>
      </c>
    </row>
    <row r="37725" spans="1:3">
      <c r="A37725" s="250">
        <v>90312</v>
      </c>
      <c r="B37725" s="74" t="s">
        <v>17661</v>
      </c>
      <c r="C37725" s="74" t="s">
        <v>416</v>
      </c>
    </row>
    <row r="37726" spans="1:3">
      <c r="A37726" s="250">
        <v>90313</v>
      </c>
      <c r="B37726" s="74" t="s">
        <v>17661</v>
      </c>
      <c r="C37726" s="74" t="s">
        <v>416</v>
      </c>
    </row>
    <row r="37727" spans="1:3">
      <c r="A37727" s="250">
        <v>90397</v>
      </c>
      <c r="B37727" s="74" t="s">
        <v>17661</v>
      </c>
      <c r="C37727" s="74" t="s">
        <v>416</v>
      </c>
    </row>
    <row r="37728" spans="1:3">
      <c r="A37728" s="250">
        <v>90398</v>
      </c>
      <c r="B37728" s="74" t="s">
        <v>17661</v>
      </c>
      <c r="C37728" s="74" t="s">
        <v>416</v>
      </c>
    </row>
    <row r="37729" spans="1:3">
      <c r="A37729" s="250">
        <v>90401</v>
      </c>
      <c r="B37729" s="74" t="s">
        <v>17662</v>
      </c>
      <c r="C37729" s="74" t="s">
        <v>416</v>
      </c>
    </row>
    <row r="37730" spans="1:3">
      <c r="A37730" s="250">
        <v>90402</v>
      </c>
      <c r="B37730" s="74" t="s">
        <v>17662</v>
      </c>
      <c r="C37730" s="74" t="s">
        <v>416</v>
      </c>
    </row>
    <row r="37731" spans="1:3">
      <c r="A37731" s="250">
        <v>90403</v>
      </c>
      <c r="B37731" s="74" t="s">
        <v>17662</v>
      </c>
      <c r="C37731" s="74" t="s">
        <v>416</v>
      </c>
    </row>
    <row r="37732" spans="1:3">
      <c r="A37732" s="250">
        <v>90404</v>
      </c>
      <c r="B37732" s="74" t="s">
        <v>17662</v>
      </c>
      <c r="C37732" s="74" t="s">
        <v>416</v>
      </c>
    </row>
    <row r="37733" spans="1:3">
      <c r="A37733" s="250">
        <v>90405</v>
      </c>
      <c r="B37733" s="74" t="s">
        <v>17662</v>
      </c>
      <c r="C37733" s="74" t="s">
        <v>416</v>
      </c>
    </row>
    <row r="37734" spans="1:3">
      <c r="A37734" s="250">
        <v>90406</v>
      </c>
      <c r="B37734" s="74" t="s">
        <v>17662</v>
      </c>
      <c r="C37734" s="74" t="s">
        <v>416</v>
      </c>
    </row>
    <row r="37735" spans="1:3">
      <c r="A37735" s="250">
        <v>90407</v>
      </c>
      <c r="B37735" s="74" t="s">
        <v>17662</v>
      </c>
      <c r="C37735" s="74" t="s">
        <v>416</v>
      </c>
    </row>
    <row r="37736" spans="1:3">
      <c r="A37736" s="250">
        <v>90408</v>
      </c>
      <c r="B37736" s="74" t="s">
        <v>17662</v>
      </c>
      <c r="C37736" s="74" t="s">
        <v>416</v>
      </c>
    </row>
    <row r="37737" spans="1:3">
      <c r="A37737" s="250">
        <v>90409</v>
      </c>
      <c r="B37737" s="74" t="s">
        <v>17662</v>
      </c>
      <c r="C37737" s="74" t="s">
        <v>416</v>
      </c>
    </row>
    <row r="37738" spans="1:3">
      <c r="A37738" s="250">
        <v>90410</v>
      </c>
      <c r="B37738" s="74" t="s">
        <v>17662</v>
      </c>
      <c r="C37738" s="74" t="s">
        <v>416</v>
      </c>
    </row>
    <row r="37739" spans="1:3">
      <c r="A37739" s="250">
        <v>90411</v>
      </c>
      <c r="B37739" s="74" t="s">
        <v>17662</v>
      </c>
      <c r="C37739" s="74" t="s">
        <v>416</v>
      </c>
    </row>
    <row r="37740" spans="1:3">
      <c r="A37740" s="250">
        <v>90501</v>
      </c>
      <c r="B37740" s="74" t="s">
        <v>4310</v>
      </c>
      <c r="C37740" s="74" t="s">
        <v>416</v>
      </c>
    </row>
    <row r="37741" spans="1:3">
      <c r="A37741" s="250">
        <v>90502</v>
      </c>
      <c r="B37741" s="74" t="s">
        <v>4310</v>
      </c>
      <c r="C37741" s="74" t="s">
        <v>416</v>
      </c>
    </row>
    <row r="37742" spans="1:3">
      <c r="A37742" s="250">
        <v>90503</v>
      </c>
      <c r="B37742" s="74" t="s">
        <v>4310</v>
      </c>
      <c r="C37742" s="74" t="s">
        <v>416</v>
      </c>
    </row>
    <row r="37743" spans="1:3">
      <c r="A37743" s="250">
        <v>90504</v>
      </c>
      <c r="B37743" s="74" t="s">
        <v>4310</v>
      </c>
      <c r="C37743" s="74" t="s">
        <v>416</v>
      </c>
    </row>
    <row r="37744" spans="1:3">
      <c r="A37744" s="250">
        <v>90505</v>
      </c>
      <c r="B37744" s="74" t="s">
        <v>4310</v>
      </c>
      <c r="C37744" s="74" t="s">
        <v>416</v>
      </c>
    </row>
    <row r="37745" spans="1:3">
      <c r="A37745" s="250">
        <v>90506</v>
      </c>
      <c r="B37745" s="74" t="s">
        <v>4310</v>
      </c>
      <c r="C37745" s="74" t="s">
        <v>416</v>
      </c>
    </row>
    <row r="37746" spans="1:3">
      <c r="A37746" s="250">
        <v>90507</v>
      </c>
      <c r="B37746" s="74" t="s">
        <v>4310</v>
      </c>
      <c r="C37746" s="74" t="s">
        <v>416</v>
      </c>
    </row>
    <row r="37747" spans="1:3">
      <c r="A37747" s="250">
        <v>90508</v>
      </c>
      <c r="B37747" s="74" t="s">
        <v>4310</v>
      </c>
      <c r="C37747" s="74" t="s">
        <v>416</v>
      </c>
    </row>
    <row r="37748" spans="1:3">
      <c r="A37748" s="250">
        <v>90509</v>
      </c>
      <c r="B37748" s="74" t="s">
        <v>4310</v>
      </c>
      <c r="C37748" s="74" t="s">
        <v>416</v>
      </c>
    </row>
    <row r="37749" spans="1:3">
      <c r="A37749" s="250">
        <v>90510</v>
      </c>
      <c r="B37749" s="74" t="s">
        <v>4310</v>
      </c>
      <c r="C37749" s="74" t="s">
        <v>416</v>
      </c>
    </row>
    <row r="37750" spans="1:3">
      <c r="A37750" s="250">
        <v>90601</v>
      </c>
      <c r="B37750" s="74" t="s">
        <v>7584</v>
      </c>
      <c r="C37750" s="74" t="s">
        <v>416</v>
      </c>
    </row>
    <row r="37751" spans="1:3">
      <c r="A37751" s="250">
        <v>90602</v>
      </c>
      <c r="B37751" s="74" t="s">
        <v>7584</v>
      </c>
      <c r="C37751" s="74" t="s">
        <v>416</v>
      </c>
    </row>
    <row r="37752" spans="1:3">
      <c r="A37752" s="250">
        <v>90603</v>
      </c>
      <c r="B37752" s="74" t="s">
        <v>7584</v>
      </c>
      <c r="C37752" s="74" t="s">
        <v>416</v>
      </c>
    </row>
    <row r="37753" spans="1:3">
      <c r="A37753" s="250">
        <v>90604</v>
      </c>
      <c r="B37753" s="74" t="s">
        <v>7584</v>
      </c>
      <c r="C37753" s="74" t="s">
        <v>416</v>
      </c>
    </row>
    <row r="37754" spans="1:3">
      <c r="A37754" s="250">
        <v>90605</v>
      </c>
      <c r="B37754" s="74" t="s">
        <v>7584</v>
      </c>
      <c r="C37754" s="74" t="s">
        <v>416</v>
      </c>
    </row>
    <row r="37755" spans="1:3">
      <c r="A37755" s="250">
        <v>90606</v>
      </c>
      <c r="B37755" s="74" t="s">
        <v>7584</v>
      </c>
      <c r="C37755" s="74" t="s">
        <v>416</v>
      </c>
    </row>
    <row r="37756" spans="1:3">
      <c r="A37756" s="250">
        <v>90607</v>
      </c>
      <c r="B37756" s="74" t="s">
        <v>7584</v>
      </c>
      <c r="C37756" s="74" t="s">
        <v>416</v>
      </c>
    </row>
    <row r="37757" spans="1:3">
      <c r="A37757" s="250">
        <v>90608</v>
      </c>
      <c r="B37757" s="74" t="s">
        <v>7584</v>
      </c>
      <c r="C37757" s="74" t="s">
        <v>416</v>
      </c>
    </row>
    <row r="37758" spans="1:3">
      <c r="A37758" s="250">
        <v>90609</v>
      </c>
      <c r="B37758" s="74" t="s">
        <v>7584</v>
      </c>
      <c r="C37758" s="74" t="s">
        <v>416</v>
      </c>
    </row>
    <row r="37759" spans="1:3">
      <c r="A37759" s="250">
        <v>90610</v>
      </c>
      <c r="B37759" s="74" t="s">
        <v>7584</v>
      </c>
      <c r="C37759" s="74" t="s">
        <v>416</v>
      </c>
    </row>
    <row r="37760" spans="1:3">
      <c r="A37760" s="250">
        <v>90612</v>
      </c>
      <c r="B37760" s="74" t="s">
        <v>7584</v>
      </c>
      <c r="C37760" s="74" t="s">
        <v>416</v>
      </c>
    </row>
    <row r="37761" spans="1:3">
      <c r="A37761" s="250">
        <v>90620</v>
      </c>
      <c r="B37761" s="74" t="s">
        <v>17663</v>
      </c>
      <c r="C37761" s="74" t="s">
        <v>416</v>
      </c>
    </row>
    <row r="37762" spans="1:3">
      <c r="A37762" s="250">
        <v>90621</v>
      </c>
      <c r="B37762" s="74" t="s">
        <v>17663</v>
      </c>
      <c r="C37762" s="74" t="s">
        <v>416</v>
      </c>
    </row>
    <row r="37763" spans="1:3">
      <c r="A37763" s="250">
        <v>90622</v>
      </c>
      <c r="B37763" s="74" t="s">
        <v>17663</v>
      </c>
      <c r="C37763" s="74" t="s">
        <v>416</v>
      </c>
    </row>
    <row r="37764" spans="1:3">
      <c r="A37764" s="250">
        <v>90623</v>
      </c>
      <c r="B37764" s="74" t="s">
        <v>17664</v>
      </c>
      <c r="C37764" s="74" t="s">
        <v>416</v>
      </c>
    </row>
    <row r="37765" spans="1:3">
      <c r="A37765" s="250">
        <v>90624</v>
      </c>
      <c r="B37765" s="74" t="s">
        <v>17663</v>
      </c>
      <c r="C37765" s="74" t="s">
        <v>416</v>
      </c>
    </row>
    <row r="37766" spans="1:3">
      <c r="A37766" s="250">
        <v>90630</v>
      </c>
      <c r="B37766" s="74" t="s">
        <v>8303</v>
      </c>
      <c r="C37766" s="74" t="s">
        <v>416</v>
      </c>
    </row>
    <row r="37767" spans="1:3">
      <c r="A37767" s="250">
        <v>90631</v>
      </c>
      <c r="B37767" s="74" t="s">
        <v>17665</v>
      </c>
      <c r="C37767" s="74" t="s">
        <v>416</v>
      </c>
    </row>
    <row r="37768" spans="1:3">
      <c r="A37768" s="250">
        <v>90632</v>
      </c>
      <c r="B37768" s="74" t="s">
        <v>17665</v>
      </c>
      <c r="C37768" s="74" t="s">
        <v>416</v>
      </c>
    </row>
    <row r="37769" spans="1:3">
      <c r="A37769" s="250">
        <v>90633</v>
      </c>
      <c r="B37769" s="74" t="s">
        <v>17665</v>
      </c>
      <c r="C37769" s="74" t="s">
        <v>416</v>
      </c>
    </row>
    <row r="37770" spans="1:3">
      <c r="A37770" s="250">
        <v>90637</v>
      </c>
      <c r="B37770" s="74" t="s">
        <v>17666</v>
      </c>
      <c r="C37770" s="74" t="s">
        <v>416</v>
      </c>
    </row>
    <row r="37771" spans="1:3">
      <c r="A37771" s="250">
        <v>90638</v>
      </c>
      <c r="B37771" s="74" t="s">
        <v>17666</v>
      </c>
      <c r="C37771" s="74" t="s">
        <v>416</v>
      </c>
    </row>
    <row r="37772" spans="1:3">
      <c r="A37772" s="250">
        <v>90639</v>
      </c>
      <c r="B37772" s="74" t="s">
        <v>17666</v>
      </c>
      <c r="C37772" s="74" t="s">
        <v>416</v>
      </c>
    </row>
    <row r="37773" spans="1:3">
      <c r="A37773" s="250">
        <v>90640</v>
      </c>
      <c r="B37773" s="74" t="s">
        <v>6399</v>
      </c>
      <c r="C37773" s="74" t="s">
        <v>416</v>
      </c>
    </row>
    <row r="37774" spans="1:3">
      <c r="A37774" s="250">
        <v>90650</v>
      </c>
      <c r="B37774" s="74" t="s">
        <v>2104</v>
      </c>
      <c r="C37774" s="74" t="s">
        <v>416</v>
      </c>
    </row>
    <row r="37775" spans="1:3">
      <c r="A37775" s="250">
        <v>90651</v>
      </c>
      <c r="B37775" s="74" t="s">
        <v>2104</v>
      </c>
      <c r="C37775" s="74" t="s">
        <v>416</v>
      </c>
    </row>
    <row r="37776" spans="1:3">
      <c r="A37776" s="250">
        <v>90652</v>
      </c>
      <c r="B37776" s="74" t="s">
        <v>2104</v>
      </c>
      <c r="C37776" s="74" t="s">
        <v>416</v>
      </c>
    </row>
    <row r="37777" spans="1:3">
      <c r="A37777" s="250">
        <v>90659</v>
      </c>
      <c r="B37777" s="74" t="s">
        <v>2104</v>
      </c>
      <c r="C37777" s="74" t="s">
        <v>416</v>
      </c>
    </row>
    <row r="37778" spans="1:3">
      <c r="A37778" s="250">
        <v>90660</v>
      </c>
      <c r="B37778" s="74" t="s">
        <v>17667</v>
      </c>
      <c r="C37778" s="74" t="s">
        <v>416</v>
      </c>
    </row>
    <row r="37779" spans="1:3">
      <c r="A37779" s="250">
        <v>90661</v>
      </c>
      <c r="B37779" s="74" t="s">
        <v>17667</v>
      </c>
      <c r="C37779" s="74" t="s">
        <v>416</v>
      </c>
    </row>
    <row r="37780" spans="1:3">
      <c r="A37780" s="250">
        <v>90662</v>
      </c>
      <c r="B37780" s="74" t="s">
        <v>17667</v>
      </c>
      <c r="C37780" s="74" t="s">
        <v>416</v>
      </c>
    </row>
    <row r="37781" spans="1:3">
      <c r="A37781" s="250">
        <v>90670</v>
      </c>
      <c r="B37781" s="74" t="s">
        <v>17668</v>
      </c>
      <c r="C37781" s="74" t="s">
        <v>416</v>
      </c>
    </row>
    <row r="37782" spans="1:3">
      <c r="A37782" s="250">
        <v>90671</v>
      </c>
      <c r="B37782" s="74" t="s">
        <v>17668</v>
      </c>
      <c r="C37782" s="74" t="s">
        <v>416</v>
      </c>
    </row>
    <row r="37783" spans="1:3">
      <c r="A37783" s="250">
        <v>90680</v>
      </c>
      <c r="B37783" s="74" t="s">
        <v>2602</v>
      </c>
      <c r="C37783" s="74" t="s">
        <v>416</v>
      </c>
    </row>
    <row r="37784" spans="1:3">
      <c r="A37784" s="250">
        <v>90701</v>
      </c>
      <c r="B37784" s="74" t="s">
        <v>9538</v>
      </c>
      <c r="C37784" s="74" t="s">
        <v>416</v>
      </c>
    </row>
    <row r="37785" spans="1:3">
      <c r="A37785" s="250">
        <v>90702</v>
      </c>
      <c r="B37785" s="74" t="s">
        <v>9538</v>
      </c>
      <c r="C37785" s="74" t="s">
        <v>416</v>
      </c>
    </row>
    <row r="37786" spans="1:3">
      <c r="A37786" s="250">
        <v>90703</v>
      </c>
      <c r="B37786" s="74" t="s">
        <v>17669</v>
      </c>
      <c r="C37786" s="74" t="s">
        <v>416</v>
      </c>
    </row>
    <row r="37787" spans="1:3">
      <c r="A37787" s="250">
        <v>90704</v>
      </c>
      <c r="B37787" s="74" t="s">
        <v>2443</v>
      </c>
      <c r="C37787" s="74" t="s">
        <v>416</v>
      </c>
    </row>
    <row r="37788" spans="1:3">
      <c r="A37788" s="250">
        <v>90706</v>
      </c>
      <c r="B37788" s="74" t="s">
        <v>13737</v>
      </c>
      <c r="C37788" s="74" t="s">
        <v>416</v>
      </c>
    </row>
    <row r="37789" spans="1:3">
      <c r="A37789" s="250">
        <v>90707</v>
      </c>
      <c r="B37789" s="74" t="s">
        <v>13737</v>
      </c>
      <c r="C37789" s="74" t="s">
        <v>416</v>
      </c>
    </row>
    <row r="37790" spans="1:3">
      <c r="A37790" s="250">
        <v>90710</v>
      </c>
      <c r="B37790" s="74" t="s">
        <v>17670</v>
      </c>
      <c r="C37790" s="74" t="s">
        <v>416</v>
      </c>
    </row>
    <row r="37791" spans="1:3">
      <c r="A37791" s="250">
        <v>90711</v>
      </c>
      <c r="B37791" s="74" t="s">
        <v>2535</v>
      </c>
      <c r="C37791" s="74" t="s">
        <v>416</v>
      </c>
    </row>
    <row r="37792" spans="1:3">
      <c r="A37792" s="250">
        <v>90712</v>
      </c>
      <c r="B37792" s="74" t="s">
        <v>2535</v>
      </c>
      <c r="C37792" s="74" t="s">
        <v>416</v>
      </c>
    </row>
    <row r="37793" spans="1:3">
      <c r="A37793" s="250">
        <v>90713</v>
      </c>
      <c r="B37793" s="74" t="s">
        <v>2535</v>
      </c>
      <c r="C37793" s="74" t="s">
        <v>416</v>
      </c>
    </row>
    <row r="37794" spans="1:3">
      <c r="A37794" s="250">
        <v>90714</v>
      </c>
      <c r="B37794" s="74" t="s">
        <v>2535</v>
      </c>
      <c r="C37794" s="74" t="s">
        <v>416</v>
      </c>
    </row>
    <row r="37795" spans="1:3">
      <c r="A37795" s="250">
        <v>90715</v>
      </c>
      <c r="B37795" s="74" t="s">
        <v>2535</v>
      </c>
      <c r="C37795" s="74" t="s">
        <v>416</v>
      </c>
    </row>
    <row r="37796" spans="1:3">
      <c r="A37796" s="250">
        <v>90716</v>
      </c>
      <c r="B37796" s="74" t="s">
        <v>17671</v>
      </c>
      <c r="C37796" s="74" t="s">
        <v>416</v>
      </c>
    </row>
    <row r="37797" spans="1:3">
      <c r="A37797" s="250">
        <v>90717</v>
      </c>
      <c r="B37797" s="74" t="s">
        <v>17672</v>
      </c>
      <c r="C37797" s="74" t="s">
        <v>416</v>
      </c>
    </row>
    <row r="37798" spans="1:3">
      <c r="A37798" s="250">
        <v>90720</v>
      </c>
      <c r="B37798" s="74" t="s">
        <v>17673</v>
      </c>
      <c r="C37798" s="74" t="s">
        <v>416</v>
      </c>
    </row>
    <row r="37799" spans="1:3">
      <c r="A37799" s="250">
        <v>90721</v>
      </c>
      <c r="B37799" s="74" t="s">
        <v>17673</v>
      </c>
      <c r="C37799" s="74" t="s">
        <v>416</v>
      </c>
    </row>
    <row r="37800" spans="1:3">
      <c r="A37800" s="250">
        <v>90723</v>
      </c>
      <c r="B37800" s="74" t="s">
        <v>17674</v>
      </c>
      <c r="C37800" s="74" t="s">
        <v>416</v>
      </c>
    </row>
    <row r="37801" spans="1:3">
      <c r="A37801" s="250">
        <v>90731</v>
      </c>
      <c r="B37801" s="74" t="s">
        <v>17675</v>
      </c>
      <c r="C37801" s="74" t="s">
        <v>416</v>
      </c>
    </row>
    <row r="37802" spans="1:3">
      <c r="A37802" s="250">
        <v>90732</v>
      </c>
      <c r="B37802" s="74" t="s">
        <v>17675</v>
      </c>
      <c r="C37802" s="74" t="s">
        <v>416</v>
      </c>
    </row>
    <row r="37803" spans="1:3">
      <c r="A37803" s="250">
        <v>90733</v>
      </c>
      <c r="B37803" s="74" t="s">
        <v>17675</v>
      </c>
      <c r="C37803" s="74" t="s">
        <v>416</v>
      </c>
    </row>
    <row r="37804" spans="1:3">
      <c r="A37804" s="250">
        <v>90734</v>
      </c>
      <c r="B37804" s="74" t="s">
        <v>17675</v>
      </c>
      <c r="C37804" s="74" t="s">
        <v>416</v>
      </c>
    </row>
    <row r="37805" spans="1:3">
      <c r="A37805" s="250">
        <v>90740</v>
      </c>
      <c r="B37805" s="74" t="s">
        <v>17676</v>
      </c>
      <c r="C37805" s="74" t="s">
        <v>416</v>
      </c>
    </row>
    <row r="37806" spans="1:3">
      <c r="A37806" s="250">
        <v>90742</v>
      </c>
      <c r="B37806" s="74" t="s">
        <v>7418</v>
      </c>
      <c r="C37806" s="74" t="s">
        <v>416</v>
      </c>
    </row>
    <row r="37807" spans="1:3">
      <c r="A37807" s="250">
        <v>90743</v>
      </c>
      <c r="B37807" s="74" t="s">
        <v>17677</v>
      </c>
      <c r="C37807" s="74" t="s">
        <v>416</v>
      </c>
    </row>
    <row r="37808" spans="1:3">
      <c r="A37808" s="250">
        <v>90744</v>
      </c>
      <c r="B37808" s="74" t="s">
        <v>831</v>
      </c>
      <c r="C37808" s="74" t="s">
        <v>416</v>
      </c>
    </row>
    <row r="37809" spans="1:3">
      <c r="A37809" s="250">
        <v>90745</v>
      </c>
      <c r="B37809" s="74" t="s">
        <v>6190</v>
      </c>
      <c r="C37809" s="74" t="s">
        <v>416</v>
      </c>
    </row>
    <row r="37810" spans="1:3">
      <c r="A37810" s="250">
        <v>90746</v>
      </c>
      <c r="B37810" s="74" t="s">
        <v>6190</v>
      </c>
      <c r="C37810" s="74" t="s">
        <v>416</v>
      </c>
    </row>
    <row r="37811" spans="1:3">
      <c r="A37811" s="250">
        <v>90747</v>
      </c>
      <c r="B37811" s="74" t="s">
        <v>6190</v>
      </c>
      <c r="C37811" s="74" t="s">
        <v>416</v>
      </c>
    </row>
    <row r="37812" spans="1:3">
      <c r="A37812" s="250">
        <v>90748</v>
      </c>
      <c r="B37812" s="74" t="s">
        <v>831</v>
      </c>
      <c r="C37812" s="74" t="s">
        <v>416</v>
      </c>
    </row>
    <row r="37813" spans="1:3">
      <c r="A37813" s="250">
        <v>90749</v>
      </c>
      <c r="B37813" s="74" t="s">
        <v>6190</v>
      </c>
      <c r="C37813" s="74" t="s">
        <v>416</v>
      </c>
    </row>
    <row r="37814" spans="1:3">
      <c r="A37814" s="250">
        <v>90755</v>
      </c>
      <c r="B37814" s="74" t="s">
        <v>17678</v>
      </c>
      <c r="C37814" s="74" t="s">
        <v>416</v>
      </c>
    </row>
    <row r="37815" spans="1:3">
      <c r="A37815" s="250">
        <v>90801</v>
      </c>
      <c r="B37815" s="74" t="s">
        <v>2780</v>
      </c>
      <c r="C37815" s="74" t="s">
        <v>416</v>
      </c>
    </row>
    <row r="37816" spans="1:3">
      <c r="A37816" s="250">
        <v>90802</v>
      </c>
      <c r="B37816" s="74" t="s">
        <v>2780</v>
      </c>
      <c r="C37816" s="74" t="s">
        <v>416</v>
      </c>
    </row>
    <row r="37817" spans="1:3">
      <c r="A37817" s="250">
        <v>90803</v>
      </c>
      <c r="B37817" s="74" t="s">
        <v>2780</v>
      </c>
      <c r="C37817" s="74" t="s">
        <v>416</v>
      </c>
    </row>
    <row r="37818" spans="1:3">
      <c r="A37818" s="250">
        <v>90804</v>
      </c>
      <c r="B37818" s="74" t="s">
        <v>2780</v>
      </c>
      <c r="C37818" s="74" t="s">
        <v>416</v>
      </c>
    </row>
    <row r="37819" spans="1:3">
      <c r="A37819" s="250">
        <v>90805</v>
      </c>
      <c r="B37819" s="74" t="s">
        <v>2780</v>
      </c>
      <c r="C37819" s="74" t="s">
        <v>416</v>
      </c>
    </row>
    <row r="37820" spans="1:3">
      <c r="A37820" s="250">
        <v>90806</v>
      </c>
      <c r="B37820" s="74" t="s">
        <v>2780</v>
      </c>
      <c r="C37820" s="74" t="s">
        <v>416</v>
      </c>
    </row>
    <row r="37821" spans="1:3">
      <c r="A37821" s="250">
        <v>90807</v>
      </c>
      <c r="B37821" s="74" t="s">
        <v>2780</v>
      </c>
      <c r="C37821" s="74" t="s">
        <v>416</v>
      </c>
    </row>
    <row r="37822" spans="1:3">
      <c r="A37822" s="250">
        <v>90808</v>
      </c>
      <c r="B37822" s="74" t="s">
        <v>2780</v>
      </c>
      <c r="C37822" s="74" t="s">
        <v>416</v>
      </c>
    </row>
    <row r="37823" spans="1:3">
      <c r="A37823" s="250">
        <v>90809</v>
      </c>
      <c r="B37823" s="74" t="s">
        <v>2780</v>
      </c>
      <c r="C37823" s="74" t="s">
        <v>416</v>
      </c>
    </row>
    <row r="37824" spans="1:3">
      <c r="A37824" s="250">
        <v>90810</v>
      </c>
      <c r="B37824" s="74" t="s">
        <v>2780</v>
      </c>
      <c r="C37824" s="74" t="s">
        <v>416</v>
      </c>
    </row>
    <row r="37825" spans="1:3">
      <c r="A37825" s="250">
        <v>90813</v>
      </c>
      <c r="B37825" s="74" t="s">
        <v>2780</v>
      </c>
      <c r="C37825" s="74" t="s">
        <v>416</v>
      </c>
    </row>
    <row r="37826" spans="1:3">
      <c r="A37826" s="250">
        <v>90814</v>
      </c>
      <c r="B37826" s="74" t="s">
        <v>2780</v>
      </c>
      <c r="C37826" s="74" t="s">
        <v>416</v>
      </c>
    </row>
    <row r="37827" spans="1:3">
      <c r="A37827" s="250">
        <v>90815</v>
      </c>
      <c r="B37827" s="74" t="s">
        <v>2780</v>
      </c>
      <c r="C37827" s="74" t="s">
        <v>416</v>
      </c>
    </row>
    <row r="37828" spans="1:3">
      <c r="A37828" s="250">
        <v>90822</v>
      </c>
      <c r="B37828" s="74" t="s">
        <v>2780</v>
      </c>
      <c r="C37828" s="74" t="s">
        <v>416</v>
      </c>
    </row>
    <row r="37829" spans="1:3">
      <c r="A37829" s="250">
        <v>90831</v>
      </c>
      <c r="B37829" s="74" t="s">
        <v>2780</v>
      </c>
      <c r="C37829" s="74" t="s">
        <v>416</v>
      </c>
    </row>
    <row r="37830" spans="1:3">
      <c r="A37830" s="250">
        <v>90832</v>
      </c>
      <c r="B37830" s="74" t="s">
        <v>2780</v>
      </c>
      <c r="C37830" s="74" t="s">
        <v>416</v>
      </c>
    </row>
    <row r="37831" spans="1:3">
      <c r="A37831" s="250">
        <v>90833</v>
      </c>
      <c r="B37831" s="74" t="s">
        <v>2780</v>
      </c>
      <c r="C37831" s="74" t="s">
        <v>416</v>
      </c>
    </row>
    <row r="37832" spans="1:3">
      <c r="A37832" s="250">
        <v>90834</v>
      </c>
      <c r="B37832" s="74" t="s">
        <v>2780</v>
      </c>
      <c r="C37832" s="74" t="s">
        <v>416</v>
      </c>
    </row>
    <row r="37833" spans="1:3">
      <c r="A37833" s="250">
        <v>90835</v>
      </c>
      <c r="B37833" s="74" t="s">
        <v>2780</v>
      </c>
      <c r="C37833" s="74" t="s">
        <v>416</v>
      </c>
    </row>
    <row r="37834" spans="1:3">
      <c r="A37834" s="250">
        <v>90840</v>
      </c>
      <c r="B37834" s="74" t="s">
        <v>2780</v>
      </c>
      <c r="C37834" s="74" t="s">
        <v>416</v>
      </c>
    </row>
    <row r="37835" spans="1:3">
      <c r="A37835" s="250">
        <v>90842</v>
      </c>
      <c r="B37835" s="74" t="s">
        <v>2780</v>
      </c>
      <c r="C37835" s="74" t="s">
        <v>416</v>
      </c>
    </row>
    <row r="37836" spans="1:3">
      <c r="A37836" s="250">
        <v>90844</v>
      </c>
      <c r="B37836" s="74" t="s">
        <v>2780</v>
      </c>
      <c r="C37836" s="74" t="s">
        <v>416</v>
      </c>
    </row>
    <row r="37837" spans="1:3">
      <c r="A37837" s="250">
        <v>90845</v>
      </c>
      <c r="B37837" s="74" t="s">
        <v>2780</v>
      </c>
      <c r="C37837" s="74" t="s">
        <v>416</v>
      </c>
    </row>
    <row r="37838" spans="1:3">
      <c r="A37838" s="250">
        <v>90846</v>
      </c>
      <c r="B37838" s="74" t="s">
        <v>2780</v>
      </c>
      <c r="C37838" s="74" t="s">
        <v>416</v>
      </c>
    </row>
    <row r="37839" spans="1:3">
      <c r="A37839" s="250">
        <v>90847</v>
      </c>
      <c r="B37839" s="74" t="s">
        <v>2780</v>
      </c>
      <c r="C37839" s="74" t="s">
        <v>416</v>
      </c>
    </row>
    <row r="37840" spans="1:3">
      <c r="A37840" s="250">
        <v>90848</v>
      </c>
      <c r="B37840" s="74" t="s">
        <v>2780</v>
      </c>
      <c r="C37840" s="74" t="s">
        <v>416</v>
      </c>
    </row>
    <row r="37841" spans="1:3">
      <c r="A37841" s="250">
        <v>90853</v>
      </c>
      <c r="B37841" s="74" t="s">
        <v>2780</v>
      </c>
      <c r="C37841" s="74" t="s">
        <v>416</v>
      </c>
    </row>
    <row r="37842" spans="1:3">
      <c r="A37842" s="250">
        <v>90888</v>
      </c>
      <c r="B37842" s="74" t="s">
        <v>2780</v>
      </c>
      <c r="C37842" s="74" t="s">
        <v>416</v>
      </c>
    </row>
    <row r="37843" spans="1:3">
      <c r="A37843" s="250">
        <v>90895</v>
      </c>
      <c r="B37843" s="74" t="s">
        <v>6190</v>
      </c>
      <c r="C37843" s="74" t="s">
        <v>416</v>
      </c>
    </row>
    <row r="37844" spans="1:3">
      <c r="A37844" s="250">
        <v>90899</v>
      </c>
      <c r="B37844" s="74" t="s">
        <v>2780</v>
      </c>
      <c r="C37844" s="74" t="s">
        <v>416</v>
      </c>
    </row>
    <row r="37845" spans="1:3">
      <c r="A37845" s="250">
        <v>91001</v>
      </c>
      <c r="B37845" s="74" t="s">
        <v>17679</v>
      </c>
      <c r="C37845" s="74" t="s">
        <v>416</v>
      </c>
    </row>
    <row r="37846" spans="1:3">
      <c r="A37846" s="250">
        <v>91003</v>
      </c>
      <c r="B37846" s="74" t="s">
        <v>17679</v>
      </c>
      <c r="C37846" s="74" t="s">
        <v>416</v>
      </c>
    </row>
    <row r="37847" spans="1:3">
      <c r="A37847" s="250">
        <v>91006</v>
      </c>
      <c r="B37847" s="74" t="s">
        <v>4258</v>
      </c>
      <c r="C37847" s="74" t="s">
        <v>416</v>
      </c>
    </row>
    <row r="37848" spans="1:3">
      <c r="A37848" s="250">
        <v>91007</v>
      </c>
      <c r="B37848" s="74" t="s">
        <v>4258</v>
      </c>
      <c r="C37848" s="74" t="s">
        <v>416</v>
      </c>
    </row>
    <row r="37849" spans="1:3">
      <c r="A37849" s="250">
        <v>91008</v>
      </c>
      <c r="B37849" s="74" t="s">
        <v>17680</v>
      </c>
      <c r="C37849" s="74" t="s">
        <v>416</v>
      </c>
    </row>
    <row r="37850" spans="1:3">
      <c r="A37850" s="250">
        <v>91009</v>
      </c>
      <c r="B37850" s="74" t="s">
        <v>17680</v>
      </c>
      <c r="C37850" s="74" t="s">
        <v>416</v>
      </c>
    </row>
    <row r="37851" spans="1:3">
      <c r="A37851" s="250">
        <v>91010</v>
      </c>
      <c r="B37851" s="74" t="s">
        <v>17680</v>
      </c>
      <c r="C37851" s="74" t="s">
        <v>416</v>
      </c>
    </row>
    <row r="37852" spans="1:3">
      <c r="A37852" s="250">
        <v>91011</v>
      </c>
      <c r="B37852" s="74" t="s">
        <v>17681</v>
      </c>
      <c r="C37852" s="74" t="s">
        <v>416</v>
      </c>
    </row>
    <row r="37853" spans="1:3">
      <c r="A37853" s="250">
        <v>91012</v>
      </c>
      <c r="B37853" s="74" t="s">
        <v>17681</v>
      </c>
      <c r="C37853" s="74" t="s">
        <v>416</v>
      </c>
    </row>
    <row r="37854" spans="1:3">
      <c r="A37854" s="250">
        <v>91016</v>
      </c>
      <c r="B37854" s="74" t="s">
        <v>5809</v>
      </c>
      <c r="C37854" s="74" t="s">
        <v>416</v>
      </c>
    </row>
    <row r="37855" spans="1:3">
      <c r="A37855" s="250">
        <v>91017</v>
      </c>
      <c r="B37855" s="74" t="s">
        <v>5809</v>
      </c>
      <c r="C37855" s="74" t="s">
        <v>416</v>
      </c>
    </row>
    <row r="37856" spans="1:3">
      <c r="A37856" s="250">
        <v>91020</v>
      </c>
      <c r="B37856" s="74" t="s">
        <v>2645</v>
      </c>
      <c r="C37856" s="74" t="s">
        <v>416</v>
      </c>
    </row>
    <row r="37857" spans="1:3">
      <c r="A37857" s="250">
        <v>91021</v>
      </c>
      <c r="B37857" s="74" t="s">
        <v>2645</v>
      </c>
      <c r="C37857" s="74" t="s">
        <v>416</v>
      </c>
    </row>
    <row r="37858" spans="1:3">
      <c r="A37858" s="250">
        <v>91023</v>
      </c>
      <c r="B37858" s="74" t="s">
        <v>17682</v>
      </c>
      <c r="C37858" s="74" t="s">
        <v>416</v>
      </c>
    </row>
    <row r="37859" spans="1:3">
      <c r="A37859" s="250">
        <v>91024</v>
      </c>
      <c r="B37859" s="74" t="s">
        <v>17683</v>
      </c>
      <c r="C37859" s="74" t="s">
        <v>416</v>
      </c>
    </row>
    <row r="37860" spans="1:3">
      <c r="A37860" s="250">
        <v>91025</v>
      </c>
      <c r="B37860" s="74" t="s">
        <v>17683</v>
      </c>
      <c r="C37860" s="74" t="s">
        <v>416</v>
      </c>
    </row>
    <row r="37861" spans="1:3">
      <c r="A37861" s="250">
        <v>91030</v>
      </c>
      <c r="B37861" s="74" t="s">
        <v>17684</v>
      </c>
      <c r="C37861" s="74" t="s">
        <v>416</v>
      </c>
    </row>
    <row r="37862" spans="1:3">
      <c r="A37862" s="250">
        <v>91031</v>
      </c>
      <c r="B37862" s="74" t="s">
        <v>17684</v>
      </c>
      <c r="C37862" s="74" t="s">
        <v>416</v>
      </c>
    </row>
    <row r="37863" spans="1:3">
      <c r="A37863" s="250">
        <v>91040</v>
      </c>
      <c r="B37863" s="74" t="s">
        <v>17685</v>
      </c>
      <c r="C37863" s="74" t="s">
        <v>416</v>
      </c>
    </row>
    <row r="37864" spans="1:3">
      <c r="A37864" s="250">
        <v>91041</v>
      </c>
      <c r="B37864" s="74" t="s">
        <v>17685</v>
      </c>
      <c r="C37864" s="74" t="s">
        <v>416</v>
      </c>
    </row>
    <row r="37865" spans="1:3">
      <c r="A37865" s="250">
        <v>91042</v>
      </c>
      <c r="B37865" s="74" t="s">
        <v>17686</v>
      </c>
      <c r="C37865" s="74" t="s">
        <v>416</v>
      </c>
    </row>
    <row r="37866" spans="1:3">
      <c r="A37866" s="250">
        <v>91043</v>
      </c>
      <c r="B37866" s="74" t="s">
        <v>17686</v>
      </c>
      <c r="C37866" s="74" t="s">
        <v>416</v>
      </c>
    </row>
    <row r="37867" spans="1:3">
      <c r="A37867" s="250">
        <v>91046</v>
      </c>
      <c r="B37867" s="74" t="s">
        <v>17687</v>
      </c>
      <c r="C37867" s="74" t="s">
        <v>416</v>
      </c>
    </row>
    <row r="37868" spans="1:3">
      <c r="A37868" s="250">
        <v>91066</v>
      </c>
      <c r="B37868" s="74" t="s">
        <v>4258</v>
      </c>
      <c r="C37868" s="74" t="s">
        <v>416</v>
      </c>
    </row>
    <row r="37869" spans="1:3">
      <c r="A37869" s="250">
        <v>91077</v>
      </c>
      <c r="B37869" s="74" t="s">
        <v>4258</v>
      </c>
      <c r="C37869" s="74" t="s">
        <v>416</v>
      </c>
    </row>
    <row r="37870" spans="1:3">
      <c r="A37870" s="250">
        <v>91101</v>
      </c>
      <c r="B37870" s="74" t="s">
        <v>5692</v>
      </c>
      <c r="C37870" s="74" t="s">
        <v>416</v>
      </c>
    </row>
    <row r="37871" spans="1:3">
      <c r="A37871" s="250">
        <v>91102</v>
      </c>
      <c r="B37871" s="74" t="s">
        <v>5692</v>
      </c>
      <c r="C37871" s="74" t="s">
        <v>416</v>
      </c>
    </row>
    <row r="37872" spans="1:3">
      <c r="A37872" s="250">
        <v>91103</v>
      </c>
      <c r="B37872" s="74" t="s">
        <v>5692</v>
      </c>
      <c r="C37872" s="74" t="s">
        <v>416</v>
      </c>
    </row>
    <row r="37873" spans="1:3">
      <c r="A37873" s="250">
        <v>91104</v>
      </c>
      <c r="B37873" s="74" t="s">
        <v>5692</v>
      </c>
      <c r="C37873" s="74" t="s">
        <v>416</v>
      </c>
    </row>
    <row r="37874" spans="1:3">
      <c r="A37874" s="250">
        <v>91105</v>
      </c>
      <c r="B37874" s="74" t="s">
        <v>5692</v>
      </c>
      <c r="C37874" s="74" t="s">
        <v>416</v>
      </c>
    </row>
    <row r="37875" spans="1:3">
      <c r="A37875" s="250">
        <v>91106</v>
      </c>
      <c r="B37875" s="74" t="s">
        <v>5692</v>
      </c>
      <c r="C37875" s="74" t="s">
        <v>416</v>
      </c>
    </row>
    <row r="37876" spans="1:3">
      <c r="A37876" s="250">
        <v>91107</v>
      </c>
      <c r="B37876" s="74" t="s">
        <v>5692</v>
      </c>
      <c r="C37876" s="74" t="s">
        <v>416</v>
      </c>
    </row>
    <row r="37877" spans="1:3">
      <c r="A37877" s="250">
        <v>91108</v>
      </c>
      <c r="B37877" s="74" t="s">
        <v>17688</v>
      </c>
      <c r="C37877" s="74" t="s">
        <v>416</v>
      </c>
    </row>
    <row r="37878" spans="1:3">
      <c r="A37878" s="250">
        <v>91109</v>
      </c>
      <c r="B37878" s="74" t="s">
        <v>5692</v>
      </c>
      <c r="C37878" s="74" t="s">
        <v>416</v>
      </c>
    </row>
    <row r="37879" spans="1:3">
      <c r="A37879" s="250">
        <v>91110</v>
      </c>
      <c r="B37879" s="74" t="s">
        <v>5692</v>
      </c>
      <c r="C37879" s="74" t="s">
        <v>416</v>
      </c>
    </row>
    <row r="37880" spans="1:3">
      <c r="A37880" s="250">
        <v>91114</v>
      </c>
      <c r="B37880" s="74" t="s">
        <v>5692</v>
      </c>
      <c r="C37880" s="74" t="s">
        <v>416</v>
      </c>
    </row>
    <row r="37881" spans="1:3">
      <c r="A37881" s="250">
        <v>91115</v>
      </c>
      <c r="B37881" s="74" t="s">
        <v>5692</v>
      </c>
      <c r="C37881" s="74" t="s">
        <v>416</v>
      </c>
    </row>
    <row r="37882" spans="1:3">
      <c r="A37882" s="250">
        <v>91116</v>
      </c>
      <c r="B37882" s="74" t="s">
        <v>5692</v>
      </c>
      <c r="C37882" s="74" t="s">
        <v>416</v>
      </c>
    </row>
    <row r="37883" spans="1:3">
      <c r="A37883" s="250">
        <v>91117</v>
      </c>
      <c r="B37883" s="74" t="s">
        <v>5692</v>
      </c>
      <c r="C37883" s="74" t="s">
        <v>416</v>
      </c>
    </row>
    <row r="37884" spans="1:3">
      <c r="A37884" s="250">
        <v>91118</v>
      </c>
      <c r="B37884" s="74" t="s">
        <v>17688</v>
      </c>
      <c r="C37884" s="74" t="s">
        <v>416</v>
      </c>
    </row>
    <row r="37885" spans="1:3">
      <c r="A37885" s="250">
        <v>91121</v>
      </c>
      <c r="B37885" s="74" t="s">
        <v>5692</v>
      </c>
      <c r="C37885" s="74" t="s">
        <v>416</v>
      </c>
    </row>
    <row r="37886" spans="1:3">
      <c r="A37886" s="250">
        <v>91123</v>
      </c>
      <c r="B37886" s="74" t="s">
        <v>5692</v>
      </c>
      <c r="C37886" s="74" t="s">
        <v>416</v>
      </c>
    </row>
    <row r="37887" spans="1:3">
      <c r="A37887" s="250">
        <v>91124</v>
      </c>
      <c r="B37887" s="74" t="s">
        <v>5692</v>
      </c>
      <c r="C37887" s="74" t="s">
        <v>416</v>
      </c>
    </row>
    <row r="37888" spans="1:3">
      <c r="A37888" s="250">
        <v>91125</v>
      </c>
      <c r="B37888" s="74" t="s">
        <v>5692</v>
      </c>
      <c r="C37888" s="74" t="s">
        <v>416</v>
      </c>
    </row>
    <row r="37889" spans="1:3">
      <c r="A37889" s="250">
        <v>91126</v>
      </c>
      <c r="B37889" s="74" t="s">
        <v>5692</v>
      </c>
      <c r="C37889" s="74" t="s">
        <v>416</v>
      </c>
    </row>
    <row r="37890" spans="1:3">
      <c r="A37890" s="250">
        <v>91129</v>
      </c>
      <c r="B37890" s="74" t="s">
        <v>5692</v>
      </c>
      <c r="C37890" s="74" t="s">
        <v>416</v>
      </c>
    </row>
    <row r="37891" spans="1:3">
      <c r="A37891" s="250">
        <v>91131</v>
      </c>
      <c r="B37891" s="74" t="s">
        <v>5692</v>
      </c>
      <c r="C37891" s="74" t="s">
        <v>416</v>
      </c>
    </row>
    <row r="37892" spans="1:3">
      <c r="A37892" s="250">
        <v>91182</v>
      </c>
      <c r="B37892" s="74" t="s">
        <v>5692</v>
      </c>
      <c r="C37892" s="74" t="s">
        <v>416</v>
      </c>
    </row>
    <row r="37893" spans="1:3">
      <c r="A37893" s="250">
        <v>91184</v>
      </c>
      <c r="B37893" s="74" t="s">
        <v>5692</v>
      </c>
      <c r="C37893" s="74" t="s">
        <v>416</v>
      </c>
    </row>
    <row r="37894" spans="1:3">
      <c r="A37894" s="250">
        <v>91185</v>
      </c>
      <c r="B37894" s="74" t="s">
        <v>5692</v>
      </c>
      <c r="C37894" s="74" t="s">
        <v>416</v>
      </c>
    </row>
    <row r="37895" spans="1:3">
      <c r="A37895" s="250">
        <v>91188</v>
      </c>
      <c r="B37895" s="74" t="s">
        <v>5692</v>
      </c>
      <c r="C37895" s="74" t="s">
        <v>416</v>
      </c>
    </row>
    <row r="37896" spans="1:3">
      <c r="A37896" s="250">
        <v>91189</v>
      </c>
      <c r="B37896" s="74" t="s">
        <v>5692</v>
      </c>
      <c r="C37896" s="74" t="s">
        <v>416</v>
      </c>
    </row>
    <row r="37897" spans="1:3">
      <c r="A37897" s="250">
        <v>91191</v>
      </c>
      <c r="B37897" s="74" t="s">
        <v>5692</v>
      </c>
      <c r="C37897" s="74" t="s">
        <v>416</v>
      </c>
    </row>
    <row r="37898" spans="1:3">
      <c r="A37898" s="250">
        <v>91199</v>
      </c>
      <c r="B37898" s="74" t="s">
        <v>5692</v>
      </c>
      <c r="C37898" s="74" t="s">
        <v>416</v>
      </c>
    </row>
    <row r="37899" spans="1:3">
      <c r="A37899" s="250">
        <v>91201</v>
      </c>
      <c r="B37899" s="74" t="s">
        <v>644</v>
      </c>
      <c r="C37899" s="74" t="s">
        <v>416</v>
      </c>
    </row>
    <row r="37900" spans="1:3">
      <c r="A37900" s="250">
        <v>91202</v>
      </c>
      <c r="B37900" s="74" t="s">
        <v>644</v>
      </c>
      <c r="C37900" s="74" t="s">
        <v>416</v>
      </c>
    </row>
    <row r="37901" spans="1:3">
      <c r="A37901" s="250">
        <v>91203</v>
      </c>
      <c r="B37901" s="74" t="s">
        <v>644</v>
      </c>
      <c r="C37901" s="74" t="s">
        <v>416</v>
      </c>
    </row>
    <row r="37902" spans="1:3">
      <c r="A37902" s="250">
        <v>91204</v>
      </c>
      <c r="B37902" s="74" t="s">
        <v>644</v>
      </c>
      <c r="C37902" s="74" t="s">
        <v>416</v>
      </c>
    </row>
    <row r="37903" spans="1:3">
      <c r="A37903" s="250">
        <v>91205</v>
      </c>
      <c r="B37903" s="74" t="s">
        <v>644</v>
      </c>
      <c r="C37903" s="74" t="s">
        <v>416</v>
      </c>
    </row>
    <row r="37904" spans="1:3">
      <c r="A37904" s="250">
        <v>91206</v>
      </c>
      <c r="B37904" s="74" t="s">
        <v>644</v>
      </c>
      <c r="C37904" s="74" t="s">
        <v>416</v>
      </c>
    </row>
    <row r="37905" spans="1:3">
      <c r="A37905" s="250">
        <v>91207</v>
      </c>
      <c r="B37905" s="74" t="s">
        <v>644</v>
      </c>
      <c r="C37905" s="74" t="s">
        <v>416</v>
      </c>
    </row>
    <row r="37906" spans="1:3">
      <c r="A37906" s="250">
        <v>91208</v>
      </c>
      <c r="B37906" s="74" t="s">
        <v>644</v>
      </c>
      <c r="C37906" s="74" t="s">
        <v>416</v>
      </c>
    </row>
    <row r="37907" spans="1:3">
      <c r="A37907" s="250">
        <v>91209</v>
      </c>
      <c r="B37907" s="74" t="s">
        <v>644</v>
      </c>
      <c r="C37907" s="74" t="s">
        <v>416</v>
      </c>
    </row>
    <row r="37908" spans="1:3">
      <c r="A37908" s="250">
        <v>91210</v>
      </c>
      <c r="B37908" s="74" t="s">
        <v>644</v>
      </c>
      <c r="C37908" s="74" t="s">
        <v>416</v>
      </c>
    </row>
    <row r="37909" spans="1:3">
      <c r="A37909" s="250">
        <v>91214</v>
      </c>
      <c r="B37909" s="74" t="s">
        <v>17689</v>
      </c>
      <c r="C37909" s="74" t="s">
        <v>416</v>
      </c>
    </row>
    <row r="37910" spans="1:3">
      <c r="A37910" s="250">
        <v>91221</v>
      </c>
      <c r="B37910" s="74" t="s">
        <v>644</v>
      </c>
      <c r="C37910" s="74" t="s">
        <v>416</v>
      </c>
    </row>
    <row r="37911" spans="1:3">
      <c r="A37911" s="250">
        <v>91222</v>
      </c>
      <c r="B37911" s="74" t="s">
        <v>644</v>
      </c>
      <c r="C37911" s="74" t="s">
        <v>416</v>
      </c>
    </row>
    <row r="37912" spans="1:3">
      <c r="A37912" s="250">
        <v>91224</v>
      </c>
      <c r="B37912" s="74" t="s">
        <v>17689</v>
      </c>
      <c r="C37912" s="74" t="s">
        <v>416</v>
      </c>
    </row>
    <row r="37913" spans="1:3">
      <c r="A37913" s="250">
        <v>91225</v>
      </c>
      <c r="B37913" s="74" t="s">
        <v>644</v>
      </c>
      <c r="C37913" s="74" t="s">
        <v>416</v>
      </c>
    </row>
    <row r="37914" spans="1:3">
      <c r="A37914" s="250">
        <v>91226</v>
      </c>
      <c r="B37914" s="74" t="s">
        <v>644</v>
      </c>
      <c r="C37914" s="74" t="s">
        <v>416</v>
      </c>
    </row>
    <row r="37915" spans="1:3">
      <c r="A37915" s="250">
        <v>91301</v>
      </c>
      <c r="B37915" s="74" t="s">
        <v>17690</v>
      </c>
      <c r="C37915" s="74" t="s">
        <v>416</v>
      </c>
    </row>
    <row r="37916" spans="1:3">
      <c r="A37916" s="250">
        <v>91302</v>
      </c>
      <c r="B37916" s="74" t="s">
        <v>17691</v>
      </c>
      <c r="C37916" s="74" t="s">
        <v>416</v>
      </c>
    </row>
    <row r="37917" spans="1:3">
      <c r="A37917" s="250">
        <v>91303</v>
      </c>
      <c r="B37917" s="74" t="s">
        <v>17692</v>
      </c>
      <c r="C37917" s="74" t="s">
        <v>416</v>
      </c>
    </row>
    <row r="37918" spans="1:3">
      <c r="A37918" s="250">
        <v>91304</v>
      </c>
      <c r="B37918" s="74" t="s">
        <v>17692</v>
      </c>
      <c r="C37918" s="74" t="s">
        <v>416</v>
      </c>
    </row>
    <row r="37919" spans="1:3">
      <c r="A37919" s="250">
        <v>91305</v>
      </c>
      <c r="B37919" s="74" t="s">
        <v>17692</v>
      </c>
      <c r="C37919" s="74" t="s">
        <v>416</v>
      </c>
    </row>
    <row r="37920" spans="1:3">
      <c r="A37920" s="250">
        <v>91306</v>
      </c>
      <c r="B37920" s="74" t="s">
        <v>13459</v>
      </c>
      <c r="C37920" s="74" t="s">
        <v>416</v>
      </c>
    </row>
    <row r="37921" spans="1:3">
      <c r="A37921" s="250">
        <v>91307</v>
      </c>
      <c r="B37921" s="74" t="s">
        <v>17693</v>
      </c>
      <c r="C37921" s="74" t="s">
        <v>416</v>
      </c>
    </row>
    <row r="37922" spans="1:3">
      <c r="A37922" s="250">
        <v>91308</v>
      </c>
      <c r="B37922" s="74" t="s">
        <v>17693</v>
      </c>
      <c r="C37922" s="74" t="s">
        <v>416</v>
      </c>
    </row>
    <row r="37923" spans="1:3">
      <c r="A37923" s="250">
        <v>91309</v>
      </c>
      <c r="B37923" s="74" t="s">
        <v>17692</v>
      </c>
      <c r="C37923" s="74" t="s">
        <v>416</v>
      </c>
    </row>
    <row r="37924" spans="1:3">
      <c r="A37924" s="250">
        <v>91310</v>
      </c>
      <c r="B37924" s="74" t="s">
        <v>17694</v>
      </c>
      <c r="C37924" s="74" t="s">
        <v>416</v>
      </c>
    </row>
    <row r="37925" spans="1:3">
      <c r="A37925" s="250">
        <v>91311</v>
      </c>
      <c r="B37925" s="74" t="s">
        <v>2373</v>
      </c>
      <c r="C37925" s="74" t="s">
        <v>416</v>
      </c>
    </row>
    <row r="37926" spans="1:3">
      <c r="A37926" s="250">
        <v>91313</v>
      </c>
      <c r="B37926" s="74" t="s">
        <v>2373</v>
      </c>
      <c r="C37926" s="74" t="s">
        <v>416</v>
      </c>
    </row>
    <row r="37927" spans="1:3">
      <c r="A37927" s="250">
        <v>91316</v>
      </c>
      <c r="B37927" s="74" t="s">
        <v>16344</v>
      </c>
      <c r="C37927" s="74" t="s">
        <v>416</v>
      </c>
    </row>
    <row r="37928" spans="1:3">
      <c r="A37928" s="250">
        <v>91319</v>
      </c>
      <c r="B37928" s="74" t="s">
        <v>17695</v>
      </c>
      <c r="C37928" s="74" t="s">
        <v>416</v>
      </c>
    </row>
    <row r="37929" spans="1:3">
      <c r="A37929" s="250">
        <v>91320</v>
      </c>
      <c r="B37929" s="74" t="s">
        <v>17695</v>
      </c>
      <c r="C37929" s="74" t="s">
        <v>416</v>
      </c>
    </row>
    <row r="37930" spans="1:3">
      <c r="A37930" s="250">
        <v>91321</v>
      </c>
      <c r="B37930" s="74" t="s">
        <v>6524</v>
      </c>
      <c r="C37930" s="74" t="s">
        <v>416</v>
      </c>
    </row>
    <row r="37931" spans="1:3">
      <c r="A37931" s="250">
        <v>91322</v>
      </c>
      <c r="B37931" s="74" t="s">
        <v>6524</v>
      </c>
      <c r="C37931" s="74" t="s">
        <v>416</v>
      </c>
    </row>
    <row r="37932" spans="1:3">
      <c r="A37932" s="250">
        <v>91324</v>
      </c>
      <c r="B37932" s="74" t="s">
        <v>17696</v>
      </c>
      <c r="C37932" s="74" t="s">
        <v>416</v>
      </c>
    </row>
    <row r="37933" spans="1:3">
      <c r="A37933" s="250">
        <v>91325</v>
      </c>
      <c r="B37933" s="74" t="s">
        <v>17696</v>
      </c>
      <c r="C37933" s="74" t="s">
        <v>416</v>
      </c>
    </row>
    <row r="37934" spans="1:3">
      <c r="A37934" s="250">
        <v>91326</v>
      </c>
      <c r="B37934" s="74" t="s">
        <v>17697</v>
      </c>
      <c r="C37934" s="74" t="s">
        <v>416</v>
      </c>
    </row>
    <row r="37935" spans="1:3">
      <c r="A37935" s="250">
        <v>91327</v>
      </c>
      <c r="B37935" s="74" t="s">
        <v>17696</v>
      </c>
      <c r="C37935" s="74" t="s">
        <v>416</v>
      </c>
    </row>
    <row r="37936" spans="1:3">
      <c r="A37936" s="250">
        <v>91328</v>
      </c>
      <c r="B37936" s="74" t="s">
        <v>17696</v>
      </c>
      <c r="C37936" s="74" t="s">
        <v>416</v>
      </c>
    </row>
    <row r="37937" spans="1:3">
      <c r="A37937" s="250">
        <v>91329</v>
      </c>
      <c r="B37937" s="74" t="s">
        <v>17696</v>
      </c>
      <c r="C37937" s="74" t="s">
        <v>416</v>
      </c>
    </row>
    <row r="37938" spans="1:3">
      <c r="A37938" s="250">
        <v>91330</v>
      </c>
      <c r="B37938" s="74" t="s">
        <v>17696</v>
      </c>
      <c r="C37938" s="74" t="s">
        <v>416</v>
      </c>
    </row>
    <row r="37939" spans="1:3">
      <c r="A37939" s="250">
        <v>91331</v>
      </c>
      <c r="B37939" s="74" t="s">
        <v>17698</v>
      </c>
      <c r="C37939" s="74" t="s">
        <v>416</v>
      </c>
    </row>
    <row r="37940" spans="1:3">
      <c r="A37940" s="250">
        <v>91333</v>
      </c>
      <c r="B37940" s="74" t="s">
        <v>17698</v>
      </c>
      <c r="C37940" s="74" t="s">
        <v>416</v>
      </c>
    </row>
    <row r="37941" spans="1:3">
      <c r="A37941" s="250">
        <v>91334</v>
      </c>
      <c r="B37941" s="74" t="s">
        <v>17698</v>
      </c>
      <c r="C37941" s="74" t="s">
        <v>416</v>
      </c>
    </row>
    <row r="37942" spans="1:3">
      <c r="A37942" s="250">
        <v>91335</v>
      </c>
      <c r="B37942" s="74" t="s">
        <v>17699</v>
      </c>
      <c r="C37942" s="74" t="s">
        <v>416</v>
      </c>
    </row>
    <row r="37943" spans="1:3">
      <c r="A37943" s="250">
        <v>91337</v>
      </c>
      <c r="B37943" s="74" t="s">
        <v>17699</v>
      </c>
      <c r="C37943" s="74" t="s">
        <v>416</v>
      </c>
    </row>
    <row r="37944" spans="1:3">
      <c r="A37944" s="250">
        <v>91340</v>
      </c>
      <c r="B37944" s="74" t="s">
        <v>17700</v>
      </c>
      <c r="C37944" s="74" t="s">
        <v>416</v>
      </c>
    </row>
    <row r="37945" spans="1:3">
      <c r="A37945" s="250">
        <v>91341</v>
      </c>
      <c r="B37945" s="74" t="s">
        <v>17700</v>
      </c>
      <c r="C37945" s="74" t="s">
        <v>416</v>
      </c>
    </row>
    <row r="37946" spans="1:3">
      <c r="A37946" s="250">
        <v>91342</v>
      </c>
      <c r="B37946" s="74" t="s">
        <v>17701</v>
      </c>
      <c r="C37946" s="74" t="s">
        <v>416</v>
      </c>
    </row>
    <row r="37947" spans="1:3">
      <c r="A37947" s="250">
        <v>91343</v>
      </c>
      <c r="B37947" s="74" t="s">
        <v>17702</v>
      </c>
      <c r="C37947" s="74" t="s">
        <v>416</v>
      </c>
    </row>
    <row r="37948" spans="1:3">
      <c r="A37948" s="250">
        <v>91344</v>
      </c>
      <c r="B37948" s="74" t="s">
        <v>17703</v>
      </c>
      <c r="C37948" s="74" t="s">
        <v>416</v>
      </c>
    </row>
    <row r="37949" spans="1:3">
      <c r="A37949" s="250">
        <v>91345</v>
      </c>
      <c r="B37949" s="74" t="s">
        <v>17704</v>
      </c>
      <c r="C37949" s="74" t="s">
        <v>416</v>
      </c>
    </row>
    <row r="37950" spans="1:3">
      <c r="A37950" s="250">
        <v>91346</v>
      </c>
      <c r="B37950" s="74" t="s">
        <v>17704</v>
      </c>
      <c r="C37950" s="74" t="s">
        <v>416</v>
      </c>
    </row>
    <row r="37951" spans="1:3">
      <c r="A37951" s="250">
        <v>91350</v>
      </c>
      <c r="B37951" s="74" t="s">
        <v>17705</v>
      </c>
      <c r="C37951" s="74" t="s">
        <v>416</v>
      </c>
    </row>
    <row r="37952" spans="1:3">
      <c r="A37952" s="250">
        <v>91351</v>
      </c>
      <c r="B37952" s="74" t="s">
        <v>17706</v>
      </c>
      <c r="C37952" s="74" t="s">
        <v>416</v>
      </c>
    </row>
    <row r="37953" spans="1:3">
      <c r="A37953" s="250">
        <v>91352</v>
      </c>
      <c r="B37953" s="74" t="s">
        <v>16958</v>
      </c>
      <c r="C37953" s="74" t="s">
        <v>416</v>
      </c>
    </row>
    <row r="37954" spans="1:3">
      <c r="A37954" s="250">
        <v>91353</v>
      </c>
      <c r="B37954" s="74" t="s">
        <v>16958</v>
      </c>
      <c r="C37954" s="74" t="s">
        <v>416</v>
      </c>
    </row>
    <row r="37955" spans="1:3">
      <c r="A37955" s="250">
        <v>91354</v>
      </c>
      <c r="B37955" s="74" t="s">
        <v>4405</v>
      </c>
      <c r="C37955" s="74" t="s">
        <v>416</v>
      </c>
    </row>
    <row r="37956" spans="1:3">
      <c r="A37956" s="250">
        <v>91355</v>
      </c>
      <c r="B37956" s="74" t="s">
        <v>4405</v>
      </c>
      <c r="C37956" s="74" t="s">
        <v>416</v>
      </c>
    </row>
    <row r="37957" spans="1:3">
      <c r="A37957" s="250">
        <v>91356</v>
      </c>
      <c r="B37957" s="74" t="s">
        <v>17707</v>
      </c>
      <c r="C37957" s="74" t="s">
        <v>416</v>
      </c>
    </row>
    <row r="37958" spans="1:3">
      <c r="A37958" s="250">
        <v>91357</v>
      </c>
      <c r="B37958" s="74" t="s">
        <v>17707</v>
      </c>
      <c r="C37958" s="74" t="s">
        <v>416</v>
      </c>
    </row>
    <row r="37959" spans="1:3">
      <c r="A37959" s="250">
        <v>91358</v>
      </c>
      <c r="B37959" s="74" t="s">
        <v>17708</v>
      </c>
      <c r="C37959" s="74" t="s">
        <v>416</v>
      </c>
    </row>
    <row r="37960" spans="1:3">
      <c r="A37960" s="250">
        <v>91359</v>
      </c>
      <c r="B37960" s="74" t="s">
        <v>17709</v>
      </c>
      <c r="C37960" s="74" t="s">
        <v>416</v>
      </c>
    </row>
    <row r="37961" spans="1:3">
      <c r="A37961" s="250">
        <v>91360</v>
      </c>
      <c r="B37961" s="74" t="s">
        <v>17708</v>
      </c>
      <c r="C37961" s="74" t="s">
        <v>416</v>
      </c>
    </row>
    <row r="37962" spans="1:3">
      <c r="A37962" s="250">
        <v>91361</v>
      </c>
      <c r="B37962" s="74" t="s">
        <v>17709</v>
      </c>
      <c r="C37962" s="74" t="s">
        <v>416</v>
      </c>
    </row>
    <row r="37963" spans="1:3">
      <c r="A37963" s="250">
        <v>91362</v>
      </c>
      <c r="B37963" s="74" t="s">
        <v>17708</v>
      </c>
      <c r="C37963" s="74" t="s">
        <v>416</v>
      </c>
    </row>
    <row r="37964" spans="1:3">
      <c r="A37964" s="250">
        <v>91363</v>
      </c>
      <c r="B37964" s="74" t="s">
        <v>17708</v>
      </c>
      <c r="C37964" s="74" t="s">
        <v>416</v>
      </c>
    </row>
    <row r="37965" spans="1:3">
      <c r="A37965" s="250">
        <v>91364</v>
      </c>
      <c r="B37965" s="74" t="s">
        <v>17710</v>
      </c>
      <c r="C37965" s="74" t="s">
        <v>416</v>
      </c>
    </row>
    <row r="37966" spans="1:3">
      <c r="A37966" s="250">
        <v>91365</v>
      </c>
      <c r="B37966" s="74" t="s">
        <v>17710</v>
      </c>
      <c r="C37966" s="74" t="s">
        <v>416</v>
      </c>
    </row>
    <row r="37967" spans="1:3">
      <c r="A37967" s="250">
        <v>91367</v>
      </c>
      <c r="B37967" s="74" t="s">
        <v>17710</v>
      </c>
      <c r="C37967" s="74" t="s">
        <v>416</v>
      </c>
    </row>
    <row r="37968" spans="1:3">
      <c r="A37968" s="250">
        <v>91371</v>
      </c>
      <c r="B37968" s="74" t="s">
        <v>17710</v>
      </c>
      <c r="C37968" s="74" t="s">
        <v>416</v>
      </c>
    </row>
    <row r="37969" spans="1:3">
      <c r="A37969" s="250">
        <v>91372</v>
      </c>
      <c r="B37969" s="74" t="s">
        <v>17691</v>
      </c>
      <c r="C37969" s="74" t="s">
        <v>416</v>
      </c>
    </row>
    <row r="37970" spans="1:3">
      <c r="A37970" s="250">
        <v>91376</v>
      </c>
      <c r="B37970" s="74" t="s">
        <v>17690</v>
      </c>
      <c r="C37970" s="74" t="s">
        <v>416</v>
      </c>
    </row>
    <row r="37971" spans="1:3">
      <c r="A37971" s="250">
        <v>91377</v>
      </c>
      <c r="B37971" s="74" t="s">
        <v>11040</v>
      </c>
      <c r="C37971" s="74" t="s">
        <v>416</v>
      </c>
    </row>
    <row r="37972" spans="1:3">
      <c r="A37972" s="250">
        <v>91380</v>
      </c>
      <c r="B37972" s="74" t="s">
        <v>17705</v>
      </c>
      <c r="C37972" s="74" t="s">
        <v>416</v>
      </c>
    </row>
    <row r="37973" spans="1:3">
      <c r="A37973" s="250">
        <v>91381</v>
      </c>
      <c r="B37973" s="74" t="s">
        <v>17711</v>
      </c>
      <c r="C37973" s="74" t="s">
        <v>416</v>
      </c>
    </row>
    <row r="37974" spans="1:3">
      <c r="A37974" s="250">
        <v>91382</v>
      </c>
      <c r="B37974" s="74" t="s">
        <v>17705</v>
      </c>
      <c r="C37974" s="74" t="s">
        <v>416</v>
      </c>
    </row>
    <row r="37975" spans="1:3">
      <c r="A37975" s="250">
        <v>91383</v>
      </c>
      <c r="B37975" s="74" t="s">
        <v>17705</v>
      </c>
      <c r="C37975" s="74" t="s">
        <v>416</v>
      </c>
    </row>
    <row r="37976" spans="1:3">
      <c r="A37976" s="250">
        <v>91384</v>
      </c>
      <c r="B37976" s="74" t="s">
        <v>17694</v>
      </c>
      <c r="C37976" s="74" t="s">
        <v>416</v>
      </c>
    </row>
    <row r="37977" spans="1:3">
      <c r="A37977" s="250">
        <v>91385</v>
      </c>
      <c r="B37977" s="74" t="s">
        <v>4405</v>
      </c>
      <c r="C37977" s="74" t="s">
        <v>416</v>
      </c>
    </row>
    <row r="37978" spans="1:3">
      <c r="A37978" s="250">
        <v>91386</v>
      </c>
      <c r="B37978" s="74" t="s">
        <v>17706</v>
      </c>
      <c r="C37978" s="74" t="s">
        <v>416</v>
      </c>
    </row>
    <row r="37979" spans="1:3">
      <c r="A37979" s="250">
        <v>91387</v>
      </c>
      <c r="B37979" s="74" t="s">
        <v>17706</v>
      </c>
      <c r="C37979" s="74" t="s">
        <v>416</v>
      </c>
    </row>
    <row r="37980" spans="1:3">
      <c r="A37980" s="250">
        <v>91388</v>
      </c>
      <c r="B37980" s="74" t="s">
        <v>17712</v>
      </c>
      <c r="C37980" s="74" t="s">
        <v>416</v>
      </c>
    </row>
    <row r="37981" spans="1:3">
      <c r="A37981" s="250">
        <v>91390</v>
      </c>
      <c r="B37981" s="74" t="s">
        <v>17705</v>
      </c>
      <c r="C37981" s="74" t="s">
        <v>416</v>
      </c>
    </row>
    <row r="37982" spans="1:3">
      <c r="A37982" s="250">
        <v>91392</v>
      </c>
      <c r="B37982" s="74" t="s">
        <v>17701</v>
      </c>
      <c r="C37982" s="74" t="s">
        <v>416</v>
      </c>
    </row>
    <row r="37983" spans="1:3">
      <c r="A37983" s="250">
        <v>91393</v>
      </c>
      <c r="B37983" s="74" t="s">
        <v>17702</v>
      </c>
      <c r="C37983" s="74" t="s">
        <v>416</v>
      </c>
    </row>
    <row r="37984" spans="1:3">
      <c r="A37984" s="250">
        <v>91394</v>
      </c>
      <c r="B37984" s="74" t="s">
        <v>17703</v>
      </c>
      <c r="C37984" s="74" t="s">
        <v>416</v>
      </c>
    </row>
    <row r="37985" spans="1:3">
      <c r="A37985" s="250">
        <v>91395</v>
      </c>
      <c r="B37985" s="74" t="s">
        <v>17704</v>
      </c>
      <c r="C37985" s="74" t="s">
        <v>416</v>
      </c>
    </row>
    <row r="37986" spans="1:3">
      <c r="A37986" s="250">
        <v>91396</v>
      </c>
      <c r="B37986" s="74" t="s">
        <v>13459</v>
      </c>
      <c r="C37986" s="74" t="s">
        <v>416</v>
      </c>
    </row>
    <row r="37987" spans="1:3">
      <c r="A37987" s="250">
        <v>91399</v>
      </c>
      <c r="B37987" s="74" t="s">
        <v>17710</v>
      </c>
      <c r="C37987" s="74" t="s">
        <v>416</v>
      </c>
    </row>
    <row r="37988" spans="1:3">
      <c r="A37988" s="250">
        <v>91401</v>
      </c>
      <c r="B37988" s="74" t="s">
        <v>17712</v>
      </c>
      <c r="C37988" s="74" t="s">
        <v>416</v>
      </c>
    </row>
    <row r="37989" spans="1:3">
      <c r="A37989" s="250">
        <v>91402</v>
      </c>
      <c r="B37989" s="74" t="s">
        <v>17713</v>
      </c>
      <c r="C37989" s="74" t="s">
        <v>416</v>
      </c>
    </row>
    <row r="37990" spans="1:3">
      <c r="A37990" s="250">
        <v>91403</v>
      </c>
      <c r="B37990" s="74" t="s">
        <v>17714</v>
      </c>
      <c r="C37990" s="74" t="s">
        <v>416</v>
      </c>
    </row>
    <row r="37991" spans="1:3">
      <c r="A37991" s="250">
        <v>91404</v>
      </c>
      <c r="B37991" s="74" t="s">
        <v>17712</v>
      </c>
      <c r="C37991" s="74" t="s">
        <v>416</v>
      </c>
    </row>
    <row r="37992" spans="1:3">
      <c r="A37992" s="250">
        <v>91405</v>
      </c>
      <c r="B37992" s="74" t="s">
        <v>17712</v>
      </c>
      <c r="C37992" s="74" t="s">
        <v>416</v>
      </c>
    </row>
    <row r="37993" spans="1:3">
      <c r="A37993" s="250">
        <v>91406</v>
      </c>
      <c r="B37993" s="74" t="s">
        <v>17712</v>
      </c>
      <c r="C37993" s="74" t="s">
        <v>416</v>
      </c>
    </row>
    <row r="37994" spans="1:3">
      <c r="A37994" s="250">
        <v>91407</v>
      </c>
      <c r="B37994" s="74" t="s">
        <v>17712</v>
      </c>
      <c r="C37994" s="74" t="s">
        <v>416</v>
      </c>
    </row>
    <row r="37995" spans="1:3">
      <c r="A37995" s="250">
        <v>91408</v>
      </c>
      <c r="B37995" s="74" t="s">
        <v>17712</v>
      </c>
      <c r="C37995" s="74" t="s">
        <v>416</v>
      </c>
    </row>
    <row r="37996" spans="1:3">
      <c r="A37996" s="250">
        <v>91409</v>
      </c>
      <c r="B37996" s="74" t="s">
        <v>17712</v>
      </c>
      <c r="C37996" s="74" t="s">
        <v>416</v>
      </c>
    </row>
    <row r="37997" spans="1:3">
      <c r="A37997" s="250">
        <v>91410</v>
      </c>
      <c r="B37997" s="74" t="s">
        <v>17712</v>
      </c>
      <c r="C37997" s="74" t="s">
        <v>416</v>
      </c>
    </row>
    <row r="37998" spans="1:3">
      <c r="A37998" s="250">
        <v>91411</v>
      </c>
      <c r="B37998" s="74" t="s">
        <v>17712</v>
      </c>
      <c r="C37998" s="74" t="s">
        <v>416</v>
      </c>
    </row>
    <row r="37999" spans="1:3">
      <c r="A37999" s="250">
        <v>91412</v>
      </c>
      <c r="B37999" s="74" t="s">
        <v>17713</v>
      </c>
      <c r="C37999" s="74" t="s">
        <v>416</v>
      </c>
    </row>
    <row r="38000" spans="1:3">
      <c r="A38000" s="250">
        <v>91413</v>
      </c>
      <c r="B38000" s="74" t="s">
        <v>17714</v>
      </c>
      <c r="C38000" s="74" t="s">
        <v>416</v>
      </c>
    </row>
    <row r="38001" spans="1:3">
      <c r="A38001" s="250">
        <v>91416</v>
      </c>
      <c r="B38001" s="74" t="s">
        <v>16344</v>
      </c>
      <c r="C38001" s="74" t="s">
        <v>416</v>
      </c>
    </row>
    <row r="38002" spans="1:3">
      <c r="A38002" s="250">
        <v>91423</v>
      </c>
      <c r="B38002" s="74" t="s">
        <v>17714</v>
      </c>
      <c r="C38002" s="74" t="s">
        <v>416</v>
      </c>
    </row>
    <row r="38003" spans="1:3">
      <c r="A38003" s="250">
        <v>91426</v>
      </c>
      <c r="B38003" s="74" t="s">
        <v>16344</v>
      </c>
      <c r="C38003" s="74" t="s">
        <v>416</v>
      </c>
    </row>
    <row r="38004" spans="1:3">
      <c r="A38004" s="250">
        <v>91436</v>
      </c>
      <c r="B38004" s="74" t="s">
        <v>16344</v>
      </c>
      <c r="C38004" s="74" t="s">
        <v>416</v>
      </c>
    </row>
    <row r="38005" spans="1:3">
      <c r="A38005" s="250">
        <v>91470</v>
      </c>
      <c r="B38005" s="74" t="s">
        <v>17712</v>
      </c>
      <c r="C38005" s="74" t="s">
        <v>416</v>
      </c>
    </row>
    <row r="38006" spans="1:3">
      <c r="A38006" s="250">
        <v>91482</v>
      </c>
      <c r="B38006" s="74" t="s">
        <v>17712</v>
      </c>
      <c r="C38006" s="74" t="s">
        <v>416</v>
      </c>
    </row>
    <row r="38007" spans="1:3">
      <c r="A38007" s="250">
        <v>91495</v>
      </c>
      <c r="B38007" s="74" t="s">
        <v>17714</v>
      </c>
      <c r="C38007" s="74" t="s">
        <v>416</v>
      </c>
    </row>
    <row r="38008" spans="1:3">
      <c r="A38008" s="250">
        <v>91496</v>
      </c>
      <c r="B38008" s="74" t="s">
        <v>17712</v>
      </c>
      <c r="C38008" s="74" t="s">
        <v>416</v>
      </c>
    </row>
    <row r="38009" spans="1:3">
      <c r="A38009" s="250">
        <v>91497</v>
      </c>
      <c r="B38009" s="74" t="s">
        <v>17712</v>
      </c>
      <c r="C38009" s="74" t="s">
        <v>416</v>
      </c>
    </row>
    <row r="38010" spans="1:3">
      <c r="A38010" s="250">
        <v>91499</v>
      </c>
      <c r="B38010" s="74" t="s">
        <v>17712</v>
      </c>
      <c r="C38010" s="74" t="s">
        <v>416</v>
      </c>
    </row>
    <row r="38011" spans="1:3">
      <c r="A38011" s="250">
        <v>91501</v>
      </c>
      <c r="B38011" s="74" t="s">
        <v>10335</v>
      </c>
      <c r="C38011" s="74" t="s">
        <v>416</v>
      </c>
    </row>
    <row r="38012" spans="1:3">
      <c r="A38012" s="250">
        <v>91502</v>
      </c>
      <c r="B38012" s="74" t="s">
        <v>10335</v>
      </c>
      <c r="C38012" s="74" t="s">
        <v>416</v>
      </c>
    </row>
    <row r="38013" spans="1:3">
      <c r="A38013" s="250">
        <v>91503</v>
      </c>
      <c r="B38013" s="74" t="s">
        <v>10335</v>
      </c>
      <c r="C38013" s="74" t="s">
        <v>416</v>
      </c>
    </row>
    <row r="38014" spans="1:3">
      <c r="A38014" s="250">
        <v>91504</v>
      </c>
      <c r="B38014" s="74" t="s">
        <v>10335</v>
      </c>
      <c r="C38014" s="74" t="s">
        <v>416</v>
      </c>
    </row>
    <row r="38015" spans="1:3">
      <c r="A38015" s="250">
        <v>91505</v>
      </c>
      <c r="B38015" s="74" t="s">
        <v>10335</v>
      </c>
      <c r="C38015" s="74" t="s">
        <v>416</v>
      </c>
    </row>
    <row r="38016" spans="1:3">
      <c r="A38016" s="250">
        <v>91506</v>
      </c>
      <c r="B38016" s="74" t="s">
        <v>10335</v>
      </c>
      <c r="C38016" s="74" t="s">
        <v>416</v>
      </c>
    </row>
    <row r="38017" spans="1:3">
      <c r="A38017" s="250">
        <v>91507</v>
      </c>
      <c r="B38017" s="74" t="s">
        <v>10335</v>
      </c>
      <c r="C38017" s="74" t="s">
        <v>416</v>
      </c>
    </row>
    <row r="38018" spans="1:3">
      <c r="A38018" s="250">
        <v>91508</v>
      </c>
      <c r="B38018" s="74" t="s">
        <v>10335</v>
      </c>
      <c r="C38018" s="74" t="s">
        <v>416</v>
      </c>
    </row>
    <row r="38019" spans="1:3">
      <c r="A38019" s="250">
        <v>91510</v>
      </c>
      <c r="B38019" s="74" t="s">
        <v>10335</v>
      </c>
      <c r="C38019" s="74" t="s">
        <v>416</v>
      </c>
    </row>
    <row r="38020" spans="1:3">
      <c r="A38020" s="250">
        <v>91521</v>
      </c>
      <c r="B38020" s="74" t="s">
        <v>10335</v>
      </c>
      <c r="C38020" s="74" t="s">
        <v>416</v>
      </c>
    </row>
    <row r="38021" spans="1:3">
      <c r="A38021" s="250">
        <v>91522</v>
      </c>
      <c r="B38021" s="74" t="s">
        <v>10335</v>
      </c>
      <c r="C38021" s="74" t="s">
        <v>416</v>
      </c>
    </row>
    <row r="38022" spans="1:3">
      <c r="A38022" s="250">
        <v>91523</v>
      </c>
      <c r="B38022" s="74" t="s">
        <v>10335</v>
      </c>
      <c r="C38022" s="74" t="s">
        <v>416</v>
      </c>
    </row>
    <row r="38023" spans="1:3">
      <c r="A38023" s="250">
        <v>91526</v>
      </c>
      <c r="B38023" s="74" t="s">
        <v>10335</v>
      </c>
      <c r="C38023" s="74" t="s">
        <v>416</v>
      </c>
    </row>
    <row r="38024" spans="1:3">
      <c r="A38024" s="250">
        <v>91601</v>
      </c>
      <c r="B38024" s="74" t="s">
        <v>17715</v>
      </c>
      <c r="C38024" s="74" t="s">
        <v>416</v>
      </c>
    </row>
    <row r="38025" spans="1:3">
      <c r="A38025" s="250">
        <v>91602</v>
      </c>
      <c r="B38025" s="74" t="s">
        <v>17715</v>
      </c>
      <c r="C38025" s="74" t="s">
        <v>416</v>
      </c>
    </row>
    <row r="38026" spans="1:3">
      <c r="A38026" s="250">
        <v>91603</v>
      </c>
      <c r="B38026" s="74" t="s">
        <v>17715</v>
      </c>
      <c r="C38026" s="74" t="s">
        <v>416</v>
      </c>
    </row>
    <row r="38027" spans="1:3">
      <c r="A38027" s="250">
        <v>91604</v>
      </c>
      <c r="B38027" s="74" t="s">
        <v>17716</v>
      </c>
      <c r="C38027" s="74" t="s">
        <v>416</v>
      </c>
    </row>
    <row r="38028" spans="1:3">
      <c r="A38028" s="250">
        <v>91605</v>
      </c>
      <c r="B38028" s="74" t="s">
        <v>17715</v>
      </c>
      <c r="C38028" s="74" t="s">
        <v>416</v>
      </c>
    </row>
    <row r="38029" spans="1:3">
      <c r="A38029" s="250">
        <v>91606</v>
      </c>
      <c r="B38029" s="74" t="s">
        <v>17715</v>
      </c>
      <c r="C38029" s="74" t="s">
        <v>416</v>
      </c>
    </row>
    <row r="38030" spans="1:3">
      <c r="A38030" s="250">
        <v>91607</v>
      </c>
      <c r="B38030" s="74" t="s">
        <v>17717</v>
      </c>
      <c r="C38030" s="74" t="s">
        <v>416</v>
      </c>
    </row>
    <row r="38031" spans="1:3">
      <c r="A38031" s="250">
        <v>91608</v>
      </c>
      <c r="B38031" s="74" t="s">
        <v>16322</v>
      </c>
      <c r="C38031" s="74" t="s">
        <v>416</v>
      </c>
    </row>
    <row r="38032" spans="1:3">
      <c r="A38032" s="250">
        <v>91609</v>
      </c>
      <c r="B38032" s="74" t="s">
        <v>17715</v>
      </c>
      <c r="C38032" s="74" t="s">
        <v>416</v>
      </c>
    </row>
    <row r="38033" spans="1:3">
      <c r="A38033" s="250">
        <v>91610</v>
      </c>
      <c r="B38033" s="74" t="s">
        <v>17718</v>
      </c>
      <c r="C38033" s="74" t="s">
        <v>416</v>
      </c>
    </row>
    <row r="38034" spans="1:3">
      <c r="A38034" s="250">
        <v>91611</v>
      </c>
      <c r="B38034" s="74" t="s">
        <v>17715</v>
      </c>
      <c r="C38034" s="74" t="s">
        <v>416</v>
      </c>
    </row>
    <row r="38035" spans="1:3">
      <c r="A38035" s="250">
        <v>91612</v>
      </c>
      <c r="B38035" s="74" t="s">
        <v>17715</v>
      </c>
      <c r="C38035" s="74" t="s">
        <v>416</v>
      </c>
    </row>
    <row r="38036" spans="1:3">
      <c r="A38036" s="250">
        <v>91614</v>
      </c>
      <c r="B38036" s="74" t="s">
        <v>17716</v>
      </c>
      <c r="C38036" s="74" t="s">
        <v>416</v>
      </c>
    </row>
    <row r="38037" spans="1:3">
      <c r="A38037" s="250">
        <v>91615</v>
      </c>
      <c r="B38037" s="74" t="s">
        <v>17715</v>
      </c>
      <c r="C38037" s="74" t="s">
        <v>416</v>
      </c>
    </row>
    <row r="38038" spans="1:3">
      <c r="A38038" s="250">
        <v>91616</v>
      </c>
      <c r="B38038" s="74" t="s">
        <v>17715</v>
      </c>
      <c r="C38038" s="74" t="s">
        <v>416</v>
      </c>
    </row>
    <row r="38039" spans="1:3">
      <c r="A38039" s="250">
        <v>91617</v>
      </c>
      <c r="B38039" s="74" t="s">
        <v>17717</v>
      </c>
      <c r="C38039" s="74" t="s">
        <v>416</v>
      </c>
    </row>
    <row r="38040" spans="1:3">
      <c r="A38040" s="250">
        <v>91618</v>
      </c>
      <c r="B38040" s="74" t="s">
        <v>17715</v>
      </c>
      <c r="C38040" s="74" t="s">
        <v>416</v>
      </c>
    </row>
    <row r="38041" spans="1:3">
      <c r="A38041" s="250">
        <v>91701</v>
      </c>
      <c r="B38041" s="74" t="s">
        <v>17719</v>
      </c>
      <c r="C38041" s="74" t="s">
        <v>416</v>
      </c>
    </row>
    <row r="38042" spans="1:3">
      <c r="A38042" s="250">
        <v>91702</v>
      </c>
      <c r="B38042" s="74" t="s">
        <v>17720</v>
      </c>
      <c r="C38042" s="74" t="s">
        <v>416</v>
      </c>
    </row>
    <row r="38043" spans="1:3">
      <c r="A38043" s="250">
        <v>91706</v>
      </c>
      <c r="B38043" s="74" t="s">
        <v>17721</v>
      </c>
      <c r="C38043" s="74" t="s">
        <v>416</v>
      </c>
    </row>
    <row r="38044" spans="1:3">
      <c r="A38044" s="250">
        <v>91708</v>
      </c>
      <c r="B38044" s="74" t="s">
        <v>17722</v>
      </c>
      <c r="C38044" s="74" t="s">
        <v>416</v>
      </c>
    </row>
    <row r="38045" spans="1:3">
      <c r="A38045" s="250">
        <v>91709</v>
      </c>
      <c r="B38045" s="74" t="s">
        <v>17723</v>
      </c>
      <c r="C38045" s="74" t="s">
        <v>416</v>
      </c>
    </row>
    <row r="38046" spans="1:3">
      <c r="A38046" s="250">
        <v>91710</v>
      </c>
      <c r="B38046" s="74" t="s">
        <v>17722</v>
      </c>
      <c r="C38046" s="74" t="s">
        <v>416</v>
      </c>
    </row>
    <row r="38047" spans="1:3">
      <c r="A38047" s="250">
        <v>91711</v>
      </c>
      <c r="B38047" s="74" t="s">
        <v>1271</v>
      </c>
      <c r="C38047" s="74" t="s">
        <v>416</v>
      </c>
    </row>
    <row r="38048" spans="1:3">
      <c r="A38048" s="250">
        <v>91714</v>
      </c>
      <c r="B38048" s="74" t="s">
        <v>17724</v>
      </c>
      <c r="C38048" s="74" t="s">
        <v>416</v>
      </c>
    </row>
    <row r="38049" spans="1:3">
      <c r="A38049" s="250">
        <v>91715</v>
      </c>
      <c r="B38049" s="74" t="s">
        <v>17724</v>
      </c>
      <c r="C38049" s="74" t="s">
        <v>416</v>
      </c>
    </row>
    <row r="38050" spans="1:3">
      <c r="A38050" s="250">
        <v>91716</v>
      </c>
      <c r="B38050" s="74" t="s">
        <v>17724</v>
      </c>
      <c r="C38050" s="74" t="s">
        <v>416</v>
      </c>
    </row>
    <row r="38051" spans="1:3">
      <c r="A38051" s="250">
        <v>91722</v>
      </c>
      <c r="B38051" s="74" t="s">
        <v>17725</v>
      </c>
      <c r="C38051" s="74" t="s">
        <v>416</v>
      </c>
    </row>
    <row r="38052" spans="1:3">
      <c r="A38052" s="250">
        <v>91723</v>
      </c>
      <c r="B38052" s="74" t="s">
        <v>17725</v>
      </c>
      <c r="C38052" s="74" t="s">
        <v>416</v>
      </c>
    </row>
    <row r="38053" spans="1:3">
      <c r="A38053" s="250">
        <v>91724</v>
      </c>
      <c r="B38053" s="74" t="s">
        <v>17725</v>
      </c>
      <c r="C38053" s="74" t="s">
        <v>416</v>
      </c>
    </row>
    <row r="38054" spans="1:3">
      <c r="A38054" s="250">
        <v>91729</v>
      </c>
      <c r="B38054" s="74" t="s">
        <v>17719</v>
      </c>
      <c r="C38054" s="74" t="s">
        <v>416</v>
      </c>
    </row>
    <row r="38055" spans="1:3">
      <c r="A38055" s="250">
        <v>91730</v>
      </c>
      <c r="B38055" s="74" t="s">
        <v>17719</v>
      </c>
      <c r="C38055" s="74" t="s">
        <v>416</v>
      </c>
    </row>
    <row r="38056" spans="1:3">
      <c r="A38056" s="250">
        <v>91731</v>
      </c>
      <c r="B38056" s="74" t="s">
        <v>17726</v>
      </c>
      <c r="C38056" s="74" t="s">
        <v>416</v>
      </c>
    </row>
    <row r="38057" spans="1:3">
      <c r="A38057" s="250">
        <v>91732</v>
      </c>
      <c r="B38057" s="74" t="s">
        <v>17726</v>
      </c>
      <c r="C38057" s="74" t="s">
        <v>416</v>
      </c>
    </row>
    <row r="38058" spans="1:3">
      <c r="A38058" s="250">
        <v>91733</v>
      </c>
      <c r="B38058" s="74" t="s">
        <v>17727</v>
      </c>
      <c r="C38058" s="74" t="s">
        <v>416</v>
      </c>
    </row>
    <row r="38059" spans="1:3">
      <c r="A38059" s="250">
        <v>91734</v>
      </c>
      <c r="B38059" s="74" t="s">
        <v>17726</v>
      </c>
      <c r="C38059" s="74" t="s">
        <v>416</v>
      </c>
    </row>
    <row r="38060" spans="1:3">
      <c r="A38060" s="250">
        <v>91735</v>
      </c>
      <c r="B38060" s="74" t="s">
        <v>17726</v>
      </c>
      <c r="C38060" s="74" t="s">
        <v>416</v>
      </c>
    </row>
    <row r="38061" spans="1:3">
      <c r="A38061" s="250">
        <v>91737</v>
      </c>
      <c r="B38061" s="74" t="s">
        <v>17719</v>
      </c>
      <c r="C38061" s="74" t="s">
        <v>416</v>
      </c>
    </row>
    <row r="38062" spans="1:3">
      <c r="A38062" s="250">
        <v>91739</v>
      </c>
      <c r="B38062" s="74" t="s">
        <v>17719</v>
      </c>
      <c r="C38062" s="74" t="s">
        <v>416</v>
      </c>
    </row>
    <row r="38063" spans="1:3">
      <c r="A38063" s="250">
        <v>91740</v>
      </c>
      <c r="B38063" s="74" t="s">
        <v>2382</v>
      </c>
      <c r="C38063" s="74" t="s">
        <v>416</v>
      </c>
    </row>
    <row r="38064" spans="1:3">
      <c r="A38064" s="250">
        <v>91741</v>
      </c>
      <c r="B38064" s="74" t="s">
        <v>2382</v>
      </c>
      <c r="C38064" s="74" t="s">
        <v>416</v>
      </c>
    </row>
    <row r="38065" spans="1:3">
      <c r="A38065" s="250">
        <v>91743</v>
      </c>
      <c r="B38065" s="74" t="s">
        <v>17728</v>
      </c>
      <c r="C38065" s="74" t="s">
        <v>416</v>
      </c>
    </row>
    <row r="38066" spans="1:3">
      <c r="A38066" s="250">
        <v>91744</v>
      </c>
      <c r="B38066" s="74" t="s">
        <v>17729</v>
      </c>
      <c r="C38066" s="74" t="s">
        <v>416</v>
      </c>
    </row>
    <row r="38067" spans="1:3">
      <c r="A38067" s="250">
        <v>91745</v>
      </c>
      <c r="B38067" s="74" t="s">
        <v>17730</v>
      </c>
      <c r="C38067" s="74" t="s">
        <v>416</v>
      </c>
    </row>
    <row r="38068" spans="1:3">
      <c r="A38068" s="250">
        <v>91746</v>
      </c>
      <c r="B38068" s="74" t="s">
        <v>17729</v>
      </c>
      <c r="C38068" s="74" t="s">
        <v>416</v>
      </c>
    </row>
    <row r="38069" spans="1:3">
      <c r="A38069" s="250">
        <v>91747</v>
      </c>
      <c r="B38069" s="74" t="s">
        <v>17729</v>
      </c>
      <c r="C38069" s="74" t="s">
        <v>416</v>
      </c>
    </row>
    <row r="38070" spans="1:3">
      <c r="A38070" s="250">
        <v>91748</v>
      </c>
      <c r="B38070" s="74" t="s">
        <v>17731</v>
      </c>
      <c r="C38070" s="74" t="s">
        <v>416</v>
      </c>
    </row>
    <row r="38071" spans="1:3">
      <c r="A38071" s="250">
        <v>91749</v>
      </c>
      <c r="B38071" s="74" t="s">
        <v>17729</v>
      </c>
      <c r="C38071" s="74" t="s">
        <v>416</v>
      </c>
    </row>
    <row r="38072" spans="1:3">
      <c r="A38072" s="250">
        <v>91750</v>
      </c>
      <c r="B38072" s="74" t="s">
        <v>17732</v>
      </c>
      <c r="C38072" s="74" t="s">
        <v>416</v>
      </c>
    </row>
    <row r="38073" spans="1:3">
      <c r="A38073" s="250">
        <v>91752</v>
      </c>
      <c r="B38073" s="74" t="s">
        <v>17733</v>
      </c>
      <c r="C38073" s="74" t="s">
        <v>416</v>
      </c>
    </row>
    <row r="38074" spans="1:3">
      <c r="A38074" s="250">
        <v>91754</v>
      </c>
      <c r="B38074" s="74" t="s">
        <v>17734</v>
      </c>
      <c r="C38074" s="74" t="s">
        <v>416</v>
      </c>
    </row>
    <row r="38075" spans="1:3">
      <c r="A38075" s="250">
        <v>91755</v>
      </c>
      <c r="B38075" s="74" t="s">
        <v>17734</v>
      </c>
      <c r="C38075" s="74" t="s">
        <v>416</v>
      </c>
    </row>
    <row r="38076" spans="1:3">
      <c r="A38076" s="250">
        <v>91756</v>
      </c>
      <c r="B38076" s="74" t="s">
        <v>17734</v>
      </c>
      <c r="C38076" s="74" t="s">
        <v>416</v>
      </c>
    </row>
    <row r="38077" spans="1:3">
      <c r="A38077" s="250">
        <v>91758</v>
      </c>
      <c r="B38077" s="74" t="s">
        <v>3802</v>
      </c>
      <c r="C38077" s="74" t="s">
        <v>416</v>
      </c>
    </row>
    <row r="38078" spans="1:3">
      <c r="A38078" s="250">
        <v>91759</v>
      </c>
      <c r="B38078" s="74" t="s">
        <v>17735</v>
      </c>
      <c r="C38078" s="74" t="s">
        <v>416</v>
      </c>
    </row>
    <row r="38079" spans="1:3">
      <c r="A38079" s="250">
        <v>91761</v>
      </c>
      <c r="B38079" s="74" t="s">
        <v>3802</v>
      </c>
      <c r="C38079" s="74" t="s">
        <v>416</v>
      </c>
    </row>
    <row r="38080" spans="1:3">
      <c r="A38080" s="250">
        <v>91762</v>
      </c>
      <c r="B38080" s="74" t="s">
        <v>3802</v>
      </c>
      <c r="C38080" s="74" t="s">
        <v>416</v>
      </c>
    </row>
    <row r="38081" spans="1:3">
      <c r="A38081" s="250">
        <v>91763</v>
      </c>
      <c r="B38081" s="74" t="s">
        <v>2138</v>
      </c>
      <c r="C38081" s="74" t="s">
        <v>416</v>
      </c>
    </row>
    <row r="38082" spans="1:3">
      <c r="A38082" s="250">
        <v>91764</v>
      </c>
      <c r="B38082" s="74" t="s">
        <v>3802</v>
      </c>
      <c r="C38082" s="74" t="s">
        <v>416</v>
      </c>
    </row>
    <row r="38083" spans="1:3">
      <c r="A38083" s="250">
        <v>91765</v>
      </c>
      <c r="B38083" s="74" t="s">
        <v>17736</v>
      </c>
      <c r="C38083" s="74" t="s">
        <v>416</v>
      </c>
    </row>
    <row r="38084" spans="1:3">
      <c r="A38084" s="250">
        <v>91766</v>
      </c>
      <c r="B38084" s="74" t="s">
        <v>2461</v>
      </c>
      <c r="C38084" s="74" t="s">
        <v>416</v>
      </c>
    </row>
    <row r="38085" spans="1:3">
      <c r="A38085" s="250">
        <v>91767</v>
      </c>
      <c r="B38085" s="74" t="s">
        <v>2461</v>
      </c>
      <c r="C38085" s="74" t="s">
        <v>416</v>
      </c>
    </row>
    <row r="38086" spans="1:3">
      <c r="A38086" s="250">
        <v>91768</v>
      </c>
      <c r="B38086" s="74" t="s">
        <v>2461</v>
      </c>
      <c r="C38086" s="74" t="s">
        <v>416</v>
      </c>
    </row>
    <row r="38087" spans="1:3">
      <c r="A38087" s="250">
        <v>91769</v>
      </c>
      <c r="B38087" s="74" t="s">
        <v>2461</v>
      </c>
      <c r="C38087" s="74" t="s">
        <v>416</v>
      </c>
    </row>
    <row r="38088" spans="1:3">
      <c r="A38088" s="250">
        <v>91770</v>
      </c>
      <c r="B38088" s="74" t="s">
        <v>17737</v>
      </c>
      <c r="C38088" s="74" t="s">
        <v>416</v>
      </c>
    </row>
    <row r="38089" spans="1:3">
      <c r="A38089" s="250">
        <v>91771</v>
      </c>
      <c r="B38089" s="74" t="s">
        <v>17737</v>
      </c>
      <c r="C38089" s="74" t="s">
        <v>416</v>
      </c>
    </row>
    <row r="38090" spans="1:3">
      <c r="A38090" s="250">
        <v>91772</v>
      </c>
      <c r="B38090" s="74" t="s">
        <v>17737</v>
      </c>
      <c r="C38090" s="74" t="s">
        <v>416</v>
      </c>
    </row>
    <row r="38091" spans="1:3">
      <c r="A38091" s="250">
        <v>91773</v>
      </c>
      <c r="B38091" s="74" t="s">
        <v>17738</v>
      </c>
      <c r="C38091" s="74" t="s">
        <v>416</v>
      </c>
    </row>
    <row r="38092" spans="1:3">
      <c r="A38092" s="250">
        <v>91775</v>
      </c>
      <c r="B38092" s="74" t="s">
        <v>17739</v>
      </c>
      <c r="C38092" s="74" t="s">
        <v>416</v>
      </c>
    </row>
    <row r="38093" spans="1:3">
      <c r="A38093" s="250">
        <v>91776</v>
      </c>
      <c r="B38093" s="74" t="s">
        <v>17739</v>
      </c>
      <c r="C38093" s="74" t="s">
        <v>416</v>
      </c>
    </row>
    <row r="38094" spans="1:3">
      <c r="A38094" s="250">
        <v>91778</v>
      </c>
      <c r="B38094" s="74" t="s">
        <v>17739</v>
      </c>
      <c r="C38094" s="74" t="s">
        <v>416</v>
      </c>
    </row>
    <row r="38095" spans="1:3">
      <c r="A38095" s="250">
        <v>91780</v>
      </c>
      <c r="B38095" s="74" t="s">
        <v>17740</v>
      </c>
      <c r="C38095" s="74" t="s">
        <v>416</v>
      </c>
    </row>
    <row r="38096" spans="1:3">
      <c r="A38096" s="250">
        <v>91784</v>
      </c>
      <c r="B38096" s="74" t="s">
        <v>10793</v>
      </c>
      <c r="C38096" s="74" t="s">
        <v>416</v>
      </c>
    </row>
    <row r="38097" spans="1:3">
      <c r="A38097" s="250">
        <v>91785</v>
      </c>
      <c r="B38097" s="74" t="s">
        <v>10793</v>
      </c>
      <c r="C38097" s="74" t="s">
        <v>416</v>
      </c>
    </row>
    <row r="38098" spans="1:3">
      <c r="A38098" s="250">
        <v>91786</v>
      </c>
      <c r="B38098" s="74" t="s">
        <v>10793</v>
      </c>
      <c r="C38098" s="74" t="s">
        <v>416</v>
      </c>
    </row>
    <row r="38099" spans="1:3">
      <c r="A38099" s="250">
        <v>91788</v>
      </c>
      <c r="B38099" s="74" t="s">
        <v>9326</v>
      </c>
      <c r="C38099" s="74" t="s">
        <v>416</v>
      </c>
    </row>
    <row r="38100" spans="1:3">
      <c r="A38100" s="250">
        <v>91789</v>
      </c>
      <c r="B38100" s="74" t="s">
        <v>9326</v>
      </c>
      <c r="C38100" s="74" t="s">
        <v>416</v>
      </c>
    </row>
    <row r="38101" spans="1:3">
      <c r="A38101" s="250">
        <v>91790</v>
      </c>
      <c r="B38101" s="74" t="s">
        <v>17741</v>
      </c>
      <c r="C38101" s="74" t="s">
        <v>416</v>
      </c>
    </row>
    <row r="38102" spans="1:3">
      <c r="A38102" s="250">
        <v>91791</v>
      </c>
      <c r="B38102" s="74" t="s">
        <v>17741</v>
      </c>
      <c r="C38102" s="74" t="s">
        <v>416</v>
      </c>
    </row>
    <row r="38103" spans="1:3">
      <c r="A38103" s="250">
        <v>91792</v>
      </c>
      <c r="B38103" s="74" t="s">
        <v>17741</v>
      </c>
      <c r="C38103" s="74" t="s">
        <v>416</v>
      </c>
    </row>
    <row r="38104" spans="1:3">
      <c r="A38104" s="250">
        <v>91793</v>
      </c>
      <c r="B38104" s="74" t="s">
        <v>17741</v>
      </c>
      <c r="C38104" s="74" t="s">
        <v>416</v>
      </c>
    </row>
    <row r="38105" spans="1:3">
      <c r="A38105" s="250">
        <v>91795</v>
      </c>
      <c r="B38105" s="74" t="s">
        <v>9326</v>
      </c>
      <c r="C38105" s="74" t="s">
        <v>416</v>
      </c>
    </row>
    <row r="38106" spans="1:3">
      <c r="A38106" s="250">
        <v>91797</v>
      </c>
      <c r="B38106" s="74" t="s">
        <v>2461</v>
      </c>
      <c r="C38106" s="74" t="s">
        <v>416</v>
      </c>
    </row>
    <row r="38107" spans="1:3">
      <c r="A38107" s="250">
        <v>91798</v>
      </c>
      <c r="B38107" s="74" t="s">
        <v>3802</v>
      </c>
      <c r="C38107" s="74" t="s">
        <v>416</v>
      </c>
    </row>
    <row r="38108" spans="1:3">
      <c r="A38108" s="250">
        <v>91799</v>
      </c>
      <c r="B38108" s="74" t="s">
        <v>2461</v>
      </c>
      <c r="C38108" s="74" t="s">
        <v>416</v>
      </c>
    </row>
    <row r="38109" spans="1:3">
      <c r="A38109" s="250">
        <v>91801</v>
      </c>
      <c r="B38109" s="74" t="s">
        <v>13798</v>
      </c>
      <c r="C38109" s="74" t="s">
        <v>416</v>
      </c>
    </row>
    <row r="38110" spans="1:3">
      <c r="A38110" s="250">
        <v>91802</v>
      </c>
      <c r="B38110" s="74" t="s">
        <v>13798</v>
      </c>
      <c r="C38110" s="74" t="s">
        <v>416</v>
      </c>
    </row>
    <row r="38111" spans="1:3">
      <c r="A38111" s="250">
        <v>91803</v>
      </c>
      <c r="B38111" s="74" t="s">
        <v>13798</v>
      </c>
      <c r="C38111" s="74" t="s">
        <v>416</v>
      </c>
    </row>
    <row r="38112" spans="1:3">
      <c r="A38112" s="250">
        <v>91804</v>
      </c>
      <c r="B38112" s="74" t="s">
        <v>13798</v>
      </c>
      <c r="C38112" s="74" t="s">
        <v>416</v>
      </c>
    </row>
    <row r="38113" spans="1:3">
      <c r="A38113" s="250">
        <v>91841</v>
      </c>
      <c r="B38113" s="74" t="s">
        <v>13798</v>
      </c>
      <c r="C38113" s="74" t="s">
        <v>416</v>
      </c>
    </row>
    <row r="38114" spans="1:3">
      <c r="A38114" s="250">
        <v>91896</v>
      </c>
      <c r="B38114" s="74" t="s">
        <v>13798</v>
      </c>
      <c r="C38114" s="74" t="s">
        <v>416</v>
      </c>
    </row>
    <row r="38115" spans="1:3">
      <c r="A38115" s="250">
        <v>91899</v>
      </c>
      <c r="B38115" s="74" t="s">
        <v>13798</v>
      </c>
      <c r="C38115" s="74" t="s">
        <v>416</v>
      </c>
    </row>
    <row r="38116" spans="1:3">
      <c r="A38116" s="250">
        <v>91901</v>
      </c>
      <c r="B38116" s="74" t="s">
        <v>2225</v>
      </c>
      <c r="C38116" s="74" t="s">
        <v>416</v>
      </c>
    </row>
    <row r="38117" spans="1:3">
      <c r="A38117" s="250">
        <v>91902</v>
      </c>
      <c r="B38117" s="74" t="s">
        <v>15119</v>
      </c>
      <c r="C38117" s="74" t="s">
        <v>416</v>
      </c>
    </row>
    <row r="38118" spans="1:3">
      <c r="A38118" s="250">
        <v>91903</v>
      </c>
      <c r="B38118" s="74" t="s">
        <v>2225</v>
      </c>
      <c r="C38118" s="74" t="s">
        <v>416</v>
      </c>
    </row>
    <row r="38119" spans="1:3">
      <c r="A38119" s="250">
        <v>91905</v>
      </c>
      <c r="B38119" s="74" t="s">
        <v>17742</v>
      </c>
      <c r="C38119" s="74" t="s">
        <v>416</v>
      </c>
    </row>
    <row r="38120" spans="1:3">
      <c r="A38120" s="250">
        <v>91906</v>
      </c>
      <c r="B38120" s="74" t="s">
        <v>16728</v>
      </c>
      <c r="C38120" s="74" t="s">
        <v>416</v>
      </c>
    </row>
    <row r="38121" spans="1:3">
      <c r="A38121" s="250">
        <v>91908</v>
      </c>
      <c r="B38121" s="74" t="s">
        <v>15119</v>
      </c>
      <c r="C38121" s="74" t="s">
        <v>416</v>
      </c>
    </row>
    <row r="38122" spans="1:3">
      <c r="A38122" s="250">
        <v>91909</v>
      </c>
      <c r="B38122" s="74" t="s">
        <v>17743</v>
      </c>
      <c r="C38122" s="74" t="s">
        <v>416</v>
      </c>
    </row>
    <row r="38123" spans="1:3">
      <c r="A38123" s="250">
        <v>91910</v>
      </c>
      <c r="B38123" s="74" t="s">
        <v>17743</v>
      </c>
      <c r="C38123" s="74" t="s">
        <v>416</v>
      </c>
    </row>
    <row r="38124" spans="1:3">
      <c r="A38124" s="250">
        <v>91911</v>
      </c>
      <c r="B38124" s="74" t="s">
        <v>17743</v>
      </c>
      <c r="C38124" s="74" t="s">
        <v>416</v>
      </c>
    </row>
    <row r="38125" spans="1:3">
      <c r="A38125" s="250">
        <v>91912</v>
      </c>
      <c r="B38125" s="74" t="s">
        <v>17743</v>
      </c>
      <c r="C38125" s="74" t="s">
        <v>416</v>
      </c>
    </row>
    <row r="38126" spans="1:3">
      <c r="A38126" s="250">
        <v>91913</v>
      </c>
      <c r="B38126" s="74" t="s">
        <v>17743</v>
      </c>
      <c r="C38126" s="74" t="s">
        <v>416</v>
      </c>
    </row>
    <row r="38127" spans="1:3">
      <c r="A38127" s="250">
        <v>91914</v>
      </c>
      <c r="B38127" s="74" t="s">
        <v>17743</v>
      </c>
      <c r="C38127" s="74" t="s">
        <v>416</v>
      </c>
    </row>
    <row r="38128" spans="1:3">
      <c r="A38128" s="250">
        <v>91915</v>
      </c>
      <c r="B38128" s="74" t="s">
        <v>17743</v>
      </c>
      <c r="C38128" s="74" t="s">
        <v>416</v>
      </c>
    </row>
    <row r="38129" spans="1:3">
      <c r="A38129" s="250">
        <v>91916</v>
      </c>
      <c r="B38129" s="74" t="s">
        <v>17744</v>
      </c>
      <c r="C38129" s="74" t="s">
        <v>416</v>
      </c>
    </row>
    <row r="38130" spans="1:3">
      <c r="A38130" s="250">
        <v>91917</v>
      </c>
      <c r="B38130" s="74" t="s">
        <v>17745</v>
      </c>
      <c r="C38130" s="74" t="s">
        <v>416</v>
      </c>
    </row>
    <row r="38131" spans="1:3">
      <c r="A38131" s="250">
        <v>91921</v>
      </c>
      <c r="B38131" s="74" t="s">
        <v>17743</v>
      </c>
      <c r="C38131" s="74" t="s">
        <v>416</v>
      </c>
    </row>
    <row r="38132" spans="1:3">
      <c r="A38132" s="250">
        <v>91931</v>
      </c>
      <c r="B38132" s="74" t="s">
        <v>17746</v>
      </c>
      <c r="C38132" s="74" t="s">
        <v>416</v>
      </c>
    </row>
    <row r="38133" spans="1:3">
      <c r="A38133" s="250">
        <v>91932</v>
      </c>
      <c r="B38133" s="74" t="s">
        <v>17747</v>
      </c>
      <c r="C38133" s="74" t="s">
        <v>416</v>
      </c>
    </row>
    <row r="38134" spans="1:3">
      <c r="A38134" s="250">
        <v>91933</v>
      </c>
      <c r="B38134" s="74" t="s">
        <v>17747</v>
      </c>
      <c r="C38134" s="74" t="s">
        <v>416</v>
      </c>
    </row>
    <row r="38135" spans="1:3">
      <c r="A38135" s="250">
        <v>91934</v>
      </c>
      <c r="B38135" s="74" t="s">
        <v>17748</v>
      </c>
      <c r="C38135" s="74" t="s">
        <v>416</v>
      </c>
    </row>
    <row r="38136" spans="1:3">
      <c r="A38136" s="250">
        <v>91935</v>
      </c>
      <c r="B38136" s="74" t="s">
        <v>17749</v>
      </c>
      <c r="C38136" s="74" t="s">
        <v>416</v>
      </c>
    </row>
    <row r="38137" spans="1:3">
      <c r="A38137" s="250">
        <v>91941</v>
      </c>
      <c r="B38137" s="74" t="s">
        <v>17515</v>
      </c>
      <c r="C38137" s="74" t="s">
        <v>416</v>
      </c>
    </row>
    <row r="38138" spans="1:3">
      <c r="A38138" s="250">
        <v>91942</v>
      </c>
      <c r="B38138" s="74" t="s">
        <v>17515</v>
      </c>
      <c r="C38138" s="74" t="s">
        <v>416</v>
      </c>
    </row>
    <row r="38139" spans="1:3">
      <c r="A38139" s="250">
        <v>91943</v>
      </c>
      <c r="B38139" s="74" t="s">
        <v>17515</v>
      </c>
      <c r="C38139" s="74" t="s">
        <v>416</v>
      </c>
    </row>
    <row r="38140" spans="1:3">
      <c r="A38140" s="250">
        <v>91944</v>
      </c>
      <c r="B38140" s="74" t="s">
        <v>17515</v>
      </c>
      <c r="C38140" s="74" t="s">
        <v>416</v>
      </c>
    </row>
    <row r="38141" spans="1:3">
      <c r="A38141" s="250">
        <v>91945</v>
      </c>
      <c r="B38141" s="74" t="s">
        <v>17750</v>
      </c>
      <c r="C38141" s="74" t="s">
        <v>416</v>
      </c>
    </row>
    <row r="38142" spans="1:3">
      <c r="A38142" s="250">
        <v>91946</v>
      </c>
      <c r="B38142" s="74" t="s">
        <v>17750</v>
      </c>
      <c r="C38142" s="74" t="s">
        <v>416</v>
      </c>
    </row>
    <row r="38143" spans="1:3">
      <c r="A38143" s="250">
        <v>91947</v>
      </c>
      <c r="B38143" s="74" t="s">
        <v>17751</v>
      </c>
      <c r="C38143" s="74" t="s">
        <v>416</v>
      </c>
    </row>
    <row r="38144" spans="1:3">
      <c r="A38144" s="250">
        <v>91948</v>
      </c>
      <c r="B38144" s="74" t="s">
        <v>17752</v>
      </c>
      <c r="C38144" s="74" t="s">
        <v>416</v>
      </c>
    </row>
    <row r="38145" spans="1:3">
      <c r="A38145" s="250">
        <v>91950</v>
      </c>
      <c r="B38145" s="74" t="s">
        <v>11131</v>
      </c>
      <c r="C38145" s="74" t="s">
        <v>416</v>
      </c>
    </row>
    <row r="38146" spans="1:3">
      <c r="A38146" s="250">
        <v>91951</v>
      </c>
      <c r="B38146" s="74" t="s">
        <v>11131</v>
      </c>
      <c r="C38146" s="74" t="s">
        <v>416</v>
      </c>
    </row>
    <row r="38147" spans="1:3">
      <c r="A38147" s="250">
        <v>91962</v>
      </c>
      <c r="B38147" s="74" t="s">
        <v>3934</v>
      </c>
      <c r="C38147" s="74" t="s">
        <v>416</v>
      </c>
    </row>
    <row r="38148" spans="1:3">
      <c r="A38148" s="250">
        <v>91963</v>
      </c>
      <c r="B38148" s="74" t="s">
        <v>17753</v>
      </c>
      <c r="C38148" s="74" t="s">
        <v>416</v>
      </c>
    </row>
    <row r="38149" spans="1:3">
      <c r="A38149" s="250">
        <v>91976</v>
      </c>
      <c r="B38149" s="74" t="s">
        <v>2706</v>
      </c>
      <c r="C38149" s="74" t="s">
        <v>416</v>
      </c>
    </row>
    <row r="38150" spans="1:3">
      <c r="A38150" s="250">
        <v>91977</v>
      </c>
      <c r="B38150" s="74" t="s">
        <v>2706</v>
      </c>
      <c r="C38150" s="74" t="s">
        <v>416</v>
      </c>
    </row>
    <row r="38151" spans="1:3">
      <c r="A38151" s="250">
        <v>91978</v>
      </c>
      <c r="B38151" s="74" t="s">
        <v>2706</v>
      </c>
      <c r="C38151" s="74" t="s">
        <v>416</v>
      </c>
    </row>
    <row r="38152" spans="1:3">
      <c r="A38152" s="250">
        <v>91979</v>
      </c>
      <c r="B38152" s="74" t="s">
        <v>2706</v>
      </c>
      <c r="C38152" s="74" t="s">
        <v>416</v>
      </c>
    </row>
    <row r="38153" spans="1:3">
      <c r="A38153" s="250">
        <v>91980</v>
      </c>
      <c r="B38153" s="74" t="s">
        <v>17754</v>
      </c>
      <c r="C38153" s="74" t="s">
        <v>416</v>
      </c>
    </row>
    <row r="38154" spans="1:3">
      <c r="A38154" s="250">
        <v>91987</v>
      </c>
      <c r="B38154" s="74" t="s">
        <v>17754</v>
      </c>
      <c r="C38154" s="74" t="s">
        <v>416</v>
      </c>
    </row>
    <row r="38155" spans="1:3">
      <c r="A38155" s="250">
        <v>91990</v>
      </c>
      <c r="B38155" s="74" t="s">
        <v>17753</v>
      </c>
      <c r="C38155" s="74" t="s">
        <v>416</v>
      </c>
    </row>
    <row r="38156" spans="1:3">
      <c r="A38156" s="250">
        <v>92003</v>
      </c>
      <c r="B38156" s="74" t="s">
        <v>17755</v>
      </c>
      <c r="C38156" s="74" t="s">
        <v>416</v>
      </c>
    </row>
    <row r="38157" spans="1:3">
      <c r="A38157" s="250">
        <v>92004</v>
      </c>
      <c r="B38157" s="74" t="s">
        <v>17756</v>
      </c>
      <c r="C38157" s="74" t="s">
        <v>416</v>
      </c>
    </row>
    <row r="38158" spans="1:3">
      <c r="A38158" s="250">
        <v>92007</v>
      </c>
      <c r="B38158" s="74" t="s">
        <v>17757</v>
      </c>
      <c r="C38158" s="74" t="s">
        <v>416</v>
      </c>
    </row>
    <row r="38159" spans="1:3">
      <c r="A38159" s="250">
        <v>92008</v>
      </c>
      <c r="B38159" s="74" t="s">
        <v>16112</v>
      </c>
      <c r="C38159" s="74" t="s">
        <v>416</v>
      </c>
    </row>
    <row r="38160" spans="1:3">
      <c r="A38160" s="250">
        <v>92009</v>
      </c>
      <c r="B38160" s="74" t="s">
        <v>16112</v>
      </c>
      <c r="C38160" s="74" t="s">
        <v>416</v>
      </c>
    </row>
    <row r="38161" spans="1:3">
      <c r="A38161" s="250">
        <v>92010</v>
      </c>
      <c r="B38161" s="74" t="s">
        <v>16112</v>
      </c>
      <c r="C38161" s="74" t="s">
        <v>416</v>
      </c>
    </row>
    <row r="38162" spans="1:3">
      <c r="A38162" s="250">
        <v>92011</v>
      </c>
      <c r="B38162" s="74" t="s">
        <v>16112</v>
      </c>
      <c r="C38162" s="74" t="s">
        <v>416</v>
      </c>
    </row>
    <row r="38163" spans="1:3">
      <c r="A38163" s="250">
        <v>92013</v>
      </c>
      <c r="B38163" s="74" t="s">
        <v>16112</v>
      </c>
      <c r="C38163" s="74" t="s">
        <v>416</v>
      </c>
    </row>
    <row r="38164" spans="1:3">
      <c r="A38164" s="250">
        <v>92014</v>
      </c>
      <c r="B38164" s="74" t="s">
        <v>17758</v>
      </c>
      <c r="C38164" s="74" t="s">
        <v>416</v>
      </c>
    </row>
    <row r="38165" spans="1:3">
      <c r="A38165" s="250">
        <v>92018</v>
      </c>
      <c r="B38165" s="74" t="s">
        <v>16112</v>
      </c>
      <c r="C38165" s="74" t="s">
        <v>416</v>
      </c>
    </row>
    <row r="38166" spans="1:3">
      <c r="A38166" s="250">
        <v>92019</v>
      </c>
      <c r="B38166" s="74" t="s">
        <v>17759</v>
      </c>
      <c r="C38166" s="74" t="s">
        <v>416</v>
      </c>
    </row>
    <row r="38167" spans="1:3">
      <c r="A38167" s="250">
        <v>92020</v>
      </c>
      <c r="B38167" s="74" t="s">
        <v>17759</v>
      </c>
      <c r="C38167" s="74" t="s">
        <v>416</v>
      </c>
    </row>
    <row r="38168" spans="1:3">
      <c r="A38168" s="250">
        <v>92021</v>
      </c>
      <c r="B38168" s="74" t="s">
        <v>17759</v>
      </c>
      <c r="C38168" s="74" t="s">
        <v>416</v>
      </c>
    </row>
    <row r="38169" spans="1:3">
      <c r="A38169" s="250">
        <v>92022</v>
      </c>
      <c r="B38169" s="74" t="s">
        <v>17759</v>
      </c>
      <c r="C38169" s="74" t="s">
        <v>416</v>
      </c>
    </row>
    <row r="38170" spans="1:3">
      <c r="A38170" s="250">
        <v>92023</v>
      </c>
      <c r="B38170" s="74" t="s">
        <v>17760</v>
      </c>
      <c r="C38170" s="74" t="s">
        <v>416</v>
      </c>
    </row>
    <row r="38171" spans="1:3">
      <c r="A38171" s="250">
        <v>92024</v>
      </c>
      <c r="B38171" s="74" t="s">
        <v>17760</v>
      </c>
      <c r="C38171" s="74" t="s">
        <v>416</v>
      </c>
    </row>
    <row r="38172" spans="1:3">
      <c r="A38172" s="250">
        <v>92025</v>
      </c>
      <c r="B38172" s="74" t="s">
        <v>17761</v>
      </c>
      <c r="C38172" s="74" t="s">
        <v>416</v>
      </c>
    </row>
    <row r="38173" spans="1:3">
      <c r="A38173" s="250">
        <v>92026</v>
      </c>
      <c r="B38173" s="74" t="s">
        <v>17761</v>
      </c>
      <c r="C38173" s="74" t="s">
        <v>416</v>
      </c>
    </row>
    <row r="38174" spans="1:3">
      <c r="A38174" s="250">
        <v>92027</v>
      </c>
      <c r="B38174" s="74" t="s">
        <v>17761</v>
      </c>
      <c r="C38174" s="74" t="s">
        <v>416</v>
      </c>
    </row>
    <row r="38175" spans="1:3">
      <c r="A38175" s="250">
        <v>92028</v>
      </c>
      <c r="B38175" s="74" t="s">
        <v>17762</v>
      </c>
      <c r="C38175" s="74" t="s">
        <v>416</v>
      </c>
    </row>
    <row r="38176" spans="1:3">
      <c r="A38176" s="250">
        <v>92029</v>
      </c>
      <c r="B38176" s="74" t="s">
        <v>17761</v>
      </c>
      <c r="C38176" s="74" t="s">
        <v>416</v>
      </c>
    </row>
    <row r="38177" spans="1:3">
      <c r="A38177" s="250">
        <v>92030</v>
      </c>
      <c r="B38177" s="74" t="s">
        <v>17761</v>
      </c>
      <c r="C38177" s="74" t="s">
        <v>416</v>
      </c>
    </row>
    <row r="38178" spans="1:3">
      <c r="A38178" s="250">
        <v>92033</v>
      </c>
      <c r="B38178" s="74" t="s">
        <v>17761</v>
      </c>
      <c r="C38178" s="74" t="s">
        <v>416</v>
      </c>
    </row>
    <row r="38179" spans="1:3">
      <c r="A38179" s="250">
        <v>92036</v>
      </c>
      <c r="B38179" s="74" t="s">
        <v>4629</v>
      </c>
      <c r="C38179" s="74" t="s">
        <v>416</v>
      </c>
    </row>
    <row r="38180" spans="1:3">
      <c r="A38180" s="250">
        <v>92037</v>
      </c>
      <c r="B38180" s="74" t="s">
        <v>17763</v>
      </c>
      <c r="C38180" s="74" t="s">
        <v>416</v>
      </c>
    </row>
    <row r="38181" spans="1:3">
      <c r="A38181" s="250">
        <v>92038</v>
      </c>
      <c r="B38181" s="74" t="s">
        <v>17763</v>
      </c>
      <c r="C38181" s="74" t="s">
        <v>416</v>
      </c>
    </row>
    <row r="38182" spans="1:3">
      <c r="A38182" s="250">
        <v>92039</v>
      </c>
      <c r="B38182" s="74" t="s">
        <v>17763</v>
      </c>
      <c r="C38182" s="74" t="s">
        <v>416</v>
      </c>
    </row>
    <row r="38183" spans="1:3">
      <c r="A38183" s="250">
        <v>92040</v>
      </c>
      <c r="B38183" s="74" t="s">
        <v>2085</v>
      </c>
      <c r="C38183" s="74" t="s">
        <v>416</v>
      </c>
    </row>
    <row r="38184" spans="1:3">
      <c r="A38184" s="250">
        <v>92046</v>
      </c>
      <c r="B38184" s="74" t="s">
        <v>17761</v>
      </c>
      <c r="C38184" s="74" t="s">
        <v>416</v>
      </c>
    </row>
    <row r="38185" spans="1:3">
      <c r="A38185" s="250">
        <v>92049</v>
      </c>
      <c r="B38185" s="74" t="s">
        <v>2787</v>
      </c>
      <c r="C38185" s="74" t="s">
        <v>416</v>
      </c>
    </row>
    <row r="38186" spans="1:3">
      <c r="A38186" s="250">
        <v>92051</v>
      </c>
      <c r="B38186" s="74" t="s">
        <v>2787</v>
      </c>
      <c r="C38186" s="74" t="s">
        <v>416</v>
      </c>
    </row>
    <row r="38187" spans="1:3">
      <c r="A38187" s="250">
        <v>92052</v>
      </c>
      <c r="B38187" s="74" t="s">
        <v>2787</v>
      </c>
      <c r="C38187" s="74" t="s">
        <v>416</v>
      </c>
    </row>
    <row r="38188" spans="1:3">
      <c r="A38188" s="250">
        <v>92054</v>
      </c>
      <c r="B38188" s="74" t="s">
        <v>2787</v>
      </c>
      <c r="C38188" s="74" t="s">
        <v>416</v>
      </c>
    </row>
    <row r="38189" spans="1:3">
      <c r="A38189" s="250">
        <v>92055</v>
      </c>
      <c r="B38189" s="74" t="s">
        <v>17764</v>
      </c>
      <c r="C38189" s="74" t="s">
        <v>416</v>
      </c>
    </row>
    <row r="38190" spans="1:3">
      <c r="A38190" s="250">
        <v>92056</v>
      </c>
      <c r="B38190" s="74" t="s">
        <v>2787</v>
      </c>
      <c r="C38190" s="74" t="s">
        <v>416</v>
      </c>
    </row>
    <row r="38191" spans="1:3">
      <c r="A38191" s="250">
        <v>92057</v>
      </c>
      <c r="B38191" s="74" t="s">
        <v>2787</v>
      </c>
      <c r="C38191" s="74" t="s">
        <v>416</v>
      </c>
    </row>
    <row r="38192" spans="1:3">
      <c r="A38192" s="250">
        <v>92058</v>
      </c>
      <c r="B38192" s="74" t="s">
        <v>2787</v>
      </c>
      <c r="C38192" s="74" t="s">
        <v>416</v>
      </c>
    </row>
    <row r="38193" spans="1:3">
      <c r="A38193" s="250">
        <v>92059</v>
      </c>
      <c r="B38193" s="74" t="s">
        <v>17765</v>
      </c>
      <c r="C38193" s="74" t="s">
        <v>416</v>
      </c>
    </row>
    <row r="38194" spans="1:3">
      <c r="A38194" s="250">
        <v>92060</v>
      </c>
      <c r="B38194" s="74" t="s">
        <v>17766</v>
      </c>
      <c r="C38194" s="74" t="s">
        <v>416</v>
      </c>
    </row>
    <row r="38195" spans="1:3">
      <c r="A38195" s="250">
        <v>92061</v>
      </c>
      <c r="B38195" s="74" t="s">
        <v>17767</v>
      </c>
      <c r="C38195" s="74" t="s">
        <v>416</v>
      </c>
    </row>
    <row r="38196" spans="1:3">
      <c r="A38196" s="250">
        <v>92064</v>
      </c>
      <c r="B38196" s="74" t="s">
        <v>17768</v>
      </c>
      <c r="C38196" s="74" t="s">
        <v>416</v>
      </c>
    </row>
    <row r="38197" spans="1:3">
      <c r="A38197" s="250">
        <v>92065</v>
      </c>
      <c r="B38197" s="74" t="s">
        <v>12825</v>
      </c>
      <c r="C38197" s="74" t="s">
        <v>416</v>
      </c>
    </row>
    <row r="38198" spans="1:3">
      <c r="A38198" s="250">
        <v>92066</v>
      </c>
      <c r="B38198" s="74" t="s">
        <v>17769</v>
      </c>
      <c r="C38198" s="74" t="s">
        <v>416</v>
      </c>
    </row>
    <row r="38199" spans="1:3">
      <c r="A38199" s="250">
        <v>92067</v>
      </c>
      <c r="B38199" s="74" t="s">
        <v>17770</v>
      </c>
      <c r="C38199" s="74" t="s">
        <v>416</v>
      </c>
    </row>
    <row r="38200" spans="1:3">
      <c r="A38200" s="250">
        <v>92068</v>
      </c>
      <c r="B38200" s="74" t="s">
        <v>17771</v>
      </c>
      <c r="C38200" s="74" t="s">
        <v>416</v>
      </c>
    </row>
    <row r="38201" spans="1:3">
      <c r="A38201" s="250">
        <v>92069</v>
      </c>
      <c r="B38201" s="74" t="s">
        <v>16431</v>
      </c>
      <c r="C38201" s="74" t="s">
        <v>416</v>
      </c>
    </row>
    <row r="38202" spans="1:3">
      <c r="A38202" s="250">
        <v>92070</v>
      </c>
      <c r="B38202" s="74" t="s">
        <v>17772</v>
      </c>
      <c r="C38202" s="74" t="s">
        <v>416</v>
      </c>
    </row>
    <row r="38203" spans="1:3">
      <c r="A38203" s="250">
        <v>92071</v>
      </c>
      <c r="B38203" s="74" t="s">
        <v>7646</v>
      </c>
      <c r="C38203" s="74" t="s">
        <v>416</v>
      </c>
    </row>
    <row r="38204" spans="1:3">
      <c r="A38204" s="250">
        <v>92072</v>
      </c>
      <c r="B38204" s="74" t="s">
        <v>7646</v>
      </c>
      <c r="C38204" s="74" t="s">
        <v>416</v>
      </c>
    </row>
    <row r="38205" spans="1:3">
      <c r="A38205" s="250">
        <v>92074</v>
      </c>
      <c r="B38205" s="74" t="s">
        <v>17768</v>
      </c>
      <c r="C38205" s="74" t="s">
        <v>416</v>
      </c>
    </row>
    <row r="38206" spans="1:3">
      <c r="A38206" s="250">
        <v>92075</v>
      </c>
      <c r="B38206" s="74" t="s">
        <v>17773</v>
      </c>
      <c r="C38206" s="74" t="s">
        <v>416</v>
      </c>
    </row>
    <row r="38207" spans="1:3">
      <c r="A38207" s="250">
        <v>92078</v>
      </c>
      <c r="B38207" s="74" t="s">
        <v>16431</v>
      </c>
      <c r="C38207" s="74" t="s">
        <v>416</v>
      </c>
    </row>
    <row r="38208" spans="1:3">
      <c r="A38208" s="250">
        <v>92079</v>
      </c>
      <c r="B38208" s="74" t="s">
        <v>16431</v>
      </c>
      <c r="C38208" s="74" t="s">
        <v>416</v>
      </c>
    </row>
    <row r="38209" spans="1:3">
      <c r="A38209" s="250">
        <v>92081</v>
      </c>
      <c r="B38209" s="74" t="s">
        <v>17774</v>
      </c>
      <c r="C38209" s="74" t="s">
        <v>416</v>
      </c>
    </row>
    <row r="38210" spans="1:3">
      <c r="A38210" s="250">
        <v>92082</v>
      </c>
      <c r="B38210" s="74" t="s">
        <v>14620</v>
      </c>
      <c r="C38210" s="74" t="s">
        <v>416</v>
      </c>
    </row>
    <row r="38211" spans="1:3">
      <c r="A38211" s="250">
        <v>92083</v>
      </c>
      <c r="B38211" s="74" t="s">
        <v>17774</v>
      </c>
      <c r="C38211" s="74" t="s">
        <v>416</v>
      </c>
    </row>
    <row r="38212" spans="1:3">
      <c r="A38212" s="250">
        <v>92084</v>
      </c>
      <c r="B38212" s="74" t="s">
        <v>17774</v>
      </c>
      <c r="C38212" s="74" t="s">
        <v>416</v>
      </c>
    </row>
    <row r="38213" spans="1:3">
      <c r="A38213" s="250">
        <v>92085</v>
      </c>
      <c r="B38213" s="74" t="s">
        <v>17774</v>
      </c>
      <c r="C38213" s="74" t="s">
        <v>416</v>
      </c>
    </row>
    <row r="38214" spans="1:3">
      <c r="A38214" s="250">
        <v>92086</v>
      </c>
      <c r="B38214" s="74" t="s">
        <v>17775</v>
      </c>
      <c r="C38214" s="74" t="s">
        <v>416</v>
      </c>
    </row>
    <row r="38215" spans="1:3">
      <c r="A38215" s="250">
        <v>92088</v>
      </c>
      <c r="B38215" s="74" t="s">
        <v>17762</v>
      </c>
      <c r="C38215" s="74" t="s">
        <v>416</v>
      </c>
    </row>
    <row r="38216" spans="1:3">
      <c r="A38216" s="250">
        <v>92090</v>
      </c>
      <c r="B38216" s="74" t="s">
        <v>17759</v>
      </c>
      <c r="C38216" s="74" t="s">
        <v>416</v>
      </c>
    </row>
    <row r="38217" spans="1:3">
      <c r="A38217" s="250">
        <v>92091</v>
      </c>
      <c r="B38217" s="74" t="s">
        <v>17770</v>
      </c>
      <c r="C38217" s="74" t="s">
        <v>416</v>
      </c>
    </row>
    <row r="38218" spans="1:3">
      <c r="A38218" s="250">
        <v>92092</v>
      </c>
      <c r="B38218" s="74" t="s">
        <v>17763</v>
      </c>
      <c r="C38218" s="74" t="s">
        <v>416</v>
      </c>
    </row>
    <row r="38219" spans="1:3">
      <c r="A38219" s="250">
        <v>92093</v>
      </c>
      <c r="B38219" s="74" t="s">
        <v>17763</v>
      </c>
      <c r="C38219" s="74" t="s">
        <v>416</v>
      </c>
    </row>
    <row r="38220" spans="1:3">
      <c r="A38220" s="250">
        <v>92096</v>
      </c>
      <c r="B38220" s="74" t="s">
        <v>16431</v>
      </c>
      <c r="C38220" s="74" t="s">
        <v>416</v>
      </c>
    </row>
    <row r="38221" spans="1:3">
      <c r="A38221" s="250">
        <v>92101</v>
      </c>
      <c r="B38221" s="74" t="s">
        <v>16360</v>
      </c>
      <c r="C38221" s="74" t="s">
        <v>416</v>
      </c>
    </row>
    <row r="38222" spans="1:3">
      <c r="A38222" s="250">
        <v>92102</v>
      </c>
      <c r="B38222" s="74" t="s">
        <v>16360</v>
      </c>
      <c r="C38222" s="74" t="s">
        <v>416</v>
      </c>
    </row>
    <row r="38223" spans="1:3">
      <c r="A38223" s="250">
        <v>92103</v>
      </c>
      <c r="B38223" s="74" t="s">
        <v>16360</v>
      </c>
      <c r="C38223" s="74" t="s">
        <v>416</v>
      </c>
    </row>
    <row r="38224" spans="1:3">
      <c r="A38224" s="250">
        <v>92104</v>
      </c>
      <c r="B38224" s="74" t="s">
        <v>16360</v>
      </c>
      <c r="C38224" s="74" t="s">
        <v>416</v>
      </c>
    </row>
    <row r="38225" spans="1:3">
      <c r="A38225" s="250">
        <v>92105</v>
      </c>
      <c r="B38225" s="74" t="s">
        <v>16360</v>
      </c>
      <c r="C38225" s="74" t="s">
        <v>416</v>
      </c>
    </row>
    <row r="38226" spans="1:3">
      <c r="A38226" s="250">
        <v>92106</v>
      </c>
      <c r="B38226" s="74" t="s">
        <v>16360</v>
      </c>
      <c r="C38226" s="74" t="s">
        <v>416</v>
      </c>
    </row>
    <row r="38227" spans="1:3">
      <c r="A38227" s="250">
        <v>92107</v>
      </c>
      <c r="B38227" s="74" t="s">
        <v>16360</v>
      </c>
      <c r="C38227" s="74" t="s">
        <v>416</v>
      </c>
    </row>
    <row r="38228" spans="1:3">
      <c r="A38228" s="250">
        <v>92108</v>
      </c>
      <c r="B38228" s="74" t="s">
        <v>16360</v>
      </c>
      <c r="C38228" s="74" t="s">
        <v>416</v>
      </c>
    </row>
    <row r="38229" spans="1:3">
      <c r="A38229" s="250">
        <v>92109</v>
      </c>
      <c r="B38229" s="74" t="s">
        <v>16360</v>
      </c>
      <c r="C38229" s="74" t="s">
        <v>416</v>
      </c>
    </row>
    <row r="38230" spans="1:3">
      <c r="A38230" s="250">
        <v>92110</v>
      </c>
      <c r="B38230" s="74" t="s">
        <v>16360</v>
      </c>
      <c r="C38230" s="74" t="s">
        <v>416</v>
      </c>
    </row>
    <row r="38231" spans="1:3">
      <c r="A38231" s="250">
        <v>92111</v>
      </c>
      <c r="B38231" s="74" t="s">
        <v>16360</v>
      </c>
      <c r="C38231" s="74" t="s">
        <v>416</v>
      </c>
    </row>
    <row r="38232" spans="1:3">
      <c r="A38232" s="250">
        <v>92112</v>
      </c>
      <c r="B38232" s="74" t="s">
        <v>16360</v>
      </c>
      <c r="C38232" s="74" t="s">
        <v>416</v>
      </c>
    </row>
    <row r="38233" spans="1:3">
      <c r="A38233" s="250">
        <v>92113</v>
      </c>
      <c r="B38233" s="74" t="s">
        <v>16360</v>
      </c>
      <c r="C38233" s="74" t="s">
        <v>416</v>
      </c>
    </row>
    <row r="38234" spans="1:3">
      <c r="A38234" s="250">
        <v>92114</v>
      </c>
      <c r="B38234" s="74" t="s">
        <v>16360</v>
      </c>
      <c r="C38234" s="74" t="s">
        <v>416</v>
      </c>
    </row>
    <row r="38235" spans="1:3">
      <c r="A38235" s="250">
        <v>92115</v>
      </c>
      <c r="B38235" s="74" t="s">
        <v>16360</v>
      </c>
      <c r="C38235" s="74" t="s">
        <v>416</v>
      </c>
    </row>
    <row r="38236" spans="1:3">
      <c r="A38236" s="250">
        <v>92116</v>
      </c>
      <c r="B38236" s="74" t="s">
        <v>16360</v>
      </c>
      <c r="C38236" s="74" t="s">
        <v>416</v>
      </c>
    </row>
    <row r="38237" spans="1:3">
      <c r="A38237" s="250">
        <v>92117</v>
      </c>
      <c r="B38237" s="74" t="s">
        <v>16360</v>
      </c>
      <c r="C38237" s="74" t="s">
        <v>416</v>
      </c>
    </row>
    <row r="38238" spans="1:3">
      <c r="A38238" s="250">
        <v>92118</v>
      </c>
      <c r="B38238" s="74" t="s">
        <v>17776</v>
      </c>
      <c r="C38238" s="74" t="s">
        <v>416</v>
      </c>
    </row>
    <row r="38239" spans="1:3">
      <c r="A38239" s="250">
        <v>92119</v>
      </c>
      <c r="B38239" s="74" t="s">
        <v>16360</v>
      </c>
      <c r="C38239" s="74" t="s">
        <v>416</v>
      </c>
    </row>
    <row r="38240" spans="1:3">
      <c r="A38240" s="250">
        <v>92120</v>
      </c>
      <c r="B38240" s="74" t="s">
        <v>16360</v>
      </c>
      <c r="C38240" s="74" t="s">
        <v>416</v>
      </c>
    </row>
    <row r="38241" spans="1:3">
      <c r="A38241" s="250">
        <v>92121</v>
      </c>
      <c r="B38241" s="74" t="s">
        <v>16360</v>
      </c>
      <c r="C38241" s="74" t="s">
        <v>416</v>
      </c>
    </row>
    <row r="38242" spans="1:3">
      <c r="A38242" s="250">
        <v>92122</v>
      </c>
      <c r="B38242" s="74" t="s">
        <v>16360</v>
      </c>
      <c r="C38242" s="74" t="s">
        <v>416</v>
      </c>
    </row>
    <row r="38243" spans="1:3">
      <c r="A38243" s="250">
        <v>92123</v>
      </c>
      <c r="B38243" s="74" t="s">
        <v>16360</v>
      </c>
      <c r="C38243" s="74" t="s">
        <v>416</v>
      </c>
    </row>
    <row r="38244" spans="1:3">
      <c r="A38244" s="250">
        <v>92124</v>
      </c>
      <c r="B38244" s="74" t="s">
        <v>16360</v>
      </c>
      <c r="C38244" s="74" t="s">
        <v>416</v>
      </c>
    </row>
    <row r="38245" spans="1:3">
      <c r="A38245" s="250">
        <v>92126</v>
      </c>
      <c r="B38245" s="74" t="s">
        <v>16360</v>
      </c>
      <c r="C38245" s="74" t="s">
        <v>416</v>
      </c>
    </row>
    <row r="38246" spans="1:3">
      <c r="A38246" s="250">
        <v>92127</v>
      </c>
      <c r="B38246" s="74" t="s">
        <v>16360</v>
      </c>
      <c r="C38246" s="74" t="s">
        <v>416</v>
      </c>
    </row>
    <row r="38247" spans="1:3">
      <c r="A38247" s="250">
        <v>92128</v>
      </c>
      <c r="B38247" s="74" t="s">
        <v>16360</v>
      </c>
      <c r="C38247" s="74" t="s">
        <v>416</v>
      </c>
    </row>
    <row r="38248" spans="1:3">
      <c r="A38248" s="250">
        <v>92129</v>
      </c>
      <c r="B38248" s="74" t="s">
        <v>16360</v>
      </c>
      <c r="C38248" s="74" t="s">
        <v>416</v>
      </c>
    </row>
    <row r="38249" spans="1:3">
      <c r="A38249" s="250">
        <v>92130</v>
      </c>
      <c r="B38249" s="74" t="s">
        <v>16360</v>
      </c>
      <c r="C38249" s="74" t="s">
        <v>416</v>
      </c>
    </row>
    <row r="38250" spans="1:3">
      <c r="A38250" s="250">
        <v>92131</v>
      </c>
      <c r="B38250" s="74" t="s">
        <v>16360</v>
      </c>
      <c r="C38250" s="74" t="s">
        <v>416</v>
      </c>
    </row>
    <row r="38251" spans="1:3">
      <c r="A38251" s="250">
        <v>92132</v>
      </c>
      <c r="B38251" s="74" t="s">
        <v>16360</v>
      </c>
      <c r="C38251" s="74" t="s">
        <v>416</v>
      </c>
    </row>
    <row r="38252" spans="1:3">
      <c r="A38252" s="250">
        <v>92133</v>
      </c>
      <c r="B38252" s="74" t="s">
        <v>16360</v>
      </c>
      <c r="C38252" s="74" t="s">
        <v>416</v>
      </c>
    </row>
    <row r="38253" spans="1:3">
      <c r="A38253" s="250">
        <v>92134</v>
      </c>
      <c r="B38253" s="74" t="s">
        <v>16360</v>
      </c>
      <c r="C38253" s="74" t="s">
        <v>416</v>
      </c>
    </row>
    <row r="38254" spans="1:3">
      <c r="A38254" s="250">
        <v>92135</v>
      </c>
      <c r="B38254" s="74" t="s">
        <v>16360</v>
      </c>
      <c r="C38254" s="74" t="s">
        <v>416</v>
      </c>
    </row>
    <row r="38255" spans="1:3">
      <c r="A38255" s="250">
        <v>92136</v>
      </c>
      <c r="B38255" s="74" t="s">
        <v>16360</v>
      </c>
      <c r="C38255" s="74" t="s">
        <v>416</v>
      </c>
    </row>
    <row r="38256" spans="1:3">
      <c r="A38256" s="250">
        <v>92137</v>
      </c>
      <c r="B38256" s="74" t="s">
        <v>16360</v>
      </c>
      <c r="C38256" s="74" t="s">
        <v>416</v>
      </c>
    </row>
    <row r="38257" spans="1:3">
      <c r="A38257" s="250">
        <v>92138</v>
      </c>
      <c r="B38257" s="74" t="s">
        <v>16360</v>
      </c>
      <c r="C38257" s="74" t="s">
        <v>416</v>
      </c>
    </row>
    <row r="38258" spans="1:3">
      <c r="A38258" s="250">
        <v>92139</v>
      </c>
      <c r="B38258" s="74" t="s">
        <v>16360</v>
      </c>
      <c r="C38258" s="74" t="s">
        <v>416</v>
      </c>
    </row>
    <row r="38259" spans="1:3">
      <c r="A38259" s="250">
        <v>92140</v>
      </c>
      <c r="B38259" s="74" t="s">
        <v>16360</v>
      </c>
      <c r="C38259" s="74" t="s">
        <v>416</v>
      </c>
    </row>
    <row r="38260" spans="1:3">
      <c r="A38260" s="250">
        <v>92142</v>
      </c>
      <c r="B38260" s="74" t="s">
        <v>16360</v>
      </c>
      <c r="C38260" s="74" t="s">
        <v>416</v>
      </c>
    </row>
    <row r="38261" spans="1:3">
      <c r="A38261" s="250">
        <v>92143</v>
      </c>
      <c r="B38261" s="74" t="s">
        <v>17382</v>
      </c>
      <c r="C38261" s="74" t="s">
        <v>416</v>
      </c>
    </row>
    <row r="38262" spans="1:3">
      <c r="A38262" s="250">
        <v>92145</v>
      </c>
      <c r="B38262" s="74" t="s">
        <v>16360</v>
      </c>
      <c r="C38262" s="74" t="s">
        <v>416</v>
      </c>
    </row>
    <row r="38263" spans="1:3">
      <c r="A38263" s="250">
        <v>92147</v>
      </c>
      <c r="B38263" s="74" t="s">
        <v>16360</v>
      </c>
      <c r="C38263" s="74" t="s">
        <v>416</v>
      </c>
    </row>
    <row r="38264" spans="1:3">
      <c r="A38264" s="250">
        <v>92149</v>
      </c>
      <c r="B38264" s="74" t="s">
        <v>16360</v>
      </c>
      <c r="C38264" s="74" t="s">
        <v>416</v>
      </c>
    </row>
    <row r="38265" spans="1:3">
      <c r="A38265" s="250">
        <v>92150</v>
      </c>
      <c r="B38265" s="74" t="s">
        <v>16360</v>
      </c>
      <c r="C38265" s="74" t="s">
        <v>416</v>
      </c>
    </row>
    <row r="38266" spans="1:3">
      <c r="A38266" s="250">
        <v>92152</v>
      </c>
      <c r="B38266" s="74" t="s">
        <v>16360</v>
      </c>
      <c r="C38266" s="74" t="s">
        <v>416</v>
      </c>
    </row>
    <row r="38267" spans="1:3">
      <c r="A38267" s="250">
        <v>92153</v>
      </c>
      <c r="B38267" s="74" t="s">
        <v>16360</v>
      </c>
      <c r="C38267" s="74" t="s">
        <v>416</v>
      </c>
    </row>
    <row r="38268" spans="1:3">
      <c r="A38268" s="250">
        <v>92154</v>
      </c>
      <c r="B38268" s="74" t="s">
        <v>16360</v>
      </c>
      <c r="C38268" s="74" t="s">
        <v>416</v>
      </c>
    </row>
    <row r="38269" spans="1:3">
      <c r="A38269" s="250">
        <v>92155</v>
      </c>
      <c r="B38269" s="74" t="s">
        <v>16360</v>
      </c>
      <c r="C38269" s="74" t="s">
        <v>416</v>
      </c>
    </row>
    <row r="38270" spans="1:3">
      <c r="A38270" s="250">
        <v>92158</v>
      </c>
      <c r="B38270" s="74" t="s">
        <v>16360</v>
      </c>
      <c r="C38270" s="74" t="s">
        <v>416</v>
      </c>
    </row>
    <row r="38271" spans="1:3">
      <c r="A38271" s="250">
        <v>92159</v>
      </c>
      <c r="B38271" s="74" t="s">
        <v>16360</v>
      </c>
      <c r="C38271" s="74" t="s">
        <v>416</v>
      </c>
    </row>
    <row r="38272" spans="1:3">
      <c r="A38272" s="250">
        <v>92160</v>
      </c>
      <c r="B38272" s="74" t="s">
        <v>16360</v>
      </c>
      <c r="C38272" s="74" t="s">
        <v>416</v>
      </c>
    </row>
    <row r="38273" spans="1:3">
      <c r="A38273" s="250">
        <v>92161</v>
      </c>
      <c r="B38273" s="74" t="s">
        <v>16360</v>
      </c>
      <c r="C38273" s="74" t="s">
        <v>416</v>
      </c>
    </row>
    <row r="38274" spans="1:3">
      <c r="A38274" s="250">
        <v>92162</v>
      </c>
      <c r="B38274" s="74" t="s">
        <v>16360</v>
      </c>
      <c r="C38274" s="74" t="s">
        <v>416</v>
      </c>
    </row>
    <row r="38275" spans="1:3">
      <c r="A38275" s="250">
        <v>92163</v>
      </c>
      <c r="B38275" s="74" t="s">
        <v>16360</v>
      </c>
      <c r="C38275" s="74" t="s">
        <v>416</v>
      </c>
    </row>
    <row r="38276" spans="1:3">
      <c r="A38276" s="250">
        <v>92164</v>
      </c>
      <c r="B38276" s="74" t="s">
        <v>16360</v>
      </c>
      <c r="C38276" s="74" t="s">
        <v>416</v>
      </c>
    </row>
    <row r="38277" spans="1:3">
      <c r="A38277" s="250">
        <v>92165</v>
      </c>
      <c r="B38277" s="74" t="s">
        <v>16360</v>
      </c>
      <c r="C38277" s="74" t="s">
        <v>416</v>
      </c>
    </row>
    <row r="38278" spans="1:3">
      <c r="A38278" s="250">
        <v>92166</v>
      </c>
      <c r="B38278" s="74" t="s">
        <v>16360</v>
      </c>
      <c r="C38278" s="74" t="s">
        <v>416</v>
      </c>
    </row>
    <row r="38279" spans="1:3">
      <c r="A38279" s="250">
        <v>92167</v>
      </c>
      <c r="B38279" s="74" t="s">
        <v>16360</v>
      </c>
      <c r="C38279" s="74" t="s">
        <v>416</v>
      </c>
    </row>
    <row r="38280" spans="1:3">
      <c r="A38280" s="250">
        <v>92168</v>
      </c>
      <c r="B38280" s="74" t="s">
        <v>16360</v>
      </c>
      <c r="C38280" s="74" t="s">
        <v>416</v>
      </c>
    </row>
    <row r="38281" spans="1:3">
      <c r="A38281" s="250">
        <v>92169</v>
      </c>
      <c r="B38281" s="74" t="s">
        <v>16360</v>
      </c>
      <c r="C38281" s="74" t="s">
        <v>416</v>
      </c>
    </row>
    <row r="38282" spans="1:3">
      <c r="A38282" s="250">
        <v>92170</v>
      </c>
      <c r="B38282" s="74" t="s">
        <v>16360</v>
      </c>
      <c r="C38282" s="74" t="s">
        <v>416</v>
      </c>
    </row>
    <row r="38283" spans="1:3">
      <c r="A38283" s="250">
        <v>92171</v>
      </c>
      <c r="B38283" s="74" t="s">
        <v>16360</v>
      </c>
      <c r="C38283" s="74" t="s">
        <v>416</v>
      </c>
    </row>
    <row r="38284" spans="1:3">
      <c r="A38284" s="250">
        <v>92172</v>
      </c>
      <c r="B38284" s="74" t="s">
        <v>16360</v>
      </c>
      <c r="C38284" s="74" t="s">
        <v>416</v>
      </c>
    </row>
    <row r="38285" spans="1:3">
      <c r="A38285" s="250">
        <v>92173</v>
      </c>
      <c r="B38285" s="74" t="s">
        <v>17382</v>
      </c>
      <c r="C38285" s="74" t="s">
        <v>416</v>
      </c>
    </row>
    <row r="38286" spans="1:3">
      <c r="A38286" s="250">
        <v>92174</v>
      </c>
      <c r="B38286" s="74" t="s">
        <v>16360</v>
      </c>
      <c r="C38286" s="74" t="s">
        <v>416</v>
      </c>
    </row>
    <row r="38287" spans="1:3">
      <c r="A38287" s="250">
        <v>92175</v>
      </c>
      <c r="B38287" s="74" t="s">
        <v>16360</v>
      </c>
      <c r="C38287" s="74" t="s">
        <v>416</v>
      </c>
    </row>
    <row r="38288" spans="1:3">
      <c r="A38288" s="250">
        <v>92176</v>
      </c>
      <c r="B38288" s="74" t="s">
        <v>16360</v>
      </c>
      <c r="C38288" s="74" t="s">
        <v>416</v>
      </c>
    </row>
    <row r="38289" spans="1:3">
      <c r="A38289" s="250">
        <v>92177</v>
      </c>
      <c r="B38289" s="74" t="s">
        <v>16360</v>
      </c>
      <c r="C38289" s="74" t="s">
        <v>416</v>
      </c>
    </row>
    <row r="38290" spans="1:3">
      <c r="A38290" s="250">
        <v>92178</v>
      </c>
      <c r="B38290" s="74" t="s">
        <v>17776</v>
      </c>
      <c r="C38290" s="74" t="s">
        <v>416</v>
      </c>
    </row>
    <row r="38291" spans="1:3">
      <c r="A38291" s="250">
        <v>92179</v>
      </c>
      <c r="B38291" s="74" t="s">
        <v>16360</v>
      </c>
      <c r="C38291" s="74" t="s">
        <v>416</v>
      </c>
    </row>
    <row r="38292" spans="1:3">
      <c r="A38292" s="250">
        <v>92182</v>
      </c>
      <c r="B38292" s="74" t="s">
        <v>16360</v>
      </c>
      <c r="C38292" s="74" t="s">
        <v>416</v>
      </c>
    </row>
    <row r="38293" spans="1:3">
      <c r="A38293" s="250">
        <v>92184</v>
      </c>
      <c r="B38293" s="74" t="s">
        <v>16360</v>
      </c>
      <c r="C38293" s="74" t="s">
        <v>416</v>
      </c>
    </row>
    <row r="38294" spans="1:3">
      <c r="A38294" s="250">
        <v>92186</v>
      </c>
      <c r="B38294" s="74" t="s">
        <v>16360</v>
      </c>
      <c r="C38294" s="74" t="s">
        <v>416</v>
      </c>
    </row>
    <row r="38295" spans="1:3">
      <c r="A38295" s="250">
        <v>92187</v>
      </c>
      <c r="B38295" s="74" t="s">
        <v>16360</v>
      </c>
      <c r="C38295" s="74" t="s">
        <v>416</v>
      </c>
    </row>
    <row r="38296" spans="1:3">
      <c r="A38296" s="250">
        <v>92190</v>
      </c>
      <c r="B38296" s="74" t="s">
        <v>16360</v>
      </c>
      <c r="C38296" s="74" t="s">
        <v>416</v>
      </c>
    </row>
    <row r="38297" spans="1:3">
      <c r="A38297" s="250">
        <v>92191</v>
      </c>
      <c r="B38297" s="74" t="s">
        <v>16360</v>
      </c>
      <c r="C38297" s="74" t="s">
        <v>416</v>
      </c>
    </row>
    <row r="38298" spans="1:3">
      <c r="A38298" s="250">
        <v>92192</v>
      </c>
      <c r="B38298" s="74" t="s">
        <v>16360</v>
      </c>
      <c r="C38298" s="74" t="s">
        <v>416</v>
      </c>
    </row>
    <row r="38299" spans="1:3">
      <c r="A38299" s="250">
        <v>92193</v>
      </c>
      <c r="B38299" s="74" t="s">
        <v>16360</v>
      </c>
      <c r="C38299" s="74" t="s">
        <v>416</v>
      </c>
    </row>
    <row r="38300" spans="1:3">
      <c r="A38300" s="250">
        <v>92194</v>
      </c>
      <c r="B38300" s="74" t="s">
        <v>16360</v>
      </c>
      <c r="C38300" s="74" t="s">
        <v>416</v>
      </c>
    </row>
    <row r="38301" spans="1:3">
      <c r="A38301" s="250">
        <v>92195</v>
      </c>
      <c r="B38301" s="74" t="s">
        <v>16360</v>
      </c>
      <c r="C38301" s="74" t="s">
        <v>416</v>
      </c>
    </row>
    <row r="38302" spans="1:3">
      <c r="A38302" s="250">
        <v>92196</v>
      </c>
      <c r="B38302" s="74" t="s">
        <v>16360</v>
      </c>
      <c r="C38302" s="74" t="s">
        <v>416</v>
      </c>
    </row>
    <row r="38303" spans="1:3">
      <c r="A38303" s="250">
        <v>92197</v>
      </c>
      <c r="B38303" s="74" t="s">
        <v>16360</v>
      </c>
      <c r="C38303" s="74" t="s">
        <v>416</v>
      </c>
    </row>
    <row r="38304" spans="1:3">
      <c r="A38304" s="250">
        <v>92198</v>
      </c>
      <c r="B38304" s="74" t="s">
        <v>16360</v>
      </c>
      <c r="C38304" s="74" t="s">
        <v>416</v>
      </c>
    </row>
    <row r="38305" spans="1:3">
      <c r="A38305" s="250">
        <v>92199</v>
      </c>
      <c r="B38305" s="74" t="s">
        <v>16360</v>
      </c>
      <c r="C38305" s="74" t="s">
        <v>416</v>
      </c>
    </row>
    <row r="38306" spans="1:3">
      <c r="A38306" s="250">
        <v>92201</v>
      </c>
      <c r="B38306" s="74" t="s">
        <v>17777</v>
      </c>
      <c r="C38306" s="74" t="s">
        <v>416</v>
      </c>
    </row>
    <row r="38307" spans="1:3">
      <c r="A38307" s="250">
        <v>92202</v>
      </c>
      <c r="B38307" s="74" t="s">
        <v>17777</v>
      </c>
      <c r="C38307" s="74" t="s">
        <v>416</v>
      </c>
    </row>
    <row r="38308" spans="1:3">
      <c r="A38308" s="250">
        <v>92203</v>
      </c>
      <c r="B38308" s="74" t="s">
        <v>17777</v>
      </c>
      <c r="C38308" s="74" t="s">
        <v>416</v>
      </c>
    </row>
    <row r="38309" spans="1:3">
      <c r="A38309" s="250">
        <v>92210</v>
      </c>
      <c r="B38309" s="74" t="s">
        <v>17291</v>
      </c>
      <c r="C38309" s="74" t="s">
        <v>416</v>
      </c>
    </row>
    <row r="38310" spans="1:3">
      <c r="A38310" s="250">
        <v>92211</v>
      </c>
      <c r="B38310" s="74" t="s">
        <v>17778</v>
      </c>
      <c r="C38310" s="74" t="s">
        <v>416</v>
      </c>
    </row>
    <row r="38311" spans="1:3">
      <c r="A38311" s="250">
        <v>92220</v>
      </c>
      <c r="B38311" s="74" t="s">
        <v>17779</v>
      </c>
      <c r="C38311" s="74" t="s">
        <v>416</v>
      </c>
    </row>
    <row r="38312" spans="1:3">
      <c r="A38312" s="250">
        <v>92222</v>
      </c>
      <c r="B38312" s="74" t="s">
        <v>17572</v>
      </c>
      <c r="C38312" s="74" t="s">
        <v>416</v>
      </c>
    </row>
    <row r="38313" spans="1:3">
      <c r="A38313" s="250">
        <v>92223</v>
      </c>
      <c r="B38313" s="74" t="s">
        <v>6036</v>
      </c>
      <c r="C38313" s="74" t="s">
        <v>416</v>
      </c>
    </row>
    <row r="38314" spans="1:3">
      <c r="A38314" s="250">
        <v>92225</v>
      </c>
      <c r="B38314" s="74" t="s">
        <v>8047</v>
      </c>
      <c r="C38314" s="74" t="s">
        <v>416</v>
      </c>
    </row>
    <row r="38315" spans="1:3">
      <c r="A38315" s="250">
        <v>92226</v>
      </c>
      <c r="B38315" s="74" t="s">
        <v>8047</v>
      </c>
      <c r="C38315" s="74" t="s">
        <v>416</v>
      </c>
    </row>
    <row r="38316" spans="1:3">
      <c r="A38316" s="250">
        <v>92227</v>
      </c>
      <c r="B38316" s="74" t="s">
        <v>17780</v>
      </c>
      <c r="C38316" s="74" t="s">
        <v>416</v>
      </c>
    </row>
    <row r="38317" spans="1:3">
      <c r="A38317" s="250">
        <v>92230</v>
      </c>
      <c r="B38317" s="74" t="s">
        <v>17781</v>
      </c>
      <c r="C38317" s="74" t="s">
        <v>416</v>
      </c>
    </row>
    <row r="38318" spans="1:3">
      <c r="A38318" s="250">
        <v>92231</v>
      </c>
      <c r="B38318" s="74" t="s">
        <v>17782</v>
      </c>
      <c r="C38318" s="74" t="s">
        <v>416</v>
      </c>
    </row>
    <row r="38319" spans="1:3">
      <c r="A38319" s="250">
        <v>92232</v>
      </c>
      <c r="B38319" s="74" t="s">
        <v>17782</v>
      </c>
      <c r="C38319" s="74" t="s">
        <v>416</v>
      </c>
    </row>
    <row r="38320" spans="1:3">
      <c r="A38320" s="250">
        <v>92233</v>
      </c>
      <c r="B38320" s="74" t="s">
        <v>17783</v>
      </c>
      <c r="C38320" s="74" t="s">
        <v>416</v>
      </c>
    </row>
    <row r="38321" spans="1:3">
      <c r="A38321" s="250">
        <v>92234</v>
      </c>
      <c r="B38321" s="74" t="s">
        <v>17784</v>
      </c>
      <c r="C38321" s="74" t="s">
        <v>416</v>
      </c>
    </row>
    <row r="38322" spans="1:3">
      <c r="A38322" s="250">
        <v>92235</v>
      </c>
      <c r="B38322" s="74" t="s">
        <v>17784</v>
      </c>
      <c r="C38322" s="74" t="s">
        <v>416</v>
      </c>
    </row>
    <row r="38323" spans="1:3">
      <c r="A38323" s="250">
        <v>92236</v>
      </c>
      <c r="B38323" s="74" t="s">
        <v>17785</v>
      </c>
      <c r="C38323" s="74" t="s">
        <v>416</v>
      </c>
    </row>
    <row r="38324" spans="1:3">
      <c r="A38324" s="250">
        <v>92239</v>
      </c>
      <c r="B38324" s="74" t="s">
        <v>17786</v>
      </c>
      <c r="C38324" s="74" t="s">
        <v>416</v>
      </c>
    </row>
    <row r="38325" spans="1:3">
      <c r="A38325" s="250">
        <v>92240</v>
      </c>
      <c r="B38325" s="74" t="s">
        <v>17787</v>
      </c>
      <c r="C38325" s="74" t="s">
        <v>416</v>
      </c>
    </row>
    <row r="38326" spans="1:3">
      <c r="A38326" s="250">
        <v>92241</v>
      </c>
      <c r="B38326" s="74" t="s">
        <v>17787</v>
      </c>
      <c r="C38326" s="74" t="s">
        <v>416</v>
      </c>
    </row>
    <row r="38327" spans="1:3">
      <c r="A38327" s="250">
        <v>92242</v>
      </c>
      <c r="B38327" s="74" t="s">
        <v>17788</v>
      </c>
      <c r="C38327" s="74" t="s">
        <v>416</v>
      </c>
    </row>
    <row r="38328" spans="1:3">
      <c r="A38328" s="250">
        <v>92243</v>
      </c>
      <c r="B38328" s="74" t="s">
        <v>17789</v>
      </c>
      <c r="C38328" s="74" t="s">
        <v>416</v>
      </c>
    </row>
    <row r="38329" spans="1:3">
      <c r="A38329" s="250">
        <v>92244</v>
      </c>
      <c r="B38329" s="74" t="s">
        <v>17789</v>
      </c>
      <c r="C38329" s="74" t="s">
        <v>416</v>
      </c>
    </row>
    <row r="38330" spans="1:3">
      <c r="A38330" s="250">
        <v>92247</v>
      </c>
      <c r="B38330" s="74" t="s">
        <v>17790</v>
      </c>
      <c r="C38330" s="74" t="s">
        <v>416</v>
      </c>
    </row>
    <row r="38331" spans="1:3">
      <c r="A38331" s="250">
        <v>92248</v>
      </c>
      <c r="B38331" s="74" t="s">
        <v>17790</v>
      </c>
      <c r="C38331" s="74" t="s">
        <v>416</v>
      </c>
    </row>
    <row r="38332" spans="1:3">
      <c r="A38332" s="250">
        <v>92249</v>
      </c>
      <c r="B38332" s="74" t="s">
        <v>17274</v>
      </c>
      <c r="C38332" s="74" t="s">
        <v>416</v>
      </c>
    </row>
    <row r="38333" spans="1:3">
      <c r="A38333" s="250">
        <v>92250</v>
      </c>
      <c r="B38333" s="74" t="s">
        <v>17791</v>
      </c>
      <c r="C38333" s="74" t="s">
        <v>416</v>
      </c>
    </row>
    <row r="38334" spans="1:3">
      <c r="A38334" s="250">
        <v>92251</v>
      </c>
      <c r="B38334" s="74" t="s">
        <v>4026</v>
      </c>
      <c r="C38334" s="74" t="s">
        <v>416</v>
      </c>
    </row>
    <row r="38335" spans="1:3">
      <c r="A38335" s="250">
        <v>92252</v>
      </c>
      <c r="B38335" s="74" t="s">
        <v>17792</v>
      </c>
      <c r="C38335" s="74" t="s">
        <v>416</v>
      </c>
    </row>
    <row r="38336" spans="1:3">
      <c r="A38336" s="250">
        <v>92253</v>
      </c>
      <c r="B38336" s="74" t="s">
        <v>17790</v>
      </c>
      <c r="C38336" s="74" t="s">
        <v>416</v>
      </c>
    </row>
    <row r="38337" spans="1:3">
      <c r="A38337" s="250">
        <v>92254</v>
      </c>
      <c r="B38337" s="74" t="s">
        <v>10940</v>
      </c>
      <c r="C38337" s="74" t="s">
        <v>416</v>
      </c>
    </row>
    <row r="38338" spans="1:3">
      <c r="A38338" s="250">
        <v>92255</v>
      </c>
      <c r="B38338" s="74" t="s">
        <v>17778</v>
      </c>
      <c r="C38338" s="74" t="s">
        <v>416</v>
      </c>
    </row>
    <row r="38339" spans="1:3">
      <c r="A38339" s="250">
        <v>92256</v>
      </c>
      <c r="B38339" s="74" t="s">
        <v>17793</v>
      </c>
      <c r="C38339" s="74" t="s">
        <v>416</v>
      </c>
    </row>
    <row r="38340" spans="1:3">
      <c r="A38340" s="250">
        <v>92257</v>
      </c>
      <c r="B38340" s="74" t="s">
        <v>17794</v>
      </c>
      <c r="C38340" s="74" t="s">
        <v>416</v>
      </c>
    </row>
    <row r="38341" spans="1:3">
      <c r="A38341" s="250">
        <v>92258</v>
      </c>
      <c r="B38341" s="74" t="s">
        <v>17795</v>
      </c>
      <c r="C38341" s="74" t="s">
        <v>416</v>
      </c>
    </row>
    <row r="38342" spans="1:3">
      <c r="A38342" s="250">
        <v>92259</v>
      </c>
      <c r="B38342" s="74" t="s">
        <v>17796</v>
      </c>
      <c r="C38342" s="74" t="s">
        <v>416</v>
      </c>
    </row>
    <row r="38343" spans="1:3">
      <c r="A38343" s="250">
        <v>92260</v>
      </c>
      <c r="B38343" s="74" t="s">
        <v>17778</v>
      </c>
      <c r="C38343" s="74" t="s">
        <v>416</v>
      </c>
    </row>
    <row r="38344" spans="1:3">
      <c r="A38344" s="250">
        <v>92261</v>
      </c>
      <c r="B38344" s="74" t="s">
        <v>17778</v>
      </c>
      <c r="C38344" s="74" t="s">
        <v>416</v>
      </c>
    </row>
    <row r="38345" spans="1:3">
      <c r="A38345" s="250">
        <v>92262</v>
      </c>
      <c r="B38345" s="74" t="s">
        <v>17797</v>
      </c>
      <c r="C38345" s="74" t="s">
        <v>416</v>
      </c>
    </row>
    <row r="38346" spans="1:3">
      <c r="A38346" s="250">
        <v>92263</v>
      </c>
      <c r="B38346" s="74" t="s">
        <v>17797</v>
      </c>
      <c r="C38346" s="74" t="s">
        <v>416</v>
      </c>
    </row>
    <row r="38347" spans="1:3">
      <c r="A38347" s="250">
        <v>92264</v>
      </c>
      <c r="B38347" s="74" t="s">
        <v>17797</v>
      </c>
      <c r="C38347" s="74" t="s">
        <v>416</v>
      </c>
    </row>
    <row r="38348" spans="1:3">
      <c r="A38348" s="250">
        <v>92266</v>
      </c>
      <c r="B38348" s="74" t="s">
        <v>17207</v>
      </c>
      <c r="C38348" s="74" t="s">
        <v>416</v>
      </c>
    </row>
    <row r="38349" spans="1:3">
      <c r="A38349" s="250">
        <v>92267</v>
      </c>
      <c r="B38349" s="74" t="s">
        <v>17798</v>
      </c>
      <c r="C38349" s="74" t="s">
        <v>416</v>
      </c>
    </row>
    <row r="38350" spans="1:3">
      <c r="A38350" s="250">
        <v>92268</v>
      </c>
      <c r="B38350" s="74" t="s">
        <v>17799</v>
      </c>
      <c r="C38350" s="74" t="s">
        <v>416</v>
      </c>
    </row>
    <row r="38351" spans="1:3">
      <c r="A38351" s="250">
        <v>92270</v>
      </c>
      <c r="B38351" s="74" t="s">
        <v>17800</v>
      </c>
      <c r="C38351" s="74" t="s">
        <v>416</v>
      </c>
    </row>
    <row r="38352" spans="1:3">
      <c r="A38352" s="250">
        <v>92273</v>
      </c>
      <c r="B38352" s="74" t="s">
        <v>17801</v>
      </c>
      <c r="C38352" s="74" t="s">
        <v>416</v>
      </c>
    </row>
    <row r="38353" spans="1:3">
      <c r="A38353" s="250">
        <v>92274</v>
      </c>
      <c r="B38353" s="74" t="s">
        <v>17802</v>
      </c>
      <c r="C38353" s="74" t="s">
        <v>416</v>
      </c>
    </row>
    <row r="38354" spans="1:3">
      <c r="A38354" s="250">
        <v>92275</v>
      </c>
      <c r="B38354" s="74" t="s">
        <v>17803</v>
      </c>
      <c r="C38354" s="74" t="s">
        <v>416</v>
      </c>
    </row>
    <row r="38355" spans="1:3">
      <c r="A38355" s="250">
        <v>92276</v>
      </c>
      <c r="B38355" s="74" t="s">
        <v>17804</v>
      </c>
      <c r="C38355" s="74" t="s">
        <v>416</v>
      </c>
    </row>
    <row r="38356" spans="1:3">
      <c r="A38356" s="250">
        <v>92277</v>
      </c>
      <c r="B38356" s="74" t="s">
        <v>17805</v>
      </c>
      <c r="C38356" s="74" t="s">
        <v>416</v>
      </c>
    </row>
    <row r="38357" spans="1:3">
      <c r="A38357" s="250">
        <v>92278</v>
      </c>
      <c r="B38357" s="74" t="s">
        <v>17805</v>
      </c>
      <c r="C38357" s="74" t="s">
        <v>416</v>
      </c>
    </row>
    <row r="38358" spans="1:3">
      <c r="A38358" s="250">
        <v>92280</v>
      </c>
      <c r="B38358" s="74" t="s">
        <v>17806</v>
      </c>
      <c r="C38358" s="74" t="s">
        <v>416</v>
      </c>
    </row>
    <row r="38359" spans="1:3">
      <c r="A38359" s="250">
        <v>92281</v>
      </c>
      <c r="B38359" s="74" t="s">
        <v>17807</v>
      </c>
      <c r="C38359" s="74" t="s">
        <v>416</v>
      </c>
    </row>
    <row r="38360" spans="1:3">
      <c r="A38360" s="250">
        <v>92282</v>
      </c>
      <c r="B38360" s="74" t="s">
        <v>12002</v>
      </c>
      <c r="C38360" s="74" t="s">
        <v>416</v>
      </c>
    </row>
    <row r="38361" spans="1:3">
      <c r="A38361" s="250">
        <v>92283</v>
      </c>
      <c r="B38361" s="74" t="s">
        <v>17808</v>
      </c>
      <c r="C38361" s="74" t="s">
        <v>416</v>
      </c>
    </row>
    <row r="38362" spans="1:3">
      <c r="A38362" s="250">
        <v>92284</v>
      </c>
      <c r="B38362" s="74" t="s">
        <v>17809</v>
      </c>
      <c r="C38362" s="74" t="s">
        <v>416</v>
      </c>
    </row>
    <row r="38363" spans="1:3">
      <c r="A38363" s="250">
        <v>92285</v>
      </c>
      <c r="B38363" s="74" t="s">
        <v>17810</v>
      </c>
      <c r="C38363" s="74" t="s">
        <v>416</v>
      </c>
    </row>
    <row r="38364" spans="1:3">
      <c r="A38364" s="250">
        <v>92286</v>
      </c>
      <c r="B38364" s="74" t="s">
        <v>17809</v>
      </c>
      <c r="C38364" s="74" t="s">
        <v>416</v>
      </c>
    </row>
    <row r="38365" spans="1:3">
      <c r="A38365" s="250">
        <v>92292</v>
      </c>
      <c r="B38365" s="74" t="s">
        <v>17797</v>
      </c>
      <c r="C38365" s="74" t="s">
        <v>416</v>
      </c>
    </row>
    <row r="38366" spans="1:3">
      <c r="A38366" s="250">
        <v>92301</v>
      </c>
      <c r="B38366" s="74" t="s">
        <v>17811</v>
      </c>
      <c r="C38366" s="74" t="s">
        <v>416</v>
      </c>
    </row>
    <row r="38367" spans="1:3">
      <c r="A38367" s="250">
        <v>92304</v>
      </c>
      <c r="B38367" s="74" t="s">
        <v>10759</v>
      </c>
      <c r="C38367" s="74" t="s">
        <v>416</v>
      </c>
    </row>
    <row r="38368" spans="1:3">
      <c r="A38368" s="250">
        <v>92305</v>
      </c>
      <c r="B38368" s="74" t="s">
        <v>17812</v>
      </c>
      <c r="C38368" s="74" t="s">
        <v>416</v>
      </c>
    </row>
    <row r="38369" spans="1:3">
      <c r="A38369" s="250">
        <v>92307</v>
      </c>
      <c r="B38369" s="74" t="s">
        <v>17813</v>
      </c>
      <c r="C38369" s="74" t="s">
        <v>416</v>
      </c>
    </row>
    <row r="38370" spans="1:3">
      <c r="A38370" s="250">
        <v>92308</v>
      </c>
      <c r="B38370" s="74" t="s">
        <v>17813</v>
      </c>
      <c r="C38370" s="74" t="s">
        <v>416</v>
      </c>
    </row>
    <row r="38371" spans="1:3">
      <c r="A38371" s="250">
        <v>92309</v>
      </c>
      <c r="B38371" s="74" t="s">
        <v>7035</v>
      </c>
      <c r="C38371" s="74" t="s">
        <v>416</v>
      </c>
    </row>
    <row r="38372" spans="1:3">
      <c r="A38372" s="250">
        <v>92310</v>
      </c>
      <c r="B38372" s="74" t="s">
        <v>17814</v>
      </c>
      <c r="C38372" s="74" t="s">
        <v>416</v>
      </c>
    </row>
    <row r="38373" spans="1:3">
      <c r="A38373" s="250">
        <v>92311</v>
      </c>
      <c r="B38373" s="74" t="s">
        <v>5548</v>
      </c>
      <c r="C38373" s="74" t="s">
        <v>416</v>
      </c>
    </row>
    <row r="38374" spans="1:3">
      <c r="A38374" s="250">
        <v>92312</v>
      </c>
      <c r="B38374" s="74" t="s">
        <v>5548</v>
      </c>
      <c r="C38374" s="74" t="s">
        <v>416</v>
      </c>
    </row>
    <row r="38375" spans="1:3">
      <c r="A38375" s="250">
        <v>92313</v>
      </c>
      <c r="B38375" s="74" t="s">
        <v>17815</v>
      </c>
      <c r="C38375" s="74" t="s">
        <v>416</v>
      </c>
    </row>
    <row r="38376" spans="1:3">
      <c r="A38376" s="250">
        <v>92314</v>
      </c>
      <c r="B38376" s="74" t="s">
        <v>17816</v>
      </c>
      <c r="C38376" s="74" t="s">
        <v>416</v>
      </c>
    </row>
    <row r="38377" spans="1:3">
      <c r="A38377" s="250">
        <v>92315</v>
      </c>
      <c r="B38377" s="74" t="s">
        <v>17817</v>
      </c>
      <c r="C38377" s="74" t="s">
        <v>416</v>
      </c>
    </row>
    <row r="38378" spans="1:3">
      <c r="A38378" s="250">
        <v>92316</v>
      </c>
      <c r="B38378" s="74" t="s">
        <v>3032</v>
      </c>
      <c r="C38378" s="74" t="s">
        <v>416</v>
      </c>
    </row>
    <row r="38379" spans="1:3">
      <c r="A38379" s="250">
        <v>92317</v>
      </c>
      <c r="B38379" s="74" t="s">
        <v>17818</v>
      </c>
      <c r="C38379" s="74" t="s">
        <v>416</v>
      </c>
    </row>
    <row r="38380" spans="1:3">
      <c r="A38380" s="250">
        <v>92318</v>
      </c>
      <c r="B38380" s="74" t="s">
        <v>5316</v>
      </c>
      <c r="C38380" s="74" t="s">
        <v>416</v>
      </c>
    </row>
    <row r="38381" spans="1:3">
      <c r="A38381" s="250">
        <v>92320</v>
      </c>
      <c r="B38381" s="74" t="s">
        <v>17819</v>
      </c>
      <c r="C38381" s="74" t="s">
        <v>416</v>
      </c>
    </row>
    <row r="38382" spans="1:3">
      <c r="A38382" s="250">
        <v>92321</v>
      </c>
      <c r="B38382" s="74" t="s">
        <v>17820</v>
      </c>
      <c r="C38382" s="74" t="s">
        <v>416</v>
      </c>
    </row>
    <row r="38383" spans="1:3">
      <c r="A38383" s="250">
        <v>92322</v>
      </c>
      <c r="B38383" s="74" t="s">
        <v>17821</v>
      </c>
      <c r="C38383" s="74" t="s">
        <v>416</v>
      </c>
    </row>
    <row r="38384" spans="1:3">
      <c r="A38384" s="250">
        <v>92323</v>
      </c>
      <c r="B38384" s="74" t="s">
        <v>17822</v>
      </c>
      <c r="C38384" s="74" t="s">
        <v>416</v>
      </c>
    </row>
    <row r="38385" spans="1:3">
      <c r="A38385" s="250">
        <v>92324</v>
      </c>
      <c r="B38385" s="74" t="s">
        <v>3536</v>
      </c>
      <c r="C38385" s="74" t="s">
        <v>416</v>
      </c>
    </row>
    <row r="38386" spans="1:3">
      <c r="A38386" s="250">
        <v>92325</v>
      </c>
      <c r="B38386" s="74" t="s">
        <v>10428</v>
      </c>
      <c r="C38386" s="74" t="s">
        <v>416</v>
      </c>
    </row>
    <row r="38387" spans="1:3">
      <c r="A38387" s="250">
        <v>92326</v>
      </c>
      <c r="B38387" s="74" t="s">
        <v>17823</v>
      </c>
      <c r="C38387" s="74" t="s">
        <v>416</v>
      </c>
    </row>
    <row r="38388" spans="1:3">
      <c r="A38388" s="250">
        <v>92327</v>
      </c>
      <c r="B38388" s="74" t="s">
        <v>11407</v>
      </c>
      <c r="C38388" s="74" t="s">
        <v>416</v>
      </c>
    </row>
    <row r="38389" spans="1:3">
      <c r="A38389" s="250">
        <v>92328</v>
      </c>
      <c r="B38389" s="74" t="s">
        <v>17824</v>
      </c>
      <c r="C38389" s="74" t="s">
        <v>416</v>
      </c>
    </row>
    <row r="38390" spans="1:3">
      <c r="A38390" s="250">
        <v>92329</v>
      </c>
      <c r="B38390" s="74" t="s">
        <v>17825</v>
      </c>
      <c r="C38390" s="74" t="s">
        <v>416</v>
      </c>
    </row>
    <row r="38391" spans="1:3">
      <c r="A38391" s="250">
        <v>92331</v>
      </c>
      <c r="B38391" s="74" t="s">
        <v>11980</v>
      </c>
      <c r="C38391" s="74" t="s">
        <v>416</v>
      </c>
    </row>
    <row r="38392" spans="1:3">
      <c r="A38392" s="250">
        <v>92332</v>
      </c>
      <c r="B38392" s="74" t="s">
        <v>842</v>
      </c>
      <c r="C38392" s="74" t="s">
        <v>416</v>
      </c>
    </row>
    <row r="38393" spans="1:3">
      <c r="A38393" s="250">
        <v>92333</v>
      </c>
      <c r="B38393" s="74" t="s">
        <v>17826</v>
      </c>
      <c r="C38393" s="74" t="s">
        <v>416</v>
      </c>
    </row>
    <row r="38394" spans="1:3">
      <c r="A38394" s="250">
        <v>92334</v>
      </c>
      <c r="B38394" s="74" t="s">
        <v>11980</v>
      </c>
      <c r="C38394" s="74" t="s">
        <v>416</v>
      </c>
    </row>
    <row r="38395" spans="1:3">
      <c r="A38395" s="250">
        <v>92335</v>
      </c>
      <c r="B38395" s="74" t="s">
        <v>11980</v>
      </c>
      <c r="C38395" s="74" t="s">
        <v>416</v>
      </c>
    </row>
    <row r="38396" spans="1:3">
      <c r="A38396" s="250">
        <v>92336</v>
      </c>
      <c r="B38396" s="74" t="s">
        <v>11980</v>
      </c>
      <c r="C38396" s="74" t="s">
        <v>416</v>
      </c>
    </row>
    <row r="38397" spans="1:3">
      <c r="A38397" s="250">
        <v>92337</v>
      </c>
      <c r="B38397" s="74" t="s">
        <v>11980</v>
      </c>
      <c r="C38397" s="74" t="s">
        <v>416</v>
      </c>
    </row>
    <row r="38398" spans="1:3">
      <c r="A38398" s="250">
        <v>92338</v>
      </c>
      <c r="B38398" s="74" t="s">
        <v>604</v>
      </c>
      <c r="C38398" s="74" t="s">
        <v>416</v>
      </c>
    </row>
    <row r="38399" spans="1:3">
      <c r="A38399" s="250">
        <v>92339</v>
      </c>
      <c r="B38399" s="74" t="s">
        <v>17827</v>
      </c>
      <c r="C38399" s="74" t="s">
        <v>416</v>
      </c>
    </row>
    <row r="38400" spans="1:3">
      <c r="A38400" s="250">
        <v>92340</v>
      </c>
      <c r="B38400" s="74" t="s">
        <v>11280</v>
      </c>
      <c r="C38400" s="74" t="s">
        <v>416</v>
      </c>
    </row>
    <row r="38401" spans="1:3">
      <c r="A38401" s="250">
        <v>92341</v>
      </c>
      <c r="B38401" s="74" t="s">
        <v>17828</v>
      </c>
      <c r="C38401" s="74" t="s">
        <v>416</v>
      </c>
    </row>
    <row r="38402" spans="1:3">
      <c r="A38402" s="250">
        <v>92342</v>
      </c>
      <c r="B38402" s="74" t="s">
        <v>17829</v>
      </c>
      <c r="C38402" s="74" t="s">
        <v>416</v>
      </c>
    </row>
    <row r="38403" spans="1:3">
      <c r="A38403" s="250">
        <v>92344</v>
      </c>
      <c r="B38403" s="74" t="s">
        <v>11280</v>
      </c>
      <c r="C38403" s="74" t="s">
        <v>416</v>
      </c>
    </row>
    <row r="38404" spans="1:3">
      <c r="A38404" s="250">
        <v>92345</v>
      </c>
      <c r="B38404" s="74" t="s">
        <v>11280</v>
      </c>
      <c r="C38404" s="74" t="s">
        <v>416</v>
      </c>
    </row>
    <row r="38405" spans="1:3">
      <c r="A38405" s="250">
        <v>92346</v>
      </c>
      <c r="B38405" s="74" t="s">
        <v>3120</v>
      </c>
      <c r="C38405" s="74" t="s">
        <v>416</v>
      </c>
    </row>
    <row r="38406" spans="1:3">
      <c r="A38406" s="250">
        <v>92347</v>
      </c>
      <c r="B38406" s="74" t="s">
        <v>17830</v>
      </c>
      <c r="C38406" s="74" t="s">
        <v>416</v>
      </c>
    </row>
    <row r="38407" spans="1:3">
      <c r="A38407" s="250">
        <v>92350</v>
      </c>
      <c r="B38407" s="74" t="s">
        <v>17831</v>
      </c>
      <c r="C38407" s="74" t="s">
        <v>416</v>
      </c>
    </row>
    <row r="38408" spans="1:3">
      <c r="A38408" s="250">
        <v>92352</v>
      </c>
      <c r="B38408" s="74" t="s">
        <v>17832</v>
      </c>
      <c r="C38408" s="74" t="s">
        <v>416</v>
      </c>
    </row>
    <row r="38409" spans="1:3">
      <c r="A38409" s="250">
        <v>92354</v>
      </c>
      <c r="B38409" s="74" t="s">
        <v>17831</v>
      </c>
      <c r="C38409" s="74" t="s">
        <v>416</v>
      </c>
    </row>
    <row r="38410" spans="1:3">
      <c r="A38410" s="250">
        <v>92356</v>
      </c>
      <c r="B38410" s="74" t="s">
        <v>17833</v>
      </c>
      <c r="C38410" s="74" t="s">
        <v>416</v>
      </c>
    </row>
    <row r="38411" spans="1:3">
      <c r="A38411" s="250">
        <v>92357</v>
      </c>
      <c r="B38411" s="74" t="s">
        <v>17831</v>
      </c>
      <c r="C38411" s="74" t="s">
        <v>416</v>
      </c>
    </row>
    <row r="38412" spans="1:3">
      <c r="A38412" s="250">
        <v>92358</v>
      </c>
      <c r="B38412" s="74" t="s">
        <v>17834</v>
      </c>
      <c r="C38412" s="74" t="s">
        <v>416</v>
      </c>
    </row>
    <row r="38413" spans="1:3">
      <c r="A38413" s="250">
        <v>92359</v>
      </c>
      <c r="B38413" s="74" t="s">
        <v>8777</v>
      </c>
      <c r="C38413" s="74" t="s">
        <v>416</v>
      </c>
    </row>
    <row r="38414" spans="1:3">
      <c r="A38414" s="250">
        <v>92363</v>
      </c>
      <c r="B38414" s="74" t="s">
        <v>17835</v>
      </c>
      <c r="C38414" s="74" t="s">
        <v>416</v>
      </c>
    </row>
    <row r="38415" spans="1:3">
      <c r="A38415" s="250">
        <v>92364</v>
      </c>
      <c r="B38415" s="74" t="s">
        <v>17836</v>
      </c>
      <c r="C38415" s="74" t="s">
        <v>416</v>
      </c>
    </row>
    <row r="38416" spans="1:3">
      <c r="A38416" s="250">
        <v>92365</v>
      </c>
      <c r="B38416" s="74" t="s">
        <v>17837</v>
      </c>
      <c r="C38416" s="74" t="s">
        <v>416</v>
      </c>
    </row>
    <row r="38417" spans="1:3">
      <c r="A38417" s="250">
        <v>92366</v>
      </c>
      <c r="B38417" s="74" t="s">
        <v>17838</v>
      </c>
      <c r="C38417" s="74" t="s">
        <v>416</v>
      </c>
    </row>
    <row r="38418" spans="1:3">
      <c r="A38418" s="250">
        <v>92368</v>
      </c>
      <c r="B38418" s="74" t="s">
        <v>17839</v>
      </c>
      <c r="C38418" s="74" t="s">
        <v>416</v>
      </c>
    </row>
    <row r="38419" spans="1:3">
      <c r="A38419" s="250">
        <v>92369</v>
      </c>
      <c r="B38419" s="74" t="s">
        <v>4567</v>
      </c>
      <c r="C38419" s="74" t="s">
        <v>416</v>
      </c>
    </row>
    <row r="38420" spans="1:3">
      <c r="A38420" s="250">
        <v>92371</v>
      </c>
      <c r="B38420" s="74" t="s">
        <v>17825</v>
      </c>
      <c r="C38420" s="74" t="s">
        <v>416</v>
      </c>
    </row>
    <row r="38421" spans="1:3">
      <c r="A38421" s="250">
        <v>92372</v>
      </c>
      <c r="B38421" s="74" t="s">
        <v>17840</v>
      </c>
      <c r="C38421" s="74" t="s">
        <v>416</v>
      </c>
    </row>
    <row r="38422" spans="1:3">
      <c r="A38422" s="250">
        <v>92373</v>
      </c>
      <c r="B38422" s="74" t="s">
        <v>17841</v>
      </c>
      <c r="C38422" s="74" t="s">
        <v>416</v>
      </c>
    </row>
    <row r="38423" spans="1:3">
      <c r="A38423" s="250">
        <v>92374</v>
      </c>
      <c r="B38423" s="74" t="s">
        <v>17841</v>
      </c>
      <c r="C38423" s="74" t="s">
        <v>416</v>
      </c>
    </row>
    <row r="38424" spans="1:3">
      <c r="A38424" s="250">
        <v>92375</v>
      </c>
      <c r="B38424" s="74" t="s">
        <v>17841</v>
      </c>
      <c r="C38424" s="74" t="s">
        <v>416</v>
      </c>
    </row>
    <row r="38425" spans="1:3">
      <c r="A38425" s="250">
        <v>92376</v>
      </c>
      <c r="B38425" s="74" t="s">
        <v>17842</v>
      </c>
      <c r="C38425" s="74" t="s">
        <v>416</v>
      </c>
    </row>
    <row r="38426" spans="1:3">
      <c r="A38426" s="250">
        <v>92377</v>
      </c>
      <c r="B38426" s="74" t="s">
        <v>17842</v>
      </c>
      <c r="C38426" s="74" t="s">
        <v>416</v>
      </c>
    </row>
    <row r="38427" spans="1:3">
      <c r="A38427" s="250">
        <v>92378</v>
      </c>
      <c r="B38427" s="74" t="s">
        <v>17843</v>
      </c>
      <c r="C38427" s="74" t="s">
        <v>416</v>
      </c>
    </row>
    <row r="38428" spans="1:3">
      <c r="A38428" s="250">
        <v>92382</v>
      </c>
      <c r="B38428" s="74" t="s">
        <v>17844</v>
      </c>
      <c r="C38428" s="74" t="s">
        <v>416</v>
      </c>
    </row>
    <row r="38429" spans="1:3">
      <c r="A38429" s="250">
        <v>92384</v>
      </c>
      <c r="B38429" s="74" t="s">
        <v>16957</v>
      </c>
      <c r="C38429" s="74" t="s">
        <v>416</v>
      </c>
    </row>
    <row r="38430" spans="1:3">
      <c r="A38430" s="250">
        <v>92385</v>
      </c>
      <c r="B38430" s="74" t="s">
        <v>17845</v>
      </c>
      <c r="C38430" s="74" t="s">
        <v>416</v>
      </c>
    </row>
    <row r="38431" spans="1:3">
      <c r="A38431" s="250">
        <v>92386</v>
      </c>
      <c r="B38431" s="74" t="s">
        <v>5105</v>
      </c>
      <c r="C38431" s="74" t="s">
        <v>416</v>
      </c>
    </row>
    <row r="38432" spans="1:3">
      <c r="A38432" s="250">
        <v>92389</v>
      </c>
      <c r="B38432" s="74" t="s">
        <v>17846</v>
      </c>
      <c r="C38432" s="74" t="s">
        <v>416</v>
      </c>
    </row>
    <row r="38433" spans="1:3">
      <c r="A38433" s="250">
        <v>92391</v>
      </c>
      <c r="B38433" s="74" t="s">
        <v>17847</v>
      </c>
      <c r="C38433" s="74" t="s">
        <v>416</v>
      </c>
    </row>
    <row r="38434" spans="1:3">
      <c r="A38434" s="250">
        <v>92392</v>
      </c>
      <c r="B38434" s="74" t="s">
        <v>17848</v>
      </c>
      <c r="C38434" s="74" t="s">
        <v>416</v>
      </c>
    </row>
    <row r="38435" spans="1:3">
      <c r="A38435" s="250">
        <v>92393</v>
      </c>
      <c r="B38435" s="74" t="s">
        <v>17848</v>
      </c>
      <c r="C38435" s="74" t="s">
        <v>416</v>
      </c>
    </row>
    <row r="38436" spans="1:3">
      <c r="A38436" s="250">
        <v>92394</v>
      </c>
      <c r="B38436" s="74" t="s">
        <v>17848</v>
      </c>
      <c r="C38436" s="74" t="s">
        <v>416</v>
      </c>
    </row>
    <row r="38437" spans="1:3">
      <c r="A38437" s="250">
        <v>92395</v>
      </c>
      <c r="B38437" s="74" t="s">
        <v>17848</v>
      </c>
      <c r="C38437" s="74" t="s">
        <v>416</v>
      </c>
    </row>
    <row r="38438" spans="1:3">
      <c r="A38438" s="250">
        <v>92397</v>
      </c>
      <c r="B38438" s="74" t="s">
        <v>17849</v>
      </c>
      <c r="C38438" s="74" t="s">
        <v>416</v>
      </c>
    </row>
    <row r="38439" spans="1:3">
      <c r="A38439" s="250">
        <v>92398</v>
      </c>
      <c r="B38439" s="74" t="s">
        <v>17850</v>
      </c>
      <c r="C38439" s="74" t="s">
        <v>416</v>
      </c>
    </row>
    <row r="38440" spans="1:3">
      <c r="A38440" s="250">
        <v>92399</v>
      </c>
      <c r="B38440" s="74" t="s">
        <v>17851</v>
      </c>
      <c r="C38440" s="74" t="s">
        <v>416</v>
      </c>
    </row>
    <row r="38441" spans="1:3">
      <c r="A38441" s="250">
        <v>92401</v>
      </c>
      <c r="B38441" s="74" t="s">
        <v>17852</v>
      </c>
      <c r="C38441" s="74" t="s">
        <v>416</v>
      </c>
    </row>
    <row r="38442" spans="1:3">
      <c r="A38442" s="250">
        <v>92402</v>
      </c>
      <c r="B38442" s="74" t="s">
        <v>17852</v>
      </c>
      <c r="C38442" s="74" t="s">
        <v>416</v>
      </c>
    </row>
    <row r="38443" spans="1:3">
      <c r="A38443" s="250">
        <v>92403</v>
      </c>
      <c r="B38443" s="74" t="s">
        <v>17852</v>
      </c>
      <c r="C38443" s="74" t="s">
        <v>416</v>
      </c>
    </row>
    <row r="38444" spans="1:3">
      <c r="A38444" s="250">
        <v>92404</v>
      </c>
      <c r="B38444" s="74" t="s">
        <v>17852</v>
      </c>
      <c r="C38444" s="74" t="s">
        <v>416</v>
      </c>
    </row>
    <row r="38445" spans="1:3">
      <c r="A38445" s="250">
        <v>92405</v>
      </c>
      <c r="B38445" s="74" t="s">
        <v>17852</v>
      </c>
      <c r="C38445" s="74" t="s">
        <v>416</v>
      </c>
    </row>
    <row r="38446" spans="1:3">
      <c r="A38446" s="250">
        <v>92406</v>
      </c>
      <c r="B38446" s="74" t="s">
        <v>17852</v>
      </c>
      <c r="C38446" s="74" t="s">
        <v>416</v>
      </c>
    </row>
    <row r="38447" spans="1:3">
      <c r="A38447" s="250">
        <v>92407</v>
      </c>
      <c r="B38447" s="74" t="s">
        <v>17852</v>
      </c>
      <c r="C38447" s="74" t="s">
        <v>416</v>
      </c>
    </row>
    <row r="38448" spans="1:3">
      <c r="A38448" s="250">
        <v>92408</v>
      </c>
      <c r="B38448" s="74" t="s">
        <v>17852</v>
      </c>
      <c r="C38448" s="74" t="s">
        <v>416</v>
      </c>
    </row>
    <row r="38449" spans="1:3">
      <c r="A38449" s="250">
        <v>92410</v>
      </c>
      <c r="B38449" s="74" t="s">
        <v>17852</v>
      </c>
      <c r="C38449" s="74" t="s">
        <v>416</v>
      </c>
    </row>
    <row r="38450" spans="1:3">
      <c r="A38450" s="250">
        <v>92411</v>
      </c>
      <c r="B38450" s="74" t="s">
        <v>17852</v>
      </c>
      <c r="C38450" s="74" t="s">
        <v>416</v>
      </c>
    </row>
    <row r="38451" spans="1:3">
      <c r="A38451" s="250">
        <v>92412</v>
      </c>
      <c r="B38451" s="74" t="s">
        <v>17852</v>
      </c>
      <c r="C38451" s="74" t="s">
        <v>416</v>
      </c>
    </row>
    <row r="38452" spans="1:3">
      <c r="A38452" s="250">
        <v>92413</v>
      </c>
      <c r="B38452" s="74" t="s">
        <v>17852</v>
      </c>
      <c r="C38452" s="74" t="s">
        <v>416</v>
      </c>
    </row>
    <row r="38453" spans="1:3">
      <c r="A38453" s="250">
        <v>92414</v>
      </c>
      <c r="B38453" s="74" t="s">
        <v>17852</v>
      </c>
      <c r="C38453" s="74" t="s">
        <v>416</v>
      </c>
    </row>
    <row r="38454" spans="1:3">
      <c r="A38454" s="250">
        <v>92415</v>
      </c>
      <c r="B38454" s="74" t="s">
        <v>17852</v>
      </c>
      <c r="C38454" s="74" t="s">
        <v>416</v>
      </c>
    </row>
    <row r="38455" spans="1:3">
      <c r="A38455" s="250">
        <v>92418</v>
      </c>
      <c r="B38455" s="74" t="s">
        <v>17852</v>
      </c>
      <c r="C38455" s="74" t="s">
        <v>416</v>
      </c>
    </row>
    <row r="38456" spans="1:3">
      <c r="A38456" s="250">
        <v>92423</v>
      </c>
      <c r="B38456" s="74" t="s">
        <v>17852</v>
      </c>
      <c r="C38456" s="74" t="s">
        <v>416</v>
      </c>
    </row>
    <row r="38457" spans="1:3">
      <c r="A38457" s="250">
        <v>92424</v>
      </c>
      <c r="B38457" s="74" t="s">
        <v>17852</v>
      </c>
      <c r="C38457" s="74" t="s">
        <v>416</v>
      </c>
    </row>
    <row r="38458" spans="1:3">
      <c r="A38458" s="250">
        <v>92427</v>
      </c>
      <c r="B38458" s="74" t="s">
        <v>17852</v>
      </c>
      <c r="C38458" s="74" t="s">
        <v>416</v>
      </c>
    </row>
    <row r="38459" spans="1:3">
      <c r="A38459" s="250">
        <v>92501</v>
      </c>
      <c r="B38459" s="74" t="s">
        <v>1147</v>
      </c>
      <c r="C38459" s="74" t="s">
        <v>416</v>
      </c>
    </row>
    <row r="38460" spans="1:3">
      <c r="A38460" s="250">
        <v>92502</v>
      </c>
      <c r="B38460" s="74" t="s">
        <v>1147</v>
      </c>
      <c r="C38460" s="74" t="s">
        <v>416</v>
      </c>
    </row>
    <row r="38461" spans="1:3">
      <c r="A38461" s="250">
        <v>92503</v>
      </c>
      <c r="B38461" s="74" t="s">
        <v>1147</v>
      </c>
      <c r="C38461" s="74" t="s">
        <v>416</v>
      </c>
    </row>
    <row r="38462" spans="1:3">
      <c r="A38462" s="250">
        <v>92504</v>
      </c>
      <c r="B38462" s="74" t="s">
        <v>1147</v>
      </c>
      <c r="C38462" s="74" t="s">
        <v>416</v>
      </c>
    </row>
    <row r="38463" spans="1:3">
      <c r="A38463" s="250">
        <v>92505</v>
      </c>
      <c r="B38463" s="74" t="s">
        <v>1147</v>
      </c>
      <c r="C38463" s="74" t="s">
        <v>416</v>
      </c>
    </row>
    <row r="38464" spans="1:3">
      <c r="A38464" s="250">
        <v>92506</v>
      </c>
      <c r="B38464" s="74" t="s">
        <v>1147</v>
      </c>
      <c r="C38464" s="74" t="s">
        <v>416</v>
      </c>
    </row>
    <row r="38465" spans="1:3">
      <c r="A38465" s="250">
        <v>92507</v>
      </c>
      <c r="B38465" s="74" t="s">
        <v>1147</v>
      </c>
      <c r="C38465" s="74" t="s">
        <v>416</v>
      </c>
    </row>
    <row r="38466" spans="1:3">
      <c r="A38466" s="250">
        <v>92508</v>
      </c>
      <c r="B38466" s="74" t="s">
        <v>1147</v>
      </c>
      <c r="C38466" s="74" t="s">
        <v>416</v>
      </c>
    </row>
    <row r="38467" spans="1:3">
      <c r="A38467" s="250">
        <v>92509</v>
      </c>
      <c r="B38467" s="74" t="s">
        <v>1147</v>
      </c>
      <c r="C38467" s="74" t="s">
        <v>416</v>
      </c>
    </row>
    <row r="38468" spans="1:3">
      <c r="A38468" s="250">
        <v>92513</v>
      </c>
      <c r="B38468" s="74" t="s">
        <v>1147</v>
      </c>
      <c r="C38468" s="74" t="s">
        <v>416</v>
      </c>
    </row>
    <row r="38469" spans="1:3">
      <c r="A38469" s="250">
        <v>92514</v>
      </c>
      <c r="B38469" s="74" t="s">
        <v>1147</v>
      </c>
      <c r="C38469" s="74" t="s">
        <v>416</v>
      </c>
    </row>
    <row r="38470" spans="1:3">
      <c r="A38470" s="250">
        <v>92515</v>
      </c>
      <c r="B38470" s="74" t="s">
        <v>1147</v>
      </c>
      <c r="C38470" s="74" t="s">
        <v>416</v>
      </c>
    </row>
    <row r="38471" spans="1:3">
      <c r="A38471" s="250">
        <v>92516</v>
      </c>
      <c r="B38471" s="74" t="s">
        <v>1147</v>
      </c>
      <c r="C38471" s="74" t="s">
        <v>416</v>
      </c>
    </row>
    <row r="38472" spans="1:3">
      <c r="A38472" s="250">
        <v>92517</v>
      </c>
      <c r="B38472" s="74" t="s">
        <v>1147</v>
      </c>
      <c r="C38472" s="74" t="s">
        <v>416</v>
      </c>
    </row>
    <row r="38473" spans="1:3">
      <c r="A38473" s="250">
        <v>92518</v>
      </c>
      <c r="B38473" s="74" t="s">
        <v>17853</v>
      </c>
      <c r="C38473" s="74" t="s">
        <v>416</v>
      </c>
    </row>
    <row r="38474" spans="1:3">
      <c r="A38474" s="250">
        <v>92519</v>
      </c>
      <c r="B38474" s="74" t="s">
        <v>1147</v>
      </c>
      <c r="C38474" s="74" t="s">
        <v>416</v>
      </c>
    </row>
    <row r="38475" spans="1:3">
      <c r="A38475" s="250">
        <v>92521</v>
      </c>
      <c r="B38475" s="74" t="s">
        <v>1147</v>
      </c>
      <c r="C38475" s="74" t="s">
        <v>416</v>
      </c>
    </row>
    <row r="38476" spans="1:3">
      <c r="A38476" s="250">
        <v>92522</v>
      </c>
      <c r="B38476" s="74" t="s">
        <v>1147</v>
      </c>
      <c r="C38476" s="74" t="s">
        <v>416</v>
      </c>
    </row>
    <row r="38477" spans="1:3">
      <c r="A38477" s="250">
        <v>92530</v>
      </c>
      <c r="B38477" s="74" t="s">
        <v>17854</v>
      </c>
      <c r="C38477" s="74" t="s">
        <v>416</v>
      </c>
    </row>
    <row r="38478" spans="1:3">
      <c r="A38478" s="250">
        <v>92531</v>
      </c>
      <c r="B38478" s="74" t="s">
        <v>17854</v>
      </c>
      <c r="C38478" s="74" t="s">
        <v>416</v>
      </c>
    </row>
    <row r="38479" spans="1:3">
      <c r="A38479" s="250">
        <v>92532</v>
      </c>
      <c r="B38479" s="74" t="s">
        <v>17854</v>
      </c>
      <c r="C38479" s="74" t="s">
        <v>416</v>
      </c>
    </row>
    <row r="38480" spans="1:3">
      <c r="A38480" s="250">
        <v>92536</v>
      </c>
      <c r="B38480" s="74" t="s">
        <v>17855</v>
      </c>
      <c r="C38480" s="74" t="s">
        <v>416</v>
      </c>
    </row>
    <row r="38481" spans="1:3">
      <c r="A38481" s="250">
        <v>92539</v>
      </c>
      <c r="B38481" s="74" t="s">
        <v>17856</v>
      </c>
      <c r="C38481" s="74" t="s">
        <v>416</v>
      </c>
    </row>
    <row r="38482" spans="1:3">
      <c r="A38482" s="250">
        <v>92543</v>
      </c>
      <c r="B38482" s="74" t="s">
        <v>17857</v>
      </c>
      <c r="C38482" s="74" t="s">
        <v>416</v>
      </c>
    </row>
    <row r="38483" spans="1:3">
      <c r="A38483" s="250">
        <v>92544</v>
      </c>
      <c r="B38483" s="74" t="s">
        <v>17857</v>
      </c>
      <c r="C38483" s="74" t="s">
        <v>416</v>
      </c>
    </row>
    <row r="38484" spans="1:3">
      <c r="A38484" s="250">
        <v>92545</v>
      </c>
      <c r="B38484" s="74" t="s">
        <v>17857</v>
      </c>
      <c r="C38484" s="74" t="s">
        <v>416</v>
      </c>
    </row>
    <row r="38485" spans="1:3">
      <c r="A38485" s="250">
        <v>92546</v>
      </c>
      <c r="B38485" s="74" t="s">
        <v>17857</v>
      </c>
      <c r="C38485" s="74" t="s">
        <v>416</v>
      </c>
    </row>
    <row r="38486" spans="1:3">
      <c r="A38486" s="250">
        <v>92548</v>
      </c>
      <c r="B38486" s="74" t="s">
        <v>8501</v>
      </c>
      <c r="C38486" s="74" t="s">
        <v>416</v>
      </c>
    </row>
    <row r="38487" spans="1:3">
      <c r="A38487" s="250">
        <v>92549</v>
      </c>
      <c r="B38487" s="74" t="s">
        <v>17858</v>
      </c>
      <c r="C38487" s="74" t="s">
        <v>416</v>
      </c>
    </row>
    <row r="38488" spans="1:3">
      <c r="A38488" s="250">
        <v>92551</v>
      </c>
      <c r="B38488" s="74" t="s">
        <v>17859</v>
      </c>
      <c r="C38488" s="74" t="s">
        <v>416</v>
      </c>
    </row>
    <row r="38489" spans="1:3">
      <c r="A38489" s="250">
        <v>92552</v>
      </c>
      <c r="B38489" s="74" t="s">
        <v>17859</v>
      </c>
      <c r="C38489" s="74" t="s">
        <v>416</v>
      </c>
    </row>
    <row r="38490" spans="1:3">
      <c r="A38490" s="250">
        <v>92553</v>
      </c>
      <c r="B38490" s="74" t="s">
        <v>17859</v>
      </c>
      <c r="C38490" s="74" t="s">
        <v>416</v>
      </c>
    </row>
    <row r="38491" spans="1:3">
      <c r="A38491" s="250">
        <v>92554</v>
      </c>
      <c r="B38491" s="74" t="s">
        <v>17859</v>
      </c>
      <c r="C38491" s="74" t="s">
        <v>416</v>
      </c>
    </row>
    <row r="38492" spans="1:3">
      <c r="A38492" s="250">
        <v>92555</v>
      </c>
      <c r="B38492" s="74" t="s">
        <v>17859</v>
      </c>
      <c r="C38492" s="74" t="s">
        <v>416</v>
      </c>
    </row>
    <row r="38493" spans="1:3">
      <c r="A38493" s="250">
        <v>92556</v>
      </c>
      <c r="B38493" s="74" t="s">
        <v>17859</v>
      </c>
      <c r="C38493" s="74" t="s">
        <v>416</v>
      </c>
    </row>
    <row r="38494" spans="1:3">
      <c r="A38494" s="250">
        <v>92557</v>
      </c>
      <c r="B38494" s="74" t="s">
        <v>17859</v>
      </c>
      <c r="C38494" s="74" t="s">
        <v>416</v>
      </c>
    </row>
    <row r="38495" spans="1:3">
      <c r="A38495" s="250">
        <v>92561</v>
      </c>
      <c r="B38495" s="74" t="s">
        <v>17860</v>
      </c>
      <c r="C38495" s="74" t="s">
        <v>416</v>
      </c>
    </row>
    <row r="38496" spans="1:3">
      <c r="A38496" s="250">
        <v>92562</v>
      </c>
      <c r="B38496" s="74" t="s">
        <v>17861</v>
      </c>
      <c r="C38496" s="74" t="s">
        <v>416</v>
      </c>
    </row>
    <row r="38497" spans="1:3">
      <c r="A38497" s="250">
        <v>92563</v>
      </c>
      <c r="B38497" s="74" t="s">
        <v>17861</v>
      </c>
      <c r="C38497" s="74" t="s">
        <v>416</v>
      </c>
    </row>
    <row r="38498" spans="1:3">
      <c r="A38498" s="250">
        <v>92564</v>
      </c>
      <c r="B38498" s="74" t="s">
        <v>17861</v>
      </c>
      <c r="C38498" s="74" t="s">
        <v>416</v>
      </c>
    </row>
    <row r="38499" spans="1:3">
      <c r="A38499" s="250">
        <v>92567</v>
      </c>
      <c r="B38499" s="74" t="s">
        <v>17862</v>
      </c>
      <c r="C38499" s="74" t="s">
        <v>416</v>
      </c>
    </row>
    <row r="38500" spans="1:3">
      <c r="A38500" s="250">
        <v>92570</v>
      </c>
      <c r="B38500" s="74" t="s">
        <v>17863</v>
      </c>
      <c r="C38500" s="74" t="s">
        <v>416</v>
      </c>
    </row>
    <row r="38501" spans="1:3">
      <c r="A38501" s="250">
        <v>92571</v>
      </c>
      <c r="B38501" s="74" t="s">
        <v>17863</v>
      </c>
      <c r="C38501" s="74" t="s">
        <v>416</v>
      </c>
    </row>
    <row r="38502" spans="1:3">
      <c r="A38502" s="250">
        <v>92572</v>
      </c>
      <c r="B38502" s="74" t="s">
        <v>17863</v>
      </c>
      <c r="C38502" s="74" t="s">
        <v>416</v>
      </c>
    </row>
    <row r="38503" spans="1:3">
      <c r="A38503" s="250">
        <v>92581</v>
      </c>
      <c r="B38503" s="74" t="s">
        <v>17864</v>
      </c>
      <c r="C38503" s="74" t="s">
        <v>416</v>
      </c>
    </row>
    <row r="38504" spans="1:3">
      <c r="A38504" s="250">
        <v>92582</v>
      </c>
      <c r="B38504" s="74" t="s">
        <v>17864</v>
      </c>
      <c r="C38504" s="74" t="s">
        <v>416</v>
      </c>
    </row>
    <row r="38505" spans="1:3">
      <c r="A38505" s="250">
        <v>92583</v>
      </c>
      <c r="B38505" s="74" t="s">
        <v>17864</v>
      </c>
      <c r="C38505" s="74" t="s">
        <v>416</v>
      </c>
    </row>
    <row r="38506" spans="1:3">
      <c r="A38506" s="250">
        <v>92584</v>
      </c>
      <c r="B38506" s="74" t="s">
        <v>15305</v>
      </c>
      <c r="C38506" s="74" t="s">
        <v>416</v>
      </c>
    </row>
    <row r="38507" spans="1:3">
      <c r="A38507" s="250">
        <v>92585</v>
      </c>
      <c r="B38507" s="74" t="s">
        <v>8481</v>
      </c>
      <c r="C38507" s="74" t="s">
        <v>416</v>
      </c>
    </row>
    <row r="38508" spans="1:3">
      <c r="A38508" s="250">
        <v>92586</v>
      </c>
      <c r="B38508" s="74" t="s">
        <v>8481</v>
      </c>
      <c r="C38508" s="74" t="s">
        <v>416</v>
      </c>
    </row>
    <row r="38509" spans="1:3">
      <c r="A38509" s="250">
        <v>92587</v>
      </c>
      <c r="B38509" s="74" t="s">
        <v>8481</v>
      </c>
      <c r="C38509" s="74" t="s">
        <v>416</v>
      </c>
    </row>
    <row r="38510" spans="1:3">
      <c r="A38510" s="250">
        <v>92589</v>
      </c>
      <c r="B38510" s="74" t="s">
        <v>17865</v>
      </c>
      <c r="C38510" s="74" t="s">
        <v>416</v>
      </c>
    </row>
    <row r="38511" spans="1:3">
      <c r="A38511" s="250">
        <v>92590</v>
      </c>
      <c r="B38511" s="74" t="s">
        <v>17865</v>
      </c>
      <c r="C38511" s="74" t="s">
        <v>416</v>
      </c>
    </row>
    <row r="38512" spans="1:3">
      <c r="A38512" s="250">
        <v>92591</v>
      </c>
      <c r="B38512" s="74" t="s">
        <v>17865</v>
      </c>
      <c r="C38512" s="74" t="s">
        <v>416</v>
      </c>
    </row>
    <row r="38513" spans="1:3">
      <c r="A38513" s="250">
        <v>92592</v>
      </c>
      <c r="B38513" s="74" t="s">
        <v>17865</v>
      </c>
      <c r="C38513" s="74" t="s">
        <v>416</v>
      </c>
    </row>
    <row r="38514" spans="1:3">
      <c r="A38514" s="250">
        <v>92593</v>
      </c>
      <c r="B38514" s="74" t="s">
        <v>17865</v>
      </c>
      <c r="C38514" s="74" t="s">
        <v>416</v>
      </c>
    </row>
    <row r="38515" spans="1:3">
      <c r="A38515" s="250">
        <v>92595</v>
      </c>
      <c r="B38515" s="74" t="s">
        <v>17866</v>
      </c>
      <c r="C38515" s="74" t="s">
        <v>416</v>
      </c>
    </row>
    <row r="38516" spans="1:3">
      <c r="A38516" s="250">
        <v>92596</v>
      </c>
      <c r="B38516" s="74" t="s">
        <v>832</v>
      </c>
      <c r="C38516" s="74" t="s">
        <v>416</v>
      </c>
    </row>
    <row r="38517" spans="1:3">
      <c r="A38517" s="250">
        <v>92599</v>
      </c>
      <c r="B38517" s="74" t="s">
        <v>17863</v>
      </c>
      <c r="C38517" s="74" t="s">
        <v>416</v>
      </c>
    </row>
    <row r="38518" spans="1:3">
      <c r="A38518" s="250">
        <v>92602</v>
      </c>
      <c r="B38518" s="74" t="s">
        <v>4484</v>
      </c>
      <c r="C38518" s="74" t="s">
        <v>416</v>
      </c>
    </row>
    <row r="38519" spans="1:3">
      <c r="A38519" s="250">
        <v>92603</v>
      </c>
      <c r="B38519" s="74" t="s">
        <v>4484</v>
      </c>
      <c r="C38519" s="74" t="s">
        <v>416</v>
      </c>
    </row>
    <row r="38520" spans="1:3">
      <c r="A38520" s="250">
        <v>92604</v>
      </c>
      <c r="B38520" s="74" t="s">
        <v>4484</v>
      </c>
      <c r="C38520" s="74" t="s">
        <v>416</v>
      </c>
    </row>
    <row r="38521" spans="1:3">
      <c r="A38521" s="250">
        <v>92605</v>
      </c>
      <c r="B38521" s="74" t="s">
        <v>17867</v>
      </c>
      <c r="C38521" s="74" t="s">
        <v>416</v>
      </c>
    </row>
    <row r="38522" spans="1:3">
      <c r="A38522" s="250">
        <v>92606</v>
      </c>
      <c r="B38522" s="74" t="s">
        <v>4484</v>
      </c>
      <c r="C38522" s="74" t="s">
        <v>416</v>
      </c>
    </row>
    <row r="38523" spans="1:3">
      <c r="A38523" s="250">
        <v>92607</v>
      </c>
      <c r="B38523" s="74" t="s">
        <v>17868</v>
      </c>
      <c r="C38523" s="74" t="s">
        <v>416</v>
      </c>
    </row>
    <row r="38524" spans="1:3">
      <c r="A38524" s="250">
        <v>92609</v>
      </c>
      <c r="B38524" s="74" t="s">
        <v>17869</v>
      </c>
      <c r="C38524" s="74" t="s">
        <v>416</v>
      </c>
    </row>
    <row r="38525" spans="1:3">
      <c r="A38525" s="250">
        <v>92610</v>
      </c>
      <c r="B38525" s="74" t="s">
        <v>17870</v>
      </c>
      <c r="C38525" s="74" t="s">
        <v>416</v>
      </c>
    </row>
    <row r="38526" spans="1:3">
      <c r="A38526" s="250">
        <v>92612</v>
      </c>
      <c r="B38526" s="74" t="s">
        <v>4484</v>
      </c>
      <c r="C38526" s="74" t="s">
        <v>416</v>
      </c>
    </row>
    <row r="38527" spans="1:3">
      <c r="A38527" s="250">
        <v>92614</v>
      </c>
      <c r="B38527" s="74" t="s">
        <v>4484</v>
      </c>
      <c r="C38527" s="74" t="s">
        <v>416</v>
      </c>
    </row>
    <row r="38528" spans="1:3">
      <c r="A38528" s="250">
        <v>92615</v>
      </c>
      <c r="B38528" s="74" t="s">
        <v>17867</v>
      </c>
      <c r="C38528" s="74" t="s">
        <v>416</v>
      </c>
    </row>
    <row r="38529" spans="1:3">
      <c r="A38529" s="250">
        <v>92616</v>
      </c>
      <c r="B38529" s="74" t="s">
        <v>4484</v>
      </c>
      <c r="C38529" s="74" t="s">
        <v>416</v>
      </c>
    </row>
    <row r="38530" spans="1:3">
      <c r="A38530" s="250">
        <v>92617</v>
      </c>
      <c r="B38530" s="74" t="s">
        <v>4484</v>
      </c>
      <c r="C38530" s="74" t="s">
        <v>416</v>
      </c>
    </row>
    <row r="38531" spans="1:3">
      <c r="A38531" s="250">
        <v>92618</v>
      </c>
      <c r="B38531" s="74" t="s">
        <v>4484</v>
      </c>
      <c r="C38531" s="74" t="s">
        <v>416</v>
      </c>
    </row>
    <row r="38532" spans="1:3">
      <c r="A38532" s="250">
        <v>92619</v>
      </c>
      <c r="B38532" s="74" t="s">
        <v>4484</v>
      </c>
      <c r="C38532" s="74" t="s">
        <v>416</v>
      </c>
    </row>
    <row r="38533" spans="1:3">
      <c r="A38533" s="250">
        <v>92620</v>
      </c>
      <c r="B38533" s="74" t="s">
        <v>4484</v>
      </c>
      <c r="C38533" s="74" t="s">
        <v>416</v>
      </c>
    </row>
    <row r="38534" spans="1:3">
      <c r="A38534" s="250">
        <v>92623</v>
      </c>
      <c r="B38534" s="74" t="s">
        <v>4484</v>
      </c>
      <c r="C38534" s="74" t="s">
        <v>416</v>
      </c>
    </row>
    <row r="38535" spans="1:3">
      <c r="A38535" s="250">
        <v>92624</v>
      </c>
      <c r="B38535" s="74" t="s">
        <v>17871</v>
      </c>
      <c r="C38535" s="74" t="s">
        <v>416</v>
      </c>
    </row>
    <row r="38536" spans="1:3">
      <c r="A38536" s="250">
        <v>92625</v>
      </c>
      <c r="B38536" s="74" t="s">
        <v>17872</v>
      </c>
      <c r="C38536" s="74" t="s">
        <v>416</v>
      </c>
    </row>
    <row r="38537" spans="1:3">
      <c r="A38537" s="250">
        <v>92626</v>
      </c>
      <c r="B38537" s="74" t="s">
        <v>17873</v>
      </c>
      <c r="C38537" s="74" t="s">
        <v>416</v>
      </c>
    </row>
    <row r="38538" spans="1:3">
      <c r="A38538" s="250">
        <v>92627</v>
      </c>
      <c r="B38538" s="74" t="s">
        <v>17873</v>
      </c>
      <c r="C38538" s="74" t="s">
        <v>416</v>
      </c>
    </row>
    <row r="38539" spans="1:3">
      <c r="A38539" s="250">
        <v>92628</v>
      </c>
      <c r="B38539" s="74" t="s">
        <v>17873</v>
      </c>
      <c r="C38539" s="74" t="s">
        <v>416</v>
      </c>
    </row>
    <row r="38540" spans="1:3">
      <c r="A38540" s="250">
        <v>92629</v>
      </c>
      <c r="B38540" s="74" t="s">
        <v>17874</v>
      </c>
      <c r="C38540" s="74" t="s">
        <v>416</v>
      </c>
    </row>
    <row r="38541" spans="1:3">
      <c r="A38541" s="250">
        <v>92630</v>
      </c>
      <c r="B38541" s="74" t="s">
        <v>13441</v>
      </c>
      <c r="C38541" s="74" t="s">
        <v>416</v>
      </c>
    </row>
    <row r="38542" spans="1:3">
      <c r="A38542" s="250">
        <v>92637</v>
      </c>
      <c r="B38542" s="74" t="s">
        <v>17875</v>
      </c>
      <c r="C38542" s="74" t="s">
        <v>416</v>
      </c>
    </row>
    <row r="38543" spans="1:3">
      <c r="A38543" s="250">
        <v>92646</v>
      </c>
      <c r="B38543" s="74" t="s">
        <v>17867</v>
      </c>
      <c r="C38543" s="74" t="s">
        <v>416</v>
      </c>
    </row>
    <row r="38544" spans="1:3">
      <c r="A38544" s="250">
        <v>92647</v>
      </c>
      <c r="B38544" s="74" t="s">
        <v>17867</v>
      </c>
      <c r="C38544" s="74" t="s">
        <v>416</v>
      </c>
    </row>
    <row r="38545" spans="1:3">
      <c r="A38545" s="250">
        <v>92648</v>
      </c>
      <c r="B38545" s="74" t="s">
        <v>17867</v>
      </c>
      <c r="C38545" s="74" t="s">
        <v>416</v>
      </c>
    </row>
    <row r="38546" spans="1:3">
      <c r="A38546" s="250">
        <v>92649</v>
      </c>
      <c r="B38546" s="74" t="s">
        <v>17867</v>
      </c>
      <c r="C38546" s="74" t="s">
        <v>416</v>
      </c>
    </row>
    <row r="38547" spans="1:3">
      <c r="A38547" s="250">
        <v>92650</v>
      </c>
      <c r="B38547" s="74" t="s">
        <v>17876</v>
      </c>
      <c r="C38547" s="74" t="s">
        <v>416</v>
      </c>
    </row>
    <row r="38548" spans="1:3">
      <c r="A38548" s="250">
        <v>92651</v>
      </c>
      <c r="B38548" s="74" t="s">
        <v>17877</v>
      </c>
      <c r="C38548" s="74" t="s">
        <v>416</v>
      </c>
    </row>
    <row r="38549" spans="1:3">
      <c r="A38549" s="250">
        <v>92652</v>
      </c>
      <c r="B38549" s="74" t="s">
        <v>17877</v>
      </c>
      <c r="C38549" s="74" t="s">
        <v>416</v>
      </c>
    </row>
    <row r="38550" spans="1:3">
      <c r="A38550" s="250">
        <v>92653</v>
      </c>
      <c r="B38550" s="74" t="s">
        <v>17878</v>
      </c>
      <c r="C38550" s="74" t="s">
        <v>416</v>
      </c>
    </row>
    <row r="38551" spans="1:3">
      <c r="A38551" s="250">
        <v>92654</v>
      </c>
      <c r="B38551" s="74" t="s">
        <v>17878</v>
      </c>
      <c r="C38551" s="74" t="s">
        <v>416</v>
      </c>
    </row>
    <row r="38552" spans="1:3">
      <c r="A38552" s="250">
        <v>92655</v>
      </c>
      <c r="B38552" s="74" t="s">
        <v>17879</v>
      </c>
      <c r="C38552" s="74" t="s">
        <v>416</v>
      </c>
    </row>
    <row r="38553" spans="1:3">
      <c r="A38553" s="250">
        <v>92656</v>
      </c>
      <c r="B38553" s="74" t="s">
        <v>17880</v>
      </c>
      <c r="C38553" s="74" t="s">
        <v>416</v>
      </c>
    </row>
    <row r="38554" spans="1:3">
      <c r="A38554" s="250">
        <v>92657</v>
      </c>
      <c r="B38554" s="74" t="s">
        <v>17881</v>
      </c>
      <c r="C38554" s="74" t="s">
        <v>416</v>
      </c>
    </row>
    <row r="38555" spans="1:3">
      <c r="A38555" s="250">
        <v>92658</v>
      </c>
      <c r="B38555" s="74" t="s">
        <v>17882</v>
      </c>
      <c r="C38555" s="74" t="s">
        <v>416</v>
      </c>
    </row>
    <row r="38556" spans="1:3">
      <c r="A38556" s="250">
        <v>92659</v>
      </c>
      <c r="B38556" s="74" t="s">
        <v>17882</v>
      </c>
      <c r="C38556" s="74" t="s">
        <v>416</v>
      </c>
    </row>
    <row r="38557" spans="1:3">
      <c r="A38557" s="250">
        <v>92660</v>
      </c>
      <c r="B38557" s="74" t="s">
        <v>17882</v>
      </c>
      <c r="C38557" s="74" t="s">
        <v>416</v>
      </c>
    </row>
    <row r="38558" spans="1:3">
      <c r="A38558" s="250">
        <v>92661</v>
      </c>
      <c r="B38558" s="74" t="s">
        <v>17882</v>
      </c>
      <c r="C38558" s="74" t="s">
        <v>416</v>
      </c>
    </row>
    <row r="38559" spans="1:3">
      <c r="A38559" s="250">
        <v>92662</v>
      </c>
      <c r="B38559" s="74" t="s">
        <v>17882</v>
      </c>
      <c r="C38559" s="74" t="s">
        <v>416</v>
      </c>
    </row>
    <row r="38560" spans="1:3">
      <c r="A38560" s="250">
        <v>92663</v>
      </c>
      <c r="B38560" s="74" t="s">
        <v>17882</v>
      </c>
      <c r="C38560" s="74" t="s">
        <v>416</v>
      </c>
    </row>
    <row r="38561" spans="1:3">
      <c r="A38561" s="250">
        <v>92672</v>
      </c>
      <c r="B38561" s="74" t="s">
        <v>17883</v>
      </c>
      <c r="C38561" s="74" t="s">
        <v>416</v>
      </c>
    </row>
    <row r="38562" spans="1:3">
      <c r="A38562" s="250">
        <v>92673</v>
      </c>
      <c r="B38562" s="74" t="s">
        <v>17883</v>
      </c>
      <c r="C38562" s="74" t="s">
        <v>416</v>
      </c>
    </row>
    <row r="38563" spans="1:3">
      <c r="A38563" s="250">
        <v>92674</v>
      </c>
      <c r="B38563" s="74" t="s">
        <v>17883</v>
      </c>
      <c r="C38563" s="74" t="s">
        <v>416</v>
      </c>
    </row>
    <row r="38564" spans="1:3">
      <c r="A38564" s="250">
        <v>92675</v>
      </c>
      <c r="B38564" s="74" t="s">
        <v>17884</v>
      </c>
      <c r="C38564" s="74" t="s">
        <v>416</v>
      </c>
    </row>
    <row r="38565" spans="1:3">
      <c r="A38565" s="250">
        <v>92676</v>
      </c>
      <c r="B38565" s="74" t="s">
        <v>17885</v>
      </c>
      <c r="C38565" s="74" t="s">
        <v>416</v>
      </c>
    </row>
    <row r="38566" spans="1:3">
      <c r="A38566" s="250">
        <v>92677</v>
      </c>
      <c r="B38566" s="74" t="s">
        <v>17868</v>
      </c>
      <c r="C38566" s="74" t="s">
        <v>416</v>
      </c>
    </row>
    <row r="38567" spans="1:3">
      <c r="A38567" s="250">
        <v>92678</v>
      </c>
      <c r="B38567" s="74" t="s">
        <v>17886</v>
      </c>
      <c r="C38567" s="74" t="s">
        <v>416</v>
      </c>
    </row>
    <row r="38568" spans="1:3">
      <c r="A38568" s="250">
        <v>92679</v>
      </c>
      <c r="B38568" s="74" t="s">
        <v>17886</v>
      </c>
      <c r="C38568" s="74" t="s">
        <v>416</v>
      </c>
    </row>
    <row r="38569" spans="1:3">
      <c r="A38569" s="250">
        <v>92683</v>
      </c>
      <c r="B38569" s="74" t="s">
        <v>708</v>
      </c>
      <c r="C38569" s="74" t="s">
        <v>416</v>
      </c>
    </row>
    <row r="38570" spans="1:3">
      <c r="A38570" s="250">
        <v>92684</v>
      </c>
      <c r="B38570" s="74" t="s">
        <v>708</v>
      </c>
      <c r="C38570" s="74" t="s">
        <v>416</v>
      </c>
    </row>
    <row r="38571" spans="1:3">
      <c r="A38571" s="250">
        <v>92685</v>
      </c>
      <c r="B38571" s="74" t="s">
        <v>708</v>
      </c>
      <c r="C38571" s="74" t="s">
        <v>416</v>
      </c>
    </row>
    <row r="38572" spans="1:3">
      <c r="A38572" s="250">
        <v>92688</v>
      </c>
      <c r="B38572" s="74" t="s">
        <v>17887</v>
      </c>
      <c r="C38572" s="74" t="s">
        <v>416</v>
      </c>
    </row>
    <row r="38573" spans="1:3">
      <c r="A38573" s="250">
        <v>92690</v>
      </c>
      <c r="B38573" s="74" t="s">
        <v>17888</v>
      </c>
      <c r="C38573" s="74" t="s">
        <v>416</v>
      </c>
    </row>
    <row r="38574" spans="1:3">
      <c r="A38574" s="250">
        <v>92691</v>
      </c>
      <c r="B38574" s="74" t="s">
        <v>17888</v>
      </c>
      <c r="C38574" s="74" t="s">
        <v>416</v>
      </c>
    </row>
    <row r="38575" spans="1:3">
      <c r="A38575" s="250">
        <v>92692</v>
      </c>
      <c r="B38575" s="74" t="s">
        <v>17888</v>
      </c>
      <c r="C38575" s="74" t="s">
        <v>416</v>
      </c>
    </row>
    <row r="38576" spans="1:3">
      <c r="A38576" s="250">
        <v>92693</v>
      </c>
      <c r="B38576" s="74" t="s">
        <v>17884</v>
      </c>
      <c r="C38576" s="74" t="s">
        <v>416</v>
      </c>
    </row>
    <row r="38577" spans="1:3">
      <c r="A38577" s="250">
        <v>92694</v>
      </c>
      <c r="B38577" s="74" t="s">
        <v>17889</v>
      </c>
      <c r="C38577" s="74" t="s">
        <v>416</v>
      </c>
    </row>
    <row r="38578" spans="1:3">
      <c r="A38578" s="250">
        <v>92697</v>
      </c>
      <c r="B38578" s="74" t="s">
        <v>4484</v>
      </c>
      <c r="C38578" s="74" t="s">
        <v>416</v>
      </c>
    </row>
    <row r="38579" spans="1:3">
      <c r="A38579" s="250">
        <v>92698</v>
      </c>
      <c r="B38579" s="74" t="s">
        <v>17880</v>
      </c>
      <c r="C38579" s="74" t="s">
        <v>416</v>
      </c>
    </row>
    <row r="38580" spans="1:3">
      <c r="A38580" s="250">
        <v>92701</v>
      </c>
      <c r="B38580" s="74" t="s">
        <v>17890</v>
      </c>
      <c r="C38580" s="74" t="s">
        <v>416</v>
      </c>
    </row>
    <row r="38581" spans="1:3">
      <c r="A38581" s="250">
        <v>92702</v>
      </c>
      <c r="B38581" s="74" t="s">
        <v>17890</v>
      </c>
      <c r="C38581" s="74" t="s">
        <v>416</v>
      </c>
    </row>
    <row r="38582" spans="1:3">
      <c r="A38582" s="250">
        <v>92703</v>
      </c>
      <c r="B38582" s="74" t="s">
        <v>17890</v>
      </c>
      <c r="C38582" s="74" t="s">
        <v>416</v>
      </c>
    </row>
    <row r="38583" spans="1:3">
      <c r="A38583" s="250">
        <v>92704</v>
      </c>
      <c r="B38583" s="74" t="s">
        <v>17890</v>
      </c>
      <c r="C38583" s="74" t="s">
        <v>416</v>
      </c>
    </row>
    <row r="38584" spans="1:3">
      <c r="A38584" s="250">
        <v>92705</v>
      </c>
      <c r="B38584" s="74" t="s">
        <v>17890</v>
      </c>
      <c r="C38584" s="74" t="s">
        <v>416</v>
      </c>
    </row>
    <row r="38585" spans="1:3">
      <c r="A38585" s="250">
        <v>92706</v>
      </c>
      <c r="B38585" s="74" t="s">
        <v>17890</v>
      </c>
      <c r="C38585" s="74" t="s">
        <v>416</v>
      </c>
    </row>
    <row r="38586" spans="1:3">
      <c r="A38586" s="250">
        <v>92707</v>
      </c>
      <c r="B38586" s="74" t="s">
        <v>17890</v>
      </c>
      <c r="C38586" s="74" t="s">
        <v>416</v>
      </c>
    </row>
    <row r="38587" spans="1:3">
      <c r="A38587" s="250">
        <v>92708</v>
      </c>
      <c r="B38587" s="74" t="s">
        <v>17891</v>
      </c>
      <c r="C38587" s="74" t="s">
        <v>416</v>
      </c>
    </row>
    <row r="38588" spans="1:3">
      <c r="A38588" s="250">
        <v>92709</v>
      </c>
      <c r="B38588" s="74" t="s">
        <v>4484</v>
      </c>
      <c r="C38588" s="74" t="s">
        <v>416</v>
      </c>
    </row>
    <row r="38589" spans="1:3">
      <c r="A38589" s="250">
        <v>92710</v>
      </c>
      <c r="B38589" s="74" t="s">
        <v>4484</v>
      </c>
      <c r="C38589" s="74" t="s">
        <v>416</v>
      </c>
    </row>
    <row r="38590" spans="1:3">
      <c r="A38590" s="250">
        <v>92711</v>
      </c>
      <c r="B38590" s="74" t="s">
        <v>17890</v>
      </c>
      <c r="C38590" s="74" t="s">
        <v>416</v>
      </c>
    </row>
    <row r="38591" spans="1:3">
      <c r="A38591" s="250">
        <v>92712</v>
      </c>
      <c r="B38591" s="74" t="s">
        <v>17890</v>
      </c>
      <c r="C38591" s="74" t="s">
        <v>416</v>
      </c>
    </row>
    <row r="38592" spans="1:3">
      <c r="A38592" s="250">
        <v>92725</v>
      </c>
      <c r="B38592" s="74" t="s">
        <v>17890</v>
      </c>
      <c r="C38592" s="74" t="s">
        <v>416</v>
      </c>
    </row>
    <row r="38593" spans="1:3">
      <c r="A38593" s="250">
        <v>92728</v>
      </c>
      <c r="B38593" s="74" t="s">
        <v>17891</v>
      </c>
      <c r="C38593" s="74" t="s">
        <v>416</v>
      </c>
    </row>
    <row r="38594" spans="1:3">
      <c r="A38594" s="250">
        <v>92735</v>
      </c>
      <c r="B38594" s="74" t="s">
        <v>17890</v>
      </c>
      <c r="C38594" s="74" t="s">
        <v>416</v>
      </c>
    </row>
    <row r="38595" spans="1:3">
      <c r="A38595" s="250">
        <v>92780</v>
      </c>
      <c r="B38595" s="74" t="s">
        <v>11336</v>
      </c>
      <c r="C38595" s="74" t="s">
        <v>416</v>
      </c>
    </row>
    <row r="38596" spans="1:3">
      <c r="A38596" s="250">
        <v>92781</v>
      </c>
      <c r="B38596" s="74" t="s">
        <v>11336</v>
      </c>
      <c r="C38596" s="74" t="s">
        <v>416</v>
      </c>
    </row>
    <row r="38597" spans="1:3">
      <c r="A38597" s="250">
        <v>92782</v>
      </c>
      <c r="B38597" s="74" t="s">
        <v>11336</v>
      </c>
      <c r="C38597" s="74" t="s">
        <v>416</v>
      </c>
    </row>
    <row r="38598" spans="1:3">
      <c r="A38598" s="250">
        <v>92799</v>
      </c>
      <c r="B38598" s="74" t="s">
        <v>17890</v>
      </c>
      <c r="C38598" s="74" t="s">
        <v>416</v>
      </c>
    </row>
    <row r="38599" spans="1:3">
      <c r="A38599" s="250">
        <v>92801</v>
      </c>
      <c r="B38599" s="74" t="s">
        <v>17892</v>
      </c>
      <c r="C38599" s="74" t="s">
        <v>416</v>
      </c>
    </row>
    <row r="38600" spans="1:3">
      <c r="A38600" s="250">
        <v>92802</v>
      </c>
      <c r="B38600" s="74" t="s">
        <v>17892</v>
      </c>
      <c r="C38600" s="74" t="s">
        <v>416</v>
      </c>
    </row>
    <row r="38601" spans="1:3">
      <c r="A38601" s="250">
        <v>92803</v>
      </c>
      <c r="B38601" s="74" t="s">
        <v>17892</v>
      </c>
      <c r="C38601" s="74" t="s">
        <v>416</v>
      </c>
    </row>
    <row r="38602" spans="1:3">
      <c r="A38602" s="250">
        <v>92804</v>
      </c>
      <c r="B38602" s="74" t="s">
        <v>17892</v>
      </c>
      <c r="C38602" s="74" t="s">
        <v>416</v>
      </c>
    </row>
    <row r="38603" spans="1:3">
      <c r="A38603" s="250">
        <v>92805</v>
      </c>
      <c r="B38603" s="74" t="s">
        <v>17892</v>
      </c>
      <c r="C38603" s="74" t="s">
        <v>416</v>
      </c>
    </row>
    <row r="38604" spans="1:3">
      <c r="A38604" s="250">
        <v>92806</v>
      </c>
      <c r="B38604" s="74" t="s">
        <v>17892</v>
      </c>
      <c r="C38604" s="74" t="s">
        <v>416</v>
      </c>
    </row>
    <row r="38605" spans="1:3">
      <c r="A38605" s="250">
        <v>92807</v>
      </c>
      <c r="B38605" s="74" t="s">
        <v>17892</v>
      </c>
      <c r="C38605" s="74" t="s">
        <v>416</v>
      </c>
    </row>
    <row r="38606" spans="1:3">
      <c r="A38606" s="250">
        <v>92808</v>
      </c>
      <c r="B38606" s="74" t="s">
        <v>17892</v>
      </c>
      <c r="C38606" s="74" t="s">
        <v>416</v>
      </c>
    </row>
    <row r="38607" spans="1:3">
      <c r="A38607" s="250">
        <v>92809</v>
      </c>
      <c r="B38607" s="74" t="s">
        <v>17892</v>
      </c>
      <c r="C38607" s="74" t="s">
        <v>416</v>
      </c>
    </row>
    <row r="38608" spans="1:3">
      <c r="A38608" s="250">
        <v>92811</v>
      </c>
      <c r="B38608" s="74" t="s">
        <v>9191</v>
      </c>
      <c r="C38608" s="74" t="s">
        <v>416</v>
      </c>
    </row>
    <row r="38609" spans="1:3">
      <c r="A38609" s="250">
        <v>92812</v>
      </c>
      <c r="B38609" s="74" t="s">
        <v>17892</v>
      </c>
      <c r="C38609" s="74" t="s">
        <v>416</v>
      </c>
    </row>
    <row r="38610" spans="1:3">
      <c r="A38610" s="250">
        <v>92814</v>
      </c>
      <c r="B38610" s="74" t="s">
        <v>17892</v>
      </c>
      <c r="C38610" s="74" t="s">
        <v>416</v>
      </c>
    </row>
    <row r="38611" spans="1:3">
      <c r="A38611" s="250">
        <v>92815</v>
      </c>
      <c r="B38611" s="74" t="s">
        <v>17892</v>
      </c>
      <c r="C38611" s="74" t="s">
        <v>416</v>
      </c>
    </row>
    <row r="38612" spans="1:3">
      <c r="A38612" s="250">
        <v>92816</v>
      </c>
      <c r="B38612" s="74" t="s">
        <v>17892</v>
      </c>
      <c r="C38612" s="74" t="s">
        <v>416</v>
      </c>
    </row>
    <row r="38613" spans="1:3">
      <c r="A38613" s="250">
        <v>92817</v>
      </c>
      <c r="B38613" s="74" t="s">
        <v>17892</v>
      </c>
      <c r="C38613" s="74" t="s">
        <v>416</v>
      </c>
    </row>
    <row r="38614" spans="1:3">
      <c r="A38614" s="250">
        <v>92821</v>
      </c>
      <c r="B38614" s="74" t="s">
        <v>17893</v>
      </c>
      <c r="C38614" s="74" t="s">
        <v>416</v>
      </c>
    </row>
    <row r="38615" spans="1:3">
      <c r="A38615" s="250">
        <v>92822</v>
      </c>
      <c r="B38615" s="74" t="s">
        <v>17893</v>
      </c>
      <c r="C38615" s="74" t="s">
        <v>416</v>
      </c>
    </row>
    <row r="38616" spans="1:3">
      <c r="A38616" s="250">
        <v>92823</v>
      </c>
      <c r="B38616" s="74" t="s">
        <v>17893</v>
      </c>
      <c r="C38616" s="74" t="s">
        <v>416</v>
      </c>
    </row>
    <row r="38617" spans="1:3">
      <c r="A38617" s="250">
        <v>92825</v>
      </c>
      <c r="B38617" s="74" t="s">
        <v>17892</v>
      </c>
      <c r="C38617" s="74" t="s">
        <v>416</v>
      </c>
    </row>
    <row r="38618" spans="1:3">
      <c r="A38618" s="250">
        <v>92831</v>
      </c>
      <c r="B38618" s="74" t="s">
        <v>13102</v>
      </c>
      <c r="C38618" s="74" t="s">
        <v>416</v>
      </c>
    </row>
    <row r="38619" spans="1:3">
      <c r="A38619" s="250">
        <v>92832</v>
      </c>
      <c r="B38619" s="74" t="s">
        <v>13102</v>
      </c>
      <c r="C38619" s="74" t="s">
        <v>416</v>
      </c>
    </row>
    <row r="38620" spans="1:3">
      <c r="A38620" s="250">
        <v>92833</v>
      </c>
      <c r="B38620" s="74" t="s">
        <v>13102</v>
      </c>
      <c r="C38620" s="74" t="s">
        <v>416</v>
      </c>
    </row>
    <row r="38621" spans="1:3">
      <c r="A38621" s="250">
        <v>92834</v>
      </c>
      <c r="B38621" s="74" t="s">
        <v>13102</v>
      </c>
      <c r="C38621" s="74" t="s">
        <v>416</v>
      </c>
    </row>
    <row r="38622" spans="1:3">
      <c r="A38622" s="250">
        <v>92835</v>
      </c>
      <c r="B38622" s="74" t="s">
        <v>13102</v>
      </c>
      <c r="C38622" s="74" t="s">
        <v>416</v>
      </c>
    </row>
    <row r="38623" spans="1:3">
      <c r="A38623" s="250">
        <v>92836</v>
      </c>
      <c r="B38623" s="74" t="s">
        <v>13102</v>
      </c>
      <c r="C38623" s="74" t="s">
        <v>416</v>
      </c>
    </row>
    <row r="38624" spans="1:3">
      <c r="A38624" s="250">
        <v>92837</v>
      </c>
      <c r="B38624" s="74" t="s">
        <v>13102</v>
      </c>
      <c r="C38624" s="74" t="s">
        <v>416</v>
      </c>
    </row>
    <row r="38625" spans="1:3">
      <c r="A38625" s="250">
        <v>92838</v>
      </c>
      <c r="B38625" s="74" t="s">
        <v>13102</v>
      </c>
      <c r="C38625" s="74" t="s">
        <v>416</v>
      </c>
    </row>
    <row r="38626" spans="1:3">
      <c r="A38626" s="250">
        <v>92840</v>
      </c>
      <c r="B38626" s="74" t="s">
        <v>11507</v>
      </c>
      <c r="C38626" s="74" t="s">
        <v>416</v>
      </c>
    </row>
    <row r="38627" spans="1:3">
      <c r="A38627" s="250">
        <v>92841</v>
      </c>
      <c r="B38627" s="74" t="s">
        <v>11507</v>
      </c>
      <c r="C38627" s="74" t="s">
        <v>416</v>
      </c>
    </row>
    <row r="38628" spans="1:3">
      <c r="A38628" s="250">
        <v>92842</v>
      </c>
      <c r="B38628" s="74" t="s">
        <v>11507</v>
      </c>
      <c r="C38628" s="74" t="s">
        <v>416</v>
      </c>
    </row>
    <row r="38629" spans="1:3">
      <c r="A38629" s="250">
        <v>92843</v>
      </c>
      <c r="B38629" s="74" t="s">
        <v>11507</v>
      </c>
      <c r="C38629" s="74" t="s">
        <v>416</v>
      </c>
    </row>
    <row r="38630" spans="1:3">
      <c r="A38630" s="250">
        <v>92844</v>
      </c>
      <c r="B38630" s="74" t="s">
        <v>11507</v>
      </c>
      <c r="C38630" s="74" t="s">
        <v>416</v>
      </c>
    </row>
    <row r="38631" spans="1:3">
      <c r="A38631" s="250">
        <v>92845</v>
      </c>
      <c r="B38631" s="74" t="s">
        <v>11507</v>
      </c>
      <c r="C38631" s="74" t="s">
        <v>416</v>
      </c>
    </row>
    <row r="38632" spans="1:3">
      <c r="A38632" s="250">
        <v>92846</v>
      </c>
      <c r="B38632" s="74" t="s">
        <v>11507</v>
      </c>
      <c r="C38632" s="74" t="s">
        <v>416</v>
      </c>
    </row>
    <row r="38633" spans="1:3">
      <c r="A38633" s="250">
        <v>92850</v>
      </c>
      <c r="B38633" s="74" t="s">
        <v>17892</v>
      </c>
      <c r="C38633" s="74" t="s">
        <v>416</v>
      </c>
    </row>
    <row r="38634" spans="1:3">
      <c r="A38634" s="250">
        <v>92856</v>
      </c>
      <c r="B38634" s="74" t="s">
        <v>689</v>
      </c>
      <c r="C38634" s="74" t="s">
        <v>416</v>
      </c>
    </row>
    <row r="38635" spans="1:3">
      <c r="A38635" s="250">
        <v>92857</v>
      </c>
      <c r="B38635" s="74" t="s">
        <v>689</v>
      </c>
      <c r="C38635" s="74" t="s">
        <v>416</v>
      </c>
    </row>
    <row r="38636" spans="1:3">
      <c r="A38636" s="250">
        <v>92859</v>
      </c>
      <c r="B38636" s="74" t="s">
        <v>689</v>
      </c>
      <c r="C38636" s="74" t="s">
        <v>416</v>
      </c>
    </row>
    <row r="38637" spans="1:3">
      <c r="A38637" s="250">
        <v>92860</v>
      </c>
      <c r="B38637" s="74" t="s">
        <v>14935</v>
      </c>
      <c r="C38637" s="74" t="s">
        <v>416</v>
      </c>
    </row>
    <row r="38638" spans="1:3">
      <c r="A38638" s="250">
        <v>92861</v>
      </c>
      <c r="B38638" s="74" t="s">
        <v>13492</v>
      </c>
      <c r="C38638" s="74" t="s">
        <v>416</v>
      </c>
    </row>
    <row r="38639" spans="1:3">
      <c r="A38639" s="250">
        <v>92862</v>
      </c>
      <c r="B38639" s="74" t="s">
        <v>689</v>
      </c>
      <c r="C38639" s="74" t="s">
        <v>416</v>
      </c>
    </row>
    <row r="38640" spans="1:3">
      <c r="A38640" s="250">
        <v>92863</v>
      </c>
      <c r="B38640" s="74" t="s">
        <v>689</v>
      </c>
      <c r="C38640" s="74" t="s">
        <v>416</v>
      </c>
    </row>
    <row r="38641" spans="1:3">
      <c r="A38641" s="250">
        <v>92864</v>
      </c>
      <c r="B38641" s="74" t="s">
        <v>689</v>
      </c>
      <c r="C38641" s="74" t="s">
        <v>416</v>
      </c>
    </row>
    <row r="38642" spans="1:3">
      <c r="A38642" s="250">
        <v>92865</v>
      </c>
      <c r="B38642" s="74" t="s">
        <v>689</v>
      </c>
      <c r="C38642" s="74" t="s">
        <v>416</v>
      </c>
    </row>
    <row r="38643" spans="1:3">
      <c r="A38643" s="250">
        <v>92866</v>
      </c>
      <c r="B38643" s="74" t="s">
        <v>689</v>
      </c>
      <c r="C38643" s="74" t="s">
        <v>416</v>
      </c>
    </row>
    <row r="38644" spans="1:3">
      <c r="A38644" s="250">
        <v>92867</v>
      </c>
      <c r="B38644" s="74" t="s">
        <v>689</v>
      </c>
      <c r="C38644" s="74" t="s">
        <v>416</v>
      </c>
    </row>
    <row r="38645" spans="1:3">
      <c r="A38645" s="250">
        <v>92868</v>
      </c>
      <c r="B38645" s="74" t="s">
        <v>689</v>
      </c>
      <c r="C38645" s="74" t="s">
        <v>416</v>
      </c>
    </row>
    <row r="38646" spans="1:3">
      <c r="A38646" s="250">
        <v>92869</v>
      </c>
      <c r="B38646" s="74" t="s">
        <v>689</v>
      </c>
      <c r="C38646" s="74" t="s">
        <v>416</v>
      </c>
    </row>
    <row r="38647" spans="1:3">
      <c r="A38647" s="250">
        <v>92870</v>
      </c>
      <c r="B38647" s="74" t="s">
        <v>17894</v>
      </c>
      <c r="C38647" s="74" t="s">
        <v>416</v>
      </c>
    </row>
    <row r="38648" spans="1:3">
      <c r="A38648" s="250">
        <v>92871</v>
      </c>
      <c r="B38648" s="74" t="s">
        <v>17894</v>
      </c>
      <c r="C38648" s="74" t="s">
        <v>416</v>
      </c>
    </row>
    <row r="38649" spans="1:3">
      <c r="A38649" s="250">
        <v>92877</v>
      </c>
      <c r="B38649" s="74" t="s">
        <v>2741</v>
      </c>
      <c r="C38649" s="74" t="s">
        <v>416</v>
      </c>
    </row>
    <row r="38650" spans="1:3">
      <c r="A38650" s="250">
        <v>92878</v>
      </c>
      <c r="B38650" s="74" t="s">
        <v>2741</v>
      </c>
      <c r="C38650" s="74" t="s">
        <v>416</v>
      </c>
    </row>
    <row r="38651" spans="1:3">
      <c r="A38651" s="250">
        <v>92879</v>
      </c>
      <c r="B38651" s="74" t="s">
        <v>2741</v>
      </c>
      <c r="C38651" s="74" t="s">
        <v>416</v>
      </c>
    </row>
    <row r="38652" spans="1:3">
      <c r="A38652" s="250">
        <v>92880</v>
      </c>
      <c r="B38652" s="74" t="s">
        <v>2741</v>
      </c>
      <c r="C38652" s="74" t="s">
        <v>416</v>
      </c>
    </row>
    <row r="38653" spans="1:3">
      <c r="A38653" s="250">
        <v>92881</v>
      </c>
      <c r="B38653" s="74" t="s">
        <v>2741</v>
      </c>
      <c r="C38653" s="74" t="s">
        <v>416</v>
      </c>
    </row>
    <row r="38654" spans="1:3">
      <c r="A38654" s="250">
        <v>92882</v>
      </c>
      <c r="B38654" s="74" t="s">
        <v>2741</v>
      </c>
      <c r="C38654" s="74" t="s">
        <v>416</v>
      </c>
    </row>
    <row r="38655" spans="1:3">
      <c r="A38655" s="250">
        <v>92883</v>
      </c>
      <c r="B38655" s="74" t="s">
        <v>2741</v>
      </c>
      <c r="C38655" s="74" t="s">
        <v>416</v>
      </c>
    </row>
    <row r="38656" spans="1:3">
      <c r="A38656" s="250">
        <v>92885</v>
      </c>
      <c r="B38656" s="74" t="s">
        <v>17895</v>
      </c>
      <c r="C38656" s="74" t="s">
        <v>416</v>
      </c>
    </row>
    <row r="38657" spans="1:3">
      <c r="A38657" s="250">
        <v>92886</v>
      </c>
      <c r="B38657" s="74" t="s">
        <v>17895</v>
      </c>
      <c r="C38657" s="74" t="s">
        <v>416</v>
      </c>
    </row>
    <row r="38658" spans="1:3">
      <c r="A38658" s="250">
        <v>92887</v>
      </c>
      <c r="B38658" s="74" t="s">
        <v>17895</v>
      </c>
      <c r="C38658" s="74" t="s">
        <v>416</v>
      </c>
    </row>
    <row r="38659" spans="1:3">
      <c r="A38659" s="250">
        <v>92899</v>
      </c>
      <c r="B38659" s="74" t="s">
        <v>17892</v>
      </c>
      <c r="C38659" s="74" t="s">
        <v>416</v>
      </c>
    </row>
    <row r="38660" spans="1:3">
      <c r="A38660" s="250">
        <v>93001</v>
      </c>
      <c r="B38660" s="74" t="s">
        <v>11601</v>
      </c>
      <c r="C38660" s="74" t="s">
        <v>416</v>
      </c>
    </row>
    <row r="38661" spans="1:3">
      <c r="A38661" s="250">
        <v>93002</v>
      </c>
      <c r="B38661" s="74" t="s">
        <v>11601</v>
      </c>
      <c r="C38661" s="74" t="s">
        <v>416</v>
      </c>
    </row>
    <row r="38662" spans="1:3">
      <c r="A38662" s="250">
        <v>93003</v>
      </c>
      <c r="B38662" s="74" t="s">
        <v>11601</v>
      </c>
      <c r="C38662" s="74" t="s">
        <v>416</v>
      </c>
    </row>
    <row r="38663" spans="1:3">
      <c r="A38663" s="250">
        <v>93004</v>
      </c>
      <c r="B38663" s="74" t="s">
        <v>11601</v>
      </c>
      <c r="C38663" s="74" t="s">
        <v>416</v>
      </c>
    </row>
    <row r="38664" spans="1:3">
      <c r="A38664" s="250">
        <v>93005</v>
      </c>
      <c r="B38664" s="74" t="s">
        <v>11601</v>
      </c>
      <c r="C38664" s="74" t="s">
        <v>416</v>
      </c>
    </row>
    <row r="38665" spans="1:3">
      <c r="A38665" s="250">
        <v>93006</v>
      </c>
      <c r="B38665" s="74" t="s">
        <v>11601</v>
      </c>
      <c r="C38665" s="74" t="s">
        <v>416</v>
      </c>
    </row>
    <row r="38666" spans="1:3">
      <c r="A38666" s="250">
        <v>93007</v>
      </c>
      <c r="B38666" s="74" t="s">
        <v>11601</v>
      </c>
      <c r="C38666" s="74" t="s">
        <v>416</v>
      </c>
    </row>
    <row r="38667" spans="1:3">
      <c r="A38667" s="250">
        <v>93009</v>
      </c>
      <c r="B38667" s="74" t="s">
        <v>11601</v>
      </c>
      <c r="C38667" s="74" t="s">
        <v>416</v>
      </c>
    </row>
    <row r="38668" spans="1:3">
      <c r="A38668" s="250">
        <v>93010</v>
      </c>
      <c r="B38668" s="74" t="s">
        <v>17896</v>
      </c>
      <c r="C38668" s="74" t="s">
        <v>416</v>
      </c>
    </row>
    <row r="38669" spans="1:3">
      <c r="A38669" s="250">
        <v>93011</v>
      </c>
      <c r="B38669" s="74" t="s">
        <v>17896</v>
      </c>
      <c r="C38669" s="74" t="s">
        <v>416</v>
      </c>
    </row>
    <row r="38670" spans="1:3">
      <c r="A38670" s="250">
        <v>93012</v>
      </c>
      <c r="B38670" s="74" t="s">
        <v>17896</v>
      </c>
      <c r="C38670" s="74" t="s">
        <v>416</v>
      </c>
    </row>
    <row r="38671" spans="1:3">
      <c r="A38671" s="250">
        <v>93013</v>
      </c>
      <c r="B38671" s="74" t="s">
        <v>17897</v>
      </c>
      <c r="C38671" s="74" t="s">
        <v>416</v>
      </c>
    </row>
    <row r="38672" spans="1:3">
      <c r="A38672" s="250">
        <v>93014</v>
      </c>
      <c r="B38672" s="74" t="s">
        <v>17897</v>
      </c>
      <c r="C38672" s="74" t="s">
        <v>416</v>
      </c>
    </row>
    <row r="38673" spans="1:3">
      <c r="A38673" s="250">
        <v>93015</v>
      </c>
      <c r="B38673" s="74" t="s">
        <v>3862</v>
      </c>
      <c r="C38673" s="74" t="s">
        <v>416</v>
      </c>
    </row>
    <row r="38674" spans="1:3">
      <c r="A38674" s="250">
        <v>93016</v>
      </c>
      <c r="B38674" s="74" t="s">
        <v>3862</v>
      </c>
      <c r="C38674" s="74" t="s">
        <v>416</v>
      </c>
    </row>
    <row r="38675" spans="1:3">
      <c r="A38675" s="250">
        <v>93020</v>
      </c>
      <c r="B38675" s="74" t="s">
        <v>17898</v>
      </c>
      <c r="C38675" s="74" t="s">
        <v>416</v>
      </c>
    </row>
    <row r="38676" spans="1:3">
      <c r="A38676" s="250">
        <v>93021</v>
      </c>
      <c r="B38676" s="74" t="s">
        <v>17898</v>
      </c>
      <c r="C38676" s="74" t="s">
        <v>416</v>
      </c>
    </row>
    <row r="38677" spans="1:3">
      <c r="A38677" s="250">
        <v>93022</v>
      </c>
      <c r="B38677" s="74" t="s">
        <v>17899</v>
      </c>
      <c r="C38677" s="74" t="s">
        <v>416</v>
      </c>
    </row>
    <row r="38678" spans="1:3">
      <c r="A38678" s="250">
        <v>93023</v>
      </c>
      <c r="B38678" s="74" t="s">
        <v>17900</v>
      </c>
      <c r="C38678" s="74" t="s">
        <v>416</v>
      </c>
    </row>
    <row r="38679" spans="1:3">
      <c r="A38679" s="250">
        <v>93024</v>
      </c>
      <c r="B38679" s="74" t="s">
        <v>17900</v>
      </c>
      <c r="C38679" s="74" t="s">
        <v>416</v>
      </c>
    </row>
    <row r="38680" spans="1:3">
      <c r="A38680" s="250">
        <v>93030</v>
      </c>
      <c r="B38680" s="74" t="s">
        <v>17901</v>
      </c>
      <c r="C38680" s="74" t="s">
        <v>416</v>
      </c>
    </row>
    <row r="38681" spans="1:3">
      <c r="A38681" s="250">
        <v>93031</v>
      </c>
      <c r="B38681" s="74" t="s">
        <v>17901</v>
      </c>
      <c r="C38681" s="74" t="s">
        <v>416</v>
      </c>
    </row>
    <row r="38682" spans="1:3">
      <c r="A38682" s="250">
        <v>93032</v>
      </c>
      <c r="B38682" s="74" t="s">
        <v>17901</v>
      </c>
      <c r="C38682" s="74" t="s">
        <v>416</v>
      </c>
    </row>
    <row r="38683" spans="1:3">
      <c r="A38683" s="250">
        <v>93033</v>
      </c>
      <c r="B38683" s="74" t="s">
        <v>17901</v>
      </c>
      <c r="C38683" s="74" t="s">
        <v>416</v>
      </c>
    </row>
    <row r="38684" spans="1:3">
      <c r="A38684" s="250">
        <v>93034</v>
      </c>
      <c r="B38684" s="74" t="s">
        <v>17901</v>
      </c>
      <c r="C38684" s="74" t="s">
        <v>416</v>
      </c>
    </row>
    <row r="38685" spans="1:3">
      <c r="A38685" s="250">
        <v>93035</v>
      </c>
      <c r="B38685" s="74" t="s">
        <v>17901</v>
      </c>
      <c r="C38685" s="74" t="s">
        <v>416</v>
      </c>
    </row>
    <row r="38686" spans="1:3">
      <c r="A38686" s="250">
        <v>93036</v>
      </c>
      <c r="B38686" s="74" t="s">
        <v>17901</v>
      </c>
      <c r="C38686" s="74" t="s">
        <v>416</v>
      </c>
    </row>
    <row r="38687" spans="1:3">
      <c r="A38687" s="250">
        <v>93040</v>
      </c>
      <c r="B38687" s="74" t="s">
        <v>17902</v>
      </c>
      <c r="C38687" s="74" t="s">
        <v>416</v>
      </c>
    </row>
    <row r="38688" spans="1:3">
      <c r="A38688" s="250">
        <v>93041</v>
      </c>
      <c r="B38688" s="74" t="s">
        <v>17903</v>
      </c>
      <c r="C38688" s="74" t="s">
        <v>416</v>
      </c>
    </row>
    <row r="38689" spans="1:3">
      <c r="A38689" s="250">
        <v>93042</v>
      </c>
      <c r="B38689" s="74" t="s">
        <v>17904</v>
      </c>
      <c r="C38689" s="74" t="s">
        <v>416</v>
      </c>
    </row>
    <row r="38690" spans="1:3">
      <c r="A38690" s="250">
        <v>93043</v>
      </c>
      <c r="B38690" s="74" t="s">
        <v>17905</v>
      </c>
      <c r="C38690" s="74" t="s">
        <v>416</v>
      </c>
    </row>
    <row r="38691" spans="1:3">
      <c r="A38691" s="250">
        <v>93044</v>
      </c>
      <c r="B38691" s="74" t="s">
        <v>17903</v>
      </c>
      <c r="C38691" s="74" t="s">
        <v>416</v>
      </c>
    </row>
    <row r="38692" spans="1:3">
      <c r="A38692" s="250">
        <v>93060</v>
      </c>
      <c r="B38692" s="74" t="s">
        <v>17906</v>
      </c>
      <c r="C38692" s="74" t="s">
        <v>416</v>
      </c>
    </row>
    <row r="38693" spans="1:3">
      <c r="A38693" s="250">
        <v>93061</v>
      </c>
      <c r="B38693" s="74" t="s">
        <v>17906</v>
      </c>
      <c r="C38693" s="74" t="s">
        <v>416</v>
      </c>
    </row>
    <row r="38694" spans="1:3">
      <c r="A38694" s="250">
        <v>93062</v>
      </c>
      <c r="B38694" s="74" t="s">
        <v>17907</v>
      </c>
      <c r="C38694" s="74" t="s">
        <v>416</v>
      </c>
    </row>
    <row r="38695" spans="1:3">
      <c r="A38695" s="250">
        <v>93063</v>
      </c>
      <c r="B38695" s="74" t="s">
        <v>17907</v>
      </c>
      <c r="C38695" s="74" t="s">
        <v>416</v>
      </c>
    </row>
    <row r="38696" spans="1:3">
      <c r="A38696" s="250">
        <v>93064</v>
      </c>
      <c r="B38696" s="74" t="s">
        <v>17908</v>
      </c>
      <c r="C38696" s="74" t="s">
        <v>416</v>
      </c>
    </row>
    <row r="38697" spans="1:3">
      <c r="A38697" s="250">
        <v>93065</v>
      </c>
      <c r="B38697" s="74" t="s">
        <v>17907</v>
      </c>
      <c r="C38697" s="74" t="s">
        <v>416</v>
      </c>
    </row>
    <row r="38698" spans="1:3">
      <c r="A38698" s="250">
        <v>93066</v>
      </c>
      <c r="B38698" s="74" t="s">
        <v>17909</v>
      </c>
      <c r="C38698" s="74" t="s">
        <v>416</v>
      </c>
    </row>
    <row r="38699" spans="1:3">
      <c r="A38699" s="250">
        <v>93067</v>
      </c>
      <c r="B38699" s="74" t="s">
        <v>17910</v>
      </c>
      <c r="C38699" s="74" t="s">
        <v>416</v>
      </c>
    </row>
    <row r="38700" spans="1:3">
      <c r="A38700" s="250">
        <v>93093</v>
      </c>
      <c r="B38700" s="74" t="s">
        <v>17907</v>
      </c>
      <c r="C38700" s="74" t="s">
        <v>416</v>
      </c>
    </row>
    <row r="38701" spans="1:3">
      <c r="A38701" s="250">
        <v>93094</v>
      </c>
      <c r="B38701" s="74" t="s">
        <v>17907</v>
      </c>
      <c r="C38701" s="74" t="s">
        <v>416</v>
      </c>
    </row>
    <row r="38702" spans="1:3">
      <c r="A38702" s="250">
        <v>93099</v>
      </c>
      <c r="B38702" s="74" t="s">
        <v>17907</v>
      </c>
      <c r="C38702" s="74" t="s">
        <v>416</v>
      </c>
    </row>
    <row r="38703" spans="1:3">
      <c r="A38703" s="250">
        <v>93101</v>
      </c>
      <c r="B38703" s="74" t="s">
        <v>17911</v>
      </c>
      <c r="C38703" s="74" t="s">
        <v>416</v>
      </c>
    </row>
    <row r="38704" spans="1:3">
      <c r="A38704" s="250">
        <v>93102</v>
      </c>
      <c r="B38704" s="74" t="s">
        <v>17911</v>
      </c>
      <c r="C38704" s="74" t="s">
        <v>416</v>
      </c>
    </row>
    <row r="38705" spans="1:3">
      <c r="A38705" s="250">
        <v>93103</v>
      </c>
      <c r="B38705" s="74" t="s">
        <v>17911</v>
      </c>
      <c r="C38705" s="74" t="s">
        <v>416</v>
      </c>
    </row>
    <row r="38706" spans="1:3">
      <c r="A38706" s="250">
        <v>93105</v>
      </c>
      <c r="B38706" s="74" t="s">
        <v>17911</v>
      </c>
      <c r="C38706" s="74" t="s">
        <v>416</v>
      </c>
    </row>
    <row r="38707" spans="1:3">
      <c r="A38707" s="250">
        <v>93106</v>
      </c>
      <c r="B38707" s="74" t="s">
        <v>17911</v>
      </c>
      <c r="C38707" s="74" t="s">
        <v>416</v>
      </c>
    </row>
    <row r="38708" spans="1:3">
      <c r="A38708" s="250">
        <v>93107</v>
      </c>
      <c r="B38708" s="74" t="s">
        <v>17911</v>
      </c>
      <c r="C38708" s="74" t="s">
        <v>416</v>
      </c>
    </row>
    <row r="38709" spans="1:3">
      <c r="A38709" s="250">
        <v>93108</v>
      </c>
      <c r="B38709" s="74" t="s">
        <v>17911</v>
      </c>
      <c r="C38709" s="74" t="s">
        <v>416</v>
      </c>
    </row>
    <row r="38710" spans="1:3">
      <c r="A38710" s="250">
        <v>93109</v>
      </c>
      <c r="B38710" s="74" t="s">
        <v>17911</v>
      </c>
      <c r="C38710" s="74" t="s">
        <v>416</v>
      </c>
    </row>
    <row r="38711" spans="1:3">
      <c r="A38711" s="250">
        <v>93110</v>
      </c>
      <c r="B38711" s="74" t="s">
        <v>17911</v>
      </c>
      <c r="C38711" s="74" t="s">
        <v>416</v>
      </c>
    </row>
    <row r="38712" spans="1:3">
      <c r="A38712" s="250">
        <v>93111</v>
      </c>
      <c r="B38712" s="74" t="s">
        <v>17911</v>
      </c>
      <c r="C38712" s="74" t="s">
        <v>416</v>
      </c>
    </row>
    <row r="38713" spans="1:3">
      <c r="A38713" s="250">
        <v>93116</v>
      </c>
      <c r="B38713" s="74" t="s">
        <v>17912</v>
      </c>
      <c r="C38713" s="74" t="s">
        <v>416</v>
      </c>
    </row>
    <row r="38714" spans="1:3">
      <c r="A38714" s="250">
        <v>93117</v>
      </c>
      <c r="B38714" s="74" t="s">
        <v>17912</v>
      </c>
      <c r="C38714" s="74" t="s">
        <v>416</v>
      </c>
    </row>
    <row r="38715" spans="1:3">
      <c r="A38715" s="250">
        <v>93118</v>
      </c>
      <c r="B38715" s="74" t="s">
        <v>17912</v>
      </c>
      <c r="C38715" s="74" t="s">
        <v>416</v>
      </c>
    </row>
    <row r="38716" spans="1:3">
      <c r="A38716" s="250">
        <v>93120</v>
      </c>
      <c r="B38716" s="74" t="s">
        <v>17911</v>
      </c>
      <c r="C38716" s="74" t="s">
        <v>416</v>
      </c>
    </row>
    <row r="38717" spans="1:3">
      <c r="A38717" s="250">
        <v>93121</v>
      </c>
      <c r="B38717" s="74" t="s">
        <v>17911</v>
      </c>
      <c r="C38717" s="74" t="s">
        <v>416</v>
      </c>
    </row>
    <row r="38718" spans="1:3">
      <c r="A38718" s="250">
        <v>93130</v>
      </c>
      <c r="B38718" s="74" t="s">
        <v>17911</v>
      </c>
      <c r="C38718" s="74" t="s">
        <v>416</v>
      </c>
    </row>
    <row r="38719" spans="1:3">
      <c r="A38719" s="250">
        <v>93140</v>
      </c>
      <c r="B38719" s="74" t="s">
        <v>17911</v>
      </c>
      <c r="C38719" s="74" t="s">
        <v>416</v>
      </c>
    </row>
    <row r="38720" spans="1:3">
      <c r="A38720" s="250">
        <v>93150</v>
      </c>
      <c r="B38720" s="74" t="s">
        <v>17911</v>
      </c>
      <c r="C38720" s="74" t="s">
        <v>416</v>
      </c>
    </row>
    <row r="38721" spans="1:3">
      <c r="A38721" s="250">
        <v>93160</v>
      </c>
      <c r="B38721" s="74" t="s">
        <v>17911</v>
      </c>
      <c r="C38721" s="74" t="s">
        <v>416</v>
      </c>
    </row>
    <row r="38722" spans="1:3">
      <c r="A38722" s="250">
        <v>93190</v>
      </c>
      <c r="B38722" s="74" t="s">
        <v>17911</v>
      </c>
      <c r="C38722" s="74" t="s">
        <v>416</v>
      </c>
    </row>
    <row r="38723" spans="1:3">
      <c r="A38723" s="250">
        <v>93199</v>
      </c>
      <c r="B38723" s="74" t="s">
        <v>17912</v>
      </c>
      <c r="C38723" s="74" t="s">
        <v>416</v>
      </c>
    </row>
    <row r="38724" spans="1:3">
      <c r="A38724" s="250">
        <v>93201</v>
      </c>
      <c r="B38724" s="74" t="s">
        <v>17913</v>
      </c>
      <c r="C38724" s="74" t="s">
        <v>416</v>
      </c>
    </row>
    <row r="38725" spans="1:3">
      <c r="A38725" s="250">
        <v>93202</v>
      </c>
      <c r="B38725" s="74" t="s">
        <v>17914</v>
      </c>
      <c r="C38725" s="74" t="s">
        <v>416</v>
      </c>
    </row>
    <row r="38726" spans="1:3">
      <c r="A38726" s="250">
        <v>93203</v>
      </c>
      <c r="B38726" s="74" t="s">
        <v>17915</v>
      </c>
      <c r="C38726" s="74" t="s">
        <v>416</v>
      </c>
    </row>
    <row r="38727" spans="1:3">
      <c r="A38727" s="250">
        <v>93204</v>
      </c>
      <c r="B38727" s="74" t="s">
        <v>17916</v>
      </c>
      <c r="C38727" s="74" t="s">
        <v>416</v>
      </c>
    </row>
    <row r="38728" spans="1:3">
      <c r="A38728" s="250">
        <v>93205</v>
      </c>
      <c r="B38728" s="74" t="s">
        <v>17917</v>
      </c>
      <c r="C38728" s="74" t="s">
        <v>416</v>
      </c>
    </row>
    <row r="38729" spans="1:3">
      <c r="A38729" s="250">
        <v>93206</v>
      </c>
      <c r="B38729" s="74" t="s">
        <v>17918</v>
      </c>
      <c r="C38729" s="74" t="s">
        <v>416</v>
      </c>
    </row>
    <row r="38730" spans="1:3">
      <c r="A38730" s="250">
        <v>93207</v>
      </c>
      <c r="B38730" s="74" t="s">
        <v>17919</v>
      </c>
      <c r="C38730" s="74" t="s">
        <v>416</v>
      </c>
    </row>
    <row r="38731" spans="1:3">
      <c r="A38731" s="250">
        <v>93208</v>
      </c>
      <c r="B38731" s="74" t="s">
        <v>17920</v>
      </c>
      <c r="C38731" s="74" t="s">
        <v>416</v>
      </c>
    </row>
    <row r="38732" spans="1:3">
      <c r="A38732" s="250">
        <v>93210</v>
      </c>
      <c r="B38732" s="74" t="s">
        <v>17921</v>
      </c>
      <c r="C38732" s="74" t="s">
        <v>416</v>
      </c>
    </row>
    <row r="38733" spans="1:3">
      <c r="A38733" s="250">
        <v>93212</v>
      </c>
      <c r="B38733" s="74" t="s">
        <v>17922</v>
      </c>
      <c r="C38733" s="74" t="s">
        <v>416</v>
      </c>
    </row>
    <row r="38734" spans="1:3">
      <c r="A38734" s="250">
        <v>93215</v>
      </c>
      <c r="B38734" s="74" t="s">
        <v>5084</v>
      </c>
      <c r="C38734" s="74" t="s">
        <v>416</v>
      </c>
    </row>
    <row r="38735" spans="1:3">
      <c r="A38735" s="250">
        <v>93216</v>
      </c>
      <c r="B38735" s="74" t="s">
        <v>5084</v>
      </c>
      <c r="C38735" s="74" t="s">
        <v>416</v>
      </c>
    </row>
    <row r="38736" spans="1:3">
      <c r="A38736" s="250">
        <v>93218</v>
      </c>
      <c r="B38736" s="74" t="s">
        <v>17923</v>
      </c>
      <c r="C38736" s="74" t="s">
        <v>416</v>
      </c>
    </row>
    <row r="38737" spans="1:3">
      <c r="A38737" s="250">
        <v>93219</v>
      </c>
      <c r="B38737" s="74" t="s">
        <v>17924</v>
      </c>
      <c r="C38737" s="74" t="s">
        <v>416</v>
      </c>
    </row>
    <row r="38738" spans="1:3">
      <c r="A38738" s="250">
        <v>93220</v>
      </c>
      <c r="B38738" s="74" t="s">
        <v>2567</v>
      </c>
      <c r="C38738" s="74" t="s">
        <v>416</v>
      </c>
    </row>
    <row r="38739" spans="1:3">
      <c r="A38739" s="250">
        <v>93221</v>
      </c>
      <c r="B38739" s="74" t="s">
        <v>1104</v>
      </c>
      <c r="C38739" s="74" t="s">
        <v>416</v>
      </c>
    </row>
    <row r="38740" spans="1:3">
      <c r="A38740" s="250">
        <v>93222</v>
      </c>
      <c r="B38740" s="74" t="s">
        <v>17925</v>
      </c>
      <c r="C38740" s="74" t="s">
        <v>416</v>
      </c>
    </row>
    <row r="38741" spans="1:3">
      <c r="A38741" s="250">
        <v>93223</v>
      </c>
      <c r="B38741" s="74" t="s">
        <v>10500</v>
      </c>
      <c r="C38741" s="74" t="s">
        <v>416</v>
      </c>
    </row>
    <row r="38742" spans="1:3">
      <c r="A38742" s="250">
        <v>93224</v>
      </c>
      <c r="B38742" s="74" t="s">
        <v>17926</v>
      </c>
      <c r="C38742" s="74" t="s">
        <v>416</v>
      </c>
    </row>
    <row r="38743" spans="1:3">
      <c r="A38743" s="250">
        <v>93225</v>
      </c>
      <c r="B38743" s="74" t="s">
        <v>17927</v>
      </c>
      <c r="C38743" s="74" t="s">
        <v>416</v>
      </c>
    </row>
    <row r="38744" spans="1:3">
      <c r="A38744" s="250">
        <v>93226</v>
      </c>
      <c r="B38744" s="74" t="s">
        <v>7941</v>
      </c>
      <c r="C38744" s="74" t="s">
        <v>416</v>
      </c>
    </row>
    <row r="38745" spans="1:3">
      <c r="A38745" s="250">
        <v>93227</v>
      </c>
      <c r="B38745" s="74" t="s">
        <v>592</v>
      </c>
      <c r="C38745" s="74" t="s">
        <v>416</v>
      </c>
    </row>
    <row r="38746" spans="1:3">
      <c r="A38746" s="250">
        <v>93230</v>
      </c>
      <c r="B38746" s="74" t="s">
        <v>17928</v>
      </c>
      <c r="C38746" s="74" t="s">
        <v>416</v>
      </c>
    </row>
    <row r="38747" spans="1:3">
      <c r="A38747" s="250">
        <v>93232</v>
      </c>
      <c r="B38747" s="74" t="s">
        <v>17928</v>
      </c>
      <c r="C38747" s="74" t="s">
        <v>416</v>
      </c>
    </row>
    <row r="38748" spans="1:3">
      <c r="A38748" s="250">
        <v>93234</v>
      </c>
      <c r="B38748" s="74" t="s">
        <v>9222</v>
      </c>
      <c r="C38748" s="74" t="s">
        <v>416</v>
      </c>
    </row>
    <row r="38749" spans="1:3">
      <c r="A38749" s="250">
        <v>93235</v>
      </c>
      <c r="B38749" s="74" t="s">
        <v>6365</v>
      </c>
      <c r="C38749" s="74" t="s">
        <v>416</v>
      </c>
    </row>
    <row r="38750" spans="1:3">
      <c r="A38750" s="250">
        <v>93237</v>
      </c>
      <c r="B38750" s="74" t="s">
        <v>17929</v>
      </c>
      <c r="C38750" s="74" t="s">
        <v>416</v>
      </c>
    </row>
    <row r="38751" spans="1:3">
      <c r="A38751" s="250">
        <v>93238</v>
      </c>
      <c r="B38751" s="74" t="s">
        <v>17930</v>
      </c>
      <c r="C38751" s="74" t="s">
        <v>416</v>
      </c>
    </row>
    <row r="38752" spans="1:3">
      <c r="A38752" s="250">
        <v>93239</v>
      </c>
      <c r="B38752" s="74" t="s">
        <v>17931</v>
      </c>
      <c r="C38752" s="74" t="s">
        <v>416</v>
      </c>
    </row>
    <row r="38753" spans="1:3">
      <c r="A38753" s="250">
        <v>93240</v>
      </c>
      <c r="B38753" s="74" t="s">
        <v>17932</v>
      </c>
      <c r="C38753" s="74" t="s">
        <v>416</v>
      </c>
    </row>
    <row r="38754" spans="1:3">
      <c r="A38754" s="250">
        <v>93241</v>
      </c>
      <c r="B38754" s="74" t="s">
        <v>8282</v>
      </c>
      <c r="C38754" s="74" t="s">
        <v>416</v>
      </c>
    </row>
    <row r="38755" spans="1:3">
      <c r="A38755" s="250">
        <v>93242</v>
      </c>
      <c r="B38755" s="74" t="s">
        <v>17933</v>
      </c>
      <c r="C38755" s="74" t="s">
        <v>416</v>
      </c>
    </row>
    <row r="38756" spans="1:3">
      <c r="A38756" s="250">
        <v>93243</v>
      </c>
      <c r="B38756" s="74" t="s">
        <v>17934</v>
      </c>
      <c r="C38756" s="74" t="s">
        <v>416</v>
      </c>
    </row>
    <row r="38757" spans="1:3">
      <c r="A38757" s="250">
        <v>93244</v>
      </c>
      <c r="B38757" s="74" t="s">
        <v>17935</v>
      </c>
      <c r="C38757" s="74" t="s">
        <v>416</v>
      </c>
    </row>
    <row r="38758" spans="1:3">
      <c r="A38758" s="250">
        <v>93245</v>
      </c>
      <c r="B38758" s="74" t="s">
        <v>17936</v>
      </c>
      <c r="C38758" s="74" t="s">
        <v>416</v>
      </c>
    </row>
    <row r="38759" spans="1:3">
      <c r="A38759" s="250">
        <v>93246</v>
      </c>
      <c r="B38759" s="74" t="s">
        <v>17936</v>
      </c>
      <c r="C38759" s="74" t="s">
        <v>416</v>
      </c>
    </row>
    <row r="38760" spans="1:3">
      <c r="A38760" s="250">
        <v>93247</v>
      </c>
      <c r="B38760" s="74" t="s">
        <v>13297</v>
      </c>
      <c r="C38760" s="74" t="s">
        <v>416</v>
      </c>
    </row>
    <row r="38761" spans="1:3">
      <c r="A38761" s="250">
        <v>93249</v>
      </c>
      <c r="B38761" s="74" t="s">
        <v>17937</v>
      </c>
      <c r="C38761" s="74" t="s">
        <v>416</v>
      </c>
    </row>
    <row r="38762" spans="1:3">
      <c r="A38762" s="250">
        <v>93250</v>
      </c>
      <c r="B38762" s="74" t="s">
        <v>12017</v>
      </c>
      <c r="C38762" s="74" t="s">
        <v>416</v>
      </c>
    </row>
    <row r="38763" spans="1:3">
      <c r="A38763" s="250">
        <v>93251</v>
      </c>
      <c r="B38763" s="74" t="s">
        <v>17938</v>
      </c>
      <c r="C38763" s="74" t="s">
        <v>416</v>
      </c>
    </row>
    <row r="38764" spans="1:3">
      <c r="A38764" s="250">
        <v>93252</v>
      </c>
      <c r="B38764" s="74" t="s">
        <v>17176</v>
      </c>
      <c r="C38764" s="74" t="s">
        <v>416</v>
      </c>
    </row>
    <row r="38765" spans="1:3">
      <c r="A38765" s="250">
        <v>93254</v>
      </c>
      <c r="B38765" s="74" t="s">
        <v>17939</v>
      </c>
      <c r="C38765" s="74" t="s">
        <v>416</v>
      </c>
    </row>
    <row r="38766" spans="1:3">
      <c r="A38766" s="250">
        <v>93255</v>
      </c>
      <c r="B38766" s="74" t="s">
        <v>17940</v>
      </c>
      <c r="C38766" s="74" t="s">
        <v>416</v>
      </c>
    </row>
    <row r="38767" spans="1:3">
      <c r="A38767" s="250">
        <v>93256</v>
      </c>
      <c r="B38767" s="74" t="s">
        <v>17941</v>
      </c>
      <c r="C38767" s="74" t="s">
        <v>416</v>
      </c>
    </row>
    <row r="38768" spans="1:3">
      <c r="A38768" s="250">
        <v>93257</v>
      </c>
      <c r="B38768" s="74" t="s">
        <v>9468</v>
      </c>
      <c r="C38768" s="74" t="s">
        <v>416</v>
      </c>
    </row>
    <row r="38769" spans="1:3">
      <c r="A38769" s="250">
        <v>93258</v>
      </c>
      <c r="B38769" s="74" t="s">
        <v>9468</v>
      </c>
      <c r="C38769" s="74" t="s">
        <v>416</v>
      </c>
    </row>
    <row r="38770" spans="1:3">
      <c r="A38770" s="250">
        <v>93260</v>
      </c>
      <c r="B38770" s="74" t="s">
        <v>17942</v>
      </c>
      <c r="C38770" s="74" t="s">
        <v>416</v>
      </c>
    </row>
    <row r="38771" spans="1:3">
      <c r="A38771" s="250">
        <v>93261</v>
      </c>
      <c r="B38771" s="74" t="s">
        <v>17943</v>
      </c>
      <c r="C38771" s="74" t="s">
        <v>416</v>
      </c>
    </row>
    <row r="38772" spans="1:3">
      <c r="A38772" s="250">
        <v>93262</v>
      </c>
      <c r="B38772" s="74" t="s">
        <v>17944</v>
      </c>
      <c r="C38772" s="74" t="s">
        <v>416</v>
      </c>
    </row>
    <row r="38773" spans="1:3">
      <c r="A38773" s="250">
        <v>93263</v>
      </c>
      <c r="B38773" s="74" t="s">
        <v>17945</v>
      </c>
      <c r="C38773" s="74" t="s">
        <v>416</v>
      </c>
    </row>
    <row r="38774" spans="1:3">
      <c r="A38774" s="250">
        <v>93265</v>
      </c>
      <c r="B38774" s="74" t="s">
        <v>3739</v>
      </c>
      <c r="C38774" s="74" t="s">
        <v>416</v>
      </c>
    </row>
    <row r="38775" spans="1:3">
      <c r="A38775" s="250">
        <v>93266</v>
      </c>
      <c r="B38775" s="74" t="s">
        <v>2072</v>
      </c>
      <c r="C38775" s="74" t="s">
        <v>416</v>
      </c>
    </row>
    <row r="38776" spans="1:3">
      <c r="A38776" s="250">
        <v>93267</v>
      </c>
      <c r="B38776" s="74" t="s">
        <v>17946</v>
      </c>
      <c r="C38776" s="74" t="s">
        <v>416</v>
      </c>
    </row>
    <row r="38777" spans="1:3">
      <c r="A38777" s="250">
        <v>93268</v>
      </c>
      <c r="B38777" s="74" t="s">
        <v>9262</v>
      </c>
      <c r="C38777" s="74" t="s">
        <v>416</v>
      </c>
    </row>
    <row r="38778" spans="1:3">
      <c r="A38778" s="250">
        <v>93270</v>
      </c>
      <c r="B38778" s="74" t="s">
        <v>17947</v>
      </c>
      <c r="C38778" s="74" t="s">
        <v>416</v>
      </c>
    </row>
    <row r="38779" spans="1:3">
      <c r="A38779" s="250">
        <v>93271</v>
      </c>
      <c r="B38779" s="74" t="s">
        <v>619</v>
      </c>
      <c r="C38779" s="74" t="s">
        <v>416</v>
      </c>
    </row>
    <row r="38780" spans="1:3">
      <c r="A38780" s="250">
        <v>93272</v>
      </c>
      <c r="B38780" s="74" t="s">
        <v>4581</v>
      </c>
      <c r="C38780" s="74" t="s">
        <v>416</v>
      </c>
    </row>
    <row r="38781" spans="1:3">
      <c r="A38781" s="250">
        <v>93274</v>
      </c>
      <c r="B38781" s="74" t="s">
        <v>12915</v>
      </c>
      <c r="C38781" s="74" t="s">
        <v>416</v>
      </c>
    </row>
    <row r="38782" spans="1:3">
      <c r="A38782" s="250">
        <v>93275</v>
      </c>
      <c r="B38782" s="74" t="s">
        <v>12915</v>
      </c>
      <c r="C38782" s="74" t="s">
        <v>416</v>
      </c>
    </row>
    <row r="38783" spans="1:3">
      <c r="A38783" s="250">
        <v>93276</v>
      </c>
      <c r="B38783" s="74" t="s">
        <v>17948</v>
      </c>
      <c r="C38783" s="74" t="s">
        <v>416</v>
      </c>
    </row>
    <row r="38784" spans="1:3">
      <c r="A38784" s="250">
        <v>93277</v>
      </c>
      <c r="B38784" s="74" t="s">
        <v>17949</v>
      </c>
      <c r="C38784" s="74" t="s">
        <v>416</v>
      </c>
    </row>
    <row r="38785" spans="1:3">
      <c r="A38785" s="250">
        <v>93278</v>
      </c>
      <c r="B38785" s="74" t="s">
        <v>17949</v>
      </c>
      <c r="C38785" s="74" t="s">
        <v>416</v>
      </c>
    </row>
    <row r="38786" spans="1:3">
      <c r="A38786" s="250">
        <v>93279</v>
      </c>
      <c r="B38786" s="74" t="s">
        <v>17949</v>
      </c>
      <c r="C38786" s="74" t="s">
        <v>416</v>
      </c>
    </row>
    <row r="38787" spans="1:3">
      <c r="A38787" s="250">
        <v>93280</v>
      </c>
      <c r="B38787" s="74" t="s">
        <v>13493</v>
      </c>
      <c r="C38787" s="74" t="s">
        <v>416</v>
      </c>
    </row>
    <row r="38788" spans="1:3">
      <c r="A38788" s="250">
        <v>93282</v>
      </c>
      <c r="B38788" s="74" t="s">
        <v>17950</v>
      </c>
      <c r="C38788" s="74" t="s">
        <v>416</v>
      </c>
    </row>
    <row r="38789" spans="1:3">
      <c r="A38789" s="250">
        <v>93283</v>
      </c>
      <c r="B38789" s="74" t="s">
        <v>7232</v>
      </c>
      <c r="C38789" s="74" t="s">
        <v>416</v>
      </c>
    </row>
    <row r="38790" spans="1:3">
      <c r="A38790" s="250">
        <v>93285</v>
      </c>
      <c r="B38790" s="74" t="s">
        <v>17951</v>
      </c>
      <c r="C38790" s="74" t="s">
        <v>416</v>
      </c>
    </row>
    <row r="38791" spans="1:3">
      <c r="A38791" s="250">
        <v>93286</v>
      </c>
      <c r="B38791" s="74" t="s">
        <v>15939</v>
      </c>
      <c r="C38791" s="74" t="s">
        <v>416</v>
      </c>
    </row>
    <row r="38792" spans="1:3">
      <c r="A38792" s="250">
        <v>93287</v>
      </c>
      <c r="B38792" s="74" t="s">
        <v>17952</v>
      </c>
      <c r="C38792" s="74" t="s">
        <v>416</v>
      </c>
    </row>
    <row r="38793" spans="1:3">
      <c r="A38793" s="250">
        <v>93290</v>
      </c>
      <c r="B38793" s="74" t="s">
        <v>17949</v>
      </c>
      <c r="C38793" s="74" t="s">
        <v>416</v>
      </c>
    </row>
    <row r="38794" spans="1:3">
      <c r="A38794" s="250">
        <v>93291</v>
      </c>
      <c r="B38794" s="74" t="s">
        <v>17949</v>
      </c>
      <c r="C38794" s="74" t="s">
        <v>416</v>
      </c>
    </row>
    <row r="38795" spans="1:3">
      <c r="A38795" s="250">
        <v>93292</v>
      </c>
      <c r="B38795" s="74" t="s">
        <v>17949</v>
      </c>
      <c r="C38795" s="74" t="s">
        <v>416</v>
      </c>
    </row>
    <row r="38796" spans="1:3">
      <c r="A38796" s="250">
        <v>93301</v>
      </c>
      <c r="B38796" s="74" t="s">
        <v>1804</v>
      </c>
      <c r="C38796" s="74" t="s">
        <v>416</v>
      </c>
    </row>
    <row r="38797" spans="1:3">
      <c r="A38797" s="250">
        <v>93302</v>
      </c>
      <c r="B38797" s="74" t="s">
        <v>1804</v>
      </c>
      <c r="C38797" s="74" t="s">
        <v>416</v>
      </c>
    </row>
    <row r="38798" spans="1:3">
      <c r="A38798" s="250">
        <v>93303</v>
      </c>
      <c r="B38798" s="74" t="s">
        <v>1804</v>
      </c>
      <c r="C38798" s="74" t="s">
        <v>416</v>
      </c>
    </row>
    <row r="38799" spans="1:3">
      <c r="A38799" s="250">
        <v>93304</v>
      </c>
      <c r="B38799" s="74" t="s">
        <v>1804</v>
      </c>
      <c r="C38799" s="74" t="s">
        <v>416</v>
      </c>
    </row>
    <row r="38800" spans="1:3">
      <c r="A38800" s="250">
        <v>93305</v>
      </c>
      <c r="B38800" s="74" t="s">
        <v>1804</v>
      </c>
      <c r="C38800" s="74" t="s">
        <v>416</v>
      </c>
    </row>
    <row r="38801" spans="1:3">
      <c r="A38801" s="250">
        <v>93306</v>
      </c>
      <c r="B38801" s="74" t="s">
        <v>1804</v>
      </c>
      <c r="C38801" s="74" t="s">
        <v>416</v>
      </c>
    </row>
    <row r="38802" spans="1:3">
      <c r="A38802" s="250">
        <v>93307</v>
      </c>
      <c r="B38802" s="74" t="s">
        <v>1804</v>
      </c>
      <c r="C38802" s="74" t="s">
        <v>416</v>
      </c>
    </row>
    <row r="38803" spans="1:3">
      <c r="A38803" s="250">
        <v>93308</v>
      </c>
      <c r="B38803" s="74" t="s">
        <v>1804</v>
      </c>
      <c r="C38803" s="74" t="s">
        <v>416</v>
      </c>
    </row>
    <row r="38804" spans="1:3">
      <c r="A38804" s="250">
        <v>93309</v>
      </c>
      <c r="B38804" s="74" t="s">
        <v>1804</v>
      </c>
      <c r="C38804" s="74" t="s">
        <v>416</v>
      </c>
    </row>
    <row r="38805" spans="1:3">
      <c r="A38805" s="250">
        <v>93311</v>
      </c>
      <c r="B38805" s="74" t="s">
        <v>1804</v>
      </c>
      <c r="C38805" s="74" t="s">
        <v>416</v>
      </c>
    </row>
    <row r="38806" spans="1:3">
      <c r="A38806" s="250">
        <v>93312</v>
      </c>
      <c r="B38806" s="74" t="s">
        <v>1804</v>
      </c>
      <c r="C38806" s="74" t="s">
        <v>416</v>
      </c>
    </row>
    <row r="38807" spans="1:3">
      <c r="A38807" s="250">
        <v>93313</v>
      </c>
      <c r="B38807" s="74" t="s">
        <v>1804</v>
      </c>
      <c r="C38807" s="74" t="s">
        <v>416</v>
      </c>
    </row>
    <row r="38808" spans="1:3">
      <c r="A38808" s="250">
        <v>93314</v>
      </c>
      <c r="B38808" s="74" t="s">
        <v>1804</v>
      </c>
      <c r="C38808" s="74" t="s">
        <v>416</v>
      </c>
    </row>
    <row r="38809" spans="1:3">
      <c r="A38809" s="250">
        <v>93380</v>
      </c>
      <c r="B38809" s="74" t="s">
        <v>1804</v>
      </c>
      <c r="C38809" s="74" t="s">
        <v>416</v>
      </c>
    </row>
    <row r="38810" spans="1:3">
      <c r="A38810" s="250">
        <v>93381</v>
      </c>
      <c r="B38810" s="74" t="s">
        <v>1804</v>
      </c>
      <c r="C38810" s="74" t="s">
        <v>416</v>
      </c>
    </row>
    <row r="38811" spans="1:3">
      <c r="A38811" s="250">
        <v>93382</v>
      </c>
      <c r="B38811" s="74" t="s">
        <v>1804</v>
      </c>
      <c r="C38811" s="74" t="s">
        <v>416</v>
      </c>
    </row>
    <row r="38812" spans="1:3">
      <c r="A38812" s="250">
        <v>93383</v>
      </c>
      <c r="B38812" s="74" t="s">
        <v>1804</v>
      </c>
      <c r="C38812" s="74" t="s">
        <v>416</v>
      </c>
    </row>
    <row r="38813" spans="1:3">
      <c r="A38813" s="250">
        <v>93384</v>
      </c>
      <c r="B38813" s="74" t="s">
        <v>1804</v>
      </c>
      <c r="C38813" s="74" t="s">
        <v>416</v>
      </c>
    </row>
    <row r="38814" spans="1:3">
      <c r="A38814" s="250">
        <v>93385</v>
      </c>
      <c r="B38814" s="74" t="s">
        <v>1804</v>
      </c>
      <c r="C38814" s="74" t="s">
        <v>416</v>
      </c>
    </row>
    <row r="38815" spans="1:3">
      <c r="A38815" s="250">
        <v>93386</v>
      </c>
      <c r="B38815" s="74" t="s">
        <v>1804</v>
      </c>
      <c r="C38815" s="74" t="s">
        <v>416</v>
      </c>
    </row>
    <row r="38816" spans="1:3">
      <c r="A38816" s="250">
        <v>93387</v>
      </c>
      <c r="B38816" s="74" t="s">
        <v>1804</v>
      </c>
      <c r="C38816" s="74" t="s">
        <v>416</v>
      </c>
    </row>
    <row r="38817" spans="1:3">
      <c r="A38817" s="250">
        <v>93388</v>
      </c>
      <c r="B38817" s="74" t="s">
        <v>1804</v>
      </c>
      <c r="C38817" s="74" t="s">
        <v>416</v>
      </c>
    </row>
    <row r="38818" spans="1:3">
      <c r="A38818" s="250">
        <v>93389</v>
      </c>
      <c r="B38818" s="74" t="s">
        <v>1804</v>
      </c>
      <c r="C38818" s="74" t="s">
        <v>416</v>
      </c>
    </row>
    <row r="38819" spans="1:3">
      <c r="A38819" s="250">
        <v>93390</v>
      </c>
      <c r="B38819" s="74" t="s">
        <v>1804</v>
      </c>
      <c r="C38819" s="74" t="s">
        <v>416</v>
      </c>
    </row>
    <row r="38820" spans="1:3">
      <c r="A38820" s="250">
        <v>93401</v>
      </c>
      <c r="B38820" s="74" t="s">
        <v>17953</v>
      </c>
      <c r="C38820" s="74" t="s">
        <v>416</v>
      </c>
    </row>
    <row r="38821" spans="1:3">
      <c r="A38821" s="250">
        <v>93402</v>
      </c>
      <c r="B38821" s="74" t="s">
        <v>17954</v>
      </c>
      <c r="C38821" s="74" t="s">
        <v>416</v>
      </c>
    </row>
    <row r="38822" spans="1:3">
      <c r="A38822" s="250">
        <v>93403</v>
      </c>
      <c r="B38822" s="74" t="s">
        <v>17953</v>
      </c>
      <c r="C38822" s="74" t="s">
        <v>416</v>
      </c>
    </row>
    <row r="38823" spans="1:3">
      <c r="A38823" s="250">
        <v>93405</v>
      </c>
      <c r="B38823" s="74" t="s">
        <v>17953</v>
      </c>
      <c r="C38823" s="74" t="s">
        <v>416</v>
      </c>
    </row>
    <row r="38824" spans="1:3">
      <c r="A38824" s="250">
        <v>93406</v>
      </c>
      <c r="B38824" s="74" t="s">
        <v>17953</v>
      </c>
      <c r="C38824" s="74" t="s">
        <v>416</v>
      </c>
    </row>
    <row r="38825" spans="1:3">
      <c r="A38825" s="250">
        <v>93407</v>
      </c>
      <c r="B38825" s="74" t="s">
        <v>17953</v>
      </c>
      <c r="C38825" s="74" t="s">
        <v>416</v>
      </c>
    </row>
    <row r="38826" spans="1:3">
      <c r="A38826" s="250">
        <v>93408</v>
      </c>
      <c r="B38826" s="74" t="s">
        <v>17953</v>
      </c>
      <c r="C38826" s="74" t="s">
        <v>416</v>
      </c>
    </row>
    <row r="38827" spans="1:3">
      <c r="A38827" s="250">
        <v>93409</v>
      </c>
      <c r="B38827" s="74" t="s">
        <v>17953</v>
      </c>
      <c r="C38827" s="74" t="s">
        <v>416</v>
      </c>
    </row>
    <row r="38828" spans="1:3">
      <c r="A38828" s="250">
        <v>93410</v>
      </c>
      <c r="B38828" s="74" t="s">
        <v>17953</v>
      </c>
      <c r="C38828" s="74" t="s">
        <v>416</v>
      </c>
    </row>
    <row r="38829" spans="1:3">
      <c r="A38829" s="250">
        <v>93412</v>
      </c>
      <c r="B38829" s="74" t="s">
        <v>17954</v>
      </c>
      <c r="C38829" s="74" t="s">
        <v>416</v>
      </c>
    </row>
    <row r="38830" spans="1:3">
      <c r="A38830" s="250">
        <v>93420</v>
      </c>
      <c r="B38830" s="74" t="s">
        <v>17955</v>
      </c>
      <c r="C38830" s="74" t="s">
        <v>416</v>
      </c>
    </row>
    <row r="38831" spans="1:3">
      <c r="A38831" s="250">
        <v>93421</v>
      </c>
      <c r="B38831" s="74" t="s">
        <v>17955</v>
      </c>
      <c r="C38831" s="74" t="s">
        <v>416</v>
      </c>
    </row>
    <row r="38832" spans="1:3">
      <c r="A38832" s="250">
        <v>93422</v>
      </c>
      <c r="B38832" s="74" t="s">
        <v>17956</v>
      </c>
      <c r="C38832" s="74" t="s">
        <v>416</v>
      </c>
    </row>
    <row r="38833" spans="1:3">
      <c r="A38833" s="250">
        <v>93423</v>
      </c>
      <c r="B38833" s="74" t="s">
        <v>17956</v>
      </c>
      <c r="C38833" s="74" t="s">
        <v>416</v>
      </c>
    </row>
    <row r="38834" spans="1:3">
      <c r="A38834" s="250">
        <v>93424</v>
      </c>
      <c r="B38834" s="74" t="s">
        <v>17957</v>
      </c>
      <c r="C38834" s="74" t="s">
        <v>416</v>
      </c>
    </row>
    <row r="38835" spans="1:3">
      <c r="A38835" s="250">
        <v>93426</v>
      </c>
      <c r="B38835" s="74" t="s">
        <v>1490</v>
      </c>
      <c r="C38835" s="74" t="s">
        <v>416</v>
      </c>
    </row>
    <row r="38836" spans="1:3">
      <c r="A38836" s="250">
        <v>93427</v>
      </c>
      <c r="B38836" s="74" t="s">
        <v>17958</v>
      </c>
      <c r="C38836" s="74" t="s">
        <v>416</v>
      </c>
    </row>
    <row r="38837" spans="1:3">
      <c r="A38837" s="250">
        <v>93428</v>
      </c>
      <c r="B38837" s="74" t="s">
        <v>12054</v>
      </c>
      <c r="C38837" s="74" t="s">
        <v>416</v>
      </c>
    </row>
    <row r="38838" spans="1:3">
      <c r="A38838" s="250">
        <v>93429</v>
      </c>
      <c r="B38838" s="74" t="s">
        <v>17959</v>
      </c>
      <c r="C38838" s="74" t="s">
        <v>416</v>
      </c>
    </row>
    <row r="38839" spans="1:3">
      <c r="A38839" s="250">
        <v>93430</v>
      </c>
      <c r="B38839" s="74" t="s">
        <v>17960</v>
      </c>
      <c r="C38839" s="74" t="s">
        <v>416</v>
      </c>
    </row>
    <row r="38840" spans="1:3">
      <c r="A38840" s="250">
        <v>93432</v>
      </c>
      <c r="B38840" s="74" t="s">
        <v>6869</v>
      </c>
      <c r="C38840" s="74" t="s">
        <v>416</v>
      </c>
    </row>
    <row r="38841" spans="1:3">
      <c r="A38841" s="250">
        <v>93433</v>
      </c>
      <c r="B38841" s="74" t="s">
        <v>17961</v>
      </c>
      <c r="C38841" s="74" t="s">
        <v>416</v>
      </c>
    </row>
    <row r="38842" spans="1:3">
      <c r="A38842" s="250">
        <v>93434</v>
      </c>
      <c r="B38842" s="74" t="s">
        <v>17962</v>
      </c>
      <c r="C38842" s="74" t="s">
        <v>416</v>
      </c>
    </row>
    <row r="38843" spans="1:3">
      <c r="A38843" s="250">
        <v>93435</v>
      </c>
      <c r="B38843" s="74" t="s">
        <v>1109</v>
      </c>
      <c r="C38843" s="74" t="s">
        <v>416</v>
      </c>
    </row>
    <row r="38844" spans="1:3">
      <c r="A38844" s="250">
        <v>93436</v>
      </c>
      <c r="B38844" s="74" t="s">
        <v>17963</v>
      </c>
      <c r="C38844" s="74" t="s">
        <v>416</v>
      </c>
    </row>
    <row r="38845" spans="1:3">
      <c r="A38845" s="250">
        <v>93437</v>
      </c>
      <c r="B38845" s="74" t="s">
        <v>17963</v>
      </c>
      <c r="C38845" s="74" t="s">
        <v>416</v>
      </c>
    </row>
    <row r="38846" spans="1:3">
      <c r="A38846" s="250">
        <v>93438</v>
      </c>
      <c r="B38846" s="74" t="s">
        <v>17963</v>
      </c>
      <c r="C38846" s="74" t="s">
        <v>416</v>
      </c>
    </row>
    <row r="38847" spans="1:3">
      <c r="A38847" s="250">
        <v>93440</v>
      </c>
      <c r="B38847" s="74" t="s">
        <v>17442</v>
      </c>
      <c r="C38847" s="74" t="s">
        <v>416</v>
      </c>
    </row>
    <row r="38848" spans="1:3">
      <c r="A38848" s="250">
        <v>93441</v>
      </c>
      <c r="B38848" s="74" t="s">
        <v>17964</v>
      </c>
      <c r="C38848" s="74" t="s">
        <v>416</v>
      </c>
    </row>
    <row r="38849" spans="1:3">
      <c r="A38849" s="250">
        <v>93442</v>
      </c>
      <c r="B38849" s="74" t="s">
        <v>17965</v>
      </c>
      <c r="C38849" s="74" t="s">
        <v>416</v>
      </c>
    </row>
    <row r="38850" spans="1:3">
      <c r="A38850" s="250">
        <v>93443</v>
      </c>
      <c r="B38850" s="74" t="s">
        <v>17965</v>
      </c>
      <c r="C38850" s="74" t="s">
        <v>416</v>
      </c>
    </row>
    <row r="38851" spans="1:3">
      <c r="A38851" s="250">
        <v>93444</v>
      </c>
      <c r="B38851" s="74" t="s">
        <v>17966</v>
      </c>
      <c r="C38851" s="74" t="s">
        <v>416</v>
      </c>
    </row>
    <row r="38852" spans="1:3">
      <c r="A38852" s="250">
        <v>93445</v>
      </c>
      <c r="B38852" s="74" t="s">
        <v>17967</v>
      </c>
      <c r="C38852" s="74" t="s">
        <v>416</v>
      </c>
    </row>
    <row r="38853" spans="1:3">
      <c r="A38853" s="250">
        <v>93446</v>
      </c>
      <c r="B38853" s="74" t="s">
        <v>17968</v>
      </c>
      <c r="C38853" s="74" t="s">
        <v>416</v>
      </c>
    </row>
    <row r="38854" spans="1:3">
      <c r="A38854" s="250">
        <v>93447</v>
      </c>
      <c r="B38854" s="74" t="s">
        <v>17968</v>
      </c>
      <c r="C38854" s="74" t="s">
        <v>416</v>
      </c>
    </row>
    <row r="38855" spans="1:3">
      <c r="A38855" s="250">
        <v>93448</v>
      </c>
      <c r="B38855" s="74" t="s">
        <v>17969</v>
      </c>
      <c r="C38855" s="74" t="s">
        <v>416</v>
      </c>
    </row>
    <row r="38856" spans="1:3">
      <c r="A38856" s="250">
        <v>93449</v>
      </c>
      <c r="B38856" s="74" t="s">
        <v>17969</v>
      </c>
      <c r="C38856" s="74" t="s">
        <v>416</v>
      </c>
    </row>
    <row r="38857" spans="1:3">
      <c r="A38857" s="250">
        <v>93450</v>
      </c>
      <c r="B38857" s="74" t="s">
        <v>17970</v>
      </c>
      <c r="C38857" s="74" t="s">
        <v>416</v>
      </c>
    </row>
    <row r="38858" spans="1:3">
      <c r="A38858" s="250">
        <v>93451</v>
      </c>
      <c r="B38858" s="74" t="s">
        <v>17526</v>
      </c>
      <c r="C38858" s="74" t="s">
        <v>416</v>
      </c>
    </row>
    <row r="38859" spans="1:3">
      <c r="A38859" s="250">
        <v>93452</v>
      </c>
      <c r="B38859" s="74" t="s">
        <v>17971</v>
      </c>
      <c r="C38859" s="74" t="s">
        <v>416</v>
      </c>
    </row>
    <row r="38860" spans="1:3">
      <c r="A38860" s="250">
        <v>93453</v>
      </c>
      <c r="B38860" s="74" t="s">
        <v>17972</v>
      </c>
      <c r="C38860" s="74" t="s">
        <v>416</v>
      </c>
    </row>
    <row r="38861" spans="1:3">
      <c r="A38861" s="250">
        <v>93454</v>
      </c>
      <c r="B38861" s="74" t="s">
        <v>16401</v>
      </c>
      <c r="C38861" s="74" t="s">
        <v>416</v>
      </c>
    </row>
    <row r="38862" spans="1:3">
      <c r="A38862" s="250">
        <v>93455</v>
      </c>
      <c r="B38862" s="74" t="s">
        <v>16401</v>
      </c>
      <c r="C38862" s="74" t="s">
        <v>416</v>
      </c>
    </row>
    <row r="38863" spans="1:3">
      <c r="A38863" s="250">
        <v>93456</v>
      </c>
      <c r="B38863" s="74" t="s">
        <v>16401</v>
      </c>
      <c r="C38863" s="74" t="s">
        <v>416</v>
      </c>
    </row>
    <row r="38864" spans="1:3">
      <c r="A38864" s="250">
        <v>93457</v>
      </c>
      <c r="B38864" s="74" t="s">
        <v>16401</v>
      </c>
      <c r="C38864" s="74" t="s">
        <v>416</v>
      </c>
    </row>
    <row r="38865" spans="1:3">
      <c r="A38865" s="250">
        <v>93458</v>
      </c>
      <c r="B38865" s="74" t="s">
        <v>16401</v>
      </c>
      <c r="C38865" s="74" t="s">
        <v>416</v>
      </c>
    </row>
    <row r="38866" spans="1:3">
      <c r="A38866" s="250">
        <v>93460</v>
      </c>
      <c r="B38866" s="74" t="s">
        <v>17973</v>
      </c>
      <c r="C38866" s="74" t="s">
        <v>416</v>
      </c>
    </row>
    <row r="38867" spans="1:3">
      <c r="A38867" s="250">
        <v>93461</v>
      </c>
      <c r="B38867" s="74" t="s">
        <v>10463</v>
      </c>
      <c r="C38867" s="74" t="s">
        <v>416</v>
      </c>
    </row>
    <row r="38868" spans="1:3">
      <c r="A38868" s="250">
        <v>93463</v>
      </c>
      <c r="B38868" s="74" t="s">
        <v>17974</v>
      </c>
      <c r="C38868" s="74" t="s">
        <v>416</v>
      </c>
    </row>
    <row r="38869" spans="1:3">
      <c r="A38869" s="250">
        <v>93464</v>
      </c>
      <c r="B38869" s="74" t="s">
        <v>17974</v>
      </c>
      <c r="C38869" s="74" t="s">
        <v>416</v>
      </c>
    </row>
    <row r="38870" spans="1:3">
      <c r="A38870" s="250">
        <v>93465</v>
      </c>
      <c r="B38870" s="74" t="s">
        <v>718</v>
      </c>
      <c r="C38870" s="74" t="s">
        <v>416</v>
      </c>
    </row>
    <row r="38871" spans="1:3">
      <c r="A38871" s="250">
        <v>93475</v>
      </c>
      <c r="B38871" s="74" t="s">
        <v>17967</v>
      </c>
      <c r="C38871" s="74" t="s">
        <v>416</v>
      </c>
    </row>
    <row r="38872" spans="1:3">
      <c r="A38872" s="250">
        <v>93483</v>
      </c>
      <c r="B38872" s="74" t="s">
        <v>17961</v>
      </c>
      <c r="C38872" s="74" t="s">
        <v>416</v>
      </c>
    </row>
    <row r="38873" spans="1:3">
      <c r="A38873" s="250">
        <v>93501</v>
      </c>
      <c r="B38873" s="74" t="s">
        <v>17975</v>
      </c>
      <c r="C38873" s="74" t="s">
        <v>416</v>
      </c>
    </row>
    <row r="38874" spans="1:3">
      <c r="A38874" s="250">
        <v>93502</v>
      </c>
      <c r="B38874" s="74" t="s">
        <v>17975</v>
      </c>
      <c r="C38874" s="74" t="s">
        <v>416</v>
      </c>
    </row>
    <row r="38875" spans="1:3">
      <c r="A38875" s="250">
        <v>93504</v>
      </c>
      <c r="B38875" s="74" t="s">
        <v>17976</v>
      </c>
      <c r="C38875" s="74" t="s">
        <v>416</v>
      </c>
    </row>
    <row r="38876" spans="1:3">
      <c r="A38876" s="250">
        <v>93505</v>
      </c>
      <c r="B38876" s="74" t="s">
        <v>17976</v>
      </c>
      <c r="C38876" s="74" t="s">
        <v>416</v>
      </c>
    </row>
    <row r="38877" spans="1:3">
      <c r="A38877" s="250">
        <v>93510</v>
      </c>
      <c r="B38877" s="74" t="s">
        <v>781</v>
      </c>
      <c r="C38877" s="74" t="s">
        <v>416</v>
      </c>
    </row>
    <row r="38878" spans="1:3">
      <c r="A38878" s="250">
        <v>93512</v>
      </c>
      <c r="B38878" s="74" t="s">
        <v>4938</v>
      </c>
      <c r="C38878" s="74" t="s">
        <v>416</v>
      </c>
    </row>
    <row r="38879" spans="1:3">
      <c r="A38879" s="250">
        <v>93513</v>
      </c>
      <c r="B38879" s="74" t="s">
        <v>17977</v>
      </c>
      <c r="C38879" s="74" t="s">
        <v>416</v>
      </c>
    </row>
    <row r="38880" spans="1:3">
      <c r="A38880" s="250">
        <v>93514</v>
      </c>
      <c r="B38880" s="74" t="s">
        <v>6451</v>
      </c>
      <c r="C38880" s="74" t="s">
        <v>416</v>
      </c>
    </row>
    <row r="38881" spans="1:3">
      <c r="A38881" s="250">
        <v>93515</v>
      </c>
      <c r="B38881" s="74" t="s">
        <v>6451</v>
      </c>
      <c r="C38881" s="74" t="s">
        <v>416</v>
      </c>
    </row>
    <row r="38882" spans="1:3">
      <c r="A38882" s="250">
        <v>93516</v>
      </c>
      <c r="B38882" s="74" t="s">
        <v>17978</v>
      </c>
      <c r="C38882" s="74" t="s">
        <v>416</v>
      </c>
    </row>
    <row r="38883" spans="1:3">
      <c r="A38883" s="250">
        <v>93517</v>
      </c>
      <c r="B38883" s="74" t="s">
        <v>2077</v>
      </c>
      <c r="C38883" s="74" t="s">
        <v>416</v>
      </c>
    </row>
    <row r="38884" spans="1:3">
      <c r="A38884" s="250">
        <v>93518</v>
      </c>
      <c r="B38884" s="74" t="s">
        <v>17586</v>
      </c>
      <c r="C38884" s="74" t="s">
        <v>416</v>
      </c>
    </row>
    <row r="38885" spans="1:3">
      <c r="A38885" s="250">
        <v>93519</v>
      </c>
      <c r="B38885" s="74" t="s">
        <v>17979</v>
      </c>
      <c r="C38885" s="74" t="s">
        <v>416</v>
      </c>
    </row>
    <row r="38886" spans="1:3">
      <c r="A38886" s="250">
        <v>93522</v>
      </c>
      <c r="B38886" s="74" t="s">
        <v>12403</v>
      </c>
      <c r="C38886" s="74" t="s">
        <v>416</v>
      </c>
    </row>
    <row r="38887" spans="1:3">
      <c r="A38887" s="250">
        <v>93523</v>
      </c>
      <c r="B38887" s="74" t="s">
        <v>3543</v>
      </c>
      <c r="C38887" s="74" t="s">
        <v>416</v>
      </c>
    </row>
    <row r="38888" spans="1:3">
      <c r="A38888" s="250">
        <v>93524</v>
      </c>
      <c r="B38888" s="74" t="s">
        <v>3543</v>
      </c>
      <c r="C38888" s="74" t="s">
        <v>416</v>
      </c>
    </row>
    <row r="38889" spans="1:3">
      <c r="A38889" s="250">
        <v>93526</v>
      </c>
      <c r="B38889" s="74" t="s">
        <v>6364</v>
      </c>
      <c r="C38889" s="74" t="s">
        <v>416</v>
      </c>
    </row>
    <row r="38890" spans="1:3">
      <c r="A38890" s="250">
        <v>93527</v>
      </c>
      <c r="B38890" s="74" t="s">
        <v>17980</v>
      </c>
      <c r="C38890" s="74" t="s">
        <v>416</v>
      </c>
    </row>
    <row r="38891" spans="1:3">
      <c r="A38891" s="250">
        <v>93528</v>
      </c>
      <c r="B38891" s="74" t="s">
        <v>11368</v>
      </c>
      <c r="C38891" s="74" t="s">
        <v>416</v>
      </c>
    </row>
    <row r="38892" spans="1:3">
      <c r="A38892" s="250">
        <v>93529</v>
      </c>
      <c r="B38892" s="74" t="s">
        <v>17981</v>
      </c>
      <c r="C38892" s="74" t="s">
        <v>416</v>
      </c>
    </row>
    <row r="38893" spans="1:3">
      <c r="A38893" s="250">
        <v>93530</v>
      </c>
      <c r="B38893" s="74" t="s">
        <v>17982</v>
      </c>
      <c r="C38893" s="74" t="s">
        <v>416</v>
      </c>
    </row>
    <row r="38894" spans="1:3">
      <c r="A38894" s="250">
        <v>93531</v>
      </c>
      <c r="B38894" s="74" t="s">
        <v>1226</v>
      </c>
      <c r="C38894" s="74" t="s">
        <v>416</v>
      </c>
    </row>
    <row r="38895" spans="1:3">
      <c r="A38895" s="250">
        <v>93532</v>
      </c>
      <c r="B38895" s="74" t="s">
        <v>17983</v>
      </c>
      <c r="C38895" s="74" t="s">
        <v>416</v>
      </c>
    </row>
    <row r="38896" spans="1:3">
      <c r="A38896" s="250">
        <v>93534</v>
      </c>
      <c r="B38896" s="74" t="s">
        <v>741</v>
      </c>
      <c r="C38896" s="74" t="s">
        <v>416</v>
      </c>
    </row>
    <row r="38897" spans="1:3">
      <c r="A38897" s="250">
        <v>93535</v>
      </c>
      <c r="B38897" s="74" t="s">
        <v>741</v>
      </c>
      <c r="C38897" s="74" t="s">
        <v>416</v>
      </c>
    </row>
    <row r="38898" spans="1:3">
      <c r="A38898" s="250">
        <v>93536</v>
      </c>
      <c r="B38898" s="74" t="s">
        <v>741</v>
      </c>
      <c r="C38898" s="74" t="s">
        <v>416</v>
      </c>
    </row>
    <row r="38899" spans="1:3">
      <c r="A38899" s="250">
        <v>93539</v>
      </c>
      <c r="B38899" s="74" t="s">
        <v>741</v>
      </c>
      <c r="C38899" s="74" t="s">
        <v>416</v>
      </c>
    </row>
    <row r="38900" spans="1:3">
      <c r="A38900" s="250">
        <v>93541</v>
      </c>
      <c r="B38900" s="74" t="s">
        <v>17984</v>
      </c>
      <c r="C38900" s="74" t="s">
        <v>416</v>
      </c>
    </row>
    <row r="38901" spans="1:3">
      <c r="A38901" s="250">
        <v>93542</v>
      </c>
      <c r="B38901" s="74" t="s">
        <v>11414</v>
      </c>
      <c r="C38901" s="74" t="s">
        <v>416</v>
      </c>
    </row>
    <row r="38902" spans="1:3">
      <c r="A38902" s="250">
        <v>93543</v>
      </c>
      <c r="B38902" s="74" t="s">
        <v>17985</v>
      </c>
      <c r="C38902" s="74" t="s">
        <v>416</v>
      </c>
    </row>
    <row r="38903" spans="1:3">
      <c r="A38903" s="250">
        <v>93544</v>
      </c>
      <c r="B38903" s="74" t="s">
        <v>16421</v>
      </c>
      <c r="C38903" s="74" t="s">
        <v>416</v>
      </c>
    </row>
    <row r="38904" spans="1:3">
      <c r="A38904" s="250">
        <v>93545</v>
      </c>
      <c r="B38904" s="74" t="s">
        <v>17986</v>
      </c>
      <c r="C38904" s="74" t="s">
        <v>416</v>
      </c>
    </row>
    <row r="38905" spans="1:3">
      <c r="A38905" s="250">
        <v>93546</v>
      </c>
      <c r="B38905" s="74" t="s">
        <v>17987</v>
      </c>
      <c r="C38905" s="74" t="s">
        <v>416</v>
      </c>
    </row>
    <row r="38906" spans="1:3">
      <c r="A38906" s="250">
        <v>93549</v>
      </c>
      <c r="B38906" s="74" t="s">
        <v>17988</v>
      </c>
      <c r="C38906" s="74" t="s">
        <v>416</v>
      </c>
    </row>
    <row r="38907" spans="1:3">
      <c r="A38907" s="250">
        <v>93550</v>
      </c>
      <c r="B38907" s="74" t="s">
        <v>8532</v>
      </c>
      <c r="C38907" s="74" t="s">
        <v>416</v>
      </c>
    </row>
    <row r="38908" spans="1:3">
      <c r="A38908" s="250">
        <v>93551</v>
      </c>
      <c r="B38908" s="74" t="s">
        <v>8532</v>
      </c>
      <c r="C38908" s="74" t="s">
        <v>416</v>
      </c>
    </row>
    <row r="38909" spans="1:3">
      <c r="A38909" s="250">
        <v>93552</v>
      </c>
      <c r="B38909" s="74" t="s">
        <v>8532</v>
      </c>
      <c r="C38909" s="74" t="s">
        <v>416</v>
      </c>
    </row>
    <row r="38910" spans="1:3">
      <c r="A38910" s="250">
        <v>93553</v>
      </c>
      <c r="B38910" s="74" t="s">
        <v>17989</v>
      </c>
      <c r="C38910" s="74" t="s">
        <v>416</v>
      </c>
    </row>
    <row r="38911" spans="1:3">
      <c r="A38911" s="250">
        <v>93554</v>
      </c>
      <c r="B38911" s="74" t="s">
        <v>17990</v>
      </c>
      <c r="C38911" s="74" t="s">
        <v>416</v>
      </c>
    </row>
    <row r="38912" spans="1:3">
      <c r="A38912" s="250">
        <v>93555</v>
      </c>
      <c r="B38912" s="74" t="s">
        <v>7570</v>
      </c>
      <c r="C38912" s="74" t="s">
        <v>416</v>
      </c>
    </row>
    <row r="38913" spans="1:3">
      <c r="A38913" s="250">
        <v>93556</v>
      </c>
      <c r="B38913" s="74" t="s">
        <v>7570</v>
      </c>
      <c r="C38913" s="74" t="s">
        <v>416</v>
      </c>
    </row>
    <row r="38914" spans="1:3">
      <c r="A38914" s="250">
        <v>93558</v>
      </c>
      <c r="B38914" s="74" t="s">
        <v>17991</v>
      </c>
      <c r="C38914" s="74" t="s">
        <v>416</v>
      </c>
    </row>
    <row r="38915" spans="1:3">
      <c r="A38915" s="250">
        <v>93560</v>
      </c>
      <c r="B38915" s="74" t="s">
        <v>13827</v>
      </c>
      <c r="C38915" s="74" t="s">
        <v>416</v>
      </c>
    </row>
    <row r="38916" spans="1:3">
      <c r="A38916" s="250">
        <v>93561</v>
      </c>
      <c r="B38916" s="74" t="s">
        <v>17992</v>
      </c>
      <c r="C38916" s="74" t="s">
        <v>416</v>
      </c>
    </row>
    <row r="38917" spans="1:3">
      <c r="A38917" s="250">
        <v>93562</v>
      </c>
      <c r="B38917" s="74" t="s">
        <v>17993</v>
      </c>
      <c r="C38917" s="74" t="s">
        <v>416</v>
      </c>
    </row>
    <row r="38918" spans="1:3">
      <c r="A38918" s="250">
        <v>93563</v>
      </c>
      <c r="B38918" s="74" t="s">
        <v>17994</v>
      </c>
      <c r="C38918" s="74" t="s">
        <v>416</v>
      </c>
    </row>
    <row r="38919" spans="1:3">
      <c r="A38919" s="250">
        <v>93581</v>
      </c>
      <c r="B38919" s="74" t="s">
        <v>17992</v>
      </c>
      <c r="C38919" s="74" t="s">
        <v>416</v>
      </c>
    </row>
    <row r="38920" spans="1:3">
      <c r="A38920" s="250">
        <v>93584</v>
      </c>
      <c r="B38920" s="74" t="s">
        <v>741</v>
      </c>
      <c r="C38920" s="74" t="s">
        <v>416</v>
      </c>
    </row>
    <row r="38921" spans="1:3">
      <c r="A38921" s="250">
        <v>93586</v>
      </c>
      <c r="B38921" s="74" t="s">
        <v>741</v>
      </c>
      <c r="C38921" s="74" t="s">
        <v>416</v>
      </c>
    </row>
    <row r="38922" spans="1:3">
      <c r="A38922" s="250">
        <v>93590</v>
      </c>
      <c r="B38922" s="74" t="s">
        <v>8532</v>
      </c>
      <c r="C38922" s="74" t="s">
        <v>416</v>
      </c>
    </row>
    <row r="38923" spans="1:3">
      <c r="A38923" s="250">
        <v>93591</v>
      </c>
      <c r="B38923" s="74" t="s">
        <v>8532</v>
      </c>
      <c r="C38923" s="74" t="s">
        <v>416</v>
      </c>
    </row>
    <row r="38924" spans="1:3">
      <c r="A38924" s="250">
        <v>93592</v>
      </c>
      <c r="B38924" s="74" t="s">
        <v>17993</v>
      </c>
      <c r="C38924" s="74" t="s">
        <v>416</v>
      </c>
    </row>
    <row r="38925" spans="1:3">
      <c r="A38925" s="250">
        <v>93596</v>
      </c>
      <c r="B38925" s="74" t="s">
        <v>17978</v>
      </c>
      <c r="C38925" s="74" t="s">
        <v>416</v>
      </c>
    </row>
    <row r="38926" spans="1:3">
      <c r="A38926" s="250">
        <v>93599</v>
      </c>
      <c r="B38926" s="74" t="s">
        <v>8532</v>
      </c>
      <c r="C38926" s="74" t="s">
        <v>416</v>
      </c>
    </row>
    <row r="38927" spans="1:3">
      <c r="A38927" s="250">
        <v>93601</v>
      </c>
      <c r="B38927" s="74" t="s">
        <v>17995</v>
      </c>
      <c r="C38927" s="74" t="s">
        <v>416</v>
      </c>
    </row>
    <row r="38928" spans="1:3">
      <c r="A38928" s="250">
        <v>93602</v>
      </c>
      <c r="B38928" s="74" t="s">
        <v>17996</v>
      </c>
      <c r="C38928" s="74" t="s">
        <v>416</v>
      </c>
    </row>
    <row r="38929" spans="1:3">
      <c r="A38929" s="250">
        <v>93603</v>
      </c>
      <c r="B38929" s="74" t="s">
        <v>11608</v>
      </c>
      <c r="C38929" s="74" t="s">
        <v>416</v>
      </c>
    </row>
    <row r="38930" spans="1:3">
      <c r="A38930" s="250">
        <v>93604</v>
      </c>
      <c r="B38930" s="74" t="s">
        <v>17997</v>
      </c>
      <c r="C38930" s="74" t="s">
        <v>416</v>
      </c>
    </row>
    <row r="38931" spans="1:3">
      <c r="A38931" s="250">
        <v>93605</v>
      </c>
      <c r="B38931" s="74" t="s">
        <v>6705</v>
      </c>
      <c r="C38931" s="74" t="s">
        <v>416</v>
      </c>
    </row>
    <row r="38932" spans="1:3">
      <c r="A38932" s="250">
        <v>93606</v>
      </c>
      <c r="B38932" s="74" t="s">
        <v>17998</v>
      </c>
      <c r="C38932" s="74" t="s">
        <v>416</v>
      </c>
    </row>
    <row r="38933" spans="1:3">
      <c r="A38933" s="250">
        <v>93607</v>
      </c>
      <c r="B38933" s="74" t="s">
        <v>17999</v>
      </c>
      <c r="C38933" s="74" t="s">
        <v>416</v>
      </c>
    </row>
    <row r="38934" spans="1:3">
      <c r="A38934" s="250">
        <v>93608</v>
      </c>
      <c r="B38934" s="74" t="s">
        <v>18000</v>
      </c>
      <c r="C38934" s="74" t="s">
        <v>416</v>
      </c>
    </row>
    <row r="38935" spans="1:3">
      <c r="A38935" s="250">
        <v>93609</v>
      </c>
      <c r="B38935" s="74" t="s">
        <v>18001</v>
      </c>
      <c r="C38935" s="74" t="s">
        <v>416</v>
      </c>
    </row>
    <row r="38936" spans="1:3">
      <c r="A38936" s="250">
        <v>93610</v>
      </c>
      <c r="B38936" s="74" t="s">
        <v>18002</v>
      </c>
      <c r="C38936" s="74" t="s">
        <v>416</v>
      </c>
    </row>
    <row r="38937" spans="1:3">
      <c r="A38937" s="250">
        <v>93611</v>
      </c>
      <c r="B38937" s="74" t="s">
        <v>17530</v>
      </c>
      <c r="C38937" s="74" t="s">
        <v>416</v>
      </c>
    </row>
    <row r="38938" spans="1:3">
      <c r="A38938" s="250">
        <v>93612</v>
      </c>
      <c r="B38938" s="74" t="s">
        <v>17530</v>
      </c>
      <c r="C38938" s="74" t="s">
        <v>416</v>
      </c>
    </row>
    <row r="38939" spans="1:3">
      <c r="A38939" s="250">
        <v>93613</v>
      </c>
      <c r="B38939" s="74" t="s">
        <v>17530</v>
      </c>
      <c r="C38939" s="74" t="s">
        <v>416</v>
      </c>
    </row>
    <row r="38940" spans="1:3">
      <c r="A38940" s="250">
        <v>93614</v>
      </c>
      <c r="B38940" s="74" t="s">
        <v>18003</v>
      </c>
      <c r="C38940" s="74" t="s">
        <v>416</v>
      </c>
    </row>
    <row r="38941" spans="1:3">
      <c r="A38941" s="250">
        <v>93615</v>
      </c>
      <c r="B38941" s="74" t="s">
        <v>1578</v>
      </c>
      <c r="C38941" s="74" t="s">
        <v>416</v>
      </c>
    </row>
    <row r="38942" spans="1:3">
      <c r="A38942" s="250">
        <v>93616</v>
      </c>
      <c r="B38942" s="74" t="s">
        <v>18004</v>
      </c>
      <c r="C38942" s="74" t="s">
        <v>416</v>
      </c>
    </row>
    <row r="38943" spans="1:3">
      <c r="A38943" s="250">
        <v>93618</v>
      </c>
      <c r="B38943" s="74" t="s">
        <v>18005</v>
      </c>
      <c r="C38943" s="74" t="s">
        <v>416</v>
      </c>
    </row>
    <row r="38944" spans="1:3">
      <c r="A38944" s="250">
        <v>93619</v>
      </c>
      <c r="B38944" s="74" t="s">
        <v>17530</v>
      </c>
      <c r="C38944" s="74" t="s">
        <v>416</v>
      </c>
    </row>
    <row r="38945" spans="1:3">
      <c r="A38945" s="250">
        <v>93620</v>
      </c>
      <c r="B38945" s="74" t="s">
        <v>18006</v>
      </c>
      <c r="C38945" s="74" t="s">
        <v>416</v>
      </c>
    </row>
    <row r="38946" spans="1:3">
      <c r="A38946" s="250">
        <v>93621</v>
      </c>
      <c r="B38946" s="74" t="s">
        <v>9059</v>
      </c>
      <c r="C38946" s="74" t="s">
        <v>416</v>
      </c>
    </row>
    <row r="38947" spans="1:3">
      <c r="A38947" s="250">
        <v>93622</v>
      </c>
      <c r="B38947" s="74" t="s">
        <v>18007</v>
      </c>
      <c r="C38947" s="74" t="s">
        <v>416</v>
      </c>
    </row>
    <row r="38948" spans="1:3">
      <c r="A38948" s="250">
        <v>93623</v>
      </c>
      <c r="B38948" s="74" t="s">
        <v>18008</v>
      </c>
      <c r="C38948" s="74" t="s">
        <v>416</v>
      </c>
    </row>
    <row r="38949" spans="1:3">
      <c r="A38949" s="250">
        <v>93624</v>
      </c>
      <c r="B38949" s="74" t="s">
        <v>8964</v>
      </c>
      <c r="C38949" s="74" t="s">
        <v>416</v>
      </c>
    </row>
    <row r="38950" spans="1:3">
      <c r="A38950" s="250">
        <v>93625</v>
      </c>
      <c r="B38950" s="74" t="s">
        <v>10361</v>
      </c>
      <c r="C38950" s="74" t="s">
        <v>416</v>
      </c>
    </row>
    <row r="38951" spans="1:3">
      <c r="A38951" s="250">
        <v>93626</v>
      </c>
      <c r="B38951" s="74" t="s">
        <v>18009</v>
      </c>
      <c r="C38951" s="74" t="s">
        <v>416</v>
      </c>
    </row>
    <row r="38952" spans="1:3">
      <c r="A38952" s="250">
        <v>93627</v>
      </c>
      <c r="B38952" s="74" t="s">
        <v>18010</v>
      </c>
      <c r="C38952" s="74" t="s">
        <v>416</v>
      </c>
    </row>
    <row r="38953" spans="1:3">
      <c r="A38953" s="250">
        <v>93628</v>
      </c>
      <c r="B38953" s="74" t="s">
        <v>3869</v>
      </c>
      <c r="C38953" s="74" t="s">
        <v>416</v>
      </c>
    </row>
    <row r="38954" spans="1:3">
      <c r="A38954" s="250">
        <v>93630</v>
      </c>
      <c r="B38954" s="74" t="s">
        <v>18011</v>
      </c>
      <c r="C38954" s="74" t="s">
        <v>416</v>
      </c>
    </row>
    <row r="38955" spans="1:3">
      <c r="A38955" s="250">
        <v>93631</v>
      </c>
      <c r="B38955" s="74" t="s">
        <v>18012</v>
      </c>
      <c r="C38955" s="74" t="s">
        <v>416</v>
      </c>
    </row>
    <row r="38956" spans="1:3">
      <c r="A38956" s="250">
        <v>93633</v>
      </c>
      <c r="B38956" s="74" t="s">
        <v>18013</v>
      </c>
      <c r="C38956" s="74" t="s">
        <v>416</v>
      </c>
    </row>
    <row r="38957" spans="1:3">
      <c r="A38957" s="250">
        <v>93634</v>
      </c>
      <c r="B38957" s="74" t="s">
        <v>8506</v>
      </c>
      <c r="C38957" s="74" t="s">
        <v>416</v>
      </c>
    </row>
    <row r="38958" spans="1:3">
      <c r="A38958" s="250">
        <v>93635</v>
      </c>
      <c r="B38958" s="74" t="s">
        <v>18014</v>
      </c>
      <c r="C38958" s="74" t="s">
        <v>416</v>
      </c>
    </row>
    <row r="38959" spans="1:3">
      <c r="A38959" s="250">
        <v>93636</v>
      </c>
      <c r="B38959" s="74" t="s">
        <v>4562</v>
      </c>
      <c r="C38959" s="74" t="s">
        <v>416</v>
      </c>
    </row>
    <row r="38960" spans="1:3">
      <c r="A38960" s="250">
        <v>93637</v>
      </c>
      <c r="B38960" s="74" t="s">
        <v>4562</v>
      </c>
      <c r="C38960" s="74" t="s">
        <v>416</v>
      </c>
    </row>
    <row r="38961" spans="1:3">
      <c r="A38961" s="250">
        <v>93638</v>
      </c>
      <c r="B38961" s="74" t="s">
        <v>4562</v>
      </c>
      <c r="C38961" s="74" t="s">
        <v>416</v>
      </c>
    </row>
    <row r="38962" spans="1:3">
      <c r="A38962" s="250">
        <v>93639</v>
      </c>
      <c r="B38962" s="74" t="s">
        <v>4562</v>
      </c>
      <c r="C38962" s="74" t="s">
        <v>416</v>
      </c>
    </row>
    <row r="38963" spans="1:3">
      <c r="A38963" s="250">
        <v>93640</v>
      </c>
      <c r="B38963" s="74" t="s">
        <v>6334</v>
      </c>
      <c r="C38963" s="74" t="s">
        <v>416</v>
      </c>
    </row>
    <row r="38964" spans="1:3">
      <c r="A38964" s="250">
        <v>93641</v>
      </c>
      <c r="B38964" s="74" t="s">
        <v>18015</v>
      </c>
      <c r="C38964" s="74" t="s">
        <v>416</v>
      </c>
    </row>
    <row r="38965" spans="1:3">
      <c r="A38965" s="250">
        <v>93642</v>
      </c>
      <c r="B38965" s="74" t="s">
        <v>18016</v>
      </c>
      <c r="C38965" s="74" t="s">
        <v>416</v>
      </c>
    </row>
    <row r="38966" spans="1:3">
      <c r="A38966" s="250">
        <v>93643</v>
      </c>
      <c r="B38966" s="74" t="s">
        <v>16976</v>
      </c>
      <c r="C38966" s="74" t="s">
        <v>416</v>
      </c>
    </row>
    <row r="38967" spans="1:3">
      <c r="A38967" s="250">
        <v>93644</v>
      </c>
      <c r="B38967" s="74" t="s">
        <v>2284</v>
      </c>
      <c r="C38967" s="74" t="s">
        <v>416</v>
      </c>
    </row>
    <row r="38968" spans="1:3">
      <c r="A38968" s="250">
        <v>93645</v>
      </c>
      <c r="B38968" s="74" t="s">
        <v>18017</v>
      </c>
      <c r="C38968" s="74" t="s">
        <v>416</v>
      </c>
    </row>
    <row r="38969" spans="1:3">
      <c r="A38969" s="250">
        <v>93646</v>
      </c>
      <c r="B38969" s="74" t="s">
        <v>18018</v>
      </c>
      <c r="C38969" s="74" t="s">
        <v>416</v>
      </c>
    </row>
    <row r="38970" spans="1:3">
      <c r="A38970" s="250">
        <v>93647</v>
      </c>
      <c r="B38970" s="74" t="s">
        <v>18019</v>
      </c>
      <c r="C38970" s="74" t="s">
        <v>416</v>
      </c>
    </row>
    <row r="38971" spans="1:3">
      <c r="A38971" s="250">
        <v>93648</v>
      </c>
      <c r="B38971" s="74" t="s">
        <v>18020</v>
      </c>
      <c r="C38971" s="74" t="s">
        <v>416</v>
      </c>
    </row>
    <row r="38972" spans="1:3">
      <c r="A38972" s="250">
        <v>93649</v>
      </c>
      <c r="B38972" s="74" t="s">
        <v>18021</v>
      </c>
      <c r="C38972" s="74" t="s">
        <v>416</v>
      </c>
    </row>
    <row r="38973" spans="1:3">
      <c r="A38973" s="250">
        <v>93650</v>
      </c>
      <c r="B38973" s="74" t="s">
        <v>10255</v>
      </c>
      <c r="C38973" s="74" t="s">
        <v>416</v>
      </c>
    </row>
    <row r="38974" spans="1:3">
      <c r="A38974" s="250">
        <v>93651</v>
      </c>
      <c r="B38974" s="74" t="s">
        <v>18022</v>
      </c>
      <c r="C38974" s="74" t="s">
        <v>416</v>
      </c>
    </row>
    <row r="38975" spans="1:3">
      <c r="A38975" s="250">
        <v>93652</v>
      </c>
      <c r="B38975" s="74" t="s">
        <v>18023</v>
      </c>
      <c r="C38975" s="74" t="s">
        <v>416</v>
      </c>
    </row>
    <row r="38976" spans="1:3">
      <c r="A38976" s="250">
        <v>93653</v>
      </c>
      <c r="B38976" s="74" t="s">
        <v>1170</v>
      </c>
      <c r="C38976" s="74" t="s">
        <v>416</v>
      </c>
    </row>
    <row r="38977" spans="1:3">
      <c r="A38977" s="250">
        <v>93654</v>
      </c>
      <c r="B38977" s="74" t="s">
        <v>18024</v>
      </c>
      <c r="C38977" s="74" t="s">
        <v>416</v>
      </c>
    </row>
    <row r="38978" spans="1:3">
      <c r="A38978" s="250">
        <v>93656</v>
      </c>
      <c r="B38978" s="74" t="s">
        <v>2207</v>
      </c>
      <c r="C38978" s="74" t="s">
        <v>416</v>
      </c>
    </row>
    <row r="38979" spans="1:3">
      <c r="A38979" s="250">
        <v>93657</v>
      </c>
      <c r="B38979" s="74" t="s">
        <v>15990</v>
      </c>
      <c r="C38979" s="74" t="s">
        <v>416</v>
      </c>
    </row>
    <row r="38980" spans="1:3">
      <c r="A38980" s="250">
        <v>93660</v>
      </c>
      <c r="B38980" s="74" t="s">
        <v>18025</v>
      </c>
      <c r="C38980" s="74" t="s">
        <v>416</v>
      </c>
    </row>
    <row r="38981" spans="1:3">
      <c r="A38981" s="250">
        <v>93661</v>
      </c>
      <c r="B38981" s="74" t="s">
        <v>18026</v>
      </c>
      <c r="C38981" s="74" t="s">
        <v>416</v>
      </c>
    </row>
    <row r="38982" spans="1:3">
      <c r="A38982" s="250">
        <v>93662</v>
      </c>
      <c r="B38982" s="74" t="s">
        <v>6404</v>
      </c>
      <c r="C38982" s="74" t="s">
        <v>416</v>
      </c>
    </row>
    <row r="38983" spans="1:3">
      <c r="A38983" s="250">
        <v>93664</v>
      </c>
      <c r="B38983" s="74" t="s">
        <v>18027</v>
      </c>
      <c r="C38983" s="74" t="s">
        <v>416</v>
      </c>
    </row>
    <row r="38984" spans="1:3">
      <c r="A38984" s="250">
        <v>93665</v>
      </c>
      <c r="B38984" s="74" t="s">
        <v>18028</v>
      </c>
      <c r="C38984" s="74" t="s">
        <v>416</v>
      </c>
    </row>
    <row r="38985" spans="1:3">
      <c r="A38985" s="250">
        <v>93666</v>
      </c>
      <c r="B38985" s="74" t="s">
        <v>18029</v>
      </c>
      <c r="C38985" s="74" t="s">
        <v>416</v>
      </c>
    </row>
    <row r="38986" spans="1:3">
      <c r="A38986" s="250">
        <v>93667</v>
      </c>
      <c r="B38986" s="74" t="s">
        <v>18030</v>
      </c>
      <c r="C38986" s="74" t="s">
        <v>416</v>
      </c>
    </row>
    <row r="38987" spans="1:3">
      <c r="A38987" s="250">
        <v>93668</v>
      </c>
      <c r="B38987" s="74" t="s">
        <v>18031</v>
      </c>
      <c r="C38987" s="74" t="s">
        <v>416</v>
      </c>
    </row>
    <row r="38988" spans="1:3">
      <c r="A38988" s="250">
        <v>93669</v>
      </c>
      <c r="B38988" s="74" t="s">
        <v>18032</v>
      </c>
      <c r="C38988" s="74" t="s">
        <v>416</v>
      </c>
    </row>
    <row r="38989" spans="1:3">
      <c r="A38989" s="250">
        <v>93670</v>
      </c>
      <c r="B38989" s="74" t="s">
        <v>18033</v>
      </c>
      <c r="C38989" s="74" t="s">
        <v>416</v>
      </c>
    </row>
    <row r="38990" spans="1:3">
      <c r="A38990" s="250">
        <v>93673</v>
      </c>
      <c r="B38990" s="74" t="s">
        <v>18034</v>
      </c>
      <c r="C38990" s="74" t="s">
        <v>416</v>
      </c>
    </row>
    <row r="38991" spans="1:3">
      <c r="A38991" s="250">
        <v>93675</v>
      </c>
      <c r="B38991" s="74" t="s">
        <v>18035</v>
      </c>
      <c r="C38991" s="74" t="s">
        <v>416</v>
      </c>
    </row>
    <row r="38992" spans="1:3">
      <c r="A38992" s="250">
        <v>93701</v>
      </c>
      <c r="B38992" s="74" t="s">
        <v>10255</v>
      </c>
      <c r="C38992" s="74" t="s">
        <v>416</v>
      </c>
    </row>
    <row r="38993" spans="1:3">
      <c r="A38993" s="250">
        <v>93702</v>
      </c>
      <c r="B38993" s="74" t="s">
        <v>10255</v>
      </c>
      <c r="C38993" s="74" t="s">
        <v>416</v>
      </c>
    </row>
    <row r="38994" spans="1:3">
      <c r="A38994" s="250">
        <v>93703</v>
      </c>
      <c r="B38994" s="74" t="s">
        <v>10255</v>
      </c>
      <c r="C38994" s="74" t="s">
        <v>416</v>
      </c>
    </row>
    <row r="38995" spans="1:3">
      <c r="A38995" s="250">
        <v>93704</v>
      </c>
      <c r="B38995" s="74" t="s">
        <v>10255</v>
      </c>
      <c r="C38995" s="74" t="s">
        <v>416</v>
      </c>
    </row>
    <row r="38996" spans="1:3">
      <c r="A38996" s="250">
        <v>93705</v>
      </c>
      <c r="B38996" s="74" t="s">
        <v>10255</v>
      </c>
      <c r="C38996" s="74" t="s">
        <v>416</v>
      </c>
    </row>
    <row r="38997" spans="1:3">
      <c r="A38997" s="250">
        <v>93706</v>
      </c>
      <c r="B38997" s="74" t="s">
        <v>10255</v>
      </c>
      <c r="C38997" s="74" t="s">
        <v>416</v>
      </c>
    </row>
    <row r="38998" spans="1:3">
      <c r="A38998" s="250">
        <v>93707</v>
      </c>
      <c r="B38998" s="74" t="s">
        <v>10255</v>
      </c>
      <c r="C38998" s="74" t="s">
        <v>416</v>
      </c>
    </row>
    <row r="38999" spans="1:3">
      <c r="A38999" s="250">
        <v>93708</v>
      </c>
      <c r="B38999" s="74" t="s">
        <v>10255</v>
      </c>
      <c r="C38999" s="74" t="s">
        <v>416</v>
      </c>
    </row>
    <row r="39000" spans="1:3">
      <c r="A39000" s="250">
        <v>93709</v>
      </c>
      <c r="B39000" s="74" t="s">
        <v>10255</v>
      </c>
      <c r="C39000" s="74" t="s">
        <v>416</v>
      </c>
    </row>
    <row r="39001" spans="1:3">
      <c r="A39001" s="250">
        <v>93710</v>
      </c>
      <c r="B39001" s="74" t="s">
        <v>10255</v>
      </c>
      <c r="C39001" s="74" t="s">
        <v>416</v>
      </c>
    </row>
    <row r="39002" spans="1:3">
      <c r="A39002" s="250">
        <v>93711</v>
      </c>
      <c r="B39002" s="74" t="s">
        <v>10255</v>
      </c>
      <c r="C39002" s="74" t="s">
        <v>416</v>
      </c>
    </row>
    <row r="39003" spans="1:3">
      <c r="A39003" s="250">
        <v>93712</v>
      </c>
      <c r="B39003" s="74" t="s">
        <v>10255</v>
      </c>
      <c r="C39003" s="74" t="s">
        <v>416</v>
      </c>
    </row>
    <row r="39004" spans="1:3">
      <c r="A39004" s="250">
        <v>93714</v>
      </c>
      <c r="B39004" s="74" t="s">
        <v>10255</v>
      </c>
      <c r="C39004" s="74" t="s">
        <v>416</v>
      </c>
    </row>
    <row r="39005" spans="1:3">
      <c r="A39005" s="250">
        <v>93715</v>
      </c>
      <c r="B39005" s="74" t="s">
        <v>10255</v>
      </c>
      <c r="C39005" s="74" t="s">
        <v>416</v>
      </c>
    </row>
    <row r="39006" spans="1:3">
      <c r="A39006" s="250">
        <v>93716</v>
      </c>
      <c r="B39006" s="74" t="s">
        <v>10255</v>
      </c>
      <c r="C39006" s="74" t="s">
        <v>416</v>
      </c>
    </row>
    <row r="39007" spans="1:3">
      <c r="A39007" s="250">
        <v>93717</v>
      </c>
      <c r="B39007" s="74" t="s">
        <v>10255</v>
      </c>
      <c r="C39007" s="74" t="s">
        <v>416</v>
      </c>
    </row>
    <row r="39008" spans="1:3">
      <c r="A39008" s="250">
        <v>93718</v>
      </c>
      <c r="B39008" s="74" t="s">
        <v>10255</v>
      </c>
      <c r="C39008" s="74" t="s">
        <v>416</v>
      </c>
    </row>
    <row r="39009" spans="1:3">
      <c r="A39009" s="250">
        <v>93720</v>
      </c>
      <c r="B39009" s="74" t="s">
        <v>10255</v>
      </c>
      <c r="C39009" s="74" t="s">
        <v>416</v>
      </c>
    </row>
    <row r="39010" spans="1:3">
      <c r="A39010" s="250">
        <v>93721</v>
      </c>
      <c r="B39010" s="74" t="s">
        <v>10255</v>
      </c>
      <c r="C39010" s="74" t="s">
        <v>416</v>
      </c>
    </row>
    <row r="39011" spans="1:3">
      <c r="A39011" s="250">
        <v>93722</v>
      </c>
      <c r="B39011" s="74" t="s">
        <v>10255</v>
      </c>
      <c r="C39011" s="74" t="s">
        <v>416</v>
      </c>
    </row>
    <row r="39012" spans="1:3">
      <c r="A39012" s="250">
        <v>93723</v>
      </c>
      <c r="B39012" s="74" t="s">
        <v>10255</v>
      </c>
      <c r="C39012" s="74" t="s">
        <v>416</v>
      </c>
    </row>
    <row r="39013" spans="1:3">
      <c r="A39013" s="250">
        <v>93724</v>
      </c>
      <c r="B39013" s="74" t="s">
        <v>10255</v>
      </c>
      <c r="C39013" s="74" t="s">
        <v>416</v>
      </c>
    </row>
    <row r="39014" spans="1:3">
      <c r="A39014" s="250">
        <v>93725</v>
      </c>
      <c r="B39014" s="74" t="s">
        <v>10255</v>
      </c>
      <c r="C39014" s="74" t="s">
        <v>416</v>
      </c>
    </row>
    <row r="39015" spans="1:3">
      <c r="A39015" s="250">
        <v>93726</v>
      </c>
      <c r="B39015" s="74" t="s">
        <v>10255</v>
      </c>
      <c r="C39015" s="74" t="s">
        <v>416</v>
      </c>
    </row>
    <row r="39016" spans="1:3">
      <c r="A39016" s="250">
        <v>93727</v>
      </c>
      <c r="B39016" s="74" t="s">
        <v>10255</v>
      </c>
      <c r="C39016" s="74" t="s">
        <v>416</v>
      </c>
    </row>
    <row r="39017" spans="1:3">
      <c r="A39017" s="250">
        <v>93728</v>
      </c>
      <c r="B39017" s="74" t="s">
        <v>10255</v>
      </c>
      <c r="C39017" s="74" t="s">
        <v>416</v>
      </c>
    </row>
    <row r="39018" spans="1:3">
      <c r="A39018" s="250">
        <v>93729</v>
      </c>
      <c r="B39018" s="74" t="s">
        <v>10255</v>
      </c>
      <c r="C39018" s="74" t="s">
        <v>416</v>
      </c>
    </row>
    <row r="39019" spans="1:3">
      <c r="A39019" s="250">
        <v>93730</v>
      </c>
      <c r="B39019" s="74" t="s">
        <v>10255</v>
      </c>
      <c r="C39019" s="74" t="s">
        <v>416</v>
      </c>
    </row>
    <row r="39020" spans="1:3">
      <c r="A39020" s="250">
        <v>93737</v>
      </c>
      <c r="B39020" s="74" t="s">
        <v>10255</v>
      </c>
      <c r="C39020" s="74" t="s">
        <v>416</v>
      </c>
    </row>
    <row r="39021" spans="1:3">
      <c r="A39021" s="250">
        <v>93740</v>
      </c>
      <c r="B39021" s="74" t="s">
        <v>10255</v>
      </c>
      <c r="C39021" s="74" t="s">
        <v>416</v>
      </c>
    </row>
    <row r="39022" spans="1:3">
      <c r="A39022" s="250">
        <v>93741</v>
      </c>
      <c r="B39022" s="74" t="s">
        <v>10255</v>
      </c>
      <c r="C39022" s="74" t="s">
        <v>416</v>
      </c>
    </row>
    <row r="39023" spans="1:3">
      <c r="A39023" s="250">
        <v>93744</v>
      </c>
      <c r="B39023" s="74" t="s">
        <v>10255</v>
      </c>
      <c r="C39023" s="74" t="s">
        <v>416</v>
      </c>
    </row>
    <row r="39024" spans="1:3">
      <c r="A39024" s="250">
        <v>93745</v>
      </c>
      <c r="B39024" s="74" t="s">
        <v>10255</v>
      </c>
      <c r="C39024" s="74" t="s">
        <v>416</v>
      </c>
    </row>
    <row r="39025" spans="1:3">
      <c r="A39025" s="250">
        <v>93747</v>
      </c>
      <c r="B39025" s="74" t="s">
        <v>10255</v>
      </c>
      <c r="C39025" s="74" t="s">
        <v>416</v>
      </c>
    </row>
    <row r="39026" spans="1:3">
      <c r="A39026" s="250">
        <v>93750</v>
      </c>
      <c r="B39026" s="74" t="s">
        <v>10255</v>
      </c>
      <c r="C39026" s="74" t="s">
        <v>416</v>
      </c>
    </row>
    <row r="39027" spans="1:3">
      <c r="A39027" s="250">
        <v>93755</v>
      </c>
      <c r="B39027" s="74" t="s">
        <v>10255</v>
      </c>
      <c r="C39027" s="74" t="s">
        <v>416</v>
      </c>
    </row>
    <row r="39028" spans="1:3">
      <c r="A39028" s="250">
        <v>93760</v>
      </c>
      <c r="B39028" s="74" t="s">
        <v>10255</v>
      </c>
      <c r="C39028" s="74" t="s">
        <v>416</v>
      </c>
    </row>
    <row r="39029" spans="1:3">
      <c r="A39029" s="250">
        <v>93761</v>
      </c>
      <c r="B39029" s="74" t="s">
        <v>10255</v>
      </c>
      <c r="C39029" s="74" t="s">
        <v>416</v>
      </c>
    </row>
    <row r="39030" spans="1:3">
      <c r="A39030" s="250">
        <v>93764</v>
      </c>
      <c r="B39030" s="74" t="s">
        <v>10255</v>
      </c>
      <c r="C39030" s="74" t="s">
        <v>416</v>
      </c>
    </row>
    <row r="39031" spans="1:3">
      <c r="A39031" s="250">
        <v>93765</v>
      </c>
      <c r="B39031" s="74" t="s">
        <v>10255</v>
      </c>
      <c r="C39031" s="74" t="s">
        <v>416</v>
      </c>
    </row>
    <row r="39032" spans="1:3">
      <c r="A39032" s="250">
        <v>93771</v>
      </c>
      <c r="B39032" s="74" t="s">
        <v>10255</v>
      </c>
      <c r="C39032" s="74" t="s">
        <v>416</v>
      </c>
    </row>
    <row r="39033" spans="1:3">
      <c r="A39033" s="250">
        <v>93772</v>
      </c>
      <c r="B39033" s="74" t="s">
        <v>10255</v>
      </c>
      <c r="C39033" s="74" t="s">
        <v>416</v>
      </c>
    </row>
    <row r="39034" spans="1:3">
      <c r="A39034" s="250">
        <v>93773</v>
      </c>
      <c r="B39034" s="74" t="s">
        <v>10255</v>
      </c>
      <c r="C39034" s="74" t="s">
        <v>416</v>
      </c>
    </row>
    <row r="39035" spans="1:3">
      <c r="A39035" s="250">
        <v>93774</v>
      </c>
      <c r="B39035" s="74" t="s">
        <v>10255</v>
      </c>
      <c r="C39035" s="74" t="s">
        <v>416</v>
      </c>
    </row>
    <row r="39036" spans="1:3">
      <c r="A39036" s="250">
        <v>93775</v>
      </c>
      <c r="B39036" s="74" t="s">
        <v>10255</v>
      </c>
      <c r="C39036" s="74" t="s">
        <v>416</v>
      </c>
    </row>
    <row r="39037" spans="1:3">
      <c r="A39037" s="250">
        <v>93776</v>
      </c>
      <c r="B39037" s="74" t="s">
        <v>10255</v>
      </c>
      <c r="C39037" s="74" t="s">
        <v>416</v>
      </c>
    </row>
    <row r="39038" spans="1:3">
      <c r="A39038" s="250">
        <v>93777</v>
      </c>
      <c r="B39038" s="74" t="s">
        <v>10255</v>
      </c>
      <c r="C39038" s="74" t="s">
        <v>416</v>
      </c>
    </row>
    <row r="39039" spans="1:3">
      <c r="A39039" s="250">
        <v>93778</v>
      </c>
      <c r="B39039" s="74" t="s">
        <v>10255</v>
      </c>
      <c r="C39039" s="74" t="s">
        <v>416</v>
      </c>
    </row>
    <row r="39040" spans="1:3">
      <c r="A39040" s="250">
        <v>93779</v>
      </c>
      <c r="B39040" s="74" t="s">
        <v>10255</v>
      </c>
      <c r="C39040" s="74" t="s">
        <v>416</v>
      </c>
    </row>
    <row r="39041" spans="1:3">
      <c r="A39041" s="250">
        <v>93780</v>
      </c>
      <c r="B39041" s="74" t="s">
        <v>10255</v>
      </c>
      <c r="C39041" s="74" t="s">
        <v>416</v>
      </c>
    </row>
    <row r="39042" spans="1:3">
      <c r="A39042" s="250">
        <v>93784</v>
      </c>
      <c r="B39042" s="74" t="s">
        <v>10255</v>
      </c>
      <c r="C39042" s="74" t="s">
        <v>416</v>
      </c>
    </row>
    <row r="39043" spans="1:3">
      <c r="A39043" s="250">
        <v>93786</v>
      </c>
      <c r="B39043" s="74" t="s">
        <v>10255</v>
      </c>
      <c r="C39043" s="74" t="s">
        <v>416</v>
      </c>
    </row>
    <row r="39044" spans="1:3">
      <c r="A39044" s="250">
        <v>93790</v>
      </c>
      <c r="B39044" s="74" t="s">
        <v>10255</v>
      </c>
      <c r="C39044" s="74" t="s">
        <v>416</v>
      </c>
    </row>
    <row r="39045" spans="1:3">
      <c r="A39045" s="250">
        <v>93791</v>
      </c>
      <c r="B39045" s="74" t="s">
        <v>10255</v>
      </c>
      <c r="C39045" s="74" t="s">
        <v>416</v>
      </c>
    </row>
    <row r="39046" spans="1:3">
      <c r="A39046" s="250">
        <v>93792</v>
      </c>
      <c r="B39046" s="74" t="s">
        <v>10255</v>
      </c>
      <c r="C39046" s="74" t="s">
        <v>416</v>
      </c>
    </row>
    <row r="39047" spans="1:3">
      <c r="A39047" s="250">
        <v>93793</v>
      </c>
      <c r="B39047" s="74" t="s">
        <v>10255</v>
      </c>
      <c r="C39047" s="74" t="s">
        <v>416</v>
      </c>
    </row>
    <row r="39048" spans="1:3">
      <c r="A39048" s="250">
        <v>93794</v>
      </c>
      <c r="B39048" s="74" t="s">
        <v>10255</v>
      </c>
      <c r="C39048" s="74" t="s">
        <v>416</v>
      </c>
    </row>
    <row r="39049" spans="1:3">
      <c r="A39049" s="250">
        <v>93844</v>
      </c>
      <c r="B39049" s="74" t="s">
        <v>10255</v>
      </c>
      <c r="C39049" s="74" t="s">
        <v>416</v>
      </c>
    </row>
    <row r="39050" spans="1:3">
      <c r="A39050" s="250">
        <v>93888</v>
      </c>
      <c r="B39050" s="74" t="s">
        <v>10255</v>
      </c>
      <c r="C39050" s="74" t="s">
        <v>416</v>
      </c>
    </row>
    <row r="39051" spans="1:3">
      <c r="A39051" s="250">
        <v>93901</v>
      </c>
      <c r="B39051" s="74" t="s">
        <v>539</v>
      </c>
      <c r="C39051" s="74" t="s">
        <v>416</v>
      </c>
    </row>
    <row r="39052" spans="1:3">
      <c r="A39052" s="250">
        <v>93902</v>
      </c>
      <c r="B39052" s="74" t="s">
        <v>539</v>
      </c>
      <c r="C39052" s="74" t="s">
        <v>416</v>
      </c>
    </row>
    <row r="39053" spans="1:3">
      <c r="A39053" s="250">
        <v>93905</v>
      </c>
      <c r="B39053" s="74" t="s">
        <v>539</v>
      </c>
      <c r="C39053" s="74" t="s">
        <v>416</v>
      </c>
    </row>
    <row r="39054" spans="1:3">
      <c r="A39054" s="250">
        <v>93906</v>
      </c>
      <c r="B39054" s="74" t="s">
        <v>539</v>
      </c>
      <c r="C39054" s="74" t="s">
        <v>416</v>
      </c>
    </row>
    <row r="39055" spans="1:3">
      <c r="A39055" s="250">
        <v>93907</v>
      </c>
      <c r="B39055" s="74" t="s">
        <v>539</v>
      </c>
      <c r="C39055" s="74" t="s">
        <v>416</v>
      </c>
    </row>
    <row r="39056" spans="1:3">
      <c r="A39056" s="250">
        <v>93908</v>
      </c>
      <c r="B39056" s="74" t="s">
        <v>539</v>
      </c>
      <c r="C39056" s="74" t="s">
        <v>416</v>
      </c>
    </row>
    <row r="39057" spans="1:3">
      <c r="A39057" s="250">
        <v>93912</v>
      </c>
      <c r="B39057" s="74" t="s">
        <v>539</v>
      </c>
      <c r="C39057" s="74" t="s">
        <v>416</v>
      </c>
    </row>
    <row r="39058" spans="1:3">
      <c r="A39058" s="250">
        <v>93915</v>
      </c>
      <c r="B39058" s="74" t="s">
        <v>539</v>
      </c>
      <c r="C39058" s="74" t="s">
        <v>416</v>
      </c>
    </row>
    <row r="39059" spans="1:3">
      <c r="A39059" s="250">
        <v>93920</v>
      </c>
      <c r="B39059" s="74" t="s">
        <v>18036</v>
      </c>
      <c r="C39059" s="74" t="s">
        <v>416</v>
      </c>
    </row>
    <row r="39060" spans="1:3">
      <c r="A39060" s="250">
        <v>93921</v>
      </c>
      <c r="B39060" s="74" t="s">
        <v>18037</v>
      </c>
      <c r="C39060" s="74" t="s">
        <v>416</v>
      </c>
    </row>
    <row r="39061" spans="1:3">
      <c r="A39061" s="250">
        <v>93922</v>
      </c>
      <c r="B39061" s="74" t="s">
        <v>1496</v>
      </c>
      <c r="C39061" s="74" t="s">
        <v>416</v>
      </c>
    </row>
    <row r="39062" spans="1:3">
      <c r="A39062" s="250">
        <v>93923</v>
      </c>
      <c r="B39062" s="74" t="s">
        <v>1496</v>
      </c>
      <c r="C39062" s="74" t="s">
        <v>416</v>
      </c>
    </row>
    <row r="39063" spans="1:3">
      <c r="A39063" s="250">
        <v>93924</v>
      </c>
      <c r="B39063" s="74" t="s">
        <v>18038</v>
      </c>
      <c r="C39063" s="74" t="s">
        <v>416</v>
      </c>
    </row>
    <row r="39064" spans="1:3">
      <c r="A39064" s="250">
        <v>93925</v>
      </c>
      <c r="B39064" s="74" t="s">
        <v>18039</v>
      </c>
      <c r="C39064" s="74" t="s">
        <v>416</v>
      </c>
    </row>
    <row r="39065" spans="1:3">
      <c r="A39065" s="250">
        <v>93926</v>
      </c>
      <c r="B39065" s="74" t="s">
        <v>15048</v>
      </c>
      <c r="C39065" s="74" t="s">
        <v>416</v>
      </c>
    </row>
    <row r="39066" spans="1:3">
      <c r="A39066" s="250">
        <v>93927</v>
      </c>
      <c r="B39066" s="74" t="s">
        <v>670</v>
      </c>
      <c r="C39066" s="74" t="s">
        <v>416</v>
      </c>
    </row>
    <row r="39067" spans="1:3">
      <c r="A39067" s="250">
        <v>93928</v>
      </c>
      <c r="B39067" s="74" t="s">
        <v>18040</v>
      </c>
      <c r="C39067" s="74" t="s">
        <v>416</v>
      </c>
    </row>
    <row r="39068" spans="1:3">
      <c r="A39068" s="250">
        <v>93930</v>
      </c>
      <c r="B39068" s="74" t="s">
        <v>14257</v>
      </c>
      <c r="C39068" s="74" t="s">
        <v>416</v>
      </c>
    </row>
    <row r="39069" spans="1:3">
      <c r="A39069" s="250">
        <v>93932</v>
      </c>
      <c r="B39069" s="74" t="s">
        <v>3926</v>
      </c>
      <c r="C39069" s="74" t="s">
        <v>416</v>
      </c>
    </row>
    <row r="39070" spans="1:3">
      <c r="A39070" s="250">
        <v>93933</v>
      </c>
      <c r="B39070" s="74" t="s">
        <v>18041</v>
      </c>
      <c r="C39070" s="74" t="s">
        <v>416</v>
      </c>
    </row>
    <row r="39071" spans="1:3">
      <c r="A39071" s="250">
        <v>93940</v>
      </c>
      <c r="B39071" s="74" t="s">
        <v>654</v>
      </c>
      <c r="C39071" s="74" t="s">
        <v>416</v>
      </c>
    </row>
    <row r="39072" spans="1:3">
      <c r="A39072" s="250">
        <v>93942</v>
      </c>
      <c r="B39072" s="74" t="s">
        <v>654</v>
      </c>
      <c r="C39072" s="74" t="s">
        <v>416</v>
      </c>
    </row>
    <row r="39073" spans="1:3">
      <c r="A39073" s="250">
        <v>93943</v>
      </c>
      <c r="B39073" s="74" t="s">
        <v>654</v>
      </c>
      <c r="C39073" s="74" t="s">
        <v>416</v>
      </c>
    </row>
    <row r="39074" spans="1:3">
      <c r="A39074" s="250">
        <v>93944</v>
      </c>
      <c r="B39074" s="74" t="s">
        <v>654</v>
      </c>
      <c r="C39074" s="74" t="s">
        <v>416</v>
      </c>
    </row>
    <row r="39075" spans="1:3">
      <c r="A39075" s="250">
        <v>93950</v>
      </c>
      <c r="B39075" s="74" t="s">
        <v>18042</v>
      </c>
      <c r="C39075" s="74" t="s">
        <v>416</v>
      </c>
    </row>
    <row r="39076" spans="1:3">
      <c r="A39076" s="250">
        <v>93953</v>
      </c>
      <c r="B39076" s="74" t="s">
        <v>18043</v>
      </c>
      <c r="C39076" s="74" t="s">
        <v>416</v>
      </c>
    </row>
    <row r="39077" spans="1:3">
      <c r="A39077" s="250">
        <v>93954</v>
      </c>
      <c r="B39077" s="74" t="s">
        <v>18044</v>
      </c>
      <c r="C39077" s="74" t="s">
        <v>416</v>
      </c>
    </row>
    <row r="39078" spans="1:3">
      <c r="A39078" s="250">
        <v>93955</v>
      </c>
      <c r="B39078" s="74" t="s">
        <v>18045</v>
      </c>
      <c r="C39078" s="74" t="s">
        <v>416</v>
      </c>
    </row>
    <row r="39079" spans="1:3">
      <c r="A39079" s="250">
        <v>93960</v>
      </c>
      <c r="B39079" s="74" t="s">
        <v>18046</v>
      </c>
      <c r="C39079" s="74" t="s">
        <v>416</v>
      </c>
    </row>
    <row r="39080" spans="1:3">
      <c r="A39080" s="250">
        <v>93962</v>
      </c>
      <c r="B39080" s="74" t="s">
        <v>18047</v>
      </c>
      <c r="C39080" s="74" t="s">
        <v>416</v>
      </c>
    </row>
    <row r="39081" spans="1:3">
      <c r="A39081" s="250">
        <v>94002</v>
      </c>
      <c r="B39081" s="74" t="s">
        <v>986</v>
      </c>
      <c r="C39081" s="74" t="s">
        <v>416</v>
      </c>
    </row>
    <row r="39082" spans="1:3">
      <c r="A39082" s="250">
        <v>94005</v>
      </c>
      <c r="B39082" s="74" t="s">
        <v>18048</v>
      </c>
      <c r="C39082" s="74" t="s">
        <v>416</v>
      </c>
    </row>
    <row r="39083" spans="1:3">
      <c r="A39083" s="250">
        <v>94010</v>
      </c>
      <c r="B39083" s="74" t="s">
        <v>14520</v>
      </c>
      <c r="C39083" s="74" t="s">
        <v>416</v>
      </c>
    </row>
    <row r="39084" spans="1:3">
      <c r="A39084" s="250">
        <v>94011</v>
      </c>
      <c r="B39084" s="74" t="s">
        <v>14520</v>
      </c>
      <c r="C39084" s="74" t="s">
        <v>416</v>
      </c>
    </row>
    <row r="39085" spans="1:3">
      <c r="A39085" s="250">
        <v>94013</v>
      </c>
      <c r="B39085" s="74" t="s">
        <v>18049</v>
      </c>
      <c r="C39085" s="74" t="s">
        <v>416</v>
      </c>
    </row>
    <row r="39086" spans="1:3">
      <c r="A39086" s="250">
        <v>94014</v>
      </c>
      <c r="B39086" s="74" t="s">
        <v>18049</v>
      </c>
      <c r="C39086" s="74" t="s">
        <v>416</v>
      </c>
    </row>
    <row r="39087" spans="1:3">
      <c r="A39087" s="250">
        <v>94015</v>
      </c>
      <c r="B39087" s="74" t="s">
        <v>18049</v>
      </c>
      <c r="C39087" s="74" t="s">
        <v>416</v>
      </c>
    </row>
    <row r="39088" spans="1:3">
      <c r="A39088" s="250">
        <v>94016</v>
      </c>
      <c r="B39088" s="74" t="s">
        <v>18049</v>
      </c>
      <c r="C39088" s="74" t="s">
        <v>416</v>
      </c>
    </row>
    <row r="39089" spans="1:3">
      <c r="A39089" s="250">
        <v>94017</v>
      </c>
      <c r="B39089" s="74" t="s">
        <v>18049</v>
      </c>
      <c r="C39089" s="74" t="s">
        <v>416</v>
      </c>
    </row>
    <row r="39090" spans="1:3">
      <c r="A39090" s="250">
        <v>94018</v>
      </c>
      <c r="B39090" s="74" t="s">
        <v>18050</v>
      </c>
      <c r="C39090" s="74" t="s">
        <v>416</v>
      </c>
    </row>
    <row r="39091" spans="1:3">
      <c r="A39091" s="250">
        <v>94019</v>
      </c>
      <c r="B39091" s="74" t="s">
        <v>18051</v>
      </c>
      <c r="C39091" s="74" t="s">
        <v>416</v>
      </c>
    </row>
    <row r="39092" spans="1:3">
      <c r="A39092" s="250">
        <v>94020</v>
      </c>
      <c r="B39092" s="74" t="s">
        <v>18052</v>
      </c>
      <c r="C39092" s="74" t="s">
        <v>416</v>
      </c>
    </row>
    <row r="39093" spans="1:3">
      <c r="A39093" s="250">
        <v>94021</v>
      </c>
      <c r="B39093" s="74" t="s">
        <v>18053</v>
      </c>
      <c r="C39093" s="74" t="s">
        <v>416</v>
      </c>
    </row>
    <row r="39094" spans="1:3">
      <c r="A39094" s="250">
        <v>94022</v>
      </c>
      <c r="B39094" s="74" t="s">
        <v>18054</v>
      </c>
      <c r="C39094" s="74" t="s">
        <v>416</v>
      </c>
    </row>
    <row r="39095" spans="1:3">
      <c r="A39095" s="250">
        <v>94023</v>
      </c>
      <c r="B39095" s="74" t="s">
        <v>18054</v>
      </c>
      <c r="C39095" s="74" t="s">
        <v>416</v>
      </c>
    </row>
    <row r="39096" spans="1:3">
      <c r="A39096" s="250">
        <v>94024</v>
      </c>
      <c r="B39096" s="74" t="s">
        <v>18054</v>
      </c>
      <c r="C39096" s="74" t="s">
        <v>416</v>
      </c>
    </row>
    <row r="39097" spans="1:3">
      <c r="A39097" s="250">
        <v>94025</v>
      </c>
      <c r="B39097" s="74" t="s">
        <v>18055</v>
      </c>
      <c r="C39097" s="74" t="s">
        <v>416</v>
      </c>
    </row>
    <row r="39098" spans="1:3">
      <c r="A39098" s="250">
        <v>94026</v>
      </c>
      <c r="B39098" s="74" t="s">
        <v>18055</v>
      </c>
      <c r="C39098" s="74" t="s">
        <v>416</v>
      </c>
    </row>
    <row r="39099" spans="1:3">
      <c r="A39099" s="250">
        <v>94027</v>
      </c>
      <c r="B39099" s="74" t="s">
        <v>18056</v>
      </c>
      <c r="C39099" s="74" t="s">
        <v>416</v>
      </c>
    </row>
    <row r="39100" spans="1:3">
      <c r="A39100" s="250">
        <v>94028</v>
      </c>
      <c r="B39100" s="74" t="s">
        <v>18057</v>
      </c>
      <c r="C39100" s="74" t="s">
        <v>416</v>
      </c>
    </row>
    <row r="39101" spans="1:3">
      <c r="A39101" s="250">
        <v>94030</v>
      </c>
      <c r="B39101" s="74" t="s">
        <v>18058</v>
      </c>
      <c r="C39101" s="74" t="s">
        <v>416</v>
      </c>
    </row>
    <row r="39102" spans="1:3">
      <c r="A39102" s="250">
        <v>94035</v>
      </c>
      <c r="B39102" s="74" t="s">
        <v>14405</v>
      </c>
      <c r="C39102" s="74" t="s">
        <v>416</v>
      </c>
    </row>
    <row r="39103" spans="1:3">
      <c r="A39103" s="250">
        <v>94037</v>
      </c>
      <c r="B39103" s="74" t="s">
        <v>18059</v>
      </c>
      <c r="C39103" s="74" t="s">
        <v>416</v>
      </c>
    </row>
    <row r="39104" spans="1:3">
      <c r="A39104" s="250">
        <v>94038</v>
      </c>
      <c r="B39104" s="74" t="s">
        <v>18060</v>
      </c>
      <c r="C39104" s="74" t="s">
        <v>416</v>
      </c>
    </row>
    <row r="39105" spans="1:3">
      <c r="A39105" s="250">
        <v>94039</v>
      </c>
      <c r="B39105" s="74" t="s">
        <v>14405</v>
      </c>
      <c r="C39105" s="74" t="s">
        <v>416</v>
      </c>
    </row>
    <row r="39106" spans="1:3">
      <c r="A39106" s="250">
        <v>94040</v>
      </c>
      <c r="B39106" s="74" t="s">
        <v>14405</v>
      </c>
      <c r="C39106" s="74" t="s">
        <v>416</v>
      </c>
    </row>
    <row r="39107" spans="1:3">
      <c r="A39107" s="250">
        <v>94041</v>
      </c>
      <c r="B39107" s="74" t="s">
        <v>14405</v>
      </c>
      <c r="C39107" s="74" t="s">
        <v>416</v>
      </c>
    </row>
    <row r="39108" spans="1:3">
      <c r="A39108" s="250">
        <v>94042</v>
      </c>
      <c r="B39108" s="74" t="s">
        <v>14405</v>
      </c>
      <c r="C39108" s="74" t="s">
        <v>416</v>
      </c>
    </row>
    <row r="39109" spans="1:3">
      <c r="A39109" s="250">
        <v>94043</v>
      </c>
      <c r="B39109" s="74" t="s">
        <v>14405</v>
      </c>
      <c r="C39109" s="74" t="s">
        <v>416</v>
      </c>
    </row>
    <row r="39110" spans="1:3">
      <c r="A39110" s="250">
        <v>94044</v>
      </c>
      <c r="B39110" s="74" t="s">
        <v>18061</v>
      </c>
      <c r="C39110" s="74" t="s">
        <v>416</v>
      </c>
    </row>
    <row r="39111" spans="1:3">
      <c r="A39111" s="250">
        <v>94060</v>
      </c>
      <c r="B39111" s="74" t="s">
        <v>18062</v>
      </c>
      <c r="C39111" s="74" t="s">
        <v>416</v>
      </c>
    </row>
    <row r="39112" spans="1:3">
      <c r="A39112" s="250">
        <v>94061</v>
      </c>
      <c r="B39112" s="74" t="s">
        <v>18063</v>
      </c>
      <c r="C39112" s="74" t="s">
        <v>416</v>
      </c>
    </row>
    <row r="39113" spans="1:3">
      <c r="A39113" s="250">
        <v>94062</v>
      </c>
      <c r="B39113" s="74" t="s">
        <v>18063</v>
      </c>
      <c r="C39113" s="74" t="s">
        <v>416</v>
      </c>
    </row>
    <row r="39114" spans="1:3">
      <c r="A39114" s="250">
        <v>94063</v>
      </c>
      <c r="B39114" s="74" t="s">
        <v>18063</v>
      </c>
      <c r="C39114" s="74" t="s">
        <v>416</v>
      </c>
    </row>
    <row r="39115" spans="1:3">
      <c r="A39115" s="250">
        <v>94064</v>
      </c>
      <c r="B39115" s="74" t="s">
        <v>18063</v>
      </c>
      <c r="C39115" s="74" t="s">
        <v>416</v>
      </c>
    </row>
    <row r="39116" spans="1:3">
      <c r="A39116" s="250">
        <v>94065</v>
      </c>
      <c r="B39116" s="74" t="s">
        <v>18063</v>
      </c>
      <c r="C39116" s="74" t="s">
        <v>416</v>
      </c>
    </row>
    <row r="39117" spans="1:3">
      <c r="A39117" s="250">
        <v>94066</v>
      </c>
      <c r="B39117" s="74" t="s">
        <v>18064</v>
      </c>
      <c r="C39117" s="74" t="s">
        <v>416</v>
      </c>
    </row>
    <row r="39118" spans="1:3">
      <c r="A39118" s="250">
        <v>94070</v>
      </c>
      <c r="B39118" s="74" t="s">
        <v>17230</v>
      </c>
      <c r="C39118" s="74" t="s">
        <v>416</v>
      </c>
    </row>
    <row r="39119" spans="1:3">
      <c r="A39119" s="250">
        <v>94074</v>
      </c>
      <c r="B39119" s="74" t="s">
        <v>18065</v>
      </c>
      <c r="C39119" s="74" t="s">
        <v>416</v>
      </c>
    </row>
    <row r="39120" spans="1:3">
      <c r="A39120" s="250">
        <v>94080</v>
      </c>
      <c r="B39120" s="74" t="s">
        <v>18066</v>
      </c>
      <c r="C39120" s="74" t="s">
        <v>416</v>
      </c>
    </row>
    <row r="39121" spans="1:3">
      <c r="A39121" s="250">
        <v>94083</v>
      </c>
      <c r="B39121" s="74" t="s">
        <v>18066</v>
      </c>
      <c r="C39121" s="74" t="s">
        <v>416</v>
      </c>
    </row>
    <row r="39122" spans="1:3">
      <c r="A39122" s="250">
        <v>94085</v>
      </c>
      <c r="B39122" s="74" t="s">
        <v>15849</v>
      </c>
      <c r="C39122" s="74" t="s">
        <v>416</v>
      </c>
    </row>
    <row r="39123" spans="1:3">
      <c r="A39123" s="250">
        <v>94086</v>
      </c>
      <c r="B39123" s="74" t="s">
        <v>15849</v>
      </c>
      <c r="C39123" s="74" t="s">
        <v>416</v>
      </c>
    </row>
    <row r="39124" spans="1:3">
      <c r="A39124" s="250">
        <v>94087</v>
      </c>
      <c r="B39124" s="74" t="s">
        <v>15849</v>
      </c>
      <c r="C39124" s="74" t="s">
        <v>416</v>
      </c>
    </row>
    <row r="39125" spans="1:3">
      <c r="A39125" s="250">
        <v>94088</v>
      </c>
      <c r="B39125" s="74" t="s">
        <v>15849</v>
      </c>
      <c r="C39125" s="74" t="s">
        <v>416</v>
      </c>
    </row>
    <row r="39126" spans="1:3">
      <c r="A39126" s="250">
        <v>94089</v>
      </c>
      <c r="B39126" s="74" t="s">
        <v>15849</v>
      </c>
      <c r="C39126" s="74" t="s">
        <v>416</v>
      </c>
    </row>
    <row r="39127" spans="1:3">
      <c r="A39127" s="250">
        <v>94101</v>
      </c>
      <c r="B39127" s="74" t="s">
        <v>18067</v>
      </c>
      <c r="C39127" s="74" t="s">
        <v>416</v>
      </c>
    </row>
    <row r="39128" spans="1:3">
      <c r="A39128" s="250">
        <v>94102</v>
      </c>
      <c r="B39128" s="74" t="s">
        <v>18067</v>
      </c>
      <c r="C39128" s="74" t="s">
        <v>416</v>
      </c>
    </row>
    <row r="39129" spans="1:3">
      <c r="A39129" s="250">
        <v>94103</v>
      </c>
      <c r="B39129" s="74" t="s">
        <v>18067</v>
      </c>
      <c r="C39129" s="74" t="s">
        <v>416</v>
      </c>
    </row>
    <row r="39130" spans="1:3">
      <c r="A39130" s="250">
        <v>94104</v>
      </c>
      <c r="B39130" s="74" t="s">
        <v>18067</v>
      </c>
      <c r="C39130" s="74" t="s">
        <v>416</v>
      </c>
    </row>
    <row r="39131" spans="1:3">
      <c r="A39131" s="250">
        <v>94105</v>
      </c>
      <c r="B39131" s="74" t="s">
        <v>18067</v>
      </c>
      <c r="C39131" s="74" t="s">
        <v>416</v>
      </c>
    </row>
    <row r="39132" spans="1:3">
      <c r="A39132" s="250">
        <v>94106</v>
      </c>
      <c r="B39132" s="74" t="s">
        <v>18067</v>
      </c>
      <c r="C39132" s="74" t="s">
        <v>416</v>
      </c>
    </row>
    <row r="39133" spans="1:3">
      <c r="A39133" s="250">
        <v>94107</v>
      </c>
      <c r="B39133" s="74" t="s">
        <v>18067</v>
      </c>
      <c r="C39133" s="74" t="s">
        <v>416</v>
      </c>
    </row>
    <row r="39134" spans="1:3">
      <c r="A39134" s="250">
        <v>94108</v>
      </c>
      <c r="B39134" s="74" t="s">
        <v>18067</v>
      </c>
      <c r="C39134" s="74" t="s">
        <v>416</v>
      </c>
    </row>
    <row r="39135" spans="1:3">
      <c r="A39135" s="250">
        <v>94109</v>
      </c>
      <c r="B39135" s="74" t="s">
        <v>18067</v>
      </c>
      <c r="C39135" s="74" t="s">
        <v>416</v>
      </c>
    </row>
    <row r="39136" spans="1:3">
      <c r="A39136" s="250">
        <v>94110</v>
      </c>
      <c r="B39136" s="74" t="s">
        <v>18067</v>
      </c>
      <c r="C39136" s="74" t="s">
        <v>416</v>
      </c>
    </row>
    <row r="39137" spans="1:3">
      <c r="A39137" s="250">
        <v>94111</v>
      </c>
      <c r="B39137" s="74" t="s">
        <v>18067</v>
      </c>
      <c r="C39137" s="74" t="s">
        <v>416</v>
      </c>
    </row>
    <row r="39138" spans="1:3">
      <c r="A39138" s="250">
        <v>94112</v>
      </c>
      <c r="B39138" s="74" t="s">
        <v>18067</v>
      </c>
      <c r="C39138" s="74" t="s">
        <v>416</v>
      </c>
    </row>
    <row r="39139" spans="1:3">
      <c r="A39139" s="250">
        <v>94114</v>
      </c>
      <c r="B39139" s="74" t="s">
        <v>18067</v>
      </c>
      <c r="C39139" s="74" t="s">
        <v>416</v>
      </c>
    </row>
    <row r="39140" spans="1:3">
      <c r="A39140" s="250">
        <v>94115</v>
      </c>
      <c r="B39140" s="74" t="s">
        <v>18067</v>
      </c>
      <c r="C39140" s="74" t="s">
        <v>416</v>
      </c>
    </row>
    <row r="39141" spans="1:3">
      <c r="A39141" s="250">
        <v>94116</v>
      </c>
      <c r="B39141" s="74" t="s">
        <v>18067</v>
      </c>
      <c r="C39141" s="74" t="s">
        <v>416</v>
      </c>
    </row>
    <row r="39142" spans="1:3">
      <c r="A39142" s="250">
        <v>94117</v>
      </c>
      <c r="B39142" s="74" t="s">
        <v>18067</v>
      </c>
      <c r="C39142" s="74" t="s">
        <v>416</v>
      </c>
    </row>
    <row r="39143" spans="1:3">
      <c r="A39143" s="250">
        <v>94118</v>
      </c>
      <c r="B39143" s="74" t="s">
        <v>18067</v>
      </c>
      <c r="C39143" s="74" t="s">
        <v>416</v>
      </c>
    </row>
    <row r="39144" spans="1:3">
      <c r="A39144" s="250">
        <v>94119</v>
      </c>
      <c r="B39144" s="74" t="s">
        <v>18067</v>
      </c>
      <c r="C39144" s="74" t="s">
        <v>416</v>
      </c>
    </row>
    <row r="39145" spans="1:3">
      <c r="A39145" s="250">
        <v>94120</v>
      </c>
      <c r="B39145" s="74" t="s">
        <v>18067</v>
      </c>
      <c r="C39145" s="74" t="s">
        <v>416</v>
      </c>
    </row>
    <row r="39146" spans="1:3">
      <c r="A39146" s="250">
        <v>94121</v>
      </c>
      <c r="B39146" s="74" t="s">
        <v>18067</v>
      </c>
      <c r="C39146" s="74" t="s">
        <v>416</v>
      </c>
    </row>
    <row r="39147" spans="1:3">
      <c r="A39147" s="250">
        <v>94122</v>
      </c>
      <c r="B39147" s="74" t="s">
        <v>18067</v>
      </c>
      <c r="C39147" s="74" t="s">
        <v>416</v>
      </c>
    </row>
    <row r="39148" spans="1:3">
      <c r="A39148" s="250">
        <v>94123</v>
      </c>
      <c r="B39148" s="74" t="s">
        <v>18067</v>
      </c>
      <c r="C39148" s="74" t="s">
        <v>416</v>
      </c>
    </row>
    <row r="39149" spans="1:3">
      <c r="A39149" s="250">
        <v>94124</v>
      </c>
      <c r="B39149" s="74" t="s">
        <v>18067</v>
      </c>
      <c r="C39149" s="74" t="s">
        <v>416</v>
      </c>
    </row>
    <row r="39150" spans="1:3">
      <c r="A39150" s="250">
        <v>94125</v>
      </c>
      <c r="B39150" s="74" t="s">
        <v>18067</v>
      </c>
      <c r="C39150" s="74" t="s">
        <v>416</v>
      </c>
    </row>
    <row r="39151" spans="1:3">
      <c r="A39151" s="250">
        <v>94126</v>
      </c>
      <c r="B39151" s="74" t="s">
        <v>18067</v>
      </c>
      <c r="C39151" s="74" t="s">
        <v>416</v>
      </c>
    </row>
    <row r="39152" spans="1:3">
      <c r="A39152" s="250">
        <v>94127</v>
      </c>
      <c r="B39152" s="74" t="s">
        <v>18067</v>
      </c>
      <c r="C39152" s="74" t="s">
        <v>416</v>
      </c>
    </row>
    <row r="39153" spans="1:3">
      <c r="A39153" s="250">
        <v>94128</v>
      </c>
      <c r="B39153" s="74" t="s">
        <v>18067</v>
      </c>
      <c r="C39153" s="74" t="s">
        <v>416</v>
      </c>
    </row>
    <row r="39154" spans="1:3">
      <c r="A39154" s="250">
        <v>94129</v>
      </c>
      <c r="B39154" s="74" t="s">
        <v>18067</v>
      </c>
      <c r="C39154" s="74" t="s">
        <v>416</v>
      </c>
    </row>
    <row r="39155" spans="1:3">
      <c r="A39155" s="250">
        <v>94130</v>
      </c>
      <c r="B39155" s="74" t="s">
        <v>18067</v>
      </c>
      <c r="C39155" s="74" t="s">
        <v>416</v>
      </c>
    </row>
    <row r="39156" spans="1:3">
      <c r="A39156" s="250">
        <v>94131</v>
      </c>
      <c r="B39156" s="74" t="s">
        <v>18067</v>
      </c>
      <c r="C39156" s="74" t="s">
        <v>416</v>
      </c>
    </row>
    <row r="39157" spans="1:3">
      <c r="A39157" s="250">
        <v>94132</v>
      </c>
      <c r="B39157" s="74" t="s">
        <v>18067</v>
      </c>
      <c r="C39157" s="74" t="s">
        <v>416</v>
      </c>
    </row>
    <row r="39158" spans="1:3">
      <c r="A39158" s="250">
        <v>94133</v>
      </c>
      <c r="B39158" s="74" t="s">
        <v>18067</v>
      </c>
      <c r="C39158" s="74" t="s">
        <v>416</v>
      </c>
    </row>
    <row r="39159" spans="1:3">
      <c r="A39159" s="250">
        <v>94134</v>
      </c>
      <c r="B39159" s="74" t="s">
        <v>18067</v>
      </c>
      <c r="C39159" s="74" t="s">
        <v>416</v>
      </c>
    </row>
    <row r="39160" spans="1:3">
      <c r="A39160" s="250">
        <v>94135</v>
      </c>
      <c r="B39160" s="74" t="s">
        <v>18067</v>
      </c>
      <c r="C39160" s="74" t="s">
        <v>416</v>
      </c>
    </row>
    <row r="39161" spans="1:3">
      <c r="A39161" s="250">
        <v>94136</v>
      </c>
      <c r="B39161" s="74" t="s">
        <v>18067</v>
      </c>
      <c r="C39161" s="74" t="s">
        <v>416</v>
      </c>
    </row>
    <row r="39162" spans="1:3">
      <c r="A39162" s="250">
        <v>94137</v>
      </c>
      <c r="B39162" s="74" t="s">
        <v>18067</v>
      </c>
      <c r="C39162" s="74" t="s">
        <v>416</v>
      </c>
    </row>
    <row r="39163" spans="1:3">
      <c r="A39163" s="250">
        <v>94138</v>
      </c>
      <c r="B39163" s="74" t="s">
        <v>18067</v>
      </c>
      <c r="C39163" s="74" t="s">
        <v>416</v>
      </c>
    </row>
    <row r="39164" spans="1:3">
      <c r="A39164" s="250">
        <v>94139</v>
      </c>
      <c r="B39164" s="74" t="s">
        <v>18067</v>
      </c>
      <c r="C39164" s="74" t="s">
        <v>416</v>
      </c>
    </row>
    <row r="39165" spans="1:3">
      <c r="A39165" s="250">
        <v>94140</v>
      </c>
      <c r="B39165" s="74" t="s">
        <v>18067</v>
      </c>
      <c r="C39165" s="74" t="s">
        <v>416</v>
      </c>
    </row>
    <row r="39166" spans="1:3">
      <c r="A39166" s="250">
        <v>94141</v>
      </c>
      <c r="B39166" s="74" t="s">
        <v>18067</v>
      </c>
      <c r="C39166" s="74" t="s">
        <v>416</v>
      </c>
    </row>
    <row r="39167" spans="1:3">
      <c r="A39167" s="250">
        <v>94142</v>
      </c>
      <c r="B39167" s="74" t="s">
        <v>18067</v>
      </c>
      <c r="C39167" s="74" t="s">
        <v>416</v>
      </c>
    </row>
    <row r="39168" spans="1:3">
      <c r="A39168" s="250">
        <v>94143</v>
      </c>
      <c r="B39168" s="74" t="s">
        <v>18067</v>
      </c>
      <c r="C39168" s="74" t="s">
        <v>416</v>
      </c>
    </row>
    <row r="39169" spans="1:3">
      <c r="A39169" s="250">
        <v>94144</v>
      </c>
      <c r="B39169" s="74" t="s">
        <v>18067</v>
      </c>
      <c r="C39169" s="74" t="s">
        <v>416</v>
      </c>
    </row>
    <row r="39170" spans="1:3">
      <c r="A39170" s="250">
        <v>94145</v>
      </c>
      <c r="B39170" s="74" t="s">
        <v>18067</v>
      </c>
      <c r="C39170" s="74" t="s">
        <v>416</v>
      </c>
    </row>
    <row r="39171" spans="1:3">
      <c r="A39171" s="250">
        <v>94146</v>
      </c>
      <c r="B39171" s="74" t="s">
        <v>18067</v>
      </c>
      <c r="C39171" s="74" t="s">
        <v>416</v>
      </c>
    </row>
    <row r="39172" spans="1:3">
      <c r="A39172" s="250">
        <v>94147</v>
      </c>
      <c r="B39172" s="74" t="s">
        <v>18067</v>
      </c>
      <c r="C39172" s="74" t="s">
        <v>416</v>
      </c>
    </row>
    <row r="39173" spans="1:3">
      <c r="A39173" s="250">
        <v>94150</v>
      </c>
      <c r="B39173" s="74" t="s">
        <v>18067</v>
      </c>
      <c r="C39173" s="74" t="s">
        <v>416</v>
      </c>
    </row>
    <row r="39174" spans="1:3">
      <c r="A39174" s="250">
        <v>94151</v>
      </c>
      <c r="B39174" s="74" t="s">
        <v>18067</v>
      </c>
      <c r="C39174" s="74" t="s">
        <v>416</v>
      </c>
    </row>
    <row r="39175" spans="1:3">
      <c r="A39175" s="250">
        <v>94152</v>
      </c>
      <c r="B39175" s="74" t="s">
        <v>18067</v>
      </c>
      <c r="C39175" s="74" t="s">
        <v>416</v>
      </c>
    </row>
    <row r="39176" spans="1:3">
      <c r="A39176" s="250">
        <v>94153</v>
      </c>
      <c r="B39176" s="74" t="s">
        <v>18067</v>
      </c>
      <c r="C39176" s="74" t="s">
        <v>416</v>
      </c>
    </row>
    <row r="39177" spans="1:3">
      <c r="A39177" s="250">
        <v>94154</v>
      </c>
      <c r="B39177" s="74" t="s">
        <v>18067</v>
      </c>
      <c r="C39177" s="74" t="s">
        <v>416</v>
      </c>
    </row>
    <row r="39178" spans="1:3">
      <c r="A39178" s="250">
        <v>94155</v>
      </c>
      <c r="B39178" s="74" t="s">
        <v>18067</v>
      </c>
      <c r="C39178" s="74" t="s">
        <v>416</v>
      </c>
    </row>
    <row r="39179" spans="1:3">
      <c r="A39179" s="250">
        <v>94156</v>
      </c>
      <c r="B39179" s="74" t="s">
        <v>18067</v>
      </c>
      <c r="C39179" s="74" t="s">
        <v>416</v>
      </c>
    </row>
    <row r="39180" spans="1:3">
      <c r="A39180" s="250">
        <v>94158</v>
      </c>
      <c r="B39180" s="74" t="s">
        <v>18067</v>
      </c>
      <c r="C39180" s="74" t="s">
        <v>416</v>
      </c>
    </row>
    <row r="39181" spans="1:3">
      <c r="A39181" s="250">
        <v>94159</v>
      </c>
      <c r="B39181" s="74" t="s">
        <v>18067</v>
      </c>
      <c r="C39181" s="74" t="s">
        <v>416</v>
      </c>
    </row>
    <row r="39182" spans="1:3">
      <c r="A39182" s="250">
        <v>94160</v>
      </c>
      <c r="B39182" s="74" t="s">
        <v>18067</v>
      </c>
      <c r="C39182" s="74" t="s">
        <v>416</v>
      </c>
    </row>
    <row r="39183" spans="1:3">
      <c r="A39183" s="250">
        <v>94161</v>
      </c>
      <c r="B39183" s="74" t="s">
        <v>18067</v>
      </c>
      <c r="C39183" s="74" t="s">
        <v>416</v>
      </c>
    </row>
    <row r="39184" spans="1:3">
      <c r="A39184" s="250">
        <v>94162</v>
      </c>
      <c r="B39184" s="74" t="s">
        <v>18067</v>
      </c>
      <c r="C39184" s="74" t="s">
        <v>416</v>
      </c>
    </row>
    <row r="39185" spans="1:3">
      <c r="A39185" s="250">
        <v>94163</v>
      </c>
      <c r="B39185" s="74" t="s">
        <v>18067</v>
      </c>
      <c r="C39185" s="74" t="s">
        <v>416</v>
      </c>
    </row>
    <row r="39186" spans="1:3">
      <c r="A39186" s="250">
        <v>94164</v>
      </c>
      <c r="B39186" s="74" t="s">
        <v>18067</v>
      </c>
      <c r="C39186" s="74" t="s">
        <v>416</v>
      </c>
    </row>
    <row r="39187" spans="1:3">
      <c r="A39187" s="250">
        <v>94171</v>
      </c>
      <c r="B39187" s="74" t="s">
        <v>18067</v>
      </c>
      <c r="C39187" s="74" t="s">
        <v>416</v>
      </c>
    </row>
    <row r="39188" spans="1:3">
      <c r="A39188" s="250">
        <v>94172</v>
      </c>
      <c r="B39188" s="74" t="s">
        <v>18067</v>
      </c>
      <c r="C39188" s="74" t="s">
        <v>416</v>
      </c>
    </row>
    <row r="39189" spans="1:3">
      <c r="A39189" s="250">
        <v>94175</v>
      </c>
      <c r="B39189" s="74" t="s">
        <v>18067</v>
      </c>
      <c r="C39189" s="74" t="s">
        <v>416</v>
      </c>
    </row>
    <row r="39190" spans="1:3">
      <c r="A39190" s="250">
        <v>94177</v>
      </c>
      <c r="B39190" s="74" t="s">
        <v>18067</v>
      </c>
      <c r="C39190" s="74" t="s">
        <v>416</v>
      </c>
    </row>
    <row r="39191" spans="1:3">
      <c r="A39191" s="250">
        <v>94188</v>
      </c>
      <c r="B39191" s="74" t="s">
        <v>18067</v>
      </c>
      <c r="C39191" s="74" t="s">
        <v>416</v>
      </c>
    </row>
    <row r="39192" spans="1:3">
      <c r="A39192" s="250">
        <v>94199</v>
      </c>
      <c r="B39192" s="74" t="s">
        <v>18067</v>
      </c>
      <c r="C39192" s="74" t="s">
        <v>416</v>
      </c>
    </row>
    <row r="39193" spans="1:3">
      <c r="A39193" s="250">
        <v>94203</v>
      </c>
      <c r="B39193" s="74" t="s">
        <v>5016</v>
      </c>
      <c r="C39193" s="74" t="s">
        <v>416</v>
      </c>
    </row>
    <row r="39194" spans="1:3">
      <c r="A39194" s="250">
        <v>94204</v>
      </c>
      <c r="B39194" s="74" t="s">
        <v>5016</v>
      </c>
      <c r="C39194" s="74" t="s">
        <v>416</v>
      </c>
    </row>
    <row r="39195" spans="1:3">
      <c r="A39195" s="250">
        <v>94205</v>
      </c>
      <c r="B39195" s="74" t="s">
        <v>5016</v>
      </c>
      <c r="C39195" s="74" t="s">
        <v>416</v>
      </c>
    </row>
    <row r="39196" spans="1:3">
      <c r="A39196" s="250">
        <v>94206</v>
      </c>
      <c r="B39196" s="74" t="s">
        <v>5016</v>
      </c>
      <c r="C39196" s="74" t="s">
        <v>416</v>
      </c>
    </row>
    <row r="39197" spans="1:3">
      <c r="A39197" s="250">
        <v>94207</v>
      </c>
      <c r="B39197" s="74" t="s">
        <v>5016</v>
      </c>
      <c r="C39197" s="74" t="s">
        <v>416</v>
      </c>
    </row>
    <row r="39198" spans="1:3">
      <c r="A39198" s="250">
        <v>94208</v>
      </c>
      <c r="B39198" s="74" t="s">
        <v>5016</v>
      </c>
      <c r="C39198" s="74" t="s">
        <v>416</v>
      </c>
    </row>
    <row r="39199" spans="1:3">
      <c r="A39199" s="250">
        <v>94209</v>
      </c>
      <c r="B39199" s="74" t="s">
        <v>5016</v>
      </c>
      <c r="C39199" s="74" t="s">
        <v>416</v>
      </c>
    </row>
    <row r="39200" spans="1:3">
      <c r="A39200" s="250">
        <v>94211</v>
      </c>
      <c r="B39200" s="74" t="s">
        <v>5016</v>
      </c>
      <c r="C39200" s="74" t="s">
        <v>416</v>
      </c>
    </row>
    <row r="39201" spans="1:3">
      <c r="A39201" s="250">
        <v>94229</v>
      </c>
      <c r="B39201" s="74" t="s">
        <v>5016</v>
      </c>
      <c r="C39201" s="74" t="s">
        <v>416</v>
      </c>
    </row>
    <row r="39202" spans="1:3">
      <c r="A39202" s="250">
        <v>94230</v>
      </c>
      <c r="B39202" s="74" t="s">
        <v>5016</v>
      </c>
      <c r="C39202" s="74" t="s">
        <v>416</v>
      </c>
    </row>
    <row r="39203" spans="1:3">
      <c r="A39203" s="250">
        <v>94232</v>
      </c>
      <c r="B39203" s="74" t="s">
        <v>5016</v>
      </c>
      <c r="C39203" s="74" t="s">
        <v>416</v>
      </c>
    </row>
    <row r="39204" spans="1:3">
      <c r="A39204" s="250">
        <v>94234</v>
      </c>
      <c r="B39204" s="74" t="s">
        <v>5016</v>
      </c>
      <c r="C39204" s="74" t="s">
        <v>416</v>
      </c>
    </row>
    <row r="39205" spans="1:3">
      <c r="A39205" s="250">
        <v>94235</v>
      </c>
      <c r="B39205" s="74" t="s">
        <v>5016</v>
      </c>
      <c r="C39205" s="74" t="s">
        <v>416</v>
      </c>
    </row>
    <row r="39206" spans="1:3">
      <c r="A39206" s="250">
        <v>94236</v>
      </c>
      <c r="B39206" s="74" t="s">
        <v>5016</v>
      </c>
      <c r="C39206" s="74" t="s">
        <v>416</v>
      </c>
    </row>
    <row r="39207" spans="1:3">
      <c r="A39207" s="250">
        <v>94237</v>
      </c>
      <c r="B39207" s="74" t="s">
        <v>5016</v>
      </c>
      <c r="C39207" s="74" t="s">
        <v>416</v>
      </c>
    </row>
    <row r="39208" spans="1:3">
      <c r="A39208" s="250">
        <v>94239</v>
      </c>
      <c r="B39208" s="74" t="s">
        <v>5016</v>
      </c>
      <c r="C39208" s="74" t="s">
        <v>416</v>
      </c>
    </row>
    <row r="39209" spans="1:3">
      <c r="A39209" s="250">
        <v>94240</v>
      </c>
      <c r="B39209" s="74" t="s">
        <v>5016</v>
      </c>
      <c r="C39209" s="74" t="s">
        <v>416</v>
      </c>
    </row>
    <row r="39210" spans="1:3">
      <c r="A39210" s="250">
        <v>94244</v>
      </c>
      <c r="B39210" s="74" t="s">
        <v>5016</v>
      </c>
      <c r="C39210" s="74" t="s">
        <v>416</v>
      </c>
    </row>
    <row r="39211" spans="1:3">
      <c r="A39211" s="250">
        <v>94245</v>
      </c>
      <c r="B39211" s="74" t="s">
        <v>5016</v>
      </c>
      <c r="C39211" s="74" t="s">
        <v>416</v>
      </c>
    </row>
    <row r="39212" spans="1:3">
      <c r="A39212" s="250">
        <v>94246</v>
      </c>
      <c r="B39212" s="74" t="s">
        <v>5016</v>
      </c>
      <c r="C39212" s="74" t="s">
        <v>416</v>
      </c>
    </row>
    <row r="39213" spans="1:3">
      <c r="A39213" s="250">
        <v>94247</v>
      </c>
      <c r="B39213" s="74" t="s">
        <v>5016</v>
      </c>
      <c r="C39213" s="74" t="s">
        <v>416</v>
      </c>
    </row>
    <row r="39214" spans="1:3">
      <c r="A39214" s="250">
        <v>94248</v>
      </c>
      <c r="B39214" s="74" t="s">
        <v>5016</v>
      </c>
      <c r="C39214" s="74" t="s">
        <v>416</v>
      </c>
    </row>
    <row r="39215" spans="1:3">
      <c r="A39215" s="250">
        <v>94249</v>
      </c>
      <c r="B39215" s="74" t="s">
        <v>5016</v>
      </c>
      <c r="C39215" s="74" t="s">
        <v>416</v>
      </c>
    </row>
    <row r="39216" spans="1:3">
      <c r="A39216" s="250">
        <v>94250</v>
      </c>
      <c r="B39216" s="74" t="s">
        <v>5016</v>
      </c>
      <c r="C39216" s="74" t="s">
        <v>416</v>
      </c>
    </row>
    <row r="39217" spans="1:3">
      <c r="A39217" s="250">
        <v>94252</v>
      </c>
      <c r="B39217" s="74" t="s">
        <v>5016</v>
      </c>
      <c r="C39217" s="74" t="s">
        <v>416</v>
      </c>
    </row>
    <row r="39218" spans="1:3">
      <c r="A39218" s="250">
        <v>94254</v>
      </c>
      <c r="B39218" s="74" t="s">
        <v>5016</v>
      </c>
      <c r="C39218" s="74" t="s">
        <v>416</v>
      </c>
    </row>
    <row r="39219" spans="1:3">
      <c r="A39219" s="250">
        <v>94256</v>
      </c>
      <c r="B39219" s="74" t="s">
        <v>5016</v>
      </c>
      <c r="C39219" s="74" t="s">
        <v>416</v>
      </c>
    </row>
    <row r="39220" spans="1:3">
      <c r="A39220" s="250">
        <v>94257</v>
      </c>
      <c r="B39220" s="74" t="s">
        <v>5016</v>
      </c>
      <c r="C39220" s="74" t="s">
        <v>416</v>
      </c>
    </row>
    <row r="39221" spans="1:3">
      <c r="A39221" s="250">
        <v>94258</v>
      </c>
      <c r="B39221" s="74" t="s">
        <v>5016</v>
      </c>
      <c r="C39221" s="74" t="s">
        <v>416</v>
      </c>
    </row>
    <row r="39222" spans="1:3">
      <c r="A39222" s="250">
        <v>94259</v>
      </c>
      <c r="B39222" s="74" t="s">
        <v>5016</v>
      </c>
      <c r="C39222" s="74" t="s">
        <v>416</v>
      </c>
    </row>
    <row r="39223" spans="1:3">
      <c r="A39223" s="250">
        <v>94261</v>
      </c>
      <c r="B39223" s="74" t="s">
        <v>5016</v>
      </c>
      <c r="C39223" s="74" t="s">
        <v>416</v>
      </c>
    </row>
    <row r="39224" spans="1:3">
      <c r="A39224" s="250">
        <v>94262</v>
      </c>
      <c r="B39224" s="74" t="s">
        <v>5016</v>
      </c>
      <c r="C39224" s="74" t="s">
        <v>416</v>
      </c>
    </row>
    <row r="39225" spans="1:3">
      <c r="A39225" s="250">
        <v>94263</v>
      </c>
      <c r="B39225" s="74" t="s">
        <v>5016</v>
      </c>
      <c r="C39225" s="74" t="s">
        <v>416</v>
      </c>
    </row>
    <row r="39226" spans="1:3">
      <c r="A39226" s="250">
        <v>94267</v>
      </c>
      <c r="B39226" s="74" t="s">
        <v>5016</v>
      </c>
      <c r="C39226" s="74" t="s">
        <v>416</v>
      </c>
    </row>
    <row r="39227" spans="1:3">
      <c r="A39227" s="250">
        <v>94268</v>
      </c>
      <c r="B39227" s="74" t="s">
        <v>5016</v>
      </c>
      <c r="C39227" s="74" t="s">
        <v>416</v>
      </c>
    </row>
    <row r="39228" spans="1:3">
      <c r="A39228" s="250">
        <v>94269</v>
      </c>
      <c r="B39228" s="74" t="s">
        <v>5016</v>
      </c>
      <c r="C39228" s="74" t="s">
        <v>416</v>
      </c>
    </row>
    <row r="39229" spans="1:3">
      <c r="A39229" s="250">
        <v>94271</v>
      </c>
      <c r="B39229" s="74" t="s">
        <v>5016</v>
      </c>
      <c r="C39229" s="74" t="s">
        <v>416</v>
      </c>
    </row>
    <row r="39230" spans="1:3">
      <c r="A39230" s="250">
        <v>94273</v>
      </c>
      <c r="B39230" s="74" t="s">
        <v>5016</v>
      </c>
      <c r="C39230" s="74" t="s">
        <v>416</v>
      </c>
    </row>
    <row r="39231" spans="1:3">
      <c r="A39231" s="250">
        <v>94274</v>
      </c>
      <c r="B39231" s="74" t="s">
        <v>5016</v>
      </c>
      <c r="C39231" s="74" t="s">
        <v>416</v>
      </c>
    </row>
    <row r="39232" spans="1:3">
      <c r="A39232" s="250">
        <v>94277</v>
      </c>
      <c r="B39232" s="74" t="s">
        <v>5016</v>
      </c>
      <c r="C39232" s="74" t="s">
        <v>416</v>
      </c>
    </row>
    <row r="39233" spans="1:3">
      <c r="A39233" s="250">
        <v>94278</v>
      </c>
      <c r="B39233" s="74" t="s">
        <v>5016</v>
      </c>
      <c r="C39233" s="74" t="s">
        <v>416</v>
      </c>
    </row>
    <row r="39234" spans="1:3">
      <c r="A39234" s="250">
        <v>94279</v>
      </c>
      <c r="B39234" s="74" t="s">
        <v>5016</v>
      </c>
      <c r="C39234" s="74" t="s">
        <v>416</v>
      </c>
    </row>
    <row r="39235" spans="1:3">
      <c r="A39235" s="250">
        <v>94280</v>
      </c>
      <c r="B39235" s="74" t="s">
        <v>5016</v>
      </c>
      <c r="C39235" s="74" t="s">
        <v>416</v>
      </c>
    </row>
    <row r="39236" spans="1:3">
      <c r="A39236" s="250">
        <v>94282</v>
      </c>
      <c r="B39236" s="74" t="s">
        <v>5016</v>
      </c>
      <c r="C39236" s="74" t="s">
        <v>416</v>
      </c>
    </row>
    <row r="39237" spans="1:3">
      <c r="A39237" s="250">
        <v>94283</v>
      </c>
      <c r="B39237" s="74" t="s">
        <v>5016</v>
      </c>
      <c r="C39237" s="74" t="s">
        <v>416</v>
      </c>
    </row>
    <row r="39238" spans="1:3">
      <c r="A39238" s="250">
        <v>94284</v>
      </c>
      <c r="B39238" s="74" t="s">
        <v>5016</v>
      </c>
      <c r="C39238" s="74" t="s">
        <v>416</v>
      </c>
    </row>
    <row r="39239" spans="1:3">
      <c r="A39239" s="250">
        <v>94285</v>
      </c>
      <c r="B39239" s="74" t="s">
        <v>5016</v>
      </c>
      <c r="C39239" s="74" t="s">
        <v>416</v>
      </c>
    </row>
    <row r="39240" spans="1:3">
      <c r="A39240" s="250">
        <v>94286</v>
      </c>
      <c r="B39240" s="74" t="s">
        <v>5016</v>
      </c>
      <c r="C39240" s="74" t="s">
        <v>416</v>
      </c>
    </row>
    <row r="39241" spans="1:3">
      <c r="A39241" s="250">
        <v>94287</v>
      </c>
      <c r="B39241" s="74" t="s">
        <v>5016</v>
      </c>
      <c r="C39241" s="74" t="s">
        <v>416</v>
      </c>
    </row>
    <row r="39242" spans="1:3">
      <c r="A39242" s="250">
        <v>94288</v>
      </c>
      <c r="B39242" s="74" t="s">
        <v>5016</v>
      </c>
      <c r="C39242" s="74" t="s">
        <v>416</v>
      </c>
    </row>
    <row r="39243" spans="1:3">
      <c r="A39243" s="250">
        <v>94289</v>
      </c>
      <c r="B39243" s="74" t="s">
        <v>5016</v>
      </c>
      <c r="C39243" s="74" t="s">
        <v>416</v>
      </c>
    </row>
    <row r="39244" spans="1:3">
      <c r="A39244" s="250">
        <v>94290</v>
      </c>
      <c r="B39244" s="74" t="s">
        <v>5016</v>
      </c>
      <c r="C39244" s="74" t="s">
        <v>416</v>
      </c>
    </row>
    <row r="39245" spans="1:3">
      <c r="A39245" s="250">
        <v>94291</v>
      </c>
      <c r="B39245" s="74" t="s">
        <v>5016</v>
      </c>
      <c r="C39245" s="74" t="s">
        <v>416</v>
      </c>
    </row>
    <row r="39246" spans="1:3">
      <c r="A39246" s="250">
        <v>94293</v>
      </c>
      <c r="B39246" s="74" t="s">
        <v>5016</v>
      </c>
      <c r="C39246" s="74" t="s">
        <v>416</v>
      </c>
    </row>
    <row r="39247" spans="1:3">
      <c r="A39247" s="250">
        <v>94294</v>
      </c>
      <c r="B39247" s="74" t="s">
        <v>5016</v>
      </c>
      <c r="C39247" s="74" t="s">
        <v>416</v>
      </c>
    </row>
    <row r="39248" spans="1:3">
      <c r="A39248" s="250">
        <v>94295</v>
      </c>
      <c r="B39248" s="74" t="s">
        <v>5016</v>
      </c>
      <c r="C39248" s="74" t="s">
        <v>416</v>
      </c>
    </row>
    <row r="39249" spans="1:3">
      <c r="A39249" s="250">
        <v>94296</v>
      </c>
      <c r="B39249" s="74" t="s">
        <v>5016</v>
      </c>
      <c r="C39249" s="74" t="s">
        <v>416</v>
      </c>
    </row>
    <row r="39250" spans="1:3">
      <c r="A39250" s="250">
        <v>94297</v>
      </c>
      <c r="B39250" s="74" t="s">
        <v>5016</v>
      </c>
      <c r="C39250" s="74" t="s">
        <v>416</v>
      </c>
    </row>
    <row r="39251" spans="1:3">
      <c r="A39251" s="250">
        <v>94298</v>
      </c>
      <c r="B39251" s="74" t="s">
        <v>5016</v>
      </c>
      <c r="C39251" s="74" t="s">
        <v>416</v>
      </c>
    </row>
    <row r="39252" spans="1:3">
      <c r="A39252" s="250">
        <v>94299</v>
      </c>
      <c r="B39252" s="74" t="s">
        <v>5016</v>
      </c>
      <c r="C39252" s="74" t="s">
        <v>416</v>
      </c>
    </row>
    <row r="39253" spans="1:3">
      <c r="A39253" s="250">
        <v>94301</v>
      </c>
      <c r="B39253" s="74" t="s">
        <v>18068</v>
      </c>
      <c r="C39253" s="74" t="s">
        <v>416</v>
      </c>
    </row>
    <row r="39254" spans="1:3">
      <c r="A39254" s="250">
        <v>94302</v>
      </c>
      <c r="B39254" s="74" t="s">
        <v>18068</v>
      </c>
      <c r="C39254" s="74" t="s">
        <v>416</v>
      </c>
    </row>
    <row r="39255" spans="1:3">
      <c r="A39255" s="250">
        <v>94303</v>
      </c>
      <c r="B39255" s="74" t="s">
        <v>18068</v>
      </c>
      <c r="C39255" s="74" t="s">
        <v>416</v>
      </c>
    </row>
    <row r="39256" spans="1:3">
      <c r="A39256" s="250">
        <v>94304</v>
      </c>
      <c r="B39256" s="74" t="s">
        <v>18068</v>
      </c>
      <c r="C39256" s="74" t="s">
        <v>416</v>
      </c>
    </row>
    <row r="39257" spans="1:3">
      <c r="A39257" s="250">
        <v>94305</v>
      </c>
      <c r="B39257" s="74" t="s">
        <v>9655</v>
      </c>
      <c r="C39257" s="74" t="s">
        <v>416</v>
      </c>
    </row>
    <row r="39258" spans="1:3">
      <c r="A39258" s="250">
        <v>94306</v>
      </c>
      <c r="B39258" s="74" t="s">
        <v>18068</v>
      </c>
      <c r="C39258" s="74" t="s">
        <v>416</v>
      </c>
    </row>
    <row r="39259" spans="1:3">
      <c r="A39259" s="250">
        <v>94309</v>
      </c>
      <c r="B39259" s="74" t="s">
        <v>18068</v>
      </c>
      <c r="C39259" s="74" t="s">
        <v>416</v>
      </c>
    </row>
    <row r="39260" spans="1:3">
      <c r="A39260" s="250">
        <v>94401</v>
      </c>
      <c r="B39260" s="74" t="s">
        <v>8266</v>
      </c>
      <c r="C39260" s="74" t="s">
        <v>416</v>
      </c>
    </row>
    <row r="39261" spans="1:3">
      <c r="A39261" s="250">
        <v>94402</v>
      </c>
      <c r="B39261" s="74" t="s">
        <v>8266</v>
      </c>
      <c r="C39261" s="74" t="s">
        <v>416</v>
      </c>
    </row>
    <row r="39262" spans="1:3">
      <c r="A39262" s="250">
        <v>94403</v>
      </c>
      <c r="B39262" s="74" t="s">
        <v>8266</v>
      </c>
      <c r="C39262" s="74" t="s">
        <v>416</v>
      </c>
    </row>
    <row r="39263" spans="1:3">
      <c r="A39263" s="250">
        <v>94404</v>
      </c>
      <c r="B39263" s="74" t="s">
        <v>8266</v>
      </c>
      <c r="C39263" s="74" t="s">
        <v>416</v>
      </c>
    </row>
    <row r="39264" spans="1:3">
      <c r="A39264" s="250">
        <v>94497</v>
      </c>
      <c r="B39264" s="74" t="s">
        <v>8266</v>
      </c>
      <c r="C39264" s="74" t="s">
        <v>416</v>
      </c>
    </row>
    <row r="39265" spans="1:3">
      <c r="A39265" s="250">
        <v>94501</v>
      </c>
      <c r="B39265" s="74" t="s">
        <v>18069</v>
      </c>
      <c r="C39265" s="74" t="s">
        <v>416</v>
      </c>
    </row>
    <row r="39266" spans="1:3">
      <c r="A39266" s="250">
        <v>94502</v>
      </c>
      <c r="B39266" s="74" t="s">
        <v>18069</v>
      </c>
      <c r="C39266" s="74" t="s">
        <v>416</v>
      </c>
    </row>
    <row r="39267" spans="1:3">
      <c r="A39267" s="250">
        <v>94503</v>
      </c>
      <c r="B39267" s="74" t="s">
        <v>18070</v>
      </c>
      <c r="C39267" s="74" t="s">
        <v>416</v>
      </c>
    </row>
    <row r="39268" spans="1:3">
      <c r="A39268" s="250">
        <v>94505</v>
      </c>
      <c r="B39268" s="74" t="s">
        <v>18071</v>
      </c>
      <c r="C39268" s="74" t="s">
        <v>416</v>
      </c>
    </row>
    <row r="39269" spans="1:3">
      <c r="A39269" s="250">
        <v>94506</v>
      </c>
      <c r="B39269" s="74" t="s">
        <v>1302</v>
      </c>
      <c r="C39269" s="74" t="s">
        <v>416</v>
      </c>
    </row>
    <row r="39270" spans="1:3">
      <c r="A39270" s="250">
        <v>94507</v>
      </c>
      <c r="B39270" s="74" t="s">
        <v>7934</v>
      </c>
      <c r="C39270" s="74" t="s">
        <v>416</v>
      </c>
    </row>
    <row r="39271" spans="1:3">
      <c r="A39271" s="250">
        <v>94508</v>
      </c>
      <c r="B39271" s="74" t="s">
        <v>18072</v>
      </c>
      <c r="C39271" s="74" t="s">
        <v>416</v>
      </c>
    </row>
    <row r="39272" spans="1:3">
      <c r="A39272" s="250">
        <v>94509</v>
      </c>
      <c r="B39272" s="74" t="s">
        <v>8983</v>
      </c>
      <c r="C39272" s="74" t="s">
        <v>416</v>
      </c>
    </row>
    <row r="39273" spans="1:3">
      <c r="A39273" s="250">
        <v>94510</v>
      </c>
      <c r="B39273" s="74" t="s">
        <v>18073</v>
      </c>
      <c r="C39273" s="74" t="s">
        <v>416</v>
      </c>
    </row>
    <row r="39274" spans="1:3">
      <c r="A39274" s="250">
        <v>94511</v>
      </c>
      <c r="B39274" s="74" t="s">
        <v>18074</v>
      </c>
      <c r="C39274" s="74" t="s">
        <v>416</v>
      </c>
    </row>
    <row r="39275" spans="1:3">
      <c r="A39275" s="250">
        <v>94512</v>
      </c>
      <c r="B39275" s="74" t="s">
        <v>18075</v>
      </c>
      <c r="C39275" s="74" t="s">
        <v>416</v>
      </c>
    </row>
    <row r="39276" spans="1:3">
      <c r="A39276" s="250">
        <v>94513</v>
      </c>
      <c r="B39276" s="74" t="s">
        <v>2811</v>
      </c>
      <c r="C39276" s="74" t="s">
        <v>416</v>
      </c>
    </row>
    <row r="39277" spans="1:3">
      <c r="A39277" s="250">
        <v>94514</v>
      </c>
      <c r="B39277" s="74" t="s">
        <v>3758</v>
      </c>
      <c r="C39277" s="74" t="s">
        <v>416</v>
      </c>
    </row>
    <row r="39278" spans="1:3">
      <c r="A39278" s="250">
        <v>94515</v>
      </c>
      <c r="B39278" s="74" t="s">
        <v>18076</v>
      </c>
      <c r="C39278" s="74" t="s">
        <v>416</v>
      </c>
    </row>
    <row r="39279" spans="1:3">
      <c r="A39279" s="250">
        <v>94516</v>
      </c>
      <c r="B39279" s="74" t="s">
        <v>12448</v>
      </c>
      <c r="C39279" s="74" t="s">
        <v>416</v>
      </c>
    </row>
    <row r="39280" spans="1:3">
      <c r="A39280" s="250">
        <v>94517</v>
      </c>
      <c r="B39280" s="74" t="s">
        <v>2476</v>
      </c>
      <c r="C39280" s="74" t="s">
        <v>416</v>
      </c>
    </row>
    <row r="39281" spans="1:3">
      <c r="A39281" s="250">
        <v>94518</v>
      </c>
      <c r="B39281" s="74" t="s">
        <v>787</v>
      </c>
      <c r="C39281" s="74" t="s">
        <v>416</v>
      </c>
    </row>
    <row r="39282" spans="1:3">
      <c r="A39282" s="250">
        <v>94519</v>
      </c>
      <c r="B39282" s="74" t="s">
        <v>787</v>
      </c>
      <c r="C39282" s="74" t="s">
        <v>416</v>
      </c>
    </row>
    <row r="39283" spans="1:3">
      <c r="A39283" s="250">
        <v>94520</v>
      </c>
      <c r="B39283" s="74" t="s">
        <v>787</v>
      </c>
      <c r="C39283" s="74" t="s">
        <v>416</v>
      </c>
    </row>
    <row r="39284" spans="1:3">
      <c r="A39284" s="250">
        <v>94521</v>
      </c>
      <c r="B39284" s="74" t="s">
        <v>787</v>
      </c>
      <c r="C39284" s="74" t="s">
        <v>416</v>
      </c>
    </row>
    <row r="39285" spans="1:3">
      <c r="A39285" s="250">
        <v>94522</v>
      </c>
      <c r="B39285" s="74" t="s">
        <v>787</v>
      </c>
      <c r="C39285" s="74" t="s">
        <v>416</v>
      </c>
    </row>
    <row r="39286" spans="1:3">
      <c r="A39286" s="250">
        <v>94523</v>
      </c>
      <c r="B39286" s="74" t="s">
        <v>7214</v>
      </c>
      <c r="C39286" s="74" t="s">
        <v>416</v>
      </c>
    </row>
    <row r="39287" spans="1:3">
      <c r="A39287" s="250">
        <v>94524</v>
      </c>
      <c r="B39287" s="74" t="s">
        <v>787</v>
      </c>
      <c r="C39287" s="74" t="s">
        <v>416</v>
      </c>
    </row>
    <row r="39288" spans="1:3">
      <c r="A39288" s="250">
        <v>94525</v>
      </c>
      <c r="B39288" s="74" t="s">
        <v>6354</v>
      </c>
      <c r="C39288" s="74" t="s">
        <v>416</v>
      </c>
    </row>
    <row r="39289" spans="1:3">
      <c r="A39289" s="250">
        <v>94526</v>
      </c>
      <c r="B39289" s="74" t="s">
        <v>1302</v>
      </c>
      <c r="C39289" s="74" t="s">
        <v>416</v>
      </c>
    </row>
    <row r="39290" spans="1:3">
      <c r="A39290" s="250">
        <v>94527</v>
      </c>
      <c r="B39290" s="74" t="s">
        <v>787</v>
      </c>
      <c r="C39290" s="74" t="s">
        <v>416</v>
      </c>
    </row>
    <row r="39291" spans="1:3">
      <c r="A39291" s="250">
        <v>94528</v>
      </c>
      <c r="B39291" s="74" t="s">
        <v>18077</v>
      </c>
      <c r="C39291" s="74" t="s">
        <v>416</v>
      </c>
    </row>
    <row r="39292" spans="1:3">
      <c r="A39292" s="250">
        <v>94529</v>
      </c>
      <c r="B39292" s="74" t="s">
        <v>787</v>
      </c>
      <c r="C39292" s="74" t="s">
        <v>416</v>
      </c>
    </row>
    <row r="39293" spans="1:3">
      <c r="A39293" s="250">
        <v>94530</v>
      </c>
      <c r="B39293" s="74" t="s">
        <v>18078</v>
      </c>
      <c r="C39293" s="74" t="s">
        <v>416</v>
      </c>
    </row>
    <row r="39294" spans="1:3">
      <c r="A39294" s="250">
        <v>94531</v>
      </c>
      <c r="B39294" s="74" t="s">
        <v>8983</v>
      </c>
      <c r="C39294" s="74" t="s">
        <v>416</v>
      </c>
    </row>
    <row r="39295" spans="1:3">
      <c r="A39295" s="250">
        <v>94533</v>
      </c>
      <c r="B39295" s="74" t="s">
        <v>1694</v>
      </c>
      <c r="C39295" s="74" t="s">
        <v>416</v>
      </c>
    </row>
    <row r="39296" spans="1:3">
      <c r="A39296" s="250">
        <v>94534</v>
      </c>
      <c r="B39296" s="74" t="s">
        <v>1694</v>
      </c>
      <c r="C39296" s="74" t="s">
        <v>416</v>
      </c>
    </row>
    <row r="39297" spans="1:3">
      <c r="A39297" s="250">
        <v>94535</v>
      </c>
      <c r="B39297" s="74" t="s">
        <v>18079</v>
      </c>
      <c r="C39297" s="74" t="s">
        <v>416</v>
      </c>
    </row>
    <row r="39298" spans="1:3">
      <c r="A39298" s="250">
        <v>94536</v>
      </c>
      <c r="B39298" s="74" t="s">
        <v>1157</v>
      </c>
      <c r="C39298" s="74" t="s">
        <v>416</v>
      </c>
    </row>
    <row r="39299" spans="1:3">
      <c r="A39299" s="250">
        <v>94537</v>
      </c>
      <c r="B39299" s="74" t="s">
        <v>1157</v>
      </c>
      <c r="C39299" s="74" t="s">
        <v>416</v>
      </c>
    </row>
    <row r="39300" spans="1:3">
      <c r="A39300" s="250">
        <v>94538</v>
      </c>
      <c r="B39300" s="74" t="s">
        <v>1157</v>
      </c>
      <c r="C39300" s="74" t="s">
        <v>416</v>
      </c>
    </row>
    <row r="39301" spans="1:3">
      <c r="A39301" s="250">
        <v>94539</v>
      </c>
      <c r="B39301" s="74" t="s">
        <v>1157</v>
      </c>
      <c r="C39301" s="74" t="s">
        <v>416</v>
      </c>
    </row>
    <row r="39302" spans="1:3">
      <c r="A39302" s="250">
        <v>94540</v>
      </c>
      <c r="B39302" s="74" t="s">
        <v>12301</v>
      </c>
      <c r="C39302" s="74" t="s">
        <v>416</v>
      </c>
    </row>
    <row r="39303" spans="1:3">
      <c r="A39303" s="250">
        <v>94541</v>
      </c>
      <c r="B39303" s="74" t="s">
        <v>12301</v>
      </c>
      <c r="C39303" s="74" t="s">
        <v>416</v>
      </c>
    </row>
    <row r="39304" spans="1:3">
      <c r="A39304" s="250">
        <v>94542</v>
      </c>
      <c r="B39304" s="74" t="s">
        <v>12301</v>
      </c>
      <c r="C39304" s="74" t="s">
        <v>416</v>
      </c>
    </row>
    <row r="39305" spans="1:3">
      <c r="A39305" s="250">
        <v>94543</v>
      </c>
      <c r="B39305" s="74" t="s">
        <v>12301</v>
      </c>
      <c r="C39305" s="74" t="s">
        <v>416</v>
      </c>
    </row>
    <row r="39306" spans="1:3">
      <c r="A39306" s="250">
        <v>94544</v>
      </c>
      <c r="B39306" s="74" t="s">
        <v>12301</v>
      </c>
      <c r="C39306" s="74" t="s">
        <v>416</v>
      </c>
    </row>
    <row r="39307" spans="1:3">
      <c r="A39307" s="250">
        <v>94545</v>
      </c>
      <c r="B39307" s="74" t="s">
        <v>12301</v>
      </c>
      <c r="C39307" s="74" t="s">
        <v>416</v>
      </c>
    </row>
    <row r="39308" spans="1:3">
      <c r="A39308" s="250">
        <v>94546</v>
      </c>
      <c r="B39308" s="74" t="s">
        <v>18080</v>
      </c>
      <c r="C39308" s="74" t="s">
        <v>416</v>
      </c>
    </row>
    <row r="39309" spans="1:3">
      <c r="A39309" s="250">
        <v>94547</v>
      </c>
      <c r="B39309" s="74" t="s">
        <v>18081</v>
      </c>
      <c r="C39309" s="74" t="s">
        <v>416</v>
      </c>
    </row>
    <row r="39310" spans="1:3">
      <c r="A39310" s="250">
        <v>94548</v>
      </c>
      <c r="B39310" s="74" t="s">
        <v>18082</v>
      </c>
      <c r="C39310" s="74" t="s">
        <v>416</v>
      </c>
    </row>
    <row r="39311" spans="1:3">
      <c r="A39311" s="250">
        <v>94549</v>
      </c>
      <c r="B39311" s="74" t="s">
        <v>2315</v>
      </c>
      <c r="C39311" s="74" t="s">
        <v>416</v>
      </c>
    </row>
    <row r="39312" spans="1:3">
      <c r="A39312" s="250">
        <v>94550</v>
      </c>
      <c r="B39312" s="74" t="s">
        <v>1446</v>
      </c>
      <c r="C39312" s="74" t="s">
        <v>416</v>
      </c>
    </row>
    <row r="39313" spans="1:3">
      <c r="A39313" s="250">
        <v>94551</v>
      </c>
      <c r="B39313" s="74" t="s">
        <v>1446</v>
      </c>
      <c r="C39313" s="74" t="s">
        <v>416</v>
      </c>
    </row>
    <row r="39314" spans="1:3">
      <c r="A39314" s="250">
        <v>94552</v>
      </c>
      <c r="B39314" s="74" t="s">
        <v>18080</v>
      </c>
      <c r="C39314" s="74" t="s">
        <v>416</v>
      </c>
    </row>
    <row r="39315" spans="1:3">
      <c r="A39315" s="250">
        <v>94553</v>
      </c>
      <c r="B39315" s="74" t="s">
        <v>18083</v>
      </c>
      <c r="C39315" s="74" t="s">
        <v>416</v>
      </c>
    </row>
    <row r="39316" spans="1:3">
      <c r="A39316" s="250">
        <v>94555</v>
      </c>
      <c r="B39316" s="74" t="s">
        <v>1157</v>
      </c>
      <c r="C39316" s="74" t="s">
        <v>416</v>
      </c>
    </row>
    <row r="39317" spans="1:3">
      <c r="A39317" s="250">
        <v>94556</v>
      </c>
      <c r="B39317" s="74" t="s">
        <v>18084</v>
      </c>
      <c r="C39317" s="74" t="s">
        <v>416</v>
      </c>
    </row>
    <row r="39318" spans="1:3">
      <c r="A39318" s="250">
        <v>94557</v>
      </c>
      <c r="B39318" s="74" t="s">
        <v>12301</v>
      </c>
      <c r="C39318" s="74" t="s">
        <v>416</v>
      </c>
    </row>
    <row r="39319" spans="1:3">
      <c r="A39319" s="250">
        <v>94558</v>
      </c>
      <c r="B39319" s="74" t="s">
        <v>18085</v>
      </c>
      <c r="C39319" s="74" t="s">
        <v>416</v>
      </c>
    </row>
    <row r="39320" spans="1:3">
      <c r="A39320" s="250">
        <v>94559</v>
      </c>
      <c r="B39320" s="74" t="s">
        <v>18085</v>
      </c>
      <c r="C39320" s="74" t="s">
        <v>416</v>
      </c>
    </row>
    <row r="39321" spans="1:3">
      <c r="A39321" s="250">
        <v>94560</v>
      </c>
      <c r="B39321" s="74" t="s">
        <v>2172</v>
      </c>
      <c r="C39321" s="74" t="s">
        <v>416</v>
      </c>
    </row>
    <row r="39322" spans="1:3">
      <c r="A39322" s="250">
        <v>94561</v>
      </c>
      <c r="B39322" s="74" t="s">
        <v>11104</v>
      </c>
      <c r="C39322" s="74" t="s">
        <v>416</v>
      </c>
    </row>
    <row r="39323" spans="1:3">
      <c r="A39323" s="250">
        <v>94562</v>
      </c>
      <c r="B39323" s="74" t="s">
        <v>2090</v>
      </c>
      <c r="C39323" s="74" t="s">
        <v>416</v>
      </c>
    </row>
    <row r="39324" spans="1:3">
      <c r="A39324" s="250">
        <v>94563</v>
      </c>
      <c r="B39324" s="74" t="s">
        <v>18086</v>
      </c>
      <c r="C39324" s="74" t="s">
        <v>416</v>
      </c>
    </row>
    <row r="39325" spans="1:3">
      <c r="A39325" s="250">
        <v>94564</v>
      </c>
      <c r="B39325" s="74" t="s">
        <v>18087</v>
      </c>
      <c r="C39325" s="74" t="s">
        <v>416</v>
      </c>
    </row>
    <row r="39326" spans="1:3">
      <c r="A39326" s="250">
        <v>94565</v>
      </c>
      <c r="B39326" s="74" t="s">
        <v>1259</v>
      </c>
      <c r="C39326" s="74" t="s">
        <v>416</v>
      </c>
    </row>
    <row r="39327" spans="1:3">
      <c r="A39327" s="250">
        <v>94566</v>
      </c>
      <c r="B39327" s="74" t="s">
        <v>14504</v>
      </c>
      <c r="C39327" s="74" t="s">
        <v>416</v>
      </c>
    </row>
    <row r="39328" spans="1:3">
      <c r="A39328" s="250">
        <v>94567</v>
      </c>
      <c r="B39328" s="74" t="s">
        <v>18088</v>
      </c>
      <c r="C39328" s="74" t="s">
        <v>416</v>
      </c>
    </row>
    <row r="39329" spans="1:3">
      <c r="A39329" s="250">
        <v>94568</v>
      </c>
      <c r="B39329" s="74" t="s">
        <v>1230</v>
      </c>
      <c r="C39329" s="74" t="s">
        <v>416</v>
      </c>
    </row>
    <row r="39330" spans="1:3">
      <c r="A39330" s="250">
        <v>94569</v>
      </c>
      <c r="B39330" s="74" t="s">
        <v>18089</v>
      </c>
      <c r="C39330" s="74" t="s">
        <v>416</v>
      </c>
    </row>
    <row r="39331" spans="1:3">
      <c r="A39331" s="250">
        <v>94570</v>
      </c>
      <c r="B39331" s="74" t="s">
        <v>18084</v>
      </c>
      <c r="C39331" s="74" t="s">
        <v>416</v>
      </c>
    </row>
    <row r="39332" spans="1:3">
      <c r="A39332" s="250">
        <v>94571</v>
      </c>
      <c r="B39332" s="74" t="s">
        <v>15975</v>
      </c>
      <c r="C39332" s="74" t="s">
        <v>416</v>
      </c>
    </row>
    <row r="39333" spans="1:3">
      <c r="A39333" s="250">
        <v>94572</v>
      </c>
      <c r="B39333" s="74" t="s">
        <v>17525</v>
      </c>
      <c r="C39333" s="74" t="s">
        <v>416</v>
      </c>
    </row>
    <row r="39334" spans="1:3">
      <c r="A39334" s="250">
        <v>94573</v>
      </c>
      <c r="B39334" s="74" t="s">
        <v>2153</v>
      </c>
      <c r="C39334" s="74" t="s">
        <v>416</v>
      </c>
    </row>
    <row r="39335" spans="1:3">
      <c r="A39335" s="250">
        <v>94574</v>
      </c>
      <c r="B39335" s="74" t="s">
        <v>14829</v>
      </c>
      <c r="C39335" s="74" t="s">
        <v>416</v>
      </c>
    </row>
    <row r="39336" spans="1:3">
      <c r="A39336" s="250">
        <v>94575</v>
      </c>
      <c r="B39336" s="74" t="s">
        <v>18084</v>
      </c>
      <c r="C39336" s="74" t="s">
        <v>416</v>
      </c>
    </row>
    <row r="39337" spans="1:3">
      <c r="A39337" s="250">
        <v>94576</v>
      </c>
      <c r="B39337" s="74" t="s">
        <v>2821</v>
      </c>
      <c r="C39337" s="74" t="s">
        <v>416</v>
      </c>
    </row>
    <row r="39338" spans="1:3">
      <c r="A39338" s="250">
        <v>94577</v>
      </c>
      <c r="B39338" s="74" t="s">
        <v>18090</v>
      </c>
      <c r="C39338" s="74" t="s">
        <v>416</v>
      </c>
    </row>
    <row r="39339" spans="1:3">
      <c r="A39339" s="250">
        <v>94578</v>
      </c>
      <c r="B39339" s="74" t="s">
        <v>18090</v>
      </c>
      <c r="C39339" s="74" t="s">
        <v>416</v>
      </c>
    </row>
    <row r="39340" spans="1:3">
      <c r="A39340" s="250">
        <v>94579</v>
      </c>
      <c r="B39340" s="74" t="s">
        <v>18090</v>
      </c>
      <c r="C39340" s="74" t="s">
        <v>416</v>
      </c>
    </row>
    <row r="39341" spans="1:3">
      <c r="A39341" s="250">
        <v>94580</v>
      </c>
      <c r="B39341" s="74" t="s">
        <v>540</v>
      </c>
      <c r="C39341" s="74" t="s">
        <v>416</v>
      </c>
    </row>
    <row r="39342" spans="1:3">
      <c r="A39342" s="250">
        <v>94581</v>
      </c>
      <c r="B39342" s="74" t="s">
        <v>18085</v>
      </c>
      <c r="C39342" s="74" t="s">
        <v>416</v>
      </c>
    </row>
    <row r="39343" spans="1:3">
      <c r="A39343" s="250">
        <v>94582</v>
      </c>
      <c r="B39343" s="74" t="s">
        <v>18091</v>
      </c>
      <c r="C39343" s="74" t="s">
        <v>416</v>
      </c>
    </row>
    <row r="39344" spans="1:3">
      <c r="A39344" s="250">
        <v>94583</v>
      </c>
      <c r="B39344" s="74" t="s">
        <v>18091</v>
      </c>
      <c r="C39344" s="74" t="s">
        <v>416</v>
      </c>
    </row>
    <row r="39345" spans="1:3">
      <c r="A39345" s="250">
        <v>94585</v>
      </c>
      <c r="B39345" s="74" t="s">
        <v>18092</v>
      </c>
      <c r="C39345" s="74" t="s">
        <v>416</v>
      </c>
    </row>
    <row r="39346" spans="1:3">
      <c r="A39346" s="250">
        <v>94586</v>
      </c>
      <c r="B39346" s="74" t="s">
        <v>18093</v>
      </c>
      <c r="C39346" s="74" t="s">
        <v>416</v>
      </c>
    </row>
    <row r="39347" spans="1:3">
      <c r="A39347" s="250">
        <v>94587</v>
      </c>
      <c r="B39347" s="74" t="s">
        <v>2166</v>
      </c>
      <c r="C39347" s="74" t="s">
        <v>416</v>
      </c>
    </row>
    <row r="39348" spans="1:3">
      <c r="A39348" s="250">
        <v>94588</v>
      </c>
      <c r="B39348" s="74" t="s">
        <v>14504</v>
      </c>
      <c r="C39348" s="74" t="s">
        <v>416</v>
      </c>
    </row>
    <row r="39349" spans="1:3">
      <c r="A39349" s="250">
        <v>94589</v>
      </c>
      <c r="B39349" s="74" t="s">
        <v>18094</v>
      </c>
      <c r="C39349" s="74" t="s">
        <v>416</v>
      </c>
    </row>
    <row r="39350" spans="1:3">
      <c r="A39350" s="250">
        <v>94590</v>
      </c>
      <c r="B39350" s="74" t="s">
        <v>18094</v>
      </c>
      <c r="C39350" s="74" t="s">
        <v>416</v>
      </c>
    </row>
    <row r="39351" spans="1:3">
      <c r="A39351" s="250">
        <v>94591</v>
      </c>
      <c r="B39351" s="74" t="s">
        <v>18094</v>
      </c>
      <c r="C39351" s="74" t="s">
        <v>416</v>
      </c>
    </row>
    <row r="39352" spans="1:3">
      <c r="A39352" s="250">
        <v>94592</v>
      </c>
      <c r="B39352" s="74" t="s">
        <v>18094</v>
      </c>
      <c r="C39352" s="74" t="s">
        <v>416</v>
      </c>
    </row>
    <row r="39353" spans="1:3">
      <c r="A39353" s="250">
        <v>94595</v>
      </c>
      <c r="B39353" s="74" t="s">
        <v>10414</v>
      </c>
      <c r="C39353" s="74" t="s">
        <v>416</v>
      </c>
    </row>
    <row r="39354" spans="1:3">
      <c r="A39354" s="250">
        <v>94596</v>
      </c>
      <c r="B39354" s="74" t="s">
        <v>10414</v>
      </c>
      <c r="C39354" s="74" t="s">
        <v>416</v>
      </c>
    </row>
    <row r="39355" spans="1:3">
      <c r="A39355" s="250">
        <v>94597</v>
      </c>
      <c r="B39355" s="74" t="s">
        <v>10414</v>
      </c>
      <c r="C39355" s="74" t="s">
        <v>416</v>
      </c>
    </row>
    <row r="39356" spans="1:3">
      <c r="A39356" s="250">
        <v>94598</v>
      </c>
      <c r="B39356" s="74" t="s">
        <v>10414</v>
      </c>
      <c r="C39356" s="74" t="s">
        <v>416</v>
      </c>
    </row>
    <row r="39357" spans="1:3">
      <c r="A39357" s="250">
        <v>94599</v>
      </c>
      <c r="B39357" s="74" t="s">
        <v>18095</v>
      </c>
      <c r="C39357" s="74" t="s">
        <v>416</v>
      </c>
    </row>
    <row r="39358" spans="1:3">
      <c r="A39358" s="250">
        <v>94601</v>
      </c>
      <c r="B39358" s="74" t="s">
        <v>1121</v>
      </c>
      <c r="C39358" s="74" t="s">
        <v>416</v>
      </c>
    </row>
    <row r="39359" spans="1:3">
      <c r="A39359" s="250">
        <v>94602</v>
      </c>
      <c r="B39359" s="74" t="s">
        <v>1121</v>
      </c>
      <c r="C39359" s="74" t="s">
        <v>416</v>
      </c>
    </row>
    <row r="39360" spans="1:3">
      <c r="A39360" s="250">
        <v>94603</v>
      </c>
      <c r="B39360" s="74" t="s">
        <v>1121</v>
      </c>
      <c r="C39360" s="74" t="s">
        <v>416</v>
      </c>
    </row>
    <row r="39361" spans="1:3">
      <c r="A39361" s="250">
        <v>94604</v>
      </c>
      <c r="B39361" s="74" t="s">
        <v>1121</v>
      </c>
      <c r="C39361" s="74" t="s">
        <v>416</v>
      </c>
    </row>
    <row r="39362" spans="1:3">
      <c r="A39362" s="250">
        <v>94605</v>
      </c>
      <c r="B39362" s="74" t="s">
        <v>1121</v>
      </c>
      <c r="C39362" s="74" t="s">
        <v>416</v>
      </c>
    </row>
    <row r="39363" spans="1:3">
      <c r="A39363" s="250">
        <v>94606</v>
      </c>
      <c r="B39363" s="74" t="s">
        <v>1121</v>
      </c>
      <c r="C39363" s="74" t="s">
        <v>416</v>
      </c>
    </row>
    <row r="39364" spans="1:3">
      <c r="A39364" s="250">
        <v>94607</v>
      </c>
      <c r="B39364" s="74" t="s">
        <v>1121</v>
      </c>
      <c r="C39364" s="74" t="s">
        <v>416</v>
      </c>
    </row>
    <row r="39365" spans="1:3">
      <c r="A39365" s="250">
        <v>94608</v>
      </c>
      <c r="B39365" s="74" t="s">
        <v>18096</v>
      </c>
      <c r="C39365" s="74" t="s">
        <v>416</v>
      </c>
    </row>
    <row r="39366" spans="1:3">
      <c r="A39366" s="250">
        <v>94609</v>
      </c>
      <c r="B39366" s="74" t="s">
        <v>1121</v>
      </c>
      <c r="C39366" s="74" t="s">
        <v>416</v>
      </c>
    </row>
    <row r="39367" spans="1:3">
      <c r="A39367" s="250">
        <v>94610</v>
      </c>
      <c r="B39367" s="74" t="s">
        <v>1121</v>
      </c>
      <c r="C39367" s="74" t="s">
        <v>416</v>
      </c>
    </row>
    <row r="39368" spans="1:3">
      <c r="A39368" s="250">
        <v>94611</v>
      </c>
      <c r="B39368" s="74" t="s">
        <v>1121</v>
      </c>
      <c r="C39368" s="74" t="s">
        <v>416</v>
      </c>
    </row>
    <row r="39369" spans="1:3">
      <c r="A39369" s="250">
        <v>94612</v>
      </c>
      <c r="B39369" s="74" t="s">
        <v>1121</v>
      </c>
      <c r="C39369" s="74" t="s">
        <v>416</v>
      </c>
    </row>
    <row r="39370" spans="1:3">
      <c r="A39370" s="250">
        <v>94613</v>
      </c>
      <c r="B39370" s="74" t="s">
        <v>1121</v>
      </c>
      <c r="C39370" s="74" t="s">
        <v>416</v>
      </c>
    </row>
    <row r="39371" spans="1:3">
      <c r="A39371" s="250">
        <v>94614</v>
      </c>
      <c r="B39371" s="74" t="s">
        <v>1121</v>
      </c>
      <c r="C39371" s="74" t="s">
        <v>416</v>
      </c>
    </row>
    <row r="39372" spans="1:3">
      <c r="A39372" s="250">
        <v>94615</v>
      </c>
      <c r="B39372" s="74" t="s">
        <v>1121</v>
      </c>
      <c r="C39372" s="74" t="s">
        <v>416</v>
      </c>
    </row>
    <row r="39373" spans="1:3">
      <c r="A39373" s="250">
        <v>94617</v>
      </c>
      <c r="B39373" s="74" t="s">
        <v>1121</v>
      </c>
      <c r="C39373" s="74" t="s">
        <v>416</v>
      </c>
    </row>
    <row r="39374" spans="1:3">
      <c r="A39374" s="250">
        <v>94618</v>
      </c>
      <c r="B39374" s="74" t="s">
        <v>1121</v>
      </c>
      <c r="C39374" s="74" t="s">
        <v>416</v>
      </c>
    </row>
    <row r="39375" spans="1:3">
      <c r="A39375" s="250">
        <v>94619</v>
      </c>
      <c r="B39375" s="74" t="s">
        <v>1121</v>
      </c>
      <c r="C39375" s="74" t="s">
        <v>416</v>
      </c>
    </row>
    <row r="39376" spans="1:3">
      <c r="A39376" s="250">
        <v>94620</v>
      </c>
      <c r="B39376" s="74" t="s">
        <v>7028</v>
      </c>
      <c r="C39376" s="74" t="s">
        <v>416</v>
      </c>
    </row>
    <row r="39377" spans="1:3">
      <c r="A39377" s="250">
        <v>94621</v>
      </c>
      <c r="B39377" s="74" t="s">
        <v>1121</v>
      </c>
      <c r="C39377" s="74" t="s">
        <v>416</v>
      </c>
    </row>
    <row r="39378" spans="1:3">
      <c r="A39378" s="250">
        <v>94622</v>
      </c>
      <c r="B39378" s="74" t="s">
        <v>1121</v>
      </c>
      <c r="C39378" s="74" t="s">
        <v>416</v>
      </c>
    </row>
    <row r="39379" spans="1:3">
      <c r="A39379" s="250">
        <v>94623</v>
      </c>
      <c r="B39379" s="74" t="s">
        <v>1121</v>
      </c>
      <c r="C39379" s="74" t="s">
        <v>416</v>
      </c>
    </row>
    <row r="39380" spans="1:3">
      <c r="A39380" s="250">
        <v>94624</v>
      </c>
      <c r="B39380" s="74" t="s">
        <v>1121</v>
      </c>
      <c r="C39380" s="74" t="s">
        <v>416</v>
      </c>
    </row>
    <row r="39381" spans="1:3">
      <c r="A39381" s="250">
        <v>94625</v>
      </c>
      <c r="B39381" s="74" t="s">
        <v>1121</v>
      </c>
      <c r="C39381" s="74" t="s">
        <v>416</v>
      </c>
    </row>
    <row r="39382" spans="1:3">
      <c r="A39382" s="250">
        <v>94649</v>
      </c>
      <c r="B39382" s="74" t="s">
        <v>1121</v>
      </c>
      <c r="C39382" s="74" t="s">
        <v>416</v>
      </c>
    </row>
    <row r="39383" spans="1:3">
      <c r="A39383" s="250">
        <v>94659</v>
      </c>
      <c r="B39383" s="74" t="s">
        <v>1121</v>
      </c>
      <c r="C39383" s="74" t="s">
        <v>416</v>
      </c>
    </row>
    <row r="39384" spans="1:3">
      <c r="A39384" s="250">
        <v>94660</v>
      </c>
      <c r="B39384" s="74" t="s">
        <v>1121</v>
      </c>
      <c r="C39384" s="74" t="s">
        <v>416</v>
      </c>
    </row>
    <row r="39385" spans="1:3">
      <c r="A39385" s="250">
        <v>94661</v>
      </c>
      <c r="B39385" s="74" t="s">
        <v>1121</v>
      </c>
      <c r="C39385" s="74" t="s">
        <v>416</v>
      </c>
    </row>
    <row r="39386" spans="1:3">
      <c r="A39386" s="250">
        <v>94662</v>
      </c>
      <c r="B39386" s="74" t="s">
        <v>18096</v>
      </c>
      <c r="C39386" s="74" t="s">
        <v>416</v>
      </c>
    </row>
    <row r="39387" spans="1:3">
      <c r="A39387" s="250">
        <v>94666</v>
      </c>
      <c r="B39387" s="74" t="s">
        <v>1121</v>
      </c>
      <c r="C39387" s="74" t="s">
        <v>416</v>
      </c>
    </row>
    <row r="39388" spans="1:3">
      <c r="A39388" s="250">
        <v>94701</v>
      </c>
      <c r="B39388" s="74" t="s">
        <v>13485</v>
      </c>
      <c r="C39388" s="74" t="s">
        <v>416</v>
      </c>
    </row>
    <row r="39389" spans="1:3">
      <c r="A39389" s="250">
        <v>94702</v>
      </c>
      <c r="B39389" s="74" t="s">
        <v>13485</v>
      </c>
      <c r="C39389" s="74" t="s">
        <v>416</v>
      </c>
    </row>
    <row r="39390" spans="1:3">
      <c r="A39390" s="250">
        <v>94703</v>
      </c>
      <c r="B39390" s="74" t="s">
        <v>13485</v>
      </c>
      <c r="C39390" s="74" t="s">
        <v>416</v>
      </c>
    </row>
    <row r="39391" spans="1:3">
      <c r="A39391" s="250">
        <v>94704</v>
      </c>
      <c r="B39391" s="74" t="s">
        <v>13485</v>
      </c>
      <c r="C39391" s="74" t="s">
        <v>416</v>
      </c>
    </row>
    <row r="39392" spans="1:3">
      <c r="A39392" s="250">
        <v>94705</v>
      </c>
      <c r="B39392" s="74" t="s">
        <v>13485</v>
      </c>
      <c r="C39392" s="74" t="s">
        <v>416</v>
      </c>
    </row>
    <row r="39393" spans="1:3">
      <c r="A39393" s="250">
        <v>94706</v>
      </c>
      <c r="B39393" s="74" t="s">
        <v>1896</v>
      </c>
      <c r="C39393" s="74" t="s">
        <v>416</v>
      </c>
    </row>
    <row r="39394" spans="1:3">
      <c r="A39394" s="250">
        <v>94707</v>
      </c>
      <c r="B39394" s="74" t="s">
        <v>13485</v>
      </c>
      <c r="C39394" s="74" t="s">
        <v>416</v>
      </c>
    </row>
    <row r="39395" spans="1:3">
      <c r="A39395" s="250">
        <v>94708</v>
      </c>
      <c r="B39395" s="74" t="s">
        <v>13485</v>
      </c>
      <c r="C39395" s="74" t="s">
        <v>416</v>
      </c>
    </row>
    <row r="39396" spans="1:3">
      <c r="A39396" s="250">
        <v>94709</v>
      </c>
      <c r="B39396" s="74" t="s">
        <v>13485</v>
      </c>
      <c r="C39396" s="74" t="s">
        <v>416</v>
      </c>
    </row>
    <row r="39397" spans="1:3">
      <c r="A39397" s="250">
        <v>94710</v>
      </c>
      <c r="B39397" s="74" t="s">
        <v>13485</v>
      </c>
      <c r="C39397" s="74" t="s">
        <v>416</v>
      </c>
    </row>
    <row r="39398" spans="1:3">
      <c r="A39398" s="250">
        <v>94712</v>
      </c>
      <c r="B39398" s="74" t="s">
        <v>13485</v>
      </c>
      <c r="C39398" s="74" t="s">
        <v>416</v>
      </c>
    </row>
    <row r="39399" spans="1:3">
      <c r="A39399" s="250">
        <v>94720</v>
      </c>
      <c r="B39399" s="74" t="s">
        <v>13485</v>
      </c>
      <c r="C39399" s="74" t="s">
        <v>416</v>
      </c>
    </row>
    <row r="39400" spans="1:3">
      <c r="A39400" s="250">
        <v>94801</v>
      </c>
      <c r="B39400" s="74" t="s">
        <v>658</v>
      </c>
      <c r="C39400" s="74" t="s">
        <v>416</v>
      </c>
    </row>
    <row r="39401" spans="1:3">
      <c r="A39401" s="250">
        <v>94802</v>
      </c>
      <c r="B39401" s="74" t="s">
        <v>658</v>
      </c>
      <c r="C39401" s="74" t="s">
        <v>416</v>
      </c>
    </row>
    <row r="39402" spans="1:3">
      <c r="A39402" s="250">
        <v>94803</v>
      </c>
      <c r="B39402" s="74" t="s">
        <v>18097</v>
      </c>
      <c r="C39402" s="74" t="s">
        <v>416</v>
      </c>
    </row>
    <row r="39403" spans="1:3">
      <c r="A39403" s="250">
        <v>94804</v>
      </c>
      <c r="B39403" s="74" t="s">
        <v>658</v>
      </c>
      <c r="C39403" s="74" t="s">
        <v>416</v>
      </c>
    </row>
    <row r="39404" spans="1:3">
      <c r="A39404" s="250">
        <v>94805</v>
      </c>
      <c r="B39404" s="74" t="s">
        <v>658</v>
      </c>
      <c r="C39404" s="74" t="s">
        <v>416</v>
      </c>
    </row>
    <row r="39405" spans="1:3">
      <c r="A39405" s="250">
        <v>94806</v>
      </c>
      <c r="B39405" s="74" t="s">
        <v>16770</v>
      </c>
      <c r="C39405" s="74" t="s">
        <v>416</v>
      </c>
    </row>
    <row r="39406" spans="1:3">
      <c r="A39406" s="250">
        <v>94807</v>
      </c>
      <c r="B39406" s="74" t="s">
        <v>658</v>
      </c>
      <c r="C39406" s="74" t="s">
        <v>416</v>
      </c>
    </row>
    <row r="39407" spans="1:3">
      <c r="A39407" s="250">
        <v>94808</v>
      </c>
      <c r="B39407" s="74" t="s">
        <v>658</v>
      </c>
      <c r="C39407" s="74" t="s">
        <v>416</v>
      </c>
    </row>
    <row r="39408" spans="1:3">
      <c r="A39408" s="250">
        <v>94820</v>
      </c>
      <c r="B39408" s="74" t="s">
        <v>18097</v>
      </c>
      <c r="C39408" s="74" t="s">
        <v>416</v>
      </c>
    </row>
    <row r="39409" spans="1:3">
      <c r="A39409" s="250">
        <v>94850</v>
      </c>
      <c r="B39409" s="74" t="s">
        <v>658</v>
      </c>
      <c r="C39409" s="74" t="s">
        <v>416</v>
      </c>
    </row>
    <row r="39410" spans="1:3">
      <c r="A39410" s="250">
        <v>94901</v>
      </c>
      <c r="B39410" s="74" t="s">
        <v>17380</v>
      </c>
      <c r="C39410" s="74" t="s">
        <v>416</v>
      </c>
    </row>
    <row r="39411" spans="1:3">
      <c r="A39411" s="250">
        <v>94903</v>
      </c>
      <c r="B39411" s="74" t="s">
        <v>17380</v>
      </c>
      <c r="C39411" s="74" t="s">
        <v>416</v>
      </c>
    </row>
    <row r="39412" spans="1:3">
      <c r="A39412" s="250">
        <v>94904</v>
      </c>
      <c r="B39412" s="74" t="s">
        <v>18098</v>
      </c>
      <c r="C39412" s="74" t="s">
        <v>416</v>
      </c>
    </row>
    <row r="39413" spans="1:3">
      <c r="A39413" s="250">
        <v>94912</v>
      </c>
      <c r="B39413" s="74" t="s">
        <v>17380</v>
      </c>
      <c r="C39413" s="74" t="s">
        <v>416</v>
      </c>
    </row>
    <row r="39414" spans="1:3">
      <c r="A39414" s="250">
        <v>94913</v>
      </c>
      <c r="B39414" s="74" t="s">
        <v>17380</v>
      </c>
      <c r="C39414" s="74" t="s">
        <v>416</v>
      </c>
    </row>
    <row r="39415" spans="1:3">
      <c r="A39415" s="250">
        <v>94914</v>
      </c>
      <c r="B39415" s="74" t="s">
        <v>18099</v>
      </c>
      <c r="C39415" s="74" t="s">
        <v>416</v>
      </c>
    </row>
    <row r="39416" spans="1:3">
      <c r="A39416" s="250">
        <v>94915</v>
      </c>
      <c r="B39416" s="74" t="s">
        <v>17380</v>
      </c>
      <c r="C39416" s="74" t="s">
        <v>416</v>
      </c>
    </row>
    <row r="39417" spans="1:3">
      <c r="A39417" s="250">
        <v>94920</v>
      </c>
      <c r="B39417" s="74" t="s">
        <v>18100</v>
      </c>
      <c r="C39417" s="74" t="s">
        <v>416</v>
      </c>
    </row>
    <row r="39418" spans="1:3">
      <c r="A39418" s="250">
        <v>94922</v>
      </c>
      <c r="B39418" s="74" t="s">
        <v>18101</v>
      </c>
      <c r="C39418" s="74" t="s">
        <v>416</v>
      </c>
    </row>
    <row r="39419" spans="1:3">
      <c r="A39419" s="250">
        <v>94923</v>
      </c>
      <c r="B39419" s="74" t="s">
        <v>18102</v>
      </c>
      <c r="C39419" s="74" t="s">
        <v>416</v>
      </c>
    </row>
    <row r="39420" spans="1:3">
      <c r="A39420" s="250">
        <v>94924</v>
      </c>
      <c r="B39420" s="74" t="s">
        <v>18103</v>
      </c>
      <c r="C39420" s="74" t="s">
        <v>416</v>
      </c>
    </row>
    <row r="39421" spans="1:3">
      <c r="A39421" s="250">
        <v>94925</v>
      </c>
      <c r="B39421" s="74" t="s">
        <v>18104</v>
      </c>
      <c r="C39421" s="74" t="s">
        <v>416</v>
      </c>
    </row>
    <row r="39422" spans="1:3">
      <c r="A39422" s="250">
        <v>94926</v>
      </c>
      <c r="B39422" s="74" t="s">
        <v>18105</v>
      </c>
      <c r="C39422" s="74" t="s">
        <v>416</v>
      </c>
    </row>
    <row r="39423" spans="1:3">
      <c r="A39423" s="250">
        <v>94927</v>
      </c>
      <c r="B39423" s="74" t="s">
        <v>18105</v>
      </c>
      <c r="C39423" s="74" t="s">
        <v>416</v>
      </c>
    </row>
    <row r="39424" spans="1:3">
      <c r="A39424" s="250">
        <v>94928</v>
      </c>
      <c r="B39424" s="74" t="s">
        <v>18105</v>
      </c>
      <c r="C39424" s="74" t="s">
        <v>416</v>
      </c>
    </row>
    <row r="39425" spans="1:3">
      <c r="A39425" s="250">
        <v>94929</v>
      </c>
      <c r="B39425" s="74" t="s">
        <v>18106</v>
      </c>
      <c r="C39425" s="74" t="s">
        <v>416</v>
      </c>
    </row>
    <row r="39426" spans="1:3">
      <c r="A39426" s="250">
        <v>94930</v>
      </c>
      <c r="B39426" s="74" t="s">
        <v>1811</v>
      </c>
      <c r="C39426" s="74" t="s">
        <v>416</v>
      </c>
    </row>
    <row r="39427" spans="1:3">
      <c r="A39427" s="250">
        <v>94931</v>
      </c>
      <c r="B39427" s="74" t="s">
        <v>18107</v>
      </c>
      <c r="C39427" s="74" t="s">
        <v>416</v>
      </c>
    </row>
    <row r="39428" spans="1:3">
      <c r="A39428" s="250">
        <v>94933</v>
      </c>
      <c r="B39428" s="74" t="s">
        <v>18108</v>
      </c>
      <c r="C39428" s="74" t="s">
        <v>416</v>
      </c>
    </row>
    <row r="39429" spans="1:3">
      <c r="A39429" s="250">
        <v>94937</v>
      </c>
      <c r="B39429" s="74" t="s">
        <v>8573</v>
      </c>
      <c r="C39429" s="74" t="s">
        <v>416</v>
      </c>
    </row>
    <row r="39430" spans="1:3">
      <c r="A39430" s="250">
        <v>94938</v>
      </c>
      <c r="B39430" s="74" t="s">
        <v>18109</v>
      </c>
      <c r="C39430" s="74" t="s">
        <v>416</v>
      </c>
    </row>
    <row r="39431" spans="1:3">
      <c r="A39431" s="250">
        <v>94939</v>
      </c>
      <c r="B39431" s="74" t="s">
        <v>16639</v>
      </c>
      <c r="C39431" s="74" t="s">
        <v>416</v>
      </c>
    </row>
    <row r="39432" spans="1:3">
      <c r="A39432" s="250">
        <v>94940</v>
      </c>
      <c r="B39432" s="74" t="s">
        <v>5516</v>
      </c>
      <c r="C39432" s="74" t="s">
        <v>416</v>
      </c>
    </row>
    <row r="39433" spans="1:3">
      <c r="A39433" s="250">
        <v>94941</v>
      </c>
      <c r="B39433" s="74" t="s">
        <v>18110</v>
      </c>
      <c r="C39433" s="74" t="s">
        <v>416</v>
      </c>
    </row>
    <row r="39434" spans="1:3">
      <c r="A39434" s="250">
        <v>94942</v>
      </c>
      <c r="B39434" s="74" t="s">
        <v>18110</v>
      </c>
      <c r="C39434" s="74" t="s">
        <v>416</v>
      </c>
    </row>
    <row r="39435" spans="1:3">
      <c r="A39435" s="250">
        <v>94945</v>
      </c>
      <c r="B39435" s="74" t="s">
        <v>18111</v>
      </c>
      <c r="C39435" s="74" t="s">
        <v>416</v>
      </c>
    </row>
    <row r="39436" spans="1:3">
      <c r="A39436" s="250">
        <v>94946</v>
      </c>
      <c r="B39436" s="74" t="s">
        <v>18112</v>
      </c>
      <c r="C39436" s="74" t="s">
        <v>416</v>
      </c>
    </row>
    <row r="39437" spans="1:3">
      <c r="A39437" s="250">
        <v>94947</v>
      </c>
      <c r="B39437" s="74" t="s">
        <v>18111</v>
      </c>
      <c r="C39437" s="74" t="s">
        <v>416</v>
      </c>
    </row>
    <row r="39438" spans="1:3">
      <c r="A39438" s="250">
        <v>94948</v>
      </c>
      <c r="B39438" s="74" t="s">
        <v>18111</v>
      </c>
      <c r="C39438" s="74" t="s">
        <v>416</v>
      </c>
    </row>
    <row r="39439" spans="1:3">
      <c r="A39439" s="250">
        <v>94949</v>
      </c>
      <c r="B39439" s="74" t="s">
        <v>18111</v>
      </c>
      <c r="C39439" s="74" t="s">
        <v>416</v>
      </c>
    </row>
    <row r="39440" spans="1:3">
      <c r="A39440" s="250">
        <v>94950</v>
      </c>
      <c r="B39440" s="74" t="s">
        <v>18113</v>
      </c>
      <c r="C39440" s="74" t="s">
        <v>416</v>
      </c>
    </row>
    <row r="39441" spans="1:3">
      <c r="A39441" s="250">
        <v>94951</v>
      </c>
      <c r="B39441" s="74" t="s">
        <v>18114</v>
      </c>
      <c r="C39441" s="74" t="s">
        <v>416</v>
      </c>
    </row>
    <row r="39442" spans="1:3">
      <c r="A39442" s="250">
        <v>94952</v>
      </c>
      <c r="B39442" s="74" t="s">
        <v>18115</v>
      </c>
      <c r="C39442" s="74" t="s">
        <v>416</v>
      </c>
    </row>
    <row r="39443" spans="1:3">
      <c r="A39443" s="250">
        <v>94953</v>
      </c>
      <c r="B39443" s="74" t="s">
        <v>18115</v>
      </c>
      <c r="C39443" s="74" t="s">
        <v>416</v>
      </c>
    </row>
    <row r="39444" spans="1:3">
      <c r="A39444" s="250">
        <v>94954</v>
      </c>
      <c r="B39444" s="74" t="s">
        <v>18115</v>
      </c>
      <c r="C39444" s="74" t="s">
        <v>416</v>
      </c>
    </row>
    <row r="39445" spans="1:3">
      <c r="A39445" s="250">
        <v>94955</v>
      </c>
      <c r="B39445" s="74" t="s">
        <v>18115</v>
      </c>
      <c r="C39445" s="74" t="s">
        <v>416</v>
      </c>
    </row>
    <row r="39446" spans="1:3">
      <c r="A39446" s="250">
        <v>94956</v>
      </c>
      <c r="B39446" s="74" t="s">
        <v>18116</v>
      </c>
      <c r="C39446" s="74" t="s">
        <v>416</v>
      </c>
    </row>
    <row r="39447" spans="1:3">
      <c r="A39447" s="250">
        <v>94957</v>
      </c>
      <c r="B39447" s="74" t="s">
        <v>10461</v>
      </c>
      <c r="C39447" s="74" t="s">
        <v>416</v>
      </c>
    </row>
    <row r="39448" spans="1:3">
      <c r="A39448" s="250">
        <v>94960</v>
      </c>
      <c r="B39448" s="74" t="s">
        <v>18117</v>
      </c>
      <c r="C39448" s="74" t="s">
        <v>416</v>
      </c>
    </row>
    <row r="39449" spans="1:3">
      <c r="A39449" s="250">
        <v>94963</v>
      </c>
      <c r="B39449" s="74" t="s">
        <v>18118</v>
      </c>
      <c r="C39449" s="74" t="s">
        <v>416</v>
      </c>
    </row>
    <row r="39450" spans="1:3">
      <c r="A39450" s="250">
        <v>94964</v>
      </c>
      <c r="B39450" s="74" t="s">
        <v>18119</v>
      </c>
      <c r="C39450" s="74" t="s">
        <v>416</v>
      </c>
    </row>
    <row r="39451" spans="1:3">
      <c r="A39451" s="250">
        <v>94965</v>
      </c>
      <c r="B39451" s="74" t="s">
        <v>18120</v>
      </c>
      <c r="C39451" s="74" t="s">
        <v>416</v>
      </c>
    </row>
    <row r="39452" spans="1:3">
      <c r="A39452" s="250">
        <v>94966</v>
      </c>
      <c r="B39452" s="74" t="s">
        <v>18120</v>
      </c>
      <c r="C39452" s="74" t="s">
        <v>416</v>
      </c>
    </row>
    <row r="39453" spans="1:3">
      <c r="A39453" s="250">
        <v>94970</v>
      </c>
      <c r="B39453" s="74" t="s">
        <v>18121</v>
      </c>
      <c r="C39453" s="74" t="s">
        <v>416</v>
      </c>
    </row>
    <row r="39454" spans="1:3">
      <c r="A39454" s="250">
        <v>94971</v>
      </c>
      <c r="B39454" s="74" t="s">
        <v>18122</v>
      </c>
      <c r="C39454" s="74" t="s">
        <v>416</v>
      </c>
    </row>
    <row r="39455" spans="1:3">
      <c r="A39455" s="250">
        <v>94972</v>
      </c>
      <c r="B39455" s="74" t="s">
        <v>18123</v>
      </c>
      <c r="C39455" s="74" t="s">
        <v>416</v>
      </c>
    </row>
    <row r="39456" spans="1:3">
      <c r="A39456" s="250">
        <v>94973</v>
      </c>
      <c r="B39456" s="74" t="s">
        <v>18124</v>
      </c>
      <c r="C39456" s="74" t="s">
        <v>416</v>
      </c>
    </row>
    <row r="39457" spans="1:3">
      <c r="A39457" s="250">
        <v>94974</v>
      </c>
      <c r="B39457" s="74" t="s">
        <v>18119</v>
      </c>
      <c r="C39457" s="74" t="s">
        <v>416</v>
      </c>
    </row>
    <row r="39458" spans="1:3">
      <c r="A39458" s="250">
        <v>94975</v>
      </c>
      <c r="B39458" s="74" t="s">
        <v>18115</v>
      </c>
      <c r="C39458" s="74" t="s">
        <v>416</v>
      </c>
    </row>
    <row r="39459" spans="1:3">
      <c r="A39459" s="250">
        <v>94976</v>
      </c>
      <c r="B39459" s="74" t="s">
        <v>18104</v>
      </c>
      <c r="C39459" s="74" t="s">
        <v>416</v>
      </c>
    </row>
    <row r="39460" spans="1:3">
      <c r="A39460" s="250">
        <v>94977</v>
      </c>
      <c r="B39460" s="74" t="s">
        <v>16639</v>
      </c>
      <c r="C39460" s="74" t="s">
        <v>416</v>
      </c>
    </row>
    <row r="39461" spans="1:3">
      <c r="A39461" s="250">
        <v>94978</v>
      </c>
      <c r="B39461" s="74" t="s">
        <v>1811</v>
      </c>
      <c r="C39461" s="74" t="s">
        <v>416</v>
      </c>
    </row>
    <row r="39462" spans="1:3">
      <c r="A39462" s="250">
        <v>94979</v>
      </c>
      <c r="B39462" s="74" t="s">
        <v>18117</v>
      </c>
      <c r="C39462" s="74" t="s">
        <v>416</v>
      </c>
    </row>
    <row r="39463" spans="1:3">
      <c r="A39463" s="250">
        <v>94998</v>
      </c>
      <c r="B39463" s="74" t="s">
        <v>18111</v>
      </c>
      <c r="C39463" s="74" t="s">
        <v>416</v>
      </c>
    </row>
    <row r="39464" spans="1:3">
      <c r="A39464" s="250">
        <v>94999</v>
      </c>
      <c r="B39464" s="74" t="s">
        <v>18115</v>
      </c>
      <c r="C39464" s="74" t="s">
        <v>416</v>
      </c>
    </row>
    <row r="39465" spans="1:3">
      <c r="A39465" s="250">
        <v>95001</v>
      </c>
      <c r="B39465" s="74" t="s">
        <v>18125</v>
      </c>
      <c r="C39465" s="74" t="s">
        <v>416</v>
      </c>
    </row>
    <row r="39466" spans="1:3">
      <c r="A39466" s="250">
        <v>95002</v>
      </c>
      <c r="B39466" s="74" t="s">
        <v>18126</v>
      </c>
      <c r="C39466" s="74" t="s">
        <v>416</v>
      </c>
    </row>
    <row r="39467" spans="1:3">
      <c r="A39467" s="250">
        <v>95003</v>
      </c>
      <c r="B39467" s="74" t="s">
        <v>18125</v>
      </c>
      <c r="C39467" s="74" t="s">
        <v>416</v>
      </c>
    </row>
    <row r="39468" spans="1:3">
      <c r="A39468" s="250">
        <v>95004</v>
      </c>
      <c r="B39468" s="74" t="s">
        <v>18127</v>
      </c>
      <c r="C39468" s="74" t="s">
        <v>416</v>
      </c>
    </row>
    <row r="39469" spans="1:3">
      <c r="A39469" s="250">
        <v>95005</v>
      </c>
      <c r="B39469" s="74" t="s">
        <v>15226</v>
      </c>
      <c r="C39469" s="74" t="s">
        <v>416</v>
      </c>
    </row>
    <row r="39470" spans="1:3">
      <c r="A39470" s="250">
        <v>95006</v>
      </c>
      <c r="B39470" s="74" t="s">
        <v>18128</v>
      </c>
      <c r="C39470" s="74" t="s">
        <v>416</v>
      </c>
    </row>
    <row r="39471" spans="1:3">
      <c r="A39471" s="250">
        <v>95007</v>
      </c>
      <c r="B39471" s="74" t="s">
        <v>18129</v>
      </c>
      <c r="C39471" s="74" t="s">
        <v>416</v>
      </c>
    </row>
    <row r="39472" spans="1:3">
      <c r="A39472" s="250">
        <v>95008</v>
      </c>
      <c r="B39472" s="74" t="s">
        <v>3904</v>
      </c>
      <c r="C39472" s="74" t="s">
        <v>416</v>
      </c>
    </row>
    <row r="39473" spans="1:3">
      <c r="A39473" s="250">
        <v>95009</v>
      </c>
      <c r="B39473" s="74" t="s">
        <v>3904</v>
      </c>
      <c r="C39473" s="74" t="s">
        <v>416</v>
      </c>
    </row>
    <row r="39474" spans="1:3">
      <c r="A39474" s="250">
        <v>95010</v>
      </c>
      <c r="B39474" s="74" t="s">
        <v>18130</v>
      </c>
      <c r="C39474" s="74" t="s">
        <v>416</v>
      </c>
    </row>
    <row r="39475" spans="1:3">
      <c r="A39475" s="250">
        <v>95011</v>
      </c>
      <c r="B39475" s="74" t="s">
        <v>3904</v>
      </c>
      <c r="C39475" s="74" t="s">
        <v>416</v>
      </c>
    </row>
    <row r="39476" spans="1:3">
      <c r="A39476" s="250">
        <v>95012</v>
      </c>
      <c r="B39476" s="74" t="s">
        <v>16277</v>
      </c>
      <c r="C39476" s="74" t="s">
        <v>416</v>
      </c>
    </row>
    <row r="39477" spans="1:3">
      <c r="A39477" s="250">
        <v>95013</v>
      </c>
      <c r="B39477" s="74" t="s">
        <v>17353</v>
      </c>
      <c r="C39477" s="74" t="s">
        <v>416</v>
      </c>
    </row>
    <row r="39478" spans="1:3">
      <c r="A39478" s="250">
        <v>95014</v>
      </c>
      <c r="B39478" s="74" t="s">
        <v>18131</v>
      </c>
      <c r="C39478" s="74" t="s">
        <v>416</v>
      </c>
    </row>
    <row r="39479" spans="1:3">
      <c r="A39479" s="250">
        <v>95015</v>
      </c>
      <c r="B39479" s="74" t="s">
        <v>18131</v>
      </c>
      <c r="C39479" s="74" t="s">
        <v>416</v>
      </c>
    </row>
    <row r="39480" spans="1:3">
      <c r="A39480" s="250">
        <v>95017</v>
      </c>
      <c r="B39480" s="74" t="s">
        <v>3605</v>
      </c>
      <c r="C39480" s="74" t="s">
        <v>416</v>
      </c>
    </row>
    <row r="39481" spans="1:3">
      <c r="A39481" s="250">
        <v>95018</v>
      </c>
      <c r="B39481" s="74" t="s">
        <v>4818</v>
      </c>
      <c r="C39481" s="74" t="s">
        <v>416</v>
      </c>
    </row>
    <row r="39482" spans="1:3">
      <c r="A39482" s="250">
        <v>95019</v>
      </c>
      <c r="B39482" s="74" t="s">
        <v>1310</v>
      </c>
      <c r="C39482" s="74" t="s">
        <v>416</v>
      </c>
    </row>
    <row r="39483" spans="1:3">
      <c r="A39483" s="250">
        <v>95020</v>
      </c>
      <c r="B39483" s="74" t="s">
        <v>18132</v>
      </c>
      <c r="C39483" s="74" t="s">
        <v>416</v>
      </c>
    </row>
    <row r="39484" spans="1:3">
      <c r="A39484" s="250">
        <v>95021</v>
      </c>
      <c r="B39484" s="74" t="s">
        <v>18132</v>
      </c>
      <c r="C39484" s="74" t="s">
        <v>416</v>
      </c>
    </row>
    <row r="39485" spans="1:3">
      <c r="A39485" s="250">
        <v>95023</v>
      </c>
      <c r="B39485" s="74" t="s">
        <v>7198</v>
      </c>
      <c r="C39485" s="74" t="s">
        <v>416</v>
      </c>
    </row>
    <row r="39486" spans="1:3">
      <c r="A39486" s="250">
        <v>95024</v>
      </c>
      <c r="B39486" s="74" t="s">
        <v>7198</v>
      </c>
      <c r="C39486" s="74" t="s">
        <v>416</v>
      </c>
    </row>
    <row r="39487" spans="1:3">
      <c r="A39487" s="250">
        <v>95026</v>
      </c>
      <c r="B39487" s="74" t="s">
        <v>18133</v>
      </c>
      <c r="C39487" s="74" t="s">
        <v>416</v>
      </c>
    </row>
    <row r="39488" spans="1:3">
      <c r="A39488" s="250">
        <v>95030</v>
      </c>
      <c r="B39488" s="74" t="s">
        <v>18134</v>
      </c>
      <c r="C39488" s="74" t="s">
        <v>416</v>
      </c>
    </row>
    <row r="39489" spans="1:3">
      <c r="A39489" s="250">
        <v>95031</v>
      </c>
      <c r="B39489" s="74" t="s">
        <v>18134</v>
      </c>
      <c r="C39489" s="74" t="s">
        <v>416</v>
      </c>
    </row>
    <row r="39490" spans="1:3">
      <c r="A39490" s="250">
        <v>95032</v>
      </c>
      <c r="B39490" s="74" t="s">
        <v>18134</v>
      </c>
      <c r="C39490" s="74" t="s">
        <v>416</v>
      </c>
    </row>
    <row r="39491" spans="1:3">
      <c r="A39491" s="250">
        <v>95033</v>
      </c>
      <c r="B39491" s="74" t="s">
        <v>18134</v>
      </c>
      <c r="C39491" s="74" t="s">
        <v>416</v>
      </c>
    </row>
    <row r="39492" spans="1:3">
      <c r="A39492" s="250">
        <v>95035</v>
      </c>
      <c r="B39492" s="74" t="s">
        <v>18135</v>
      </c>
      <c r="C39492" s="74" t="s">
        <v>416</v>
      </c>
    </row>
    <row r="39493" spans="1:3">
      <c r="A39493" s="250">
        <v>95036</v>
      </c>
      <c r="B39493" s="74" t="s">
        <v>18135</v>
      </c>
      <c r="C39493" s="74" t="s">
        <v>416</v>
      </c>
    </row>
    <row r="39494" spans="1:3">
      <c r="A39494" s="250">
        <v>95037</v>
      </c>
      <c r="B39494" s="74" t="s">
        <v>18136</v>
      </c>
      <c r="C39494" s="74" t="s">
        <v>416</v>
      </c>
    </row>
    <row r="39495" spans="1:3">
      <c r="A39495" s="250">
        <v>95038</v>
      </c>
      <c r="B39495" s="74" t="s">
        <v>18136</v>
      </c>
      <c r="C39495" s="74" t="s">
        <v>416</v>
      </c>
    </row>
    <row r="39496" spans="1:3">
      <c r="A39496" s="250">
        <v>95039</v>
      </c>
      <c r="B39496" s="74" t="s">
        <v>18137</v>
      </c>
      <c r="C39496" s="74" t="s">
        <v>416</v>
      </c>
    </row>
    <row r="39497" spans="1:3">
      <c r="A39497" s="250">
        <v>95041</v>
      </c>
      <c r="B39497" s="74" t="s">
        <v>9969</v>
      </c>
      <c r="C39497" s="74" t="s">
        <v>416</v>
      </c>
    </row>
    <row r="39498" spans="1:3">
      <c r="A39498" s="250">
        <v>95042</v>
      </c>
      <c r="B39498" s="74" t="s">
        <v>18138</v>
      </c>
      <c r="C39498" s="74" t="s">
        <v>416</v>
      </c>
    </row>
    <row r="39499" spans="1:3">
      <c r="A39499" s="250">
        <v>95043</v>
      </c>
      <c r="B39499" s="74" t="s">
        <v>18139</v>
      </c>
      <c r="C39499" s="74" t="s">
        <v>416</v>
      </c>
    </row>
    <row r="39500" spans="1:3">
      <c r="A39500" s="250">
        <v>95044</v>
      </c>
      <c r="B39500" s="74" t="s">
        <v>18140</v>
      </c>
      <c r="C39500" s="74" t="s">
        <v>416</v>
      </c>
    </row>
    <row r="39501" spans="1:3">
      <c r="A39501" s="250">
        <v>95045</v>
      </c>
      <c r="B39501" s="74" t="s">
        <v>18141</v>
      </c>
      <c r="C39501" s="74" t="s">
        <v>416</v>
      </c>
    </row>
    <row r="39502" spans="1:3">
      <c r="A39502" s="250">
        <v>95046</v>
      </c>
      <c r="B39502" s="74" t="s">
        <v>18142</v>
      </c>
      <c r="C39502" s="74" t="s">
        <v>416</v>
      </c>
    </row>
    <row r="39503" spans="1:3">
      <c r="A39503" s="250">
        <v>95050</v>
      </c>
      <c r="B39503" s="74" t="s">
        <v>17159</v>
      </c>
      <c r="C39503" s="74" t="s">
        <v>416</v>
      </c>
    </row>
    <row r="39504" spans="1:3">
      <c r="A39504" s="250">
        <v>95051</v>
      </c>
      <c r="B39504" s="74" t="s">
        <v>17159</v>
      </c>
      <c r="C39504" s="74" t="s">
        <v>416</v>
      </c>
    </row>
    <row r="39505" spans="1:3">
      <c r="A39505" s="250">
        <v>95052</v>
      </c>
      <c r="B39505" s="74" t="s">
        <v>17159</v>
      </c>
      <c r="C39505" s="74" t="s">
        <v>416</v>
      </c>
    </row>
    <row r="39506" spans="1:3">
      <c r="A39506" s="250">
        <v>95053</v>
      </c>
      <c r="B39506" s="74" t="s">
        <v>17159</v>
      </c>
      <c r="C39506" s="74" t="s">
        <v>416</v>
      </c>
    </row>
    <row r="39507" spans="1:3">
      <c r="A39507" s="250">
        <v>95054</v>
      </c>
      <c r="B39507" s="74" t="s">
        <v>17159</v>
      </c>
      <c r="C39507" s="74" t="s">
        <v>416</v>
      </c>
    </row>
    <row r="39508" spans="1:3">
      <c r="A39508" s="250">
        <v>95055</v>
      </c>
      <c r="B39508" s="74" t="s">
        <v>17159</v>
      </c>
      <c r="C39508" s="74" t="s">
        <v>416</v>
      </c>
    </row>
    <row r="39509" spans="1:3">
      <c r="A39509" s="250">
        <v>95056</v>
      </c>
      <c r="B39509" s="74" t="s">
        <v>17159</v>
      </c>
      <c r="C39509" s="74" t="s">
        <v>416</v>
      </c>
    </row>
    <row r="39510" spans="1:3">
      <c r="A39510" s="250">
        <v>95060</v>
      </c>
      <c r="B39510" s="74" t="s">
        <v>17454</v>
      </c>
      <c r="C39510" s="74" t="s">
        <v>416</v>
      </c>
    </row>
    <row r="39511" spans="1:3">
      <c r="A39511" s="250">
        <v>95061</v>
      </c>
      <c r="B39511" s="74" t="s">
        <v>17454</v>
      </c>
      <c r="C39511" s="74" t="s">
        <v>416</v>
      </c>
    </row>
    <row r="39512" spans="1:3">
      <c r="A39512" s="250">
        <v>95062</v>
      </c>
      <c r="B39512" s="74" t="s">
        <v>17454</v>
      </c>
      <c r="C39512" s="74" t="s">
        <v>416</v>
      </c>
    </row>
    <row r="39513" spans="1:3">
      <c r="A39513" s="250">
        <v>95063</v>
      </c>
      <c r="B39513" s="74" t="s">
        <v>17454</v>
      </c>
      <c r="C39513" s="74" t="s">
        <v>416</v>
      </c>
    </row>
    <row r="39514" spans="1:3">
      <c r="A39514" s="250">
        <v>95064</v>
      </c>
      <c r="B39514" s="74" t="s">
        <v>17454</v>
      </c>
      <c r="C39514" s="74" t="s">
        <v>416</v>
      </c>
    </row>
    <row r="39515" spans="1:3">
      <c r="A39515" s="250">
        <v>95065</v>
      </c>
      <c r="B39515" s="74" t="s">
        <v>17454</v>
      </c>
      <c r="C39515" s="74" t="s">
        <v>416</v>
      </c>
    </row>
    <row r="39516" spans="1:3">
      <c r="A39516" s="250">
        <v>95066</v>
      </c>
      <c r="B39516" s="74" t="s">
        <v>18143</v>
      </c>
      <c r="C39516" s="74" t="s">
        <v>416</v>
      </c>
    </row>
    <row r="39517" spans="1:3">
      <c r="A39517" s="250">
        <v>95067</v>
      </c>
      <c r="B39517" s="74" t="s">
        <v>18143</v>
      </c>
      <c r="C39517" s="74" t="s">
        <v>416</v>
      </c>
    </row>
    <row r="39518" spans="1:3">
      <c r="A39518" s="250">
        <v>95070</v>
      </c>
      <c r="B39518" s="74" t="s">
        <v>7220</v>
      </c>
      <c r="C39518" s="74" t="s">
        <v>416</v>
      </c>
    </row>
    <row r="39519" spans="1:3">
      <c r="A39519" s="250">
        <v>95071</v>
      </c>
      <c r="B39519" s="74" t="s">
        <v>7220</v>
      </c>
      <c r="C39519" s="74" t="s">
        <v>416</v>
      </c>
    </row>
    <row r="39520" spans="1:3">
      <c r="A39520" s="250">
        <v>95073</v>
      </c>
      <c r="B39520" s="74" t="s">
        <v>18144</v>
      </c>
      <c r="C39520" s="74" t="s">
        <v>416</v>
      </c>
    </row>
    <row r="39521" spans="1:3">
      <c r="A39521" s="250">
        <v>95075</v>
      </c>
      <c r="B39521" s="74" t="s">
        <v>18145</v>
      </c>
      <c r="C39521" s="74" t="s">
        <v>416</v>
      </c>
    </row>
    <row r="39522" spans="1:3">
      <c r="A39522" s="250">
        <v>95076</v>
      </c>
      <c r="B39522" s="74" t="s">
        <v>18146</v>
      </c>
      <c r="C39522" s="74" t="s">
        <v>416</v>
      </c>
    </row>
    <row r="39523" spans="1:3">
      <c r="A39523" s="250">
        <v>95077</v>
      </c>
      <c r="B39523" s="74" t="s">
        <v>18146</v>
      </c>
      <c r="C39523" s="74" t="s">
        <v>416</v>
      </c>
    </row>
    <row r="39524" spans="1:3">
      <c r="A39524" s="250">
        <v>95101</v>
      </c>
      <c r="B39524" s="74" t="s">
        <v>13961</v>
      </c>
      <c r="C39524" s="74" t="s">
        <v>416</v>
      </c>
    </row>
    <row r="39525" spans="1:3">
      <c r="A39525" s="250">
        <v>95103</v>
      </c>
      <c r="B39525" s="74" t="s">
        <v>13961</v>
      </c>
      <c r="C39525" s="74" t="s">
        <v>416</v>
      </c>
    </row>
    <row r="39526" spans="1:3">
      <c r="A39526" s="250">
        <v>95106</v>
      </c>
      <c r="B39526" s="74" t="s">
        <v>13961</v>
      </c>
      <c r="C39526" s="74" t="s">
        <v>416</v>
      </c>
    </row>
    <row r="39527" spans="1:3">
      <c r="A39527" s="250">
        <v>95108</v>
      </c>
      <c r="B39527" s="74" t="s">
        <v>13961</v>
      </c>
      <c r="C39527" s="74" t="s">
        <v>416</v>
      </c>
    </row>
    <row r="39528" spans="1:3">
      <c r="A39528" s="250">
        <v>95109</v>
      </c>
      <c r="B39528" s="74" t="s">
        <v>13961</v>
      </c>
      <c r="C39528" s="74" t="s">
        <v>416</v>
      </c>
    </row>
    <row r="39529" spans="1:3">
      <c r="A39529" s="250">
        <v>95110</v>
      </c>
      <c r="B39529" s="74" t="s">
        <v>13961</v>
      </c>
      <c r="C39529" s="74" t="s">
        <v>416</v>
      </c>
    </row>
    <row r="39530" spans="1:3">
      <c r="A39530" s="250">
        <v>95111</v>
      </c>
      <c r="B39530" s="74" t="s">
        <v>13961</v>
      </c>
      <c r="C39530" s="74" t="s">
        <v>416</v>
      </c>
    </row>
    <row r="39531" spans="1:3">
      <c r="A39531" s="250">
        <v>95112</v>
      </c>
      <c r="B39531" s="74" t="s">
        <v>13961</v>
      </c>
      <c r="C39531" s="74" t="s">
        <v>416</v>
      </c>
    </row>
    <row r="39532" spans="1:3">
      <c r="A39532" s="250">
        <v>95113</v>
      </c>
      <c r="B39532" s="74" t="s">
        <v>13961</v>
      </c>
      <c r="C39532" s="74" t="s">
        <v>416</v>
      </c>
    </row>
    <row r="39533" spans="1:3">
      <c r="A39533" s="250">
        <v>95115</v>
      </c>
      <c r="B39533" s="74" t="s">
        <v>13961</v>
      </c>
      <c r="C39533" s="74" t="s">
        <v>416</v>
      </c>
    </row>
    <row r="39534" spans="1:3">
      <c r="A39534" s="250">
        <v>95116</v>
      </c>
      <c r="B39534" s="74" t="s">
        <v>13961</v>
      </c>
      <c r="C39534" s="74" t="s">
        <v>416</v>
      </c>
    </row>
    <row r="39535" spans="1:3">
      <c r="A39535" s="250">
        <v>95117</v>
      </c>
      <c r="B39535" s="74" t="s">
        <v>13961</v>
      </c>
      <c r="C39535" s="74" t="s">
        <v>416</v>
      </c>
    </row>
    <row r="39536" spans="1:3">
      <c r="A39536" s="250">
        <v>95118</v>
      </c>
      <c r="B39536" s="74" t="s">
        <v>13961</v>
      </c>
      <c r="C39536" s="74" t="s">
        <v>416</v>
      </c>
    </row>
    <row r="39537" spans="1:3">
      <c r="A39537" s="250">
        <v>95119</v>
      </c>
      <c r="B39537" s="74" t="s">
        <v>13961</v>
      </c>
      <c r="C39537" s="74" t="s">
        <v>416</v>
      </c>
    </row>
    <row r="39538" spans="1:3">
      <c r="A39538" s="250">
        <v>95120</v>
      </c>
      <c r="B39538" s="74" t="s">
        <v>13961</v>
      </c>
      <c r="C39538" s="74" t="s">
        <v>416</v>
      </c>
    </row>
    <row r="39539" spans="1:3">
      <c r="A39539" s="250">
        <v>95121</v>
      </c>
      <c r="B39539" s="74" t="s">
        <v>13961</v>
      </c>
      <c r="C39539" s="74" t="s">
        <v>416</v>
      </c>
    </row>
    <row r="39540" spans="1:3">
      <c r="A39540" s="250">
        <v>95122</v>
      </c>
      <c r="B39540" s="74" t="s">
        <v>13961</v>
      </c>
      <c r="C39540" s="74" t="s">
        <v>416</v>
      </c>
    </row>
    <row r="39541" spans="1:3">
      <c r="A39541" s="250">
        <v>95123</v>
      </c>
      <c r="B39541" s="74" t="s">
        <v>13961</v>
      </c>
      <c r="C39541" s="74" t="s">
        <v>416</v>
      </c>
    </row>
    <row r="39542" spans="1:3">
      <c r="A39542" s="250">
        <v>95124</v>
      </c>
      <c r="B39542" s="74" t="s">
        <v>13961</v>
      </c>
      <c r="C39542" s="74" t="s">
        <v>416</v>
      </c>
    </row>
    <row r="39543" spans="1:3">
      <c r="A39543" s="250">
        <v>95125</v>
      </c>
      <c r="B39543" s="74" t="s">
        <v>13961</v>
      </c>
      <c r="C39543" s="74" t="s">
        <v>416</v>
      </c>
    </row>
    <row r="39544" spans="1:3">
      <c r="A39544" s="250">
        <v>95126</v>
      </c>
      <c r="B39544" s="74" t="s">
        <v>13961</v>
      </c>
      <c r="C39544" s="74" t="s">
        <v>416</v>
      </c>
    </row>
    <row r="39545" spans="1:3">
      <c r="A39545" s="250">
        <v>95127</v>
      </c>
      <c r="B39545" s="74" t="s">
        <v>13961</v>
      </c>
      <c r="C39545" s="74" t="s">
        <v>416</v>
      </c>
    </row>
    <row r="39546" spans="1:3">
      <c r="A39546" s="250">
        <v>95128</v>
      </c>
      <c r="B39546" s="74" t="s">
        <v>13961</v>
      </c>
      <c r="C39546" s="74" t="s">
        <v>416</v>
      </c>
    </row>
    <row r="39547" spans="1:3">
      <c r="A39547" s="250">
        <v>95129</v>
      </c>
      <c r="B39547" s="74" t="s">
        <v>13961</v>
      </c>
      <c r="C39547" s="74" t="s">
        <v>416</v>
      </c>
    </row>
    <row r="39548" spans="1:3">
      <c r="A39548" s="250">
        <v>95130</v>
      </c>
      <c r="B39548" s="74" t="s">
        <v>13961</v>
      </c>
      <c r="C39548" s="74" t="s">
        <v>416</v>
      </c>
    </row>
    <row r="39549" spans="1:3">
      <c r="A39549" s="250">
        <v>95131</v>
      </c>
      <c r="B39549" s="74" t="s">
        <v>13961</v>
      </c>
      <c r="C39549" s="74" t="s">
        <v>416</v>
      </c>
    </row>
    <row r="39550" spans="1:3">
      <c r="A39550" s="250">
        <v>95132</v>
      </c>
      <c r="B39550" s="74" t="s">
        <v>13961</v>
      </c>
      <c r="C39550" s="74" t="s">
        <v>416</v>
      </c>
    </row>
    <row r="39551" spans="1:3">
      <c r="A39551" s="250">
        <v>95133</v>
      </c>
      <c r="B39551" s="74" t="s">
        <v>13961</v>
      </c>
      <c r="C39551" s="74" t="s">
        <v>416</v>
      </c>
    </row>
    <row r="39552" spans="1:3">
      <c r="A39552" s="250">
        <v>95134</v>
      </c>
      <c r="B39552" s="74" t="s">
        <v>13961</v>
      </c>
      <c r="C39552" s="74" t="s">
        <v>416</v>
      </c>
    </row>
    <row r="39553" spans="1:3">
      <c r="A39553" s="250">
        <v>95135</v>
      </c>
      <c r="B39553" s="74" t="s">
        <v>13961</v>
      </c>
      <c r="C39553" s="74" t="s">
        <v>416</v>
      </c>
    </row>
    <row r="39554" spans="1:3">
      <c r="A39554" s="250">
        <v>95136</v>
      </c>
      <c r="B39554" s="74" t="s">
        <v>13961</v>
      </c>
      <c r="C39554" s="74" t="s">
        <v>416</v>
      </c>
    </row>
    <row r="39555" spans="1:3">
      <c r="A39555" s="250">
        <v>95138</v>
      </c>
      <c r="B39555" s="74" t="s">
        <v>13961</v>
      </c>
      <c r="C39555" s="74" t="s">
        <v>416</v>
      </c>
    </row>
    <row r="39556" spans="1:3">
      <c r="A39556" s="250">
        <v>95139</v>
      </c>
      <c r="B39556" s="74" t="s">
        <v>13961</v>
      </c>
      <c r="C39556" s="74" t="s">
        <v>416</v>
      </c>
    </row>
    <row r="39557" spans="1:3">
      <c r="A39557" s="250">
        <v>95140</v>
      </c>
      <c r="B39557" s="74" t="s">
        <v>18147</v>
      </c>
      <c r="C39557" s="74" t="s">
        <v>416</v>
      </c>
    </row>
    <row r="39558" spans="1:3">
      <c r="A39558" s="250">
        <v>95141</v>
      </c>
      <c r="B39558" s="74" t="s">
        <v>13961</v>
      </c>
      <c r="C39558" s="74" t="s">
        <v>416</v>
      </c>
    </row>
    <row r="39559" spans="1:3">
      <c r="A39559" s="250">
        <v>95148</v>
      </c>
      <c r="B39559" s="74" t="s">
        <v>13961</v>
      </c>
      <c r="C39559" s="74" t="s">
        <v>416</v>
      </c>
    </row>
    <row r="39560" spans="1:3">
      <c r="A39560" s="250">
        <v>95150</v>
      </c>
      <c r="B39560" s="74" t="s">
        <v>13961</v>
      </c>
      <c r="C39560" s="74" t="s">
        <v>416</v>
      </c>
    </row>
    <row r="39561" spans="1:3">
      <c r="A39561" s="250">
        <v>95151</v>
      </c>
      <c r="B39561" s="74" t="s">
        <v>13961</v>
      </c>
      <c r="C39561" s="74" t="s">
        <v>416</v>
      </c>
    </row>
    <row r="39562" spans="1:3">
      <c r="A39562" s="250">
        <v>95152</v>
      </c>
      <c r="B39562" s="74" t="s">
        <v>13961</v>
      </c>
      <c r="C39562" s="74" t="s">
        <v>416</v>
      </c>
    </row>
    <row r="39563" spans="1:3">
      <c r="A39563" s="250">
        <v>95153</v>
      </c>
      <c r="B39563" s="74" t="s">
        <v>13961</v>
      </c>
      <c r="C39563" s="74" t="s">
        <v>416</v>
      </c>
    </row>
    <row r="39564" spans="1:3">
      <c r="A39564" s="250">
        <v>95154</v>
      </c>
      <c r="B39564" s="74" t="s">
        <v>13961</v>
      </c>
      <c r="C39564" s="74" t="s">
        <v>416</v>
      </c>
    </row>
    <row r="39565" spans="1:3">
      <c r="A39565" s="250">
        <v>95155</v>
      </c>
      <c r="B39565" s="74" t="s">
        <v>13961</v>
      </c>
      <c r="C39565" s="74" t="s">
        <v>416</v>
      </c>
    </row>
    <row r="39566" spans="1:3">
      <c r="A39566" s="250">
        <v>95156</v>
      </c>
      <c r="B39566" s="74" t="s">
        <v>13961</v>
      </c>
      <c r="C39566" s="74" t="s">
        <v>416</v>
      </c>
    </row>
    <row r="39567" spans="1:3">
      <c r="A39567" s="250">
        <v>95157</v>
      </c>
      <c r="B39567" s="74" t="s">
        <v>13961</v>
      </c>
      <c r="C39567" s="74" t="s">
        <v>416</v>
      </c>
    </row>
    <row r="39568" spans="1:3">
      <c r="A39568" s="250">
        <v>95158</v>
      </c>
      <c r="B39568" s="74" t="s">
        <v>13961</v>
      </c>
      <c r="C39568" s="74" t="s">
        <v>416</v>
      </c>
    </row>
    <row r="39569" spans="1:3">
      <c r="A39569" s="250">
        <v>95159</v>
      </c>
      <c r="B39569" s="74" t="s">
        <v>13961</v>
      </c>
      <c r="C39569" s="74" t="s">
        <v>416</v>
      </c>
    </row>
    <row r="39570" spans="1:3">
      <c r="A39570" s="250">
        <v>95160</v>
      </c>
      <c r="B39570" s="74" t="s">
        <v>13961</v>
      </c>
      <c r="C39570" s="74" t="s">
        <v>416</v>
      </c>
    </row>
    <row r="39571" spans="1:3">
      <c r="A39571" s="250">
        <v>95161</v>
      </c>
      <c r="B39571" s="74" t="s">
        <v>13961</v>
      </c>
      <c r="C39571" s="74" t="s">
        <v>416</v>
      </c>
    </row>
    <row r="39572" spans="1:3">
      <c r="A39572" s="250">
        <v>95164</v>
      </c>
      <c r="B39572" s="74" t="s">
        <v>13961</v>
      </c>
      <c r="C39572" s="74" t="s">
        <v>416</v>
      </c>
    </row>
    <row r="39573" spans="1:3">
      <c r="A39573" s="250">
        <v>95170</v>
      </c>
      <c r="B39573" s="74" t="s">
        <v>13961</v>
      </c>
      <c r="C39573" s="74" t="s">
        <v>416</v>
      </c>
    </row>
    <row r="39574" spans="1:3">
      <c r="A39574" s="250">
        <v>95172</v>
      </c>
      <c r="B39574" s="74" t="s">
        <v>13961</v>
      </c>
      <c r="C39574" s="74" t="s">
        <v>416</v>
      </c>
    </row>
    <row r="39575" spans="1:3">
      <c r="A39575" s="250">
        <v>95173</v>
      </c>
      <c r="B39575" s="74" t="s">
        <v>13961</v>
      </c>
      <c r="C39575" s="74" t="s">
        <v>416</v>
      </c>
    </row>
    <row r="39576" spans="1:3">
      <c r="A39576" s="250">
        <v>95190</v>
      </c>
      <c r="B39576" s="74" t="s">
        <v>13961</v>
      </c>
      <c r="C39576" s="74" t="s">
        <v>416</v>
      </c>
    </row>
    <row r="39577" spans="1:3">
      <c r="A39577" s="250">
        <v>95191</v>
      </c>
      <c r="B39577" s="74" t="s">
        <v>13961</v>
      </c>
      <c r="C39577" s="74" t="s">
        <v>416</v>
      </c>
    </row>
    <row r="39578" spans="1:3">
      <c r="A39578" s="250">
        <v>95192</v>
      </c>
      <c r="B39578" s="74" t="s">
        <v>13961</v>
      </c>
      <c r="C39578" s="74" t="s">
        <v>416</v>
      </c>
    </row>
    <row r="39579" spans="1:3">
      <c r="A39579" s="250">
        <v>95193</v>
      </c>
      <c r="B39579" s="74" t="s">
        <v>13961</v>
      </c>
      <c r="C39579" s="74" t="s">
        <v>416</v>
      </c>
    </row>
    <row r="39580" spans="1:3">
      <c r="A39580" s="250">
        <v>95194</v>
      </c>
      <c r="B39580" s="74" t="s">
        <v>13961</v>
      </c>
      <c r="C39580" s="74" t="s">
        <v>416</v>
      </c>
    </row>
    <row r="39581" spans="1:3">
      <c r="A39581" s="250">
        <v>95196</v>
      </c>
      <c r="B39581" s="74" t="s">
        <v>13961</v>
      </c>
      <c r="C39581" s="74" t="s">
        <v>416</v>
      </c>
    </row>
    <row r="39582" spans="1:3">
      <c r="A39582" s="250">
        <v>95201</v>
      </c>
      <c r="B39582" s="74" t="s">
        <v>2529</v>
      </c>
      <c r="C39582" s="74" t="s">
        <v>416</v>
      </c>
    </row>
    <row r="39583" spans="1:3">
      <c r="A39583" s="250">
        <v>95202</v>
      </c>
      <c r="B39583" s="74" t="s">
        <v>2529</v>
      </c>
      <c r="C39583" s="74" t="s">
        <v>416</v>
      </c>
    </row>
    <row r="39584" spans="1:3">
      <c r="A39584" s="250">
        <v>95203</v>
      </c>
      <c r="B39584" s="74" t="s">
        <v>2529</v>
      </c>
      <c r="C39584" s="74" t="s">
        <v>416</v>
      </c>
    </row>
    <row r="39585" spans="1:3">
      <c r="A39585" s="250">
        <v>95204</v>
      </c>
      <c r="B39585" s="74" t="s">
        <v>2529</v>
      </c>
      <c r="C39585" s="74" t="s">
        <v>416</v>
      </c>
    </row>
    <row r="39586" spans="1:3">
      <c r="A39586" s="250">
        <v>95205</v>
      </c>
      <c r="B39586" s="74" t="s">
        <v>2529</v>
      </c>
      <c r="C39586" s="74" t="s">
        <v>416</v>
      </c>
    </row>
    <row r="39587" spans="1:3">
      <c r="A39587" s="250">
        <v>95206</v>
      </c>
      <c r="B39587" s="74" t="s">
        <v>2529</v>
      </c>
      <c r="C39587" s="74" t="s">
        <v>416</v>
      </c>
    </row>
    <row r="39588" spans="1:3">
      <c r="A39588" s="250">
        <v>95207</v>
      </c>
      <c r="B39588" s="74" t="s">
        <v>2529</v>
      </c>
      <c r="C39588" s="74" t="s">
        <v>416</v>
      </c>
    </row>
    <row r="39589" spans="1:3">
      <c r="A39589" s="250">
        <v>95208</v>
      </c>
      <c r="B39589" s="74" t="s">
        <v>2529</v>
      </c>
      <c r="C39589" s="74" t="s">
        <v>416</v>
      </c>
    </row>
    <row r="39590" spans="1:3">
      <c r="A39590" s="250">
        <v>95209</v>
      </c>
      <c r="B39590" s="74" t="s">
        <v>2529</v>
      </c>
      <c r="C39590" s="74" t="s">
        <v>416</v>
      </c>
    </row>
    <row r="39591" spans="1:3">
      <c r="A39591" s="250">
        <v>95210</v>
      </c>
      <c r="B39591" s="74" t="s">
        <v>2529</v>
      </c>
      <c r="C39591" s="74" t="s">
        <v>416</v>
      </c>
    </row>
    <row r="39592" spans="1:3">
      <c r="A39592" s="250">
        <v>95211</v>
      </c>
      <c r="B39592" s="74" t="s">
        <v>2529</v>
      </c>
      <c r="C39592" s="74" t="s">
        <v>416</v>
      </c>
    </row>
    <row r="39593" spans="1:3">
      <c r="A39593" s="250">
        <v>95212</v>
      </c>
      <c r="B39593" s="74" t="s">
        <v>2529</v>
      </c>
      <c r="C39593" s="74" t="s">
        <v>416</v>
      </c>
    </row>
    <row r="39594" spans="1:3">
      <c r="A39594" s="250">
        <v>95213</v>
      </c>
      <c r="B39594" s="74" t="s">
        <v>2529</v>
      </c>
      <c r="C39594" s="74" t="s">
        <v>416</v>
      </c>
    </row>
    <row r="39595" spans="1:3">
      <c r="A39595" s="250">
        <v>95215</v>
      </c>
      <c r="B39595" s="74" t="s">
        <v>2529</v>
      </c>
      <c r="C39595" s="74" t="s">
        <v>416</v>
      </c>
    </row>
    <row r="39596" spans="1:3">
      <c r="A39596" s="250">
        <v>95219</v>
      </c>
      <c r="B39596" s="74" t="s">
        <v>2529</v>
      </c>
      <c r="C39596" s="74" t="s">
        <v>416</v>
      </c>
    </row>
    <row r="39597" spans="1:3">
      <c r="A39597" s="250">
        <v>95220</v>
      </c>
      <c r="B39597" s="74" t="s">
        <v>18148</v>
      </c>
      <c r="C39597" s="74" t="s">
        <v>416</v>
      </c>
    </row>
    <row r="39598" spans="1:3">
      <c r="A39598" s="250">
        <v>95221</v>
      </c>
      <c r="B39598" s="74" t="s">
        <v>18149</v>
      </c>
      <c r="C39598" s="74" t="s">
        <v>416</v>
      </c>
    </row>
    <row r="39599" spans="1:3">
      <c r="A39599" s="250">
        <v>95222</v>
      </c>
      <c r="B39599" s="74" t="s">
        <v>18150</v>
      </c>
      <c r="C39599" s="74" t="s">
        <v>416</v>
      </c>
    </row>
    <row r="39600" spans="1:3">
      <c r="A39600" s="250">
        <v>95223</v>
      </c>
      <c r="B39600" s="74" t="s">
        <v>5652</v>
      </c>
      <c r="C39600" s="74" t="s">
        <v>416</v>
      </c>
    </row>
    <row r="39601" spans="1:3">
      <c r="A39601" s="250">
        <v>95224</v>
      </c>
      <c r="B39601" s="74" t="s">
        <v>15888</v>
      </c>
      <c r="C39601" s="74" t="s">
        <v>416</v>
      </c>
    </row>
    <row r="39602" spans="1:3">
      <c r="A39602" s="250">
        <v>95225</v>
      </c>
      <c r="B39602" s="74" t="s">
        <v>18151</v>
      </c>
      <c r="C39602" s="74" t="s">
        <v>416</v>
      </c>
    </row>
    <row r="39603" spans="1:3">
      <c r="A39603" s="250">
        <v>95226</v>
      </c>
      <c r="B39603" s="74" t="s">
        <v>18152</v>
      </c>
      <c r="C39603" s="74" t="s">
        <v>416</v>
      </c>
    </row>
    <row r="39604" spans="1:3">
      <c r="A39604" s="250">
        <v>95227</v>
      </c>
      <c r="B39604" s="74" t="s">
        <v>5559</v>
      </c>
      <c r="C39604" s="74" t="s">
        <v>416</v>
      </c>
    </row>
    <row r="39605" spans="1:3">
      <c r="A39605" s="250">
        <v>95228</v>
      </c>
      <c r="B39605" s="74" t="s">
        <v>18153</v>
      </c>
      <c r="C39605" s="74" t="s">
        <v>416</v>
      </c>
    </row>
    <row r="39606" spans="1:3">
      <c r="A39606" s="250">
        <v>95229</v>
      </c>
      <c r="B39606" s="74" t="s">
        <v>18154</v>
      </c>
      <c r="C39606" s="74" t="s">
        <v>416</v>
      </c>
    </row>
    <row r="39607" spans="1:3">
      <c r="A39607" s="250">
        <v>95230</v>
      </c>
      <c r="B39607" s="74" t="s">
        <v>1309</v>
      </c>
      <c r="C39607" s="74" t="s">
        <v>416</v>
      </c>
    </row>
    <row r="39608" spans="1:3">
      <c r="A39608" s="250">
        <v>95231</v>
      </c>
      <c r="B39608" s="74" t="s">
        <v>9542</v>
      </c>
      <c r="C39608" s="74" t="s">
        <v>416</v>
      </c>
    </row>
    <row r="39609" spans="1:3">
      <c r="A39609" s="250">
        <v>95232</v>
      </c>
      <c r="B39609" s="74" t="s">
        <v>9736</v>
      </c>
      <c r="C39609" s="74" t="s">
        <v>416</v>
      </c>
    </row>
    <row r="39610" spans="1:3">
      <c r="A39610" s="250">
        <v>95233</v>
      </c>
      <c r="B39610" s="74" t="s">
        <v>18155</v>
      </c>
      <c r="C39610" s="74" t="s">
        <v>416</v>
      </c>
    </row>
    <row r="39611" spans="1:3">
      <c r="A39611" s="250">
        <v>95234</v>
      </c>
      <c r="B39611" s="74" t="s">
        <v>8332</v>
      </c>
      <c r="C39611" s="74" t="s">
        <v>416</v>
      </c>
    </row>
    <row r="39612" spans="1:3">
      <c r="A39612" s="250">
        <v>95236</v>
      </c>
      <c r="B39612" s="74" t="s">
        <v>2134</v>
      </c>
      <c r="C39612" s="74" t="s">
        <v>416</v>
      </c>
    </row>
    <row r="39613" spans="1:3">
      <c r="A39613" s="250">
        <v>95237</v>
      </c>
      <c r="B39613" s="74" t="s">
        <v>18156</v>
      </c>
      <c r="C39613" s="74" t="s">
        <v>416</v>
      </c>
    </row>
    <row r="39614" spans="1:3">
      <c r="A39614" s="250">
        <v>95240</v>
      </c>
      <c r="B39614" s="74" t="s">
        <v>2238</v>
      </c>
      <c r="C39614" s="74" t="s">
        <v>416</v>
      </c>
    </row>
    <row r="39615" spans="1:3">
      <c r="A39615" s="250">
        <v>95241</v>
      </c>
      <c r="B39615" s="74" t="s">
        <v>2238</v>
      </c>
      <c r="C39615" s="74" t="s">
        <v>416</v>
      </c>
    </row>
    <row r="39616" spans="1:3">
      <c r="A39616" s="250">
        <v>95242</v>
      </c>
      <c r="B39616" s="74" t="s">
        <v>2238</v>
      </c>
      <c r="C39616" s="74" t="s">
        <v>416</v>
      </c>
    </row>
    <row r="39617" spans="1:3">
      <c r="A39617" s="250">
        <v>95245</v>
      </c>
      <c r="B39617" s="74" t="s">
        <v>18157</v>
      </c>
      <c r="C39617" s="74" t="s">
        <v>416</v>
      </c>
    </row>
    <row r="39618" spans="1:3">
      <c r="A39618" s="250">
        <v>95246</v>
      </c>
      <c r="B39618" s="74" t="s">
        <v>18158</v>
      </c>
      <c r="C39618" s="74" t="s">
        <v>416</v>
      </c>
    </row>
    <row r="39619" spans="1:3">
      <c r="A39619" s="250">
        <v>95247</v>
      </c>
      <c r="B39619" s="74" t="s">
        <v>18159</v>
      </c>
      <c r="C39619" s="74" t="s">
        <v>416</v>
      </c>
    </row>
    <row r="39620" spans="1:3">
      <c r="A39620" s="250">
        <v>95248</v>
      </c>
      <c r="B39620" s="74" t="s">
        <v>18160</v>
      </c>
      <c r="C39620" s="74" t="s">
        <v>416</v>
      </c>
    </row>
    <row r="39621" spans="1:3">
      <c r="A39621" s="250">
        <v>95249</v>
      </c>
      <c r="B39621" s="74" t="s">
        <v>18161</v>
      </c>
      <c r="C39621" s="74" t="s">
        <v>416</v>
      </c>
    </row>
    <row r="39622" spans="1:3">
      <c r="A39622" s="250">
        <v>95250</v>
      </c>
      <c r="B39622" s="74" t="s">
        <v>18161</v>
      </c>
      <c r="C39622" s="74" t="s">
        <v>416</v>
      </c>
    </row>
    <row r="39623" spans="1:3">
      <c r="A39623" s="250">
        <v>95251</v>
      </c>
      <c r="B39623" s="74" t="s">
        <v>18162</v>
      </c>
      <c r="C39623" s="74" t="s">
        <v>416</v>
      </c>
    </row>
    <row r="39624" spans="1:3">
      <c r="A39624" s="250">
        <v>95252</v>
      </c>
      <c r="B39624" s="74" t="s">
        <v>12832</v>
      </c>
      <c r="C39624" s="74" t="s">
        <v>416</v>
      </c>
    </row>
    <row r="39625" spans="1:3">
      <c r="A39625" s="250">
        <v>95253</v>
      </c>
      <c r="B39625" s="74" t="s">
        <v>3832</v>
      </c>
      <c r="C39625" s="74" t="s">
        <v>416</v>
      </c>
    </row>
    <row r="39626" spans="1:3">
      <c r="A39626" s="250">
        <v>95254</v>
      </c>
      <c r="B39626" s="74" t="s">
        <v>6961</v>
      </c>
      <c r="C39626" s="74" t="s">
        <v>416</v>
      </c>
    </row>
    <row r="39627" spans="1:3">
      <c r="A39627" s="250">
        <v>95255</v>
      </c>
      <c r="B39627" s="74" t="s">
        <v>2720</v>
      </c>
      <c r="C39627" s="74" t="s">
        <v>416</v>
      </c>
    </row>
    <row r="39628" spans="1:3">
      <c r="A39628" s="250">
        <v>95257</v>
      </c>
      <c r="B39628" s="74" t="s">
        <v>18163</v>
      </c>
      <c r="C39628" s="74" t="s">
        <v>416</v>
      </c>
    </row>
    <row r="39629" spans="1:3">
      <c r="A39629" s="250">
        <v>95258</v>
      </c>
      <c r="B39629" s="74" t="s">
        <v>2076</v>
      </c>
      <c r="C39629" s="74" t="s">
        <v>416</v>
      </c>
    </row>
    <row r="39630" spans="1:3">
      <c r="A39630" s="250">
        <v>95267</v>
      </c>
      <c r="B39630" s="74" t="s">
        <v>2529</v>
      </c>
      <c r="C39630" s="74" t="s">
        <v>416</v>
      </c>
    </row>
    <row r="39631" spans="1:3">
      <c r="A39631" s="250">
        <v>95269</v>
      </c>
      <c r="B39631" s="74" t="s">
        <v>2529</v>
      </c>
      <c r="C39631" s="74" t="s">
        <v>416</v>
      </c>
    </row>
    <row r="39632" spans="1:3">
      <c r="A39632" s="250">
        <v>95296</v>
      </c>
      <c r="B39632" s="74" t="s">
        <v>2529</v>
      </c>
      <c r="C39632" s="74" t="s">
        <v>416</v>
      </c>
    </row>
    <row r="39633" spans="1:3">
      <c r="A39633" s="250">
        <v>95297</v>
      </c>
      <c r="B39633" s="74" t="s">
        <v>2529</v>
      </c>
      <c r="C39633" s="74" t="s">
        <v>416</v>
      </c>
    </row>
    <row r="39634" spans="1:3">
      <c r="A39634" s="250">
        <v>95301</v>
      </c>
      <c r="B39634" s="74" t="s">
        <v>10332</v>
      </c>
      <c r="C39634" s="74" t="s">
        <v>416</v>
      </c>
    </row>
    <row r="39635" spans="1:3">
      <c r="A39635" s="250">
        <v>95303</v>
      </c>
      <c r="B39635" s="74" t="s">
        <v>18164</v>
      </c>
      <c r="C39635" s="74" t="s">
        <v>416</v>
      </c>
    </row>
    <row r="39636" spans="1:3">
      <c r="A39636" s="250">
        <v>95304</v>
      </c>
      <c r="B39636" s="74" t="s">
        <v>11554</v>
      </c>
      <c r="C39636" s="74" t="s">
        <v>416</v>
      </c>
    </row>
    <row r="39637" spans="1:3">
      <c r="A39637" s="250">
        <v>95305</v>
      </c>
      <c r="B39637" s="74" t="s">
        <v>18165</v>
      </c>
      <c r="C39637" s="74" t="s">
        <v>416</v>
      </c>
    </row>
    <row r="39638" spans="1:3">
      <c r="A39638" s="250">
        <v>95306</v>
      </c>
      <c r="B39638" s="74" t="s">
        <v>18166</v>
      </c>
      <c r="C39638" s="74" t="s">
        <v>416</v>
      </c>
    </row>
    <row r="39639" spans="1:3">
      <c r="A39639" s="250">
        <v>95307</v>
      </c>
      <c r="B39639" s="74" t="s">
        <v>3852</v>
      </c>
      <c r="C39639" s="74" t="s">
        <v>416</v>
      </c>
    </row>
    <row r="39640" spans="1:3">
      <c r="A39640" s="250">
        <v>95309</v>
      </c>
      <c r="B39640" s="74" t="s">
        <v>18167</v>
      </c>
      <c r="C39640" s="74" t="s">
        <v>416</v>
      </c>
    </row>
    <row r="39641" spans="1:3">
      <c r="A39641" s="250">
        <v>95310</v>
      </c>
      <c r="B39641" s="74" t="s">
        <v>1985</v>
      </c>
      <c r="C39641" s="74" t="s">
        <v>416</v>
      </c>
    </row>
    <row r="39642" spans="1:3">
      <c r="A39642" s="250">
        <v>95311</v>
      </c>
      <c r="B39642" s="74" t="s">
        <v>13847</v>
      </c>
      <c r="C39642" s="74" t="s">
        <v>416</v>
      </c>
    </row>
    <row r="39643" spans="1:3">
      <c r="A39643" s="250">
        <v>95312</v>
      </c>
      <c r="B39643" s="74" t="s">
        <v>18168</v>
      </c>
      <c r="C39643" s="74" t="s">
        <v>416</v>
      </c>
    </row>
    <row r="39644" spans="1:3">
      <c r="A39644" s="250">
        <v>95313</v>
      </c>
      <c r="B39644" s="74" t="s">
        <v>18169</v>
      </c>
      <c r="C39644" s="74" t="s">
        <v>416</v>
      </c>
    </row>
    <row r="39645" spans="1:3">
      <c r="A39645" s="250">
        <v>95314</v>
      </c>
      <c r="B39645" s="74" t="s">
        <v>18170</v>
      </c>
      <c r="C39645" s="74" t="s">
        <v>416</v>
      </c>
    </row>
    <row r="39646" spans="1:3">
      <c r="A39646" s="250">
        <v>95315</v>
      </c>
      <c r="B39646" s="74" t="s">
        <v>3608</v>
      </c>
      <c r="C39646" s="74" t="s">
        <v>416</v>
      </c>
    </row>
    <row r="39647" spans="1:3">
      <c r="A39647" s="250">
        <v>95316</v>
      </c>
      <c r="B39647" s="74" t="s">
        <v>18171</v>
      </c>
      <c r="C39647" s="74" t="s">
        <v>416</v>
      </c>
    </row>
    <row r="39648" spans="1:3">
      <c r="A39648" s="250">
        <v>95317</v>
      </c>
      <c r="B39648" s="74" t="s">
        <v>18172</v>
      </c>
      <c r="C39648" s="74" t="s">
        <v>416</v>
      </c>
    </row>
    <row r="39649" spans="1:3">
      <c r="A39649" s="250">
        <v>95318</v>
      </c>
      <c r="B39649" s="74" t="s">
        <v>18173</v>
      </c>
      <c r="C39649" s="74" t="s">
        <v>416</v>
      </c>
    </row>
    <row r="39650" spans="1:3">
      <c r="A39650" s="250">
        <v>95319</v>
      </c>
      <c r="B39650" s="74" t="s">
        <v>8639</v>
      </c>
      <c r="C39650" s="74" t="s">
        <v>416</v>
      </c>
    </row>
    <row r="39651" spans="1:3">
      <c r="A39651" s="250">
        <v>95320</v>
      </c>
      <c r="B39651" s="74" t="s">
        <v>18174</v>
      </c>
      <c r="C39651" s="74" t="s">
        <v>416</v>
      </c>
    </row>
    <row r="39652" spans="1:3">
      <c r="A39652" s="250">
        <v>95321</v>
      </c>
      <c r="B39652" s="74" t="s">
        <v>814</v>
      </c>
      <c r="C39652" s="74" t="s">
        <v>416</v>
      </c>
    </row>
    <row r="39653" spans="1:3">
      <c r="A39653" s="250">
        <v>95322</v>
      </c>
      <c r="B39653" s="74" t="s">
        <v>16014</v>
      </c>
      <c r="C39653" s="74" t="s">
        <v>416</v>
      </c>
    </row>
    <row r="39654" spans="1:3">
      <c r="A39654" s="250">
        <v>95323</v>
      </c>
      <c r="B39654" s="74" t="s">
        <v>9278</v>
      </c>
      <c r="C39654" s="74" t="s">
        <v>416</v>
      </c>
    </row>
    <row r="39655" spans="1:3">
      <c r="A39655" s="250">
        <v>95324</v>
      </c>
      <c r="B39655" s="74" t="s">
        <v>18175</v>
      </c>
      <c r="C39655" s="74" t="s">
        <v>416</v>
      </c>
    </row>
    <row r="39656" spans="1:3">
      <c r="A39656" s="250">
        <v>95325</v>
      </c>
      <c r="B39656" s="74" t="s">
        <v>18176</v>
      </c>
      <c r="C39656" s="74" t="s">
        <v>416</v>
      </c>
    </row>
    <row r="39657" spans="1:3">
      <c r="A39657" s="250">
        <v>95326</v>
      </c>
      <c r="B39657" s="74" t="s">
        <v>18177</v>
      </c>
      <c r="C39657" s="74" t="s">
        <v>416</v>
      </c>
    </row>
    <row r="39658" spans="1:3">
      <c r="A39658" s="250">
        <v>95327</v>
      </c>
      <c r="B39658" s="74" t="s">
        <v>1113</v>
      </c>
      <c r="C39658" s="74" t="s">
        <v>416</v>
      </c>
    </row>
    <row r="39659" spans="1:3">
      <c r="A39659" s="250">
        <v>95328</v>
      </c>
      <c r="B39659" s="74" t="s">
        <v>15639</v>
      </c>
      <c r="C39659" s="74" t="s">
        <v>416</v>
      </c>
    </row>
    <row r="39660" spans="1:3">
      <c r="A39660" s="250">
        <v>95329</v>
      </c>
      <c r="B39660" s="74" t="s">
        <v>7447</v>
      </c>
      <c r="C39660" s="74" t="s">
        <v>416</v>
      </c>
    </row>
    <row r="39661" spans="1:3">
      <c r="A39661" s="250">
        <v>95330</v>
      </c>
      <c r="B39661" s="74" t="s">
        <v>14258</v>
      </c>
      <c r="C39661" s="74" t="s">
        <v>416</v>
      </c>
    </row>
    <row r="39662" spans="1:3">
      <c r="A39662" s="250">
        <v>95333</v>
      </c>
      <c r="B39662" s="74" t="s">
        <v>11522</v>
      </c>
      <c r="C39662" s="74" t="s">
        <v>416</v>
      </c>
    </row>
    <row r="39663" spans="1:3">
      <c r="A39663" s="250">
        <v>95334</v>
      </c>
      <c r="B39663" s="74" t="s">
        <v>2135</v>
      </c>
      <c r="C39663" s="74" t="s">
        <v>416</v>
      </c>
    </row>
    <row r="39664" spans="1:3">
      <c r="A39664" s="250">
        <v>95335</v>
      </c>
      <c r="B39664" s="74" t="s">
        <v>18178</v>
      </c>
      <c r="C39664" s="74" t="s">
        <v>416</v>
      </c>
    </row>
    <row r="39665" spans="1:3">
      <c r="A39665" s="250">
        <v>95336</v>
      </c>
      <c r="B39665" s="74" t="s">
        <v>18179</v>
      </c>
      <c r="C39665" s="74" t="s">
        <v>416</v>
      </c>
    </row>
    <row r="39666" spans="1:3">
      <c r="A39666" s="250">
        <v>95337</v>
      </c>
      <c r="B39666" s="74" t="s">
        <v>18179</v>
      </c>
      <c r="C39666" s="74" t="s">
        <v>416</v>
      </c>
    </row>
    <row r="39667" spans="1:3">
      <c r="A39667" s="250">
        <v>95338</v>
      </c>
      <c r="B39667" s="74" t="s">
        <v>18180</v>
      </c>
      <c r="C39667" s="74" t="s">
        <v>416</v>
      </c>
    </row>
    <row r="39668" spans="1:3">
      <c r="A39668" s="250">
        <v>95340</v>
      </c>
      <c r="B39668" s="74" t="s">
        <v>18181</v>
      </c>
      <c r="C39668" s="74" t="s">
        <v>416</v>
      </c>
    </row>
    <row r="39669" spans="1:3">
      <c r="A39669" s="250">
        <v>95341</v>
      </c>
      <c r="B39669" s="74" t="s">
        <v>18181</v>
      </c>
      <c r="C39669" s="74" t="s">
        <v>416</v>
      </c>
    </row>
    <row r="39670" spans="1:3">
      <c r="A39670" s="250">
        <v>95343</v>
      </c>
      <c r="B39670" s="74" t="s">
        <v>18181</v>
      </c>
      <c r="C39670" s="74" t="s">
        <v>416</v>
      </c>
    </row>
    <row r="39671" spans="1:3">
      <c r="A39671" s="250">
        <v>95344</v>
      </c>
      <c r="B39671" s="74" t="s">
        <v>18181</v>
      </c>
      <c r="C39671" s="74" t="s">
        <v>416</v>
      </c>
    </row>
    <row r="39672" spans="1:3">
      <c r="A39672" s="250">
        <v>95345</v>
      </c>
      <c r="B39672" s="74" t="s">
        <v>18182</v>
      </c>
      <c r="C39672" s="74" t="s">
        <v>416</v>
      </c>
    </row>
    <row r="39673" spans="1:3">
      <c r="A39673" s="250">
        <v>95346</v>
      </c>
      <c r="B39673" s="74" t="s">
        <v>18183</v>
      </c>
      <c r="C39673" s="74" t="s">
        <v>416</v>
      </c>
    </row>
    <row r="39674" spans="1:3">
      <c r="A39674" s="250">
        <v>95347</v>
      </c>
      <c r="B39674" s="74" t="s">
        <v>13328</v>
      </c>
      <c r="C39674" s="74" t="s">
        <v>416</v>
      </c>
    </row>
    <row r="39675" spans="1:3">
      <c r="A39675" s="250">
        <v>95348</v>
      </c>
      <c r="B39675" s="74" t="s">
        <v>18181</v>
      </c>
      <c r="C39675" s="74" t="s">
        <v>416</v>
      </c>
    </row>
    <row r="39676" spans="1:3">
      <c r="A39676" s="250">
        <v>95350</v>
      </c>
      <c r="B39676" s="74" t="s">
        <v>13958</v>
      </c>
      <c r="C39676" s="74" t="s">
        <v>416</v>
      </c>
    </row>
    <row r="39677" spans="1:3">
      <c r="A39677" s="250">
        <v>95351</v>
      </c>
      <c r="B39677" s="74" t="s">
        <v>13958</v>
      </c>
      <c r="C39677" s="74" t="s">
        <v>416</v>
      </c>
    </row>
    <row r="39678" spans="1:3">
      <c r="A39678" s="250">
        <v>95352</v>
      </c>
      <c r="B39678" s="74" t="s">
        <v>13958</v>
      </c>
      <c r="C39678" s="74" t="s">
        <v>416</v>
      </c>
    </row>
    <row r="39679" spans="1:3">
      <c r="A39679" s="250">
        <v>95353</v>
      </c>
      <c r="B39679" s="74" t="s">
        <v>13958</v>
      </c>
      <c r="C39679" s="74" t="s">
        <v>416</v>
      </c>
    </row>
    <row r="39680" spans="1:3">
      <c r="A39680" s="250">
        <v>95354</v>
      </c>
      <c r="B39680" s="74" t="s">
        <v>13958</v>
      </c>
      <c r="C39680" s="74" t="s">
        <v>416</v>
      </c>
    </row>
    <row r="39681" spans="1:3">
      <c r="A39681" s="250">
        <v>95355</v>
      </c>
      <c r="B39681" s="74" t="s">
        <v>13958</v>
      </c>
      <c r="C39681" s="74" t="s">
        <v>416</v>
      </c>
    </row>
    <row r="39682" spans="1:3">
      <c r="A39682" s="250">
        <v>95356</v>
      </c>
      <c r="B39682" s="74" t="s">
        <v>13958</v>
      </c>
      <c r="C39682" s="74" t="s">
        <v>416</v>
      </c>
    </row>
    <row r="39683" spans="1:3">
      <c r="A39683" s="250">
        <v>95357</v>
      </c>
      <c r="B39683" s="74" t="s">
        <v>13958</v>
      </c>
      <c r="C39683" s="74" t="s">
        <v>416</v>
      </c>
    </row>
    <row r="39684" spans="1:3">
      <c r="A39684" s="250">
        <v>95358</v>
      </c>
      <c r="B39684" s="74" t="s">
        <v>13958</v>
      </c>
      <c r="C39684" s="74" t="s">
        <v>416</v>
      </c>
    </row>
    <row r="39685" spans="1:3">
      <c r="A39685" s="250">
        <v>95360</v>
      </c>
      <c r="B39685" s="74" t="s">
        <v>13794</v>
      </c>
      <c r="C39685" s="74" t="s">
        <v>416</v>
      </c>
    </row>
    <row r="39686" spans="1:3">
      <c r="A39686" s="250">
        <v>95361</v>
      </c>
      <c r="B39686" s="74" t="s">
        <v>2024</v>
      </c>
      <c r="C39686" s="74" t="s">
        <v>416</v>
      </c>
    </row>
    <row r="39687" spans="1:3">
      <c r="A39687" s="250">
        <v>95363</v>
      </c>
      <c r="B39687" s="74" t="s">
        <v>3134</v>
      </c>
      <c r="C39687" s="74" t="s">
        <v>416</v>
      </c>
    </row>
    <row r="39688" spans="1:3">
      <c r="A39688" s="250">
        <v>95364</v>
      </c>
      <c r="B39688" s="74" t="s">
        <v>18170</v>
      </c>
      <c r="C39688" s="74" t="s">
        <v>416</v>
      </c>
    </row>
    <row r="39689" spans="1:3">
      <c r="A39689" s="250">
        <v>95365</v>
      </c>
      <c r="B39689" s="74" t="s">
        <v>18184</v>
      </c>
      <c r="C39689" s="74" t="s">
        <v>416</v>
      </c>
    </row>
    <row r="39690" spans="1:3">
      <c r="A39690" s="250">
        <v>95366</v>
      </c>
      <c r="B39690" s="74" t="s">
        <v>12344</v>
      </c>
      <c r="C39690" s="74" t="s">
        <v>416</v>
      </c>
    </row>
    <row r="39691" spans="1:3">
      <c r="A39691" s="250">
        <v>95367</v>
      </c>
      <c r="B39691" s="74" t="s">
        <v>18185</v>
      </c>
      <c r="C39691" s="74" t="s">
        <v>416</v>
      </c>
    </row>
    <row r="39692" spans="1:3">
      <c r="A39692" s="250">
        <v>95368</v>
      </c>
      <c r="B39692" s="74" t="s">
        <v>16771</v>
      </c>
      <c r="C39692" s="74" t="s">
        <v>416</v>
      </c>
    </row>
    <row r="39693" spans="1:3">
      <c r="A39693" s="250">
        <v>95369</v>
      </c>
      <c r="B39693" s="74" t="s">
        <v>18186</v>
      </c>
      <c r="C39693" s="74" t="s">
        <v>416</v>
      </c>
    </row>
    <row r="39694" spans="1:3">
      <c r="A39694" s="250">
        <v>95370</v>
      </c>
      <c r="B39694" s="74" t="s">
        <v>10077</v>
      </c>
      <c r="C39694" s="74" t="s">
        <v>416</v>
      </c>
    </row>
    <row r="39695" spans="1:3">
      <c r="A39695" s="250">
        <v>95372</v>
      </c>
      <c r="B39695" s="74" t="s">
        <v>18187</v>
      </c>
      <c r="C39695" s="74" t="s">
        <v>416</v>
      </c>
    </row>
    <row r="39696" spans="1:3">
      <c r="A39696" s="250">
        <v>95373</v>
      </c>
      <c r="B39696" s="74" t="s">
        <v>164</v>
      </c>
      <c r="C39696" s="74" t="s">
        <v>416</v>
      </c>
    </row>
    <row r="39697" spans="1:3">
      <c r="A39697" s="250">
        <v>95374</v>
      </c>
      <c r="B39697" s="74" t="s">
        <v>18188</v>
      </c>
      <c r="C39697" s="74" t="s">
        <v>416</v>
      </c>
    </row>
    <row r="39698" spans="1:3">
      <c r="A39698" s="250">
        <v>95375</v>
      </c>
      <c r="B39698" s="74" t="s">
        <v>15402</v>
      </c>
      <c r="C39698" s="74" t="s">
        <v>416</v>
      </c>
    </row>
    <row r="39699" spans="1:3">
      <c r="A39699" s="250">
        <v>95376</v>
      </c>
      <c r="B39699" s="74" t="s">
        <v>11554</v>
      </c>
      <c r="C39699" s="74" t="s">
        <v>416</v>
      </c>
    </row>
    <row r="39700" spans="1:3">
      <c r="A39700" s="250">
        <v>95377</v>
      </c>
      <c r="B39700" s="74" t="s">
        <v>11554</v>
      </c>
      <c r="C39700" s="74" t="s">
        <v>416</v>
      </c>
    </row>
    <row r="39701" spans="1:3">
      <c r="A39701" s="250">
        <v>95378</v>
      </c>
      <c r="B39701" s="74" t="s">
        <v>11554</v>
      </c>
      <c r="C39701" s="74" t="s">
        <v>416</v>
      </c>
    </row>
    <row r="39702" spans="1:3">
      <c r="A39702" s="250">
        <v>95379</v>
      </c>
      <c r="B39702" s="74" t="s">
        <v>18189</v>
      </c>
      <c r="C39702" s="74" t="s">
        <v>416</v>
      </c>
    </row>
    <row r="39703" spans="1:3">
      <c r="A39703" s="250">
        <v>95380</v>
      </c>
      <c r="B39703" s="74" t="s">
        <v>18190</v>
      </c>
      <c r="C39703" s="74" t="s">
        <v>416</v>
      </c>
    </row>
    <row r="39704" spans="1:3">
      <c r="A39704" s="250">
        <v>95381</v>
      </c>
      <c r="B39704" s="74" t="s">
        <v>18190</v>
      </c>
      <c r="C39704" s="74" t="s">
        <v>416</v>
      </c>
    </row>
    <row r="39705" spans="1:3">
      <c r="A39705" s="250">
        <v>95382</v>
      </c>
      <c r="B39705" s="74" t="s">
        <v>18190</v>
      </c>
      <c r="C39705" s="74" t="s">
        <v>416</v>
      </c>
    </row>
    <row r="39706" spans="1:3">
      <c r="A39706" s="250">
        <v>95383</v>
      </c>
      <c r="B39706" s="74" t="s">
        <v>18191</v>
      </c>
      <c r="C39706" s="74" t="s">
        <v>416</v>
      </c>
    </row>
    <row r="39707" spans="1:3">
      <c r="A39707" s="250">
        <v>95385</v>
      </c>
      <c r="B39707" s="74" t="s">
        <v>18192</v>
      </c>
      <c r="C39707" s="74" t="s">
        <v>416</v>
      </c>
    </row>
    <row r="39708" spans="1:3">
      <c r="A39708" s="250">
        <v>95386</v>
      </c>
      <c r="B39708" s="74" t="s">
        <v>1420</v>
      </c>
      <c r="C39708" s="74" t="s">
        <v>416</v>
      </c>
    </row>
    <row r="39709" spans="1:3">
      <c r="A39709" s="250">
        <v>95387</v>
      </c>
      <c r="B39709" s="74" t="s">
        <v>18193</v>
      </c>
      <c r="C39709" s="74" t="s">
        <v>416</v>
      </c>
    </row>
    <row r="39710" spans="1:3">
      <c r="A39710" s="250">
        <v>95388</v>
      </c>
      <c r="B39710" s="74" t="s">
        <v>7284</v>
      </c>
      <c r="C39710" s="74" t="s">
        <v>416</v>
      </c>
    </row>
    <row r="39711" spans="1:3">
      <c r="A39711" s="250">
        <v>95389</v>
      </c>
      <c r="B39711" s="74" t="s">
        <v>18194</v>
      </c>
      <c r="C39711" s="74" t="s">
        <v>416</v>
      </c>
    </row>
    <row r="39712" spans="1:3">
      <c r="A39712" s="250">
        <v>95391</v>
      </c>
      <c r="B39712" s="74" t="s">
        <v>11554</v>
      </c>
      <c r="C39712" s="74" t="s">
        <v>416</v>
      </c>
    </row>
    <row r="39713" spans="1:3">
      <c r="A39713" s="250">
        <v>95397</v>
      </c>
      <c r="B39713" s="74" t="s">
        <v>13958</v>
      </c>
      <c r="C39713" s="74" t="s">
        <v>416</v>
      </c>
    </row>
    <row r="39714" spans="1:3">
      <c r="A39714" s="250">
        <v>95401</v>
      </c>
      <c r="B39714" s="74" t="s">
        <v>16402</v>
      </c>
      <c r="C39714" s="74" t="s">
        <v>416</v>
      </c>
    </row>
    <row r="39715" spans="1:3">
      <c r="A39715" s="250">
        <v>95402</v>
      </c>
      <c r="B39715" s="74" t="s">
        <v>16402</v>
      </c>
      <c r="C39715" s="74" t="s">
        <v>416</v>
      </c>
    </row>
    <row r="39716" spans="1:3">
      <c r="A39716" s="250">
        <v>95403</v>
      </c>
      <c r="B39716" s="74" t="s">
        <v>16402</v>
      </c>
      <c r="C39716" s="74" t="s">
        <v>416</v>
      </c>
    </row>
    <row r="39717" spans="1:3">
      <c r="A39717" s="250">
        <v>95404</v>
      </c>
      <c r="B39717" s="74" t="s">
        <v>16402</v>
      </c>
      <c r="C39717" s="74" t="s">
        <v>416</v>
      </c>
    </row>
    <row r="39718" spans="1:3">
      <c r="A39718" s="250">
        <v>95405</v>
      </c>
      <c r="B39718" s="74" t="s">
        <v>16402</v>
      </c>
      <c r="C39718" s="74" t="s">
        <v>416</v>
      </c>
    </row>
    <row r="39719" spans="1:3">
      <c r="A39719" s="250">
        <v>95406</v>
      </c>
      <c r="B39719" s="74" t="s">
        <v>16402</v>
      </c>
      <c r="C39719" s="74" t="s">
        <v>416</v>
      </c>
    </row>
    <row r="39720" spans="1:3">
      <c r="A39720" s="250">
        <v>95407</v>
      </c>
      <c r="B39720" s="74" t="s">
        <v>16402</v>
      </c>
      <c r="C39720" s="74" t="s">
        <v>416</v>
      </c>
    </row>
    <row r="39721" spans="1:3">
      <c r="A39721" s="250">
        <v>95409</v>
      </c>
      <c r="B39721" s="74" t="s">
        <v>16402</v>
      </c>
      <c r="C39721" s="74" t="s">
        <v>416</v>
      </c>
    </row>
    <row r="39722" spans="1:3">
      <c r="A39722" s="250">
        <v>95410</v>
      </c>
      <c r="B39722" s="74" t="s">
        <v>1093</v>
      </c>
      <c r="C39722" s="74" t="s">
        <v>416</v>
      </c>
    </row>
    <row r="39723" spans="1:3">
      <c r="A39723" s="250">
        <v>95412</v>
      </c>
      <c r="B39723" s="74" t="s">
        <v>5722</v>
      </c>
      <c r="C39723" s="74" t="s">
        <v>416</v>
      </c>
    </row>
    <row r="39724" spans="1:3">
      <c r="A39724" s="250">
        <v>95415</v>
      </c>
      <c r="B39724" s="74" t="s">
        <v>3435</v>
      </c>
      <c r="C39724" s="74" t="s">
        <v>416</v>
      </c>
    </row>
    <row r="39725" spans="1:3">
      <c r="A39725" s="250">
        <v>95416</v>
      </c>
      <c r="B39725" s="74" t="s">
        <v>18195</v>
      </c>
      <c r="C39725" s="74" t="s">
        <v>416</v>
      </c>
    </row>
    <row r="39726" spans="1:3">
      <c r="A39726" s="250">
        <v>95417</v>
      </c>
      <c r="B39726" s="74" t="s">
        <v>18196</v>
      </c>
      <c r="C39726" s="74" t="s">
        <v>416</v>
      </c>
    </row>
    <row r="39727" spans="1:3">
      <c r="A39727" s="250">
        <v>95418</v>
      </c>
      <c r="B39727" s="74" t="s">
        <v>18197</v>
      </c>
      <c r="C39727" s="74" t="s">
        <v>416</v>
      </c>
    </row>
    <row r="39728" spans="1:3">
      <c r="A39728" s="250">
        <v>95419</v>
      </c>
      <c r="B39728" s="74" t="s">
        <v>18198</v>
      </c>
      <c r="C39728" s="74" t="s">
        <v>416</v>
      </c>
    </row>
    <row r="39729" spans="1:3">
      <c r="A39729" s="250">
        <v>95420</v>
      </c>
      <c r="B39729" s="74" t="s">
        <v>18199</v>
      </c>
      <c r="C39729" s="74" t="s">
        <v>416</v>
      </c>
    </row>
    <row r="39730" spans="1:3">
      <c r="A39730" s="250">
        <v>95421</v>
      </c>
      <c r="B39730" s="74" t="s">
        <v>18200</v>
      </c>
      <c r="C39730" s="74" t="s">
        <v>416</v>
      </c>
    </row>
    <row r="39731" spans="1:3">
      <c r="A39731" s="250">
        <v>95422</v>
      </c>
      <c r="B39731" s="74" t="s">
        <v>18201</v>
      </c>
      <c r="C39731" s="74" t="s">
        <v>416</v>
      </c>
    </row>
    <row r="39732" spans="1:3">
      <c r="A39732" s="250">
        <v>95423</v>
      </c>
      <c r="B39732" s="74" t="s">
        <v>18202</v>
      </c>
      <c r="C39732" s="74" t="s">
        <v>416</v>
      </c>
    </row>
    <row r="39733" spans="1:3">
      <c r="A39733" s="250">
        <v>95424</v>
      </c>
      <c r="B39733" s="74" t="s">
        <v>18203</v>
      </c>
      <c r="C39733" s="74" t="s">
        <v>416</v>
      </c>
    </row>
    <row r="39734" spans="1:3">
      <c r="A39734" s="250">
        <v>95425</v>
      </c>
      <c r="B39734" s="74" t="s">
        <v>6265</v>
      </c>
      <c r="C39734" s="74" t="s">
        <v>416</v>
      </c>
    </row>
    <row r="39735" spans="1:3">
      <c r="A39735" s="250">
        <v>95426</v>
      </c>
      <c r="B39735" s="74" t="s">
        <v>8168</v>
      </c>
      <c r="C39735" s="74" t="s">
        <v>416</v>
      </c>
    </row>
    <row r="39736" spans="1:3">
      <c r="A39736" s="250">
        <v>95427</v>
      </c>
      <c r="B39736" s="74" t="s">
        <v>18204</v>
      </c>
      <c r="C39736" s="74" t="s">
        <v>416</v>
      </c>
    </row>
    <row r="39737" spans="1:3">
      <c r="A39737" s="250">
        <v>95428</v>
      </c>
      <c r="B39737" s="74" t="s">
        <v>18205</v>
      </c>
      <c r="C39737" s="74" t="s">
        <v>416</v>
      </c>
    </row>
    <row r="39738" spans="1:3">
      <c r="A39738" s="250">
        <v>95429</v>
      </c>
      <c r="B39738" s="74" t="s">
        <v>18206</v>
      </c>
      <c r="C39738" s="74" t="s">
        <v>416</v>
      </c>
    </row>
    <row r="39739" spans="1:3">
      <c r="A39739" s="250">
        <v>95430</v>
      </c>
      <c r="B39739" s="74" t="s">
        <v>18207</v>
      </c>
      <c r="C39739" s="74" t="s">
        <v>416</v>
      </c>
    </row>
    <row r="39740" spans="1:3">
      <c r="A39740" s="250">
        <v>95431</v>
      </c>
      <c r="B39740" s="74" t="s">
        <v>8713</v>
      </c>
      <c r="C39740" s="74" t="s">
        <v>416</v>
      </c>
    </row>
    <row r="39741" spans="1:3">
      <c r="A39741" s="250">
        <v>95432</v>
      </c>
      <c r="B39741" s="74" t="s">
        <v>18208</v>
      </c>
      <c r="C39741" s="74" t="s">
        <v>416</v>
      </c>
    </row>
    <row r="39742" spans="1:3">
      <c r="A39742" s="250">
        <v>95433</v>
      </c>
      <c r="B39742" s="74" t="s">
        <v>18209</v>
      </c>
      <c r="C39742" s="74" t="s">
        <v>416</v>
      </c>
    </row>
    <row r="39743" spans="1:3">
      <c r="A39743" s="250">
        <v>95435</v>
      </c>
      <c r="B39743" s="74" t="s">
        <v>9179</v>
      </c>
      <c r="C39743" s="74" t="s">
        <v>416</v>
      </c>
    </row>
    <row r="39744" spans="1:3">
      <c r="A39744" s="250">
        <v>95436</v>
      </c>
      <c r="B39744" s="74" t="s">
        <v>3705</v>
      </c>
      <c r="C39744" s="74" t="s">
        <v>416</v>
      </c>
    </row>
    <row r="39745" spans="1:3">
      <c r="A39745" s="250">
        <v>95437</v>
      </c>
      <c r="B39745" s="74" t="s">
        <v>7344</v>
      </c>
      <c r="C39745" s="74" t="s">
        <v>416</v>
      </c>
    </row>
    <row r="39746" spans="1:3">
      <c r="A39746" s="250">
        <v>95439</v>
      </c>
      <c r="B39746" s="74" t="s">
        <v>3365</v>
      </c>
      <c r="C39746" s="74" t="s">
        <v>416</v>
      </c>
    </row>
    <row r="39747" spans="1:3">
      <c r="A39747" s="250">
        <v>95441</v>
      </c>
      <c r="B39747" s="74" t="s">
        <v>18210</v>
      </c>
      <c r="C39747" s="74" t="s">
        <v>416</v>
      </c>
    </row>
    <row r="39748" spans="1:3">
      <c r="A39748" s="250">
        <v>95442</v>
      </c>
      <c r="B39748" s="74" t="s">
        <v>18211</v>
      </c>
      <c r="C39748" s="74" t="s">
        <v>416</v>
      </c>
    </row>
    <row r="39749" spans="1:3">
      <c r="A39749" s="250">
        <v>95443</v>
      </c>
      <c r="B39749" s="74" t="s">
        <v>18212</v>
      </c>
      <c r="C39749" s="74" t="s">
        <v>416</v>
      </c>
    </row>
    <row r="39750" spans="1:3">
      <c r="A39750" s="250">
        <v>95444</v>
      </c>
      <c r="B39750" s="74" t="s">
        <v>18213</v>
      </c>
      <c r="C39750" s="74" t="s">
        <v>416</v>
      </c>
    </row>
    <row r="39751" spans="1:3">
      <c r="A39751" s="250">
        <v>95445</v>
      </c>
      <c r="B39751" s="74" t="s">
        <v>18214</v>
      </c>
      <c r="C39751" s="74" t="s">
        <v>416</v>
      </c>
    </row>
    <row r="39752" spans="1:3">
      <c r="A39752" s="250">
        <v>95446</v>
      </c>
      <c r="B39752" s="74" t="s">
        <v>18215</v>
      </c>
      <c r="C39752" s="74" t="s">
        <v>416</v>
      </c>
    </row>
    <row r="39753" spans="1:3">
      <c r="A39753" s="250">
        <v>95448</v>
      </c>
      <c r="B39753" s="74" t="s">
        <v>18216</v>
      </c>
      <c r="C39753" s="74" t="s">
        <v>416</v>
      </c>
    </row>
    <row r="39754" spans="1:3">
      <c r="A39754" s="250">
        <v>95449</v>
      </c>
      <c r="B39754" s="74" t="s">
        <v>18217</v>
      </c>
      <c r="C39754" s="74" t="s">
        <v>416</v>
      </c>
    </row>
    <row r="39755" spans="1:3">
      <c r="A39755" s="250">
        <v>95450</v>
      </c>
      <c r="B39755" s="74" t="s">
        <v>18218</v>
      </c>
      <c r="C39755" s="74" t="s">
        <v>416</v>
      </c>
    </row>
    <row r="39756" spans="1:3">
      <c r="A39756" s="250">
        <v>95451</v>
      </c>
      <c r="B39756" s="74" t="s">
        <v>18219</v>
      </c>
      <c r="C39756" s="74" t="s">
        <v>416</v>
      </c>
    </row>
    <row r="39757" spans="1:3">
      <c r="A39757" s="250">
        <v>95452</v>
      </c>
      <c r="B39757" s="74" t="s">
        <v>18220</v>
      </c>
      <c r="C39757" s="74" t="s">
        <v>416</v>
      </c>
    </row>
    <row r="39758" spans="1:3">
      <c r="A39758" s="250">
        <v>95453</v>
      </c>
      <c r="B39758" s="74" t="s">
        <v>18221</v>
      </c>
      <c r="C39758" s="74" t="s">
        <v>416</v>
      </c>
    </row>
    <row r="39759" spans="1:3">
      <c r="A39759" s="250">
        <v>95454</v>
      </c>
      <c r="B39759" s="74" t="s">
        <v>18222</v>
      </c>
      <c r="C39759" s="74" t="s">
        <v>416</v>
      </c>
    </row>
    <row r="39760" spans="1:3">
      <c r="A39760" s="250">
        <v>95456</v>
      </c>
      <c r="B39760" s="74" t="s">
        <v>7744</v>
      </c>
      <c r="C39760" s="74" t="s">
        <v>416</v>
      </c>
    </row>
    <row r="39761" spans="1:3">
      <c r="A39761" s="250">
        <v>95457</v>
      </c>
      <c r="B39761" s="74" t="s">
        <v>18223</v>
      </c>
      <c r="C39761" s="74" t="s">
        <v>416</v>
      </c>
    </row>
    <row r="39762" spans="1:3">
      <c r="A39762" s="250">
        <v>95458</v>
      </c>
      <c r="B39762" s="74" t="s">
        <v>10777</v>
      </c>
      <c r="C39762" s="74" t="s">
        <v>416</v>
      </c>
    </row>
    <row r="39763" spans="1:3">
      <c r="A39763" s="250">
        <v>95459</v>
      </c>
      <c r="B39763" s="74" t="s">
        <v>848</v>
      </c>
      <c r="C39763" s="74" t="s">
        <v>416</v>
      </c>
    </row>
    <row r="39764" spans="1:3">
      <c r="A39764" s="250">
        <v>95460</v>
      </c>
      <c r="B39764" s="74" t="s">
        <v>18224</v>
      </c>
      <c r="C39764" s="74" t="s">
        <v>416</v>
      </c>
    </row>
    <row r="39765" spans="1:3">
      <c r="A39765" s="250">
        <v>95461</v>
      </c>
      <c r="B39765" s="74" t="s">
        <v>1119</v>
      </c>
      <c r="C39765" s="74" t="s">
        <v>416</v>
      </c>
    </row>
    <row r="39766" spans="1:3">
      <c r="A39766" s="250">
        <v>95462</v>
      </c>
      <c r="B39766" s="74" t="s">
        <v>18225</v>
      </c>
      <c r="C39766" s="74" t="s">
        <v>416</v>
      </c>
    </row>
    <row r="39767" spans="1:3">
      <c r="A39767" s="250">
        <v>95463</v>
      </c>
      <c r="B39767" s="74" t="s">
        <v>18226</v>
      </c>
      <c r="C39767" s="74" t="s">
        <v>416</v>
      </c>
    </row>
    <row r="39768" spans="1:3">
      <c r="A39768" s="250">
        <v>95464</v>
      </c>
      <c r="B39768" s="74" t="s">
        <v>18227</v>
      </c>
      <c r="C39768" s="74" t="s">
        <v>416</v>
      </c>
    </row>
    <row r="39769" spans="1:3">
      <c r="A39769" s="250">
        <v>95465</v>
      </c>
      <c r="B39769" s="74" t="s">
        <v>18228</v>
      </c>
      <c r="C39769" s="74" t="s">
        <v>416</v>
      </c>
    </row>
    <row r="39770" spans="1:3">
      <c r="A39770" s="250">
        <v>95466</v>
      </c>
      <c r="B39770" s="74" t="s">
        <v>10239</v>
      </c>
      <c r="C39770" s="74" t="s">
        <v>416</v>
      </c>
    </row>
    <row r="39771" spans="1:3">
      <c r="A39771" s="250">
        <v>95467</v>
      </c>
      <c r="B39771" s="74" t="s">
        <v>18229</v>
      </c>
      <c r="C39771" s="74" t="s">
        <v>416</v>
      </c>
    </row>
    <row r="39772" spans="1:3">
      <c r="A39772" s="250">
        <v>95468</v>
      </c>
      <c r="B39772" s="74" t="s">
        <v>18230</v>
      </c>
      <c r="C39772" s="74" t="s">
        <v>416</v>
      </c>
    </row>
    <row r="39773" spans="1:3">
      <c r="A39773" s="250">
        <v>95469</v>
      </c>
      <c r="B39773" s="74" t="s">
        <v>18231</v>
      </c>
      <c r="C39773" s="74" t="s">
        <v>416</v>
      </c>
    </row>
    <row r="39774" spans="1:3">
      <c r="A39774" s="250">
        <v>95470</v>
      </c>
      <c r="B39774" s="74" t="s">
        <v>18232</v>
      </c>
      <c r="C39774" s="74" t="s">
        <v>416</v>
      </c>
    </row>
    <row r="39775" spans="1:3">
      <c r="A39775" s="250">
        <v>95471</v>
      </c>
      <c r="B39775" s="74" t="s">
        <v>18233</v>
      </c>
      <c r="C39775" s="74" t="s">
        <v>416</v>
      </c>
    </row>
    <row r="39776" spans="1:3">
      <c r="A39776" s="250">
        <v>95472</v>
      </c>
      <c r="B39776" s="74" t="s">
        <v>9470</v>
      </c>
      <c r="C39776" s="74" t="s">
        <v>416</v>
      </c>
    </row>
    <row r="39777" spans="1:3">
      <c r="A39777" s="250">
        <v>95473</v>
      </c>
      <c r="B39777" s="74" t="s">
        <v>9470</v>
      </c>
      <c r="C39777" s="74" t="s">
        <v>416</v>
      </c>
    </row>
    <row r="39778" spans="1:3">
      <c r="A39778" s="250">
        <v>95476</v>
      </c>
      <c r="B39778" s="74" t="s">
        <v>18234</v>
      </c>
      <c r="C39778" s="74" t="s">
        <v>416</v>
      </c>
    </row>
    <row r="39779" spans="1:3">
      <c r="A39779" s="250">
        <v>95480</v>
      </c>
      <c r="B39779" s="74" t="s">
        <v>18235</v>
      </c>
      <c r="C39779" s="74" t="s">
        <v>416</v>
      </c>
    </row>
    <row r="39780" spans="1:3">
      <c r="A39780" s="250">
        <v>95481</v>
      </c>
      <c r="B39780" s="74" t="s">
        <v>4891</v>
      </c>
      <c r="C39780" s="74" t="s">
        <v>416</v>
      </c>
    </row>
    <row r="39781" spans="1:3">
      <c r="A39781" s="250">
        <v>95482</v>
      </c>
      <c r="B39781" s="74" t="s">
        <v>18236</v>
      </c>
      <c r="C39781" s="74" t="s">
        <v>416</v>
      </c>
    </row>
    <row r="39782" spans="1:3">
      <c r="A39782" s="250">
        <v>95485</v>
      </c>
      <c r="B39782" s="74" t="s">
        <v>18237</v>
      </c>
      <c r="C39782" s="74" t="s">
        <v>416</v>
      </c>
    </row>
    <row r="39783" spans="1:3">
      <c r="A39783" s="250">
        <v>95486</v>
      </c>
      <c r="B39783" s="74" t="s">
        <v>18238</v>
      </c>
      <c r="C39783" s="74" t="s">
        <v>416</v>
      </c>
    </row>
    <row r="39784" spans="1:3">
      <c r="A39784" s="250">
        <v>95487</v>
      </c>
      <c r="B39784" s="74" t="s">
        <v>18239</v>
      </c>
      <c r="C39784" s="74" t="s">
        <v>416</v>
      </c>
    </row>
    <row r="39785" spans="1:3">
      <c r="A39785" s="250">
        <v>95488</v>
      </c>
      <c r="B39785" s="74" t="s">
        <v>1090</v>
      </c>
      <c r="C39785" s="74" t="s">
        <v>416</v>
      </c>
    </row>
    <row r="39786" spans="1:3">
      <c r="A39786" s="250">
        <v>95490</v>
      </c>
      <c r="B39786" s="74" t="s">
        <v>18240</v>
      </c>
      <c r="C39786" s="74" t="s">
        <v>416</v>
      </c>
    </row>
    <row r="39787" spans="1:3">
      <c r="A39787" s="250">
        <v>95492</v>
      </c>
      <c r="B39787" s="74" t="s">
        <v>669</v>
      </c>
      <c r="C39787" s="74" t="s">
        <v>416</v>
      </c>
    </row>
    <row r="39788" spans="1:3">
      <c r="A39788" s="250">
        <v>95493</v>
      </c>
      <c r="B39788" s="74" t="s">
        <v>18241</v>
      </c>
      <c r="C39788" s="74" t="s">
        <v>416</v>
      </c>
    </row>
    <row r="39789" spans="1:3">
      <c r="A39789" s="250">
        <v>95494</v>
      </c>
      <c r="B39789" s="74" t="s">
        <v>3520</v>
      </c>
      <c r="C39789" s="74" t="s">
        <v>416</v>
      </c>
    </row>
    <row r="39790" spans="1:3">
      <c r="A39790" s="250">
        <v>95497</v>
      </c>
      <c r="B39790" s="74" t="s">
        <v>18242</v>
      </c>
      <c r="C39790" s="74" t="s">
        <v>416</v>
      </c>
    </row>
    <row r="39791" spans="1:3">
      <c r="A39791" s="250">
        <v>95501</v>
      </c>
      <c r="B39791" s="74" t="s">
        <v>11160</v>
      </c>
      <c r="C39791" s="74" t="s">
        <v>416</v>
      </c>
    </row>
    <row r="39792" spans="1:3">
      <c r="A39792" s="250">
        <v>95502</v>
      </c>
      <c r="B39792" s="74" t="s">
        <v>11160</v>
      </c>
      <c r="C39792" s="74" t="s">
        <v>416</v>
      </c>
    </row>
    <row r="39793" spans="1:3">
      <c r="A39793" s="250">
        <v>95503</v>
      </c>
      <c r="B39793" s="74" t="s">
        <v>11160</v>
      </c>
      <c r="C39793" s="74" t="s">
        <v>416</v>
      </c>
    </row>
    <row r="39794" spans="1:3">
      <c r="A39794" s="250">
        <v>95511</v>
      </c>
      <c r="B39794" s="74" t="s">
        <v>18243</v>
      </c>
      <c r="C39794" s="74" t="s">
        <v>416</v>
      </c>
    </row>
    <row r="39795" spans="1:3">
      <c r="A39795" s="250">
        <v>95514</v>
      </c>
      <c r="B39795" s="74" t="s">
        <v>18244</v>
      </c>
      <c r="C39795" s="74" t="s">
        <v>416</v>
      </c>
    </row>
    <row r="39796" spans="1:3">
      <c r="A39796" s="250">
        <v>95518</v>
      </c>
      <c r="B39796" s="74" t="s">
        <v>18245</v>
      </c>
      <c r="C39796" s="74" t="s">
        <v>416</v>
      </c>
    </row>
    <row r="39797" spans="1:3">
      <c r="A39797" s="250">
        <v>95519</v>
      </c>
      <c r="B39797" s="74" t="s">
        <v>18246</v>
      </c>
      <c r="C39797" s="74" t="s">
        <v>416</v>
      </c>
    </row>
    <row r="39798" spans="1:3">
      <c r="A39798" s="250">
        <v>95521</v>
      </c>
      <c r="B39798" s="74" t="s">
        <v>18245</v>
      </c>
      <c r="C39798" s="74" t="s">
        <v>416</v>
      </c>
    </row>
    <row r="39799" spans="1:3">
      <c r="A39799" s="250">
        <v>95524</v>
      </c>
      <c r="B39799" s="74" t="s">
        <v>2737</v>
      </c>
      <c r="C39799" s="74" t="s">
        <v>416</v>
      </c>
    </row>
    <row r="39800" spans="1:3">
      <c r="A39800" s="250">
        <v>95525</v>
      </c>
      <c r="B39800" s="74" t="s">
        <v>18247</v>
      </c>
      <c r="C39800" s="74" t="s">
        <v>416</v>
      </c>
    </row>
    <row r="39801" spans="1:3">
      <c r="A39801" s="250">
        <v>95526</v>
      </c>
      <c r="B39801" s="74" t="s">
        <v>3966</v>
      </c>
      <c r="C39801" s="74" t="s">
        <v>416</v>
      </c>
    </row>
    <row r="39802" spans="1:3">
      <c r="A39802" s="250">
        <v>95527</v>
      </c>
      <c r="B39802" s="74" t="s">
        <v>18248</v>
      </c>
      <c r="C39802" s="74" t="s">
        <v>416</v>
      </c>
    </row>
    <row r="39803" spans="1:3">
      <c r="A39803" s="250">
        <v>95528</v>
      </c>
      <c r="B39803" s="74" t="s">
        <v>18249</v>
      </c>
      <c r="C39803" s="74" t="s">
        <v>416</v>
      </c>
    </row>
    <row r="39804" spans="1:3">
      <c r="A39804" s="250">
        <v>95531</v>
      </c>
      <c r="B39804" s="74" t="s">
        <v>8241</v>
      </c>
      <c r="C39804" s="74" t="s">
        <v>416</v>
      </c>
    </row>
    <row r="39805" spans="1:3">
      <c r="A39805" s="250">
        <v>95532</v>
      </c>
      <c r="B39805" s="74" t="s">
        <v>8241</v>
      </c>
      <c r="C39805" s="74" t="s">
        <v>416</v>
      </c>
    </row>
    <row r="39806" spans="1:3">
      <c r="A39806" s="250">
        <v>95534</v>
      </c>
      <c r="B39806" s="74" t="s">
        <v>18250</v>
      </c>
      <c r="C39806" s="74" t="s">
        <v>416</v>
      </c>
    </row>
    <row r="39807" spans="1:3">
      <c r="A39807" s="250">
        <v>95536</v>
      </c>
      <c r="B39807" s="74" t="s">
        <v>3173</v>
      </c>
      <c r="C39807" s="74" t="s">
        <v>416</v>
      </c>
    </row>
    <row r="39808" spans="1:3">
      <c r="A39808" s="250">
        <v>95537</v>
      </c>
      <c r="B39808" s="74" t="s">
        <v>18251</v>
      </c>
      <c r="C39808" s="74" t="s">
        <v>416</v>
      </c>
    </row>
    <row r="39809" spans="1:3">
      <c r="A39809" s="250">
        <v>95538</v>
      </c>
      <c r="B39809" s="74" t="s">
        <v>18252</v>
      </c>
      <c r="C39809" s="74" t="s">
        <v>416</v>
      </c>
    </row>
    <row r="39810" spans="1:3">
      <c r="A39810" s="250">
        <v>95540</v>
      </c>
      <c r="B39810" s="74" t="s">
        <v>13204</v>
      </c>
      <c r="C39810" s="74" t="s">
        <v>416</v>
      </c>
    </row>
    <row r="39811" spans="1:3">
      <c r="A39811" s="250">
        <v>95542</v>
      </c>
      <c r="B39811" s="74" t="s">
        <v>18253</v>
      </c>
      <c r="C39811" s="74" t="s">
        <v>416</v>
      </c>
    </row>
    <row r="39812" spans="1:3">
      <c r="A39812" s="250">
        <v>95543</v>
      </c>
      <c r="B39812" s="74" t="s">
        <v>18254</v>
      </c>
      <c r="C39812" s="74" t="s">
        <v>416</v>
      </c>
    </row>
    <row r="39813" spans="1:3">
      <c r="A39813" s="250">
        <v>95545</v>
      </c>
      <c r="B39813" s="74" t="s">
        <v>18255</v>
      </c>
      <c r="C39813" s="74" t="s">
        <v>416</v>
      </c>
    </row>
    <row r="39814" spans="1:3">
      <c r="A39814" s="250">
        <v>95546</v>
      </c>
      <c r="B39814" s="74" t="s">
        <v>18256</v>
      </c>
      <c r="C39814" s="74" t="s">
        <v>416</v>
      </c>
    </row>
    <row r="39815" spans="1:3">
      <c r="A39815" s="250">
        <v>95547</v>
      </c>
      <c r="B39815" s="74" t="s">
        <v>18257</v>
      </c>
      <c r="C39815" s="74" t="s">
        <v>416</v>
      </c>
    </row>
    <row r="39816" spans="1:3">
      <c r="A39816" s="250">
        <v>95548</v>
      </c>
      <c r="B39816" s="74" t="s">
        <v>18258</v>
      </c>
      <c r="C39816" s="74" t="s">
        <v>416</v>
      </c>
    </row>
    <row r="39817" spans="1:3">
      <c r="A39817" s="250">
        <v>95549</v>
      </c>
      <c r="B39817" s="74" t="s">
        <v>18259</v>
      </c>
      <c r="C39817" s="74" t="s">
        <v>416</v>
      </c>
    </row>
    <row r="39818" spans="1:3">
      <c r="A39818" s="250">
        <v>95550</v>
      </c>
      <c r="B39818" s="74" t="s">
        <v>18260</v>
      </c>
      <c r="C39818" s="74" t="s">
        <v>416</v>
      </c>
    </row>
    <row r="39819" spans="1:3">
      <c r="A39819" s="250">
        <v>95551</v>
      </c>
      <c r="B39819" s="74" t="s">
        <v>18261</v>
      </c>
      <c r="C39819" s="74" t="s">
        <v>416</v>
      </c>
    </row>
    <row r="39820" spans="1:3">
      <c r="A39820" s="250">
        <v>95552</v>
      </c>
      <c r="B39820" s="74" t="s">
        <v>18262</v>
      </c>
      <c r="C39820" s="74" t="s">
        <v>416</v>
      </c>
    </row>
    <row r="39821" spans="1:3">
      <c r="A39821" s="250">
        <v>95553</v>
      </c>
      <c r="B39821" s="74" t="s">
        <v>18263</v>
      </c>
      <c r="C39821" s="74" t="s">
        <v>416</v>
      </c>
    </row>
    <row r="39822" spans="1:3">
      <c r="A39822" s="250">
        <v>95554</v>
      </c>
      <c r="B39822" s="74" t="s">
        <v>18264</v>
      </c>
      <c r="C39822" s="74" t="s">
        <v>416</v>
      </c>
    </row>
    <row r="39823" spans="1:3">
      <c r="A39823" s="250">
        <v>95555</v>
      </c>
      <c r="B39823" s="74" t="s">
        <v>18265</v>
      </c>
      <c r="C39823" s="74" t="s">
        <v>416</v>
      </c>
    </row>
    <row r="39824" spans="1:3">
      <c r="A39824" s="250">
        <v>95556</v>
      </c>
      <c r="B39824" s="74" t="s">
        <v>1042</v>
      </c>
      <c r="C39824" s="74" t="s">
        <v>416</v>
      </c>
    </row>
    <row r="39825" spans="1:3">
      <c r="A39825" s="250">
        <v>95558</v>
      </c>
      <c r="B39825" s="74" t="s">
        <v>4397</v>
      </c>
      <c r="C39825" s="74" t="s">
        <v>416</v>
      </c>
    </row>
    <row r="39826" spans="1:3">
      <c r="A39826" s="250">
        <v>95559</v>
      </c>
      <c r="B39826" s="74" t="s">
        <v>18266</v>
      </c>
      <c r="C39826" s="74" t="s">
        <v>416</v>
      </c>
    </row>
    <row r="39827" spans="1:3">
      <c r="A39827" s="250">
        <v>95560</v>
      </c>
      <c r="B39827" s="74" t="s">
        <v>18267</v>
      </c>
      <c r="C39827" s="74" t="s">
        <v>416</v>
      </c>
    </row>
    <row r="39828" spans="1:3">
      <c r="A39828" s="250">
        <v>95562</v>
      </c>
      <c r="B39828" s="74" t="s">
        <v>18268</v>
      </c>
      <c r="C39828" s="74" t="s">
        <v>416</v>
      </c>
    </row>
    <row r="39829" spans="1:3">
      <c r="A39829" s="250">
        <v>95563</v>
      </c>
      <c r="B39829" s="74" t="s">
        <v>18269</v>
      </c>
      <c r="C39829" s="74" t="s">
        <v>416</v>
      </c>
    </row>
    <row r="39830" spans="1:3">
      <c r="A39830" s="250">
        <v>95564</v>
      </c>
      <c r="B39830" s="74" t="s">
        <v>18270</v>
      </c>
      <c r="C39830" s="74" t="s">
        <v>416</v>
      </c>
    </row>
    <row r="39831" spans="1:3">
      <c r="A39831" s="250">
        <v>95565</v>
      </c>
      <c r="B39831" s="74" t="s">
        <v>7847</v>
      </c>
      <c r="C39831" s="74" t="s">
        <v>416</v>
      </c>
    </row>
    <row r="39832" spans="1:3">
      <c r="A39832" s="250">
        <v>95567</v>
      </c>
      <c r="B39832" s="74" t="s">
        <v>18271</v>
      </c>
      <c r="C39832" s="74" t="s">
        <v>416</v>
      </c>
    </row>
    <row r="39833" spans="1:3">
      <c r="A39833" s="250">
        <v>95568</v>
      </c>
      <c r="B39833" s="74" t="s">
        <v>18272</v>
      </c>
      <c r="C39833" s="74" t="s">
        <v>416</v>
      </c>
    </row>
    <row r="39834" spans="1:3">
      <c r="A39834" s="250">
        <v>95569</v>
      </c>
      <c r="B39834" s="74" t="s">
        <v>18273</v>
      </c>
      <c r="C39834" s="74" t="s">
        <v>416</v>
      </c>
    </row>
    <row r="39835" spans="1:3">
      <c r="A39835" s="250">
        <v>95570</v>
      </c>
      <c r="B39835" s="74" t="s">
        <v>15844</v>
      </c>
      <c r="C39835" s="74" t="s">
        <v>416</v>
      </c>
    </row>
    <row r="39836" spans="1:3">
      <c r="A39836" s="250">
        <v>95571</v>
      </c>
      <c r="B39836" s="74" t="s">
        <v>18274</v>
      </c>
      <c r="C39836" s="74" t="s">
        <v>416</v>
      </c>
    </row>
    <row r="39837" spans="1:3">
      <c r="A39837" s="250">
        <v>95573</v>
      </c>
      <c r="B39837" s="74" t="s">
        <v>13385</v>
      </c>
      <c r="C39837" s="74" t="s">
        <v>416</v>
      </c>
    </row>
    <row r="39838" spans="1:3">
      <c r="A39838" s="250">
        <v>95585</v>
      </c>
      <c r="B39838" s="74" t="s">
        <v>16130</v>
      </c>
      <c r="C39838" s="74" t="s">
        <v>416</v>
      </c>
    </row>
    <row r="39839" spans="1:3">
      <c r="A39839" s="250">
        <v>95587</v>
      </c>
      <c r="B39839" s="74" t="s">
        <v>18275</v>
      </c>
      <c r="C39839" s="74" t="s">
        <v>416</v>
      </c>
    </row>
    <row r="39840" spans="1:3">
      <c r="A39840" s="250">
        <v>95589</v>
      </c>
      <c r="B39840" s="74" t="s">
        <v>18276</v>
      </c>
      <c r="C39840" s="74" t="s">
        <v>416</v>
      </c>
    </row>
    <row r="39841" spans="1:3">
      <c r="A39841" s="250">
        <v>95595</v>
      </c>
      <c r="B39841" s="74" t="s">
        <v>18277</v>
      </c>
      <c r="C39841" s="74" t="s">
        <v>416</v>
      </c>
    </row>
    <row r="39842" spans="1:3">
      <c r="A39842" s="250">
        <v>95601</v>
      </c>
      <c r="B39842" s="74" t="s">
        <v>18278</v>
      </c>
      <c r="C39842" s="74" t="s">
        <v>416</v>
      </c>
    </row>
    <row r="39843" spans="1:3">
      <c r="A39843" s="250">
        <v>95602</v>
      </c>
      <c r="B39843" s="74" t="s">
        <v>724</v>
      </c>
      <c r="C39843" s="74" t="s">
        <v>416</v>
      </c>
    </row>
    <row r="39844" spans="1:3">
      <c r="A39844" s="250">
        <v>95603</v>
      </c>
      <c r="B39844" s="74" t="s">
        <v>724</v>
      </c>
      <c r="C39844" s="74" t="s">
        <v>416</v>
      </c>
    </row>
    <row r="39845" spans="1:3">
      <c r="A39845" s="250">
        <v>95604</v>
      </c>
      <c r="B39845" s="74" t="s">
        <v>724</v>
      </c>
      <c r="C39845" s="74" t="s">
        <v>416</v>
      </c>
    </row>
    <row r="39846" spans="1:3">
      <c r="A39846" s="250">
        <v>95605</v>
      </c>
      <c r="B39846" s="74" t="s">
        <v>18279</v>
      </c>
      <c r="C39846" s="74" t="s">
        <v>416</v>
      </c>
    </row>
    <row r="39847" spans="1:3">
      <c r="A39847" s="250">
        <v>95606</v>
      </c>
      <c r="B39847" s="74" t="s">
        <v>1683</v>
      </c>
      <c r="C39847" s="74" t="s">
        <v>416</v>
      </c>
    </row>
    <row r="39848" spans="1:3">
      <c r="A39848" s="250">
        <v>95607</v>
      </c>
      <c r="B39848" s="74" t="s">
        <v>18280</v>
      </c>
      <c r="C39848" s="74" t="s">
        <v>416</v>
      </c>
    </row>
    <row r="39849" spans="1:3">
      <c r="A39849" s="250">
        <v>95608</v>
      </c>
      <c r="B39849" s="74" t="s">
        <v>18281</v>
      </c>
      <c r="C39849" s="74" t="s">
        <v>416</v>
      </c>
    </row>
    <row r="39850" spans="1:3">
      <c r="A39850" s="250">
        <v>95609</v>
      </c>
      <c r="B39850" s="74" t="s">
        <v>18281</v>
      </c>
      <c r="C39850" s="74" t="s">
        <v>416</v>
      </c>
    </row>
    <row r="39851" spans="1:3">
      <c r="A39851" s="250">
        <v>95610</v>
      </c>
      <c r="B39851" s="74" t="s">
        <v>18282</v>
      </c>
      <c r="C39851" s="74" t="s">
        <v>416</v>
      </c>
    </row>
    <row r="39852" spans="1:3">
      <c r="A39852" s="250">
        <v>95611</v>
      </c>
      <c r="B39852" s="74" t="s">
        <v>18282</v>
      </c>
      <c r="C39852" s="74" t="s">
        <v>416</v>
      </c>
    </row>
    <row r="39853" spans="1:3">
      <c r="A39853" s="250">
        <v>95612</v>
      </c>
      <c r="B39853" s="74" t="s">
        <v>4269</v>
      </c>
      <c r="C39853" s="74" t="s">
        <v>416</v>
      </c>
    </row>
    <row r="39854" spans="1:3">
      <c r="A39854" s="250">
        <v>95613</v>
      </c>
      <c r="B39854" s="74" t="s">
        <v>11192</v>
      </c>
      <c r="C39854" s="74" t="s">
        <v>416</v>
      </c>
    </row>
    <row r="39855" spans="1:3">
      <c r="A39855" s="250">
        <v>95614</v>
      </c>
      <c r="B39855" s="74" t="s">
        <v>18283</v>
      </c>
      <c r="C39855" s="74" t="s">
        <v>416</v>
      </c>
    </row>
    <row r="39856" spans="1:3">
      <c r="A39856" s="250">
        <v>95615</v>
      </c>
      <c r="B39856" s="74" t="s">
        <v>6193</v>
      </c>
      <c r="C39856" s="74" t="s">
        <v>416</v>
      </c>
    </row>
    <row r="39857" spans="1:3">
      <c r="A39857" s="250">
        <v>95616</v>
      </c>
      <c r="B39857" s="74" t="s">
        <v>6907</v>
      </c>
      <c r="C39857" s="74" t="s">
        <v>416</v>
      </c>
    </row>
    <row r="39858" spans="1:3">
      <c r="A39858" s="250">
        <v>95617</v>
      </c>
      <c r="B39858" s="74" t="s">
        <v>6907</v>
      </c>
      <c r="C39858" s="74" t="s">
        <v>416</v>
      </c>
    </row>
    <row r="39859" spans="1:3">
      <c r="A39859" s="250">
        <v>95618</v>
      </c>
      <c r="B39859" s="74" t="s">
        <v>6907</v>
      </c>
      <c r="C39859" s="74" t="s">
        <v>416</v>
      </c>
    </row>
    <row r="39860" spans="1:3">
      <c r="A39860" s="250">
        <v>95619</v>
      </c>
      <c r="B39860" s="74" t="s">
        <v>18284</v>
      </c>
      <c r="C39860" s="74" t="s">
        <v>416</v>
      </c>
    </row>
    <row r="39861" spans="1:3">
      <c r="A39861" s="250">
        <v>95620</v>
      </c>
      <c r="B39861" s="74" t="s">
        <v>10025</v>
      </c>
      <c r="C39861" s="74" t="s">
        <v>416</v>
      </c>
    </row>
    <row r="39862" spans="1:3">
      <c r="A39862" s="250">
        <v>95621</v>
      </c>
      <c r="B39862" s="74" t="s">
        <v>18282</v>
      </c>
      <c r="C39862" s="74" t="s">
        <v>416</v>
      </c>
    </row>
    <row r="39863" spans="1:3">
      <c r="A39863" s="250">
        <v>95623</v>
      </c>
      <c r="B39863" s="74" t="s">
        <v>14599</v>
      </c>
      <c r="C39863" s="74" t="s">
        <v>416</v>
      </c>
    </row>
    <row r="39864" spans="1:3">
      <c r="A39864" s="250">
        <v>95624</v>
      </c>
      <c r="B39864" s="74" t="s">
        <v>18285</v>
      </c>
      <c r="C39864" s="74" t="s">
        <v>416</v>
      </c>
    </row>
    <row r="39865" spans="1:3">
      <c r="A39865" s="250">
        <v>95625</v>
      </c>
      <c r="B39865" s="74" t="s">
        <v>3955</v>
      </c>
      <c r="C39865" s="74" t="s">
        <v>416</v>
      </c>
    </row>
    <row r="39866" spans="1:3">
      <c r="A39866" s="250">
        <v>95626</v>
      </c>
      <c r="B39866" s="74" t="s">
        <v>18286</v>
      </c>
      <c r="C39866" s="74" t="s">
        <v>416</v>
      </c>
    </row>
    <row r="39867" spans="1:3">
      <c r="A39867" s="250">
        <v>95627</v>
      </c>
      <c r="B39867" s="74" t="s">
        <v>18287</v>
      </c>
      <c r="C39867" s="74" t="s">
        <v>416</v>
      </c>
    </row>
    <row r="39868" spans="1:3">
      <c r="A39868" s="250">
        <v>95628</v>
      </c>
      <c r="B39868" s="74" t="s">
        <v>10963</v>
      </c>
      <c r="C39868" s="74" t="s">
        <v>416</v>
      </c>
    </row>
    <row r="39869" spans="1:3">
      <c r="A39869" s="250">
        <v>95629</v>
      </c>
      <c r="B39869" s="74" t="s">
        <v>18288</v>
      </c>
      <c r="C39869" s="74" t="s">
        <v>416</v>
      </c>
    </row>
    <row r="39870" spans="1:3">
      <c r="A39870" s="250">
        <v>95630</v>
      </c>
      <c r="B39870" s="74" t="s">
        <v>5333</v>
      </c>
      <c r="C39870" s="74" t="s">
        <v>416</v>
      </c>
    </row>
    <row r="39871" spans="1:3">
      <c r="A39871" s="250">
        <v>95631</v>
      </c>
      <c r="B39871" s="74" t="s">
        <v>18289</v>
      </c>
      <c r="C39871" s="74" t="s">
        <v>416</v>
      </c>
    </row>
    <row r="39872" spans="1:3">
      <c r="A39872" s="250">
        <v>95632</v>
      </c>
      <c r="B39872" s="74" t="s">
        <v>11506</v>
      </c>
      <c r="C39872" s="74" t="s">
        <v>416</v>
      </c>
    </row>
    <row r="39873" spans="1:3">
      <c r="A39873" s="250">
        <v>95633</v>
      </c>
      <c r="B39873" s="74" t="s">
        <v>17000</v>
      </c>
      <c r="C39873" s="74" t="s">
        <v>416</v>
      </c>
    </row>
    <row r="39874" spans="1:3">
      <c r="A39874" s="250">
        <v>95634</v>
      </c>
      <c r="B39874" s="74" t="s">
        <v>813</v>
      </c>
      <c r="C39874" s="74" t="s">
        <v>416</v>
      </c>
    </row>
    <row r="39875" spans="1:3">
      <c r="A39875" s="250">
        <v>95635</v>
      </c>
      <c r="B39875" s="74" t="s">
        <v>1448</v>
      </c>
      <c r="C39875" s="74" t="s">
        <v>416</v>
      </c>
    </row>
    <row r="39876" spans="1:3">
      <c r="A39876" s="250">
        <v>95636</v>
      </c>
      <c r="B39876" s="74" t="s">
        <v>18290</v>
      </c>
      <c r="C39876" s="74" t="s">
        <v>416</v>
      </c>
    </row>
    <row r="39877" spans="1:3">
      <c r="A39877" s="250">
        <v>95637</v>
      </c>
      <c r="B39877" s="74" t="s">
        <v>18291</v>
      </c>
      <c r="C39877" s="74" t="s">
        <v>416</v>
      </c>
    </row>
    <row r="39878" spans="1:3">
      <c r="A39878" s="250">
        <v>95638</v>
      </c>
      <c r="B39878" s="74" t="s">
        <v>18292</v>
      </c>
      <c r="C39878" s="74" t="s">
        <v>416</v>
      </c>
    </row>
    <row r="39879" spans="1:3">
      <c r="A39879" s="250">
        <v>95639</v>
      </c>
      <c r="B39879" s="74" t="s">
        <v>5964</v>
      </c>
      <c r="C39879" s="74" t="s">
        <v>416</v>
      </c>
    </row>
    <row r="39880" spans="1:3">
      <c r="A39880" s="250">
        <v>95640</v>
      </c>
      <c r="B39880" s="74" t="s">
        <v>18293</v>
      </c>
      <c r="C39880" s="74" t="s">
        <v>416</v>
      </c>
    </row>
    <row r="39881" spans="1:3">
      <c r="A39881" s="250">
        <v>95641</v>
      </c>
      <c r="B39881" s="74" t="s">
        <v>18294</v>
      </c>
      <c r="C39881" s="74" t="s">
        <v>416</v>
      </c>
    </row>
    <row r="39882" spans="1:3">
      <c r="A39882" s="250">
        <v>95642</v>
      </c>
      <c r="B39882" s="74" t="s">
        <v>1318</v>
      </c>
      <c r="C39882" s="74" t="s">
        <v>416</v>
      </c>
    </row>
    <row r="39883" spans="1:3">
      <c r="A39883" s="250">
        <v>95644</v>
      </c>
      <c r="B39883" s="74" t="s">
        <v>16712</v>
      </c>
      <c r="C39883" s="74" t="s">
        <v>416</v>
      </c>
    </row>
    <row r="39884" spans="1:3">
      <c r="A39884" s="250">
        <v>95645</v>
      </c>
      <c r="B39884" s="74" t="s">
        <v>18295</v>
      </c>
      <c r="C39884" s="74" t="s">
        <v>416</v>
      </c>
    </row>
    <row r="39885" spans="1:3">
      <c r="A39885" s="250">
        <v>95646</v>
      </c>
      <c r="B39885" s="74" t="s">
        <v>3625</v>
      </c>
      <c r="C39885" s="74" t="s">
        <v>416</v>
      </c>
    </row>
    <row r="39886" spans="1:3">
      <c r="A39886" s="250">
        <v>95648</v>
      </c>
      <c r="B39886" s="74" t="s">
        <v>800</v>
      </c>
      <c r="C39886" s="74" t="s">
        <v>416</v>
      </c>
    </row>
    <row r="39887" spans="1:3">
      <c r="A39887" s="250">
        <v>95650</v>
      </c>
      <c r="B39887" s="74" t="s">
        <v>14868</v>
      </c>
      <c r="C39887" s="74" t="s">
        <v>416</v>
      </c>
    </row>
    <row r="39888" spans="1:3">
      <c r="A39888" s="250">
        <v>95651</v>
      </c>
      <c r="B39888" s="74" t="s">
        <v>18296</v>
      </c>
      <c r="C39888" s="74" t="s">
        <v>416</v>
      </c>
    </row>
    <row r="39889" spans="1:3">
      <c r="A39889" s="250">
        <v>95652</v>
      </c>
      <c r="B39889" s="74" t="s">
        <v>18297</v>
      </c>
      <c r="C39889" s="74" t="s">
        <v>416</v>
      </c>
    </row>
    <row r="39890" spans="1:3">
      <c r="A39890" s="250">
        <v>95653</v>
      </c>
      <c r="B39890" s="74" t="s">
        <v>1320</v>
      </c>
      <c r="C39890" s="74" t="s">
        <v>416</v>
      </c>
    </row>
    <row r="39891" spans="1:3">
      <c r="A39891" s="250">
        <v>95654</v>
      </c>
      <c r="B39891" s="74" t="s">
        <v>14772</v>
      </c>
      <c r="C39891" s="74" t="s">
        <v>416</v>
      </c>
    </row>
    <row r="39892" spans="1:3">
      <c r="A39892" s="250">
        <v>95655</v>
      </c>
      <c r="B39892" s="74" t="s">
        <v>4065</v>
      </c>
      <c r="C39892" s="74" t="s">
        <v>416</v>
      </c>
    </row>
    <row r="39893" spans="1:3">
      <c r="A39893" s="250">
        <v>95656</v>
      </c>
      <c r="B39893" s="74" t="s">
        <v>18298</v>
      </c>
      <c r="C39893" s="74" t="s">
        <v>416</v>
      </c>
    </row>
    <row r="39894" spans="1:3">
      <c r="A39894" s="250">
        <v>95658</v>
      </c>
      <c r="B39894" s="74" t="s">
        <v>1546</v>
      </c>
      <c r="C39894" s="74" t="s">
        <v>416</v>
      </c>
    </row>
    <row r="39895" spans="1:3">
      <c r="A39895" s="250">
        <v>95659</v>
      </c>
      <c r="B39895" s="74" t="s">
        <v>18299</v>
      </c>
      <c r="C39895" s="74" t="s">
        <v>416</v>
      </c>
    </row>
    <row r="39896" spans="1:3">
      <c r="A39896" s="250">
        <v>95660</v>
      </c>
      <c r="B39896" s="74" t="s">
        <v>18300</v>
      </c>
      <c r="C39896" s="74" t="s">
        <v>416</v>
      </c>
    </row>
    <row r="39897" spans="1:3">
      <c r="A39897" s="250">
        <v>95661</v>
      </c>
      <c r="B39897" s="74" t="s">
        <v>10242</v>
      </c>
      <c r="C39897" s="74" t="s">
        <v>416</v>
      </c>
    </row>
    <row r="39898" spans="1:3">
      <c r="A39898" s="250">
        <v>95662</v>
      </c>
      <c r="B39898" s="74" t="s">
        <v>18301</v>
      </c>
      <c r="C39898" s="74" t="s">
        <v>416</v>
      </c>
    </row>
    <row r="39899" spans="1:3">
      <c r="A39899" s="250">
        <v>95663</v>
      </c>
      <c r="B39899" s="74" t="s">
        <v>4879</v>
      </c>
      <c r="C39899" s="74" t="s">
        <v>416</v>
      </c>
    </row>
    <row r="39900" spans="1:3">
      <c r="A39900" s="250">
        <v>95664</v>
      </c>
      <c r="B39900" s="74" t="s">
        <v>18302</v>
      </c>
      <c r="C39900" s="74" t="s">
        <v>416</v>
      </c>
    </row>
    <row r="39901" spans="1:3">
      <c r="A39901" s="250">
        <v>95665</v>
      </c>
      <c r="B39901" s="74" t="s">
        <v>5012</v>
      </c>
      <c r="C39901" s="74" t="s">
        <v>416</v>
      </c>
    </row>
    <row r="39902" spans="1:3">
      <c r="A39902" s="250">
        <v>95666</v>
      </c>
      <c r="B39902" s="74" t="s">
        <v>9151</v>
      </c>
      <c r="C39902" s="74" t="s">
        <v>416</v>
      </c>
    </row>
    <row r="39903" spans="1:3">
      <c r="A39903" s="250">
        <v>95667</v>
      </c>
      <c r="B39903" s="74" t="s">
        <v>16801</v>
      </c>
      <c r="C39903" s="74" t="s">
        <v>416</v>
      </c>
    </row>
    <row r="39904" spans="1:3">
      <c r="A39904" s="250">
        <v>95668</v>
      </c>
      <c r="B39904" s="74" t="s">
        <v>8660</v>
      </c>
      <c r="C39904" s="74" t="s">
        <v>416</v>
      </c>
    </row>
    <row r="39905" spans="1:3">
      <c r="A39905" s="250">
        <v>95669</v>
      </c>
      <c r="B39905" s="74" t="s">
        <v>956</v>
      </c>
      <c r="C39905" s="74" t="s">
        <v>416</v>
      </c>
    </row>
    <row r="39906" spans="1:3">
      <c r="A39906" s="250">
        <v>95670</v>
      </c>
      <c r="B39906" s="74" t="s">
        <v>18303</v>
      </c>
      <c r="C39906" s="74" t="s">
        <v>416</v>
      </c>
    </row>
    <row r="39907" spans="1:3">
      <c r="A39907" s="250">
        <v>95671</v>
      </c>
      <c r="B39907" s="74" t="s">
        <v>18304</v>
      </c>
      <c r="C39907" s="74" t="s">
        <v>416</v>
      </c>
    </row>
    <row r="39908" spans="1:3">
      <c r="A39908" s="250">
        <v>95672</v>
      </c>
      <c r="B39908" s="74" t="s">
        <v>6166</v>
      </c>
      <c r="C39908" s="74" t="s">
        <v>416</v>
      </c>
    </row>
    <row r="39909" spans="1:3">
      <c r="A39909" s="250">
        <v>95673</v>
      </c>
      <c r="B39909" s="74" t="s">
        <v>18305</v>
      </c>
      <c r="C39909" s="74" t="s">
        <v>416</v>
      </c>
    </row>
    <row r="39910" spans="1:3">
      <c r="A39910" s="250">
        <v>95674</v>
      </c>
      <c r="B39910" s="74" t="s">
        <v>18306</v>
      </c>
      <c r="C39910" s="74" t="s">
        <v>416</v>
      </c>
    </row>
    <row r="39911" spans="1:3">
      <c r="A39911" s="250">
        <v>95675</v>
      </c>
      <c r="B39911" s="74" t="s">
        <v>18307</v>
      </c>
      <c r="C39911" s="74" t="s">
        <v>416</v>
      </c>
    </row>
    <row r="39912" spans="1:3">
      <c r="A39912" s="250">
        <v>95676</v>
      </c>
      <c r="B39912" s="74" t="s">
        <v>7115</v>
      </c>
      <c r="C39912" s="74" t="s">
        <v>416</v>
      </c>
    </row>
    <row r="39913" spans="1:3">
      <c r="A39913" s="250">
        <v>95677</v>
      </c>
      <c r="B39913" s="74" t="s">
        <v>18308</v>
      </c>
      <c r="C39913" s="74" t="s">
        <v>416</v>
      </c>
    </row>
    <row r="39914" spans="1:3">
      <c r="A39914" s="250">
        <v>95678</v>
      </c>
      <c r="B39914" s="74" t="s">
        <v>10242</v>
      </c>
      <c r="C39914" s="74" t="s">
        <v>416</v>
      </c>
    </row>
    <row r="39915" spans="1:3">
      <c r="A39915" s="250">
        <v>95679</v>
      </c>
      <c r="B39915" s="74" t="s">
        <v>10018</v>
      </c>
      <c r="C39915" s="74" t="s">
        <v>416</v>
      </c>
    </row>
    <row r="39916" spans="1:3">
      <c r="A39916" s="250">
        <v>95680</v>
      </c>
      <c r="B39916" s="74" t="s">
        <v>18309</v>
      </c>
      <c r="C39916" s="74" t="s">
        <v>416</v>
      </c>
    </row>
    <row r="39917" spans="1:3">
      <c r="A39917" s="250">
        <v>95681</v>
      </c>
      <c r="B39917" s="74" t="s">
        <v>1651</v>
      </c>
      <c r="C39917" s="74" t="s">
        <v>416</v>
      </c>
    </row>
    <row r="39918" spans="1:3">
      <c r="A39918" s="250">
        <v>95682</v>
      </c>
      <c r="B39918" s="74" t="s">
        <v>18310</v>
      </c>
      <c r="C39918" s="74" t="s">
        <v>416</v>
      </c>
    </row>
    <row r="39919" spans="1:3">
      <c r="A39919" s="250">
        <v>95683</v>
      </c>
      <c r="B39919" s="74" t="s">
        <v>18311</v>
      </c>
      <c r="C39919" s="74" t="s">
        <v>416</v>
      </c>
    </row>
    <row r="39920" spans="1:3">
      <c r="A39920" s="250">
        <v>95684</v>
      </c>
      <c r="B39920" s="74" t="s">
        <v>1070</v>
      </c>
      <c r="C39920" s="74" t="s">
        <v>416</v>
      </c>
    </row>
    <row r="39921" spans="1:3">
      <c r="A39921" s="250">
        <v>95685</v>
      </c>
      <c r="B39921" s="74" t="s">
        <v>18312</v>
      </c>
      <c r="C39921" s="74" t="s">
        <v>416</v>
      </c>
    </row>
    <row r="39922" spans="1:3">
      <c r="A39922" s="250">
        <v>95686</v>
      </c>
      <c r="B39922" s="74" t="s">
        <v>1218</v>
      </c>
      <c r="C39922" s="74" t="s">
        <v>416</v>
      </c>
    </row>
    <row r="39923" spans="1:3">
      <c r="A39923" s="250">
        <v>95687</v>
      </c>
      <c r="B39923" s="74" t="s">
        <v>18313</v>
      </c>
      <c r="C39923" s="74" t="s">
        <v>416</v>
      </c>
    </row>
    <row r="39924" spans="1:3">
      <c r="A39924" s="250">
        <v>95688</v>
      </c>
      <c r="B39924" s="74" t="s">
        <v>18313</v>
      </c>
      <c r="C39924" s="74" t="s">
        <v>416</v>
      </c>
    </row>
    <row r="39925" spans="1:3">
      <c r="A39925" s="250">
        <v>95689</v>
      </c>
      <c r="B39925" s="74" t="s">
        <v>18314</v>
      </c>
      <c r="C39925" s="74" t="s">
        <v>416</v>
      </c>
    </row>
    <row r="39926" spans="1:3">
      <c r="A39926" s="250">
        <v>95690</v>
      </c>
      <c r="B39926" s="74" t="s">
        <v>8780</v>
      </c>
      <c r="C39926" s="74" t="s">
        <v>416</v>
      </c>
    </row>
    <row r="39927" spans="1:3">
      <c r="A39927" s="250">
        <v>95691</v>
      </c>
      <c r="B39927" s="74" t="s">
        <v>18279</v>
      </c>
      <c r="C39927" s="74" t="s">
        <v>416</v>
      </c>
    </row>
    <row r="39928" spans="1:3">
      <c r="A39928" s="250">
        <v>95692</v>
      </c>
      <c r="B39928" s="74" t="s">
        <v>4437</v>
      </c>
      <c r="C39928" s="74" t="s">
        <v>416</v>
      </c>
    </row>
    <row r="39929" spans="1:3">
      <c r="A39929" s="250">
        <v>95693</v>
      </c>
      <c r="B39929" s="74" t="s">
        <v>1173</v>
      </c>
      <c r="C39929" s="74" t="s">
        <v>416</v>
      </c>
    </row>
    <row r="39930" spans="1:3">
      <c r="A39930" s="250">
        <v>95694</v>
      </c>
      <c r="B39930" s="74" t="s">
        <v>16591</v>
      </c>
      <c r="C39930" s="74" t="s">
        <v>416</v>
      </c>
    </row>
    <row r="39931" spans="1:3">
      <c r="A39931" s="250">
        <v>95695</v>
      </c>
      <c r="B39931" s="74" t="s">
        <v>4660</v>
      </c>
      <c r="C39931" s="74" t="s">
        <v>416</v>
      </c>
    </row>
    <row r="39932" spans="1:3">
      <c r="A39932" s="250">
        <v>95696</v>
      </c>
      <c r="B39932" s="74" t="s">
        <v>18313</v>
      </c>
      <c r="C39932" s="74" t="s">
        <v>416</v>
      </c>
    </row>
    <row r="39933" spans="1:3">
      <c r="A39933" s="250">
        <v>95697</v>
      </c>
      <c r="B39933" s="74" t="s">
        <v>18315</v>
      </c>
      <c r="C39933" s="74" t="s">
        <v>416</v>
      </c>
    </row>
    <row r="39934" spans="1:3">
      <c r="A39934" s="250">
        <v>95698</v>
      </c>
      <c r="B39934" s="74" t="s">
        <v>18316</v>
      </c>
      <c r="C39934" s="74" t="s">
        <v>416</v>
      </c>
    </row>
    <row r="39935" spans="1:3">
      <c r="A39935" s="250">
        <v>95699</v>
      </c>
      <c r="B39935" s="74" t="s">
        <v>18317</v>
      </c>
      <c r="C39935" s="74" t="s">
        <v>416</v>
      </c>
    </row>
    <row r="39936" spans="1:3">
      <c r="A39936" s="250">
        <v>95701</v>
      </c>
      <c r="B39936" s="74" t="s">
        <v>11691</v>
      </c>
      <c r="C39936" s="74" t="s">
        <v>416</v>
      </c>
    </row>
    <row r="39937" spans="1:3">
      <c r="A39937" s="250">
        <v>95703</v>
      </c>
      <c r="B39937" s="74" t="s">
        <v>11055</v>
      </c>
      <c r="C39937" s="74" t="s">
        <v>416</v>
      </c>
    </row>
    <row r="39938" spans="1:3">
      <c r="A39938" s="250">
        <v>95709</v>
      </c>
      <c r="B39938" s="74" t="s">
        <v>18318</v>
      </c>
      <c r="C39938" s="74" t="s">
        <v>416</v>
      </c>
    </row>
    <row r="39939" spans="1:3">
      <c r="A39939" s="250">
        <v>95712</v>
      </c>
      <c r="B39939" s="74" t="s">
        <v>18319</v>
      </c>
      <c r="C39939" s="74" t="s">
        <v>416</v>
      </c>
    </row>
    <row r="39940" spans="1:3">
      <c r="A39940" s="250">
        <v>95713</v>
      </c>
      <c r="B39940" s="74" t="s">
        <v>6980</v>
      </c>
      <c r="C39940" s="74" t="s">
        <v>416</v>
      </c>
    </row>
    <row r="39941" spans="1:3">
      <c r="A39941" s="250">
        <v>95714</v>
      </c>
      <c r="B39941" s="74" t="s">
        <v>18320</v>
      </c>
      <c r="C39941" s="74" t="s">
        <v>416</v>
      </c>
    </row>
    <row r="39942" spans="1:3">
      <c r="A39942" s="250">
        <v>95715</v>
      </c>
      <c r="B39942" s="74" t="s">
        <v>18321</v>
      </c>
      <c r="C39942" s="74" t="s">
        <v>416</v>
      </c>
    </row>
    <row r="39943" spans="1:3">
      <c r="A39943" s="250">
        <v>95717</v>
      </c>
      <c r="B39943" s="74" t="s">
        <v>18322</v>
      </c>
      <c r="C39943" s="74" t="s">
        <v>416</v>
      </c>
    </row>
    <row r="39944" spans="1:3">
      <c r="A39944" s="250">
        <v>95720</v>
      </c>
      <c r="B39944" s="74" t="s">
        <v>18323</v>
      </c>
      <c r="C39944" s="74" t="s">
        <v>416</v>
      </c>
    </row>
    <row r="39945" spans="1:3">
      <c r="A39945" s="250">
        <v>95721</v>
      </c>
      <c r="B39945" s="74" t="s">
        <v>18324</v>
      </c>
      <c r="C39945" s="74" t="s">
        <v>416</v>
      </c>
    </row>
    <row r="39946" spans="1:3">
      <c r="A39946" s="250">
        <v>95722</v>
      </c>
      <c r="B39946" s="74" t="s">
        <v>18325</v>
      </c>
      <c r="C39946" s="74" t="s">
        <v>416</v>
      </c>
    </row>
    <row r="39947" spans="1:3">
      <c r="A39947" s="250">
        <v>95724</v>
      </c>
      <c r="B39947" s="74" t="s">
        <v>18326</v>
      </c>
      <c r="C39947" s="74" t="s">
        <v>416</v>
      </c>
    </row>
    <row r="39948" spans="1:3">
      <c r="A39948" s="250">
        <v>95726</v>
      </c>
      <c r="B39948" s="74" t="s">
        <v>18327</v>
      </c>
      <c r="C39948" s="74" t="s">
        <v>416</v>
      </c>
    </row>
    <row r="39949" spans="1:3">
      <c r="A39949" s="250">
        <v>95728</v>
      </c>
      <c r="B39949" s="74" t="s">
        <v>16935</v>
      </c>
      <c r="C39949" s="74" t="s">
        <v>416</v>
      </c>
    </row>
    <row r="39950" spans="1:3">
      <c r="A39950" s="250">
        <v>95735</v>
      </c>
      <c r="B39950" s="74" t="s">
        <v>13382</v>
      </c>
      <c r="C39950" s="74" t="s">
        <v>416</v>
      </c>
    </row>
    <row r="39951" spans="1:3">
      <c r="A39951" s="250">
        <v>95736</v>
      </c>
      <c r="B39951" s="74" t="s">
        <v>16476</v>
      </c>
      <c r="C39951" s="74" t="s">
        <v>416</v>
      </c>
    </row>
    <row r="39952" spans="1:3">
      <c r="A39952" s="250">
        <v>95741</v>
      </c>
      <c r="B39952" s="74" t="s">
        <v>18303</v>
      </c>
      <c r="C39952" s="74" t="s">
        <v>416</v>
      </c>
    </row>
    <row r="39953" spans="1:3">
      <c r="A39953" s="250">
        <v>95742</v>
      </c>
      <c r="B39953" s="74" t="s">
        <v>18303</v>
      </c>
      <c r="C39953" s="74" t="s">
        <v>416</v>
      </c>
    </row>
    <row r="39954" spans="1:3">
      <c r="A39954" s="250">
        <v>95746</v>
      </c>
      <c r="B39954" s="74" t="s">
        <v>18328</v>
      </c>
      <c r="C39954" s="74" t="s">
        <v>416</v>
      </c>
    </row>
    <row r="39955" spans="1:3">
      <c r="A39955" s="250">
        <v>95747</v>
      </c>
      <c r="B39955" s="74" t="s">
        <v>10242</v>
      </c>
      <c r="C39955" s="74" t="s">
        <v>416</v>
      </c>
    </row>
    <row r="39956" spans="1:3">
      <c r="A39956" s="250">
        <v>95757</v>
      </c>
      <c r="B39956" s="74" t="s">
        <v>18285</v>
      </c>
      <c r="C39956" s="74" t="s">
        <v>416</v>
      </c>
    </row>
    <row r="39957" spans="1:3">
      <c r="A39957" s="250">
        <v>95758</v>
      </c>
      <c r="B39957" s="74" t="s">
        <v>18285</v>
      </c>
      <c r="C39957" s="74" t="s">
        <v>416</v>
      </c>
    </row>
    <row r="39958" spans="1:3">
      <c r="A39958" s="250">
        <v>95759</v>
      </c>
      <c r="B39958" s="74" t="s">
        <v>18285</v>
      </c>
      <c r="C39958" s="74" t="s">
        <v>416</v>
      </c>
    </row>
    <row r="39959" spans="1:3">
      <c r="A39959" s="250">
        <v>95762</v>
      </c>
      <c r="B39959" s="74" t="s">
        <v>18329</v>
      </c>
      <c r="C39959" s="74" t="s">
        <v>416</v>
      </c>
    </row>
    <row r="39960" spans="1:3">
      <c r="A39960" s="250">
        <v>95763</v>
      </c>
      <c r="B39960" s="74" t="s">
        <v>5333</v>
      </c>
      <c r="C39960" s="74" t="s">
        <v>416</v>
      </c>
    </row>
    <row r="39961" spans="1:3">
      <c r="A39961" s="250">
        <v>95765</v>
      </c>
      <c r="B39961" s="74" t="s">
        <v>18308</v>
      </c>
      <c r="C39961" s="74" t="s">
        <v>416</v>
      </c>
    </row>
    <row r="39962" spans="1:3">
      <c r="A39962" s="250">
        <v>95776</v>
      </c>
      <c r="B39962" s="74" t="s">
        <v>4660</v>
      </c>
      <c r="C39962" s="74" t="s">
        <v>416</v>
      </c>
    </row>
    <row r="39963" spans="1:3">
      <c r="A39963" s="250">
        <v>95798</v>
      </c>
      <c r="B39963" s="74" t="s">
        <v>18279</v>
      </c>
      <c r="C39963" s="74" t="s">
        <v>416</v>
      </c>
    </row>
    <row r="39964" spans="1:3">
      <c r="A39964" s="250">
        <v>95799</v>
      </c>
      <c r="B39964" s="74" t="s">
        <v>18279</v>
      </c>
      <c r="C39964" s="74" t="s">
        <v>416</v>
      </c>
    </row>
    <row r="39965" spans="1:3">
      <c r="A39965" s="250">
        <v>95811</v>
      </c>
      <c r="B39965" s="74" t="s">
        <v>5016</v>
      </c>
      <c r="C39965" s="74" t="s">
        <v>416</v>
      </c>
    </row>
    <row r="39966" spans="1:3">
      <c r="A39966" s="250">
        <v>95812</v>
      </c>
      <c r="B39966" s="74" t="s">
        <v>5016</v>
      </c>
      <c r="C39966" s="74" t="s">
        <v>416</v>
      </c>
    </row>
    <row r="39967" spans="1:3">
      <c r="A39967" s="250">
        <v>95813</v>
      </c>
      <c r="B39967" s="74" t="s">
        <v>5016</v>
      </c>
      <c r="C39967" s="74" t="s">
        <v>416</v>
      </c>
    </row>
    <row r="39968" spans="1:3">
      <c r="A39968" s="250">
        <v>95814</v>
      </c>
      <c r="B39968" s="74" t="s">
        <v>5016</v>
      </c>
      <c r="C39968" s="74" t="s">
        <v>416</v>
      </c>
    </row>
    <row r="39969" spans="1:3">
      <c r="A39969" s="250">
        <v>95815</v>
      </c>
      <c r="B39969" s="74" t="s">
        <v>5016</v>
      </c>
      <c r="C39969" s="74" t="s">
        <v>416</v>
      </c>
    </row>
    <row r="39970" spans="1:3">
      <c r="A39970" s="250">
        <v>95816</v>
      </c>
      <c r="B39970" s="74" t="s">
        <v>5016</v>
      </c>
      <c r="C39970" s="74" t="s">
        <v>416</v>
      </c>
    </row>
    <row r="39971" spans="1:3">
      <c r="A39971" s="250">
        <v>95817</v>
      </c>
      <c r="B39971" s="74" t="s">
        <v>5016</v>
      </c>
      <c r="C39971" s="74" t="s">
        <v>416</v>
      </c>
    </row>
    <row r="39972" spans="1:3">
      <c r="A39972" s="250">
        <v>95818</v>
      </c>
      <c r="B39972" s="74" t="s">
        <v>5016</v>
      </c>
      <c r="C39972" s="74" t="s">
        <v>416</v>
      </c>
    </row>
    <row r="39973" spans="1:3">
      <c r="A39973" s="250">
        <v>95819</v>
      </c>
      <c r="B39973" s="74" t="s">
        <v>5016</v>
      </c>
      <c r="C39973" s="74" t="s">
        <v>416</v>
      </c>
    </row>
    <row r="39974" spans="1:3">
      <c r="A39974" s="250">
        <v>95820</v>
      </c>
      <c r="B39974" s="74" t="s">
        <v>5016</v>
      </c>
      <c r="C39974" s="74" t="s">
        <v>416</v>
      </c>
    </row>
    <row r="39975" spans="1:3">
      <c r="A39975" s="250">
        <v>95821</v>
      </c>
      <c r="B39975" s="74" t="s">
        <v>5016</v>
      </c>
      <c r="C39975" s="74" t="s">
        <v>416</v>
      </c>
    </row>
    <row r="39976" spans="1:3">
      <c r="A39976" s="250">
        <v>95822</v>
      </c>
      <c r="B39976" s="74" t="s">
        <v>5016</v>
      </c>
      <c r="C39976" s="74" t="s">
        <v>416</v>
      </c>
    </row>
    <row r="39977" spans="1:3">
      <c r="A39977" s="250">
        <v>95823</v>
      </c>
      <c r="B39977" s="74" t="s">
        <v>5016</v>
      </c>
      <c r="C39977" s="74" t="s">
        <v>416</v>
      </c>
    </row>
    <row r="39978" spans="1:3">
      <c r="A39978" s="250">
        <v>95824</v>
      </c>
      <c r="B39978" s="74" t="s">
        <v>5016</v>
      </c>
      <c r="C39978" s="74" t="s">
        <v>416</v>
      </c>
    </row>
    <row r="39979" spans="1:3">
      <c r="A39979" s="250">
        <v>95825</v>
      </c>
      <c r="B39979" s="74" t="s">
        <v>5016</v>
      </c>
      <c r="C39979" s="74" t="s">
        <v>416</v>
      </c>
    </row>
    <row r="39980" spans="1:3">
      <c r="A39980" s="250">
        <v>95826</v>
      </c>
      <c r="B39980" s="74" t="s">
        <v>5016</v>
      </c>
      <c r="C39980" s="74" t="s">
        <v>416</v>
      </c>
    </row>
    <row r="39981" spans="1:3">
      <c r="A39981" s="250">
        <v>95827</v>
      </c>
      <c r="B39981" s="74" t="s">
        <v>5016</v>
      </c>
      <c r="C39981" s="74" t="s">
        <v>416</v>
      </c>
    </row>
    <row r="39982" spans="1:3">
      <c r="A39982" s="250">
        <v>95828</v>
      </c>
      <c r="B39982" s="74" t="s">
        <v>5016</v>
      </c>
      <c r="C39982" s="74" t="s">
        <v>416</v>
      </c>
    </row>
    <row r="39983" spans="1:3">
      <c r="A39983" s="250">
        <v>95829</v>
      </c>
      <c r="B39983" s="74" t="s">
        <v>5016</v>
      </c>
      <c r="C39983" s="74" t="s">
        <v>416</v>
      </c>
    </row>
    <row r="39984" spans="1:3">
      <c r="A39984" s="250">
        <v>95830</v>
      </c>
      <c r="B39984" s="74" t="s">
        <v>5016</v>
      </c>
      <c r="C39984" s="74" t="s">
        <v>416</v>
      </c>
    </row>
    <row r="39985" spans="1:3">
      <c r="A39985" s="250">
        <v>95831</v>
      </c>
      <c r="B39985" s="74" t="s">
        <v>5016</v>
      </c>
      <c r="C39985" s="74" t="s">
        <v>416</v>
      </c>
    </row>
    <row r="39986" spans="1:3">
      <c r="A39986" s="250">
        <v>95832</v>
      </c>
      <c r="B39986" s="74" t="s">
        <v>5016</v>
      </c>
      <c r="C39986" s="74" t="s">
        <v>416</v>
      </c>
    </row>
    <row r="39987" spans="1:3">
      <c r="A39987" s="250">
        <v>95833</v>
      </c>
      <c r="B39987" s="74" t="s">
        <v>5016</v>
      </c>
      <c r="C39987" s="74" t="s">
        <v>416</v>
      </c>
    </row>
    <row r="39988" spans="1:3">
      <c r="A39988" s="250">
        <v>95834</v>
      </c>
      <c r="B39988" s="74" t="s">
        <v>5016</v>
      </c>
      <c r="C39988" s="74" t="s">
        <v>416</v>
      </c>
    </row>
    <row r="39989" spans="1:3">
      <c r="A39989" s="250">
        <v>95835</v>
      </c>
      <c r="B39989" s="74" t="s">
        <v>5016</v>
      </c>
      <c r="C39989" s="74" t="s">
        <v>416</v>
      </c>
    </row>
    <row r="39990" spans="1:3">
      <c r="A39990" s="250">
        <v>95836</v>
      </c>
      <c r="B39990" s="74" t="s">
        <v>5016</v>
      </c>
      <c r="C39990" s="74" t="s">
        <v>416</v>
      </c>
    </row>
    <row r="39991" spans="1:3">
      <c r="A39991" s="250">
        <v>95837</v>
      </c>
      <c r="B39991" s="74" t="s">
        <v>5016</v>
      </c>
      <c r="C39991" s="74" t="s">
        <v>416</v>
      </c>
    </row>
    <row r="39992" spans="1:3">
      <c r="A39992" s="250">
        <v>95838</v>
      </c>
      <c r="B39992" s="74" t="s">
        <v>5016</v>
      </c>
      <c r="C39992" s="74" t="s">
        <v>416</v>
      </c>
    </row>
    <row r="39993" spans="1:3">
      <c r="A39993" s="250">
        <v>95840</v>
      </c>
      <c r="B39993" s="74" t="s">
        <v>5016</v>
      </c>
      <c r="C39993" s="74" t="s">
        <v>416</v>
      </c>
    </row>
    <row r="39994" spans="1:3">
      <c r="A39994" s="250">
        <v>95841</v>
      </c>
      <c r="B39994" s="74" t="s">
        <v>5016</v>
      </c>
      <c r="C39994" s="74" t="s">
        <v>416</v>
      </c>
    </row>
    <row r="39995" spans="1:3">
      <c r="A39995" s="250">
        <v>95842</v>
      </c>
      <c r="B39995" s="74" t="s">
        <v>5016</v>
      </c>
      <c r="C39995" s="74" t="s">
        <v>416</v>
      </c>
    </row>
    <row r="39996" spans="1:3">
      <c r="A39996" s="250">
        <v>95843</v>
      </c>
      <c r="B39996" s="74" t="s">
        <v>13259</v>
      </c>
      <c r="C39996" s="74" t="s">
        <v>416</v>
      </c>
    </row>
    <row r="39997" spans="1:3">
      <c r="A39997" s="250">
        <v>95851</v>
      </c>
      <c r="B39997" s="74" t="s">
        <v>5016</v>
      </c>
      <c r="C39997" s="74" t="s">
        <v>416</v>
      </c>
    </row>
    <row r="39998" spans="1:3">
      <c r="A39998" s="250">
        <v>95852</v>
      </c>
      <c r="B39998" s="74" t="s">
        <v>5016</v>
      </c>
      <c r="C39998" s="74" t="s">
        <v>416</v>
      </c>
    </row>
    <row r="39999" spans="1:3">
      <c r="A39999" s="250">
        <v>95853</v>
      </c>
      <c r="B39999" s="74" t="s">
        <v>5016</v>
      </c>
      <c r="C39999" s="74" t="s">
        <v>416</v>
      </c>
    </row>
    <row r="40000" spans="1:3">
      <c r="A40000" s="250">
        <v>95860</v>
      </c>
      <c r="B40000" s="74" t="s">
        <v>5016</v>
      </c>
      <c r="C40000" s="74" t="s">
        <v>416</v>
      </c>
    </row>
    <row r="40001" spans="1:3">
      <c r="A40001" s="250">
        <v>95864</v>
      </c>
      <c r="B40001" s="74" t="s">
        <v>5016</v>
      </c>
      <c r="C40001" s="74" t="s">
        <v>416</v>
      </c>
    </row>
    <row r="40002" spans="1:3">
      <c r="A40002" s="250">
        <v>95865</v>
      </c>
      <c r="B40002" s="74" t="s">
        <v>5016</v>
      </c>
      <c r="C40002" s="74" t="s">
        <v>416</v>
      </c>
    </row>
    <row r="40003" spans="1:3">
      <c r="A40003" s="250">
        <v>95866</v>
      </c>
      <c r="B40003" s="74" t="s">
        <v>5016</v>
      </c>
      <c r="C40003" s="74" t="s">
        <v>416</v>
      </c>
    </row>
    <row r="40004" spans="1:3">
      <c r="A40004" s="250">
        <v>95867</v>
      </c>
      <c r="B40004" s="74" t="s">
        <v>5016</v>
      </c>
      <c r="C40004" s="74" t="s">
        <v>416</v>
      </c>
    </row>
    <row r="40005" spans="1:3">
      <c r="A40005" s="250">
        <v>95887</v>
      </c>
      <c r="B40005" s="74" t="s">
        <v>5016</v>
      </c>
      <c r="C40005" s="74" t="s">
        <v>416</v>
      </c>
    </row>
    <row r="40006" spans="1:3">
      <c r="A40006" s="250">
        <v>95894</v>
      </c>
      <c r="B40006" s="74" t="s">
        <v>5016</v>
      </c>
      <c r="C40006" s="74" t="s">
        <v>416</v>
      </c>
    </row>
    <row r="40007" spans="1:3">
      <c r="A40007" s="250">
        <v>95899</v>
      </c>
      <c r="B40007" s="74" t="s">
        <v>5016</v>
      </c>
      <c r="C40007" s="74" t="s">
        <v>416</v>
      </c>
    </row>
    <row r="40008" spans="1:3">
      <c r="A40008" s="250">
        <v>95901</v>
      </c>
      <c r="B40008" s="74" t="s">
        <v>4724</v>
      </c>
      <c r="C40008" s="74" t="s">
        <v>416</v>
      </c>
    </row>
    <row r="40009" spans="1:3">
      <c r="A40009" s="250">
        <v>95903</v>
      </c>
      <c r="B40009" s="74" t="s">
        <v>18330</v>
      </c>
      <c r="C40009" s="74" t="s">
        <v>416</v>
      </c>
    </row>
    <row r="40010" spans="1:3">
      <c r="A40010" s="250">
        <v>95910</v>
      </c>
      <c r="B40010" s="74" t="s">
        <v>18331</v>
      </c>
      <c r="C40010" s="74" t="s">
        <v>416</v>
      </c>
    </row>
    <row r="40011" spans="1:3">
      <c r="A40011" s="250">
        <v>95912</v>
      </c>
      <c r="B40011" s="74" t="s">
        <v>18332</v>
      </c>
      <c r="C40011" s="74" t="s">
        <v>416</v>
      </c>
    </row>
    <row r="40012" spans="1:3">
      <c r="A40012" s="250">
        <v>95913</v>
      </c>
      <c r="B40012" s="74" t="s">
        <v>18333</v>
      </c>
      <c r="C40012" s="74" t="s">
        <v>416</v>
      </c>
    </row>
    <row r="40013" spans="1:3">
      <c r="A40013" s="250">
        <v>95914</v>
      </c>
      <c r="B40013" s="74" t="s">
        <v>1487</v>
      </c>
      <c r="C40013" s="74" t="s">
        <v>416</v>
      </c>
    </row>
    <row r="40014" spans="1:3">
      <c r="A40014" s="250">
        <v>95915</v>
      </c>
      <c r="B40014" s="74" t="s">
        <v>9356</v>
      </c>
      <c r="C40014" s="74" t="s">
        <v>416</v>
      </c>
    </row>
    <row r="40015" spans="1:3">
      <c r="A40015" s="250">
        <v>95916</v>
      </c>
      <c r="B40015" s="74" t="s">
        <v>18334</v>
      </c>
      <c r="C40015" s="74" t="s">
        <v>416</v>
      </c>
    </row>
    <row r="40016" spans="1:3">
      <c r="A40016" s="250">
        <v>95917</v>
      </c>
      <c r="B40016" s="74" t="s">
        <v>18335</v>
      </c>
      <c r="C40016" s="74" t="s">
        <v>416</v>
      </c>
    </row>
    <row r="40017" spans="1:3">
      <c r="A40017" s="250">
        <v>95918</v>
      </c>
      <c r="B40017" s="74" t="s">
        <v>12600</v>
      </c>
      <c r="C40017" s="74" t="s">
        <v>416</v>
      </c>
    </row>
    <row r="40018" spans="1:3">
      <c r="A40018" s="250">
        <v>95919</v>
      </c>
      <c r="B40018" s="74" t="s">
        <v>1731</v>
      </c>
      <c r="C40018" s="74" t="s">
        <v>416</v>
      </c>
    </row>
    <row r="40019" spans="1:3">
      <c r="A40019" s="250">
        <v>95920</v>
      </c>
      <c r="B40019" s="74" t="s">
        <v>18336</v>
      </c>
      <c r="C40019" s="74" t="s">
        <v>416</v>
      </c>
    </row>
    <row r="40020" spans="1:3">
      <c r="A40020" s="250">
        <v>95922</v>
      </c>
      <c r="B40020" s="74" t="s">
        <v>18337</v>
      </c>
      <c r="C40020" s="74" t="s">
        <v>416</v>
      </c>
    </row>
    <row r="40021" spans="1:3">
      <c r="A40021" s="250">
        <v>95923</v>
      </c>
      <c r="B40021" s="74" t="s">
        <v>18338</v>
      </c>
      <c r="C40021" s="74" t="s">
        <v>416</v>
      </c>
    </row>
    <row r="40022" spans="1:3">
      <c r="A40022" s="250">
        <v>95924</v>
      </c>
      <c r="B40022" s="74" t="s">
        <v>18339</v>
      </c>
      <c r="C40022" s="74" t="s">
        <v>416</v>
      </c>
    </row>
    <row r="40023" spans="1:3">
      <c r="A40023" s="250">
        <v>95925</v>
      </c>
      <c r="B40023" s="74" t="s">
        <v>18340</v>
      </c>
      <c r="C40023" s="74" t="s">
        <v>416</v>
      </c>
    </row>
    <row r="40024" spans="1:3">
      <c r="A40024" s="250">
        <v>95926</v>
      </c>
      <c r="B40024" s="74" t="s">
        <v>16006</v>
      </c>
      <c r="C40024" s="74" t="s">
        <v>416</v>
      </c>
    </row>
    <row r="40025" spans="1:3">
      <c r="A40025" s="250">
        <v>95927</v>
      </c>
      <c r="B40025" s="74" t="s">
        <v>16006</v>
      </c>
      <c r="C40025" s="74" t="s">
        <v>416</v>
      </c>
    </row>
    <row r="40026" spans="1:3">
      <c r="A40026" s="250">
        <v>95928</v>
      </c>
      <c r="B40026" s="74" t="s">
        <v>16006</v>
      </c>
      <c r="C40026" s="74" t="s">
        <v>416</v>
      </c>
    </row>
    <row r="40027" spans="1:3">
      <c r="A40027" s="250">
        <v>95929</v>
      </c>
      <c r="B40027" s="74" t="s">
        <v>16006</v>
      </c>
      <c r="C40027" s="74" t="s">
        <v>416</v>
      </c>
    </row>
    <row r="40028" spans="1:3">
      <c r="A40028" s="250">
        <v>95930</v>
      </c>
      <c r="B40028" s="74" t="s">
        <v>18341</v>
      </c>
      <c r="C40028" s="74" t="s">
        <v>416</v>
      </c>
    </row>
    <row r="40029" spans="1:3">
      <c r="A40029" s="250">
        <v>95932</v>
      </c>
      <c r="B40029" s="74" t="s">
        <v>13883</v>
      </c>
      <c r="C40029" s="74" t="s">
        <v>416</v>
      </c>
    </row>
    <row r="40030" spans="1:3">
      <c r="A40030" s="250">
        <v>95934</v>
      </c>
      <c r="B40030" s="74" t="s">
        <v>18342</v>
      </c>
      <c r="C40030" s="74" t="s">
        <v>416</v>
      </c>
    </row>
    <row r="40031" spans="1:3">
      <c r="A40031" s="250">
        <v>95935</v>
      </c>
      <c r="B40031" s="74" t="s">
        <v>18343</v>
      </c>
      <c r="C40031" s="74" t="s">
        <v>416</v>
      </c>
    </row>
    <row r="40032" spans="1:3">
      <c r="A40032" s="250">
        <v>95936</v>
      </c>
      <c r="B40032" s="74" t="s">
        <v>18344</v>
      </c>
      <c r="C40032" s="74" t="s">
        <v>416</v>
      </c>
    </row>
    <row r="40033" spans="1:3">
      <c r="A40033" s="250">
        <v>95937</v>
      </c>
      <c r="B40033" s="74" t="s">
        <v>18345</v>
      </c>
      <c r="C40033" s="74" t="s">
        <v>416</v>
      </c>
    </row>
    <row r="40034" spans="1:3">
      <c r="A40034" s="250">
        <v>95938</v>
      </c>
      <c r="B40034" s="74" t="s">
        <v>1304</v>
      </c>
      <c r="C40034" s="74" t="s">
        <v>416</v>
      </c>
    </row>
    <row r="40035" spans="1:3">
      <c r="A40035" s="250">
        <v>95939</v>
      </c>
      <c r="B40035" s="74" t="s">
        <v>6357</v>
      </c>
      <c r="C40035" s="74" t="s">
        <v>416</v>
      </c>
    </row>
    <row r="40036" spans="1:3">
      <c r="A40036" s="250">
        <v>95940</v>
      </c>
      <c r="B40036" s="74" t="s">
        <v>18346</v>
      </c>
      <c r="C40036" s="74" t="s">
        <v>416</v>
      </c>
    </row>
    <row r="40037" spans="1:3">
      <c r="A40037" s="250">
        <v>95941</v>
      </c>
      <c r="B40037" s="74" t="s">
        <v>18347</v>
      </c>
      <c r="C40037" s="74" t="s">
        <v>416</v>
      </c>
    </row>
    <row r="40038" spans="1:3">
      <c r="A40038" s="250">
        <v>95942</v>
      </c>
      <c r="B40038" s="74" t="s">
        <v>18348</v>
      </c>
      <c r="C40038" s="74" t="s">
        <v>416</v>
      </c>
    </row>
    <row r="40039" spans="1:3">
      <c r="A40039" s="250">
        <v>95943</v>
      </c>
      <c r="B40039" s="74" t="s">
        <v>7908</v>
      </c>
      <c r="C40039" s="74" t="s">
        <v>416</v>
      </c>
    </row>
    <row r="40040" spans="1:3">
      <c r="A40040" s="250">
        <v>95944</v>
      </c>
      <c r="B40040" s="74" t="s">
        <v>18349</v>
      </c>
      <c r="C40040" s="74" t="s">
        <v>416</v>
      </c>
    </row>
    <row r="40041" spans="1:3">
      <c r="A40041" s="250">
        <v>95945</v>
      </c>
      <c r="B40041" s="74" t="s">
        <v>18350</v>
      </c>
      <c r="C40041" s="74" t="s">
        <v>416</v>
      </c>
    </row>
    <row r="40042" spans="1:3">
      <c r="A40042" s="250">
        <v>95946</v>
      </c>
      <c r="B40042" s="74" t="s">
        <v>18351</v>
      </c>
      <c r="C40042" s="74" t="s">
        <v>416</v>
      </c>
    </row>
    <row r="40043" spans="1:3">
      <c r="A40043" s="250">
        <v>95947</v>
      </c>
      <c r="B40043" s="74" t="s">
        <v>1108</v>
      </c>
      <c r="C40043" s="74" t="s">
        <v>416</v>
      </c>
    </row>
    <row r="40044" spans="1:3">
      <c r="A40044" s="250">
        <v>95948</v>
      </c>
      <c r="B40044" s="74" t="s">
        <v>13749</v>
      </c>
      <c r="C40044" s="74" t="s">
        <v>416</v>
      </c>
    </row>
    <row r="40045" spans="1:3">
      <c r="A40045" s="250">
        <v>95949</v>
      </c>
      <c r="B40045" s="74" t="s">
        <v>18350</v>
      </c>
      <c r="C40045" s="74" t="s">
        <v>416</v>
      </c>
    </row>
    <row r="40046" spans="1:3">
      <c r="A40046" s="250">
        <v>95950</v>
      </c>
      <c r="B40046" s="74" t="s">
        <v>11508</v>
      </c>
      <c r="C40046" s="74" t="s">
        <v>416</v>
      </c>
    </row>
    <row r="40047" spans="1:3">
      <c r="A40047" s="250">
        <v>95951</v>
      </c>
      <c r="B40047" s="74" t="s">
        <v>18352</v>
      </c>
      <c r="C40047" s="74" t="s">
        <v>416</v>
      </c>
    </row>
    <row r="40048" spans="1:3">
      <c r="A40048" s="250">
        <v>95953</v>
      </c>
      <c r="B40048" s="74" t="s">
        <v>8224</v>
      </c>
      <c r="C40048" s="74" t="s">
        <v>416</v>
      </c>
    </row>
    <row r="40049" spans="1:3">
      <c r="A40049" s="250">
        <v>95954</v>
      </c>
      <c r="B40049" s="74" t="s">
        <v>18353</v>
      </c>
      <c r="C40049" s="74" t="s">
        <v>416</v>
      </c>
    </row>
    <row r="40050" spans="1:3">
      <c r="A40050" s="250">
        <v>95955</v>
      </c>
      <c r="B40050" s="74" t="s">
        <v>10665</v>
      </c>
      <c r="C40050" s="74" t="s">
        <v>416</v>
      </c>
    </row>
    <row r="40051" spans="1:3">
      <c r="A40051" s="250">
        <v>95956</v>
      </c>
      <c r="B40051" s="74" t="s">
        <v>18354</v>
      </c>
      <c r="C40051" s="74" t="s">
        <v>416</v>
      </c>
    </row>
    <row r="40052" spans="1:3">
      <c r="A40052" s="250">
        <v>95957</v>
      </c>
      <c r="B40052" s="74" t="s">
        <v>3388</v>
      </c>
      <c r="C40052" s="74" t="s">
        <v>416</v>
      </c>
    </row>
    <row r="40053" spans="1:3">
      <c r="A40053" s="250">
        <v>95958</v>
      </c>
      <c r="B40053" s="74" t="s">
        <v>1238</v>
      </c>
      <c r="C40053" s="74" t="s">
        <v>416</v>
      </c>
    </row>
    <row r="40054" spans="1:3">
      <c r="A40054" s="250">
        <v>95959</v>
      </c>
      <c r="B40054" s="74" t="s">
        <v>18355</v>
      </c>
      <c r="C40054" s="74" t="s">
        <v>416</v>
      </c>
    </row>
    <row r="40055" spans="1:3">
      <c r="A40055" s="250">
        <v>95960</v>
      </c>
      <c r="B40055" s="74" t="s">
        <v>18356</v>
      </c>
      <c r="C40055" s="74" t="s">
        <v>416</v>
      </c>
    </row>
    <row r="40056" spans="1:3">
      <c r="A40056" s="250">
        <v>95961</v>
      </c>
      <c r="B40056" s="74" t="s">
        <v>18357</v>
      </c>
      <c r="C40056" s="74" t="s">
        <v>416</v>
      </c>
    </row>
    <row r="40057" spans="1:3">
      <c r="A40057" s="250">
        <v>95962</v>
      </c>
      <c r="B40057" s="74" t="s">
        <v>18358</v>
      </c>
      <c r="C40057" s="74" t="s">
        <v>416</v>
      </c>
    </row>
    <row r="40058" spans="1:3">
      <c r="A40058" s="250">
        <v>95963</v>
      </c>
      <c r="B40058" s="74" t="s">
        <v>1521</v>
      </c>
      <c r="C40058" s="74" t="s">
        <v>416</v>
      </c>
    </row>
    <row r="40059" spans="1:3">
      <c r="A40059" s="250">
        <v>95965</v>
      </c>
      <c r="B40059" s="74" t="s">
        <v>18359</v>
      </c>
      <c r="C40059" s="74" t="s">
        <v>416</v>
      </c>
    </row>
    <row r="40060" spans="1:3">
      <c r="A40060" s="250">
        <v>95966</v>
      </c>
      <c r="B40060" s="74" t="s">
        <v>18359</v>
      </c>
      <c r="C40060" s="74" t="s">
        <v>416</v>
      </c>
    </row>
    <row r="40061" spans="1:3">
      <c r="A40061" s="250">
        <v>95967</v>
      </c>
      <c r="B40061" s="74" t="s">
        <v>4877</v>
      </c>
      <c r="C40061" s="74" t="s">
        <v>416</v>
      </c>
    </row>
    <row r="40062" spans="1:3">
      <c r="A40062" s="250">
        <v>95968</v>
      </c>
      <c r="B40062" s="74" t="s">
        <v>1482</v>
      </c>
      <c r="C40062" s="74" t="s">
        <v>416</v>
      </c>
    </row>
    <row r="40063" spans="1:3">
      <c r="A40063" s="250">
        <v>95969</v>
      </c>
      <c r="B40063" s="74" t="s">
        <v>4877</v>
      </c>
      <c r="C40063" s="74" t="s">
        <v>416</v>
      </c>
    </row>
    <row r="40064" spans="1:3">
      <c r="A40064" s="250">
        <v>95970</v>
      </c>
      <c r="B40064" s="74" t="s">
        <v>755</v>
      </c>
      <c r="C40064" s="74" t="s">
        <v>416</v>
      </c>
    </row>
    <row r="40065" spans="1:3">
      <c r="A40065" s="250">
        <v>95971</v>
      </c>
      <c r="B40065" s="74" t="s">
        <v>923</v>
      </c>
      <c r="C40065" s="74" t="s">
        <v>416</v>
      </c>
    </row>
    <row r="40066" spans="1:3">
      <c r="A40066" s="250">
        <v>95972</v>
      </c>
      <c r="B40066" s="74" t="s">
        <v>18360</v>
      </c>
      <c r="C40066" s="74" t="s">
        <v>416</v>
      </c>
    </row>
    <row r="40067" spans="1:3">
      <c r="A40067" s="250">
        <v>95973</v>
      </c>
      <c r="B40067" s="74" t="s">
        <v>16006</v>
      </c>
      <c r="C40067" s="74" t="s">
        <v>416</v>
      </c>
    </row>
    <row r="40068" spans="1:3">
      <c r="A40068" s="250">
        <v>95974</v>
      </c>
      <c r="B40068" s="74" t="s">
        <v>18361</v>
      </c>
      <c r="C40068" s="74" t="s">
        <v>416</v>
      </c>
    </row>
    <row r="40069" spans="1:3">
      <c r="A40069" s="250">
        <v>95975</v>
      </c>
      <c r="B40069" s="74" t="s">
        <v>18362</v>
      </c>
      <c r="C40069" s="74" t="s">
        <v>416</v>
      </c>
    </row>
    <row r="40070" spans="1:3">
      <c r="A40070" s="250">
        <v>95976</v>
      </c>
      <c r="B40070" s="74" t="s">
        <v>16006</v>
      </c>
      <c r="C40070" s="74" t="s">
        <v>416</v>
      </c>
    </row>
    <row r="40071" spans="1:3">
      <c r="A40071" s="250">
        <v>95977</v>
      </c>
      <c r="B40071" s="74" t="s">
        <v>18363</v>
      </c>
      <c r="C40071" s="74" t="s">
        <v>416</v>
      </c>
    </row>
    <row r="40072" spans="1:3">
      <c r="A40072" s="250">
        <v>95978</v>
      </c>
      <c r="B40072" s="74" t="s">
        <v>18364</v>
      </c>
      <c r="C40072" s="74" t="s">
        <v>416</v>
      </c>
    </row>
    <row r="40073" spans="1:3">
      <c r="A40073" s="250">
        <v>95979</v>
      </c>
      <c r="B40073" s="74" t="s">
        <v>18365</v>
      </c>
      <c r="C40073" s="74" t="s">
        <v>416</v>
      </c>
    </row>
    <row r="40074" spans="1:3">
      <c r="A40074" s="250">
        <v>95980</v>
      </c>
      <c r="B40074" s="74" t="s">
        <v>18366</v>
      </c>
      <c r="C40074" s="74" t="s">
        <v>416</v>
      </c>
    </row>
    <row r="40075" spans="1:3">
      <c r="A40075" s="250">
        <v>95981</v>
      </c>
      <c r="B40075" s="74" t="s">
        <v>18367</v>
      </c>
      <c r="C40075" s="74" t="s">
        <v>416</v>
      </c>
    </row>
    <row r="40076" spans="1:3">
      <c r="A40076" s="250">
        <v>95982</v>
      </c>
      <c r="B40076" s="74" t="s">
        <v>13892</v>
      </c>
      <c r="C40076" s="74" t="s">
        <v>416</v>
      </c>
    </row>
    <row r="40077" spans="1:3">
      <c r="A40077" s="250">
        <v>95983</v>
      </c>
      <c r="B40077" s="74" t="s">
        <v>7516</v>
      </c>
      <c r="C40077" s="74" t="s">
        <v>416</v>
      </c>
    </row>
    <row r="40078" spans="1:3">
      <c r="A40078" s="250">
        <v>95984</v>
      </c>
      <c r="B40078" s="74" t="s">
        <v>18368</v>
      </c>
      <c r="C40078" s="74" t="s">
        <v>416</v>
      </c>
    </row>
    <row r="40079" spans="1:3">
      <c r="A40079" s="250">
        <v>95986</v>
      </c>
      <c r="B40079" s="74" t="s">
        <v>1215</v>
      </c>
      <c r="C40079" s="74" t="s">
        <v>416</v>
      </c>
    </row>
    <row r="40080" spans="1:3">
      <c r="A40080" s="250">
        <v>95987</v>
      </c>
      <c r="B40080" s="74" t="s">
        <v>7725</v>
      </c>
      <c r="C40080" s="74" t="s">
        <v>416</v>
      </c>
    </row>
    <row r="40081" spans="1:3">
      <c r="A40081" s="250">
        <v>95988</v>
      </c>
      <c r="B40081" s="74" t="s">
        <v>18369</v>
      </c>
      <c r="C40081" s="74" t="s">
        <v>416</v>
      </c>
    </row>
    <row r="40082" spans="1:3">
      <c r="A40082" s="250">
        <v>95991</v>
      </c>
      <c r="B40082" s="74" t="s">
        <v>18370</v>
      </c>
      <c r="C40082" s="74" t="s">
        <v>416</v>
      </c>
    </row>
    <row r="40083" spans="1:3">
      <c r="A40083" s="250">
        <v>95992</v>
      </c>
      <c r="B40083" s="74" t="s">
        <v>18370</v>
      </c>
      <c r="C40083" s="74" t="s">
        <v>416</v>
      </c>
    </row>
    <row r="40084" spans="1:3">
      <c r="A40084" s="250">
        <v>95993</v>
      </c>
      <c r="B40084" s="74" t="s">
        <v>18370</v>
      </c>
      <c r="C40084" s="74" t="s">
        <v>416</v>
      </c>
    </row>
    <row r="40085" spans="1:3">
      <c r="A40085" s="250">
        <v>96001</v>
      </c>
      <c r="B40085" s="74" t="s">
        <v>2109</v>
      </c>
      <c r="C40085" s="74" t="s">
        <v>416</v>
      </c>
    </row>
    <row r="40086" spans="1:3">
      <c r="A40086" s="250">
        <v>96002</v>
      </c>
      <c r="B40086" s="74" t="s">
        <v>2109</v>
      </c>
      <c r="C40086" s="74" t="s">
        <v>416</v>
      </c>
    </row>
    <row r="40087" spans="1:3">
      <c r="A40087" s="250">
        <v>96003</v>
      </c>
      <c r="B40087" s="74" t="s">
        <v>2109</v>
      </c>
      <c r="C40087" s="74" t="s">
        <v>416</v>
      </c>
    </row>
    <row r="40088" spans="1:3">
      <c r="A40088" s="250">
        <v>96006</v>
      </c>
      <c r="B40088" s="74" t="s">
        <v>18371</v>
      </c>
      <c r="C40088" s="74" t="s">
        <v>416</v>
      </c>
    </row>
    <row r="40089" spans="1:3">
      <c r="A40089" s="250">
        <v>96007</v>
      </c>
      <c r="B40089" s="74" t="s">
        <v>7764</v>
      </c>
      <c r="C40089" s="74" t="s">
        <v>416</v>
      </c>
    </row>
    <row r="40090" spans="1:3">
      <c r="A40090" s="250">
        <v>96008</v>
      </c>
      <c r="B40090" s="74" t="s">
        <v>15471</v>
      </c>
      <c r="C40090" s="74" t="s">
        <v>416</v>
      </c>
    </row>
    <row r="40091" spans="1:3">
      <c r="A40091" s="250">
        <v>96009</v>
      </c>
      <c r="B40091" s="74" t="s">
        <v>18372</v>
      </c>
      <c r="C40091" s="74" t="s">
        <v>416</v>
      </c>
    </row>
    <row r="40092" spans="1:3">
      <c r="A40092" s="250">
        <v>96010</v>
      </c>
      <c r="B40092" s="74" t="s">
        <v>18373</v>
      </c>
      <c r="C40092" s="74" t="s">
        <v>416</v>
      </c>
    </row>
    <row r="40093" spans="1:3">
      <c r="A40093" s="250">
        <v>96011</v>
      </c>
      <c r="B40093" s="74" t="s">
        <v>6866</v>
      </c>
      <c r="C40093" s="74" t="s">
        <v>416</v>
      </c>
    </row>
    <row r="40094" spans="1:3">
      <c r="A40094" s="250">
        <v>96013</v>
      </c>
      <c r="B40094" s="74" t="s">
        <v>18374</v>
      </c>
      <c r="C40094" s="74" t="s">
        <v>416</v>
      </c>
    </row>
    <row r="40095" spans="1:3">
      <c r="A40095" s="250">
        <v>96014</v>
      </c>
      <c r="B40095" s="74" t="s">
        <v>8211</v>
      </c>
      <c r="C40095" s="74" t="s">
        <v>416</v>
      </c>
    </row>
    <row r="40096" spans="1:3">
      <c r="A40096" s="250">
        <v>96015</v>
      </c>
      <c r="B40096" s="74" t="s">
        <v>12601</v>
      </c>
      <c r="C40096" s="74" t="s">
        <v>416</v>
      </c>
    </row>
    <row r="40097" spans="1:3">
      <c r="A40097" s="250">
        <v>96016</v>
      </c>
      <c r="B40097" s="74" t="s">
        <v>18375</v>
      </c>
      <c r="C40097" s="74" t="s">
        <v>416</v>
      </c>
    </row>
    <row r="40098" spans="1:3">
      <c r="A40098" s="250">
        <v>96017</v>
      </c>
      <c r="B40098" s="74" t="s">
        <v>18376</v>
      </c>
      <c r="C40098" s="74" t="s">
        <v>416</v>
      </c>
    </row>
    <row r="40099" spans="1:3">
      <c r="A40099" s="250">
        <v>96019</v>
      </c>
      <c r="B40099" s="74" t="s">
        <v>18377</v>
      </c>
      <c r="C40099" s="74" t="s">
        <v>416</v>
      </c>
    </row>
    <row r="40100" spans="1:3">
      <c r="A40100" s="250">
        <v>96020</v>
      </c>
      <c r="B40100" s="74" t="s">
        <v>583</v>
      </c>
      <c r="C40100" s="74" t="s">
        <v>416</v>
      </c>
    </row>
    <row r="40101" spans="1:3">
      <c r="A40101" s="250">
        <v>96021</v>
      </c>
      <c r="B40101" s="74" t="s">
        <v>3911</v>
      </c>
      <c r="C40101" s="74" t="s">
        <v>416</v>
      </c>
    </row>
    <row r="40102" spans="1:3">
      <c r="A40102" s="250">
        <v>96022</v>
      </c>
      <c r="B40102" s="74" t="s">
        <v>8846</v>
      </c>
      <c r="C40102" s="74" t="s">
        <v>416</v>
      </c>
    </row>
    <row r="40103" spans="1:3">
      <c r="A40103" s="250">
        <v>96023</v>
      </c>
      <c r="B40103" s="74" t="s">
        <v>18378</v>
      </c>
      <c r="C40103" s="74" t="s">
        <v>416</v>
      </c>
    </row>
    <row r="40104" spans="1:3">
      <c r="A40104" s="250">
        <v>96024</v>
      </c>
      <c r="B40104" s="74" t="s">
        <v>18379</v>
      </c>
      <c r="C40104" s="74" t="s">
        <v>416</v>
      </c>
    </row>
    <row r="40105" spans="1:3">
      <c r="A40105" s="250">
        <v>96025</v>
      </c>
      <c r="B40105" s="74" t="s">
        <v>18380</v>
      </c>
      <c r="C40105" s="74" t="s">
        <v>416</v>
      </c>
    </row>
    <row r="40106" spans="1:3">
      <c r="A40106" s="250">
        <v>96027</v>
      </c>
      <c r="B40106" s="74" t="s">
        <v>1276</v>
      </c>
      <c r="C40106" s="74" t="s">
        <v>416</v>
      </c>
    </row>
    <row r="40107" spans="1:3">
      <c r="A40107" s="250">
        <v>96028</v>
      </c>
      <c r="B40107" s="74" t="s">
        <v>18381</v>
      </c>
      <c r="C40107" s="74" t="s">
        <v>416</v>
      </c>
    </row>
    <row r="40108" spans="1:3">
      <c r="A40108" s="250">
        <v>96029</v>
      </c>
      <c r="B40108" s="74" t="s">
        <v>18382</v>
      </c>
      <c r="C40108" s="74" t="s">
        <v>416</v>
      </c>
    </row>
    <row r="40109" spans="1:3">
      <c r="A40109" s="250">
        <v>96031</v>
      </c>
      <c r="B40109" s="74" t="s">
        <v>18383</v>
      </c>
      <c r="C40109" s="74" t="s">
        <v>416</v>
      </c>
    </row>
    <row r="40110" spans="1:3">
      <c r="A40110" s="250">
        <v>96032</v>
      </c>
      <c r="B40110" s="74" t="s">
        <v>18384</v>
      </c>
      <c r="C40110" s="74" t="s">
        <v>416</v>
      </c>
    </row>
    <row r="40111" spans="1:3">
      <c r="A40111" s="250">
        <v>96033</v>
      </c>
      <c r="B40111" s="74" t="s">
        <v>18385</v>
      </c>
      <c r="C40111" s="74" t="s">
        <v>416</v>
      </c>
    </row>
    <row r="40112" spans="1:3">
      <c r="A40112" s="250">
        <v>96034</v>
      </c>
      <c r="B40112" s="74" t="s">
        <v>18386</v>
      </c>
      <c r="C40112" s="74" t="s">
        <v>416</v>
      </c>
    </row>
    <row r="40113" spans="1:3">
      <c r="A40113" s="250">
        <v>96035</v>
      </c>
      <c r="B40113" s="74" t="s">
        <v>18387</v>
      </c>
      <c r="C40113" s="74" t="s">
        <v>416</v>
      </c>
    </row>
    <row r="40114" spans="1:3">
      <c r="A40114" s="250">
        <v>96037</v>
      </c>
      <c r="B40114" s="74" t="s">
        <v>13950</v>
      </c>
      <c r="C40114" s="74" t="s">
        <v>416</v>
      </c>
    </row>
    <row r="40115" spans="1:3">
      <c r="A40115" s="250">
        <v>96038</v>
      </c>
      <c r="B40115" s="74" t="s">
        <v>9380</v>
      </c>
      <c r="C40115" s="74" t="s">
        <v>416</v>
      </c>
    </row>
    <row r="40116" spans="1:3">
      <c r="A40116" s="250">
        <v>96039</v>
      </c>
      <c r="B40116" s="74" t="s">
        <v>18388</v>
      </c>
      <c r="C40116" s="74" t="s">
        <v>416</v>
      </c>
    </row>
    <row r="40117" spans="1:3">
      <c r="A40117" s="250">
        <v>96040</v>
      </c>
      <c r="B40117" s="74" t="s">
        <v>18389</v>
      </c>
      <c r="C40117" s="74" t="s">
        <v>416</v>
      </c>
    </row>
    <row r="40118" spans="1:3">
      <c r="A40118" s="250">
        <v>96041</v>
      </c>
      <c r="B40118" s="74" t="s">
        <v>18390</v>
      </c>
      <c r="C40118" s="74" t="s">
        <v>416</v>
      </c>
    </row>
    <row r="40119" spans="1:3">
      <c r="A40119" s="250">
        <v>96044</v>
      </c>
      <c r="B40119" s="74" t="s">
        <v>18391</v>
      </c>
      <c r="C40119" s="74" t="s">
        <v>416</v>
      </c>
    </row>
    <row r="40120" spans="1:3">
      <c r="A40120" s="250">
        <v>96046</v>
      </c>
      <c r="B40120" s="74" t="s">
        <v>18392</v>
      </c>
      <c r="C40120" s="74" t="s">
        <v>416</v>
      </c>
    </row>
    <row r="40121" spans="1:3">
      <c r="A40121" s="250">
        <v>96047</v>
      </c>
      <c r="B40121" s="74" t="s">
        <v>18393</v>
      </c>
      <c r="C40121" s="74" t="s">
        <v>416</v>
      </c>
    </row>
    <row r="40122" spans="1:3">
      <c r="A40122" s="250">
        <v>96048</v>
      </c>
      <c r="B40122" s="74" t="s">
        <v>8198</v>
      </c>
      <c r="C40122" s="74" t="s">
        <v>416</v>
      </c>
    </row>
    <row r="40123" spans="1:3">
      <c r="A40123" s="250">
        <v>96049</v>
      </c>
      <c r="B40123" s="74" t="s">
        <v>2109</v>
      </c>
      <c r="C40123" s="74" t="s">
        <v>416</v>
      </c>
    </row>
    <row r="40124" spans="1:3">
      <c r="A40124" s="250">
        <v>96050</v>
      </c>
      <c r="B40124" s="74" t="s">
        <v>18394</v>
      </c>
      <c r="C40124" s="74" t="s">
        <v>416</v>
      </c>
    </row>
    <row r="40125" spans="1:3">
      <c r="A40125" s="250">
        <v>96051</v>
      </c>
      <c r="B40125" s="74" t="s">
        <v>18395</v>
      </c>
      <c r="C40125" s="74" t="s">
        <v>416</v>
      </c>
    </row>
    <row r="40126" spans="1:3">
      <c r="A40126" s="250">
        <v>96052</v>
      </c>
      <c r="B40126" s="74" t="s">
        <v>1444</v>
      </c>
      <c r="C40126" s="74" t="s">
        <v>416</v>
      </c>
    </row>
    <row r="40127" spans="1:3">
      <c r="A40127" s="250">
        <v>96054</v>
      </c>
      <c r="B40127" s="74" t="s">
        <v>6805</v>
      </c>
      <c r="C40127" s="74" t="s">
        <v>416</v>
      </c>
    </row>
    <row r="40128" spans="1:3">
      <c r="A40128" s="250">
        <v>96055</v>
      </c>
      <c r="B40128" s="74" t="s">
        <v>18396</v>
      </c>
      <c r="C40128" s="74" t="s">
        <v>416</v>
      </c>
    </row>
    <row r="40129" spans="1:3">
      <c r="A40129" s="250">
        <v>96056</v>
      </c>
      <c r="B40129" s="74" t="s">
        <v>18397</v>
      </c>
      <c r="C40129" s="74" t="s">
        <v>416</v>
      </c>
    </row>
    <row r="40130" spans="1:3">
      <c r="A40130" s="250">
        <v>96057</v>
      </c>
      <c r="B40130" s="74" t="s">
        <v>18398</v>
      </c>
      <c r="C40130" s="74" t="s">
        <v>416</v>
      </c>
    </row>
    <row r="40131" spans="1:3">
      <c r="A40131" s="250">
        <v>96058</v>
      </c>
      <c r="B40131" s="74" t="s">
        <v>18399</v>
      </c>
      <c r="C40131" s="74" t="s">
        <v>416</v>
      </c>
    </row>
    <row r="40132" spans="1:3">
      <c r="A40132" s="250">
        <v>96059</v>
      </c>
      <c r="B40132" s="74" t="s">
        <v>11324</v>
      </c>
      <c r="C40132" s="74" t="s">
        <v>416</v>
      </c>
    </row>
    <row r="40133" spans="1:3">
      <c r="A40133" s="250">
        <v>96061</v>
      </c>
      <c r="B40133" s="74" t="s">
        <v>4728</v>
      </c>
      <c r="C40133" s="74" t="s">
        <v>416</v>
      </c>
    </row>
    <row r="40134" spans="1:3">
      <c r="A40134" s="250">
        <v>96062</v>
      </c>
      <c r="B40134" s="74" t="s">
        <v>746</v>
      </c>
      <c r="C40134" s="74" t="s">
        <v>416</v>
      </c>
    </row>
    <row r="40135" spans="1:3">
      <c r="A40135" s="250">
        <v>96063</v>
      </c>
      <c r="B40135" s="74" t="s">
        <v>6087</v>
      </c>
      <c r="C40135" s="74" t="s">
        <v>416</v>
      </c>
    </row>
    <row r="40136" spans="1:3">
      <c r="A40136" s="250">
        <v>96064</v>
      </c>
      <c r="B40136" s="74" t="s">
        <v>685</v>
      </c>
      <c r="C40136" s="74" t="s">
        <v>416</v>
      </c>
    </row>
    <row r="40137" spans="1:3">
      <c r="A40137" s="250">
        <v>96065</v>
      </c>
      <c r="B40137" s="74" t="s">
        <v>18400</v>
      </c>
      <c r="C40137" s="74" t="s">
        <v>416</v>
      </c>
    </row>
    <row r="40138" spans="1:3">
      <c r="A40138" s="250">
        <v>96067</v>
      </c>
      <c r="B40138" s="74" t="s">
        <v>18401</v>
      </c>
      <c r="C40138" s="74" t="s">
        <v>416</v>
      </c>
    </row>
    <row r="40139" spans="1:3">
      <c r="A40139" s="250">
        <v>96068</v>
      </c>
      <c r="B40139" s="74" t="s">
        <v>18402</v>
      </c>
      <c r="C40139" s="74" t="s">
        <v>416</v>
      </c>
    </row>
    <row r="40140" spans="1:3">
      <c r="A40140" s="250">
        <v>96069</v>
      </c>
      <c r="B40140" s="74" t="s">
        <v>18403</v>
      </c>
      <c r="C40140" s="74" t="s">
        <v>416</v>
      </c>
    </row>
    <row r="40141" spans="1:3">
      <c r="A40141" s="250">
        <v>96070</v>
      </c>
      <c r="B40141" s="74" t="s">
        <v>18404</v>
      </c>
      <c r="C40141" s="74" t="s">
        <v>416</v>
      </c>
    </row>
    <row r="40142" spans="1:3">
      <c r="A40142" s="250">
        <v>96071</v>
      </c>
      <c r="B40142" s="74" t="s">
        <v>18405</v>
      </c>
      <c r="C40142" s="74" t="s">
        <v>416</v>
      </c>
    </row>
    <row r="40143" spans="1:3">
      <c r="A40143" s="250">
        <v>96073</v>
      </c>
      <c r="B40143" s="74" t="s">
        <v>18406</v>
      </c>
      <c r="C40143" s="74" t="s">
        <v>416</v>
      </c>
    </row>
    <row r="40144" spans="1:3">
      <c r="A40144" s="250">
        <v>96074</v>
      </c>
      <c r="B40144" s="74" t="s">
        <v>18407</v>
      </c>
      <c r="C40144" s="74" t="s">
        <v>416</v>
      </c>
    </row>
    <row r="40145" spans="1:3">
      <c r="A40145" s="250">
        <v>96075</v>
      </c>
      <c r="B40145" s="74" t="s">
        <v>18408</v>
      </c>
      <c r="C40145" s="74" t="s">
        <v>416</v>
      </c>
    </row>
    <row r="40146" spans="1:3">
      <c r="A40146" s="250">
        <v>96076</v>
      </c>
      <c r="B40146" s="74" t="s">
        <v>18409</v>
      </c>
      <c r="C40146" s="74" t="s">
        <v>416</v>
      </c>
    </row>
    <row r="40147" spans="1:3">
      <c r="A40147" s="250">
        <v>96078</v>
      </c>
      <c r="B40147" s="74" t="s">
        <v>18410</v>
      </c>
      <c r="C40147" s="74" t="s">
        <v>416</v>
      </c>
    </row>
    <row r="40148" spans="1:3">
      <c r="A40148" s="250">
        <v>96079</v>
      </c>
      <c r="B40148" s="74" t="s">
        <v>18377</v>
      </c>
      <c r="C40148" s="74" t="s">
        <v>416</v>
      </c>
    </row>
    <row r="40149" spans="1:3">
      <c r="A40149" s="250">
        <v>96080</v>
      </c>
      <c r="B40149" s="74" t="s">
        <v>18411</v>
      </c>
      <c r="C40149" s="74" t="s">
        <v>416</v>
      </c>
    </row>
    <row r="40150" spans="1:3">
      <c r="A40150" s="250">
        <v>96084</v>
      </c>
      <c r="B40150" s="74" t="s">
        <v>16429</v>
      </c>
      <c r="C40150" s="74" t="s">
        <v>416</v>
      </c>
    </row>
    <row r="40151" spans="1:3">
      <c r="A40151" s="250">
        <v>96085</v>
      </c>
      <c r="B40151" s="74" t="s">
        <v>18412</v>
      </c>
      <c r="C40151" s="74" t="s">
        <v>416</v>
      </c>
    </row>
    <row r="40152" spans="1:3">
      <c r="A40152" s="250">
        <v>96086</v>
      </c>
      <c r="B40152" s="74" t="s">
        <v>18413</v>
      </c>
      <c r="C40152" s="74" t="s">
        <v>416</v>
      </c>
    </row>
    <row r="40153" spans="1:3">
      <c r="A40153" s="250">
        <v>96087</v>
      </c>
      <c r="B40153" s="74" t="s">
        <v>18414</v>
      </c>
      <c r="C40153" s="74" t="s">
        <v>416</v>
      </c>
    </row>
    <row r="40154" spans="1:3">
      <c r="A40154" s="250">
        <v>96088</v>
      </c>
      <c r="B40154" s="74" t="s">
        <v>18415</v>
      </c>
      <c r="C40154" s="74" t="s">
        <v>416</v>
      </c>
    </row>
    <row r="40155" spans="1:3">
      <c r="A40155" s="250">
        <v>96089</v>
      </c>
      <c r="B40155" s="74" t="s">
        <v>18377</v>
      </c>
      <c r="C40155" s="74" t="s">
        <v>416</v>
      </c>
    </row>
    <row r="40156" spans="1:3">
      <c r="A40156" s="250">
        <v>96090</v>
      </c>
      <c r="B40156" s="74" t="s">
        <v>18416</v>
      </c>
      <c r="C40156" s="74" t="s">
        <v>416</v>
      </c>
    </row>
    <row r="40157" spans="1:3">
      <c r="A40157" s="250">
        <v>96091</v>
      </c>
      <c r="B40157" s="74" t="s">
        <v>18417</v>
      </c>
      <c r="C40157" s="74" t="s">
        <v>416</v>
      </c>
    </row>
    <row r="40158" spans="1:3">
      <c r="A40158" s="250">
        <v>96092</v>
      </c>
      <c r="B40158" s="74" t="s">
        <v>8725</v>
      </c>
      <c r="C40158" s="74" t="s">
        <v>416</v>
      </c>
    </row>
    <row r="40159" spans="1:3">
      <c r="A40159" s="250">
        <v>96093</v>
      </c>
      <c r="B40159" s="74" t="s">
        <v>7583</v>
      </c>
      <c r="C40159" s="74" t="s">
        <v>416</v>
      </c>
    </row>
    <row r="40160" spans="1:3">
      <c r="A40160" s="250">
        <v>96094</v>
      </c>
      <c r="B40160" s="74" t="s">
        <v>17569</v>
      </c>
      <c r="C40160" s="74" t="s">
        <v>416</v>
      </c>
    </row>
    <row r="40161" spans="1:3">
      <c r="A40161" s="250">
        <v>96095</v>
      </c>
      <c r="B40161" s="74" t="s">
        <v>18418</v>
      </c>
      <c r="C40161" s="74" t="s">
        <v>416</v>
      </c>
    </row>
    <row r="40162" spans="1:3">
      <c r="A40162" s="250">
        <v>96096</v>
      </c>
      <c r="B40162" s="74" t="s">
        <v>18419</v>
      </c>
      <c r="C40162" s="74" t="s">
        <v>416</v>
      </c>
    </row>
    <row r="40163" spans="1:3">
      <c r="A40163" s="250">
        <v>96097</v>
      </c>
      <c r="B40163" s="74" t="s">
        <v>18420</v>
      </c>
      <c r="C40163" s="74" t="s">
        <v>416</v>
      </c>
    </row>
    <row r="40164" spans="1:3">
      <c r="A40164" s="250">
        <v>96099</v>
      </c>
      <c r="B40164" s="74" t="s">
        <v>2109</v>
      </c>
      <c r="C40164" s="74" t="s">
        <v>416</v>
      </c>
    </row>
    <row r="40165" spans="1:3">
      <c r="A40165" s="250">
        <v>96101</v>
      </c>
      <c r="B40165" s="74" t="s">
        <v>8494</v>
      </c>
      <c r="C40165" s="74" t="s">
        <v>416</v>
      </c>
    </row>
    <row r="40166" spans="1:3">
      <c r="A40166" s="250">
        <v>96103</v>
      </c>
      <c r="B40166" s="74" t="s">
        <v>18421</v>
      </c>
      <c r="C40166" s="74" t="s">
        <v>416</v>
      </c>
    </row>
    <row r="40167" spans="1:3">
      <c r="A40167" s="250">
        <v>96104</v>
      </c>
      <c r="B40167" s="74" t="s">
        <v>2475</v>
      </c>
      <c r="C40167" s="74" t="s">
        <v>416</v>
      </c>
    </row>
    <row r="40168" spans="1:3">
      <c r="A40168" s="250">
        <v>96105</v>
      </c>
      <c r="B40168" s="74" t="s">
        <v>18422</v>
      </c>
      <c r="C40168" s="74" t="s">
        <v>416</v>
      </c>
    </row>
    <row r="40169" spans="1:3">
      <c r="A40169" s="250">
        <v>96106</v>
      </c>
      <c r="B40169" s="74" t="s">
        <v>7732</v>
      </c>
      <c r="C40169" s="74" t="s">
        <v>416</v>
      </c>
    </row>
    <row r="40170" spans="1:3">
      <c r="A40170" s="250">
        <v>96107</v>
      </c>
      <c r="B40170" s="74" t="s">
        <v>18423</v>
      </c>
      <c r="C40170" s="74" t="s">
        <v>416</v>
      </c>
    </row>
    <row r="40171" spans="1:3">
      <c r="A40171" s="250">
        <v>96108</v>
      </c>
      <c r="B40171" s="74" t="s">
        <v>18424</v>
      </c>
      <c r="C40171" s="74" t="s">
        <v>416</v>
      </c>
    </row>
    <row r="40172" spans="1:3">
      <c r="A40172" s="250">
        <v>96109</v>
      </c>
      <c r="B40172" s="74" t="s">
        <v>9275</v>
      </c>
      <c r="C40172" s="74" t="s">
        <v>416</v>
      </c>
    </row>
    <row r="40173" spans="1:3">
      <c r="A40173" s="250">
        <v>96110</v>
      </c>
      <c r="B40173" s="74" t="s">
        <v>5406</v>
      </c>
      <c r="C40173" s="74" t="s">
        <v>416</v>
      </c>
    </row>
    <row r="40174" spans="1:3">
      <c r="A40174" s="250">
        <v>96111</v>
      </c>
      <c r="B40174" s="74" t="s">
        <v>18425</v>
      </c>
      <c r="C40174" s="74" t="s">
        <v>416</v>
      </c>
    </row>
    <row r="40175" spans="1:3">
      <c r="A40175" s="250">
        <v>96112</v>
      </c>
      <c r="B40175" s="74" t="s">
        <v>18426</v>
      </c>
      <c r="C40175" s="74" t="s">
        <v>416</v>
      </c>
    </row>
    <row r="40176" spans="1:3">
      <c r="A40176" s="250">
        <v>96113</v>
      </c>
      <c r="B40176" s="74" t="s">
        <v>18427</v>
      </c>
      <c r="C40176" s="74" t="s">
        <v>416</v>
      </c>
    </row>
    <row r="40177" spans="1:3">
      <c r="A40177" s="250">
        <v>96114</v>
      </c>
      <c r="B40177" s="74" t="s">
        <v>11668</v>
      </c>
      <c r="C40177" s="74" t="s">
        <v>416</v>
      </c>
    </row>
    <row r="40178" spans="1:3">
      <c r="A40178" s="250">
        <v>96115</v>
      </c>
      <c r="B40178" s="74" t="s">
        <v>4516</v>
      </c>
      <c r="C40178" s="74" t="s">
        <v>416</v>
      </c>
    </row>
    <row r="40179" spans="1:3">
      <c r="A40179" s="250">
        <v>96116</v>
      </c>
      <c r="B40179" s="74" t="s">
        <v>18428</v>
      </c>
      <c r="C40179" s="74" t="s">
        <v>416</v>
      </c>
    </row>
    <row r="40180" spans="1:3">
      <c r="A40180" s="250">
        <v>96117</v>
      </c>
      <c r="B40180" s="74" t="s">
        <v>1161</v>
      </c>
      <c r="C40180" s="74" t="s">
        <v>416</v>
      </c>
    </row>
    <row r="40181" spans="1:3">
      <c r="A40181" s="250">
        <v>96118</v>
      </c>
      <c r="B40181" s="74" t="s">
        <v>18429</v>
      </c>
      <c r="C40181" s="74" t="s">
        <v>416</v>
      </c>
    </row>
    <row r="40182" spans="1:3">
      <c r="A40182" s="250">
        <v>96119</v>
      </c>
      <c r="B40182" s="74" t="s">
        <v>18430</v>
      </c>
      <c r="C40182" s="74" t="s">
        <v>416</v>
      </c>
    </row>
    <row r="40183" spans="1:3">
      <c r="A40183" s="250">
        <v>96120</v>
      </c>
      <c r="B40183" s="74" t="s">
        <v>18431</v>
      </c>
      <c r="C40183" s="74" t="s">
        <v>416</v>
      </c>
    </row>
    <row r="40184" spans="1:3">
      <c r="A40184" s="250">
        <v>96121</v>
      </c>
      <c r="B40184" s="74" t="s">
        <v>796</v>
      </c>
      <c r="C40184" s="74" t="s">
        <v>416</v>
      </c>
    </row>
    <row r="40185" spans="1:3">
      <c r="A40185" s="250">
        <v>96122</v>
      </c>
      <c r="B40185" s="74" t="s">
        <v>18432</v>
      </c>
      <c r="C40185" s="74" t="s">
        <v>416</v>
      </c>
    </row>
    <row r="40186" spans="1:3">
      <c r="A40186" s="250">
        <v>96123</v>
      </c>
      <c r="B40186" s="74" t="s">
        <v>18433</v>
      </c>
      <c r="C40186" s="74" t="s">
        <v>416</v>
      </c>
    </row>
    <row r="40187" spans="1:3">
      <c r="A40187" s="250">
        <v>96124</v>
      </c>
      <c r="B40187" s="74" t="s">
        <v>18434</v>
      </c>
      <c r="C40187" s="74" t="s">
        <v>416</v>
      </c>
    </row>
    <row r="40188" spans="1:3">
      <c r="A40188" s="250">
        <v>96125</v>
      </c>
      <c r="B40188" s="74" t="s">
        <v>18435</v>
      </c>
      <c r="C40188" s="74" t="s">
        <v>416</v>
      </c>
    </row>
    <row r="40189" spans="1:3">
      <c r="A40189" s="250">
        <v>96126</v>
      </c>
      <c r="B40189" s="74" t="s">
        <v>18436</v>
      </c>
      <c r="C40189" s="74" t="s">
        <v>416</v>
      </c>
    </row>
    <row r="40190" spans="1:3">
      <c r="A40190" s="250">
        <v>96127</v>
      </c>
      <c r="B40190" s="74" t="s">
        <v>18437</v>
      </c>
      <c r="C40190" s="74" t="s">
        <v>416</v>
      </c>
    </row>
    <row r="40191" spans="1:3">
      <c r="A40191" s="250">
        <v>96128</v>
      </c>
      <c r="B40191" s="74" t="s">
        <v>1416</v>
      </c>
      <c r="C40191" s="74" t="s">
        <v>416</v>
      </c>
    </row>
    <row r="40192" spans="1:3">
      <c r="A40192" s="250">
        <v>96129</v>
      </c>
      <c r="B40192" s="74" t="s">
        <v>18438</v>
      </c>
      <c r="C40192" s="74" t="s">
        <v>416</v>
      </c>
    </row>
    <row r="40193" spans="1:3">
      <c r="A40193" s="250">
        <v>96130</v>
      </c>
      <c r="B40193" s="74" t="s">
        <v>18437</v>
      </c>
      <c r="C40193" s="74" t="s">
        <v>416</v>
      </c>
    </row>
    <row r="40194" spans="1:3">
      <c r="A40194" s="250">
        <v>96132</v>
      </c>
      <c r="B40194" s="74" t="s">
        <v>18439</v>
      </c>
      <c r="C40194" s="74" t="s">
        <v>416</v>
      </c>
    </row>
    <row r="40195" spans="1:3">
      <c r="A40195" s="250">
        <v>96133</v>
      </c>
      <c r="B40195" s="74" t="s">
        <v>18440</v>
      </c>
      <c r="C40195" s="74" t="s">
        <v>416</v>
      </c>
    </row>
    <row r="40196" spans="1:3">
      <c r="A40196" s="250">
        <v>96134</v>
      </c>
      <c r="B40196" s="74" t="s">
        <v>18441</v>
      </c>
      <c r="C40196" s="74" t="s">
        <v>416</v>
      </c>
    </row>
    <row r="40197" spans="1:3">
      <c r="A40197" s="250">
        <v>96135</v>
      </c>
      <c r="B40197" s="74" t="s">
        <v>6310</v>
      </c>
      <c r="C40197" s="74" t="s">
        <v>416</v>
      </c>
    </row>
    <row r="40198" spans="1:3">
      <c r="A40198" s="250">
        <v>96136</v>
      </c>
      <c r="B40198" s="74" t="s">
        <v>4249</v>
      </c>
      <c r="C40198" s="74" t="s">
        <v>416</v>
      </c>
    </row>
    <row r="40199" spans="1:3">
      <c r="A40199" s="250">
        <v>96137</v>
      </c>
      <c r="B40199" s="74" t="s">
        <v>898</v>
      </c>
      <c r="C40199" s="74" t="s">
        <v>416</v>
      </c>
    </row>
    <row r="40200" spans="1:3">
      <c r="A40200" s="250">
        <v>96140</v>
      </c>
      <c r="B40200" s="74" t="s">
        <v>18442</v>
      </c>
      <c r="C40200" s="74" t="s">
        <v>416</v>
      </c>
    </row>
    <row r="40201" spans="1:3">
      <c r="A40201" s="250">
        <v>96141</v>
      </c>
      <c r="B40201" s="74" t="s">
        <v>13513</v>
      </c>
      <c r="C40201" s="74" t="s">
        <v>416</v>
      </c>
    </row>
    <row r="40202" spans="1:3">
      <c r="A40202" s="250">
        <v>96142</v>
      </c>
      <c r="B40202" s="74" t="s">
        <v>18443</v>
      </c>
      <c r="C40202" s="74" t="s">
        <v>416</v>
      </c>
    </row>
    <row r="40203" spans="1:3">
      <c r="A40203" s="250">
        <v>96143</v>
      </c>
      <c r="B40203" s="74" t="s">
        <v>18444</v>
      </c>
      <c r="C40203" s="74" t="s">
        <v>416</v>
      </c>
    </row>
    <row r="40204" spans="1:3">
      <c r="A40204" s="250">
        <v>96145</v>
      </c>
      <c r="B40204" s="74" t="s">
        <v>18445</v>
      </c>
      <c r="C40204" s="74" t="s">
        <v>416</v>
      </c>
    </row>
    <row r="40205" spans="1:3">
      <c r="A40205" s="250">
        <v>96146</v>
      </c>
      <c r="B40205" s="74" t="s">
        <v>18446</v>
      </c>
      <c r="C40205" s="74" t="s">
        <v>416</v>
      </c>
    </row>
    <row r="40206" spans="1:3">
      <c r="A40206" s="250">
        <v>96148</v>
      </c>
      <c r="B40206" s="74" t="s">
        <v>18447</v>
      </c>
      <c r="C40206" s="74" t="s">
        <v>416</v>
      </c>
    </row>
    <row r="40207" spans="1:3">
      <c r="A40207" s="250">
        <v>96150</v>
      </c>
      <c r="B40207" s="74" t="s">
        <v>18448</v>
      </c>
      <c r="C40207" s="74" t="s">
        <v>416</v>
      </c>
    </row>
    <row r="40208" spans="1:3">
      <c r="A40208" s="250">
        <v>96151</v>
      </c>
      <c r="B40208" s="74" t="s">
        <v>18448</v>
      </c>
      <c r="C40208" s="74" t="s">
        <v>416</v>
      </c>
    </row>
    <row r="40209" spans="1:3">
      <c r="A40209" s="250">
        <v>96152</v>
      </c>
      <c r="B40209" s="74" t="s">
        <v>18448</v>
      </c>
      <c r="C40209" s="74" t="s">
        <v>416</v>
      </c>
    </row>
    <row r="40210" spans="1:3">
      <c r="A40210" s="250">
        <v>96154</v>
      </c>
      <c r="B40210" s="74" t="s">
        <v>18448</v>
      </c>
      <c r="C40210" s="74" t="s">
        <v>416</v>
      </c>
    </row>
    <row r="40211" spans="1:3">
      <c r="A40211" s="250">
        <v>96155</v>
      </c>
      <c r="B40211" s="74" t="s">
        <v>18448</v>
      </c>
      <c r="C40211" s="74" t="s">
        <v>416</v>
      </c>
    </row>
    <row r="40212" spans="1:3">
      <c r="A40212" s="250">
        <v>96156</v>
      </c>
      <c r="B40212" s="74" t="s">
        <v>18448</v>
      </c>
      <c r="C40212" s="74" t="s">
        <v>416</v>
      </c>
    </row>
    <row r="40213" spans="1:3">
      <c r="A40213" s="250">
        <v>96157</v>
      </c>
      <c r="B40213" s="74" t="s">
        <v>18448</v>
      </c>
      <c r="C40213" s="74" t="s">
        <v>416</v>
      </c>
    </row>
    <row r="40214" spans="1:3">
      <c r="A40214" s="250">
        <v>96158</v>
      </c>
      <c r="B40214" s="74" t="s">
        <v>18448</v>
      </c>
      <c r="C40214" s="74" t="s">
        <v>416</v>
      </c>
    </row>
    <row r="40215" spans="1:3">
      <c r="A40215" s="250">
        <v>96160</v>
      </c>
      <c r="B40215" s="74" t="s">
        <v>18449</v>
      </c>
      <c r="C40215" s="74" t="s">
        <v>416</v>
      </c>
    </row>
    <row r="40216" spans="1:3">
      <c r="A40216" s="250">
        <v>96161</v>
      </c>
      <c r="B40216" s="74" t="s">
        <v>18449</v>
      </c>
      <c r="C40216" s="74" t="s">
        <v>416</v>
      </c>
    </row>
    <row r="40217" spans="1:3">
      <c r="A40217" s="250">
        <v>96162</v>
      </c>
      <c r="B40217" s="74" t="s">
        <v>18449</v>
      </c>
      <c r="C40217" s="74" t="s">
        <v>416</v>
      </c>
    </row>
    <row r="40218" spans="1:3">
      <c r="A40218" s="250">
        <v>96701</v>
      </c>
      <c r="B40218" s="74" t="s">
        <v>18450</v>
      </c>
      <c r="C40218" s="74" t="s">
        <v>422</v>
      </c>
    </row>
    <row r="40219" spans="1:3">
      <c r="A40219" s="250">
        <v>96703</v>
      </c>
      <c r="B40219" s="74" t="s">
        <v>18451</v>
      </c>
      <c r="C40219" s="74" t="s">
        <v>422</v>
      </c>
    </row>
    <row r="40220" spans="1:3">
      <c r="A40220" s="250">
        <v>96704</v>
      </c>
      <c r="B40220" s="74" t="s">
        <v>18452</v>
      </c>
      <c r="C40220" s="74" t="s">
        <v>422</v>
      </c>
    </row>
    <row r="40221" spans="1:3">
      <c r="A40221" s="250">
        <v>96705</v>
      </c>
      <c r="B40221" s="74" t="s">
        <v>18453</v>
      </c>
      <c r="C40221" s="74" t="s">
        <v>422</v>
      </c>
    </row>
    <row r="40222" spans="1:3">
      <c r="A40222" s="250">
        <v>96706</v>
      </c>
      <c r="B40222" s="74" t="s">
        <v>18454</v>
      </c>
      <c r="C40222" s="74" t="s">
        <v>422</v>
      </c>
    </row>
    <row r="40223" spans="1:3">
      <c r="A40223" s="250">
        <v>96707</v>
      </c>
      <c r="B40223" s="74" t="s">
        <v>18455</v>
      </c>
      <c r="C40223" s="74" t="s">
        <v>422</v>
      </c>
    </row>
    <row r="40224" spans="1:3">
      <c r="A40224" s="250">
        <v>96708</v>
      </c>
      <c r="B40224" s="74" t="s">
        <v>18456</v>
      </c>
      <c r="C40224" s="74" t="s">
        <v>422</v>
      </c>
    </row>
    <row r="40225" spans="1:3">
      <c r="A40225" s="250">
        <v>96709</v>
      </c>
      <c r="B40225" s="74" t="s">
        <v>18455</v>
      </c>
      <c r="C40225" s="74" t="s">
        <v>422</v>
      </c>
    </row>
    <row r="40226" spans="1:3">
      <c r="A40226" s="250">
        <v>96710</v>
      </c>
      <c r="B40226" s="74" t="s">
        <v>18457</v>
      </c>
      <c r="C40226" s="74" t="s">
        <v>422</v>
      </c>
    </row>
    <row r="40227" spans="1:3">
      <c r="A40227" s="250">
        <v>96712</v>
      </c>
      <c r="B40227" s="74" t="s">
        <v>18458</v>
      </c>
      <c r="C40227" s="74" t="s">
        <v>422</v>
      </c>
    </row>
    <row r="40228" spans="1:3">
      <c r="A40228" s="250">
        <v>96713</v>
      </c>
      <c r="B40228" s="74" t="s">
        <v>18459</v>
      </c>
      <c r="C40228" s="74" t="s">
        <v>422</v>
      </c>
    </row>
    <row r="40229" spans="1:3">
      <c r="A40229" s="250">
        <v>96714</v>
      </c>
      <c r="B40229" s="74" t="s">
        <v>18460</v>
      </c>
      <c r="C40229" s="74" t="s">
        <v>422</v>
      </c>
    </row>
    <row r="40230" spans="1:3">
      <c r="A40230" s="250">
        <v>96715</v>
      </c>
      <c r="B40230" s="74" t="s">
        <v>18461</v>
      </c>
      <c r="C40230" s="74" t="s">
        <v>422</v>
      </c>
    </row>
    <row r="40231" spans="1:3">
      <c r="A40231" s="250">
        <v>96716</v>
      </c>
      <c r="B40231" s="74" t="s">
        <v>18462</v>
      </c>
      <c r="C40231" s="74" t="s">
        <v>422</v>
      </c>
    </row>
    <row r="40232" spans="1:3">
      <c r="A40232" s="250">
        <v>96717</v>
      </c>
      <c r="B40232" s="74" t="s">
        <v>18463</v>
      </c>
      <c r="C40232" s="74" t="s">
        <v>422</v>
      </c>
    </row>
    <row r="40233" spans="1:3">
      <c r="A40233" s="250">
        <v>96718</v>
      </c>
      <c r="B40233" s="74" t="s">
        <v>18464</v>
      </c>
      <c r="C40233" s="74" t="s">
        <v>422</v>
      </c>
    </row>
    <row r="40234" spans="1:3">
      <c r="A40234" s="250">
        <v>96719</v>
      </c>
      <c r="B40234" s="74" t="s">
        <v>18465</v>
      </c>
      <c r="C40234" s="74" t="s">
        <v>422</v>
      </c>
    </row>
    <row r="40235" spans="1:3">
      <c r="A40235" s="250">
        <v>96720</v>
      </c>
      <c r="B40235" s="74" t="s">
        <v>18466</v>
      </c>
      <c r="C40235" s="74" t="s">
        <v>422</v>
      </c>
    </row>
    <row r="40236" spans="1:3">
      <c r="A40236" s="250">
        <v>96721</v>
      </c>
      <c r="B40236" s="74" t="s">
        <v>18466</v>
      </c>
      <c r="C40236" s="74" t="s">
        <v>422</v>
      </c>
    </row>
    <row r="40237" spans="1:3">
      <c r="A40237" s="250">
        <v>96722</v>
      </c>
      <c r="B40237" s="74" t="s">
        <v>13725</v>
      </c>
      <c r="C40237" s="74" t="s">
        <v>422</v>
      </c>
    </row>
    <row r="40238" spans="1:3">
      <c r="A40238" s="250">
        <v>96725</v>
      </c>
      <c r="B40238" s="74" t="s">
        <v>18467</v>
      </c>
      <c r="C40238" s="74" t="s">
        <v>422</v>
      </c>
    </row>
    <row r="40239" spans="1:3">
      <c r="A40239" s="250">
        <v>96726</v>
      </c>
      <c r="B40239" s="74" t="s">
        <v>18468</v>
      </c>
      <c r="C40239" s="74" t="s">
        <v>422</v>
      </c>
    </row>
    <row r="40240" spans="1:3">
      <c r="A40240" s="250">
        <v>96727</v>
      </c>
      <c r="B40240" s="74" t="s">
        <v>18469</v>
      </c>
      <c r="C40240" s="74" t="s">
        <v>422</v>
      </c>
    </row>
    <row r="40241" spans="1:3">
      <c r="A40241" s="250">
        <v>96728</v>
      </c>
      <c r="B40241" s="74" t="s">
        <v>18470</v>
      </c>
      <c r="C40241" s="74" t="s">
        <v>422</v>
      </c>
    </row>
    <row r="40242" spans="1:3">
      <c r="A40242" s="250">
        <v>96729</v>
      </c>
      <c r="B40242" s="74" t="s">
        <v>18471</v>
      </c>
      <c r="C40242" s="74" t="s">
        <v>422</v>
      </c>
    </row>
    <row r="40243" spans="1:3">
      <c r="A40243" s="250">
        <v>96730</v>
      </c>
      <c r="B40243" s="74" t="s">
        <v>18472</v>
      </c>
      <c r="C40243" s="74" t="s">
        <v>422</v>
      </c>
    </row>
    <row r="40244" spans="1:3">
      <c r="A40244" s="250">
        <v>96731</v>
      </c>
      <c r="B40244" s="74" t="s">
        <v>18473</v>
      </c>
      <c r="C40244" s="74" t="s">
        <v>422</v>
      </c>
    </row>
    <row r="40245" spans="1:3">
      <c r="A40245" s="250">
        <v>96732</v>
      </c>
      <c r="B40245" s="74" t="s">
        <v>18474</v>
      </c>
      <c r="C40245" s="74" t="s">
        <v>422</v>
      </c>
    </row>
    <row r="40246" spans="1:3">
      <c r="A40246" s="250">
        <v>96733</v>
      </c>
      <c r="B40246" s="74" t="s">
        <v>18474</v>
      </c>
      <c r="C40246" s="74" t="s">
        <v>422</v>
      </c>
    </row>
    <row r="40247" spans="1:3">
      <c r="A40247" s="250">
        <v>96734</v>
      </c>
      <c r="B40247" s="74" t="s">
        <v>18475</v>
      </c>
      <c r="C40247" s="74" t="s">
        <v>422</v>
      </c>
    </row>
    <row r="40248" spans="1:3">
      <c r="A40248" s="250">
        <v>96737</v>
      </c>
      <c r="B40248" s="74" t="s">
        <v>2457</v>
      </c>
      <c r="C40248" s="74" t="s">
        <v>422</v>
      </c>
    </row>
    <row r="40249" spans="1:3">
      <c r="A40249" s="250">
        <v>96738</v>
      </c>
      <c r="B40249" s="74" t="s">
        <v>18476</v>
      </c>
      <c r="C40249" s="74" t="s">
        <v>422</v>
      </c>
    </row>
    <row r="40250" spans="1:3">
      <c r="A40250" s="250">
        <v>96739</v>
      </c>
      <c r="B40250" s="74" t="s">
        <v>18477</v>
      </c>
      <c r="C40250" s="74" t="s">
        <v>422</v>
      </c>
    </row>
    <row r="40251" spans="1:3">
      <c r="A40251" s="250">
        <v>96740</v>
      </c>
      <c r="B40251" s="74" t="s">
        <v>18478</v>
      </c>
      <c r="C40251" s="74" t="s">
        <v>422</v>
      </c>
    </row>
    <row r="40252" spans="1:3">
      <c r="A40252" s="250">
        <v>96741</v>
      </c>
      <c r="B40252" s="74" t="s">
        <v>18479</v>
      </c>
      <c r="C40252" s="74" t="s">
        <v>422</v>
      </c>
    </row>
    <row r="40253" spans="1:3">
      <c r="A40253" s="250">
        <v>96742</v>
      </c>
      <c r="B40253" s="74" t="s">
        <v>18480</v>
      </c>
      <c r="C40253" s="74" t="s">
        <v>422</v>
      </c>
    </row>
    <row r="40254" spans="1:3">
      <c r="A40254" s="250">
        <v>96743</v>
      </c>
      <c r="B40254" s="74" t="s">
        <v>18481</v>
      </c>
      <c r="C40254" s="74" t="s">
        <v>422</v>
      </c>
    </row>
    <row r="40255" spans="1:3">
      <c r="A40255" s="250">
        <v>96744</v>
      </c>
      <c r="B40255" s="74" t="s">
        <v>18482</v>
      </c>
      <c r="C40255" s="74" t="s">
        <v>422</v>
      </c>
    </row>
    <row r="40256" spans="1:3">
      <c r="A40256" s="250">
        <v>96745</v>
      </c>
      <c r="B40256" s="74" t="s">
        <v>18478</v>
      </c>
      <c r="C40256" s="74" t="s">
        <v>422</v>
      </c>
    </row>
    <row r="40257" spans="1:3">
      <c r="A40257" s="250">
        <v>96746</v>
      </c>
      <c r="B40257" s="74" t="s">
        <v>18483</v>
      </c>
      <c r="C40257" s="74" t="s">
        <v>422</v>
      </c>
    </row>
    <row r="40258" spans="1:3">
      <c r="A40258" s="250">
        <v>96747</v>
      </c>
      <c r="B40258" s="74" t="s">
        <v>18484</v>
      </c>
      <c r="C40258" s="74" t="s">
        <v>422</v>
      </c>
    </row>
    <row r="40259" spans="1:3">
      <c r="A40259" s="250">
        <v>96748</v>
      </c>
      <c r="B40259" s="74" t="s">
        <v>18485</v>
      </c>
      <c r="C40259" s="74" t="s">
        <v>422</v>
      </c>
    </row>
    <row r="40260" spans="1:3">
      <c r="A40260" s="250">
        <v>96749</v>
      </c>
      <c r="B40260" s="74" t="s">
        <v>18486</v>
      </c>
      <c r="C40260" s="74" t="s">
        <v>422</v>
      </c>
    </row>
    <row r="40261" spans="1:3">
      <c r="A40261" s="250">
        <v>96750</v>
      </c>
      <c r="B40261" s="74" t="s">
        <v>18487</v>
      </c>
      <c r="C40261" s="74" t="s">
        <v>422</v>
      </c>
    </row>
    <row r="40262" spans="1:3">
      <c r="A40262" s="250">
        <v>96751</v>
      </c>
      <c r="B40262" s="74" t="s">
        <v>18488</v>
      </c>
      <c r="C40262" s="74" t="s">
        <v>422</v>
      </c>
    </row>
    <row r="40263" spans="1:3">
      <c r="A40263" s="250">
        <v>96752</v>
      </c>
      <c r="B40263" s="74" t="s">
        <v>18489</v>
      </c>
      <c r="C40263" s="74" t="s">
        <v>422</v>
      </c>
    </row>
    <row r="40264" spans="1:3">
      <c r="A40264" s="250">
        <v>96753</v>
      </c>
      <c r="B40264" s="74" t="s">
        <v>18490</v>
      </c>
      <c r="C40264" s="74" t="s">
        <v>422</v>
      </c>
    </row>
    <row r="40265" spans="1:3">
      <c r="A40265" s="250">
        <v>96754</v>
      </c>
      <c r="B40265" s="74" t="s">
        <v>18491</v>
      </c>
      <c r="C40265" s="74" t="s">
        <v>422</v>
      </c>
    </row>
    <row r="40266" spans="1:3">
      <c r="A40266" s="250">
        <v>96755</v>
      </c>
      <c r="B40266" s="74" t="s">
        <v>18492</v>
      </c>
      <c r="C40266" s="74" t="s">
        <v>422</v>
      </c>
    </row>
    <row r="40267" spans="1:3">
      <c r="A40267" s="250">
        <v>96756</v>
      </c>
      <c r="B40267" s="74" t="s">
        <v>18493</v>
      </c>
      <c r="C40267" s="74" t="s">
        <v>422</v>
      </c>
    </row>
    <row r="40268" spans="1:3">
      <c r="A40268" s="250">
        <v>96757</v>
      </c>
      <c r="B40268" s="74" t="s">
        <v>18494</v>
      </c>
      <c r="C40268" s="74" t="s">
        <v>422</v>
      </c>
    </row>
    <row r="40269" spans="1:3">
      <c r="A40269" s="250">
        <v>96759</v>
      </c>
      <c r="B40269" s="74" t="s">
        <v>18495</v>
      </c>
      <c r="C40269" s="74" t="s">
        <v>422</v>
      </c>
    </row>
    <row r="40270" spans="1:3">
      <c r="A40270" s="250">
        <v>96760</v>
      </c>
      <c r="B40270" s="74" t="s">
        <v>18496</v>
      </c>
      <c r="C40270" s="74" t="s">
        <v>422</v>
      </c>
    </row>
    <row r="40271" spans="1:3">
      <c r="A40271" s="250">
        <v>96761</v>
      </c>
      <c r="B40271" s="74" t="s">
        <v>18497</v>
      </c>
      <c r="C40271" s="74" t="s">
        <v>422</v>
      </c>
    </row>
    <row r="40272" spans="1:3">
      <c r="A40272" s="250">
        <v>96762</v>
      </c>
      <c r="B40272" s="74" t="s">
        <v>18498</v>
      </c>
      <c r="C40272" s="74" t="s">
        <v>422</v>
      </c>
    </row>
    <row r="40273" spans="1:3">
      <c r="A40273" s="250">
        <v>96763</v>
      </c>
      <c r="B40273" s="74" t="s">
        <v>18499</v>
      </c>
      <c r="C40273" s="74" t="s">
        <v>422</v>
      </c>
    </row>
    <row r="40274" spans="1:3">
      <c r="A40274" s="250">
        <v>96764</v>
      </c>
      <c r="B40274" s="74" t="s">
        <v>18500</v>
      </c>
      <c r="C40274" s="74" t="s">
        <v>422</v>
      </c>
    </row>
    <row r="40275" spans="1:3">
      <c r="A40275" s="250">
        <v>96765</v>
      </c>
      <c r="B40275" s="74" t="s">
        <v>18501</v>
      </c>
      <c r="C40275" s="74" t="s">
        <v>422</v>
      </c>
    </row>
    <row r="40276" spans="1:3">
      <c r="A40276" s="250">
        <v>96766</v>
      </c>
      <c r="B40276" s="74" t="s">
        <v>18502</v>
      </c>
      <c r="C40276" s="74" t="s">
        <v>422</v>
      </c>
    </row>
    <row r="40277" spans="1:3">
      <c r="A40277" s="250">
        <v>96767</v>
      </c>
      <c r="B40277" s="74" t="s">
        <v>18497</v>
      </c>
      <c r="C40277" s="74" t="s">
        <v>422</v>
      </c>
    </row>
    <row r="40278" spans="1:3">
      <c r="A40278" s="250">
        <v>96768</v>
      </c>
      <c r="B40278" s="74" t="s">
        <v>18503</v>
      </c>
      <c r="C40278" s="74" t="s">
        <v>422</v>
      </c>
    </row>
    <row r="40279" spans="1:3">
      <c r="A40279" s="250">
        <v>96769</v>
      </c>
      <c r="B40279" s="74" t="s">
        <v>18504</v>
      </c>
      <c r="C40279" s="74" t="s">
        <v>422</v>
      </c>
    </row>
    <row r="40280" spans="1:3">
      <c r="A40280" s="250">
        <v>96770</v>
      </c>
      <c r="B40280" s="74" t="s">
        <v>18505</v>
      </c>
      <c r="C40280" s="74" t="s">
        <v>422</v>
      </c>
    </row>
    <row r="40281" spans="1:3">
      <c r="A40281" s="250">
        <v>96771</v>
      </c>
      <c r="B40281" s="74" t="s">
        <v>14405</v>
      </c>
      <c r="C40281" s="74" t="s">
        <v>422</v>
      </c>
    </row>
    <row r="40282" spans="1:3">
      <c r="A40282" s="250">
        <v>96772</v>
      </c>
      <c r="B40282" s="74" t="s">
        <v>18506</v>
      </c>
      <c r="C40282" s="74" t="s">
        <v>422</v>
      </c>
    </row>
    <row r="40283" spans="1:3">
      <c r="A40283" s="250">
        <v>96773</v>
      </c>
      <c r="B40283" s="74" t="s">
        <v>18507</v>
      </c>
      <c r="C40283" s="74" t="s">
        <v>422</v>
      </c>
    </row>
    <row r="40284" spans="1:3">
      <c r="A40284" s="250">
        <v>96774</v>
      </c>
      <c r="B40284" s="74" t="s">
        <v>18508</v>
      </c>
      <c r="C40284" s="74" t="s">
        <v>422</v>
      </c>
    </row>
    <row r="40285" spans="1:3">
      <c r="A40285" s="250">
        <v>96776</v>
      </c>
      <c r="B40285" s="74" t="s">
        <v>18509</v>
      </c>
      <c r="C40285" s="74" t="s">
        <v>422</v>
      </c>
    </row>
    <row r="40286" spans="1:3">
      <c r="A40286" s="250">
        <v>96777</v>
      </c>
      <c r="B40286" s="74" t="s">
        <v>18510</v>
      </c>
      <c r="C40286" s="74" t="s">
        <v>422</v>
      </c>
    </row>
    <row r="40287" spans="1:3">
      <c r="A40287" s="250">
        <v>96778</v>
      </c>
      <c r="B40287" s="74" t="s">
        <v>18511</v>
      </c>
      <c r="C40287" s="74" t="s">
        <v>422</v>
      </c>
    </row>
    <row r="40288" spans="1:3">
      <c r="A40288" s="250">
        <v>96779</v>
      </c>
      <c r="B40288" s="74" t="s">
        <v>18512</v>
      </c>
      <c r="C40288" s="74" t="s">
        <v>422</v>
      </c>
    </row>
    <row r="40289" spans="1:3">
      <c r="A40289" s="250">
        <v>96780</v>
      </c>
      <c r="B40289" s="74" t="s">
        <v>18513</v>
      </c>
      <c r="C40289" s="74" t="s">
        <v>422</v>
      </c>
    </row>
    <row r="40290" spans="1:3">
      <c r="A40290" s="250">
        <v>96781</v>
      </c>
      <c r="B40290" s="74" t="s">
        <v>18514</v>
      </c>
      <c r="C40290" s="74" t="s">
        <v>422</v>
      </c>
    </row>
    <row r="40291" spans="1:3">
      <c r="A40291" s="250">
        <v>96782</v>
      </c>
      <c r="B40291" s="74" t="s">
        <v>13617</v>
      </c>
      <c r="C40291" s="74" t="s">
        <v>422</v>
      </c>
    </row>
    <row r="40292" spans="1:3">
      <c r="A40292" s="250">
        <v>96783</v>
      </c>
      <c r="B40292" s="74" t="s">
        <v>18515</v>
      </c>
      <c r="C40292" s="74" t="s">
        <v>422</v>
      </c>
    </row>
    <row r="40293" spans="1:3">
      <c r="A40293" s="250">
        <v>96784</v>
      </c>
      <c r="B40293" s="74" t="s">
        <v>18516</v>
      </c>
      <c r="C40293" s="74" t="s">
        <v>422</v>
      </c>
    </row>
    <row r="40294" spans="1:3">
      <c r="A40294" s="250">
        <v>96785</v>
      </c>
      <c r="B40294" s="74" t="s">
        <v>18314</v>
      </c>
      <c r="C40294" s="74" t="s">
        <v>422</v>
      </c>
    </row>
    <row r="40295" spans="1:3">
      <c r="A40295" s="250">
        <v>96786</v>
      </c>
      <c r="B40295" s="74" t="s">
        <v>18517</v>
      </c>
      <c r="C40295" s="74" t="s">
        <v>422</v>
      </c>
    </row>
    <row r="40296" spans="1:3">
      <c r="A40296" s="250">
        <v>96788</v>
      </c>
      <c r="B40296" s="74" t="s">
        <v>18518</v>
      </c>
      <c r="C40296" s="74" t="s">
        <v>422</v>
      </c>
    </row>
    <row r="40297" spans="1:3">
      <c r="A40297" s="250">
        <v>96789</v>
      </c>
      <c r="B40297" s="74" t="s">
        <v>18519</v>
      </c>
      <c r="C40297" s="74" t="s">
        <v>422</v>
      </c>
    </row>
    <row r="40298" spans="1:3">
      <c r="A40298" s="250">
        <v>96790</v>
      </c>
      <c r="B40298" s="74" t="s">
        <v>18520</v>
      </c>
      <c r="C40298" s="74" t="s">
        <v>422</v>
      </c>
    </row>
    <row r="40299" spans="1:3">
      <c r="A40299" s="250">
        <v>96791</v>
      </c>
      <c r="B40299" s="74" t="s">
        <v>18521</v>
      </c>
      <c r="C40299" s="74" t="s">
        <v>422</v>
      </c>
    </row>
    <row r="40300" spans="1:3">
      <c r="A40300" s="250">
        <v>96792</v>
      </c>
      <c r="B40300" s="74" t="s">
        <v>18522</v>
      </c>
      <c r="C40300" s="74" t="s">
        <v>422</v>
      </c>
    </row>
    <row r="40301" spans="1:3">
      <c r="A40301" s="250">
        <v>96793</v>
      </c>
      <c r="B40301" s="74" t="s">
        <v>18523</v>
      </c>
      <c r="C40301" s="74" t="s">
        <v>422</v>
      </c>
    </row>
    <row r="40302" spans="1:3">
      <c r="A40302" s="250">
        <v>96795</v>
      </c>
      <c r="B40302" s="74" t="s">
        <v>18524</v>
      </c>
      <c r="C40302" s="74" t="s">
        <v>422</v>
      </c>
    </row>
    <row r="40303" spans="1:3">
      <c r="A40303" s="250">
        <v>96796</v>
      </c>
      <c r="B40303" s="74" t="s">
        <v>18525</v>
      </c>
      <c r="C40303" s="74" t="s">
        <v>422</v>
      </c>
    </row>
    <row r="40304" spans="1:3">
      <c r="A40304" s="250">
        <v>96797</v>
      </c>
      <c r="B40304" s="74" t="s">
        <v>18526</v>
      </c>
      <c r="C40304" s="74" t="s">
        <v>422</v>
      </c>
    </row>
    <row r="40305" spans="1:3">
      <c r="A40305" s="250">
        <v>96799</v>
      </c>
      <c r="B40305" s="74" t="s">
        <v>18527</v>
      </c>
      <c r="C40305" s="74" t="s">
        <v>18528</v>
      </c>
    </row>
    <row r="40306" spans="1:3">
      <c r="A40306" s="250">
        <v>96801</v>
      </c>
      <c r="B40306" s="74" t="s">
        <v>18529</v>
      </c>
      <c r="C40306" s="74" t="s">
        <v>422</v>
      </c>
    </row>
    <row r="40307" spans="1:3">
      <c r="A40307" s="250">
        <v>96802</v>
      </c>
      <c r="B40307" s="74" t="s">
        <v>18529</v>
      </c>
      <c r="C40307" s="74" t="s">
        <v>422</v>
      </c>
    </row>
    <row r="40308" spans="1:3">
      <c r="A40308" s="250">
        <v>96803</v>
      </c>
      <c r="B40308" s="74" t="s">
        <v>18529</v>
      </c>
      <c r="C40308" s="74" t="s">
        <v>422</v>
      </c>
    </row>
    <row r="40309" spans="1:3">
      <c r="A40309" s="250">
        <v>96804</v>
      </c>
      <c r="B40309" s="74" t="s">
        <v>18529</v>
      </c>
      <c r="C40309" s="74" t="s">
        <v>422</v>
      </c>
    </row>
    <row r="40310" spans="1:3">
      <c r="A40310" s="250">
        <v>96805</v>
      </c>
      <c r="B40310" s="74" t="s">
        <v>18529</v>
      </c>
      <c r="C40310" s="74" t="s">
        <v>422</v>
      </c>
    </row>
    <row r="40311" spans="1:3">
      <c r="A40311" s="250">
        <v>96806</v>
      </c>
      <c r="B40311" s="74" t="s">
        <v>18529</v>
      </c>
      <c r="C40311" s="74" t="s">
        <v>422</v>
      </c>
    </row>
    <row r="40312" spans="1:3">
      <c r="A40312" s="250">
        <v>96807</v>
      </c>
      <c r="B40312" s="74" t="s">
        <v>18529</v>
      </c>
      <c r="C40312" s="74" t="s">
        <v>422</v>
      </c>
    </row>
    <row r="40313" spans="1:3">
      <c r="A40313" s="250">
        <v>96808</v>
      </c>
      <c r="B40313" s="74" t="s">
        <v>18529</v>
      </c>
      <c r="C40313" s="74" t="s">
        <v>422</v>
      </c>
    </row>
    <row r="40314" spans="1:3">
      <c r="A40314" s="250">
        <v>96809</v>
      </c>
      <c r="B40314" s="74" t="s">
        <v>18529</v>
      </c>
      <c r="C40314" s="74" t="s">
        <v>422</v>
      </c>
    </row>
    <row r="40315" spans="1:3">
      <c r="A40315" s="250">
        <v>96810</v>
      </c>
      <c r="B40315" s="74" t="s">
        <v>18529</v>
      </c>
      <c r="C40315" s="74" t="s">
        <v>422</v>
      </c>
    </row>
    <row r="40316" spans="1:3">
      <c r="A40316" s="250">
        <v>96811</v>
      </c>
      <c r="B40316" s="74" t="s">
        <v>18529</v>
      </c>
      <c r="C40316" s="74" t="s">
        <v>422</v>
      </c>
    </row>
    <row r="40317" spans="1:3">
      <c r="A40317" s="250">
        <v>96812</v>
      </c>
      <c r="B40317" s="74" t="s">
        <v>18529</v>
      </c>
      <c r="C40317" s="74" t="s">
        <v>422</v>
      </c>
    </row>
    <row r="40318" spans="1:3">
      <c r="A40318" s="250">
        <v>96813</v>
      </c>
      <c r="B40318" s="74" t="s">
        <v>18529</v>
      </c>
      <c r="C40318" s="74" t="s">
        <v>422</v>
      </c>
    </row>
    <row r="40319" spans="1:3">
      <c r="A40319" s="250">
        <v>96814</v>
      </c>
      <c r="B40319" s="74" t="s">
        <v>18529</v>
      </c>
      <c r="C40319" s="74" t="s">
        <v>422</v>
      </c>
    </row>
    <row r="40320" spans="1:3">
      <c r="A40320" s="250">
        <v>96815</v>
      </c>
      <c r="B40320" s="74" t="s">
        <v>18529</v>
      </c>
      <c r="C40320" s="74" t="s">
        <v>422</v>
      </c>
    </row>
    <row r="40321" spans="1:3">
      <c r="A40321" s="250">
        <v>96816</v>
      </c>
      <c r="B40321" s="74" t="s">
        <v>18529</v>
      </c>
      <c r="C40321" s="74" t="s">
        <v>422</v>
      </c>
    </row>
    <row r="40322" spans="1:3">
      <c r="A40322" s="250">
        <v>96817</v>
      </c>
      <c r="B40322" s="74" t="s">
        <v>18529</v>
      </c>
      <c r="C40322" s="74" t="s">
        <v>422</v>
      </c>
    </row>
    <row r="40323" spans="1:3">
      <c r="A40323" s="250">
        <v>96818</v>
      </c>
      <c r="B40323" s="74" t="s">
        <v>18529</v>
      </c>
      <c r="C40323" s="74" t="s">
        <v>422</v>
      </c>
    </row>
    <row r="40324" spans="1:3">
      <c r="A40324" s="250">
        <v>96819</v>
      </c>
      <c r="B40324" s="74" t="s">
        <v>18529</v>
      </c>
      <c r="C40324" s="74" t="s">
        <v>422</v>
      </c>
    </row>
    <row r="40325" spans="1:3">
      <c r="A40325" s="250">
        <v>96820</v>
      </c>
      <c r="B40325" s="74" t="s">
        <v>18529</v>
      </c>
      <c r="C40325" s="74" t="s">
        <v>422</v>
      </c>
    </row>
    <row r="40326" spans="1:3">
      <c r="A40326" s="250">
        <v>96821</v>
      </c>
      <c r="B40326" s="74" t="s">
        <v>18529</v>
      </c>
      <c r="C40326" s="74" t="s">
        <v>422</v>
      </c>
    </row>
    <row r="40327" spans="1:3">
      <c r="A40327" s="250">
        <v>96822</v>
      </c>
      <c r="B40327" s="74" t="s">
        <v>18529</v>
      </c>
      <c r="C40327" s="74" t="s">
        <v>422</v>
      </c>
    </row>
    <row r="40328" spans="1:3">
      <c r="A40328" s="250">
        <v>96823</v>
      </c>
      <c r="B40328" s="74" t="s">
        <v>18529</v>
      </c>
      <c r="C40328" s="74" t="s">
        <v>422</v>
      </c>
    </row>
    <row r="40329" spans="1:3">
      <c r="A40329" s="250">
        <v>96824</v>
      </c>
      <c r="B40329" s="74" t="s">
        <v>18529</v>
      </c>
      <c r="C40329" s="74" t="s">
        <v>422</v>
      </c>
    </row>
    <row r="40330" spans="1:3">
      <c r="A40330" s="250">
        <v>96825</v>
      </c>
      <c r="B40330" s="74" t="s">
        <v>18529</v>
      </c>
      <c r="C40330" s="74" t="s">
        <v>422</v>
      </c>
    </row>
    <row r="40331" spans="1:3">
      <c r="A40331" s="250">
        <v>96826</v>
      </c>
      <c r="B40331" s="74" t="s">
        <v>18529</v>
      </c>
      <c r="C40331" s="74" t="s">
        <v>422</v>
      </c>
    </row>
    <row r="40332" spans="1:3">
      <c r="A40332" s="250">
        <v>96827</v>
      </c>
      <c r="B40332" s="74" t="s">
        <v>18529</v>
      </c>
      <c r="C40332" s="74" t="s">
        <v>422</v>
      </c>
    </row>
    <row r="40333" spans="1:3">
      <c r="A40333" s="250">
        <v>96828</v>
      </c>
      <c r="B40333" s="74" t="s">
        <v>18529</v>
      </c>
      <c r="C40333" s="74" t="s">
        <v>422</v>
      </c>
    </row>
    <row r="40334" spans="1:3">
      <c r="A40334" s="250">
        <v>96830</v>
      </c>
      <c r="B40334" s="74" t="s">
        <v>18529</v>
      </c>
      <c r="C40334" s="74" t="s">
        <v>422</v>
      </c>
    </row>
    <row r="40335" spans="1:3">
      <c r="A40335" s="250">
        <v>96835</v>
      </c>
      <c r="B40335" s="74" t="s">
        <v>18529</v>
      </c>
      <c r="C40335" s="74" t="s">
        <v>422</v>
      </c>
    </row>
    <row r="40336" spans="1:3">
      <c r="A40336" s="250">
        <v>96836</v>
      </c>
      <c r="B40336" s="74" t="s">
        <v>18529</v>
      </c>
      <c r="C40336" s="74" t="s">
        <v>422</v>
      </c>
    </row>
    <row r="40337" spans="1:3">
      <c r="A40337" s="250">
        <v>96837</v>
      </c>
      <c r="B40337" s="74" t="s">
        <v>18529</v>
      </c>
      <c r="C40337" s="74" t="s">
        <v>422</v>
      </c>
    </row>
    <row r="40338" spans="1:3">
      <c r="A40338" s="250">
        <v>96838</v>
      </c>
      <c r="B40338" s="74" t="s">
        <v>18529</v>
      </c>
      <c r="C40338" s="74" t="s">
        <v>422</v>
      </c>
    </row>
    <row r="40339" spans="1:3">
      <c r="A40339" s="250">
        <v>96839</v>
      </c>
      <c r="B40339" s="74" t="s">
        <v>18529</v>
      </c>
      <c r="C40339" s="74" t="s">
        <v>422</v>
      </c>
    </row>
    <row r="40340" spans="1:3">
      <c r="A40340" s="250">
        <v>96840</v>
      </c>
      <c r="B40340" s="74" t="s">
        <v>18529</v>
      </c>
      <c r="C40340" s="74" t="s">
        <v>422</v>
      </c>
    </row>
    <row r="40341" spans="1:3">
      <c r="A40341" s="250">
        <v>96841</v>
      </c>
      <c r="B40341" s="74" t="s">
        <v>18529</v>
      </c>
      <c r="C40341" s="74" t="s">
        <v>422</v>
      </c>
    </row>
    <row r="40342" spans="1:3">
      <c r="A40342" s="250">
        <v>96843</v>
      </c>
      <c r="B40342" s="74" t="s">
        <v>18529</v>
      </c>
      <c r="C40342" s="74" t="s">
        <v>422</v>
      </c>
    </row>
    <row r="40343" spans="1:3">
      <c r="A40343" s="250">
        <v>96844</v>
      </c>
      <c r="B40343" s="74" t="s">
        <v>18529</v>
      </c>
      <c r="C40343" s="74" t="s">
        <v>422</v>
      </c>
    </row>
    <row r="40344" spans="1:3">
      <c r="A40344" s="250">
        <v>96846</v>
      </c>
      <c r="B40344" s="74" t="s">
        <v>18529</v>
      </c>
      <c r="C40344" s="74" t="s">
        <v>422</v>
      </c>
    </row>
    <row r="40345" spans="1:3">
      <c r="A40345" s="250">
        <v>96847</v>
      </c>
      <c r="B40345" s="74" t="s">
        <v>18529</v>
      </c>
      <c r="C40345" s="74" t="s">
        <v>422</v>
      </c>
    </row>
    <row r="40346" spans="1:3">
      <c r="A40346" s="250">
        <v>96848</v>
      </c>
      <c r="B40346" s="74" t="s">
        <v>18529</v>
      </c>
      <c r="C40346" s="74" t="s">
        <v>422</v>
      </c>
    </row>
    <row r="40347" spans="1:3">
      <c r="A40347" s="250">
        <v>96849</v>
      </c>
      <c r="B40347" s="74" t="s">
        <v>18529</v>
      </c>
      <c r="C40347" s="74" t="s">
        <v>422</v>
      </c>
    </row>
    <row r="40348" spans="1:3">
      <c r="A40348" s="250">
        <v>96850</v>
      </c>
      <c r="B40348" s="74" t="s">
        <v>18529</v>
      </c>
      <c r="C40348" s="74" t="s">
        <v>422</v>
      </c>
    </row>
    <row r="40349" spans="1:3">
      <c r="A40349" s="250">
        <v>96853</v>
      </c>
      <c r="B40349" s="74" t="s">
        <v>18530</v>
      </c>
      <c r="C40349" s="74" t="s">
        <v>422</v>
      </c>
    </row>
    <row r="40350" spans="1:3">
      <c r="A40350" s="250">
        <v>96854</v>
      </c>
      <c r="B40350" s="74" t="s">
        <v>18531</v>
      </c>
      <c r="C40350" s="74" t="s">
        <v>422</v>
      </c>
    </row>
    <row r="40351" spans="1:3">
      <c r="A40351" s="250">
        <v>96857</v>
      </c>
      <c r="B40351" s="74" t="s">
        <v>18532</v>
      </c>
      <c r="C40351" s="74" t="s">
        <v>422</v>
      </c>
    </row>
    <row r="40352" spans="1:3">
      <c r="A40352" s="250">
        <v>96858</v>
      </c>
      <c r="B40352" s="74" t="s">
        <v>18533</v>
      </c>
      <c r="C40352" s="74" t="s">
        <v>422</v>
      </c>
    </row>
    <row r="40353" spans="1:3">
      <c r="A40353" s="250">
        <v>96859</v>
      </c>
      <c r="B40353" s="74" t="s">
        <v>18534</v>
      </c>
      <c r="C40353" s="74" t="s">
        <v>422</v>
      </c>
    </row>
    <row r="40354" spans="1:3">
      <c r="A40354" s="250">
        <v>96860</v>
      </c>
      <c r="B40354" s="74" t="s">
        <v>18530</v>
      </c>
      <c r="C40354" s="74" t="s">
        <v>422</v>
      </c>
    </row>
    <row r="40355" spans="1:3">
      <c r="A40355" s="250">
        <v>96861</v>
      </c>
      <c r="B40355" s="74" t="s">
        <v>18535</v>
      </c>
      <c r="C40355" s="74" t="s">
        <v>422</v>
      </c>
    </row>
    <row r="40356" spans="1:3">
      <c r="A40356" s="250">
        <v>96863</v>
      </c>
      <c r="B40356" s="74" t="s">
        <v>18536</v>
      </c>
      <c r="C40356" s="74" t="s">
        <v>422</v>
      </c>
    </row>
    <row r="40357" spans="1:3">
      <c r="A40357" s="250">
        <v>96898</v>
      </c>
      <c r="B40357" s="74" t="s">
        <v>18537</v>
      </c>
      <c r="C40357" s="74" t="s">
        <v>422</v>
      </c>
    </row>
    <row r="40358" spans="1:3">
      <c r="A40358" s="250">
        <v>96910</v>
      </c>
      <c r="B40358" s="74" t="s">
        <v>18538</v>
      </c>
      <c r="C40358" s="74" t="s">
        <v>18539</v>
      </c>
    </row>
    <row r="40359" spans="1:3">
      <c r="A40359" s="250">
        <v>96912</v>
      </c>
      <c r="B40359" s="74" t="s">
        <v>18540</v>
      </c>
      <c r="C40359" s="74" t="s">
        <v>18539</v>
      </c>
    </row>
    <row r="40360" spans="1:3">
      <c r="A40360" s="250">
        <v>96913</v>
      </c>
      <c r="B40360" s="74" t="s">
        <v>18541</v>
      </c>
      <c r="C40360" s="74" t="s">
        <v>18539</v>
      </c>
    </row>
    <row r="40361" spans="1:3">
      <c r="A40361" s="250">
        <v>96915</v>
      </c>
      <c r="B40361" s="74" t="s">
        <v>18542</v>
      </c>
      <c r="C40361" s="74" t="s">
        <v>18539</v>
      </c>
    </row>
    <row r="40362" spans="1:3">
      <c r="A40362" s="250">
        <v>96916</v>
      </c>
      <c r="B40362" s="74" t="s">
        <v>18543</v>
      </c>
      <c r="C40362" s="74" t="s">
        <v>18539</v>
      </c>
    </row>
    <row r="40363" spans="1:3">
      <c r="A40363" s="250">
        <v>96917</v>
      </c>
      <c r="B40363" s="74" t="s">
        <v>18544</v>
      </c>
      <c r="C40363" s="74" t="s">
        <v>18539</v>
      </c>
    </row>
    <row r="40364" spans="1:3">
      <c r="A40364" s="250">
        <v>96919</v>
      </c>
      <c r="B40364" s="74" t="s">
        <v>18545</v>
      </c>
      <c r="C40364" s="74" t="s">
        <v>18539</v>
      </c>
    </row>
    <row r="40365" spans="1:3">
      <c r="A40365" s="250">
        <v>96921</v>
      </c>
      <c r="B40365" s="74" t="s">
        <v>18541</v>
      </c>
      <c r="C40365" s="74" t="s">
        <v>18539</v>
      </c>
    </row>
    <row r="40366" spans="1:3">
      <c r="A40366" s="250">
        <v>96923</v>
      </c>
      <c r="B40366" s="74" t="s">
        <v>18546</v>
      </c>
      <c r="C40366" s="74" t="s">
        <v>18539</v>
      </c>
    </row>
    <row r="40367" spans="1:3">
      <c r="A40367" s="250">
        <v>96928</v>
      </c>
      <c r="B40367" s="74" t="s">
        <v>18547</v>
      </c>
      <c r="C40367" s="74" t="s">
        <v>18539</v>
      </c>
    </row>
    <row r="40368" spans="1:3">
      <c r="A40368" s="250">
        <v>96929</v>
      </c>
      <c r="B40368" s="74" t="s">
        <v>18548</v>
      </c>
      <c r="C40368" s="74" t="s">
        <v>18539</v>
      </c>
    </row>
    <row r="40369" spans="1:3">
      <c r="A40369" s="250">
        <v>96931</v>
      </c>
      <c r="B40369" s="74" t="s">
        <v>18549</v>
      </c>
      <c r="C40369" s="74" t="s">
        <v>18539</v>
      </c>
    </row>
    <row r="40370" spans="1:3">
      <c r="A40370" s="250">
        <v>96932</v>
      </c>
      <c r="B40370" s="74" t="s">
        <v>18538</v>
      </c>
      <c r="C40370" s="74" t="s">
        <v>18539</v>
      </c>
    </row>
    <row r="40371" spans="1:3">
      <c r="A40371" s="250">
        <v>96939</v>
      </c>
      <c r="B40371" s="74" t="s">
        <v>18550</v>
      </c>
      <c r="C40371" s="74" t="s">
        <v>18551</v>
      </c>
    </row>
    <row r="40372" spans="1:3">
      <c r="A40372" s="250">
        <v>96940</v>
      </c>
      <c r="B40372" s="74" t="s">
        <v>18550</v>
      </c>
      <c r="C40372" s="74" t="s">
        <v>18551</v>
      </c>
    </row>
    <row r="40373" spans="1:3">
      <c r="A40373" s="250">
        <v>96941</v>
      </c>
      <c r="B40373" s="74" t="s">
        <v>18552</v>
      </c>
      <c r="C40373" s="74" t="s">
        <v>18553</v>
      </c>
    </row>
    <row r="40374" spans="1:3">
      <c r="A40374" s="250">
        <v>96942</v>
      </c>
      <c r="B40374" s="74" t="s">
        <v>18554</v>
      </c>
      <c r="C40374" s="74" t="s">
        <v>18553</v>
      </c>
    </row>
    <row r="40375" spans="1:3">
      <c r="A40375" s="250">
        <v>96943</v>
      </c>
      <c r="B40375" s="74" t="s">
        <v>18555</v>
      </c>
      <c r="C40375" s="74" t="s">
        <v>18553</v>
      </c>
    </row>
    <row r="40376" spans="1:3">
      <c r="A40376" s="250">
        <v>96944</v>
      </c>
      <c r="B40376" s="74" t="s">
        <v>18556</v>
      </c>
      <c r="C40376" s="74" t="s">
        <v>18553</v>
      </c>
    </row>
    <row r="40377" spans="1:3">
      <c r="A40377" s="250">
        <v>96950</v>
      </c>
      <c r="B40377" s="74" t="s">
        <v>18557</v>
      </c>
      <c r="C40377" s="74" t="s">
        <v>18558</v>
      </c>
    </row>
    <row r="40378" spans="1:3">
      <c r="A40378" s="250">
        <v>96951</v>
      </c>
      <c r="B40378" s="74" t="s">
        <v>18559</v>
      </c>
      <c r="C40378" s="74" t="s">
        <v>18558</v>
      </c>
    </row>
    <row r="40379" spans="1:3">
      <c r="A40379" s="250">
        <v>96952</v>
      </c>
      <c r="B40379" s="74" t="s">
        <v>18560</v>
      </c>
      <c r="C40379" s="74" t="s">
        <v>18558</v>
      </c>
    </row>
    <row r="40380" spans="1:3">
      <c r="A40380" s="250">
        <v>96960</v>
      </c>
      <c r="B40380" s="74" t="s">
        <v>18561</v>
      </c>
      <c r="C40380" s="74" t="s">
        <v>18562</v>
      </c>
    </row>
    <row r="40381" spans="1:3">
      <c r="A40381" s="250">
        <v>96970</v>
      </c>
      <c r="B40381" s="74" t="s">
        <v>18563</v>
      </c>
      <c r="C40381" s="74" t="s">
        <v>18562</v>
      </c>
    </row>
    <row r="40382" spans="1:3">
      <c r="A40382" s="250">
        <v>97001</v>
      </c>
      <c r="B40382" s="74" t="s">
        <v>13259</v>
      </c>
      <c r="C40382" s="74" t="s">
        <v>341</v>
      </c>
    </row>
    <row r="40383" spans="1:3">
      <c r="A40383" s="250">
        <v>97002</v>
      </c>
      <c r="B40383" s="74" t="s">
        <v>1489</v>
      </c>
      <c r="C40383" s="74" t="s">
        <v>341</v>
      </c>
    </row>
    <row r="40384" spans="1:3">
      <c r="A40384" s="250">
        <v>97004</v>
      </c>
      <c r="B40384" s="74" t="s">
        <v>18564</v>
      </c>
      <c r="C40384" s="74" t="s">
        <v>341</v>
      </c>
    </row>
    <row r="40385" spans="1:3">
      <c r="A40385" s="250">
        <v>97005</v>
      </c>
      <c r="B40385" s="74" t="s">
        <v>8707</v>
      </c>
      <c r="C40385" s="74" t="s">
        <v>341</v>
      </c>
    </row>
    <row r="40386" spans="1:3">
      <c r="A40386" s="250">
        <v>97006</v>
      </c>
      <c r="B40386" s="74" t="s">
        <v>8707</v>
      </c>
      <c r="C40386" s="74" t="s">
        <v>341</v>
      </c>
    </row>
    <row r="40387" spans="1:3">
      <c r="A40387" s="250">
        <v>97007</v>
      </c>
      <c r="B40387" s="74" t="s">
        <v>8707</v>
      </c>
      <c r="C40387" s="74" t="s">
        <v>341</v>
      </c>
    </row>
    <row r="40388" spans="1:3">
      <c r="A40388" s="250">
        <v>97008</v>
      </c>
      <c r="B40388" s="74" t="s">
        <v>8707</v>
      </c>
      <c r="C40388" s="74" t="s">
        <v>341</v>
      </c>
    </row>
    <row r="40389" spans="1:3">
      <c r="A40389" s="250">
        <v>97009</v>
      </c>
      <c r="B40389" s="74" t="s">
        <v>5655</v>
      </c>
      <c r="C40389" s="74" t="s">
        <v>341</v>
      </c>
    </row>
    <row r="40390" spans="1:3">
      <c r="A40390" s="250">
        <v>97010</v>
      </c>
      <c r="B40390" s="74" t="s">
        <v>18565</v>
      </c>
      <c r="C40390" s="74" t="s">
        <v>341</v>
      </c>
    </row>
    <row r="40391" spans="1:3">
      <c r="A40391" s="250">
        <v>97011</v>
      </c>
      <c r="B40391" s="74" t="s">
        <v>5958</v>
      </c>
      <c r="C40391" s="74" t="s">
        <v>341</v>
      </c>
    </row>
    <row r="40392" spans="1:3">
      <c r="A40392" s="250">
        <v>97013</v>
      </c>
      <c r="B40392" s="74" t="s">
        <v>12601</v>
      </c>
      <c r="C40392" s="74" t="s">
        <v>341</v>
      </c>
    </row>
    <row r="40393" spans="1:3">
      <c r="A40393" s="250">
        <v>97014</v>
      </c>
      <c r="B40393" s="74" t="s">
        <v>18566</v>
      </c>
      <c r="C40393" s="74" t="s">
        <v>341</v>
      </c>
    </row>
    <row r="40394" spans="1:3">
      <c r="A40394" s="250">
        <v>97015</v>
      </c>
      <c r="B40394" s="74" t="s">
        <v>18567</v>
      </c>
      <c r="C40394" s="74" t="s">
        <v>341</v>
      </c>
    </row>
    <row r="40395" spans="1:3">
      <c r="A40395" s="250">
        <v>97016</v>
      </c>
      <c r="B40395" s="74" t="s">
        <v>18568</v>
      </c>
      <c r="C40395" s="74" t="s">
        <v>341</v>
      </c>
    </row>
    <row r="40396" spans="1:3">
      <c r="A40396" s="250">
        <v>97017</v>
      </c>
      <c r="B40396" s="74" t="s">
        <v>3536</v>
      </c>
      <c r="C40396" s="74" t="s">
        <v>341</v>
      </c>
    </row>
    <row r="40397" spans="1:3">
      <c r="A40397" s="250">
        <v>97018</v>
      </c>
      <c r="B40397" s="74" t="s">
        <v>10729</v>
      </c>
      <c r="C40397" s="74" t="s">
        <v>341</v>
      </c>
    </row>
    <row r="40398" spans="1:3">
      <c r="A40398" s="250">
        <v>97019</v>
      </c>
      <c r="B40398" s="74" t="s">
        <v>18569</v>
      </c>
      <c r="C40398" s="74" t="s">
        <v>341</v>
      </c>
    </row>
    <row r="40399" spans="1:3">
      <c r="A40399" s="250">
        <v>97020</v>
      </c>
      <c r="B40399" s="74" t="s">
        <v>18570</v>
      </c>
      <c r="C40399" s="74" t="s">
        <v>341</v>
      </c>
    </row>
    <row r="40400" spans="1:3">
      <c r="A40400" s="250">
        <v>97021</v>
      </c>
      <c r="B40400" s="74" t="s">
        <v>18571</v>
      </c>
      <c r="C40400" s="74" t="s">
        <v>341</v>
      </c>
    </row>
    <row r="40401" spans="1:3">
      <c r="A40401" s="250">
        <v>97022</v>
      </c>
      <c r="B40401" s="74" t="s">
        <v>18572</v>
      </c>
      <c r="C40401" s="74" t="s">
        <v>341</v>
      </c>
    </row>
    <row r="40402" spans="1:3">
      <c r="A40402" s="250">
        <v>97023</v>
      </c>
      <c r="B40402" s="74" t="s">
        <v>18573</v>
      </c>
      <c r="C40402" s="74" t="s">
        <v>341</v>
      </c>
    </row>
    <row r="40403" spans="1:3">
      <c r="A40403" s="250">
        <v>97024</v>
      </c>
      <c r="B40403" s="74" t="s">
        <v>2122</v>
      </c>
      <c r="C40403" s="74" t="s">
        <v>341</v>
      </c>
    </row>
    <row r="40404" spans="1:3">
      <c r="A40404" s="250">
        <v>97026</v>
      </c>
      <c r="B40404" s="74" t="s">
        <v>18574</v>
      </c>
      <c r="C40404" s="74" t="s">
        <v>341</v>
      </c>
    </row>
    <row r="40405" spans="1:3">
      <c r="A40405" s="250">
        <v>97027</v>
      </c>
      <c r="B40405" s="74" t="s">
        <v>2345</v>
      </c>
      <c r="C40405" s="74" t="s">
        <v>341</v>
      </c>
    </row>
    <row r="40406" spans="1:3">
      <c r="A40406" s="250">
        <v>97028</v>
      </c>
      <c r="B40406" s="74" t="s">
        <v>18575</v>
      </c>
      <c r="C40406" s="74" t="s">
        <v>341</v>
      </c>
    </row>
    <row r="40407" spans="1:3">
      <c r="A40407" s="250">
        <v>97029</v>
      </c>
      <c r="B40407" s="74" t="s">
        <v>18350</v>
      </c>
      <c r="C40407" s="74" t="s">
        <v>341</v>
      </c>
    </row>
    <row r="40408" spans="1:3">
      <c r="A40408" s="250">
        <v>97030</v>
      </c>
      <c r="B40408" s="74" t="s">
        <v>7737</v>
      </c>
      <c r="C40408" s="74" t="s">
        <v>341</v>
      </c>
    </row>
    <row r="40409" spans="1:3">
      <c r="A40409" s="250">
        <v>97031</v>
      </c>
      <c r="B40409" s="74" t="s">
        <v>18576</v>
      </c>
      <c r="C40409" s="74" t="s">
        <v>341</v>
      </c>
    </row>
    <row r="40410" spans="1:3">
      <c r="A40410" s="250">
        <v>97032</v>
      </c>
      <c r="B40410" s="74" t="s">
        <v>10364</v>
      </c>
      <c r="C40410" s="74" t="s">
        <v>341</v>
      </c>
    </row>
    <row r="40411" spans="1:3">
      <c r="A40411" s="250">
        <v>97033</v>
      </c>
      <c r="B40411" s="74" t="s">
        <v>2084</v>
      </c>
      <c r="C40411" s="74" t="s">
        <v>341</v>
      </c>
    </row>
    <row r="40412" spans="1:3">
      <c r="A40412" s="250">
        <v>97034</v>
      </c>
      <c r="B40412" s="74" t="s">
        <v>18577</v>
      </c>
      <c r="C40412" s="74" t="s">
        <v>341</v>
      </c>
    </row>
    <row r="40413" spans="1:3">
      <c r="A40413" s="250">
        <v>97035</v>
      </c>
      <c r="B40413" s="74" t="s">
        <v>18577</v>
      </c>
      <c r="C40413" s="74" t="s">
        <v>341</v>
      </c>
    </row>
    <row r="40414" spans="1:3">
      <c r="A40414" s="250">
        <v>97036</v>
      </c>
      <c r="B40414" s="74" t="s">
        <v>18578</v>
      </c>
      <c r="C40414" s="74" t="s">
        <v>341</v>
      </c>
    </row>
    <row r="40415" spans="1:3">
      <c r="A40415" s="250">
        <v>97037</v>
      </c>
      <c r="B40415" s="74" t="s">
        <v>18579</v>
      </c>
      <c r="C40415" s="74" t="s">
        <v>341</v>
      </c>
    </row>
    <row r="40416" spans="1:3">
      <c r="A40416" s="250">
        <v>97038</v>
      </c>
      <c r="B40416" s="74" t="s">
        <v>18580</v>
      </c>
      <c r="C40416" s="74" t="s">
        <v>341</v>
      </c>
    </row>
    <row r="40417" spans="1:3">
      <c r="A40417" s="250">
        <v>97039</v>
      </c>
      <c r="B40417" s="74" t="s">
        <v>13820</v>
      </c>
      <c r="C40417" s="74" t="s">
        <v>341</v>
      </c>
    </row>
    <row r="40418" spans="1:3">
      <c r="A40418" s="250">
        <v>97040</v>
      </c>
      <c r="B40418" s="74" t="s">
        <v>18581</v>
      </c>
      <c r="C40418" s="74" t="s">
        <v>341</v>
      </c>
    </row>
    <row r="40419" spans="1:3">
      <c r="A40419" s="250">
        <v>97041</v>
      </c>
      <c r="B40419" s="74" t="s">
        <v>18582</v>
      </c>
      <c r="C40419" s="74" t="s">
        <v>341</v>
      </c>
    </row>
    <row r="40420" spans="1:3">
      <c r="A40420" s="250">
        <v>97042</v>
      </c>
      <c r="B40420" s="74" t="s">
        <v>18583</v>
      </c>
      <c r="C40420" s="74" t="s">
        <v>341</v>
      </c>
    </row>
    <row r="40421" spans="1:3">
      <c r="A40421" s="250">
        <v>97044</v>
      </c>
      <c r="B40421" s="74" t="s">
        <v>13526</v>
      </c>
      <c r="C40421" s="74" t="s">
        <v>341</v>
      </c>
    </row>
    <row r="40422" spans="1:3">
      <c r="A40422" s="250">
        <v>97045</v>
      </c>
      <c r="B40422" s="74" t="s">
        <v>18584</v>
      </c>
      <c r="C40422" s="74" t="s">
        <v>341</v>
      </c>
    </row>
    <row r="40423" spans="1:3">
      <c r="A40423" s="250">
        <v>97048</v>
      </c>
      <c r="B40423" s="74" t="s">
        <v>18585</v>
      </c>
      <c r="C40423" s="74" t="s">
        <v>341</v>
      </c>
    </row>
    <row r="40424" spans="1:3">
      <c r="A40424" s="250">
        <v>97049</v>
      </c>
      <c r="B40424" s="74" t="s">
        <v>18586</v>
      </c>
      <c r="C40424" s="74" t="s">
        <v>341</v>
      </c>
    </row>
    <row r="40425" spans="1:3">
      <c r="A40425" s="250">
        <v>97050</v>
      </c>
      <c r="B40425" s="74" t="s">
        <v>18587</v>
      </c>
      <c r="C40425" s="74" t="s">
        <v>341</v>
      </c>
    </row>
    <row r="40426" spans="1:3">
      <c r="A40426" s="250">
        <v>97051</v>
      </c>
      <c r="B40426" s="74" t="s">
        <v>9796</v>
      </c>
      <c r="C40426" s="74" t="s">
        <v>341</v>
      </c>
    </row>
    <row r="40427" spans="1:3">
      <c r="A40427" s="250">
        <v>97053</v>
      </c>
      <c r="B40427" s="74" t="s">
        <v>622</v>
      </c>
      <c r="C40427" s="74" t="s">
        <v>341</v>
      </c>
    </row>
    <row r="40428" spans="1:3">
      <c r="A40428" s="250">
        <v>97054</v>
      </c>
      <c r="B40428" s="74" t="s">
        <v>18588</v>
      </c>
      <c r="C40428" s="74" t="s">
        <v>341</v>
      </c>
    </row>
    <row r="40429" spans="1:3">
      <c r="A40429" s="250">
        <v>97055</v>
      </c>
      <c r="B40429" s="74" t="s">
        <v>17083</v>
      </c>
      <c r="C40429" s="74" t="s">
        <v>341</v>
      </c>
    </row>
    <row r="40430" spans="1:3">
      <c r="A40430" s="250">
        <v>97056</v>
      </c>
      <c r="B40430" s="74" t="s">
        <v>18589</v>
      </c>
      <c r="C40430" s="74" t="s">
        <v>341</v>
      </c>
    </row>
    <row r="40431" spans="1:3">
      <c r="A40431" s="250">
        <v>97057</v>
      </c>
      <c r="B40431" s="74" t="s">
        <v>18590</v>
      </c>
      <c r="C40431" s="74" t="s">
        <v>341</v>
      </c>
    </row>
    <row r="40432" spans="1:3">
      <c r="A40432" s="250">
        <v>97058</v>
      </c>
      <c r="B40432" s="74" t="s">
        <v>18591</v>
      </c>
      <c r="C40432" s="74" t="s">
        <v>341</v>
      </c>
    </row>
    <row r="40433" spans="1:3">
      <c r="A40433" s="250">
        <v>97060</v>
      </c>
      <c r="B40433" s="74" t="s">
        <v>6375</v>
      </c>
      <c r="C40433" s="74" t="s">
        <v>341</v>
      </c>
    </row>
    <row r="40434" spans="1:3">
      <c r="A40434" s="250">
        <v>97062</v>
      </c>
      <c r="B40434" s="74" t="s">
        <v>18592</v>
      </c>
      <c r="C40434" s="74" t="s">
        <v>341</v>
      </c>
    </row>
    <row r="40435" spans="1:3">
      <c r="A40435" s="250">
        <v>97063</v>
      </c>
      <c r="B40435" s="74" t="s">
        <v>18593</v>
      </c>
      <c r="C40435" s="74" t="s">
        <v>341</v>
      </c>
    </row>
    <row r="40436" spans="1:3">
      <c r="A40436" s="250">
        <v>97064</v>
      </c>
      <c r="B40436" s="74" t="s">
        <v>18594</v>
      </c>
      <c r="C40436" s="74" t="s">
        <v>341</v>
      </c>
    </row>
    <row r="40437" spans="1:3">
      <c r="A40437" s="250">
        <v>97065</v>
      </c>
      <c r="B40437" s="74" t="s">
        <v>13493</v>
      </c>
      <c r="C40437" s="74" t="s">
        <v>341</v>
      </c>
    </row>
    <row r="40438" spans="1:3">
      <c r="A40438" s="250">
        <v>97067</v>
      </c>
      <c r="B40438" s="74" t="s">
        <v>18595</v>
      </c>
      <c r="C40438" s="74" t="s">
        <v>341</v>
      </c>
    </row>
    <row r="40439" spans="1:3">
      <c r="A40439" s="250">
        <v>97068</v>
      </c>
      <c r="B40439" s="74" t="s">
        <v>18596</v>
      </c>
      <c r="C40439" s="74" t="s">
        <v>341</v>
      </c>
    </row>
    <row r="40440" spans="1:3">
      <c r="A40440" s="250">
        <v>97070</v>
      </c>
      <c r="B40440" s="74" t="s">
        <v>8678</v>
      </c>
      <c r="C40440" s="74" t="s">
        <v>341</v>
      </c>
    </row>
    <row r="40441" spans="1:3">
      <c r="A40441" s="250">
        <v>97071</v>
      </c>
      <c r="B40441" s="74" t="s">
        <v>9973</v>
      </c>
      <c r="C40441" s="74" t="s">
        <v>341</v>
      </c>
    </row>
    <row r="40442" spans="1:3">
      <c r="A40442" s="250">
        <v>97075</v>
      </c>
      <c r="B40442" s="74" t="s">
        <v>8707</v>
      </c>
      <c r="C40442" s="74" t="s">
        <v>341</v>
      </c>
    </row>
    <row r="40443" spans="1:3">
      <c r="A40443" s="250">
        <v>97076</v>
      </c>
      <c r="B40443" s="74" t="s">
        <v>8707</v>
      </c>
      <c r="C40443" s="74" t="s">
        <v>341</v>
      </c>
    </row>
    <row r="40444" spans="1:3">
      <c r="A40444" s="250">
        <v>97077</v>
      </c>
      <c r="B40444" s="74" t="s">
        <v>8707</v>
      </c>
      <c r="C40444" s="74" t="s">
        <v>341</v>
      </c>
    </row>
    <row r="40445" spans="1:3">
      <c r="A40445" s="250">
        <v>97078</v>
      </c>
      <c r="B40445" s="74" t="s">
        <v>8707</v>
      </c>
      <c r="C40445" s="74" t="s">
        <v>341</v>
      </c>
    </row>
    <row r="40446" spans="1:3">
      <c r="A40446" s="250">
        <v>97080</v>
      </c>
      <c r="B40446" s="74" t="s">
        <v>7737</v>
      </c>
      <c r="C40446" s="74" t="s">
        <v>341</v>
      </c>
    </row>
    <row r="40447" spans="1:3">
      <c r="A40447" s="250">
        <v>97086</v>
      </c>
      <c r="B40447" s="74" t="s">
        <v>18597</v>
      </c>
      <c r="C40447" s="74" t="s">
        <v>341</v>
      </c>
    </row>
    <row r="40448" spans="1:3">
      <c r="A40448" s="250">
        <v>97089</v>
      </c>
      <c r="B40448" s="74" t="s">
        <v>5154</v>
      </c>
      <c r="C40448" s="74" t="s">
        <v>341</v>
      </c>
    </row>
    <row r="40449" spans="1:3">
      <c r="A40449" s="250">
        <v>97101</v>
      </c>
      <c r="B40449" s="74" t="s">
        <v>4041</v>
      </c>
      <c r="C40449" s="74" t="s">
        <v>341</v>
      </c>
    </row>
    <row r="40450" spans="1:3">
      <c r="A40450" s="250">
        <v>97102</v>
      </c>
      <c r="B40450" s="74" t="s">
        <v>18598</v>
      </c>
      <c r="C40450" s="74" t="s">
        <v>341</v>
      </c>
    </row>
    <row r="40451" spans="1:3">
      <c r="A40451" s="250">
        <v>97103</v>
      </c>
      <c r="B40451" s="74" t="s">
        <v>2732</v>
      </c>
      <c r="C40451" s="74" t="s">
        <v>341</v>
      </c>
    </row>
    <row r="40452" spans="1:3">
      <c r="A40452" s="250">
        <v>97106</v>
      </c>
      <c r="B40452" s="74" t="s">
        <v>8782</v>
      </c>
      <c r="C40452" s="74" t="s">
        <v>341</v>
      </c>
    </row>
    <row r="40453" spans="1:3">
      <c r="A40453" s="250">
        <v>97107</v>
      </c>
      <c r="B40453" s="74" t="s">
        <v>11114</v>
      </c>
      <c r="C40453" s="74" t="s">
        <v>341</v>
      </c>
    </row>
    <row r="40454" spans="1:3">
      <c r="A40454" s="250">
        <v>97108</v>
      </c>
      <c r="B40454" s="74" t="s">
        <v>3962</v>
      </c>
      <c r="C40454" s="74" t="s">
        <v>341</v>
      </c>
    </row>
    <row r="40455" spans="1:3">
      <c r="A40455" s="250">
        <v>97109</v>
      </c>
      <c r="B40455" s="74" t="s">
        <v>1424</v>
      </c>
      <c r="C40455" s="74" t="s">
        <v>341</v>
      </c>
    </row>
    <row r="40456" spans="1:3">
      <c r="A40456" s="250">
        <v>97110</v>
      </c>
      <c r="B40456" s="74" t="s">
        <v>18599</v>
      </c>
      <c r="C40456" s="74" t="s">
        <v>341</v>
      </c>
    </row>
    <row r="40457" spans="1:3">
      <c r="A40457" s="250">
        <v>97111</v>
      </c>
      <c r="B40457" s="74" t="s">
        <v>4474</v>
      </c>
      <c r="C40457" s="74" t="s">
        <v>341</v>
      </c>
    </row>
    <row r="40458" spans="1:3">
      <c r="A40458" s="250">
        <v>97112</v>
      </c>
      <c r="B40458" s="74" t="s">
        <v>6265</v>
      </c>
      <c r="C40458" s="74" t="s">
        <v>341</v>
      </c>
    </row>
    <row r="40459" spans="1:3">
      <c r="A40459" s="250">
        <v>97113</v>
      </c>
      <c r="B40459" s="74" t="s">
        <v>7296</v>
      </c>
      <c r="C40459" s="74" t="s">
        <v>341</v>
      </c>
    </row>
    <row r="40460" spans="1:3">
      <c r="A40460" s="250">
        <v>97114</v>
      </c>
      <c r="B40460" s="74" t="s">
        <v>2564</v>
      </c>
      <c r="C40460" s="74" t="s">
        <v>341</v>
      </c>
    </row>
    <row r="40461" spans="1:3">
      <c r="A40461" s="250">
        <v>97115</v>
      </c>
      <c r="B40461" s="74" t="s">
        <v>3912</v>
      </c>
      <c r="C40461" s="74" t="s">
        <v>341</v>
      </c>
    </row>
    <row r="40462" spans="1:3">
      <c r="A40462" s="250">
        <v>97116</v>
      </c>
      <c r="B40462" s="74" t="s">
        <v>5268</v>
      </c>
      <c r="C40462" s="74" t="s">
        <v>341</v>
      </c>
    </row>
    <row r="40463" spans="1:3">
      <c r="A40463" s="250">
        <v>97117</v>
      </c>
      <c r="B40463" s="74" t="s">
        <v>18600</v>
      </c>
      <c r="C40463" s="74" t="s">
        <v>341</v>
      </c>
    </row>
    <row r="40464" spans="1:3">
      <c r="A40464" s="250">
        <v>97118</v>
      </c>
      <c r="B40464" s="74" t="s">
        <v>18601</v>
      </c>
      <c r="C40464" s="74" t="s">
        <v>341</v>
      </c>
    </row>
    <row r="40465" spans="1:3">
      <c r="A40465" s="250">
        <v>97119</v>
      </c>
      <c r="B40465" s="74" t="s">
        <v>7194</v>
      </c>
      <c r="C40465" s="74" t="s">
        <v>341</v>
      </c>
    </row>
    <row r="40466" spans="1:3">
      <c r="A40466" s="250">
        <v>97121</v>
      </c>
      <c r="B40466" s="74" t="s">
        <v>3553</v>
      </c>
      <c r="C40466" s="74" t="s">
        <v>341</v>
      </c>
    </row>
    <row r="40467" spans="1:3">
      <c r="A40467" s="250">
        <v>97122</v>
      </c>
      <c r="B40467" s="74" t="s">
        <v>18602</v>
      </c>
      <c r="C40467" s="74" t="s">
        <v>341</v>
      </c>
    </row>
    <row r="40468" spans="1:3">
      <c r="A40468" s="250">
        <v>97123</v>
      </c>
      <c r="B40468" s="74" t="s">
        <v>5758</v>
      </c>
      <c r="C40468" s="74" t="s">
        <v>341</v>
      </c>
    </row>
    <row r="40469" spans="1:3">
      <c r="A40469" s="250">
        <v>97124</v>
      </c>
      <c r="B40469" s="74" t="s">
        <v>5758</v>
      </c>
      <c r="C40469" s="74" t="s">
        <v>341</v>
      </c>
    </row>
    <row r="40470" spans="1:3">
      <c r="A40470" s="250">
        <v>97125</v>
      </c>
      <c r="B40470" s="74" t="s">
        <v>7630</v>
      </c>
      <c r="C40470" s="74" t="s">
        <v>341</v>
      </c>
    </row>
    <row r="40471" spans="1:3">
      <c r="A40471" s="250">
        <v>97127</v>
      </c>
      <c r="B40471" s="74" t="s">
        <v>2315</v>
      </c>
      <c r="C40471" s="74" t="s">
        <v>341</v>
      </c>
    </row>
    <row r="40472" spans="1:3">
      <c r="A40472" s="250">
        <v>97128</v>
      </c>
      <c r="B40472" s="74" t="s">
        <v>9019</v>
      </c>
      <c r="C40472" s="74" t="s">
        <v>341</v>
      </c>
    </row>
    <row r="40473" spans="1:3">
      <c r="A40473" s="250">
        <v>97130</v>
      </c>
      <c r="B40473" s="74" t="s">
        <v>18603</v>
      </c>
      <c r="C40473" s="74" t="s">
        <v>341</v>
      </c>
    </row>
    <row r="40474" spans="1:3">
      <c r="A40474" s="250">
        <v>97131</v>
      </c>
      <c r="B40474" s="74" t="s">
        <v>18604</v>
      </c>
      <c r="C40474" s="74" t="s">
        <v>341</v>
      </c>
    </row>
    <row r="40475" spans="1:3">
      <c r="A40475" s="250">
        <v>97132</v>
      </c>
      <c r="B40475" s="74" t="s">
        <v>18605</v>
      </c>
      <c r="C40475" s="74" t="s">
        <v>341</v>
      </c>
    </row>
    <row r="40476" spans="1:3">
      <c r="A40476" s="250">
        <v>97133</v>
      </c>
      <c r="B40476" s="74" t="s">
        <v>18606</v>
      </c>
      <c r="C40476" s="74" t="s">
        <v>341</v>
      </c>
    </row>
    <row r="40477" spans="1:3">
      <c r="A40477" s="250">
        <v>97134</v>
      </c>
      <c r="B40477" s="74" t="s">
        <v>2787</v>
      </c>
      <c r="C40477" s="74" t="s">
        <v>341</v>
      </c>
    </row>
    <row r="40478" spans="1:3">
      <c r="A40478" s="250">
        <v>97135</v>
      </c>
      <c r="B40478" s="74" t="s">
        <v>18607</v>
      </c>
      <c r="C40478" s="74" t="s">
        <v>341</v>
      </c>
    </row>
    <row r="40479" spans="1:3">
      <c r="A40479" s="250">
        <v>97136</v>
      </c>
      <c r="B40479" s="74" t="s">
        <v>14463</v>
      </c>
      <c r="C40479" s="74" t="s">
        <v>341</v>
      </c>
    </row>
    <row r="40480" spans="1:3">
      <c r="A40480" s="250">
        <v>97137</v>
      </c>
      <c r="B40480" s="74" t="s">
        <v>6341</v>
      </c>
      <c r="C40480" s="74" t="s">
        <v>341</v>
      </c>
    </row>
    <row r="40481" spans="1:3">
      <c r="A40481" s="250">
        <v>97138</v>
      </c>
      <c r="B40481" s="74" t="s">
        <v>18045</v>
      </c>
      <c r="C40481" s="74" t="s">
        <v>341</v>
      </c>
    </row>
    <row r="40482" spans="1:3">
      <c r="A40482" s="250">
        <v>97140</v>
      </c>
      <c r="B40482" s="74" t="s">
        <v>5774</v>
      </c>
      <c r="C40482" s="74" t="s">
        <v>341</v>
      </c>
    </row>
    <row r="40483" spans="1:3">
      <c r="A40483" s="250">
        <v>97141</v>
      </c>
      <c r="B40483" s="74" t="s">
        <v>18608</v>
      </c>
      <c r="C40483" s="74" t="s">
        <v>341</v>
      </c>
    </row>
    <row r="40484" spans="1:3">
      <c r="A40484" s="250">
        <v>97143</v>
      </c>
      <c r="B40484" s="74" t="s">
        <v>18609</v>
      </c>
      <c r="C40484" s="74" t="s">
        <v>341</v>
      </c>
    </row>
    <row r="40485" spans="1:3">
      <c r="A40485" s="250">
        <v>97144</v>
      </c>
      <c r="B40485" s="74" t="s">
        <v>18610</v>
      </c>
      <c r="C40485" s="74" t="s">
        <v>341</v>
      </c>
    </row>
    <row r="40486" spans="1:3">
      <c r="A40486" s="250">
        <v>97145</v>
      </c>
      <c r="B40486" s="74" t="s">
        <v>18611</v>
      </c>
      <c r="C40486" s="74" t="s">
        <v>341</v>
      </c>
    </row>
    <row r="40487" spans="1:3">
      <c r="A40487" s="250">
        <v>97146</v>
      </c>
      <c r="B40487" s="74" t="s">
        <v>5537</v>
      </c>
      <c r="C40487" s="74" t="s">
        <v>341</v>
      </c>
    </row>
    <row r="40488" spans="1:3">
      <c r="A40488" s="250">
        <v>97147</v>
      </c>
      <c r="B40488" s="74" t="s">
        <v>9379</v>
      </c>
      <c r="C40488" s="74" t="s">
        <v>341</v>
      </c>
    </row>
    <row r="40489" spans="1:3">
      <c r="A40489" s="250">
        <v>97148</v>
      </c>
      <c r="B40489" s="74" t="s">
        <v>18612</v>
      </c>
      <c r="C40489" s="74" t="s">
        <v>341</v>
      </c>
    </row>
    <row r="40490" spans="1:3">
      <c r="A40490" s="250">
        <v>97149</v>
      </c>
      <c r="B40490" s="74" t="s">
        <v>18613</v>
      </c>
      <c r="C40490" s="74" t="s">
        <v>341</v>
      </c>
    </row>
    <row r="40491" spans="1:3">
      <c r="A40491" s="250">
        <v>97201</v>
      </c>
      <c r="B40491" s="74" t="s">
        <v>1429</v>
      </c>
      <c r="C40491" s="74" t="s">
        <v>341</v>
      </c>
    </row>
    <row r="40492" spans="1:3">
      <c r="A40492" s="250">
        <v>97202</v>
      </c>
      <c r="B40492" s="74" t="s">
        <v>1429</v>
      </c>
      <c r="C40492" s="74" t="s">
        <v>341</v>
      </c>
    </row>
    <row r="40493" spans="1:3">
      <c r="A40493" s="250">
        <v>97203</v>
      </c>
      <c r="B40493" s="74" t="s">
        <v>1429</v>
      </c>
      <c r="C40493" s="74" t="s">
        <v>341</v>
      </c>
    </row>
    <row r="40494" spans="1:3">
      <c r="A40494" s="250">
        <v>97204</v>
      </c>
      <c r="B40494" s="74" t="s">
        <v>1429</v>
      </c>
      <c r="C40494" s="74" t="s">
        <v>341</v>
      </c>
    </row>
    <row r="40495" spans="1:3">
      <c r="A40495" s="250">
        <v>97205</v>
      </c>
      <c r="B40495" s="74" t="s">
        <v>1429</v>
      </c>
      <c r="C40495" s="74" t="s">
        <v>341</v>
      </c>
    </row>
    <row r="40496" spans="1:3">
      <c r="A40496" s="250">
        <v>97206</v>
      </c>
      <c r="B40496" s="74" t="s">
        <v>1429</v>
      </c>
      <c r="C40496" s="74" t="s">
        <v>341</v>
      </c>
    </row>
    <row r="40497" spans="1:3">
      <c r="A40497" s="250">
        <v>97207</v>
      </c>
      <c r="B40497" s="74" t="s">
        <v>1429</v>
      </c>
      <c r="C40497" s="74" t="s">
        <v>341</v>
      </c>
    </row>
    <row r="40498" spans="1:3">
      <c r="A40498" s="250">
        <v>97208</v>
      </c>
      <c r="B40498" s="74" t="s">
        <v>1429</v>
      </c>
      <c r="C40498" s="74" t="s">
        <v>341</v>
      </c>
    </row>
    <row r="40499" spans="1:3">
      <c r="A40499" s="250">
        <v>97209</v>
      </c>
      <c r="B40499" s="74" t="s">
        <v>1429</v>
      </c>
      <c r="C40499" s="74" t="s">
        <v>341</v>
      </c>
    </row>
    <row r="40500" spans="1:3">
      <c r="A40500" s="250">
        <v>97210</v>
      </c>
      <c r="B40500" s="74" t="s">
        <v>1429</v>
      </c>
      <c r="C40500" s="74" t="s">
        <v>341</v>
      </c>
    </row>
    <row r="40501" spans="1:3">
      <c r="A40501" s="250">
        <v>97211</v>
      </c>
      <c r="B40501" s="74" t="s">
        <v>1429</v>
      </c>
      <c r="C40501" s="74" t="s">
        <v>341</v>
      </c>
    </row>
    <row r="40502" spans="1:3">
      <c r="A40502" s="250">
        <v>97212</v>
      </c>
      <c r="B40502" s="74" t="s">
        <v>1429</v>
      </c>
      <c r="C40502" s="74" t="s">
        <v>341</v>
      </c>
    </row>
    <row r="40503" spans="1:3">
      <c r="A40503" s="250">
        <v>97213</v>
      </c>
      <c r="B40503" s="74" t="s">
        <v>1429</v>
      </c>
      <c r="C40503" s="74" t="s">
        <v>341</v>
      </c>
    </row>
    <row r="40504" spans="1:3">
      <c r="A40504" s="250">
        <v>97214</v>
      </c>
      <c r="B40504" s="74" t="s">
        <v>1429</v>
      </c>
      <c r="C40504" s="74" t="s">
        <v>341</v>
      </c>
    </row>
    <row r="40505" spans="1:3">
      <c r="A40505" s="250">
        <v>97215</v>
      </c>
      <c r="B40505" s="74" t="s">
        <v>1429</v>
      </c>
      <c r="C40505" s="74" t="s">
        <v>341</v>
      </c>
    </row>
    <row r="40506" spans="1:3">
      <c r="A40506" s="250">
        <v>97216</v>
      </c>
      <c r="B40506" s="74" t="s">
        <v>1429</v>
      </c>
      <c r="C40506" s="74" t="s">
        <v>341</v>
      </c>
    </row>
    <row r="40507" spans="1:3">
      <c r="A40507" s="250">
        <v>97217</v>
      </c>
      <c r="B40507" s="74" t="s">
        <v>1429</v>
      </c>
      <c r="C40507" s="74" t="s">
        <v>341</v>
      </c>
    </row>
    <row r="40508" spans="1:3">
      <c r="A40508" s="250">
        <v>97218</v>
      </c>
      <c r="B40508" s="74" t="s">
        <v>1429</v>
      </c>
      <c r="C40508" s="74" t="s">
        <v>341</v>
      </c>
    </row>
    <row r="40509" spans="1:3">
      <c r="A40509" s="250">
        <v>97219</v>
      </c>
      <c r="B40509" s="74" t="s">
        <v>1429</v>
      </c>
      <c r="C40509" s="74" t="s">
        <v>341</v>
      </c>
    </row>
    <row r="40510" spans="1:3">
      <c r="A40510" s="250">
        <v>97220</v>
      </c>
      <c r="B40510" s="74" t="s">
        <v>1429</v>
      </c>
      <c r="C40510" s="74" t="s">
        <v>341</v>
      </c>
    </row>
    <row r="40511" spans="1:3">
      <c r="A40511" s="250">
        <v>97221</v>
      </c>
      <c r="B40511" s="74" t="s">
        <v>1429</v>
      </c>
      <c r="C40511" s="74" t="s">
        <v>341</v>
      </c>
    </row>
    <row r="40512" spans="1:3">
      <c r="A40512" s="250">
        <v>97222</v>
      </c>
      <c r="B40512" s="74" t="s">
        <v>1429</v>
      </c>
      <c r="C40512" s="74" t="s">
        <v>341</v>
      </c>
    </row>
    <row r="40513" spans="1:3">
      <c r="A40513" s="250">
        <v>97223</v>
      </c>
      <c r="B40513" s="74" t="s">
        <v>1429</v>
      </c>
      <c r="C40513" s="74" t="s">
        <v>341</v>
      </c>
    </row>
    <row r="40514" spans="1:3">
      <c r="A40514" s="250">
        <v>97224</v>
      </c>
      <c r="B40514" s="74" t="s">
        <v>1429</v>
      </c>
      <c r="C40514" s="74" t="s">
        <v>341</v>
      </c>
    </row>
    <row r="40515" spans="1:3">
      <c r="A40515" s="250">
        <v>97225</v>
      </c>
      <c r="B40515" s="74" t="s">
        <v>1429</v>
      </c>
      <c r="C40515" s="74" t="s">
        <v>341</v>
      </c>
    </row>
    <row r="40516" spans="1:3">
      <c r="A40516" s="250">
        <v>97227</v>
      </c>
      <c r="B40516" s="74" t="s">
        <v>1429</v>
      </c>
      <c r="C40516" s="74" t="s">
        <v>341</v>
      </c>
    </row>
    <row r="40517" spans="1:3">
      <c r="A40517" s="250">
        <v>97228</v>
      </c>
      <c r="B40517" s="74" t="s">
        <v>1429</v>
      </c>
      <c r="C40517" s="74" t="s">
        <v>341</v>
      </c>
    </row>
    <row r="40518" spans="1:3">
      <c r="A40518" s="250">
        <v>97229</v>
      </c>
      <c r="B40518" s="74" t="s">
        <v>1429</v>
      </c>
      <c r="C40518" s="74" t="s">
        <v>341</v>
      </c>
    </row>
    <row r="40519" spans="1:3">
      <c r="A40519" s="250">
        <v>97230</v>
      </c>
      <c r="B40519" s="74" t="s">
        <v>1429</v>
      </c>
      <c r="C40519" s="74" t="s">
        <v>341</v>
      </c>
    </row>
    <row r="40520" spans="1:3">
      <c r="A40520" s="250">
        <v>97231</v>
      </c>
      <c r="B40520" s="74" t="s">
        <v>1429</v>
      </c>
      <c r="C40520" s="74" t="s">
        <v>341</v>
      </c>
    </row>
    <row r="40521" spans="1:3">
      <c r="A40521" s="250">
        <v>97232</v>
      </c>
      <c r="B40521" s="74" t="s">
        <v>1429</v>
      </c>
      <c r="C40521" s="74" t="s">
        <v>341</v>
      </c>
    </row>
    <row r="40522" spans="1:3">
      <c r="A40522" s="250">
        <v>97233</v>
      </c>
      <c r="B40522" s="74" t="s">
        <v>1429</v>
      </c>
      <c r="C40522" s="74" t="s">
        <v>341</v>
      </c>
    </row>
    <row r="40523" spans="1:3">
      <c r="A40523" s="250">
        <v>97236</v>
      </c>
      <c r="B40523" s="74" t="s">
        <v>1429</v>
      </c>
      <c r="C40523" s="74" t="s">
        <v>341</v>
      </c>
    </row>
    <row r="40524" spans="1:3">
      <c r="A40524" s="250">
        <v>97238</v>
      </c>
      <c r="B40524" s="74" t="s">
        <v>1429</v>
      </c>
      <c r="C40524" s="74" t="s">
        <v>341</v>
      </c>
    </row>
    <row r="40525" spans="1:3">
      <c r="A40525" s="250">
        <v>97239</v>
      </c>
      <c r="B40525" s="74" t="s">
        <v>1429</v>
      </c>
      <c r="C40525" s="74" t="s">
        <v>341</v>
      </c>
    </row>
    <row r="40526" spans="1:3">
      <c r="A40526" s="250">
        <v>97240</v>
      </c>
      <c r="B40526" s="74" t="s">
        <v>1429</v>
      </c>
      <c r="C40526" s="74" t="s">
        <v>341</v>
      </c>
    </row>
    <row r="40527" spans="1:3">
      <c r="A40527" s="250">
        <v>97242</v>
      </c>
      <c r="B40527" s="74" t="s">
        <v>1429</v>
      </c>
      <c r="C40527" s="74" t="s">
        <v>341</v>
      </c>
    </row>
    <row r="40528" spans="1:3">
      <c r="A40528" s="250">
        <v>97251</v>
      </c>
      <c r="B40528" s="74" t="s">
        <v>1429</v>
      </c>
      <c r="C40528" s="74" t="s">
        <v>341</v>
      </c>
    </row>
    <row r="40529" spans="1:3">
      <c r="A40529" s="250">
        <v>97253</v>
      </c>
      <c r="B40529" s="74" t="s">
        <v>1429</v>
      </c>
      <c r="C40529" s="74" t="s">
        <v>341</v>
      </c>
    </row>
    <row r="40530" spans="1:3">
      <c r="A40530" s="250">
        <v>97254</v>
      </c>
      <c r="B40530" s="74" t="s">
        <v>1429</v>
      </c>
      <c r="C40530" s="74" t="s">
        <v>341</v>
      </c>
    </row>
    <row r="40531" spans="1:3">
      <c r="A40531" s="250">
        <v>97255</v>
      </c>
      <c r="B40531" s="74" t="s">
        <v>1429</v>
      </c>
      <c r="C40531" s="74" t="s">
        <v>341</v>
      </c>
    </row>
    <row r="40532" spans="1:3">
      <c r="A40532" s="250">
        <v>97256</v>
      </c>
      <c r="B40532" s="74" t="s">
        <v>1429</v>
      </c>
      <c r="C40532" s="74" t="s">
        <v>341</v>
      </c>
    </row>
    <row r="40533" spans="1:3">
      <c r="A40533" s="250">
        <v>97258</v>
      </c>
      <c r="B40533" s="74" t="s">
        <v>1429</v>
      </c>
      <c r="C40533" s="74" t="s">
        <v>341</v>
      </c>
    </row>
    <row r="40534" spans="1:3">
      <c r="A40534" s="250">
        <v>97259</v>
      </c>
      <c r="B40534" s="74" t="s">
        <v>1429</v>
      </c>
      <c r="C40534" s="74" t="s">
        <v>341</v>
      </c>
    </row>
    <row r="40535" spans="1:3">
      <c r="A40535" s="250">
        <v>97266</v>
      </c>
      <c r="B40535" s="74" t="s">
        <v>1429</v>
      </c>
      <c r="C40535" s="74" t="s">
        <v>341</v>
      </c>
    </row>
    <row r="40536" spans="1:3">
      <c r="A40536" s="250">
        <v>97267</v>
      </c>
      <c r="B40536" s="74" t="s">
        <v>1429</v>
      </c>
      <c r="C40536" s="74" t="s">
        <v>341</v>
      </c>
    </row>
    <row r="40537" spans="1:3">
      <c r="A40537" s="250">
        <v>97268</v>
      </c>
      <c r="B40537" s="74" t="s">
        <v>1429</v>
      </c>
      <c r="C40537" s="74" t="s">
        <v>341</v>
      </c>
    </row>
    <row r="40538" spans="1:3">
      <c r="A40538" s="250">
        <v>97269</v>
      </c>
      <c r="B40538" s="74" t="s">
        <v>1429</v>
      </c>
      <c r="C40538" s="74" t="s">
        <v>341</v>
      </c>
    </row>
    <row r="40539" spans="1:3">
      <c r="A40539" s="250">
        <v>97271</v>
      </c>
      <c r="B40539" s="74" t="s">
        <v>1429</v>
      </c>
      <c r="C40539" s="74" t="s">
        <v>341</v>
      </c>
    </row>
    <row r="40540" spans="1:3">
      <c r="A40540" s="250">
        <v>97272</v>
      </c>
      <c r="B40540" s="74" t="s">
        <v>1429</v>
      </c>
      <c r="C40540" s="74" t="s">
        <v>341</v>
      </c>
    </row>
    <row r="40541" spans="1:3">
      <c r="A40541" s="250">
        <v>97280</v>
      </c>
      <c r="B40541" s="74" t="s">
        <v>1429</v>
      </c>
      <c r="C40541" s="74" t="s">
        <v>341</v>
      </c>
    </row>
    <row r="40542" spans="1:3">
      <c r="A40542" s="250">
        <v>97281</v>
      </c>
      <c r="B40542" s="74" t="s">
        <v>1429</v>
      </c>
      <c r="C40542" s="74" t="s">
        <v>341</v>
      </c>
    </row>
    <row r="40543" spans="1:3">
      <c r="A40543" s="250">
        <v>97282</v>
      </c>
      <c r="B40543" s="74" t="s">
        <v>1429</v>
      </c>
      <c r="C40543" s="74" t="s">
        <v>341</v>
      </c>
    </row>
    <row r="40544" spans="1:3">
      <c r="A40544" s="250">
        <v>97283</v>
      </c>
      <c r="B40544" s="74" t="s">
        <v>1429</v>
      </c>
      <c r="C40544" s="74" t="s">
        <v>341</v>
      </c>
    </row>
    <row r="40545" spans="1:3">
      <c r="A40545" s="250">
        <v>97286</v>
      </c>
      <c r="B40545" s="74" t="s">
        <v>1429</v>
      </c>
      <c r="C40545" s="74" t="s">
        <v>341</v>
      </c>
    </row>
    <row r="40546" spans="1:3">
      <c r="A40546" s="250">
        <v>97290</v>
      </c>
      <c r="B40546" s="74" t="s">
        <v>1429</v>
      </c>
      <c r="C40546" s="74" t="s">
        <v>341</v>
      </c>
    </row>
    <row r="40547" spans="1:3">
      <c r="A40547" s="250">
        <v>97291</v>
      </c>
      <c r="B40547" s="74" t="s">
        <v>1429</v>
      </c>
      <c r="C40547" s="74" t="s">
        <v>341</v>
      </c>
    </row>
    <row r="40548" spans="1:3">
      <c r="A40548" s="250">
        <v>97292</v>
      </c>
      <c r="B40548" s="74" t="s">
        <v>1429</v>
      </c>
      <c r="C40548" s="74" t="s">
        <v>341</v>
      </c>
    </row>
    <row r="40549" spans="1:3">
      <c r="A40549" s="250">
        <v>97293</v>
      </c>
      <c r="B40549" s="74" t="s">
        <v>1429</v>
      </c>
      <c r="C40549" s="74" t="s">
        <v>341</v>
      </c>
    </row>
    <row r="40550" spans="1:3">
      <c r="A40550" s="250">
        <v>97294</v>
      </c>
      <c r="B40550" s="74" t="s">
        <v>1429</v>
      </c>
      <c r="C40550" s="74" t="s">
        <v>341</v>
      </c>
    </row>
    <row r="40551" spans="1:3">
      <c r="A40551" s="250">
        <v>97296</v>
      </c>
      <c r="B40551" s="74" t="s">
        <v>1429</v>
      </c>
      <c r="C40551" s="74" t="s">
        <v>341</v>
      </c>
    </row>
    <row r="40552" spans="1:3">
      <c r="A40552" s="250">
        <v>97298</v>
      </c>
      <c r="B40552" s="74" t="s">
        <v>1429</v>
      </c>
      <c r="C40552" s="74" t="s">
        <v>341</v>
      </c>
    </row>
    <row r="40553" spans="1:3">
      <c r="A40553" s="250">
        <v>97299</v>
      </c>
      <c r="B40553" s="74" t="s">
        <v>1429</v>
      </c>
      <c r="C40553" s="74" t="s">
        <v>341</v>
      </c>
    </row>
    <row r="40554" spans="1:3">
      <c r="A40554" s="250">
        <v>97301</v>
      </c>
      <c r="B40554" s="74" t="s">
        <v>858</v>
      </c>
      <c r="C40554" s="74" t="s">
        <v>341</v>
      </c>
    </row>
    <row r="40555" spans="1:3">
      <c r="A40555" s="250">
        <v>97302</v>
      </c>
      <c r="B40555" s="74" t="s">
        <v>858</v>
      </c>
      <c r="C40555" s="74" t="s">
        <v>341</v>
      </c>
    </row>
    <row r="40556" spans="1:3">
      <c r="A40556" s="250">
        <v>97303</v>
      </c>
      <c r="B40556" s="74" t="s">
        <v>858</v>
      </c>
      <c r="C40556" s="74" t="s">
        <v>341</v>
      </c>
    </row>
    <row r="40557" spans="1:3">
      <c r="A40557" s="250">
        <v>97304</v>
      </c>
      <c r="B40557" s="74" t="s">
        <v>858</v>
      </c>
      <c r="C40557" s="74" t="s">
        <v>341</v>
      </c>
    </row>
    <row r="40558" spans="1:3">
      <c r="A40558" s="250">
        <v>97305</v>
      </c>
      <c r="B40558" s="74" t="s">
        <v>858</v>
      </c>
      <c r="C40558" s="74" t="s">
        <v>341</v>
      </c>
    </row>
    <row r="40559" spans="1:3">
      <c r="A40559" s="250">
        <v>97306</v>
      </c>
      <c r="B40559" s="74" t="s">
        <v>858</v>
      </c>
      <c r="C40559" s="74" t="s">
        <v>341</v>
      </c>
    </row>
    <row r="40560" spans="1:3">
      <c r="A40560" s="250">
        <v>97307</v>
      </c>
      <c r="B40560" s="74" t="s">
        <v>18614</v>
      </c>
      <c r="C40560" s="74" t="s">
        <v>341</v>
      </c>
    </row>
    <row r="40561" spans="1:3">
      <c r="A40561" s="250">
        <v>97308</v>
      </c>
      <c r="B40561" s="74" t="s">
        <v>858</v>
      </c>
      <c r="C40561" s="74" t="s">
        <v>341</v>
      </c>
    </row>
    <row r="40562" spans="1:3">
      <c r="A40562" s="250">
        <v>97309</v>
      </c>
      <c r="B40562" s="74" t="s">
        <v>858</v>
      </c>
      <c r="C40562" s="74" t="s">
        <v>341</v>
      </c>
    </row>
    <row r="40563" spans="1:3">
      <c r="A40563" s="250">
        <v>97310</v>
      </c>
      <c r="B40563" s="74" t="s">
        <v>858</v>
      </c>
      <c r="C40563" s="74" t="s">
        <v>341</v>
      </c>
    </row>
    <row r="40564" spans="1:3">
      <c r="A40564" s="250">
        <v>97311</v>
      </c>
      <c r="B40564" s="74" t="s">
        <v>858</v>
      </c>
      <c r="C40564" s="74" t="s">
        <v>341</v>
      </c>
    </row>
    <row r="40565" spans="1:3">
      <c r="A40565" s="250">
        <v>97312</v>
      </c>
      <c r="B40565" s="74" t="s">
        <v>858</v>
      </c>
      <c r="C40565" s="74" t="s">
        <v>341</v>
      </c>
    </row>
    <row r="40566" spans="1:3">
      <c r="A40566" s="250">
        <v>97313</v>
      </c>
      <c r="B40566" s="74" t="s">
        <v>858</v>
      </c>
      <c r="C40566" s="74" t="s">
        <v>341</v>
      </c>
    </row>
    <row r="40567" spans="1:3">
      <c r="A40567" s="250">
        <v>97314</v>
      </c>
      <c r="B40567" s="74" t="s">
        <v>858</v>
      </c>
      <c r="C40567" s="74" t="s">
        <v>341</v>
      </c>
    </row>
    <row r="40568" spans="1:3">
      <c r="A40568" s="250">
        <v>97317</v>
      </c>
      <c r="B40568" s="74" t="s">
        <v>858</v>
      </c>
      <c r="C40568" s="74" t="s">
        <v>341</v>
      </c>
    </row>
    <row r="40569" spans="1:3">
      <c r="A40569" s="250">
        <v>97321</v>
      </c>
      <c r="B40569" s="74" t="s">
        <v>1896</v>
      </c>
      <c r="C40569" s="74" t="s">
        <v>341</v>
      </c>
    </row>
    <row r="40570" spans="1:3">
      <c r="A40570" s="250">
        <v>97322</v>
      </c>
      <c r="B40570" s="74" t="s">
        <v>1896</v>
      </c>
      <c r="C40570" s="74" t="s">
        <v>341</v>
      </c>
    </row>
    <row r="40571" spans="1:3">
      <c r="A40571" s="250">
        <v>97324</v>
      </c>
      <c r="B40571" s="74" t="s">
        <v>18615</v>
      </c>
      <c r="C40571" s="74" t="s">
        <v>341</v>
      </c>
    </row>
    <row r="40572" spans="1:3">
      <c r="A40572" s="250">
        <v>97325</v>
      </c>
      <c r="B40572" s="74" t="s">
        <v>18616</v>
      </c>
      <c r="C40572" s="74" t="s">
        <v>341</v>
      </c>
    </row>
    <row r="40573" spans="1:3">
      <c r="A40573" s="250">
        <v>97326</v>
      </c>
      <c r="B40573" s="74" t="s">
        <v>14183</v>
      </c>
      <c r="C40573" s="74" t="s">
        <v>341</v>
      </c>
    </row>
    <row r="40574" spans="1:3">
      <c r="A40574" s="250">
        <v>97327</v>
      </c>
      <c r="B40574" s="74" t="s">
        <v>1731</v>
      </c>
      <c r="C40574" s="74" t="s">
        <v>341</v>
      </c>
    </row>
    <row r="40575" spans="1:3">
      <c r="A40575" s="250">
        <v>97329</v>
      </c>
      <c r="B40575" s="74" t="s">
        <v>18617</v>
      </c>
      <c r="C40575" s="74" t="s">
        <v>341</v>
      </c>
    </row>
    <row r="40576" spans="1:3">
      <c r="A40576" s="250">
        <v>97330</v>
      </c>
      <c r="B40576" s="74" t="s">
        <v>13395</v>
      </c>
      <c r="C40576" s="74" t="s">
        <v>341</v>
      </c>
    </row>
    <row r="40577" spans="1:3">
      <c r="A40577" s="250">
        <v>97331</v>
      </c>
      <c r="B40577" s="74" t="s">
        <v>13395</v>
      </c>
      <c r="C40577" s="74" t="s">
        <v>341</v>
      </c>
    </row>
    <row r="40578" spans="1:3">
      <c r="A40578" s="250">
        <v>97333</v>
      </c>
      <c r="B40578" s="74" t="s">
        <v>13395</v>
      </c>
      <c r="C40578" s="74" t="s">
        <v>341</v>
      </c>
    </row>
    <row r="40579" spans="1:3">
      <c r="A40579" s="250">
        <v>97335</v>
      </c>
      <c r="B40579" s="74" t="s">
        <v>4199</v>
      </c>
      <c r="C40579" s="74" t="s">
        <v>341</v>
      </c>
    </row>
    <row r="40580" spans="1:3">
      <c r="A40580" s="250">
        <v>97336</v>
      </c>
      <c r="B40580" s="74" t="s">
        <v>10961</v>
      </c>
      <c r="C40580" s="74" t="s">
        <v>341</v>
      </c>
    </row>
    <row r="40581" spans="1:3">
      <c r="A40581" s="250">
        <v>97338</v>
      </c>
      <c r="B40581" s="74" t="s">
        <v>5199</v>
      </c>
      <c r="C40581" s="74" t="s">
        <v>341</v>
      </c>
    </row>
    <row r="40582" spans="1:3">
      <c r="A40582" s="250">
        <v>97339</v>
      </c>
      <c r="B40582" s="74" t="s">
        <v>13395</v>
      </c>
      <c r="C40582" s="74" t="s">
        <v>341</v>
      </c>
    </row>
    <row r="40583" spans="1:3">
      <c r="A40583" s="250">
        <v>97341</v>
      </c>
      <c r="B40583" s="74" t="s">
        <v>18618</v>
      </c>
      <c r="C40583" s="74" t="s">
        <v>341</v>
      </c>
    </row>
    <row r="40584" spans="1:3">
      <c r="A40584" s="250">
        <v>97342</v>
      </c>
      <c r="B40584" s="74" t="s">
        <v>1688</v>
      </c>
      <c r="C40584" s="74" t="s">
        <v>341</v>
      </c>
    </row>
    <row r="40585" spans="1:3">
      <c r="A40585" s="250">
        <v>97343</v>
      </c>
      <c r="B40585" s="74" t="s">
        <v>9933</v>
      </c>
      <c r="C40585" s="74" t="s">
        <v>341</v>
      </c>
    </row>
    <row r="40586" spans="1:3">
      <c r="A40586" s="250">
        <v>97344</v>
      </c>
      <c r="B40586" s="74" t="s">
        <v>14762</v>
      </c>
      <c r="C40586" s="74" t="s">
        <v>341</v>
      </c>
    </row>
    <row r="40587" spans="1:3">
      <c r="A40587" s="250">
        <v>97345</v>
      </c>
      <c r="B40587" s="74" t="s">
        <v>1106</v>
      </c>
      <c r="C40587" s="74" t="s">
        <v>341</v>
      </c>
    </row>
    <row r="40588" spans="1:3">
      <c r="A40588" s="250">
        <v>97346</v>
      </c>
      <c r="B40588" s="74" t="s">
        <v>7250</v>
      </c>
      <c r="C40588" s="74" t="s">
        <v>341</v>
      </c>
    </row>
    <row r="40589" spans="1:3">
      <c r="A40589" s="250">
        <v>97347</v>
      </c>
      <c r="B40589" s="74" t="s">
        <v>18619</v>
      </c>
      <c r="C40589" s="74" t="s">
        <v>341</v>
      </c>
    </row>
    <row r="40590" spans="1:3">
      <c r="A40590" s="250">
        <v>97348</v>
      </c>
      <c r="B40590" s="74" t="s">
        <v>14889</v>
      </c>
      <c r="C40590" s="74" t="s">
        <v>341</v>
      </c>
    </row>
    <row r="40591" spans="1:3">
      <c r="A40591" s="250">
        <v>97350</v>
      </c>
      <c r="B40591" s="74" t="s">
        <v>18620</v>
      </c>
      <c r="C40591" s="74" t="s">
        <v>341</v>
      </c>
    </row>
    <row r="40592" spans="1:3">
      <c r="A40592" s="250">
        <v>97351</v>
      </c>
      <c r="B40592" s="74" t="s">
        <v>6364</v>
      </c>
      <c r="C40592" s="74" t="s">
        <v>341</v>
      </c>
    </row>
    <row r="40593" spans="1:3">
      <c r="A40593" s="250">
        <v>97352</v>
      </c>
      <c r="B40593" s="74" t="s">
        <v>740</v>
      </c>
      <c r="C40593" s="74" t="s">
        <v>341</v>
      </c>
    </row>
    <row r="40594" spans="1:3">
      <c r="A40594" s="250">
        <v>97355</v>
      </c>
      <c r="B40594" s="74" t="s">
        <v>1280</v>
      </c>
      <c r="C40594" s="74" t="s">
        <v>341</v>
      </c>
    </row>
    <row r="40595" spans="1:3">
      <c r="A40595" s="250">
        <v>97357</v>
      </c>
      <c r="B40595" s="74" t="s">
        <v>18621</v>
      </c>
      <c r="C40595" s="74" t="s">
        <v>341</v>
      </c>
    </row>
    <row r="40596" spans="1:3">
      <c r="A40596" s="250">
        <v>97358</v>
      </c>
      <c r="B40596" s="74" t="s">
        <v>2349</v>
      </c>
      <c r="C40596" s="74" t="s">
        <v>341</v>
      </c>
    </row>
    <row r="40597" spans="1:3">
      <c r="A40597" s="250">
        <v>97360</v>
      </c>
      <c r="B40597" s="74" t="s">
        <v>18622</v>
      </c>
      <c r="C40597" s="74" t="s">
        <v>341</v>
      </c>
    </row>
    <row r="40598" spans="1:3">
      <c r="A40598" s="250">
        <v>97361</v>
      </c>
      <c r="B40598" s="74" t="s">
        <v>1451</v>
      </c>
      <c r="C40598" s="74" t="s">
        <v>341</v>
      </c>
    </row>
    <row r="40599" spans="1:3">
      <c r="A40599" s="250">
        <v>97362</v>
      </c>
      <c r="B40599" s="74" t="s">
        <v>18623</v>
      </c>
      <c r="C40599" s="74" t="s">
        <v>341</v>
      </c>
    </row>
    <row r="40600" spans="1:3">
      <c r="A40600" s="250">
        <v>97364</v>
      </c>
      <c r="B40600" s="74" t="s">
        <v>18624</v>
      </c>
      <c r="C40600" s="74" t="s">
        <v>341</v>
      </c>
    </row>
    <row r="40601" spans="1:3">
      <c r="A40601" s="250">
        <v>97365</v>
      </c>
      <c r="B40601" s="74" t="s">
        <v>1118</v>
      </c>
      <c r="C40601" s="74" t="s">
        <v>341</v>
      </c>
    </row>
    <row r="40602" spans="1:3">
      <c r="A40602" s="250">
        <v>97366</v>
      </c>
      <c r="B40602" s="74" t="s">
        <v>18625</v>
      </c>
      <c r="C40602" s="74" t="s">
        <v>341</v>
      </c>
    </row>
    <row r="40603" spans="1:3">
      <c r="A40603" s="250">
        <v>97367</v>
      </c>
      <c r="B40603" s="74" t="s">
        <v>10890</v>
      </c>
      <c r="C40603" s="74" t="s">
        <v>341</v>
      </c>
    </row>
    <row r="40604" spans="1:3">
      <c r="A40604" s="250">
        <v>97368</v>
      </c>
      <c r="B40604" s="74" t="s">
        <v>657</v>
      </c>
      <c r="C40604" s="74" t="s">
        <v>341</v>
      </c>
    </row>
    <row r="40605" spans="1:3">
      <c r="A40605" s="250">
        <v>97369</v>
      </c>
      <c r="B40605" s="74" t="s">
        <v>18626</v>
      </c>
      <c r="C40605" s="74" t="s">
        <v>341</v>
      </c>
    </row>
    <row r="40606" spans="1:3">
      <c r="A40606" s="250">
        <v>97370</v>
      </c>
      <c r="B40606" s="74" t="s">
        <v>18627</v>
      </c>
      <c r="C40606" s="74" t="s">
        <v>341</v>
      </c>
    </row>
    <row r="40607" spans="1:3">
      <c r="A40607" s="250">
        <v>97371</v>
      </c>
      <c r="B40607" s="74" t="s">
        <v>18628</v>
      </c>
      <c r="C40607" s="74" t="s">
        <v>341</v>
      </c>
    </row>
    <row r="40608" spans="1:3">
      <c r="A40608" s="250">
        <v>97372</v>
      </c>
      <c r="B40608" s="74" t="s">
        <v>18629</v>
      </c>
      <c r="C40608" s="74" t="s">
        <v>341</v>
      </c>
    </row>
    <row r="40609" spans="1:3">
      <c r="A40609" s="250">
        <v>97373</v>
      </c>
      <c r="B40609" s="74" t="s">
        <v>4304</v>
      </c>
      <c r="C40609" s="74" t="s">
        <v>341</v>
      </c>
    </row>
    <row r="40610" spans="1:3">
      <c r="A40610" s="250">
        <v>97374</v>
      </c>
      <c r="B40610" s="74" t="s">
        <v>3941</v>
      </c>
      <c r="C40610" s="74" t="s">
        <v>341</v>
      </c>
    </row>
    <row r="40611" spans="1:3">
      <c r="A40611" s="250">
        <v>97375</v>
      </c>
      <c r="B40611" s="74" t="s">
        <v>18630</v>
      </c>
      <c r="C40611" s="74" t="s">
        <v>341</v>
      </c>
    </row>
    <row r="40612" spans="1:3">
      <c r="A40612" s="250">
        <v>97376</v>
      </c>
      <c r="B40612" s="74" t="s">
        <v>18631</v>
      </c>
      <c r="C40612" s="74" t="s">
        <v>341</v>
      </c>
    </row>
    <row r="40613" spans="1:3">
      <c r="A40613" s="250">
        <v>97377</v>
      </c>
      <c r="B40613" s="74" t="s">
        <v>18632</v>
      </c>
      <c r="C40613" s="74" t="s">
        <v>341</v>
      </c>
    </row>
    <row r="40614" spans="1:3">
      <c r="A40614" s="250">
        <v>97378</v>
      </c>
      <c r="B40614" s="74" t="s">
        <v>1651</v>
      </c>
      <c r="C40614" s="74" t="s">
        <v>341</v>
      </c>
    </row>
    <row r="40615" spans="1:3">
      <c r="A40615" s="250">
        <v>97380</v>
      </c>
      <c r="B40615" s="74" t="s">
        <v>18633</v>
      </c>
      <c r="C40615" s="74" t="s">
        <v>341</v>
      </c>
    </row>
    <row r="40616" spans="1:3">
      <c r="A40616" s="250">
        <v>97381</v>
      </c>
      <c r="B40616" s="74" t="s">
        <v>16534</v>
      </c>
      <c r="C40616" s="74" t="s">
        <v>341</v>
      </c>
    </row>
    <row r="40617" spans="1:3">
      <c r="A40617" s="250">
        <v>97383</v>
      </c>
      <c r="B40617" s="74" t="s">
        <v>18634</v>
      </c>
      <c r="C40617" s="74" t="s">
        <v>341</v>
      </c>
    </row>
    <row r="40618" spans="1:3">
      <c r="A40618" s="250">
        <v>97384</v>
      </c>
      <c r="B40618" s="74" t="s">
        <v>18635</v>
      </c>
      <c r="C40618" s="74" t="s">
        <v>341</v>
      </c>
    </row>
    <row r="40619" spans="1:3">
      <c r="A40619" s="250">
        <v>97385</v>
      </c>
      <c r="B40619" s="74" t="s">
        <v>18636</v>
      </c>
      <c r="C40619" s="74" t="s">
        <v>341</v>
      </c>
    </row>
    <row r="40620" spans="1:3">
      <c r="A40620" s="250">
        <v>97386</v>
      </c>
      <c r="B40620" s="74" t="s">
        <v>15321</v>
      </c>
      <c r="C40620" s="74" t="s">
        <v>341</v>
      </c>
    </row>
    <row r="40621" spans="1:3">
      <c r="A40621" s="250">
        <v>97388</v>
      </c>
      <c r="B40621" s="74" t="s">
        <v>18637</v>
      </c>
      <c r="C40621" s="74" t="s">
        <v>341</v>
      </c>
    </row>
    <row r="40622" spans="1:3">
      <c r="A40622" s="250">
        <v>97389</v>
      </c>
      <c r="B40622" s="74" t="s">
        <v>18638</v>
      </c>
      <c r="C40622" s="74" t="s">
        <v>341</v>
      </c>
    </row>
    <row r="40623" spans="1:3">
      <c r="A40623" s="250">
        <v>97390</v>
      </c>
      <c r="B40623" s="74" t="s">
        <v>18639</v>
      </c>
      <c r="C40623" s="74" t="s">
        <v>341</v>
      </c>
    </row>
    <row r="40624" spans="1:3">
      <c r="A40624" s="250">
        <v>97391</v>
      </c>
      <c r="B40624" s="74" t="s">
        <v>10215</v>
      </c>
      <c r="C40624" s="74" t="s">
        <v>341</v>
      </c>
    </row>
    <row r="40625" spans="1:3">
      <c r="A40625" s="250">
        <v>97392</v>
      </c>
      <c r="B40625" s="74" t="s">
        <v>1463</v>
      </c>
      <c r="C40625" s="74" t="s">
        <v>341</v>
      </c>
    </row>
    <row r="40626" spans="1:3">
      <c r="A40626" s="250">
        <v>97394</v>
      </c>
      <c r="B40626" s="74" t="s">
        <v>18640</v>
      </c>
      <c r="C40626" s="74" t="s">
        <v>341</v>
      </c>
    </row>
    <row r="40627" spans="1:3">
      <c r="A40627" s="250">
        <v>97396</v>
      </c>
      <c r="B40627" s="74" t="s">
        <v>18641</v>
      </c>
      <c r="C40627" s="74" t="s">
        <v>341</v>
      </c>
    </row>
    <row r="40628" spans="1:3">
      <c r="A40628" s="250">
        <v>97401</v>
      </c>
      <c r="B40628" s="74" t="s">
        <v>14334</v>
      </c>
      <c r="C40628" s="74" t="s">
        <v>341</v>
      </c>
    </row>
    <row r="40629" spans="1:3">
      <c r="A40629" s="250">
        <v>97402</v>
      </c>
      <c r="B40629" s="74" t="s">
        <v>14334</v>
      </c>
      <c r="C40629" s="74" t="s">
        <v>341</v>
      </c>
    </row>
    <row r="40630" spans="1:3">
      <c r="A40630" s="250">
        <v>97403</v>
      </c>
      <c r="B40630" s="74" t="s">
        <v>14334</v>
      </c>
      <c r="C40630" s="74" t="s">
        <v>341</v>
      </c>
    </row>
    <row r="40631" spans="1:3">
      <c r="A40631" s="250">
        <v>97404</v>
      </c>
      <c r="B40631" s="74" t="s">
        <v>14334</v>
      </c>
      <c r="C40631" s="74" t="s">
        <v>341</v>
      </c>
    </row>
    <row r="40632" spans="1:3">
      <c r="A40632" s="250">
        <v>97405</v>
      </c>
      <c r="B40632" s="74" t="s">
        <v>14334</v>
      </c>
      <c r="C40632" s="74" t="s">
        <v>341</v>
      </c>
    </row>
    <row r="40633" spans="1:3">
      <c r="A40633" s="250">
        <v>97406</v>
      </c>
      <c r="B40633" s="74" t="s">
        <v>18642</v>
      </c>
      <c r="C40633" s="74" t="s">
        <v>341</v>
      </c>
    </row>
    <row r="40634" spans="1:3">
      <c r="A40634" s="250">
        <v>97407</v>
      </c>
      <c r="B40634" s="74" t="s">
        <v>3840</v>
      </c>
      <c r="C40634" s="74" t="s">
        <v>341</v>
      </c>
    </row>
    <row r="40635" spans="1:3">
      <c r="A40635" s="250">
        <v>97408</v>
      </c>
      <c r="B40635" s="74" t="s">
        <v>14334</v>
      </c>
      <c r="C40635" s="74" t="s">
        <v>341</v>
      </c>
    </row>
    <row r="40636" spans="1:3">
      <c r="A40636" s="250">
        <v>97409</v>
      </c>
      <c r="B40636" s="74" t="s">
        <v>18643</v>
      </c>
      <c r="C40636" s="74" t="s">
        <v>341</v>
      </c>
    </row>
    <row r="40637" spans="1:3">
      <c r="A40637" s="250">
        <v>97410</v>
      </c>
      <c r="B40637" s="74" t="s">
        <v>18644</v>
      </c>
      <c r="C40637" s="74" t="s">
        <v>341</v>
      </c>
    </row>
    <row r="40638" spans="1:3">
      <c r="A40638" s="250">
        <v>97411</v>
      </c>
      <c r="B40638" s="74" t="s">
        <v>18645</v>
      </c>
      <c r="C40638" s="74" t="s">
        <v>341</v>
      </c>
    </row>
    <row r="40639" spans="1:3">
      <c r="A40639" s="250">
        <v>97412</v>
      </c>
      <c r="B40639" s="74" t="s">
        <v>18646</v>
      </c>
      <c r="C40639" s="74" t="s">
        <v>341</v>
      </c>
    </row>
    <row r="40640" spans="1:3">
      <c r="A40640" s="250">
        <v>97413</v>
      </c>
      <c r="B40640" s="74" t="s">
        <v>9843</v>
      </c>
      <c r="C40640" s="74" t="s">
        <v>341</v>
      </c>
    </row>
    <row r="40641" spans="1:3">
      <c r="A40641" s="250">
        <v>97414</v>
      </c>
      <c r="B40641" s="74" t="s">
        <v>18647</v>
      </c>
      <c r="C40641" s="74" t="s">
        <v>341</v>
      </c>
    </row>
    <row r="40642" spans="1:3">
      <c r="A40642" s="250">
        <v>97415</v>
      </c>
      <c r="B40642" s="74" t="s">
        <v>12808</v>
      </c>
      <c r="C40642" s="74" t="s">
        <v>341</v>
      </c>
    </row>
    <row r="40643" spans="1:3">
      <c r="A40643" s="250">
        <v>97416</v>
      </c>
      <c r="B40643" s="74" t="s">
        <v>18648</v>
      </c>
      <c r="C40643" s="74" t="s">
        <v>341</v>
      </c>
    </row>
    <row r="40644" spans="1:3">
      <c r="A40644" s="250">
        <v>97417</v>
      </c>
      <c r="B40644" s="74" t="s">
        <v>18649</v>
      </c>
      <c r="C40644" s="74" t="s">
        <v>341</v>
      </c>
    </row>
    <row r="40645" spans="1:3">
      <c r="A40645" s="250">
        <v>97419</v>
      </c>
      <c r="B40645" s="74" t="s">
        <v>642</v>
      </c>
      <c r="C40645" s="74" t="s">
        <v>341</v>
      </c>
    </row>
    <row r="40646" spans="1:3">
      <c r="A40646" s="250">
        <v>97420</v>
      </c>
      <c r="B40646" s="74" t="s">
        <v>18650</v>
      </c>
      <c r="C40646" s="74" t="s">
        <v>341</v>
      </c>
    </row>
    <row r="40647" spans="1:3">
      <c r="A40647" s="250">
        <v>97423</v>
      </c>
      <c r="B40647" s="74" t="s">
        <v>18651</v>
      </c>
      <c r="C40647" s="74" t="s">
        <v>341</v>
      </c>
    </row>
    <row r="40648" spans="1:3">
      <c r="A40648" s="250">
        <v>97424</v>
      </c>
      <c r="B40648" s="74" t="s">
        <v>9192</v>
      </c>
      <c r="C40648" s="74" t="s">
        <v>341</v>
      </c>
    </row>
    <row r="40649" spans="1:3">
      <c r="A40649" s="250">
        <v>97425</v>
      </c>
      <c r="B40649" s="74" t="s">
        <v>18652</v>
      </c>
      <c r="C40649" s="74" t="s">
        <v>341</v>
      </c>
    </row>
    <row r="40650" spans="1:3">
      <c r="A40650" s="250">
        <v>97426</v>
      </c>
      <c r="B40650" s="74" t="s">
        <v>7244</v>
      </c>
      <c r="C40650" s="74" t="s">
        <v>341</v>
      </c>
    </row>
    <row r="40651" spans="1:3">
      <c r="A40651" s="250">
        <v>97427</v>
      </c>
      <c r="B40651" s="74" t="s">
        <v>18653</v>
      </c>
      <c r="C40651" s="74" t="s">
        <v>341</v>
      </c>
    </row>
    <row r="40652" spans="1:3">
      <c r="A40652" s="250">
        <v>97428</v>
      </c>
      <c r="B40652" s="74" t="s">
        <v>18654</v>
      </c>
      <c r="C40652" s="74" t="s">
        <v>341</v>
      </c>
    </row>
    <row r="40653" spans="1:3">
      <c r="A40653" s="250">
        <v>97429</v>
      </c>
      <c r="B40653" s="74" t="s">
        <v>18655</v>
      </c>
      <c r="C40653" s="74" t="s">
        <v>341</v>
      </c>
    </row>
    <row r="40654" spans="1:3">
      <c r="A40654" s="250">
        <v>97430</v>
      </c>
      <c r="B40654" s="74" t="s">
        <v>12974</v>
      </c>
      <c r="C40654" s="74" t="s">
        <v>341</v>
      </c>
    </row>
    <row r="40655" spans="1:3">
      <c r="A40655" s="250">
        <v>97431</v>
      </c>
      <c r="B40655" s="74" t="s">
        <v>1689</v>
      </c>
      <c r="C40655" s="74" t="s">
        <v>341</v>
      </c>
    </row>
    <row r="40656" spans="1:3">
      <c r="A40656" s="250">
        <v>97432</v>
      </c>
      <c r="B40656" s="74" t="s">
        <v>7976</v>
      </c>
      <c r="C40656" s="74" t="s">
        <v>341</v>
      </c>
    </row>
    <row r="40657" spans="1:3">
      <c r="A40657" s="250">
        <v>97434</v>
      </c>
      <c r="B40657" s="74" t="s">
        <v>18656</v>
      </c>
      <c r="C40657" s="74" t="s">
        <v>341</v>
      </c>
    </row>
    <row r="40658" spans="1:3">
      <c r="A40658" s="250">
        <v>97435</v>
      </c>
      <c r="B40658" s="74" t="s">
        <v>18657</v>
      </c>
      <c r="C40658" s="74" t="s">
        <v>341</v>
      </c>
    </row>
    <row r="40659" spans="1:3">
      <c r="A40659" s="250">
        <v>97436</v>
      </c>
      <c r="B40659" s="74" t="s">
        <v>5864</v>
      </c>
      <c r="C40659" s="74" t="s">
        <v>341</v>
      </c>
    </row>
    <row r="40660" spans="1:3">
      <c r="A40660" s="250">
        <v>97437</v>
      </c>
      <c r="B40660" s="74" t="s">
        <v>3955</v>
      </c>
      <c r="C40660" s="74" t="s">
        <v>341</v>
      </c>
    </row>
    <row r="40661" spans="1:3">
      <c r="A40661" s="250">
        <v>97438</v>
      </c>
      <c r="B40661" s="74" t="s">
        <v>12270</v>
      </c>
      <c r="C40661" s="74" t="s">
        <v>341</v>
      </c>
    </row>
    <row r="40662" spans="1:3">
      <c r="A40662" s="250">
        <v>97439</v>
      </c>
      <c r="B40662" s="74" t="s">
        <v>608</v>
      </c>
      <c r="C40662" s="74" t="s">
        <v>341</v>
      </c>
    </row>
    <row r="40663" spans="1:3">
      <c r="A40663" s="250">
        <v>97440</v>
      </c>
      <c r="B40663" s="74" t="s">
        <v>14334</v>
      </c>
      <c r="C40663" s="74" t="s">
        <v>341</v>
      </c>
    </row>
    <row r="40664" spans="1:3">
      <c r="A40664" s="250">
        <v>97441</v>
      </c>
      <c r="B40664" s="74" t="s">
        <v>1478</v>
      </c>
      <c r="C40664" s="74" t="s">
        <v>341</v>
      </c>
    </row>
    <row r="40665" spans="1:3">
      <c r="A40665" s="250">
        <v>97442</v>
      </c>
      <c r="B40665" s="74" t="s">
        <v>644</v>
      </c>
      <c r="C40665" s="74" t="s">
        <v>341</v>
      </c>
    </row>
    <row r="40666" spans="1:3">
      <c r="A40666" s="250">
        <v>97443</v>
      </c>
      <c r="B40666" s="74" t="s">
        <v>18658</v>
      </c>
      <c r="C40666" s="74" t="s">
        <v>341</v>
      </c>
    </row>
    <row r="40667" spans="1:3">
      <c r="A40667" s="250">
        <v>97444</v>
      </c>
      <c r="B40667" s="74" t="s">
        <v>18659</v>
      </c>
      <c r="C40667" s="74" t="s">
        <v>341</v>
      </c>
    </row>
    <row r="40668" spans="1:3">
      <c r="A40668" s="250">
        <v>97446</v>
      </c>
      <c r="B40668" s="74" t="s">
        <v>4757</v>
      </c>
      <c r="C40668" s="74" t="s">
        <v>341</v>
      </c>
    </row>
    <row r="40669" spans="1:3">
      <c r="A40669" s="250">
        <v>97447</v>
      </c>
      <c r="B40669" s="74" t="s">
        <v>18660</v>
      </c>
      <c r="C40669" s="74" t="s">
        <v>341</v>
      </c>
    </row>
    <row r="40670" spans="1:3">
      <c r="A40670" s="250">
        <v>97448</v>
      </c>
      <c r="B40670" s="74" t="s">
        <v>8198</v>
      </c>
      <c r="C40670" s="74" t="s">
        <v>341</v>
      </c>
    </row>
    <row r="40671" spans="1:3">
      <c r="A40671" s="250">
        <v>97449</v>
      </c>
      <c r="B40671" s="74" t="s">
        <v>2085</v>
      </c>
      <c r="C40671" s="74" t="s">
        <v>341</v>
      </c>
    </row>
    <row r="40672" spans="1:3">
      <c r="A40672" s="250">
        <v>97450</v>
      </c>
      <c r="B40672" s="74" t="s">
        <v>18661</v>
      </c>
      <c r="C40672" s="74" t="s">
        <v>341</v>
      </c>
    </row>
    <row r="40673" spans="1:3">
      <c r="A40673" s="250">
        <v>97451</v>
      </c>
      <c r="B40673" s="74" t="s">
        <v>18662</v>
      </c>
      <c r="C40673" s="74" t="s">
        <v>341</v>
      </c>
    </row>
    <row r="40674" spans="1:3">
      <c r="A40674" s="250">
        <v>97452</v>
      </c>
      <c r="B40674" s="74" t="s">
        <v>818</v>
      </c>
      <c r="C40674" s="74" t="s">
        <v>341</v>
      </c>
    </row>
    <row r="40675" spans="1:3">
      <c r="A40675" s="250">
        <v>97453</v>
      </c>
      <c r="B40675" s="74" t="s">
        <v>1637</v>
      </c>
      <c r="C40675" s="74" t="s">
        <v>341</v>
      </c>
    </row>
    <row r="40676" spans="1:3">
      <c r="A40676" s="250">
        <v>97454</v>
      </c>
      <c r="B40676" s="74" t="s">
        <v>18663</v>
      </c>
      <c r="C40676" s="74" t="s">
        <v>341</v>
      </c>
    </row>
    <row r="40677" spans="1:3">
      <c r="A40677" s="250">
        <v>97455</v>
      </c>
      <c r="B40677" s="74" t="s">
        <v>7214</v>
      </c>
      <c r="C40677" s="74" t="s">
        <v>341</v>
      </c>
    </row>
    <row r="40678" spans="1:3">
      <c r="A40678" s="250">
        <v>97456</v>
      </c>
      <c r="B40678" s="74" t="s">
        <v>1284</v>
      </c>
      <c r="C40678" s="74" t="s">
        <v>341</v>
      </c>
    </row>
    <row r="40679" spans="1:3">
      <c r="A40679" s="250">
        <v>97457</v>
      </c>
      <c r="B40679" s="74" t="s">
        <v>18664</v>
      </c>
      <c r="C40679" s="74" t="s">
        <v>341</v>
      </c>
    </row>
    <row r="40680" spans="1:3">
      <c r="A40680" s="250">
        <v>97458</v>
      </c>
      <c r="B40680" s="74" t="s">
        <v>18665</v>
      </c>
      <c r="C40680" s="74" t="s">
        <v>341</v>
      </c>
    </row>
    <row r="40681" spans="1:3">
      <c r="A40681" s="250">
        <v>97459</v>
      </c>
      <c r="B40681" s="74" t="s">
        <v>4909</v>
      </c>
      <c r="C40681" s="74" t="s">
        <v>341</v>
      </c>
    </row>
    <row r="40682" spans="1:3">
      <c r="A40682" s="250">
        <v>97461</v>
      </c>
      <c r="B40682" s="74" t="s">
        <v>18666</v>
      </c>
      <c r="C40682" s="74" t="s">
        <v>341</v>
      </c>
    </row>
    <row r="40683" spans="1:3">
      <c r="A40683" s="250">
        <v>97462</v>
      </c>
      <c r="B40683" s="74" t="s">
        <v>1121</v>
      </c>
      <c r="C40683" s="74" t="s">
        <v>341</v>
      </c>
    </row>
    <row r="40684" spans="1:3">
      <c r="A40684" s="250">
        <v>97463</v>
      </c>
      <c r="B40684" s="74" t="s">
        <v>18667</v>
      </c>
      <c r="C40684" s="74" t="s">
        <v>341</v>
      </c>
    </row>
    <row r="40685" spans="1:3">
      <c r="A40685" s="250">
        <v>97464</v>
      </c>
      <c r="B40685" s="74" t="s">
        <v>9804</v>
      </c>
      <c r="C40685" s="74" t="s">
        <v>341</v>
      </c>
    </row>
    <row r="40686" spans="1:3">
      <c r="A40686" s="250">
        <v>97465</v>
      </c>
      <c r="B40686" s="74" t="s">
        <v>18668</v>
      </c>
      <c r="C40686" s="74" t="s">
        <v>341</v>
      </c>
    </row>
    <row r="40687" spans="1:3">
      <c r="A40687" s="250">
        <v>97466</v>
      </c>
      <c r="B40687" s="74" t="s">
        <v>11435</v>
      </c>
      <c r="C40687" s="74" t="s">
        <v>341</v>
      </c>
    </row>
    <row r="40688" spans="1:3">
      <c r="A40688" s="250">
        <v>97467</v>
      </c>
      <c r="B40688" s="74" t="s">
        <v>18669</v>
      </c>
      <c r="C40688" s="74" t="s">
        <v>341</v>
      </c>
    </row>
    <row r="40689" spans="1:3">
      <c r="A40689" s="250">
        <v>97469</v>
      </c>
      <c r="B40689" s="74" t="s">
        <v>18670</v>
      </c>
      <c r="C40689" s="74" t="s">
        <v>341</v>
      </c>
    </row>
    <row r="40690" spans="1:3">
      <c r="A40690" s="250">
        <v>97470</v>
      </c>
      <c r="B40690" s="74" t="s">
        <v>18671</v>
      </c>
      <c r="C40690" s="74" t="s">
        <v>341</v>
      </c>
    </row>
    <row r="40691" spans="1:3">
      <c r="A40691" s="250">
        <v>97471</v>
      </c>
      <c r="B40691" s="74" t="s">
        <v>18671</v>
      </c>
      <c r="C40691" s="74" t="s">
        <v>341</v>
      </c>
    </row>
    <row r="40692" spans="1:3">
      <c r="A40692" s="250">
        <v>97472</v>
      </c>
      <c r="B40692" s="74" t="s">
        <v>9192</v>
      </c>
      <c r="C40692" s="74" t="s">
        <v>341</v>
      </c>
    </row>
    <row r="40693" spans="1:3">
      <c r="A40693" s="250">
        <v>97473</v>
      </c>
      <c r="B40693" s="74" t="s">
        <v>3818</v>
      </c>
      <c r="C40693" s="74" t="s">
        <v>341</v>
      </c>
    </row>
    <row r="40694" spans="1:3">
      <c r="A40694" s="250">
        <v>97475</v>
      </c>
      <c r="B40694" s="74" t="s">
        <v>634</v>
      </c>
      <c r="C40694" s="74" t="s">
        <v>341</v>
      </c>
    </row>
    <row r="40695" spans="1:3">
      <c r="A40695" s="250">
        <v>97476</v>
      </c>
      <c r="B40695" s="74" t="s">
        <v>18672</v>
      </c>
      <c r="C40695" s="74" t="s">
        <v>341</v>
      </c>
    </row>
    <row r="40696" spans="1:3">
      <c r="A40696" s="250">
        <v>97477</v>
      </c>
      <c r="B40696" s="74" t="s">
        <v>634</v>
      </c>
      <c r="C40696" s="74" t="s">
        <v>341</v>
      </c>
    </row>
    <row r="40697" spans="1:3">
      <c r="A40697" s="250">
        <v>97478</v>
      </c>
      <c r="B40697" s="74" t="s">
        <v>634</v>
      </c>
      <c r="C40697" s="74" t="s">
        <v>341</v>
      </c>
    </row>
    <row r="40698" spans="1:3">
      <c r="A40698" s="250">
        <v>97479</v>
      </c>
      <c r="B40698" s="74" t="s">
        <v>6443</v>
      </c>
      <c r="C40698" s="74" t="s">
        <v>341</v>
      </c>
    </row>
    <row r="40699" spans="1:3">
      <c r="A40699" s="250">
        <v>97480</v>
      </c>
      <c r="B40699" s="74" t="s">
        <v>18673</v>
      </c>
      <c r="C40699" s="74" t="s">
        <v>341</v>
      </c>
    </row>
    <row r="40700" spans="1:3">
      <c r="A40700" s="250">
        <v>97481</v>
      </c>
      <c r="B40700" s="74" t="s">
        <v>18674</v>
      </c>
      <c r="C40700" s="74" t="s">
        <v>341</v>
      </c>
    </row>
    <row r="40701" spans="1:3">
      <c r="A40701" s="250">
        <v>97482</v>
      </c>
      <c r="B40701" s="74" t="s">
        <v>10126</v>
      </c>
      <c r="C40701" s="74" t="s">
        <v>341</v>
      </c>
    </row>
    <row r="40702" spans="1:3">
      <c r="A40702" s="250">
        <v>97484</v>
      </c>
      <c r="B40702" s="74" t="s">
        <v>18675</v>
      </c>
      <c r="C40702" s="74" t="s">
        <v>341</v>
      </c>
    </row>
    <row r="40703" spans="1:3">
      <c r="A40703" s="250">
        <v>97486</v>
      </c>
      <c r="B40703" s="74" t="s">
        <v>18676</v>
      </c>
      <c r="C40703" s="74" t="s">
        <v>341</v>
      </c>
    </row>
    <row r="40704" spans="1:3">
      <c r="A40704" s="250">
        <v>97487</v>
      </c>
      <c r="B40704" s="74" t="s">
        <v>18677</v>
      </c>
      <c r="C40704" s="74" t="s">
        <v>341</v>
      </c>
    </row>
    <row r="40705" spans="1:3">
      <c r="A40705" s="250">
        <v>97488</v>
      </c>
      <c r="B40705" s="74" t="s">
        <v>13279</v>
      </c>
      <c r="C40705" s="74" t="s">
        <v>341</v>
      </c>
    </row>
    <row r="40706" spans="1:3">
      <c r="A40706" s="250">
        <v>97489</v>
      </c>
      <c r="B40706" s="74" t="s">
        <v>18678</v>
      </c>
      <c r="C40706" s="74" t="s">
        <v>341</v>
      </c>
    </row>
    <row r="40707" spans="1:3">
      <c r="A40707" s="250">
        <v>97490</v>
      </c>
      <c r="B40707" s="74" t="s">
        <v>3659</v>
      </c>
      <c r="C40707" s="74" t="s">
        <v>341</v>
      </c>
    </row>
    <row r="40708" spans="1:3">
      <c r="A40708" s="250">
        <v>97491</v>
      </c>
      <c r="B40708" s="74" t="s">
        <v>18679</v>
      </c>
      <c r="C40708" s="74" t="s">
        <v>341</v>
      </c>
    </row>
    <row r="40709" spans="1:3">
      <c r="A40709" s="250">
        <v>97492</v>
      </c>
      <c r="B40709" s="74" t="s">
        <v>18680</v>
      </c>
      <c r="C40709" s="74" t="s">
        <v>341</v>
      </c>
    </row>
    <row r="40710" spans="1:3">
      <c r="A40710" s="250">
        <v>97493</v>
      </c>
      <c r="B40710" s="74" t="s">
        <v>10330</v>
      </c>
      <c r="C40710" s="74" t="s">
        <v>341</v>
      </c>
    </row>
    <row r="40711" spans="1:3">
      <c r="A40711" s="250">
        <v>97494</v>
      </c>
      <c r="B40711" s="74" t="s">
        <v>18681</v>
      </c>
      <c r="C40711" s="74" t="s">
        <v>341</v>
      </c>
    </row>
    <row r="40712" spans="1:3">
      <c r="A40712" s="250">
        <v>97495</v>
      </c>
      <c r="B40712" s="74" t="s">
        <v>832</v>
      </c>
      <c r="C40712" s="74" t="s">
        <v>341</v>
      </c>
    </row>
    <row r="40713" spans="1:3">
      <c r="A40713" s="250">
        <v>97496</v>
      </c>
      <c r="B40713" s="74" t="s">
        <v>7904</v>
      </c>
      <c r="C40713" s="74" t="s">
        <v>341</v>
      </c>
    </row>
    <row r="40714" spans="1:3">
      <c r="A40714" s="250">
        <v>97497</v>
      </c>
      <c r="B40714" s="74" t="s">
        <v>13365</v>
      </c>
      <c r="C40714" s="74" t="s">
        <v>341</v>
      </c>
    </row>
    <row r="40715" spans="1:3">
      <c r="A40715" s="250">
        <v>97498</v>
      </c>
      <c r="B40715" s="74" t="s">
        <v>18682</v>
      </c>
      <c r="C40715" s="74" t="s">
        <v>341</v>
      </c>
    </row>
    <row r="40716" spans="1:3">
      <c r="A40716" s="250">
        <v>97499</v>
      </c>
      <c r="B40716" s="74" t="s">
        <v>18683</v>
      </c>
      <c r="C40716" s="74" t="s">
        <v>341</v>
      </c>
    </row>
    <row r="40717" spans="1:3">
      <c r="A40717" s="250">
        <v>97501</v>
      </c>
      <c r="B40717" s="74" t="s">
        <v>921</v>
      </c>
      <c r="C40717" s="74" t="s">
        <v>341</v>
      </c>
    </row>
    <row r="40718" spans="1:3">
      <c r="A40718" s="250">
        <v>97502</v>
      </c>
      <c r="B40718" s="74" t="s">
        <v>18684</v>
      </c>
      <c r="C40718" s="74" t="s">
        <v>341</v>
      </c>
    </row>
    <row r="40719" spans="1:3">
      <c r="A40719" s="250">
        <v>97503</v>
      </c>
      <c r="B40719" s="74" t="s">
        <v>14574</v>
      </c>
      <c r="C40719" s="74" t="s">
        <v>341</v>
      </c>
    </row>
    <row r="40720" spans="1:3">
      <c r="A40720" s="250">
        <v>97504</v>
      </c>
      <c r="B40720" s="74" t="s">
        <v>921</v>
      </c>
      <c r="C40720" s="74" t="s">
        <v>341</v>
      </c>
    </row>
    <row r="40721" spans="1:3">
      <c r="A40721" s="250">
        <v>97520</v>
      </c>
      <c r="B40721" s="74" t="s">
        <v>782</v>
      </c>
      <c r="C40721" s="74" t="s">
        <v>341</v>
      </c>
    </row>
    <row r="40722" spans="1:3">
      <c r="A40722" s="250">
        <v>97522</v>
      </c>
      <c r="B40722" s="74" t="s">
        <v>18685</v>
      </c>
      <c r="C40722" s="74" t="s">
        <v>341</v>
      </c>
    </row>
    <row r="40723" spans="1:3">
      <c r="A40723" s="250">
        <v>97523</v>
      </c>
      <c r="B40723" s="74" t="s">
        <v>18686</v>
      </c>
      <c r="C40723" s="74" t="s">
        <v>341</v>
      </c>
    </row>
    <row r="40724" spans="1:3">
      <c r="A40724" s="250">
        <v>97524</v>
      </c>
      <c r="B40724" s="74" t="s">
        <v>18687</v>
      </c>
      <c r="C40724" s="74" t="s">
        <v>341</v>
      </c>
    </row>
    <row r="40725" spans="1:3">
      <c r="A40725" s="250">
        <v>97525</v>
      </c>
      <c r="B40725" s="74" t="s">
        <v>7305</v>
      </c>
      <c r="C40725" s="74" t="s">
        <v>341</v>
      </c>
    </row>
    <row r="40726" spans="1:3">
      <c r="A40726" s="250">
        <v>97526</v>
      </c>
      <c r="B40726" s="74" t="s">
        <v>18688</v>
      </c>
      <c r="C40726" s="74" t="s">
        <v>341</v>
      </c>
    </row>
    <row r="40727" spans="1:3">
      <c r="A40727" s="250">
        <v>97527</v>
      </c>
      <c r="B40727" s="74" t="s">
        <v>18688</v>
      </c>
      <c r="C40727" s="74" t="s">
        <v>341</v>
      </c>
    </row>
    <row r="40728" spans="1:3">
      <c r="A40728" s="250">
        <v>97528</v>
      </c>
      <c r="B40728" s="74" t="s">
        <v>18688</v>
      </c>
      <c r="C40728" s="74" t="s">
        <v>341</v>
      </c>
    </row>
    <row r="40729" spans="1:3">
      <c r="A40729" s="250">
        <v>97530</v>
      </c>
      <c r="B40729" s="74" t="s">
        <v>1782</v>
      </c>
      <c r="C40729" s="74" t="s">
        <v>341</v>
      </c>
    </row>
    <row r="40730" spans="1:3">
      <c r="A40730" s="250">
        <v>97531</v>
      </c>
      <c r="B40730" s="74" t="s">
        <v>18689</v>
      </c>
      <c r="C40730" s="74" t="s">
        <v>341</v>
      </c>
    </row>
    <row r="40731" spans="1:3">
      <c r="A40731" s="250">
        <v>97532</v>
      </c>
      <c r="B40731" s="74" t="s">
        <v>18690</v>
      </c>
      <c r="C40731" s="74" t="s">
        <v>341</v>
      </c>
    </row>
    <row r="40732" spans="1:3">
      <c r="A40732" s="250">
        <v>97533</v>
      </c>
      <c r="B40732" s="74" t="s">
        <v>7591</v>
      </c>
      <c r="C40732" s="74" t="s">
        <v>341</v>
      </c>
    </row>
    <row r="40733" spans="1:3">
      <c r="A40733" s="250">
        <v>97534</v>
      </c>
      <c r="B40733" s="74" t="s">
        <v>8229</v>
      </c>
      <c r="C40733" s="74" t="s">
        <v>341</v>
      </c>
    </row>
    <row r="40734" spans="1:3">
      <c r="A40734" s="250">
        <v>97535</v>
      </c>
      <c r="B40734" s="74" t="s">
        <v>3402</v>
      </c>
      <c r="C40734" s="74" t="s">
        <v>341</v>
      </c>
    </row>
    <row r="40735" spans="1:3">
      <c r="A40735" s="250">
        <v>97536</v>
      </c>
      <c r="B40735" s="74" t="s">
        <v>2079</v>
      </c>
      <c r="C40735" s="74" t="s">
        <v>341</v>
      </c>
    </row>
    <row r="40736" spans="1:3">
      <c r="A40736" s="250">
        <v>97537</v>
      </c>
      <c r="B40736" s="74" t="s">
        <v>18691</v>
      </c>
      <c r="C40736" s="74" t="s">
        <v>341</v>
      </c>
    </row>
    <row r="40737" spans="1:3">
      <c r="A40737" s="250">
        <v>97538</v>
      </c>
      <c r="B40737" s="74" t="s">
        <v>6404</v>
      </c>
      <c r="C40737" s="74" t="s">
        <v>341</v>
      </c>
    </row>
    <row r="40738" spans="1:3">
      <c r="A40738" s="250">
        <v>97539</v>
      </c>
      <c r="B40738" s="74" t="s">
        <v>18692</v>
      </c>
      <c r="C40738" s="74" t="s">
        <v>341</v>
      </c>
    </row>
    <row r="40739" spans="1:3">
      <c r="A40739" s="250">
        <v>97540</v>
      </c>
      <c r="B40739" s="74" t="s">
        <v>18693</v>
      </c>
      <c r="C40739" s="74" t="s">
        <v>341</v>
      </c>
    </row>
    <row r="40740" spans="1:3">
      <c r="A40740" s="250">
        <v>97541</v>
      </c>
      <c r="B40740" s="74" t="s">
        <v>12774</v>
      </c>
      <c r="C40740" s="74" t="s">
        <v>341</v>
      </c>
    </row>
    <row r="40741" spans="1:3">
      <c r="A40741" s="250">
        <v>97543</v>
      </c>
      <c r="B40741" s="74" t="s">
        <v>18694</v>
      </c>
      <c r="C40741" s="74" t="s">
        <v>341</v>
      </c>
    </row>
    <row r="40742" spans="1:3">
      <c r="A40742" s="250">
        <v>97544</v>
      </c>
      <c r="B40742" s="74" t="s">
        <v>7725</v>
      </c>
      <c r="C40742" s="74" t="s">
        <v>341</v>
      </c>
    </row>
    <row r="40743" spans="1:3">
      <c r="A40743" s="250">
        <v>97601</v>
      </c>
      <c r="B40743" s="74" t="s">
        <v>18695</v>
      </c>
      <c r="C40743" s="74" t="s">
        <v>341</v>
      </c>
    </row>
    <row r="40744" spans="1:3">
      <c r="A40744" s="250">
        <v>97602</v>
      </c>
      <c r="B40744" s="74" t="s">
        <v>18695</v>
      </c>
      <c r="C40744" s="74" t="s">
        <v>341</v>
      </c>
    </row>
    <row r="40745" spans="1:3">
      <c r="A40745" s="250">
        <v>97603</v>
      </c>
      <c r="B40745" s="74" t="s">
        <v>18695</v>
      </c>
      <c r="C40745" s="74" t="s">
        <v>341</v>
      </c>
    </row>
    <row r="40746" spans="1:3">
      <c r="A40746" s="250">
        <v>97604</v>
      </c>
      <c r="B40746" s="74" t="s">
        <v>18696</v>
      </c>
      <c r="C40746" s="74" t="s">
        <v>341</v>
      </c>
    </row>
    <row r="40747" spans="1:3">
      <c r="A40747" s="250">
        <v>97620</v>
      </c>
      <c r="B40747" s="74" t="s">
        <v>8143</v>
      </c>
      <c r="C40747" s="74" t="s">
        <v>341</v>
      </c>
    </row>
    <row r="40748" spans="1:3">
      <c r="A40748" s="250">
        <v>97621</v>
      </c>
      <c r="B40748" s="74" t="s">
        <v>17582</v>
      </c>
      <c r="C40748" s="74" t="s">
        <v>341</v>
      </c>
    </row>
    <row r="40749" spans="1:3">
      <c r="A40749" s="250">
        <v>97622</v>
      </c>
      <c r="B40749" s="74" t="s">
        <v>18697</v>
      </c>
      <c r="C40749" s="74" t="s">
        <v>341</v>
      </c>
    </row>
    <row r="40750" spans="1:3">
      <c r="A40750" s="250">
        <v>97623</v>
      </c>
      <c r="B40750" s="74" t="s">
        <v>17059</v>
      </c>
      <c r="C40750" s="74" t="s">
        <v>341</v>
      </c>
    </row>
    <row r="40751" spans="1:3">
      <c r="A40751" s="250">
        <v>97624</v>
      </c>
      <c r="B40751" s="74" t="s">
        <v>18698</v>
      </c>
      <c r="C40751" s="74" t="s">
        <v>341</v>
      </c>
    </row>
    <row r="40752" spans="1:3">
      <c r="A40752" s="250">
        <v>97625</v>
      </c>
      <c r="B40752" s="74" t="s">
        <v>18699</v>
      </c>
      <c r="C40752" s="74" t="s">
        <v>341</v>
      </c>
    </row>
    <row r="40753" spans="1:3">
      <c r="A40753" s="250">
        <v>97626</v>
      </c>
      <c r="B40753" s="74" t="s">
        <v>18700</v>
      </c>
      <c r="C40753" s="74" t="s">
        <v>341</v>
      </c>
    </row>
    <row r="40754" spans="1:3">
      <c r="A40754" s="250">
        <v>97627</v>
      </c>
      <c r="B40754" s="74" t="s">
        <v>18701</v>
      </c>
      <c r="C40754" s="74" t="s">
        <v>341</v>
      </c>
    </row>
    <row r="40755" spans="1:3">
      <c r="A40755" s="250">
        <v>97630</v>
      </c>
      <c r="B40755" s="74" t="s">
        <v>7360</v>
      </c>
      <c r="C40755" s="74" t="s">
        <v>341</v>
      </c>
    </row>
    <row r="40756" spans="1:3">
      <c r="A40756" s="250">
        <v>97632</v>
      </c>
      <c r="B40756" s="74" t="s">
        <v>18702</v>
      </c>
      <c r="C40756" s="74" t="s">
        <v>341</v>
      </c>
    </row>
    <row r="40757" spans="1:3">
      <c r="A40757" s="250">
        <v>97633</v>
      </c>
      <c r="B40757" s="74" t="s">
        <v>11102</v>
      </c>
      <c r="C40757" s="74" t="s">
        <v>341</v>
      </c>
    </row>
    <row r="40758" spans="1:3">
      <c r="A40758" s="250">
        <v>97634</v>
      </c>
      <c r="B40758" s="74" t="s">
        <v>3994</v>
      </c>
      <c r="C40758" s="74" t="s">
        <v>341</v>
      </c>
    </row>
    <row r="40759" spans="1:3">
      <c r="A40759" s="250">
        <v>97635</v>
      </c>
      <c r="B40759" s="74" t="s">
        <v>18703</v>
      </c>
      <c r="C40759" s="74" t="s">
        <v>341</v>
      </c>
    </row>
    <row r="40760" spans="1:3">
      <c r="A40760" s="250">
        <v>97636</v>
      </c>
      <c r="B40760" s="74" t="s">
        <v>8386</v>
      </c>
      <c r="C40760" s="74" t="s">
        <v>341</v>
      </c>
    </row>
    <row r="40761" spans="1:3">
      <c r="A40761" s="250">
        <v>97637</v>
      </c>
      <c r="B40761" s="74" t="s">
        <v>18704</v>
      </c>
      <c r="C40761" s="74" t="s">
        <v>341</v>
      </c>
    </row>
    <row r="40762" spans="1:3">
      <c r="A40762" s="250">
        <v>97638</v>
      </c>
      <c r="B40762" s="74" t="s">
        <v>1339</v>
      </c>
      <c r="C40762" s="74" t="s">
        <v>341</v>
      </c>
    </row>
    <row r="40763" spans="1:3">
      <c r="A40763" s="250">
        <v>97639</v>
      </c>
      <c r="B40763" s="74" t="s">
        <v>18705</v>
      </c>
      <c r="C40763" s="74" t="s">
        <v>341</v>
      </c>
    </row>
    <row r="40764" spans="1:3">
      <c r="A40764" s="250">
        <v>97640</v>
      </c>
      <c r="B40764" s="74" t="s">
        <v>18706</v>
      </c>
      <c r="C40764" s="74" t="s">
        <v>341</v>
      </c>
    </row>
    <row r="40765" spans="1:3">
      <c r="A40765" s="250">
        <v>97641</v>
      </c>
      <c r="B40765" s="74" t="s">
        <v>18707</v>
      </c>
      <c r="C40765" s="74" t="s">
        <v>341</v>
      </c>
    </row>
    <row r="40766" spans="1:3">
      <c r="A40766" s="250">
        <v>97701</v>
      </c>
      <c r="B40766" s="74" t="s">
        <v>16083</v>
      </c>
      <c r="C40766" s="74" t="s">
        <v>341</v>
      </c>
    </row>
    <row r="40767" spans="1:3">
      <c r="A40767" s="250">
        <v>97702</v>
      </c>
      <c r="B40767" s="74" t="s">
        <v>16083</v>
      </c>
      <c r="C40767" s="74" t="s">
        <v>341</v>
      </c>
    </row>
    <row r="40768" spans="1:3">
      <c r="A40768" s="250">
        <v>97707</v>
      </c>
      <c r="B40768" s="74" t="s">
        <v>16083</v>
      </c>
      <c r="C40768" s="74" t="s">
        <v>341</v>
      </c>
    </row>
    <row r="40769" spans="1:3">
      <c r="A40769" s="250">
        <v>97708</v>
      </c>
      <c r="B40769" s="74" t="s">
        <v>16083</v>
      </c>
      <c r="C40769" s="74" t="s">
        <v>341</v>
      </c>
    </row>
    <row r="40770" spans="1:3">
      <c r="A40770" s="250">
        <v>97709</v>
      </c>
      <c r="B40770" s="74" t="s">
        <v>16083</v>
      </c>
      <c r="C40770" s="74" t="s">
        <v>341</v>
      </c>
    </row>
    <row r="40771" spans="1:3">
      <c r="A40771" s="250">
        <v>97710</v>
      </c>
      <c r="B40771" s="74" t="s">
        <v>18708</v>
      </c>
      <c r="C40771" s="74" t="s">
        <v>341</v>
      </c>
    </row>
    <row r="40772" spans="1:3">
      <c r="A40772" s="250">
        <v>97711</v>
      </c>
      <c r="B40772" s="74" t="s">
        <v>18709</v>
      </c>
      <c r="C40772" s="74" t="s">
        <v>341</v>
      </c>
    </row>
    <row r="40773" spans="1:3">
      <c r="A40773" s="250">
        <v>97712</v>
      </c>
      <c r="B40773" s="74" t="s">
        <v>18710</v>
      </c>
      <c r="C40773" s="74" t="s">
        <v>341</v>
      </c>
    </row>
    <row r="40774" spans="1:3">
      <c r="A40774" s="250">
        <v>97720</v>
      </c>
      <c r="B40774" s="74" t="s">
        <v>8991</v>
      </c>
      <c r="C40774" s="74" t="s">
        <v>341</v>
      </c>
    </row>
    <row r="40775" spans="1:3">
      <c r="A40775" s="250">
        <v>97721</v>
      </c>
      <c r="B40775" s="74" t="s">
        <v>755</v>
      </c>
      <c r="C40775" s="74" t="s">
        <v>341</v>
      </c>
    </row>
    <row r="40776" spans="1:3">
      <c r="A40776" s="250">
        <v>97722</v>
      </c>
      <c r="B40776" s="74" t="s">
        <v>10358</v>
      </c>
      <c r="C40776" s="74" t="s">
        <v>341</v>
      </c>
    </row>
    <row r="40777" spans="1:3">
      <c r="A40777" s="250">
        <v>97730</v>
      </c>
      <c r="B40777" s="74" t="s">
        <v>18711</v>
      </c>
      <c r="C40777" s="74" t="s">
        <v>341</v>
      </c>
    </row>
    <row r="40778" spans="1:3">
      <c r="A40778" s="250">
        <v>97731</v>
      </c>
      <c r="B40778" s="74" t="s">
        <v>18712</v>
      </c>
      <c r="C40778" s="74" t="s">
        <v>341</v>
      </c>
    </row>
    <row r="40779" spans="1:3">
      <c r="A40779" s="250">
        <v>97732</v>
      </c>
      <c r="B40779" s="74" t="s">
        <v>10878</v>
      </c>
      <c r="C40779" s="74" t="s">
        <v>341</v>
      </c>
    </row>
    <row r="40780" spans="1:3">
      <c r="A40780" s="250">
        <v>97733</v>
      </c>
      <c r="B40780" s="74" t="s">
        <v>3984</v>
      </c>
      <c r="C40780" s="74" t="s">
        <v>341</v>
      </c>
    </row>
    <row r="40781" spans="1:3">
      <c r="A40781" s="250">
        <v>97734</v>
      </c>
      <c r="B40781" s="74" t="s">
        <v>10709</v>
      </c>
      <c r="C40781" s="74" t="s">
        <v>341</v>
      </c>
    </row>
    <row r="40782" spans="1:3">
      <c r="A40782" s="250">
        <v>97735</v>
      </c>
      <c r="B40782" s="74" t="s">
        <v>18713</v>
      </c>
      <c r="C40782" s="74" t="s">
        <v>341</v>
      </c>
    </row>
    <row r="40783" spans="1:3">
      <c r="A40783" s="250">
        <v>97736</v>
      </c>
      <c r="B40783" s="74" t="s">
        <v>18714</v>
      </c>
      <c r="C40783" s="74" t="s">
        <v>341</v>
      </c>
    </row>
    <row r="40784" spans="1:3">
      <c r="A40784" s="250">
        <v>97737</v>
      </c>
      <c r="B40784" s="74" t="s">
        <v>16208</v>
      </c>
      <c r="C40784" s="74" t="s">
        <v>341</v>
      </c>
    </row>
    <row r="40785" spans="1:3">
      <c r="A40785" s="250">
        <v>97738</v>
      </c>
      <c r="B40785" s="74" t="s">
        <v>12749</v>
      </c>
      <c r="C40785" s="74" t="s">
        <v>341</v>
      </c>
    </row>
    <row r="40786" spans="1:3">
      <c r="A40786" s="250">
        <v>97739</v>
      </c>
      <c r="B40786" s="74" t="s">
        <v>18715</v>
      </c>
      <c r="C40786" s="74" t="s">
        <v>341</v>
      </c>
    </row>
    <row r="40787" spans="1:3">
      <c r="A40787" s="250">
        <v>97741</v>
      </c>
      <c r="B40787" s="74" t="s">
        <v>18716</v>
      </c>
      <c r="C40787" s="74" t="s">
        <v>341</v>
      </c>
    </row>
    <row r="40788" spans="1:3">
      <c r="A40788" s="250">
        <v>97750</v>
      </c>
      <c r="B40788" s="74" t="s">
        <v>8057</v>
      </c>
      <c r="C40788" s="74" t="s">
        <v>341</v>
      </c>
    </row>
    <row r="40789" spans="1:3">
      <c r="A40789" s="250">
        <v>97751</v>
      </c>
      <c r="B40789" s="74" t="s">
        <v>15073</v>
      </c>
      <c r="C40789" s="74" t="s">
        <v>341</v>
      </c>
    </row>
    <row r="40790" spans="1:3">
      <c r="A40790" s="250">
        <v>97752</v>
      </c>
      <c r="B40790" s="74" t="s">
        <v>16555</v>
      </c>
      <c r="C40790" s="74" t="s">
        <v>341</v>
      </c>
    </row>
    <row r="40791" spans="1:3">
      <c r="A40791" s="250">
        <v>97753</v>
      </c>
      <c r="B40791" s="74" t="s">
        <v>18717</v>
      </c>
      <c r="C40791" s="74" t="s">
        <v>341</v>
      </c>
    </row>
    <row r="40792" spans="1:3">
      <c r="A40792" s="250">
        <v>97754</v>
      </c>
      <c r="B40792" s="74" t="s">
        <v>18718</v>
      </c>
      <c r="C40792" s="74" t="s">
        <v>341</v>
      </c>
    </row>
    <row r="40793" spans="1:3">
      <c r="A40793" s="250">
        <v>97756</v>
      </c>
      <c r="B40793" s="74" t="s">
        <v>17129</v>
      </c>
      <c r="C40793" s="74" t="s">
        <v>341</v>
      </c>
    </row>
    <row r="40794" spans="1:3">
      <c r="A40794" s="250">
        <v>97758</v>
      </c>
      <c r="B40794" s="74" t="s">
        <v>10946</v>
      </c>
      <c r="C40794" s="74" t="s">
        <v>341</v>
      </c>
    </row>
    <row r="40795" spans="1:3">
      <c r="A40795" s="250">
        <v>97759</v>
      </c>
      <c r="B40795" s="74" t="s">
        <v>18719</v>
      </c>
      <c r="C40795" s="74" t="s">
        <v>341</v>
      </c>
    </row>
    <row r="40796" spans="1:3">
      <c r="A40796" s="250">
        <v>97760</v>
      </c>
      <c r="B40796" s="74" t="s">
        <v>18720</v>
      </c>
      <c r="C40796" s="74" t="s">
        <v>341</v>
      </c>
    </row>
    <row r="40797" spans="1:3">
      <c r="A40797" s="250">
        <v>97761</v>
      </c>
      <c r="B40797" s="74" t="s">
        <v>6409</v>
      </c>
      <c r="C40797" s="74" t="s">
        <v>341</v>
      </c>
    </row>
    <row r="40798" spans="1:3">
      <c r="A40798" s="250">
        <v>97801</v>
      </c>
      <c r="B40798" s="74" t="s">
        <v>7210</v>
      </c>
      <c r="C40798" s="74" t="s">
        <v>341</v>
      </c>
    </row>
    <row r="40799" spans="1:3">
      <c r="A40799" s="250">
        <v>97810</v>
      </c>
      <c r="B40799" s="74" t="s">
        <v>638</v>
      </c>
      <c r="C40799" s="74" t="s">
        <v>341</v>
      </c>
    </row>
    <row r="40800" spans="1:3">
      <c r="A40800" s="250">
        <v>97812</v>
      </c>
      <c r="B40800" s="74" t="s">
        <v>984</v>
      </c>
      <c r="C40800" s="74" t="s">
        <v>341</v>
      </c>
    </row>
    <row r="40801" spans="1:3">
      <c r="A40801" s="250">
        <v>97813</v>
      </c>
      <c r="B40801" s="74" t="s">
        <v>18721</v>
      </c>
      <c r="C40801" s="74" t="s">
        <v>341</v>
      </c>
    </row>
    <row r="40802" spans="1:3">
      <c r="A40802" s="250">
        <v>97814</v>
      </c>
      <c r="B40802" s="74" t="s">
        <v>18722</v>
      </c>
      <c r="C40802" s="74" t="s">
        <v>341</v>
      </c>
    </row>
    <row r="40803" spans="1:3">
      <c r="A40803" s="250">
        <v>97817</v>
      </c>
      <c r="B40803" s="74" t="s">
        <v>18723</v>
      </c>
      <c r="C40803" s="74" t="s">
        <v>341</v>
      </c>
    </row>
    <row r="40804" spans="1:3">
      <c r="A40804" s="250">
        <v>97818</v>
      </c>
      <c r="B40804" s="74" t="s">
        <v>18724</v>
      </c>
      <c r="C40804" s="74" t="s">
        <v>341</v>
      </c>
    </row>
    <row r="40805" spans="1:3">
      <c r="A40805" s="250">
        <v>97819</v>
      </c>
      <c r="B40805" s="74" t="s">
        <v>2077</v>
      </c>
      <c r="C40805" s="74" t="s">
        <v>341</v>
      </c>
    </row>
    <row r="40806" spans="1:3">
      <c r="A40806" s="250">
        <v>97820</v>
      </c>
      <c r="B40806" s="74" t="s">
        <v>18725</v>
      </c>
      <c r="C40806" s="74" t="s">
        <v>341</v>
      </c>
    </row>
    <row r="40807" spans="1:3">
      <c r="A40807" s="250">
        <v>97823</v>
      </c>
      <c r="B40807" s="74" t="s">
        <v>13393</v>
      </c>
      <c r="C40807" s="74" t="s">
        <v>341</v>
      </c>
    </row>
    <row r="40808" spans="1:3">
      <c r="A40808" s="250">
        <v>97824</v>
      </c>
      <c r="B40808" s="74" t="s">
        <v>15250</v>
      </c>
      <c r="C40808" s="74" t="s">
        <v>341</v>
      </c>
    </row>
    <row r="40809" spans="1:3">
      <c r="A40809" s="250">
        <v>97825</v>
      </c>
      <c r="B40809" s="74" t="s">
        <v>1987</v>
      </c>
      <c r="C40809" s="74" t="s">
        <v>341</v>
      </c>
    </row>
    <row r="40810" spans="1:3">
      <c r="A40810" s="250">
        <v>97826</v>
      </c>
      <c r="B40810" s="74" t="s">
        <v>12610</v>
      </c>
      <c r="C40810" s="74" t="s">
        <v>341</v>
      </c>
    </row>
    <row r="40811" spans="1:3">
      <c r="A40811" s="250">
        <v>97827</v>
      </c>
      <c r="B40811" s="74" t="s">
        <v>4511</v>
      </c>
      <c r="C40811" s="74" t="s">
        <v>341</v>
      </c>
    </row>
    <row r="40812" spans="1:3">
      <c r="A40812" s="250">
        <v>97828</v>
      </c>
      <c r="B40812" s="74" t="s">
        <v>6981</v>
      </c>
      <c r="C40812" s="74" t="s">
        <v>341</v>
      </c>
    </row>
    <row r="40813" spans="1:3">
      <c r="A40813" s="250">
        <v>97830</v>
      </c>
      <c r="B40813" s="74" t="s">
        <v>18726</v>
      </c>
      <c r="C40813" s="74" t="s">
        <v>341</v>
      </c>
    </row>
    <row r="40814" spans="1:3">
      <c r="A40814" s="250">
        <v>97833</v>
      </c>
      <c r="B40814" s="74" t="s">
        <v>18727</v>
      </c>
      <c r="C40814" s="74" t="s">
        <v>341</v>
      </c>
    </row>
    <row r="40815" spans="1:3">
      <c r="A40815" s="250">
        <v>97834</v>
      </c>
      <c r="B40815" s="74" t="s">
        <v>18728</v>
      </c>
      <c r="C40815" s="74" t="s">
        <v>341</v>
      </c>
    </row>
    <row r="40816" spans="1:3">
      <c r="A40816" s="250">
        <v>97835</v>
      </c>
      <c r="B40816" s="74" t="s">
        <v>18729</v>
      </c>
      <c r="C40816" s="74" t="s">
        <v>341</v>
      </c>
    </row>
    <row r="40817" spans="1:3">
      <c r="A40817" s="250">
        <v>97836</v>
      </c>
      <c r="B40817" s="74" t="s">
        <v>18730</v>
      </c>
      <c r="C40817" s="74" t="s">
        <v>341</v>
      </c>
    </row>
    <row r="40818" spans="1:3">
      <c r="A40818" s="250">
        <v>97837</v>
      </c>
      <c r="B40818" s="74" t="s">
        <v>5047</v>
      </c>
      <c r="C40818" s="74" t="s">
        <v>341</v>
      </c>
    </row>
    <row r="40819" spans="1:3">
      <c r="A40819" s="250">
        <v>97838</v>
      </c>
      <c r="B40819" s="74" t="s">
        <v>18731</v>
      </c>
      <c r="C40819" s="74" t="s">
        <v>341</v>
      </c>
    </row>
    <row r="40820" spans="1:3">
      <c r="A40820" s="250">
        <v>97839</v>
      </c>
      <c r="B40820" s="74" t="s">
        <v>966</v>
      </c>
      <c r="C40820" s="74" t="s">
        <v>341</v>
      </c>
    </row>
    <row r="40821" spans="1:3">
      <c r="A40821" s="250">
        <v>97840</v>
      </c>
      <c r="B40821" s="74" t="s">
        <v>1643</v>
      </c>
      <c r="C40821" s="74" t="s">
        <v>341</v>
      </c>
    </row>
    <row r="40822" spans="1:3">
      <c r="A40822" s="250">
        <v>97841</v>
      </c>
      <c r="B40822" s="74" t="s">
        <v>18732</v>
      </c>
      <c r="C40822" s="74" t="s">
        <v>341</v>
      </c>
    </row>
    <row r="40823" spans="1:3">
      <c r="A40823" s="250">
        <v>97842</v>
      </c>
      <c r="B40823" s="74" t="s">
        <v>18733</v>
      </c>
      <c r="C40823" s="74" t="s">
        <v>341</v>
      </c>
    </row>
    <row r="40824" spans="1:3">
      <c r="A40824" s="250">
        <v>97843</v>
      </c>
      <c r="B40824" s="74" t="s">
        <v>18293</v>
      </c>
      <c r="C40824" s="74" t="s">
        <v>341</v>
      </c>
    </row>
    <row r="40825" spans="1:3">
      <c r="A40825" s="250">
        <v>97844</v>
      </c>
      <c r="B40825" s="74" t="s">
        <v>18734</v>
      </c>
      <c r="C40825" s="74" t="s">
        <v>341</v>
      </c>
    </row>
    <row r="40826" spans="1:3">
      <c r="A40826" s="250">
        <v>97845</v>
      </c>
      <c r="B40826" s="74" t="s">
        <v>18735</v>
      </c>
      <c r="C40826" s="74" t="s">
        <v>341</v>
      </c>
    </row>
    <row r="40827" spans="1:3">
      <c r="A40827" s="250">
        <v>97846</v>
      </c>
      <c r="B40827" s="74" t="s">
        <v>17146</v>
      </c>
      <c r="C40827" s="74" t="s">
        <v>341</v>
      </c>
    </row>
    <row r="40828" spans="1:3">
      <c r="A40828" s="250">
        <v>97848</v>
      </c>
      <c r="B40828" s="74" t="s">
        <v>6621</v>
      </c>
      <c r="C40828" s="74" t="s">
        <v>341</v>
      </c>
    </row>
    <row r="40829" spans="1:3">
      <c r="A40829" s="250">
        <v>97850</v>
      </c>
      <c r="B40829" s="74" t="s">
        <v>18736</v>
      </c>
      <c r="C40829" s="74" t="s">
        <v>341</v>
      </c>
    </row>
    <row r="40830" spans="1:3">
      <c r="A40830" s="250">
        <v>97856</v>
      </c>
      <c r="B40830" s="74" t="s">
        <v>7781</v>
      </c>
      <c r="C40830" s="74" t="s">
        <v>341</v>
      </c>
    </row>
    <row r="40831" spans="1:3">
      <c r="A40831" s="250">
        <v>97857</v>
      </c>
      <c r="B40831" s="74" t="s">
        <v>18737</v>
      </c>
      <c r="C40831" s="74" t="s">
        <v>341</v>
      </c>
    </row>
    <row r="40832" spans="1:3">
      <c r="A40832" s="250">
        <v>97859</v>
      </c>
      <c r="B40832" s="74" t="s">
        <v>18738</v>
      </c>
      <c r="C40832" s="74" t="s">
        <v>341</v>
      </c>
    </row>
    <row r="40833" spans="1:3">
      <c r="A40833" s="250">
        <v>97861</v>
      </c>
      <c r="B40833" s="74" t="s">
        <v>18739</v>
      </c>
      <c r="C40833" s="74" t="s">
        <v>341</v>
      </c>
    </row>
    <row r="40834" spans="1:3">
      <c r="A40834" s="250">
        <v>97862</v>
      </c>
      <c r="B40834" s="74" t="s">
        <v>18740</v>
      </c>
      <c r="C40834" s="74" t="s">
        <v>341</v>
      </c>
    </row>
    <row r="40835" spans="1:3">
      <c r="A40835" s="250">
        <v>97864</v>
      </c>
      <c r="B40835" s="74" t="s">
        <v>14708</v>
      </c>
      <c r="C40835" s="74" t="s">
        <v>341</v>
      </c>
    </row>
    <row r="40836" spans="1:3">
      <c r="A40836" s="250">
        <v>97865</v>
      </c>
      <c r="B40836" s="74" t="s">
        <v>1481</v>
      </c>
      <c r="C40836" s="74" t="s">
        <v>341</v>
      </c>
    </row>
    <row r="40837" spans="1:3">
      <c r="A40837" s="250">
        <v>97867</v>
      </c>
      <c r="B40837" s="74" t="s">
        <v>18741</v>
      </c>
      <c r="C40837" s="74" t="s">
        <v>341</v>
      </c>
    </row>
    <row r="40838" spans="1:3">
      <c r="A40838" s="250">
        <v>97868</v>
      </c>
      <c r="B40838" s="74" t="s">
        <v>18742</v>
      </c>
      <c r="C40838" s="74" t="s">
        <v>341</v>
      </c>
    </row>
    <row r="40839" spans="1:3">
      <c r="A40839" s="250">
        <v>97869</v>
      </c>
      <c r="B40839" s="74" t="s">
        <v>11540</v>
      </c>
      <c r="C40839" s="74" t="s">
        <v>341</v>
      </c>
    </row>
    <row r="40840" spans="1:3">
      <c r="A40840" s="250">
        <v>97870</v>
      </c>
      <c r="B40840" s="74" t="s">
        <v>2499</v>
      </c>
      <c r="C40840" s="74" t="s">
        <v>341</v>
      </c>
    </row>
    <row r="40841" spans="1:3">
      <c r="A40841" s="250">
        <v>97873</v>
      </c>
      <c r="B40841" s="74" t="s">
        <v>4492</v>
      </c>
      <c r="C40841" s="74" t="s">
        <v>341</v>
      </c>
    </row>
    <row r="40842" spans="1:3">
      <c r="A40842" s="250">
        <v>97874</v>
      </c>
      <c r="B40842" s="74" t="s">
        <v>18743</v>
      </c>
      <c r="C40842" s="74" t="s">
        <v>341</v>
      </c>
    </row>
    <row r="40843" spans="1:3">
      <c r="A40843" s="250">
        <v>97875</v>
      </c>
      <c r="B40843" s="74" t="s">
        <v>7337</v>
      </c>
      <c r="C40843" s="74" t="s">
        <v>341</v>
      </c>
    </row>
    <row r="40844" spans="1:3">
      <c r="A40844" s="250">
        <v>97876</v>
      </c>
      <c r="B40844" s="74" t="s">
        <v>4337</v>
      </c>
      <c r="C40844" s="74" t="s">
        <v>341</v>
      </c>
    </row>
    <row r="40845" spans="1:3">
      <c r="A40845" s="250">
        <v>97877</v>
      </c>
      <c r="B40845" s="74" t="s">
        <v>18744</v>
      </c>
      <c r="C40845" s="74" t="s">
        <v>341</v>
      </c>
    </row>
    <row r="40846" spans="1:3">
      <c r="A40846" s="250">
        <v>97880</v>
      </c>
      <c r="B40846" s="74" t="s">
        <v>18236</v>
      </c>
      <c r="C40846" s="74" t="s">
        <v>341</v>
      </c>
    </row>
    <row r="40847" spans="1:3">
      <c r="A40847" s="250">
        <v>97882</v>
      </c>
      <c r="B40847" s="74" t="s">
        <v>8390</v>
      </c>
      <c r="C40847" s="74" t="s">
        <v>341</v>
      </c>
    </row>
    <row r="40848" spans="1:3">
      <c r="A40848" s="250">
        <v>97883</v>
      </c>
      <c r="B40848" s="74" t="s">
        <v>1346</v>
      </c>
      <c r="C40848" s="74" t="s">
        <v>341</v>
      </c>
    </row>
    <row r="40849" spans="1:3">
      <c r="A40849" s="250">
        <v>97884</v>
      </c>
      <c r="B40849" s="74" t="s">
        <v>1724</v>
      </c>
      <c r="C40849" s="74" t="s">
        <v>341</v>
      </c>
    </row>
    <row r="40850" spans="1:3">
      <c r="A40850" s="250">
        <v>97885</v>
      </c>
      <c r="B40850" s="74" t="s">
        <v>18745</v>
      </c>
      <c r="C40850" s="74" t="s">
        <v>341</v>
      </c>
    </row>
    <row r="40851" spans="1:3">
      <c r="A40851" s="250">
        <v>97886</v>
      </c>
      <c r="B40851" s="74" t="s">
        <v>991</v>
      </c>
      <c r="C40851" s="74" t="s">
        <v>341</v>
      </c>
    </row>
    <row r="40852" spans="1:3">
      <c r="A40852" s="250">
        <v>97901</v>
      </c>
      <c r="B40852" s="74" t="s">
        <v>4439</v>
      </c>
      <c r="C40852" s="74" t="s">
        <v>341</v>
      </c>
    </row>
    <row r="40853" spans="1:3">
      <c r="A40853" s="250">
        <v>97902</v>
      </c>
      <c r="B40853" s="74" t="s">
        <v>18746</v>
      </c>
      <c r="C40853" s="74" t="s">
        <v>341</v>
      </c>
    </row>
    <row r="40854" spans="1:3">
      <c r="A40854" s="250">
        <v>97903</v>
      </c>
      <c r="B40854" s="74" t="s">
        <v>18747</v>
      </c>
      <c r="C40854" s="74" t="s">
        <v>341</v>
      </c>
    </row>
    <row r="40855" spans="1:3">
      <c r="A40855" s="250">
        <v>97904</v>
      </c>
      <c r="B40855" s="74" t="s">
        <v>18748</v>
      </c>
      <c r="C40855" s="74" t="s">
        <v>341</v>
      </c>
    </row>
    <row r="40856" spans="1:3">
      <c r="A40856" s="250">
        <v>97905</v>
      </c>
      <c r="B40856" s="74" t="s">
        <v>18749</v>
      </c>
      <c r="C40856" s="74" t="s">
        <v>341</v>
      </c>
    </row>
    <row r="40857" spans="1:3">
      <c r="A40857" s="250">
        <v>97906</v>
      </c>
      <c r="B40857" s="74" t="s">
        <v>6798</v>
      </c>
      <c r="C40857" s="74" t="s">
        <v>341</v>
      </c>
    </row>
    <row r="40858" spans="1:3">
      <c r="A40858" s="250">
        <v>97907</v>
      </c>
      <c r="B40858" s="74" t="s">
        <v>601</v>
      </c>
      <c r="C40858" s="74" t="s">
        <v>341</v>
      </c>
    </row>
    <row r="40859" spans="1:3">
      <c r="A40859" s="250">
        <v>97908</v>
      </c>
      <c r="B40859" s="74" t="s">
        <v>18750</v>
      </c>
      <c r="C40859" s="74" t="s">
        <v>341</v>
      </c>
    </row>
    <row r="40860" spans="1:3">
      <c r="A40860" s="250">
        <v>97909</v>
      </c>
      <c r="B40860" s="74" t="s">
        <v>18751</v>
      </c>
      <c r="C40860" s="74" t="s">
        <v>341</v>
      </c>
    </row>
    <row r="40861" spans="1:3">
      <c r="A40861" s="250">
        <v>97910</v>
      </c>
      <c r="B40861" s="74" t="s">
        <v>18752</v>
      </c>
      <c r="C40861" s="74" t="s">
        <v>341</v>
      </c>
    </row>
    <row r="40862" spans="1:3">
      <c r="A40862" s="250">
        <v>97911</v>
      </c>
      <c r="B40862" s="74" t="s">
        <v>18753</v>
      </c>
      <c r="C40862" s="74" t="s">
        <v>341</v>
      </c>
    </row>
    <row r="40863" spans="1:3">
      <c r="A40863" s="250">
        <v>97913</v>
      </c>
      <c r="B40863" s="74" t="s">
        <v>18754</v>
      </c>
      <c r="C40863" s="74" t="s">
        <v>341</v>
      </c>
    </row>
    <row r="40864" spans="1:3">
      <c r="A40864" s="250">
        <v>97914</v>
      </c>
      <c r="B40864" s="74" t="s">
        <v>3802</v>
      </c>
      <c r="C40864" s="74" t="s">
        <v>341</v>
      </c>
    </row>
    <row r="40865" spans="1:3">
      <c r="A40865" s="250">
        <v>97917</v>
      </c>
      <c r="B40865" s="74" t="s">
        <v>1147</v>
      </c>
      <c r="C40865" s="74" t="s">
        <v>341</v>
      </c>
    </row>
    <row r="40866" spans="1:3">
      <c r="A40866" s="250">
        <v>97918</v>
      </c>
      <c r="B40866" s="74" t="s">
        <v>7340</v>
      </c>
      <c r="C40866" s="74" t="s">
        <v>341</v>
      </c>
    </row>
    <row r="40867" spans="1:3">
      <c r="A40867" s="250">
        <v>97920</v>
      </c>
      <c r="B40867" s="74" t="s">
        <v>18755</v>
      </c>
      <c r="C40867" s="74" t="s">
        <v>341</v>
      </c>
    </row>
    <row r="40868" spans="1:3">
      <c r="A40868" s="250">
        <v>98001</v>
      </c>
      <c r="B40868" s="74" t="s">
        <v>724</v>
      </c>
      <c r="C40868" s="74" t="s">
        <v>457</v>
      </c>
    </row>
    <row r="40869" spans="1:3">
      <c r="A40869" s="250">
        <v>98002</v>
      </c>
      <c r="B40869" s="74" t="s">
        <v>724</v>
      </c>
      <c r="C40869" s="74" t="s">
        <v>457</v>
      </c>
    </row>
    <row r="40870" spans="1:3">
      <c r="A40870" s="250">
        <v>98003</v>
      </c>
      <c r="B40870" s="74" t="s">
        <v>18756</v>
      </c>
      <c r="C40870" s="74" t="s">
        <v>457</v>
      </c>
    </row>
    <row r="40871" spans="1:3">
      <c r="A40871" s="250">
        <v>98004</v>
      </c>
      <c r="B40871" s="74" t="s">
        <v>9741</v>
      </c>
      <c r="C40871" s="74" t="s">
        <v>457</v>
      </c>
    </row>
    <row r="40872" spans="1:3">
      <c r="A40872" s="250">
        <v>98005</v>
      </c>
      <c r="B40872" s="74" t="s">
        <v>9741</v>
      </c>
      <c r="C40872" s="74" t="s">
        <v>457</v>
      </c>
    </row>
    <row r="40873" spans="1:3">
      <c r="A40873" s="250">
        <v>98006</v>
      </c>
      <c r="B40873" s="74" t="s">
        <v>9741</v>
      </c>
      <c r="C40873" s="74" t="s">
        <v>457</v>
      </c>
    </row>
    <row r="40874" spans="1:3">
      <c r="A40874" s="250">
        <v>98007</v>
      </c>
      <c r="B40874" s="74" t="s">
        <v>9741</v>
      </c>
      <c r="C40874" s="74" t="s">
        <v>457</v>
      </c>
    </row>
    <row r="40875" spans="1:3">
      <c r="A40875" s="250">
        <v>98008</v>
      </c>
      <c r="B40875" s="74" t="s">
        <v>9741</v>
      </c>
      <c r="C40875" s="74" t="s">
        <v>457</v>
      </c>
    </row>
    <row r="40876" spans="1:3">
      <c r="A40876" s="250">
        <v>98009</v>
      </c>
      <c r="B40876" s="74" t="s">
        <v>9741</v>
      </c>
      <c r="C40876" s="74" t="s">
        <v>457</v>
      </c>
    </row>
    <row r="40877" spans="1:3">
      <c r="A40877" s="250">
        <v>98010</v>
      </c>
      <c r="B40877" s="74" t="s">
        <v>18757</v>
      </c>
      <c r="C40877" s="74" t="s">
        <v>457</v>
      </c>
    </row>
    <row r="40878" spans="1:3">
      <c r="A40878" s="250">
        <v>98011</v>
      </c>
      <c r="B40878" s="74" t="s">
        <v>18758</v>
      </c>
      <c r="C40878" s="74" t="s">
        <v>457</v>
      </c>
    </row>
    <row r="40879" spans="1:3">
      <c r="A40879" s="250">
        <v>98012</v>
      </c>
      <c r="B40879" s="74" t="s">
        <v>18758</v>
      </c>
      <c r="C40879" s="74" t="s">
        <v>457</v>
      </c>
    </row>
    <row r="40880" spans="1:3">
      <c r="A40880" s="250">
        <v>98013</v>
      </c>
      <c r="B40880" s="74" t="s">
        <v>6979</v>
      </c>
      <c r="C40880" s="74" t="s">
        <v>457</v>
      </c>
    </row>
    <row r="40881" spans="1:3">
      <c r="A40881" s="250">
        <v>98014</v>
      </c>
      <c r="B40881" s="74" t="s">
        <v>18759</v>
      </c>
      <c r="C40881" s="74" t="s">
        <v>457</v>
      </c>
    </row>
    <row r="40882" spans="1:3">
      <c r="A40882" s="250">
        <v>98015</v>
      </c>
      <c r="B40882" s="74" t="s">
        <v>9741</v>
      </c>
      <c r="C40882" s="74" t="s">
        <v>457</v>
      </c>
    </row>
    <row r="40883" spans="1:3">
      <c r="A40883" s="250">
        <v>98019</v>
      </c>
      <c r="B40883" s="74" t="s">
        <v>18760</v>
      </c>
      <c r="C40883" s="74" t="s">
        <v>457</v>
      </c>
    </row>
    <row r="40884" spans="1:3">
      <c r="A40884" s="250">
        <v>98020</v>
      </c>
      <c r="B40884" s="74" t="s">
        <v>18761</v>
      </c>
      <c r="C40884" s="74" t="s">
        <v>457</v>
      </c>
    </row>
    <row r="40885" spans="1:3">
      <c r="A40885" s="250">
        <v>98021</v>
      </c>
      <c r="B40885" s="74" t="s">
        <v>18758</v>
      </c>
      <c r="C40885" s="74" t="s">
        <v>457</v>
      </c>
    </row>
    <row r="40886" spans="1:3">
      <c r="A40886" s="250">
        <v>98022</v>
      </c>
      <c r="B40886" s="74" t="s">
        <v>18762</v>
      </c>
      <c r="C40886" s="74" t="s">
        <v>457</v>
      </c>
    </row>
    <row r="40887" spans="1:3">
      <c r="A40887" s="250">
        <v>98023</v>
      </c>
      <c r="B40887" s="74" t="s">
        <v>18756</v>
      </c>
      <c r="C40887" s="74" t="s">
        <v>457</v>
      </c>
    </row>
    <row r="40888" spans="1:3">
      <c r="A40888" s="250">
        <v>98024</v>
      </c>
      <c r="B40888" s="74" t="s">
        <v>18763</v>
      </c>
      <c r="C40888" s="74" t="s">
        <v>457</v>
      </c>
    </row>
    <row r="40889" spans="1:3">
      <c r="A40889" s="250">
        <v>98025</v>
      </c>
      <c r="B40889" s="74" t="s">
        <v>3622</v>
      </c>
      <c r="C40889" s="74" t="s">
        <v>457</v>
      </c>
    </row>
    <row r="40890" spans="1:3">
      <c r="A40890" s="250">
        <v>98026</v>
      </c>
      <c r="B40890" s="74" t="s">
        <v>18761</v>
      </c>
      <c r="C40890" s="74" t="s">
        <v>457</v>
      </c>
    </row>
    <row r="40891" spans="1:3">
      <c r="A40891" s="250">
        <v>98027</v>
      </c>
      <c r="B40891" s="74" t="s">
        <v>18764</v>
      </c>
      <c r="C40891" s="74" t="s">
        <v>457</v>
      </c>
    </row>
    <row r="40892" spans="1:3">
      <c r="A40892" s="250">
        <v>98028</v>
      </c>
      <c r="B40892" s="74" t="s">
        <v>18765</v>
      </c>
      <c r="C40892" s="74" t="s">
        <v>457</v>
      </c>
    </row>
    <row r="40893" spans="1:3">
      <c r="A40893" s="250">
        <v>98029</v>
      </c>
      <c r="B40893" s="74" t="s">
        <v>18764</v>
      </c>
      <c r="C40893" s="74" t="s">
        <v>457</v>
      </c>
    </row>
    <row r="40894" spans="1:3">
      <c r="A40894" s="250">
        <v>98030</v>
      </c>
      <c r="B40894" s="74" t="s">
        <v>2084</v>
      </c>
      <c r="C40894" s="74" t="s">
        <v>457</v>
      </c>
    </row>
    <row r="40895" spans="1:3">
      <c r="A40895" s="250">
        <v>98031</v>
      </c>
      <c r="B40895" s="74" t="s">
        <v>2084</v>
      </c>
      <c r="C40895" s="74" t="s">
        <v>457</v>
      </c>
    </row>
    <row r="40896" spans="1:3">
      <c r="A40896" s="250">
        <v>98032</v>
      </c>
      <c r="B40896" s="74" t="s">
        <v>2084</v>
      </c>
      <c r="C40896" s="74" t="s">
        <v>457</v>
      </c>
    </row>
    <row r="40897" spans="1:3">
      <c r="A40897" s="250">
        <v>98033</v>
      </c>
      <c r="B40897" s="74" t="s">
        <v>13476</v>
      </c>
      <c r="C40897" s="74" t="s">
        <v>457</v>
      </c>
    </row>
    <row r="40898" spans="1:3">
      <c r="A40898" s="250">
        <v>98034</v>
      </c>
      <c r="B40898" s="74" t="s">
        <v>13476</v>
      </c>
      <c r="C40898" s="74" t="s">
        <v>457</v>
      </c>
    </row>
    <row r="40899" spans="1:3">
      <c r="A40899" s="250">
        <v>98035</v>
      </c>
      <c r="B40899" s="74" t="s">
        <v>2084</v>
      </c>
      <c r="C40899" s="74" t="s">
        <v>457</v>
      </c>
    </row>
    <row r="40900" spans="1:3">
      <c r="A40900" s="250">
        <v>98036</v>
      </c>
      <c r="B40900" s="74" t="s">
        <v>18766</v>
      </c>
      <c r="C40900" s="74" t="s">
        <v>457</v>
      </c>
    </row>
    <row r="40901" spans="1:3">
      <c r="A40901" s="250">
        <v>98037</v>
      </c>
      <c r="B40901" s="74" t="s">
        <v>18766</v>
      </c>
      <c r="C40901" s="74" t="s">
        <v>457</v>
      </c>
    </row>
    <row r="40902" spans="1:3">
      <c r="A40902" s="250">
        <v>98038</v>
      </c>
      <c r="B40902" s="74" t="s">
        <v>18767</v>
      </c>
      <c r="C40902" s="74" t="s">
        <v>457</v>
      </c>
    </row>
    <row r="40903" spans="1:3">
      <c r="A40903" s="250">
        <v>98039</v>
      </c>
      <c r="B40903" s="74" t="s">
        <v>3719</v>
      </c>
      <c r="C40903" s="74" t="s">
        <v>457</v>
      </c>
    </row>
    <row r="40904" spans="1:3">
      <c r="A40904" s="250">
        <v>98040</v>
      </c>
      <c r="B40904" s="74" t="s">
        <v>18768</v>
      </c>
      <c r="C40904" s="74" t="s">
        <v>457</v>
      </c>
    </row>
    <row r="40905" spans="1:3">
      <c r="A40905" s="250">
        <v>98041</v>
      </c>
      <c r="B40905" s="74" t="s">
        <v>18758</v>
      </c>
      <c r="C40905" s="74" t="s">
        <v>457</v>
      </c>
    </row>
    <row r="40906" spans="1:3">
      <c r="A40906" s="250">
        <v>98042</v>
      </c>
      <c r="B40906" s="74" t="s">
        <v>2084</v>
      </c>
      <c r="C40906" s="74" t="s">
        <v>457</v>
      </c>
    </row>
    <row r="40907" spans="1:3">
      <c r="A40907" s="250">
        <v>98043</v>
      </c>
      <c r="B40907" s="74" t="s">
        <v>18769</v>
      </c>
      <c r="C40907" s="74" t="s">
        <v>457</v>
      </c>
    </row>
    <row r="40908" spans="1:3">
      <c r="A40908" s="250">
        <v>98045</v>
      </c>
      <c r="B40908" s="74" t="s">
        <v>4909</v>
      </c>
      <c r="C40908" s="74" t="s">
        <v>457</v>
      </c>
    </row>
    <row r="40909" spans="1:3">
      <c r="A40909" s="250">
        <v>98046</v>
      </c>
      <c r="B40909" s="74" t="s">
        <v>18766</v>
      </c>
      <c r="C40909" s="74" t="s">
        <v>457</v>
      </c>
    </row>
    <row r="40910" spans="1:3">
      <c r="A40910" s="250">
        <v>98047</v>
      </c>
      <c r="B40910" s="74" t="s">
        <v>14091</v>
      </c>
      <c r="C40910" s="74" t="s">
        <v>457</v>
      </c>
    </row>
    <row r="40911" spans="1:3">
      <c r="A40911" s="250">
        <v>98050</v>
      </c>
      <c r="B40911" s="74" t="s">
        <v>2023</v>
      </c>
      <c r="C40911" s="74" t="s">
        <v>457</v>
      </c>
    </row>
    <row r="40912" spans="1:3">
      <c r="A40912" s="250">
        <v>98051</v>
      </c>
      <c r="B40912" s="74" t="s">
        <v>18770</v>
      </c>
      <c r="C40912" s="74" t="s">
        <v>457</v>
      </c>
    </row>
    <row r="40913" spans="1:3">
      <c r="A40913" s="250">
        <v>98052</v>
      </c>
      <c r="B40913" s="74" t="s">
        <v>17129</v>
      </c>
      <c r="C40913" s="74" t="s">
        <v>457</v>
      </c>
    </row>
    <row r="40914" spans="1:3">
      <c r="A40914" s="250">
        <v>98053</v>
      </c>
      <c r="B40914" s="74" t="s">
        <v>17129</v>
      </c>
      <c r="C40914" s="74" t="s">
        <v>457</v>
      </c>
    </row>
    <row r="40915" spans="1:3">
      <c r="A40915" s="250">
        <v>98054</v>
      </c>
      <c r="B40915" s="74" t="s">
        <v>18771</v>
      </c>
      <c r="C40915" s="74" t="s">
        <v>457</v>
      </c>
    </row>
    <row r="40916" spans="1:3">
      <c r="A40916" s="250">
        <v>98055</v>
      </c>
      <c r="B40916" s="74" t="s">
        <v>18772</v>
      </c>
      <c r="C40916" s="74" t="s">
        <v>457</v>
      </c>
    </row>
    <row r="40917" spans="1:3">
      <c r="A40917" s="250">
        <v>98056</v>
      </c>
      <c r="B40917" s="74" t="s">
        <v>18772</v>
      </c>
      <c r="C40917" s="74" t="s">
        <v>457</v>
      </c>
    </row>
    <row r="40918" spans="1:3">
      <c r="A40918" s="250">
        <v>98057</v>
      </c>
      <c r="B40918" s="74" t="s">
        <v>18772</v>
      </c>
      <c r="C40918" s="74" t="s">
        <v>457</v>
      </c>
    </row>
    <row r="40919" spans="1:3">
      <c r="A40919" s="250">
        <v>98058</v>
      </c>
      <c r="B40919" s="74" t="s">
        <v>18772</v>
      </c>
      <c r="C40919" s="74" t="s">
        <v>457</v>
      </c>
    </row>
    <row r="40920" spans="1:3">
      <c r="A40920" s="250">
        <v>98059</v>
      </c>
      <c r="B40920" s="74" t="s">
        <v>18772</v>
      </c>
      <c r="C40920" s="74" t="s">
        <v>457</v>
      </c>
    </row>
    <row r="40921" spans="1:3">
      <c r="A40921" s="250">
        <v>98061</v>
      </c>
      <c r="B40921" s="74" t="s">
        <v>18773</v>
      </c>
      <c r="C40921" s="74" t="s">
        <v>457</v>
      </c>
    </row>
    <row r="40922" spans="1:3">
      <c r="A40922" s="250">
        <v>98062</v>
      </c>
      <c r="B40922" s="74" t="s">
        <v>18774</v>
      </c>
      <c r="C40922" s="74" t="s">
        <v>457</v>
      </c>
    </row>
    <row r="40923" spans="1:3">
      <c r="A40923" s="250">
        <v>98063</v>
      </c>
      <c r="B40923" s="74" t="s">
        <v>18756</v>
      </c>
      <c r="C40923" s="74" t="s">
        <v>457</v>
      </c>
    </row>
    <row r="40924" spans="1:3">
      <c r="A40924" s="250">
        <v>98064</v>
      </c>
      <c r="B40924" s="74" t="s">
        <v>2084</v>
      </c>
      <c r="C40924" s="74" t="s">
        <v>457</v>
      </c>
    </row>
    <row r="40925" spans="1:3">
      <c r="A40925" s="250">
        <v>98065</v>
      </c>
      <c r="B40925" s="74" t="s">
        <v>18775</v>
      </c>
      <c r="C40925" s="74" t="s">
        <v>457</v>
      </c>
    </row>
    <row r="40926" spans="1:3">
      <c r="A40926" s="250">
        <v>98068</v>
      </c>
      <c r="B40926" s="74" t="s">
        <v>18776</v>
      </c>
      <c r="C40926" s="74" t="s">
        <v>457</v>
      </c>
    </row>
    <row r="40927" spans="1:3">
      <c r="A40927" s="250">
        <v>98070</v>
      </c>
      <c r="B40927" s="74" t="s">
        <v>18777</v>
      </c>
      <c r="C40927" s="74" t="s">
        <v>457</v>
      </c>
    </row>
    <row r="40928" spans="1:3">
      <c r="A40928" s="250">
        <v>98071</v>
      </c>
      <c r="B40928" s="74" t="s">
        <v>724</v>
      </c>
      <c r="C40928" s="74" t="s">
        <v>457</v>
      </c>
    </row>
    <row r="40929" spans="1:3">
      <c r="A40929" s="250">
        <v>98072</v>
      </c>
      <c r="B40929" s="74" t="s">
        <v>18778</v>
      </c>
      <c r="C40929" s="74" t="s">
        <v>457</v>
      </c>
    </row>
    <row r="40930" spans="1:3">
      <c r="A40930" s="250">
        <v>98073</v>
      </c>
      <c r="B40930" s="74" t="s">
        <v>17129</v>
      </c>
      <c r="C40930" s="74" t="s">
        <v>457</v>
      </c>
    </row>
    <row r="40931" spans="1:3">
      <c r="A40931" s="250">
        <v>98074</v>
      </c>
      <c r="B40931" s="74" t="s">
        <v>18779</v>
      </c>
      <c r="C40931" s="74" t="s">
        <v>457</v>
      </c>
    </row>
    <row r="40932" spans="1:3">
      <c r="A40932" s="250">
        <v>98075</v>
      </c>
      <c r="B40932" s="74" t="s">
        <v>18779</v>
      </c>
      <c r="C40932" s="74" t="s">
        <v>457</v>
      </c>
    </row>
    <row r="40933" spans="1:3">
      <c r="A40933" s="250">
        <v>98077</v>
      </c>
      <c r="B40933" s="74" t="s">
        <v>18778</v>
      </c>
      <c r="C40933" s="74" t="s">
        <v>457</v>
      </c>
    </row>
    <row r="40934" spans="1:3">
      <c r="A40934" s="250">
        <v>98082</v>
      </c>
      <c r="B40934" s="74" t="s">
        <v>4728</v>
      </c>
      <c r="C40934" s="74" t="s">
        <v>457</v>
      </c>
    </row>
    <row r="40935" spans="1:3">
      <c r="A40935" s="250">
        <v>98083</v>
      </c>
      <c r="B40935" s="74" t="s">
        <v>13476</v>
      </c>
      <c r="C40935" s="74" t="s">
        <v>457</v>
      </c>
    </row>
    <row r="40936" spans="1:3">
      <c r="A40936" s="250">
        <v>98087</v>
      </c>
      <c r="B40936" s="74" t="s">
        <v>18766</v>
      </c>
      <c r="C40936" s="74" t="s">
        <v>457</v>
      </c>
    </row>
    <row r="40937" spans="1:3">
      <c r="A40937" s="250">
        <v>98089</v>
      </c>
      <c r="B40937" s="74" t="s">
        <v>2084</v>
      </c>
      <c r="C40937" s="74" t="s">
        <v>457</v>
      </c>
    </row>
    <row r="40938" spans="1:3">
      <c r="A40938" s="250">
        <v>98092</v>
      </c>
      <c r="B40938" s="74" t="s">
        <v>724</v>
      </c>
      <c r="C40938" s="74" t="s">
        <v>457</v>
      </c>
    </row>
    <row r="40939" spans="1:3">
      <c r="A40939" s="250">
        <v>98093</v>
      </c>
      <c r="B40939" s="74" t="s">
        <v>18756</v>
      </c>
      <c r="C40939" s="74" t="s">
        <v>457</v>
      </c>
    </row>
    <row r="40940" spans="1:3">
      <c r="A40940" s="250">
        <v>98101</v>
      </c>
      <c r="B40940" s="74" t="s">
        <v>18780</v>
      </c>
      <c r="C40940" s="74" t="s">
        <v>457</v>
      </c>
    </row>
    <row r="40941" spans="1:3">
      <c r="A40941" s="250">
        <v>98102</v>
      </c>
      <c r="B40941" s="74" t="s">
        <v>18780</v>
      </c>
      <c r="C40941" s="74" t="s">
        <v>457</v>
      </c>
    </row>
    <row r="40942" spans="1:3">
      <c r="A40942" s="250">
        <v>98103</v>
      </c>
      <c r="B40942" s="74" t="s">
        <v>18780</v>
      </c>
      <c r="C40942" s="74" t="s">
        <v>457</v>
      </c>
    </row>
    <row r="40943" spans="1:3">
      <c r="A40943" s="250">
        <v>98104</v>
      </c>
      <c r="B40943" s="74" t="s">
        <v>18780</v>
      </c>
      <c r="C40943" s="74" t="s">
        <v>457</v>
      </c>
    </row>
    <row r="40944" spans="1:3">
      <c r="A40944" s="250">
        <v>98105</v>
      </c>
      <c r="B40944" s="74" t="s">
        <v>18780</v>
      </c>
      <c r="C40944" s="74" t="s">
        <v>457</v>
      </c>
    </row>
    <row r="40945" spans="1:3">
      <c r="A40945" s="250">
        <v>98106</v>
      </c>
      <c r="B40945" s="74" t="s">
        <v>18780</v>
      </c>
      <c r="C40945" s="74" t="s">
        <v>457</v>
      </c>
    </row>
    <row r="40946" spans="1:3">
      <c r="A40946" s="250">
        <v>98107</v>
      </c>
      <c r="B40946" s="74" t="s">
        <v>18780</v>
      </c>
      <c r="C40946" s="74" t="s">
        <v>457</v>
      </c>
    </row>
    <row r="40947" spans="1:3">
      <c r="A40947" s="250">
        <v>98108</v>
      </c>
      <c r="B40947" s="74" t="s">
        <v>18780</v>
      </c>
      <c r="C40947" s="74" t="s">
        <v>457</v>
      </c>
    </row>
    <row r="40948" spans="1:3">
      <c r="A40948" s="250">
        <v>98109</v>
      </c>
      <c r="B40948" s="74" t="s">
        <v>18780</v>
      </c>
      <c r="C40948" s="74" t="s">
        <v>457</v>
      </c>
    </row>
    <row r="40949" spans="1:3">
      <c r="A40949" s="250">
        <v>98110</v>
      </c>
      <c r="B40949" s="74" t="s">
        <v>18781</v>
      </c>
      <c r="C40949" s="74" t="s">
        <v>457</v>
      </c>
    </row>
    <row r="40950" spans="1:3">
      <c r="A40950" s="250">
        <v>98111</v>
      </c>
      <c r="B40950" s="74" t="s">
        <v>18780</v>
      </c>
      <c r="C40950" s="74" t="s">
        <v>457</v>
      </c>
    </row>
    <row r="40951" spans="1:3">
      <c r="A40951" s="250">
        <v>98112</v>
      </c>
      <c r="B40951" s="74" t="s">
        <v>18780</v>
      </c>
      <c r="C40951" s="74" t="s">
        <v>457</v>
      </c>
    </row>
    <row r="40952" spans="1:3">
      <c r="A40952" s="250">
        <v>98113</v>
      </c>
      <c r="B40952" s="74" t="s">
        <v>18780</v>
      </c>
      <c r="C40952" s="74" t="s">
        <v>457</v>
      </c>
    </row>
    <row r="40953" spans="1:3">
      <c r="A40953" s="250">
        <v>98114</v>
      </c>
      <c r="B40953" s="74" t="s">
        <v>18780</v>
      </c>
      <c r="C40953" s="74" t="s">
        <v>457</v>
      </c>
    </row>
    <row r="40954" spans="1:3">
      <c r="A40954" s="250">
        <v>98115</v>
      </c>
      <c r="B40954" s="74" t="s">
        <v>18780</v>
      </c>
      <c r="C40954" s="74" t="s">
        <v>457</v>
      </c>
    </row>
    <row r="40955" spans="1:3">
      <c r="A40955" s="250">
        <v>98116</v>
      </c>
      <c r="B40955" s="74" t="s">
        <v>18780</v>
      </c>
      <c r="C40955" s="74" t="s">
        <v>457</v>
      </c>
    </row>
    <row r="40956" spans="1:3">
      <c r="A40956" s="250">
        <v>98117</v>
      </c>
      <c r="B40956" s="74" t="s">
        <v>18780</v>
      </c>
      <c r="C40956" s="74" t="s">
        <v>457</v>
      </c>
    </row>
    <row r="40957" spans="1:3">
      <c r="A40957" s="250">
        <v>98118</v>
      </c>
      <c r="B40957" s="74" t="s">
        <v>18780</v>
      </c>
      <c r="C40957" s="74" t="s">
        <v>457</v>
      </c>
    </row>
    <row r="40958" spans="1:3">
      <c r="A40958" s="250">
        <v>98119</v>
      </c>
      <c r="B40958" s="74" t="s">
        <v>18780</v>
      </c>
      <c r="C40958" s="74" t="s">
        <v>457</v>
      </c>
    </row>
    <row r="40959" spans="1:3">
      <c r="A40959" s="250">
        <v>98121</v>
      </c>
      <c r="B40959" s="74" t="s">
        <v>18780</v>
      </c>
      <c r="C40959" s="74" t="s">
        <v>457</v>
      </c>
    </row>
    <row r="40960" spans="1:3">
      <c r="A40960" s="250">
        <v>98122</v>
      </c>
      <c r="B40960" s="74" t="s">
        <v>18780</v>
      </c>
      <c r="C40960" s="74" t="s">
        <v>457</v>
      </c>
    </row>
    <row r="40961" spans="1:3">
      <c r="A40961" s="250">
        <v>98124</v>
      </c>
      <c r="B40961" s="74" t="s">
        <v>18780</v>
      </c>
      <c r="C40961" s="74" t="s">
        <v>457</v>
      </c>
    </row>
    <row r="40962" spans="1:3">
      <c r="A40962" s="250">
        <v>98125</v>
      </c>
      <c r="B40962" s="74" t="s">
        <v>18780</v>
      </c>
      <c r="C40962" s="74" t="s">
        <v>457</v>
      </c>
    </row>
    <row r="40963" spans="1:3">
      <c r="A40963" s="250">
        <v>98126</v>
      </c>
      <c r="B40963" s="74" t="s">
        <v>18780</v>
      </c>
      <c r="C40963" s="74" t="s">
        <v>457</v>
      </c>
    </row>
    <row r="40964" spans="1:3">
      <c r="A40964" s="250">
        <v>98127</v>
      </c>
      <c r="B40964" s="74" t="s">
        <v>18780</v>
      </c>
      <c r="C40964" s="74" t="s">
        <v>457</v>
      </c>
    </row>
    <row r="40965" spans="1:3">
      <c r="A40965" s="250">
        <v>98129</v>
      </c>
      <c r="B40965" s="74" t="s">
        <v>18780</v>
      </c>
      <c r="C40965" s="74" t="s">
        <v>457</v>
      </c>
    </row>
    <row r="40966" spans="1:3">
      <c r="A40966" s="250">
        <v>98131</v>
      </c>
      <c r="B40966" s="74" t="s">
        <v>18780</v>
      </c>
      <c r="C40966" s="74" t="s">
        <v>457</v>
      </c>
    </row>
    <row r="40967" spans="1:3">
      <c r="A40967" s="250">
        <v>98132</v>
      </c>
      <c r="B40967" s="74" t="s">
        <v>18780</v>
      </c>
      <c r="C40967" s="74" t="s">
        <v>457</v>
      </c>
    </row>
    <row r="40968" spans="1:3">
      <c r="A40968" s="250">
        <v>98133</v>
      </c>
      <c r="B40968" s="74" t="s">
        <v>18780</v>
      </c>
      <c r="C40968" s="74" t="s">
        <v>457</v>
      </c>
    </row>
    <row r="40969" spans="1:3">
      <c r="A40969" s="250">
        <v>98134</v>
      </c>
      <c r="B40969" s="74" t="s">
        <v>18780</v>
      </c>
      <c r="C40969" s="74" t="s">
        <v>457</v>
      </c>
    </row>
    <row r="40970" spans="1:3">
      <c r="A40970" s="250">
        <v>98136</v>
      </c>
      <c r="B40970" s="74" t="s">
        <v>18780</v>
      </c>
      <c r="C40970" s="74" t="s">
        <v>457</v>
      </c>
    </row>
    <row r="40971" spans="1:3">
      <c r="A40971" s="250">
        <v>98138</v>
      </c>
      <c r="B40971" s="74" t="s">
        <v>18780</v>
      </c>
      <c r="C40971" s="74" t="s">
        <v>457</v>
      </c>
    </row>
    <row r="40972" spans="1:3">
      <c r="A40972" s="250">
        <v>98139</v>
      </c>
      <c r="B40972" s="74" t="s">
        <v>18780</v>
      </c>
      <c r="C40972" s="74" t="s">
        <v>457</v>
      </c>
    </row>
    <row r="40973" spans="1:3">
      <c r="A40973" s="250">
        <v>98141</v>
      </c>
      <c r="B40973" s="74" t="s">
        <v>18780</v>
      </c>
      <c r="C40973" s="74" t="s">
        <v>457</v>
      </c>
    </row>
    <row r="40974" spans="1:3">
      <c r="A40974" s="250">
        <v>98144</v>
      </c>
      <c r="B40974" s="74" t="s">
        <v>18780</v>
      </c>
      <c r="C40974" s="74" t="s">
        <v>457</v>
      </c>
    </row>
    <row r="40975" spans="1:3">
      <c r="A40975" s="250">
        <v>98145</v>
      </c>
      <c r="B40975" s="74" t="s">
        <v>18780</v>
      </c>
      <c r="C40975" s="74" t="s">
        <v>457</v>
      </c>
    </row>
    <row r="40976" spans="1:3">
      <c r="A40976" s="250">
        <v>98146</v>
      </c>
      <c r="B40976" s="74" t="s">
        <v>18780</v>
      </c>
      <c r="C40976" s="74" t="s">
        <v>457</v>
      </c>
    </row>
    <row r="40977" spans="1:3">
      <c r="A40977" s="250">
        <v>98148</v>
      </c>
      <c r="B40977" s="74" t="s">
        <v>18780</v>
      </c>
      <c r="C40977" s="74" t="s">
        <v>457</v>
      </c>
    </row>
    <row r="40978" spans="1:3">
      <c r="A40978" s="250">
        <v>98151</v>
      </c>
      <c r="B40978" s="74" t="s">
        <v>18780</v>
      </c>
      <c r="C40978" s="74" t="s">
        <v>457</v>
      </c>
    </row>
    <row r="40979" spans="1:3">
      <c r="A40979" s="250">
        <v>98154</v>
      </c>
      <c r="B40979" s="74" t="s">
        <v>18780</v>
      </c>
      <c r="C40979" s="74" t="s">
        <v>457</v>
      </c>
    </row>
    <row r="40980" spans="1:3">
      <c r="A40980" s="250">
        <v>98155</v>
      </c>
      <c r="B40980" s="74" t="s">
        <v>18780</v>
      </c>
      <c r="C40980" s="74" t="s">
        <v>457</v>
      </c>
    </row>
    <row r="40981" spans="1:3">
      <c r="A40981" s="250">
        <v>98158</v>
      </c>
      <c r="B40981" s="74" t="s">
        <v>18780</v>
      </c>
      <c r="C40981" s="74" t="s">
        <v>457</v>
      </c>
    </row>
    <row r="40982" spans="1:3">
      <c r="A40982" s="250">
        <v>98160</v>
      </c>
      <c r="B40982" s="74" t="s">
        <v>18780</v>
      </c>
      <c r="C40982" s="74" t="s">
        <v>457</v>
      </c>
    </row>
    <row r="40983" spans="1:3">
      <c r="A40983" s="250">
        <v>98161</v>
      </c>
      <c r="B40983" s="74" t="s">
        <v>18780</v>
      </c>
      <c r="C40983" s="74" t="s">
        <v>457</v>
      </c>
    </row>
    <row r="40984" spans="1:3">
      <c r="A40984" s="250">
        <v>98164</v>
      </c>
      <c r="B40984" s="74" t="s">
        <v>18780</v>
      </c>
      <c r="C40984" s="74" t="s">
        <v>457</v>
      </c>
    </row>
    <row r="40985" spans="1:3">
      <c r="A40985" s="250">
        <v>98165</v>
      </c>
      <c r="B40985" s="74" t="s">
        <v>18780</v>
      </c>
      <c r="C40985" s="74" t="s">
        <v>457</v>
      </c>
    </row>
    <row r="40986" spans="1:3">
      <c r="A40986" s="250">
        <v>98166</v>
      </c>
      <c r="B40986" s="74" t="s">
        <v>18780</v>
      </c>
      <c r="C40986" s="74" t="s">
        <v>457</v>
      </c>
    </row>
    <row r="40987" spans="1:3">
      <c r="A40987" s="250">
        <v>98168</v>
      </c>
      <c r="B40987" s="74" t="s">
        <v>18780</v>
      </c>
      <c r="C40987" s="74" t="s">
        <v>457</v>
      </c>
    </row>
    <row r="40988" spans="1:3">
      <c r="A40988" s="250">
        <v>98170</v>
      </c>
      <c r="B40988" s="74" t="s">
        <v>18780</v>
      </c>
      <c r="C40988" s="74" t="s">
        <v>457</v>
      </c>
    </row>
    <row r="40989" spans="1:3">
      <c r="A40989" s="250">
        <v>98171</v>
      </c>
      <c r="B40989" s="74" t="s">
        <v>18780</v>
      </c>
      <c r="C40989" s="74" t="s">
        <v>457</v>
      </c>
    </row>
    <row r="40990" spans="1:3">
      <c r="A40990" s="250">
        <v>98174</v>
      </c>
      <c r="B40990" s="74" t="s">
        <v>18780</v>
      </c>
      <c r="C40990" s="74" t="s">
        <v>457</v>
      </c>
    </row>
    <row r="40991" spans="1:3">
      <c r="A40991" s="250">
        <v>98175</v>
      </c>
      <c r="B40991" s="74" t="s">
        <v>18780</v>
      </c>
      <c r="C40991" s="74" t="s">
        <v>457</v>
      </c>
    </row>
    <row r="40992" spans="1:3">
      <c r="A40992" s="250">
        <v>98177</v>
      </c>
      <c r="B40992" s="74" t="s">
        <v>18780</v>
      </c>
      <c r="C40992" s="74" t="s">
        <v>457</v>
      </c>
    </row>
    <row r="40993" spans="1:3">
      <c r="A40993" s="250">
        <v>98178</v>
      </c>
      <c r="B40993" s="74" t="s">
        <v>18780</v>
      </c>
      <c r="C40993" s="74" t="s">
        <v>457</v>
      </c>
    </row>
    <row r="40994" spans="1:3">
      <c r="A40994" s="250">
        <v>98181</v>
      </c>
      <c r="B40994" s="74" t="s">
        <v>18780</v>
      </c>
      <c r="C40994" s="74" t="s">
        <v>457</v>
      </c>
    </row>
    <row r="40995" spans="1:3">
      <c r="A40995" s="250">
        <v>98184</v>
      </c>
      <c r="B40995" s="74" t="s">
        <v>18780</v>
      </c>
      <c r="C40995" s="74" t="s">
        <v>457</v>
      </c>
    </row>
    <row r="40996" spans="1:3">
      <c r="A40996" s="250">
        <v>98185</v>
      </c>
      <c r="B40996" s="74" t="s">
        <v>18780</v>
      </c>
      <c r="C40996" s="74" t="s">
        <v>457</v>
      </c>
    </row>
    <row r="40997" spans="1:3">
      <c r="A40997" s="250">
        <v>98188</v>
      </c>
      <c r="B40997" s="74" t="s">
        <v>18780</v>
      </c>
      <c r="C40997" s="74" t="s">
        <v>457</v>
      </c>
    </row>
    <row r="40998" spans="1:3">
      <c r="A40998" s="250">
        <v>98189</v>
      </c>
      <c r="B40998" s="74" t="s">
        <v>18780</v>
      </c>
      <c r="C40998" s="74" t="s">
        <v>457</v>
      </c>
    </row>
    <row r="40999" spans="1:3">
      <c r="A40999" s="250">
        <v>98190</v>
      </c>
      <c r="B40999" s="74" t="s">
        <v>18780</v>
      </c>
      <c r="C40999" s="74" t="s">
        <v>457</v>
      </c>
    </row>
    <row r="41000" spans="1:3">
      <c r="A41000" s="250">
        <v>98191</v>
      </c>
      <c r="B41000" s="74" t="s">
        <v>18780</v>
      </c>
      <c r="C41000" s="74" t="s">
        <v>457</v>
      </c>
    </row>
    <row r="41001" spans="1:3">
      <c r="A41001" s="250">
        <v>98194</v>
      </c>
      <c r="B41001" s="74" t="s">
        <v>18780</v>
      </c>
      <c r="C41001" s="74" t="s">
        <v>457</v>
      </c>
    </row>
    <row r="41002" spans="1:3">
      <c r="A41002" s="250">
        <v>98195</v>
      </c>
      <c r="B41002" s="74" t="s">
        <v>18780</v>
      </c>
      <c r="C41002" s="74" t="s">
        <v>457</v>
      </c>
    </row>
    <row r="41003" spans="1:3">
      <c r="A41003" s="250">
        <v>98198</v>
      </c>
      <c r="B41003" s="74" t="s">
        <v>18780</v>
      </c>
      <c r="C41003" s="74" t="s">
        <v>457</v>
      </c>
    </row>
    <row r="41004" spans="1:3">
      <c r="A41004" s="250">
        <v>98199</v>
      </c>
      <c r="B41004" s="74" t="s">
        <v>18780</v>
      </c>
      <c r="C41004" s="74" t="s">
        <v>457</v>
      </c>
    </row>
    <row r="41005" spans="1:3">
      <c r="A41005" s="250">
        <v>98201</v>
      </c>
      <c r="B41005" s="74" t="s">
        <v>917</v>
      </c>
      <c r="C41005" s="74" t="s">
        <v>457</v>
      </c>
    </row>
    <row r="41006" spans="1:3">
      <c r="A41006" s="250">
        <v>98203</v>
      </c>
      <c r="B41006" s="74" t="s">
        <v>917</v>
      </c>
      <c r="C41006" s="74" t="s">
        <v>457</v>
      </c>
    </row>
    <row r="41007" spans="1:3">
      <c r="A41007" s="250">
        <v>98204</v>
      </c>
      <c r="B41007" s="74" t="s">
        <v>917</v>
      </c>
      <c r="C41007" s="74" t="s">
        <v>457</v>
      </c>
    </row>
    <row r="41008" spans="1:3">
      <c r="A41008" s="250">
        <v>98205</v>
      </c>
      <c r="B41008" s="74" t="s">
        <v>917</v>
      </c>
      <c r="C41008" s="74" t="s">
        <v>457</v>
      </c>
    </row>
    <row r="41009" spans="1:3">
      <c r="A41009" s="250">
        <v>98206</v>
      </c>
      <c r="B41009" s="74" t="s">
        <v>917</v>
      </c>
      <c r="C41009" s="74" t="s">
        <v>457</v>
      </c>
    </row>
    <row r="41010" spans="1:3">
      <c r="A41010" s="250">
        <v>98207</v>
      </c>
      <c r="B41010" s="74" t="s">
        <v>917</v>
      </c>
      <c r="C41010" s="74" t="s">
        <v>457</v>
      </c>
    </row>
    <row r="41011" spans="1:3">
      <c r="A41011" s="250">
        <v>98208</v>
      </c>
      <c r="B41011" s="74" t="s">
        <v>917</v>
      </c>
      <c r="C41011" s="74" t="s">
        <v>457</v>
      </c>
    </row>
    <row r="41012" spans="1:3">
      <c r="A41012" s="250">
        <v>98213</v>
      </c>
      <c r="B41012" s="74" t="s">
        <v>917</v>
      </c>
      <c r="C41012" s="74" t="s">
        <v>457</v>
      </c>
    </row>
    <row r="41013" spans="1:3">
      <c r="A41013" s="250">
        <v>98220</v>
      </c>
      <c r="B41013" s="74" t="s">
        <v>4186</v>
      </c>
      <c r="C41013" s="74" t="s">
        <v>457</v>
      </c>
    </row>
    <row r="41014" spans="1:3">
      <c r="A41014" s="250">
        <v>98221</v>
      </c>
      <c r="B41014" s="74" t="s">
        <v>18782</v>
      </c>
      <c r="C41014" s="74" t="s">
        <v>457</v>
      </c>
    </row>
    <row r="41015" spans="1:3">
      <c r="A41015" s="250">
        <v>98222</v>
      </c>
      <c r="B41015" s="74" t="s">
        <v>18783</v>
      </c>
      <c r="C41015" s="74" t="s">
        <v>457</v>
      </c>
    </row>
    <row r="41016" spans="1:3">
      <c r="A41016" s="250">
        <v>98223</v>
      </c>
      <c r="B41016" s="74" t="s">
        <v>984</v>
      </c>
      <c r="C41016" s="74" t="s">
        <v>457</v>
      </c>
    </row>
    <row r="41017" spans="1:3">
      <c r="A41017" s="250">
        <v>98224</v>
      </c>
      <c r="B41017" s="74" t="s">
        <v>14131</v>
      </c>
      <c r="C41017" s="74" t="s">
        <v>457</v>
      </c>
    </row>
    <row r="41018" spans="1:3">
      <c r="A41018" s="250">
        <v>98225</v>
      </c>
      <c r="B41018" s="74" t="s">
        <v>864</v>
      </c>
      <c r="C41018" s="74" t="s">
        <v>457</v>
      </c>
    </row>
    <row r="41019" spans="1:3">
      <c r="A41019" s="250">
        <v>98226</v>
      </c>
      <c r="B41019" s="74" t="s">
        <v>864</v>
      </c>
      <c r="C41019" s="74" t="s">
        <v>457</v>
      </c>
    </row>
    <row r="41020" spans="1:3">
      <c r="A41020" s="250">
        <v>98227</v>
      </c>
      <c r="B41020" s="74" t="s">
        <v>864</v>
      </c>
      <c r="C41020" s="74" t="s">
        <v>457</v>
      </c>
    </row>
    <row r="41021" spans="1:3">
      <c r="A41021" s="250">
        <v>98228</v>
      </c>
      <c r="B41021" s="74" t="s">
        <v>864</v>
      </c>
      <c r="C41021" s="74" t="s">
        <v>457</v>
      </c>
    </row>
    <row r="41022" spans="1:3">
      <c r="A41022" s="250">
        <v>98229</v>
      </c>
      <c r="B41022" s="74" t="s">
        <v>864</v>
      </c>
      <c r="C41022" s="74" t="s">
        <v>457</v>
      </c>
    </row>
    <row r="41023" spans="1:3">
      <c r="A41023" s="250">
        <v>98230</v>
      </c>
      <c r="B41023" s="74" t="s">
        <v>1623</v>
      </c>
      <c r="C41023" s="74" t="s">
        <v>457</v>
      </c>
    </row>
    <row r="41024" spans="1:3">
      <c r="A41024" s="250">
        <v>98231</v>
      </c>
      <c r="B41024" s="74" t="s">
        <v>1623</v>
      </c>
      <c r="C41024" s="74" t="s">
        <v>457</v>
      </c>
    </row>
    <row r="41025" spans="1:3">
      <c r="A41025" s="250">
        <v>98232</v>
      </c>
      <c r="B41025" s="74" t="s">
        <v>1224</v>
      </c>
      <c r="C41025" s="74" t="s">
        <v>457</v>
      </c>
    </row>
    <row r="41026" spans="1:3">
      <c r="A41026" s="250">
        <v>98233</v>
      </c>
      <c r="B41026" s="74" t="s">
        <v>806</v>
      </c>
      <c r="C41026" s="74" t="s">
        <v>457</v>
      </c>
    </row>
    <row r="41027" spans="1:3">
      <c r="A41027" s="250">
        <v>98235</v>
      </c>
      <c r="B41027" s="74" t="s">
        <v>18201</v>
      </c>
      <c r="C41027" s="74" t="s">
        <v>457</v>
      </c>
    </row>
    <row r="41028" spans="1:3">
      <c r="A41028" s="250">
        <v>98236</v>
      </c>
      <c r="B41028" s="74" t="s">
        <v>732</v>
      </c>
      <c r="C41028" s="74" t="s">
        <v>457</v>
      </c>
    </row>
    <row r="41029" spans="1:3">
      <c r="A41029" s="250">
        <v>98237</v>
      </c>
      <c r="B41029" s="74" t="s">
        <v>18784</v>
      </c>
      <c r="C41029" s="74" t="s">
        <v>457</v>
      </c>
    </row>
    <row r="41030" spans="1:3">
      <c r="A41030" s="250">
        <v>98238</v>
      </c>
      <c r="B41030" s="74" t="s">
        <v>677</v>
      </c>
      <c r="C41030" s="74" t="s">
        <v>457</v>
      </c>
    </row>
    <row r="41031" spans="1:3">
      <c r="A41031" s="250">
        <v>98239</v>
      </c>
      <c r="B41031" s="74" t="s">
        <v>18785</v>
      </c>
      <c r="C41031" s="74" t="s">
        <v>457</v>
      </c>
    </row>
    <row r="41032" spans="1:3">
      <c r="A41032" s="250">
        <v>98240</v>
      </c>
      <c r="B41032" s="74" t="s">
        <v>9599</v>
      </c>
      <c r="C41032" s="74" t="s">
        <v>457</v>
      </c>
    </row>
    <row r="41033" spans="1:3">
      <c r="A41033" s="250">
        <v>98241</v>
      </c>
      <c r="B41033" s="74" t="s">
        <v>18786</v>
      </c>
      <c r="C41033" s="74" t="s">
        <v>457</v>
      </c>
    </row>
    <row r="41034" spans="1:3">
      <c r="A41034" s="250">
        <v>98243</v>
      </c>
      <c r="B41034" s="74" t="s">
        <v>18787</v>
      </c>
      <c r="C41034" s="74" t="s">
        <v>457</v>
      </c>
    </row>
    <row r="41035" spans="1:3">
      <c r="A41035" s="250">
        <v>98244</v>
      </c>
      <c r="B41035" s="74" t="s">
        <v>17508</v>
      </c>
      <c r="C41035" s="74" t="s">
        <v>457</v>
      </c>
    </row>
    <row r="41036" spans="1:3">
      <c r="A41036" s="250">
        <v>98245</v>
      </c>
      <c r="B41036" s="74" t="s">
        <v>18788</v>
      </c>
      <c r="C41036" s="74" t="s">
        <v>457</v>
      </c>
    </row>
    <row r="41037" spans="1:3">
      <c r="A41037" s="250">
        <v>98247</v>
      </c>
      <c r="B41037" s="74" t="s">
        <v>4203</v>
      </c>
      <c r="C41037" s="74" t="s">
        <v>457</v>
      </c>
    </row>
    <row r="41038" spans="1:3">
      <c r="A41038" s="250">
        <v>98248</v>
      </c>
      <c r="B41038" s="74" t="s">
        <v>3173</v>
      </c>
      <c r="C41038" s="74" t="s">
        <v>457</v>
      </c>
    </row>
    <row r="41039" spans="1:3">
      <c r="A41039" s="250">
        <v>98249</v>
      </c>
      <c r="B41039" s="74" t="s">
        <v>5088</v>
      </c>
      <c r="C41039" s="74" t="s">
        <v>457</v>
      </c>
    </row>
    <row r="41040" spans="1:3">
      <c r="A41040" s="250">
        <v>98250</v>
      </c>
      <c r="B41040" s="74" t="s">
        <v>18789</v>
      </c>
      <c r="C41040" s="74" t="s">
        <v>457</v>
      </c>
    </row>
    <row r="41041" spans="1:3">
      <c r="A41041" s="250">
        <v>98251</v>
      </c>
      <c r="B41041" s="74" t="s">
        <v>18790</v>
      </c>
      <c r="C41041" s="74" t="s">
        <v>457</v>
      </c>
    </row>
    <row r="41042" spans="1:3">
      <c r="A41042" s="250">
        <v>98252</v>
      </c>
      <c r="B41042" s="74" t="s">
        <v>7485</v>
      </c>
      <c r="C41042" s="74" t="s">
        <v>457</v>
      </c>
    </row>
    <row r="41043" spans="1:3">
      <c r="A41043" s="250">
        <v>98253</v>
      </c>
      <c r="B41043" s="74" t="s">
        <v>18791</v>
      </c>
      <c r="C41043" s="74" t="s">
        <v>457</v>
      </c>
    </row>
    <row r="41044" spans="1:3">
      <c r="A41044" s="250">
        <v>98255</v>
      </c>
      <c r="B41044" s="74" t="s">
        <v>844</v>
      </c>
      <c r="C41044" s="74" t="s">
        <v>457</v>
      </c>
    </row>
    <row r="41045" spans="1:3">
      <c r="A41045" s="250">
        <v>98256</v>
      </c>
      <c r="B41045" s="74" t="s">
        <v>18792</v>
      </c>
      <c r="C41045" s="74" t="s">
        <v>457</v>
      </c>
    </row>
    <row r="41046" spans="1:3">
      <c r="A41046" s="250">
        <v>98257</v>
      </c>
      <c r="B41046" s="74" t="s">
        <v>18793</v>
      </c>
      <c r="C41046" s="74" t="s">
        <v>457</v>
      </c>
    </row>
    <row r="41047" spans="1:3">
      <c r="A41047" s="250">
        <v>98258</v>
      </c>
      <c r="B41047" s="74" t="s">
        <v>18794</v>
      </c>
      <c r="C41047" s="74" t="s">
        <v>457</v>
      </c>
    </row>
    <row r="41048" spans="1:3">
      <c r="A41048" s="250">
        <v>98259</v>
      </c>
      <c r="B41048" s="74" t="s">
        <v>18795</v>
      </c>
      <c r="C41048" s="74" t="s">
        <v>457</v>
      </c>
    </row>
    <row r="41049" spans="1:3">
      <c r="A41049" s="250">
        <v>98260</v>
      </c>
      <c r="B41049" s="74" t="s">
        <v>7817</v>
      </c>
      <c r="C41049" s="74" t="s">
        <v>457</v>
      </c>
    </row>
    <row r="41050" spans="1:3">
      <c r="A41050" s="250">
        <v>98261</v>
      </c>
      <c r="B41050" s="74" t="s">
        <v>18796</v>
      </c>
      <c r="C41050" s="74" t="s">
        <v>457</v>
      </c>
    </row>
    <row r="41051" spans="1:3">
      <c r="A41051" s="250">
        <v>98262</v>
      </c>
      <c r="B41051" s="74" t="s">
        <v>18797</v>
      </c>
      <c r="C41051" s="74" t="s">
        <v>457</v>
      </c>
    </row>
    <row r="41052" spans="1:3">
      <c r="A41052" s="250">
        <v>98263</v>
      </c>
      <c r="B41052" s="74" t="s">
        <v>7680</v>
      </c>
      <c r="C41052" s="74" t="s">
        <v>457</v>
      </c>
    </row>
    <row r="41053" spans="1:3">
      <c r="A41053" s="250">
        <v>98264</v>
      </c>
      <c r="B41053" s="74" t="s">
        <v>18798</v>
      </c>
      <c r="C41053" s="74" t="s">
        <v>457</v>
      </c>
    </row>
    <row r="41054" spans="1:3">
      <c r="A41054" s="250">
        <v>98266</v>
      </c>
      <c r="B41054" s="74" t="s">
        <v>18799</v>
      </c>
      <c r="C41054" s="74" t="s">
        <v>457</v>
      </c>
    </row>
    <row r="41055" spans="1:3">
      <c r="A41055" s="250">
        <v>98267</v>
      </c>
      <c r="B41055" s="74" t="s">
        <v>18800</v>
      </c>
      <c r="C41055" s="74" t="s">
        <v>457</v>
      </c>
    </row>
    <row r="41056" spans="1:3">
      <c r="A41056" s="250">
        <v>98270</v>
      </c>
      <c r="B41056" s="74" t="s">
        <v>4724</v>
      </c>
      <c r="C41056" s="74" t="s">
        <v>457</v>
      </c>
    </row>
    <row r="41057" spans="1:3">
      <c r="A41057" s="250">
        <v>98271</v>
      </c>
      <c r="B41057" s="74" t="s">
        <v>4724</v>
      </c>
      <c r="C41057" s="74" t="s">
        <v>457</v>
      </c>
    </row>
    <row r="41058" spans="1:3">
      <c r="A41058" s="250">
        <v>98272</v>
      </c>
      <c r="B41058" s="74" t="s">
        <v>1284</v>
      </c>
      <c r="C41058" s="74" t="s">
        <v>457</v>
      </c>
    </row>
    <row r="41059" spans="1:3">
      <c r="A41059" s="250">
        <v>98273</v>
      </c>
      <c r="B41059" s="74" t="s">
        <v>1481</v>
      </c>
      <c r="C41059" s="74" t="s">
        <v>457</v>
      </c>
    </row>
    <row r="41060" spans="1:3">
      <c r="A41060" s="250">
        <v>98274</v>
      </c>
      <c r="B41060" s="74" t="s">
        <v>1481</v>
      </c>
      <c r="C41060" s="74" t="s">
        <v>457</v>
      </c>
    </row>
    <row r="41061" spans="1:3">
      <c r="A41061" s="250">
        <v>98275</v>
      </c>
      <c r="B41061" s="74" t="s">
        <v>18801</v>
      </c>
      <c r="C41061" s="74" t="s">
        <v>457</v>
      </c>
    </row>
    <row r="41062" spans="1:3">
      <c r="A41062" s="250">
        <v>98276</v>
      </c>
      <c r="B41062" s="74" t="s">
        <v>18802</v>
      </c>
      <c r="C41062" s="74" t="s">
        <v>457</v>
      </c>
    </row>
    <row r="41063" spans="1:3">
      <c r="A41063" s="250">
        <v>98277</v>
      </c>
      <c r="B41063" s="74" t="s">
        <v>10171</v>
      </c>
      <c r="C41063" s="74" t="s">
        <v>457</v>
      </c>
    </row>
    <row r="41064" spans="1:3">
      <c r="A41064" s="250">
        <v>98278</v>
      </c>
      <c r="B41064" s="74" t="s">
        <v>10171</v>
      </c>
      <c r="C41064" s="74" t="s">
        <v>457</v>
      </c>
    </row>
    <row r="41065" spans="1:3">
      <c r="A41065" s="250">
        <v>98279</v>
      </c>
      <c r="B41065" s="74" t="s">
        <v>18803</v>
      </c>
      <c r="C41065" s="74" t="s">
        <v>457</v>
      </c>
    </row>
    <row r="41066" spans="1:3">
      <c r="A41066" s="250">
        <v>98280</v>
      </c>
      <c r="B41066" s="74" t="s">
        <v>18804</v>
      </c>
      <c r="C41066" s="74" t="s">
        <v>457</v>
      </c>
    </row>
    <row r="41067" spans="1:3">
      <c r="A41067" s="250">
        <v>98281</v>
      </c>
      <c r="B41067" s="74" t="s">
        <v>18805</v>
      </c>
      <c r="C41067" s="74" t="s">
        <v>457</v>
      </c>
    </row>
    <row r="41068" spans="1:3">
      <c r="A41068" s="250">
        <v>98282</v>
      </c>
      <c r="B41068" s="74" t="s">
        <v>18806</v>
      </c>
      <c r="C41068" s="74" t="s">
        <v>457</v>
      </c>
    </row>
    <row r="41069" spans="1:3">
      <c r="A41069" s="250">
        <v>98283</v>
      </c>
      <c r="B41069" s="74" t="s">
        <v>856</v>
      </c>
      <c r="C41069" s="74" t="s">
        <v>457</v>
      </c>
    </row>
    <row r="41070" spans="1:3">
      <c r="A41070" s="250">
        <v>98284</v>
      </c>
      <c r="B41070" s="74" t="s">
        <v>18807</v>
      </c>
      <c r="C41070" s="74" t="s">
        <v>457</v>
      </c>
    </row>
    <row r="41071" spans="1:3">
      <c r="A41071" s="250">
        <v>98286</v>
      </c>
      <c r="B41071" s="74" t="s">
        <v>18808</v>
      </c>
      <c r="C41071" s="74" t="s">
        <v>457</v>
      </c>
    </row>
    <row r="41072" spans="1:3">
      <c r="A41072" s="250">
        <v>98287</v>
      </c>
      <c r="B41072" s="74" t="s">
        <v>18809</v>
      </c>
      <c r="C41072" s="74" t="s">
        <v>457</v>
      </c>
    </row>
    <row r="41073" spans="1:3">
      <c r="A41073" s="250">
        <v>98288</v>
      </c>
      <c r="B41073" s="74" t="s">
        <v>18810</v>
      </c>
      <c r="C41073" s="74" t="s">
        <v>457</v>
      </c>
    </row>
    <row r="41074" spans="1:3">
      <c r="A41074" s="250">
        <v>98290</v>
      </c>
      <c r="B41074" s="74" t="s">
        <v>18811</v>
      </c>
      <c r="C41074" s="74" t="s">
        <v>457</v>
      </c>
    </row>
    <row r="41075" spans="1:3">
      <c r="A41075" s="250">
        <v>98291</v>
      </c>
      <c r="B41075" s="74" t="s">
        <v>18811</v>
      </c>
      <c r="C41075" s="74" t="s">
        <v>457</v>
      </c>
    </row>
    <row r="41076" spans="1:3">
      <c r="A41076" s="250">
        <v>98292</v>
      </c>
      <c r="B41076" s="74" t="s">
        <v>11268</v>
      </c>
      <c r="C41076" s="74" t="s">
        <v>457</v>
      </c>
    </row>
    <row r="41077" spans="1:3">
      <c r="A41077" s="250">
        <v>98293</v>
      </c>
      <c r="B41077" s="74" t="s">
        <v>18812</v>
      </c>
      <c r="C41077" s="74" t="s">
        <v>457</v>
      </c>
    </row>
    <row r="41078" spans="1:3">
      <c r="A41078" s="250">
        <v>98294</v>
      </c>
      <c r="B41078" s="74" t="s">
        <v>18813</v>
      </c>
      <c r="C41078" s="74" t="s">
        <v>457</v>
      </c>
    </row>
    <row r="41079" spans="1:3">
      <c r="A41079" s="250">
        <v>98295</v>
      </c>
      <c r="B41079" s="74" t="s">
        <v>18814</v>
      </c>
      <c r="C41079" s="74" t="s">
        <v>457</v>
      </c>
    </row>
    <row r="41080" spans="1:3">
      <c r="A41080" s="250">
        <v>98296</v>
      </c>
      <c r="B41080" s="74" t="s">
        <v>18811</v>
      </c>
      <c r="C41080" s="74" t="s">
        <v>457</v>
      </c>
    </row>
    <row r="41081" spans="1:3">
      <c r="A41081" s="250">
        <v>98297</v>
      </c>
      <c r="B41081" s="74" t="s">
        <v>10674</v>
      </c>
      <c r="C41081" s="74" t="s">
        <v>457</v>
      </c>
    </row>
    <row r="41082" spans="1:3">
      <c r="A41082" s="250">
        <v>98303</v>
      </c>
      <c r="B41082" s="74" t="s">
        <v>18815</v>
      </c>
      <c r="C41082" s="74" t="s">
        <v>457</v>
      </c>
    </row>
    <row r="41083" spans="1:3">
      <c r="A41083" s="250">
        <v>98304</v>
      </c>
      <c r="B41083" s="74" t="s">
        <v>2007</v>
      </c>
      <c r="C41083" s="74" t="s">
        <v>457</v>
      </c>
    </row>
    <row r="41084" spans="1:3">
      <c r="A41084" s="250">
        <v>98305</v>
      </c>
      <c r="B41084" s="74" t="s">
        <v>3962</v>
      </c>
      <c r="C41084" s="74" t="s">
        <v>457</v>
      </c>
    </row>
    <row r="41085" spans="1:3">
      <c r="A41085" s="250">
        <v>98310</v>
      </c>
      <c r="B41085" s="74" t="s">
        <v>18816</v>
      </c>
      <c r="C41085" s="74" t="s">
        <v>457</v>
      </c>
    </row>
    <row r="41086" spans="1:3">
      <c r="A41086" s="250">
        <v>98311</v>
      </c>
      <c r="B41086" s="74" t="s">
        <v>18816</v>
      </c>
      <c r="C41086" s="74" t="s">
        <v>457</v>
      </c>
    </row>
    <row r="41087" spans="1:3">
      <c r="A41087" s="250">
        <v>98312</v>
      </c>
      <c r="B41087" s="74" t="s">
        <v>18816</v>
      </c>
      <c r="C41087" s="74" t="s">
        <v>457</v>
      </c>
    </row>
    <row r="41088" spans="1:3">
      <c r="A41088" s="250">
        <v>98314</v>
      </c>
      <c r="B41088" s="74" t="s">
        <v>18816</v>
      </c>
      <c r="C41088" s="74" t="s">
        <v>457</v>
      </c>
    </row>
    <row r="41089" spans="1:3">
      <c r="A41089" s="250">
        <v>98315</v>
      </c>
      <c r="B41089" s="74" t="s">
        <v>5296</v>
      </c>
      <c r="C41089" s="74" t="s">
        <v>457</v>
      </c>
    </row>
    <row r="41090" spans="1:3">
      <c r="A41090" s="250">
        <v>98320</v>
      </c>
      <c r="B41090" s="74" t="s">
        <v>18817</v>
      </c>
      <c r="C41090" s="74" t="s">
        <v>457</v>
      </c>
    </row>
    <row r="41091" spans="1:3">
      <c r="A41091" s="250">
        <v>98321</v>
      </c>
      <c r="B41091" s="74" t="s">
        <v>11300</v>
      </c>
      <c r="C41091" s="74" t="s">
        <v>457</v>
      </c>
    </row>
    <row r="41092" spans="1:3">
      <c r="A41092" s="250">
        <v>98322</v>
      </c>
      <c r="B41092" s="74" t="s">
        <v>16942</v>
      </c>
      <c r="C41092" s="74" t="s">
        <v>457</v>
      </c>
    </row>
    <row r="41093" spans="1:3">
      <c r="A41093" s="250">
        <v>98323</v>
      </c>
      <c r="B41093" s="74" t="s">
        <v>18818</v>
      </c>
      <c r="C41093" s="74" t="s">
        <v>457</v>
      </c>
    </row>
    <row r="41094" spans="1:3">
      <c r="A41094" s="250">
        <v>98324</v>
      </c>
      <c r="B41094" s="74" t="s">
        <v>18819</v>
      </c>
      <c r="C41094" s="74" t="s">
        <v>457</v>
      </c>
    </row>
    <row r="41095" spans="1:3">
      <c r="A41095" s="250">
        <v>98325</v>
      </c>
      <c r="B41095" s="74" t="s">
        <v>18820</v>
      </c>
      <c r="C41095" s="74" t="s">
        <v>457</v>
      </c>
    </row>
    <row r="41096" spans="1:3">
      <c r="A41096" s="250">
        <v>98326</v>
      </c>
      <c r="B41096" s="74" t="s">
        <v>18821</v>
      </c>
      <c r="C41096" s="74" t="s">
        <v>457</v>
      </c>
    </row>
    <row r="41097" spans="1:3">
      <c r="A41097" s="250">
        <v>98327</v>
      </c>
      <c r="B41097" s="74" t="s">
        <v>10598</v>
      </c>
      <c r="C41097" s="74" t="s">
        <v>457</v>
      </c>
    </row>
    <row r="41098" spans="1:3">
      <c r="A41098" s="250">
        <v>98328</v>
      </c>
      <c r="B41098" s="74" t="s">
        <v>18822</v>
      </c>
      <c r="C41098" s="74" t="s">
        <v>457</v>
      </c>
    </row>
    <row r="41099" spans="1:3">
      <c r="A41099" s="250">
        <v>98329</v>
      </c>
      <c r="B41099" s="74" t="s">
        <v>18823</v>
      </c>
      <c r="C41099" s="74" t="s">
        <v>457</v>
      </c>
    </row>
    <row r="41100" spans="1:3">
      <c r="A41100" s="250">
        <v>98330</v>
      </c>
      <c r="B41100" s="74" t="s">
        <v>18824</v>
      </c>
      <c r="C41100" s="74" t="s">
        <v>457</v>
      </c>
    </row>
    <row r="41101" spans="1:3">
      <c r="A41101" s="250">
        <v>98331</v>
      </c>
      <c r="B41101" s="74" t="s">
        <v>18825</v>
      </c>
      <c r="C41101" s="74" t="s">
        <v>457</v>
      </c>
    </row>
    <row r="41102" spans="1:3">
      <c r="A41102" s="250">
        <v>98332</v>
      </c>
      <c r="B41102" s="74" t="s">
        <v>18823</v>
      </c>
      <c r="C41102" s="74" t="s">
        <v>457</v>
      </c>
    </row>
    <row r="41103" spans="1:3">
      <c r="A41103" s="250">
        <v>98333</v>
      </c>
      <c r="B41103" s="74" t="s">
        <v>18826</v>
      </c>
      <c r="C41103" s="74" t="s">
        <v>457</v>
      </c>
    </row>
    <row r="41104" spans="1:3">
      <c r="A41104" s="250">
        <v>98335</v>
      </c>
      <c r="B41104" s="74" t="s">
        <v>18823</v>
      </c>
      <c r="C41104" s="74" t="s">
        <v>457</v>
      </c>
    </row>
    <row r="41105" spans="1:3">
      <c r="A41105" s="250">
        <v>98336</v>
      </c>
      <c r="B41105" s="74" t="s">
        <v>18827</v>
      </c>
      <c r="C41105" s="74" t="s">
        <v>457</v>
      </c>
    </row>
    <row r="41106" spans="1:3">
      <c r="A41106" s="250">
        <v>98337</v>
      </c>
      <c r="B41106" s="74" t="s">
        <v>18816</v>
      </c>
      <c r="C41106" s="74" t="s">
        <v>457</v>
      </c>
    </row>
    <row r="41107" spans="1:3">
      <c r="A41107" s="250">
        <v>98338</v>
      </c>
      <c r="B41107" s="74" t="s">
        <v>7098</v>
      </c>
      <c r="C41107" s="74" t="s">
        <v>457</v>
      </c>
    </row>
    <row r="41108" spans="1:3">
      <c r="A41108" s="250">
        <v>98339</v>
      </c>
      <c r="B41108" s="74" t="s">
        <v>18828</v>
      </c>
      <c r="C41108" s="74" t="s">
        <v>457</v>
      </c>
    </row>
    <row r="41109" spans="1:3">
      <c r="A41109" s="250">
        <v>98340</v>
      </c>
      <c r="B41109" s="74" t="s">
        <v>18829</v>
      </c>
      <c r="C41109" s="74" t="s">
        <v>457</v>
      </c>
    </row>
    <row r="41110" spans="1:3">
      <c r="A41110" s="250">
        <v>98342</v>
      </c>
      <c r="B41110" s="74" t="s">
        <v>3988</v>
      </c>
      <c r="C41110" s="74" t="s">
        <v>457</v>
      </c>
    </row>
    <row r="41111" spans="1:3">
      <c r="A41111" s="250">
        <v>98343</v>
      </c>
      <c r="B41111" s="74" t="s">
        <v>15178</v>
      </c>
      <c r="C41111" s="74" t="s">
        <v>457</v>
      </c>
    </row>
    <row r="41112" spans="1:3">
      <c r="A41112" s="250">
        <v>98344</v>
      </c>
      <c r="B41112" s="74" t="s">
        <v>18830</v>
      </c>
      <c r="C41112" s="74" t="s">
        <v>457</v>
      </c>
    </row>
    <row r="41113" spans="1:3">
      <c r="A41113" s="250">
        <v>98345</v>
      </c>
      <c r="B41113" s="74" t="s">
        <v>2274</v>
      </c>
      <c r="C41113" s="74" t="s">
        <v>457</v>
      </c>
    </row>
    <row r="41114" spans="1:3">
      <c r="A41114" s="250">
        <v>98346</v>
      </c>
      <c r="B41114" s="74" t="s">
        <v>957</v>
      </c>
      <c r="C41114" s="74" t="s">
        <v>457</v>
      </c>
    </row>
    <row r="41115" spans="1:3">
      <c r="A41115" s="250">
        <v>98348</v>
      </c>
      <c r="B41115" s="74" t="s">
        <v>18736</v>
      </c>
      <c r="C41115" s="74" t="s">
        <v>457</v>
      </c>
    </row>
    <row r="41116" spans="1:3">
      <c r="A41116" s="250">
        <v>98349</v>
      </c>
      <c r="B41116" s="74" t="s">
        <v>18831</v>
      </c>
      <c r="C41116" s="74" t="s">
        <v>457</v>
      </c>
    </row>
    <row r="41117" spans="1:3">
      <c r="A41117" s="250">
        <v>98350</v>
      </c>
      <c r="B41117" s="74" t="s">
        <v>18832</v>
      </c>
      <c r="C41117" s="74" t="s">
        <v>457</v>
      </c>
    </row>
    <row r="41118" spans="1:3">
      <c r="A41118" s="250">
        <v>98351</v>
      </c>
      <c r="B41118" s="74" t="s">
        <v>18833</v>
      </c>
      <c r="C41118" s="74" t="s">
        <v>457</v>
      </c>
    </row>
    <row r="41119" spans="1:3">
      <c r="A41119" s="250">
        <v>98352</v>
      </c>
      <c r="B41119" s="74" t="s">
        <v>1472</v>
      </c>
      <c r="C41119" s="74" t="s">
        <v>457</v>
      </c>
    </row>
    <row r="41120" spans="1:3">
      <c r="A41120" s="250">
        <v>98353</v>
      </c>
      <c r="B41120" s="74" t="s">
        <v>848</v>
      </c>
      <c r="C41120" s="74" t="s">
        <v>457</v>
      </c>
    </row>
    <row r="41121" spans="1:3">
      <c r="A41121" s="250">
        <v>98354</v>
      </c>
      <c r="B41121" s="74" t="s">
        <v>927</v>
      </c>
      <c r="C41121" s="74" t="s">
        <v>457</v>
      </c>
    </row>
    <row r="41122" spans="1:3">
      <c r="A41122" s="250">
        <v>98355</v>
      </c>
      <c r="B41122" s="74" t="s">
        <v>6087</v>
      </c>
      <c r="C41122" s="74" t="s">
        <v>457</v>
      </c>
    </row>
    <row r="41123" spans="1:3">
      <c r="A41123" s="250">
        <v>98356</v>
      </c>
      <c r="B41123" s="74" t="s">
        <v>3794</v>
      </c>
      <c r="C41123" s="74" t="s">
        <v>457</v>
      </c>
    </row>
    <row r="41124" spans="1:3">
      <c r="A41124" s="250">
        <v>98357</v>
      </c>
      <c r="B41124" s="74" t="s">
        <v>18834</v>
      </c>
      <c r="C41124" s="74" t="s">
        <v>457</v>
      </c>
    </row>
    <row r="41125" spans="1:3">
      <c r="A41125" s="250">
        <v>98358</v>
      </c>
      <c r="B41125" s="74" t="s">
        <v>18835</v>
      </c>
      <c r="C41125" s="74" t="s">
        <v>457</v>
      </c>
    </row>
    <row r="41126" spans="1:3">
      <c r="A41126" s="250">
        <v>98359</v>
      </c>
      <c r="B41126" s="74" t="s">
        <v>18836</v>
      </c>
      <c r="C41126" s="74" t="s">
        <v>457</v>
      </c>
    </row>
    <row r="41127" spans="1:3">
      <c r="A41127" s="250">
        <v>98360</v>
      </c>
      <c r="B41127" s="74" t="s">
        <v>18837</v>
      </c>
      <c r="C41127" s="74" t="s">
        <v>457</v>
      </c>
    </row>
    <row r="41128" spans="1:3">
      <c r="A41128" s="250">
        <v>98361</v>
      </c>
      <c r="B41128" s="74" t="s">
        <v>11894</v>
      </c>
      <c r="C41128" s="74" t="s">
        <v>457</v>
      </c>
    </row>
    <row r="41129" spans="1:3">
      <c r="A41129" s="250">
        <v>98362</v>
      </c>
      <c r="B41129" s="74" t="s">
        <v>18838</v>
      </c>
      <c r="C41129" s="74" t="s">
        <v>457</v>
      </c>
    </row>
    <row r="41130" spans="1:3">
      <c r="A41130" s="250">
        <v>98363</v>
      </c>
      <c r="B41130" s="74" t="s">
        <v>18838</v>
      </c>
      <c r="C41130" s="74" t="s">
        <v>457</v>
      </c>
    </row>
    <row r="41131" spans="1:3">
      <c r="A41131" s="250">
        <v>98364</v>
      </c>
      <c r="B41131" s="74" t="s">
        <v>18839</v>
      </c>
      <c r="C41131" s="74" t="s">
        <v>457</v>
      </c>
    </row>
    <row r="41132" spans="1:3">
      <c r="A41132" s="250">
        <v>98365</v>
      </c>
      <c r="B41132" s="74" t="s">
        <v>18840</v>
      </c>
      <c r="C41132" s="74" t="s">
        <v>457</v>
      </c>
    </row>
    <row r="41133" spans="1:3">
      <c r="A41133" s="250">
        <v>98366</v>
      </c>
      <c r="B41133" s="74" t="s">
        <v>18841</v>
      </c>
      <c r="C41133" s="74" t="s">
        <v>457</v>
      </c>
    </row>
    <row r="41134" spans="1:3">
      <c r="A41134" s="250">
        <v>98367</v>
      </c>
      <c r="B41134" s="74" t="s">
        <v>18841</v>
      </c>
      <c r="C41134" s="74" t="s">
        <v>457</v>
      </c>
    </row>
    <row r="41135" spans="1:3">
      <c r="A41135" s="250">
        <v>98368</v>
      </c>
      <c r="B41135" s="74" t="s">
        <v>18842</v>
      </c>
      <c r="C41135" s="74" t="s">
        <v>457</v>
      </c>
    </row>
    <row r="41136" spans="1:3">
      <c r="A41136" s="250">
        <v>98370</v>
      </c>
      <c r="B41136" s="74" t="s">
        <v>18843</v>
      </c>
      <c r="C41136" s="74" t="s">
        <v>457</v>
      </c>
    </row>
    <row r="41137" spans="1:3">
      <c r="A41137" s="250">
        <v>98371</v>
      </c>
      <c r="B41137" s="74" t="s">
        <v>18844</v>
      </c>
      <c r="C41137" s="74" t="s">
        <v>457</v>
      </c>
    </row>
    <row r="41138" spans="1:3">
      <c r="A41138" s="250">
        <v>98372</v>
      </c>
      <c r="B41138" s="74" t="s">
        <v>18844</v>
      </c>
      <c r="C41138" s="74" t="s">
        <v>457</v>
      </c>
    </row>
    <row r="41139" spans="1:3">
      <c r="A41139" s="250">
        <v>98373</v>
      </c>
      <c r="B41139" s="74" t="s">
        <v>18844</v>
      </c>
      <c r="C41139" s="74" t="s">
        <v>457</v>
      </c>
    </row>
    <row r="41140" spans="1:3">
      <c r="A41140" s="250">
        <v>98374</v>
      </c>
      <c r="B41140" s="74" t="s">
        <v>18844</v>
      </c>
      <c r="C41140" s="74" t="s">
        <v>457</v>
      </c>
    </row>
    <row r="41141" spans="1:3">
      <c r="A41141" s="250">
        <v>98375</v>
      </c>
      <c r="B41141" s="74" t="s">
        <v>18844</v>
      </c>
      <c r="C41141" s="74" t="s">
        <v>457</v>
      </c>
    </row>
    <row r="41142" spans="1:3">
      <c r="A41142" s="250">
        <v>98376</v>
      </c>
      <c r="B41142" s="74" t="s">
        <v>18845</v>
      </c>
      <c r="C41142" s="74" t="s">
        <v>457</v>
      </c>
    </row>
    <row r="41143" spans="1:3">
      <c r="A41143" s="250">
        <v>98377</v>
      </c>
      <c r="B41143" s="74" t="s">
        <v>18846</v>
      </c>
      <c r="C41143" s="74" t="s">
        <v>457</v>
      </c>
    </row>
    <row r="41144" spans="1:3">
      <c r="A41144" s="250">
        <v>98378</v>
      </c>
      <c r="B41144" s="74" t="s">
        <v>18847</v>
      </c>
      <c r="C41144" s="74" t="s">
        <v>457</v>
      </c>
    </row>
    <row r="41145" spans="1:3">
      <c r="A41145" s="250">
        <v>98380</v>
      </c>
      <c r="B41145" s="74" t="s">
        <v>18848</v>
      </c>
      <c r="C41145" s="74" t="s">
        <v>457</v>
      </c>
    </row>
    <row r="41146" spans="1:3">
      <c r="A41146" s="250">
        <v>98381</v>
      </c>
      <c r="B41146" s="74" t="s">
        <v>18849</v>
      </c>
      <c r="C41146" s="74" t="s">
        <v>457</v>
      </c>
    </row>
    <row r="41147" spans="1:3">
      <c r="A41147" s="250">
        <v>98382</v>
      </c>
      <c r="B41147" s="74" t="s">
        <v>18850</v>
      </c>
      <c r="C41147" s="74" t="s">
        <v>457</v>
      </c>
    </row>
    <row r="41148" spans="1:3">
      <c r="A41148" s="250">
        <v>98383</v>
      </c>
      <c r="B41148" s="74" t="s">
        <v>5296</v>
      </c>
      <c r="C41148" s="74" t="s">
        <v>457</v>
      </c>
    </row>
    <row r="41149" spans="1:3">
      <c r="A41149" s="250">
        <v>98384</v>
      </c>
      <c r="B41149" s="74" t="s">
        <v>18851</v>
      </c>
      <c r="C41149" s="74" t="s">
        <v>457</v>
      </c>
    </row>
    <row r="41150" spans="1:3">
      <c r="A41150" s="250">
        <v>98385</v>
      </c>
      <c r="B41150" s="74" t="s">
        <v>18852</v>
      </c>
      <c r="C41150" s="74" t="s">
        <v>457</v>
      </c>
    </row>
    <row r="41151" spans="1:3">
      <c r="A41151" s="250">
        <v>98386</v>
      </c>
      <c r="B41151" s="74" t="s">
        <v>18853</v>
      </c>
      <c r="C41151" s="74" t="s">
        <v>457</v>
      </c>
    </row>
    <row r="41152" spans="1:3">
      <c r="A41152" s="250">
        <v>98387</v>
      </c>
      <c r="B41152" s="74" t="s">
        <v>18854</v>
      </c>
      <c r="C41152" s="74" t="s">
        <v>457</v>
      </c>
    </row>
    <row r="41153" spans="1:3">
      <c r="A41153" s="250">
        <v>98388</v>
      </c>
      <c r="B41153" s="74" t="s">
        <v>18855</v>
      </c>
      <c r="C41153" s="74" t="s">
        <v>457</v>
      </c>
    </row>
    <row r="41154" spans="1:3">
      <c r="A41154" s="250">
        <v>98390</v>
      </c>
      <c r="B41154" s="74" t="s">
        <v>1472</v>
      </c>
      <c r="C41154" s="74" t="s">
        <v>457</v>
      </c>
    </row>
    <row r="41155" spans="1:3">
      <c r="A41155" s="250">
        <v>98391</v>
      </c>
      <c r="B41155" s="74" t="s">
        <v>18856</v>
      </c>
      <c r="C41155" s="74" t="s">
        <v>457</v>
      </c>
    </row>
    <row r="41156" spans="1:3">
      <c r="A41156" s="250">
        <v>98392</v>
      </c>
      <c r="B41156" s="74" t="s">
        <v>18857</v>
      </c>
      <c r="C41156" s="74" t="s">
        <v>457</v>
      </c>
    </row>
    <row r="41157" spans="1:3">
      <c r="A41157" s="250">
        <v>98393</v>
      </c>
      <c r="B41157" s="74" t="s">
        <v>18858</v>
      </c>
      <c r="C41157" s="74" t="s">
        <v>457</v>
      </c>
    </row>
    <row r="41158" spans="1:3">
      <c r="A41158" s="250">
        <v>98394</v>
      </c>
      <c r="B41158" s="74" t="s">
        <v>13343</v>
      </c>
      <c r="C41158" s="74" t="s">
        <v>457</v>
      </c>
    </row>
    <row r="41159" spans="1:3">
      <c r="A41159" s="250">
        <v>98395</v>
      </c>
      <c r="B41159" s="74" t="s">
        <v>18859</v>
      </c>
      <c r="C41159" s="74" t="s">
        <v>457</v>
      </c>
    </row>
    <row r="41160" spans="1:3">
      <c r="A41160" s="250">
        <v>98396</v>
      </c>
      <c r="B41160" s="74" t="s">
        <v>18860</v>
      </c>
      <c r="C41160" s="74" t="s">
        <v>457</v>
      </c>
    </row>
    <row r="41161" spans="1:3">
      <c r="A41161" s="250">
        <v>98397</v>
      </c>
      <c r="B41161" s="74" t="s">
        <v>18861</v>
      </c>
      <c r="C41161" s="74" t="s">
        <v>457</v>
      </c>
    </row>
    <row r="41162" spans="1:3">
      <c r="A41162" s="250">
        <v>98398</v>
      </c>
      <c r="B41162" s="74" t="s">
        <v>18862</v>
      </c>
      <c r="C41162" s="74" t="s">
        <v>457</v>
      </c>
    </row>
    <row r="41163" spans="1:3">
      <c r="A41163" s="250">
        <v>98401</v>
      </c>
      <c r="B41163" s="74" t="s">
        <v>18863</v>
      </c>
      <c r="C41163" s="74" t="s">
        <v>457</v>
      </c>
    </row>
    <row r="41164" spans="1:3">
      <c r="A41164" s="250">
        <v>98402</v>
      </c>
      <c r="B41164" s="74" t="s">
        <v>18863</v>
      </c>
      <c r="C41164" s="74" t="s">
        <v>457</v>
      </c>
    </row>
    <row r="41165" spans="1:3">
      <c r="A41165" s="250">
        <v>98403</v>
      </c>
      <c r="B41165" s="74" t="s">
        <v>18863</v>
      </c>
      <c r="C41165" s="74" t="s">
        <v>457</v>
      </c>
    </row>
    <row r="41166" spans="1:3">
      <c r="A41166" s="250">
        <v>98404</v>
      </c>
      <c r="B41166" s="74" t="s">
        <v>18863</v>
      </c>
      <c r="C41166" s="74" t="s">
        <v>457</v>
      </c>
    </row>
    <row r="41167" spans="1:3">
      <c r="A41167" s="250">
        <v>98405</v>
      </c>
      <c r="B41167" s="74" t="s">
        <v>18863</v>
      </c>
      <c r="C41167" s="74" t="s">
        <v>457</v>
      </c>
    </row>
    <row r="41168" spans="1:3">
      <c r="A41168" s="250">
        <v>98406</v>
      </c>
      <c r="B41168" s="74" t="s">
        <v>18863</v>
      </c>
      <c r="C41168" s="74" t="s">
        <v>457</v>
      </c>
    </row>
    <row r="41169" spans="1:3">
      <c r="A41169" s="250">
        <v>98407</v>
      </c>
      <c r="B41169" s="74" t="s">
        <v>18863</v>
      </c>
      <c r="C41169" s="74" t="s">
        <v>457</v>
      </c>
    </row>
    <row r="41170" spans="1:3">
      <c r="A41170" s="250">
        <v>98408</v>
      </c>
      <c r="B41170" s="74" t="s">
        <v>18863</v>
      </c>
      <c r="C41170" s="74" t="s">
        <v>457</v>
      </c>
    </row>
    <row r="41171" spans="1:3">
      <c r="A41171" s="250">
        <v>98409</v>
      </c>
      <c r="B41171" s="74" t="s">
        <v>18863</v>
      </c>
      <c r="C41171" s="74" t="s">
        <v>457</v>
      </c>
    </row>
    <row r="41172" spans="1:3">
      <c r="A41172" s="250">
        <v>98411</v>
      </c>
      <c r="B41172" s="74" t="s">
        <v>18863</v>
      </c>
      <c r="C41172" s="74" t="s">
        <v>457</v>
      </c>
    </row>
    <row r="41173" spans="1:3">
      <c r="A41173" s="250">
        <v>98412</v>
      </c>
      <c r="B41173" s="74" t="s">
        <v>18863</v>
      </c>
      <c r="C41173" s="74" t="s">
        <v>457</v>
      </c>
    </row>
    <row r="41174" spans="1:3">
      <c r="A41174" s="250">
        <v>98413</v>
      </c>
      <c r="B41174" s="74" t="s">
        <v>18863</v>
      </c>
      <c r="C41174" s="74" t="s">
        <v>457</v>
      </c>
    </row>
    <row r="41175" spans="1:3">
      <c r="A41175" s="250">
        <v>98415</v>
      </c>
      <c r="B41175" s="74" t="s">
        <v>18863</v>
      </c>
      <c r="C41175" s="74" t="s">
        <v>457</v>
      </c>
    </row>
    <row r="41176" spans="1:3">
      <c r="A41176" s="250">
        <v>98416</v>
      </c>
      <c r="B41176" s="74" t="s">
        <v>18863</v>
      </c>
      <c r="C41176" s="74" t="s">
        <v>457</v>
      </c>
    </row>
    <row r="41177" spans="1:3">
      <c r="A41177" s="250">
        <v>98417</v>
      </c>
      <c r="B41177" s="74" t="s">
        <v>18863</v>
      </c>
      <c r="C41177" s="74" t="s">
        <v>457</v>
      </c>
    </row>
    <row r="41178" spans="1:3">
      <c r="A41178" s="250">
        <v>98418</v>
      </c>
      <c r="B41178" s="74" t="s">
        <v>18863</v>
      </c>
      <c r="C41178" s="74" t="s">
        <v>457</v>
      </c>
    </row>
    <row r="41179" spans="1:3">
      <c r="A41179" s="250">
        <v>98419</v>
      </c>
      <c r="B41179" s="74" t="s">
        <v>18863</v>
      </c>
      <c r="C41179" s="74" t="s">
        <v>457</v>
      </c>
    </row>
    <row r="41180" spans="1:3">
      <c r="A41180" s="250">
        <v>98421</v>
      </c>
      <c r="B41180" s="74" t="s">
        <v>18863</v>
      </c>
      <c r="C41180" s="74" t="s">
        <v>457</v>
      </c>
    </row>
    <row r="41181" spans="1:3">
      <c r="A41181" s="250">
        <v>98422</v>
      </c>
      <c r="B41181" s="74" t="s">
        <v>18863</v>
      </c>
      <c r="C41181" s="74" t="s">
        <v>457</v>
      </c>
    </row>
    <row r="41182" spans="1:3">
      <c r="A41182" s="250">
        <v>98424</v>
      </c>
      <c r="B41182" s="74" t="s">
        <v>18863</v>
      </c>
      <c r="C41182" s="74" t="s">
        <v>457</v>
      </c>
    </row>
    <row r="41183" spans="1:3">
      <c r="A41183" s="250">
        <v>98430</v>
      </c>
      <c r="B41183" s="74" t="s">
        <v>18864</v>
      </c>
      <c r="C41183" s="74" t="s">
        <v>457</v>
      </c>
    </row>
    <row r="41184" spans="1:3">
      <c r="A41184" s="250">
        <v>98431</v>
      </c>
      <c r="B41184" s="74" t="s">
        <v>18863</v>
      </c>
      <c r="C41184" s="74" t="s">
        <v>457</v>
      </c>
    </row>
    <row r="41185" spans="1:3">
      <c r="A41185" s="250">
        <v>98433</v>
      </c>
      <c r="B41185" s="74" t="s">
        <v>18863</v>
      </c>
      <c r="C41185" s="74" t="s">
        <v>457</v>
      </c>
    </row>
    <row r="41186" spans="1:3">
      <c r="A41186" s="250">
        <v>98438</v>
      </c>
      <c r="B41186" s="74" t="s">
        <v>18865</v>
      </c>
      <c r="C41186" s="74" t="s">
        <v>457</v>
      </c>
    </row>
    <row r="41187" spans="1:3">
      <c r="A41187" s="250">
        <v>98439</v>
      </c>
      <c r="B41187" s="74" t="s">
        <v>2535</v>
      </c>
      <c r="C41187" s="74" t="s">
        <v>457</v>
      </c>
    </row>
    <row r="41188" spans="1:3">
      <c r="A41188" s="250">
        <v>98442</v>
      </c>
      <c r="B41188" s="74" t="s">
        <v>18863</v>
      </c>
      <c r="C41188" s="74" t="s">
        <v>457</v>
      </c>
    </row>
    <row r="41189" spans="1:3">
      <c r="A41189" s="250">
        <v>98443</v>
      </c>
      <c r="B41189" s="74" t="s">
        <v>18863</v>
      </c>
      <c r="C41189" s="74" t="s">
        <v>457</v>
      </c>
    </row>
    <row r="41190" spans="1:3">
      <c r="A41190" s="250">
        <v>98444</v>
      </c>
      <c r="B41190" s="74" t="s">
        <v>18863</v>
      </c>
      <c r="C41190" s="74" t="s">
        <v>457</v>
      </c>
    </row>
    <row r="41191" spans="1:3">
      <c r="A41191" s="250">
        <v>98445</v>
      </c>
      <c r="B41191" s="74" t="s">
        <v>18863</v>
      </c>
      <c r="C41191" s="74" t="s">
        <v>457</v>
      </c>
    </row>
    <row r="41192" spans="1:3">
      <c r="A41192" s="250">
        <v>98446</v>
      </c>
      <c r="B41192" s="74" t="s">
        <v>18863</v>
      </c>
      <c r="C41192" s="74" t="s">
        <v>457</v>
      </c>
    </row>
    <row r="41193" spans="1:3">
      <c r="A41193" s="250">
        <v>98447</v>
      </c>
      <c r="B41193" s="74" t="s">
        <v>18863</v>
      </c>
      <c r="C41193" s="74" t="s">
        <v>457</v>
      </c>
    </row>
    <row r="41194" spans="1:3">
      <c r="A41194" s="250">
        <v>98448</v>
      </c>
      <c r="B41194" s="74" t="s">
        <v>18863</v>
      </c>
      <c r="C41194" s="74" t="s">
        <v>457</v>
      </c>
    </row>
    <row r="41195" spans="1:3">
      <c r="A41195" s="250">
        <v>98450</v>
      </c>
      <c r="B41195" s="74" t="s">
        <v>18863</v>
      </c>
      <c r="C41195" s="74" t="s">
        <v>457</v>
      </c>
    </row>
    <row r="41196" spans="1:3">
      <c r="A41196" s="250">
        <v>98455</v>
      </c>
      <c r="B41196" s="74" t="s">
        <v>18863</v>
      </c>
      <c r="C41196" s="74" t="s">
        <v>457</v>
      </c>
    </row>
    <row r="41197" spans="1:3">
      <c r="A41197" s="250">
        <v>98460</v>
      </c>
      <c r="B41197" s="74" t="s">
        <v>18863</v>
      </c>
      <c r="C41197" s="74" t="s">
        <v>457</v>
      </c>
    </row>
    <row r="41198" spans="1:3">
      <c r="A41198" s="250">
        <v>98464</v>
      </c>
      <c r="B41198" s="74" t="s">
        <v>18863</v>
      </c>
      <c r="C41198" s="74" t="s">
        <v>457</v>
      </c>
    </row>
    <row r="41199" spans="1:3">
      <c r="A41199" s="250">
        <v>98465</v>
      </c>
      <c r="B41199" s="74" t="s">
        <v>18863</v>
      </c>
      <c r="C41199" s="74" t="s">
        <v>457</v>
      </c>
    </row>
    <row r="41200" spans="1:3">
      <c r="A41200" s="250">
        <v>98466</v>
      </c>
      <c r="B41200" s="74" t="s">
        <v>18863</v>
      </c>
      <c r="C41200" s="74" t="s">
        <v>457</v>
      </c>
    </row>
    <row r="41201" spans="1:3">
      <c r="A41201" s="250">
        <v>98467</v>
      </c>
      <c r="B41201" s="74" t="s">
        <v>18866</v>
      </c>
      <c r="C41201" s="74" t="s">
        <v>457</v>
      </c>
    </row>
    <row r="41202" spans="1:3">
      <c r="A41202" s="250">
        <v>98471</v>
      </c>
      <c r="B41202" s="74" t="s">
        <v>18863</v>
      </c>
      <c r="C41202" s="74" t="s">
        <v>457</v>
      </c>
    </row>
    <row r="41203" spans="1:3">
      <c r="A41203" s="250">
        <v>98477</v>
      </c>
      <c r="B41203" s="74" t="s">
        <v>18863</v>
      </c>
      <c r="C41203" s="74" t="s">
        <v>457</v>
      </c>
    </row>
    <row r="41204" spans="1:3">
      <c r="A41204" s="250">
        <v>98481</v>
      </c>
      <c r="B41204" s="74" t="s">
        <v>18863</v>
      </c>
      <c r="C41204" s="74" t="s">
        <v>457</v>
      </c>
    </row>
    <row r="41205" spans="1:3">
      <c r="A41205" s="250">
        <v>98490</v>
      </c>
      <c r="B41205" s="74" t="s">
        <v>18863</v>
      </c>
      <c r="C41205" s="74" t="s">
        <v>457</v>
      </c>
    </row>
    <row r="41206" spans="1:3">
      <c r="A41206" s="250">
        <v>98492</v>
      </c>
      <c r="B41206" s="74" t="s">
        <v>18863</v>
      </c>
      <c r="C41206" s="74" t="s">
        <v>457</v>
      </c>
    </row>
    <row r="41207" spans="1:3">
      <c r="A41207" s="250">
        <v>98493</v>
      </c>
      <c r="B41207" s="74" t="s">
        <v>18863</v>
      </c>
      <c r="C41207" s="74" t="s">
        <v>457</v>
      </c>
    </row>
    <row r="41208" spans="1:3">
      <c r="A41208" s="250">
        <v>98496</v>
      </c>
      <c r="B41208" s="74" t="s">
        <v>2535</v>
      </c>
      <c r="C41208" s="74" t="s">
        <v>457</v>
      </c>
    </row>
    <row r="41209" spans="1:3">
      <c r="A41209" s="250">
        <v>98497</v>
      </c>
      <c r="B41209" s="74" t="s">
        <v>2535</v>
      </c>
      <c r="C41209" s="74" t="s">
        <v>457</v>
      </c>
    </row>
    <row r="41210" spans="1:3">
      <c r="A41210" s="250">
        <v>98498</v>
      </c>
      <c r="B41210" s="74" t="s">
        <v>2535</v>
      </c>
      <c r="C41210" s="74" t="s">
        <v>457</v>
      </c>
    </row>
    <row r="41211" spans="1:3">
      <c r="A41211" s="250">
        <v>98499</v>
      </c>
      <c r="B41211" s="74" t="s">
        <v>2535</v>
      </c>
      <c r="C41211" s="74" t="s">
        <v>457</v>
      </c>
    </row>
    <row r="41212" spans="1:3">
      <c r="A41212" s="250">
        <v>98501</v>
      </c>
      <c r="B41212" s="74" t="s">
        <v>9634</v>
      </c>
      <c r="C41212" s="74" t="s">
        <v>457</v>
      </c>
    </row>
    <row r="41213" spans="1:3">
      <c r="A41213" s="250">
        <v>98502</v>
      </c>
      <c r="B41213" s="74" t="s">
        <v>9634</v>
      </c>
      <c r="C41213" s="74" t="s">
        <v>457</v>
      </c>
    </row>
    <row r="41214" spans="1:3">
      <c r="A41214" s="250">
        <v>98503</v>
      </c>
      <c r="B41214" s="74" t="s">
        <v>18867</v>
      </c>
      <c r="C41214" s="74" t="s">
        <v>457</v>
      </c>
    </row>
    <row r="41215" spans="1:3">
      <c r="A41215" s="250">
        <v>98504</v>
      </c>
      <c r="B41215" s="74" t="s">
        <v>9634</v>
      </c>
      <c r="C41215" s="74" t="s">
        <v>457</v>
      </c>
    </row>
    <row r="41216" spans="1:3">
      <c r="A41216" s="250">
        <v>98505</v>
      </c>
      <c r="B41216" s="74" t="s">
        <v>9634</v>
      </c>
      <c r="C41216" s="74" t="s">
        <v>457</v>
      </c>
    </row>
    <row r="41217" spans="1:3">
      <c r="A41217" s="250">
        <v>98506</v>
      </c>
      <c r="B41217" s="74" t="s">
        <v>9634</v>
      </c>
      <c r="C41217" s="74" t="s">
        <v>457</v>
      </c>
    </row>
    <row r="41218" spans="1:3">
      <c r="A41218" s="250">
        <v>98507</v>
      </c>
      <c r="B41218" s="74" t="s">
        <v>9634</v>
      </c>
      <c r="C41218" s="74" t="s">
        <v>457</v>
      </c>
    </row>
    <row r="41219" spans="1:3">
      <c r="A41219" s="250">
        <v>98508</v>
      </c>
      <c r="B41219" s="74" t="s">
        <v>9634</v>
      </c>
      <c r="C41219" s="74" t="s">
        <v>457</v>
      </c>
    </row>
    <row r="41220" spans="1:3">
      <c r="A41220" s="250">
        <v>98509</v>
      </c>
      <c r="B41220" s="74" t="s">
        <v>18867</v>
      </c>
      <c r="C41220" s="74" t="s">
        <v>457</v>
      </c>
    </row>
    <row r="41221" spans="1:3">
      <c r="A41221" s="250">
        <v>98511</v>
      </c>
      <c r="B41221" s="74" t="s">
        <v>18868</v>
      </c>
      <c r="C41221" s="74" t="s">
        <v>457</v>
      </c>
    </row>
    <row r="41222" spans="1:3">
      <c r="A41222" s="250">
        <v>98512</v>
      </c>
      <c r="B41222" s="74" t="s">
        <v>9634</v>
      </c>
      <c r="C41222" s="74" t="s">
        <v>457</v>
      </c>
    </row>
    <row r="41223" spans="1:3">
      <c r="A41223" s="250">
        <v>98513</v>
      </c>
      <c r="B41223" s="74" t="s">
        <v>9634</v>
      </c>
      <c r="C41223" s="74" t="s">
        <v>457</v>
      </c>
    </row>
    <row r="41224" spans="1:3">
      <c r="A41224" s="250">
        <v>98516</v>
      </c>
      <c r="B41224" s="74" t="s">
        <v>9634</v>
      </c>
      <c r="C41224" s="74" t="s">
        <v>457</v>
      </c>
    </row>
    <row r="41225" spans="1:3">
      <c r="A41225" s="250">
        <v>98520</v>
      </c>
      <c r="B41225" s="74" t="s">
        <v>5648</v>
      </c>
      <c r="C41225" s="74" t="s">
        <v>457</v>
      </c>
    </row>
    <row r="41226" spans="1:3">
      <c r="A41226" s="250">
        <v>98522</v>
      </c>
      <c r="B41226" s="74" t="s">
        <v>18869</v>
      </c>
      <c r="C41226" s="74" t="s">
        <v>457</v>
      </c>
    </row>
    <row r="41227" spans="1:3">
      <c r="A41227" s="250">
        <v>98524</v>
      </c>
      <c r="B41227" s="74" t="s">
        <v>18870</v>
      </c>
      <c r="C41227" s="74" t="s">
        <v>457</v>
      </c>
    </row>
    <row r="41228" spans="1:3">
      <c r="A41228" s="250">
        <v>98526</v>
      </c>
      <c r="B41228" s="74" t="s">
        <v>18871</v>
      </c>
      <c r="C41228" s="74" t="s">
        <v>457</v>
      </c>
    </row>
    <row r="41229" spans="1:3">
      <c r="A41229" s="250">
        <v>98527</v>
      </c>
      <c r="B41229" s="74" t="s">
        <v>18872</v>
      </c>
      <c r="C41229" s="74" t="s">
        <v>457</v>
      </c>
    </row>
    <row r="41230" spans="1:3">
      <c r="A41230" s="250">
        <v>98528</v>
      </c>
      <c r="B41230" s="74" t="s">
        <v>18873</v>
      </c>
      <c r="C41230" s="74" t="s">
        <v>457</v>
      </c>
    </row>
    <row r="41231" spans="1:3">
      <c r="A41231" s="250">
        <v>98530</v>
      </c>
      <c r="B41231" s="74" t="s">
        <v>18874</v>
      </c>
      <c r="C41231" s="74" t="s">
        <v>457</v>
      </c>
    </row>
    <row r="41232" spans="1:3">
      <c r="A41232" s="250">
        <v>98531</v>
      </c>
      <c r="B41232" s="74" t="s">
        <v>13965</v>
      </c>
      <c r="C41232" s="74" t="s">
        <v>457</v>
      </c>
    </row>
    <row r="41233" spans="1:3">
      <c r="A41233" s="250">
        <v>98532</v>
      </c>
      <c r="B41233" s="74" t="s">
        <v>18875</v>
      </c>
      <c r="C41233" s="74" t="s">
        <v>457</v>
      </c>
    </row>
    <row r="41234" spans="1:3">
      <c r="A41234" s="250">
        <v>98533</v>
      </c>
      <c r="B41234" s="74" t="s">
        <v>18876</v>
      </c>
      <c r="C41234" s="74" t="s">
        <v>457</v>
      </c>
    </row>
    <row r="41235" spans="1:3">
      <c r="A41235" s="250">
        <v>98535</v>
      </c>
      <c r="B41235" s="74" t="s">
        <v>18877</v>
      </c>
      <c r="C41235" s="74" t="s">
        <v>457</v>
      </c>
    </row>
    <row r="41236" spans="1:3">
      <c r="A41236" s="250">
        <v>98536</v>
      </c>
      <c r="B41236" s="74" t="s">
        <v>18878</v>
      </c>
      <c r="C41236" s="74" t="s">
        <v>457</v>
      </c>
    </row>
    <row r="41237" spans="1:3">
      <c r="A41237" s="250">
        <v>98537</v>
      </c>
      <c r="B41237" s="74" t="s">
        <v>18879</v>
      </c>
      <c r="C41237" s="74" t="s">
        <v>457</v>
      </c>
    </row>
    <row r="41238" spans="1:3">
      <c r="A41238" s="250">
        <v>98538</v>
      </c>
      <c r="B41238" s="74" t="s">
        <v>11406</v>
      </c>
      <c r="C41238" s="74" t="s">
        <v>457</v>
      </c>
    </row>
    <row r="41239" spans="1:3">
      <c r="A41239" s="250">
        <v>98539</v>
      </c>
      <c r="B41239" s="74" t="s">
        <v>18880</v>
      </c>
      <c r="C41239" s="74" t="s">
        <v>457</v>
      </c>
    </row>
    <row r="41240" spans="1:3">
      <c r="A41240" s="250">
        <v>98540</v>
      </c>
      <c r="B41240" s="74" t="s">
        <v>18881</v>
      </c>
      <c r="C41240" s="74" t="s">
        <v>457</v>
      </c>
    </row>
    <row r="41241" spans="1:3">
      <c r="A41241" s="250">
        <v>98541</v>
      </c>
      <c r="B41241" s="74" t="s">
        <v>3702</v>
      </c>
      <c r="C41241" s="74" t="s">
        <v>457</v>
      </c>
    </row>
    <row r="41242" spans="1:3">
      <c r="A41242" s="250">
        <v>98542</v>
      </c>
      <c r="B41242" s="74" t="s">
        <v>6604</v>
      </c>
      <c r="C41242" s="74" t="s">
        <v>457</v>
      </c>
    </row>
    <row r="41243" spans="1:3">
      <c r="A41243" s="250">
        <v>98544</v>
      </c>
      <c r="B41243" s="74" t="s">
        <v>18882</v>
      </c>
      <c r="C41243" s="74" t="s">
        <v>457</v>
      </c>
    </row>
    <row r="41244" spans="1:3">
      <c r="A41244" s="250">
        <v>98546</v>
      </c>
      <c r="B41244" s="74" t="s">
        <v>18883</v>
      </c>
      <c r="C41244" s="74" t="s">
        <v>457</v>
      </c>
    </row>
    <row r="41245" spans="1:3">
      <c r="A41245" s="250">
        <v>98547</v>
      </c>
      <c r="B41245" s="74" t="s">
        <v>18884</v>
      </c>
      <c r="C41245" s="74" t="s">
        <v>457</v>
      </c>
    </row>
    <row r="41246" spans="1:3">
      <c r="A41246" s="250">
        <v>98548</v>
      </c>
      <c r="B41246" s="74" t="s">
        <v>18885</v>
      </c>
      <c r="C41246" s="74" t="s">
        <v>457</v>
      </c>
    </row>
    <row r="41247" spans="1:3">
      <c r="A41247" s="250">
        <v>98550</v>
      </c>
      <c r="B41247" s="74" t="s">
        <v>18886</v>
      </c>
      <c r="C41247" s="74" t="s">
        <v>457</v>
      </c>
    </row>
    <row r="41248" spans="1:3">
      <c r="A41248" s="250">
        <v>98552</v>
      </c>
      <c r="B41248" s="74" t="s">
        <v>18887</v>
      </c>
      <c r="C41248" s="74" t="s">
        <v>457</v>
      </c>
    </row>
    <row r="41249" spans="1:3">
      <c r="A41249" s="250">
        <v>98554</v>
      </c>
      <c r="B41249" s="74" t="s">
        <v>18888</v>
      </c>
      <c r="C41249" s="74" t="s">
        <v>457</v>
      </c>
    </row>
    <row r="41250" spans="1:3">
      <c r="A41250" s="250">
        <v>98555</v>
      </c>
      <c r="B41250" s="74" t="s">
        <v>18889</v>
      </c>
      <c r="C41250" s="74" t="s">
        <v>457</v>
      </c>
    </row>
    <row r="41251" spans="1:3">
      <c r="A41251" s="250">
        <v>98556</v>
      </c>
      <c r="B41251" s="74" t="s">
        <v>17985</v>
      </c>
      <c r="C41251" s="74" t="s">
        <v>457</v>
      </c>
    </row>
    <row r="41252" spans="1:3">
      <c r="A41252" s="250">
        <v>98557</v>
      </c>
      <c r="B41252" s="74" t="s">
        <v>18890</v>
      </c>
      <c r="C41252" s="74" t="s">
        <v>457</v>
      </c>
    </row>
    <row r="41253" spans="1:3">
      <c r="A41253" s="250">
        <v>98558</v>
      </c>
      <c r="B41253" s="74" t="s">
        <v>18891</v>
      </c>
      <c r="C41253" s="74" t="s">
        <v>457</v>
      </c>
    </row>
    <row r="41254" spans="1:3">
      <c r="A41254" s="250">
        <v>98559</v>
      </c>
      <c r="B41254" s="74" t="s">
        <v>3305</v>
      </c>
      <c r="C41254" s="74" t="s">
        <v>457</v>
      </c>
    </row>
    <row r="41255" spans="1:3">
      <c r="A41255" s="250">
        <v>98560</v>
      </c>
      <c r="B41255" s="74" t="s">
        <v>11726</v>
      </c>
      <c r="C41255" s="74" t="s">
        <v>457</v>
      </c>
    </row>
    <row r="41256" spans="1:3">
      <c r="A41256" s="250">
        <v>98561</v>
      </c>
      <c r="B41256" s="74" t="s">
        <v>8032</v>
      </c>
      <c r="C41256" s="74" t="s">
        <v>457</v>
      </c>
    </row>
    <row r="41257" spans="1:3">
      <c r="A41257" s="250">
        <v>98562</v>
      </c>
      <c r="B41257" s="74" t="s">
        <v>18892</v>
      </c>
      <c r="C41257" s="74" t="s">
        <v>457</v>
      </c>
    </row>
    <row r="41258" spans="1:3">
      <c r="A41258" s="250">
        <v>98563</v>
      </c>
      <c r="B41258" s="74" t="s">
        <v>18893</v>
      </c>
      <c r="C41258" s="74" t="s">
        <v>457</v>
      </c>
    </row>
    <row r="41259" spans="1:3">
      <c r="A41259" s="250">
        <v>98564</v>
      </c>
      <c r="B41259" s="74" t="s">
        <v>18894</v>
      </c>
      <c r="C41259" s="74" t="s">
        <v>457</v>
      </c>
    </row>
    <row r="41260" spans="1:3">
      <c r="A41260" s="250">
        <v>98565</v>
      </c>
      <c r="B41260" s="74" t="s">
        <v>18895</v>
      </c>
      <c r="C41260" s="74" t="s">
        <v>457</v>
      </c>
    </row>
    <row r="41261" spans="1:3">
      <c r="A41261" s="250">
        <v>98566</v>
      </c>
      <c r="B41261" s="74" t="s">
        <v>18896</v>
      </c>
      <c r="C41261" s="74" t="s">
        <v>457</v>
      </c>
    </row>
    <row r="41262" spans="1:3">
      <c r="A41262" s="250">
        <v>98568</v>
      </c>
      <c r="B41262" s="74" t="s">
        <v>2090</v>
      </c>
      <c r="C41262" s="74" t="s">
        <v>457</v>
      </c>
    </row>
    <row r="41263" spans="1:3">
      <c r="A41263" s="250">
        <v>98569</v>
      </c>
      <c r="B41263" s="74" t="s">
        <v>18897</v>
      </c>
      <c r="C41263" s="74" t="s">
        <v>457</v>
      </c>
    </row>
    <row r="41264" spans="1:3">
      <c r="A41264" s="250">
        <v>98570</v>
      </c>
      <c r="B41264" s="74" t="s">
        <v>12248</v>
      </c>
      <c r="C41264" s="74" t="s">
        <v>457</v>
      </c>
    </row>
    <row r="41265" spans="1:3">
      <c r="A41265" s="250">
        <v>98571</v>
      </c>
      <c r="B41265" s="74" t="s">
        <v>18898</v>
      </c>
      <c r="C41265" s="74" t="s">
        <v>457</v>
      </c>
    </row>
    <row r="41266" spans="1:3">
      <c r="A41266" s="250">
        <v>98572</v>
      </c>
      <c r="B41266" s="74" t="s">
        <v>18899</v>
      </c>
      <c r="C41266" s="74" t="s">
        <v>457</v>
      </c>
    </row>
    <row r="41267" spans="1:3">
      <c r="A41267" s="250">
        <v>98575</v>
      </c>
      <c r="B41267" s="74" t="s">
        <v>18900</v>
      </c>
      <c r="C41267" s="74" t="s">
        <v>457</v>
      </c>
    </row>
    <row r="41268" spans="1:3">
      <c r="A41268" s="250">
        <v>98576</v>
      </c>
      <c r="B41268" s="74" t="s">
        <v>18585</v>
      </c>
      <c r="C41268" s="74" t="s">
        <v>457</v>
      </c>
    </row>
    <row r="41269" spans="1:3">
      <c r="A41269" s="250">
        <v>98577</v>
      </c>
      <c r="B41269" s="74" t="s">
        <v>1170</v>
      </c>
      <c r="C41269" s="74" t="s">
        <v>457</v>
      </c>
    </row>
    <row r="41270" spans="1:3">
      <c r="A41270" s="250">
        <v>98579</v>
      </c>
      <c r="B41270" s="74" t="s">
        <v>1085</v>
      </c>
      <c r="C41270" s="74" t="s">
        <v>457</v>
      </c>
    </row>
    <row r="41271" spans="1:3">
      <c r="A41271" s="250">
        <v>98580</v>
      </c>
      <c r="B41271" s="74" t="s">
        <v>13335</v>
      </c>
      <c r="C41271" s="74" t="s">
        <v>457</v>
      </c>
    </row>
    <row r="41272" spans="1:3">
      <c r="A41272" s="250">
        <v>98581</v>
      </c>
      <c r="B41272" s="74" t="s">
        <v>18901</v>
      </c>
      <c r="C41272" s="74" t="s">
        <v>457</v>
      </c>
    </row>
    <row r="41273" spans="1:3">
      <c r="A41273" s="250">
        <v>98582</v>
      </c>
      <c r="B41273" s="74" t="s">
        <v>18902</v>
      </c>
      <c r="C41273" s="74" t="s">
        <v>457</v>
      </c>
    </row>
    <row r="41274" spans="1:3">
      <c r="A41274" s="250">
        <v>98583</v>
      </c>
      <c r="B41274" s="74" t="s">
        <v>18903</v>
      </c>
      <c r="C41274" s="74" t="s">
        <v>457</v>
      </c>
    </row>
    <row r="41275" spans="1:3">
      <c r="A41275" s="250">
        <v>98584</v>
      </c>
      <c r="B41275" s="74" t="s">
        <v>2067</v>
      </c>
      <c r="C41275" s="74" t="s">
        <v>457</v>
      </c>
    </row>
    <row r="41276" spans="1:3">
      <c r="A41276" s="250">
        <v>98585</v>
      </c>
      <c r="B41276" s="74" t="s">
        <v>3735</v>
      </c>
      <c r="C41276" s="74" t="s">
        <v>457</v>
      </c>
    </row>
    <row r="41277" spans="1:3">
      <c r="A41277" s="250">
        <v>98586</v>
      </c>
      <c r="B41277" s="74" t="s">
        <v>10726</v>
      </c>
      <c r="C41277" s="74" t="s">
        <v>457</v>
      </c>
    </row>
    <row r="41278" spans="1:3">
      <c r="A41278" s="250">
        <v>98587</v>
      </c>
      <c r="B41278" s="74" t="s">
        <v>18904</v>
      </c>
      <c r="C41278" s="74" t="s">
        <v>457</v>
      </c>
    </row>
    <row r="41279" spans="1:3">
      <c r="A41279" s="250">
        <v>98588</v>
      </c>
      <c r="B41279" s="74" t="s">
        <v>18905</v>
      </c>
      <c r="C41279" s="74" t="s">
        <v>457</v>
      </c>
    </row>
    <row r="41280" spans="1:3">
      <c r="A41280" s="250">
        <v>98589</v>
      </c>
      <c r="B41280" s="74" t="s">
        <v>18906</v>
      </c>
      <c r="C41280" s="74" t="s">
        <v>457</v>
      </c>
    </row>
    <row r="41281" spans="1:3">
      <c r="A41281" s="250">
        <v>98590</v>
      </c>
      <c r="B41281" s="74" t="s">
        <v>18907</v>
      </c>
      <c r="C41281" s="74" t="s">
        <v>457</v>
      </c>
    </row>
    <row r="41282" spans="1:3">
      <c r="A41282" s="250">
        <v>98591</v>
      </c>
      <c r="B41282" s="74" t="s">
        <v>10215</v>
      </c>
      <c r="C41282" s="74" t="s">
        <v>457</v>
      </c>
    </row>
    <row r="41283" spans="1:3">
      <c r="A41283" s="250">
        <v>98592</v>
      </c>
      <c r="B41283" s="74" t="s">
        <v>1346</v>
      </c>
      <c r="C41283" s="74" t="s">
        <v>457</v>
      </c>
    </row>
    <row r="41284" spans="1:3">
      <c r="A41284" s="250">
        <v>98593</v>
      </c>
      <c r="B41284" s="74" t="s">
        <v>18908</v>
      </c>
      <c r="C41284" s="74" t="s">
        <v>457</v>
      </c>
    </row>
    <row r="41285" spans="1:3">
      <c r="A41285" s="250">
        <v>98595</v>
      </c>
      <c r="B41285" s="74" t="s">
        <v>1090</v>
      </c>
      <c r="C41285" s="74" t="s">
        <v>457</v>
      </c>
    </row>
    <row r="41286" spans="1:3">
      <c r="A41286" s="250">
        <v>98596</v>
      </c>
      <c r="B41286" s="74" t="s">
        <v>18909</v>
      </c>
      <c r="C41286" s="74" t="s">
        <v>457</v>
      </c>
    </row>
    <row r="41287" spans="1:3">
      <c r="A41287" s="250">
        <v>98597</v>
      </c>
      <c r="B41287" s="74" t="s">
        <v>18910</v>
      </c>
      <c r="C41287" s="74" t="s">
        <v>457</v>
      </c>
    </row>
    <row r="41288" spans="1:3">
      <c r="A41288" s="250">
        <v>98599</v>
      </c>
      <c r="B41288" s="74" t="s">
        <v>9634</v>
      </c>
      <c r="C41288" s="74" t="s">
        <v>457</v>
      </c>
    </row>
    <row r="41289" spans="1:3">
      <c r="A41289" s="250">
        <v>98601</v>
      </c>
      <c r="B41289" s="74" t="s">
        <v>10759</v>
      </c>
      <c r="C41289" s="74" t="s">
        <v>457</v>
      </c>
    </row>
    <row r="41290" spans="1:3">
      <c r="A41290" s="250">
        <v>98602</v>
      </c>
      <c r="B41290" s="74" t="s">
        <v>3671</v>
      </c>
      <c r="C41290" s="74" t="s">
        <v>457</v>
      </c>
    </row>
    <row r="41291" spans="1:3">
      <c r="A41291" s="250">
        <v>98603</v>
      </c>
      <c r="B41291" s="74" t="s">
        <v>18911</v>
      </c>
      <c r="C41291" s="74" t="s">
        <v>457</v>
      </c>
    </row>
    <row r="41292" spans="1:3">
      <c r="A41292" s="250">
        <v>98604</v>
      </c>
      <c r="B41292" s="74" t="s">
        <v>10955</v>
      </c>
      <c r="C41292" s="74" t="s">
        <v>457</v>
      </c>
    </row>
    <row r="41293" spans="1:3">
      <c r="A41293" s="250">
        <v>98605</v>
      </c>
      <c r="B41293" s="74" t="s">
        <v>18912</v>
      </c>
      <c r="C41293" s="74" t="s">
        <v>457</v>
      </c>
    </row>
    <row r="41294" spans="1:3">
      <c r="A41294" s="250">
        <v>98606</v>
      </c>
      <c r="B41294" s="74" t="s">
        <v>18913</v>
      </c>
      <c r="C41294" s="74" t="s">
        <v>457</v>
      </c>
    </row>
    <row r="41295" spans="1:3">
      <c r="A41295" s="250">
        <v>98607</v>
      </c>
      <c r="B41295" s="74" t="s">
        <v>18914</v>
      </c>
      <c r="C41295" s="74" t="s">
        <v>457</v>
      </c>
    </row>
    <row r="41296" spans="1:3">
      <c r="A41296" s="250">
        <v>98609</v>
      </c>
      <c r="B41296" s="74" t="s">
        <v>18915</v>
      </c>
      <c r="C41296" s="74" t="s">
        <v>457</v>
      </c>
    </row>
    <row r="41297" spans="1:3">
      <c r="A41297" s="250">
        <v>98610</v>
      </c>
      <c r="B41297" s="74" t="s">
        <v>6190</v>
      </c>
      <c r="C41297" s="74" t="s">
        <v>457</v>
      </c>
    </row>
    <row r="41298" spans="1:3">
      <c r="A41298" s="250">
        <v>98611</v>
      </c>
      <c r="B41298" s="74" t="s">
        <v>12360</v>
      </c>
      <c r="C41298" s="74" t="s">
        <v>457</v>
      </c>
    </row>
    <row r="41299" spans="1:3">
      <c r="A41299" s="250">
        <v>98612</v>
      </c>
      <c r="B41299" s="74" t="s">
        <v>18916</v>
      </c>
      <c r="C41299" s="74" t="s">
        <v>457</v>
      </c>
    </row>
    <row r="41300" spans="1:3">
      <c r="A41300" s="250">
        <v>98613</v>
      </c>
      <c r="B41300" s="74" t="s">
        <v>1024</v>
      </c>
      <c r="C41300" s="74" t="s">
        <v>457</v>
      </c>
    </row>
    <row r="41301" spans="1:3">
      <c r="A41301" s="250">
        <v>98614</v>
      </c>
      <c r="B41301" s="74" t="s">
        <v>13346</v>
      </c>
      <c r="C41301" s="74" t="s">
        <v>457</v>
      </c>
    </row>
    <row r="41302" spans="1:3">
      <c r="A41302" s="250">
        <v>98616</v>
      </c>
      <c r="B41302" s="74" t="s">
        <v>18917</v>
      </c>
      <c r="C41302" s="74" t="s">
        <v>457</v>
      </c>
    </row>
    <row r="41303" spans="1:3">
      <c r="A41303" s="250">
        <v>98617</v>
      </c>
      <c r="B41303" s="74" t="s">
        <v>18918</v>
      </c>
      <c r="C41303" s="74" t="s">
        <v>457</v>
      </c>
    </row>
    <row r="41304" spans="1:3">
      <c r="A41304" s="250">
        <v>98619</v>
      </c>
      <c r="B41304" s="74" t="s">
        <v>2187</v>
      </c>
      <c r="C41304" s="74" t="s">
        <v>457</v>
      </c>
    </row>
    <row r="41305" spans="1:3">
      <c r="A41305" s="250">
        <v>98620</v>
      </c>
      <c r="B41305" s="74" t="s">
        <v>18919</v>
      </c>
      <c r="C41305" s="74" t="s">
        <v>457</v>
      </c>
    </row>
    <row r="41306" spans="1:3">
      <c r="A41306" s="250">
        <v>98621</v>
      </c>
      <c r="B41306" s="74" t="s">
        <v>18920</v>
      </c>
      <c r="C41306" s="74" t="s">
        <v>457</v>
      </c>
    </row>
    <row r="41307" spans="1:3">
      <c r="A41307" s="250">
        <v>98622</v>
      </c>
      <c r="B41307" s="74" t="s">
        <v>18921</v>
      </c>
      <c r="C41307" s="74" t="s">
        <v>457</v>
      </c>
    </row>
    <row r="41308" spans="1:3">
      <c r="A41308" s="250">
        <v>98623</v>
      </c>
      <c r="B41308" s="74" t="s">
        <v>18922</v>
      </c>
      <c r="C41308" s="74" t="s">
        <v>457</v>
      </c>
    </row>
    <row r="41309" spans="1:3">
      <c r="A41309" s="250">
        <v>98624</v>
      </c>
      <c r="B41309" s="74" t="s">
        <v>18923</v>
      </c>
      <c r="C41309" s="74" t="s">
        <v>457</v>
      </c>
    </row>
    <row r="41310" spans="1:3">
      <c r="A41310" s="250">
        <v>98625</v>
      </c>
      <c r="B41310" s="74" t="s">
        <v>18924</v>
      </c>
      <c r="C41310" s="74" t="s">
        <v>457</v>
      </c>
    </row>
    <row r="41311" spans="1:3">
      <c r="A41311" s="250">
        <v>98626</v>
      </c>
      <c r="B41311" s="74" t="s">
        <v>9069</v>
      </c>
      <c r="C41311" s="74" t="s">
        <v>457</v>
      </c>
    </row>
    <row r="41312" spans="1:3">
      <c r="A41312" s="250">
        <v>98628</v>
      </c>
      <c r="B41312" s="74" t="s">
        <v>18925</v>
      </c>
      <c r="C41312" s="74" t="s">
        <v>457</v>
      </c>
    </row>
    <row r="41313" spans="1:3">
      <c r="A41313" s="250">
        <v>98629</v>
      </c>
      <c r="B41313" s="74" t="s">
        <v>9941</v>
      </c>
      <c r="C41313" s="74" t="s">
        <v>457</v>
      </c>
    </row>
    <row r="41314" spans="1:3">
      <c r="A41314" s="250">
        <v>98631</v>
      </c>
      <c r="B41314" s="74" t="s">
        <v>2780</v>
      </c>
      <c r="C41314" s="74" t="s">
        <v>457</v>
      </c>
    </row>
    <row r="41315" spans="1:3">
      <c r="A41315" s="250">
        <v>98632</v>
      </c>
      <c r="B41315" s="74" t="s">
        <v>13774</v>
      </c>
      <c r="C41315" s="74" t="s">
        <v>457</v>
      </c>
    </row>
    <row r="41316" spans="1:3">
      <c r="A41316" s="250">
        <v>98635</v>
      </c>
      <c r="B41316" s="74" t="s">
        <v>12503</v>
      </c>
      <c r="C41316" s="74" t="s">
        <v>457</v>
      </c>
    </row>
    <row r="41317" spans="1:3">
      <c r="A41317" s="250">
        <v>98637</v>
      </c>
      <c r="B41317" s="74" t="s">
        <v>18926</v>
      </c>
      <c r="C41317" s="74" t="s">
        <v>457</v>
      </c>
    </row>
    <row r="41318" spans="1:3">
      <c r="A41318" s="250">
        <v>98638</v>
      </c>
      <c r="B41318" s="74" t="s">
        <v>18927</v>
      </c>
      <c r="C41318" s="74" t="s">
        <v>457</v>
      </c>
    </row>
    <row r="41319" spans="1:3">
      <c r="A41319" s="250">
        <v>98639</v>
      </c>
      <c r="B41319" s="74" t="s">
        <v>18928</v>
      </c>
      <c r="C41319" s="74" t="s">
        <v>457</v>
      </c>
    </row>
    <row r="41320" spans="1:3">
      <c r="A41320" s="250">
        <v>98640</v>
      </c>
      <c r="B41320" s="74" t="s">
        <v>1401</v>
      </c>
      <c r="C41320" s="74" t="s">
        <v>457</v>
      </c>
    </row>
    <row r="41321" spans="1:3">
      <c r="A41321" s="250">
        <v>98641</v>
      </c>
      <c r="B41321" s="74" t="s">
        <v>18929</v>
      </c>
      <c r="C41321" s="74" t="s">
        <v>457</v>
      </c>
    </row>
    <row r="41322" spans="1:3">
      <c r="A41322" s="250">
        <v>98642</v>
      </c>
      <c r="B41322" s="74" t="s">
        <v>2108</v>
      </c>
      <c r="C41322" s="74" t="s">
        <v>457</v>
      </c>
    </row>
    <row r="41323" spans="1:3">
      <c r="A41323" s="250">
        <v>98643</v>
      </c>
      <c r="B41323" s="74" t="s">
        <v>18930</v>
      </c>
      <c r="C41323" s="74" t="s">
        <v>457</v>
      </c>
    </row>
    <row r="41324" spans="1:3">
      <c r="A41324" s="250">
        <v>98644</v>
      </c>
      <c r="B41324" s="74" t="s">
        <v>6168</v>
      </c>
      <c r="C41324" s="74" t="s">
        <v>457</v>
      </c>
    </row>
    <row r="41325" spans="1:3">
      <c r="A41325" s="250">
        <v>98645</v>
      </c>
      <c r="B41325" s="74" t="s">
        <v>18931</v>
      </c>
      <c r="C41325" s="74" t="s">
        <v>457</v>
      </c>
    </row>
    <row r="41326" spans="1:3">
      <c r="A41326" s="250">
        <v>98647</v>
      </c>
      <c r="B41326" s="74" t="s">
        <v>18932</v>
      </c>
      <c r="C41326" s="74" t="s">
        <v>457</v>
      </c>
    </row>
    <row r="41327" spans="1:3">
      <c r="A41327" s="250">
        <v>98648</v>
      </c>
      <c r="B41327" s="74" t="s">
        <v>2071</v>
      </c>
      <c r="C41327" s="74" t="s">
        <v>457</v>
      </c>
    </row>
    <row r="41328" spans="1:3">
      <c r="A41328" s="250">
        <v>98649</v>
      </c>
      <c r="B41328" s="74" t="s">
        <v>18933</v>
      </c>
      <c r="C41328" s="74" t="s">
        <v>457</v>
      </c>
    </row>
    <row r="41329" spans="1:3">
      <c r="A41329" s="250">
        <v>98650</v>
      </c>
      <c r="B41329" s="74" t="s">
        <v>11392</v>
      </c>
      <c r="C41329" s="74" t="s">
        <v>457</v>
      </c>
    </row>
    <row r="41330" spans="1:3">
      <c r="A41330" s="250">
        <v>98651</v>
      </c>
      <c r="B41330" s="74" t="s">
        <v>10822</v>
      </c>
      <c r="C41330" s="74" t="s">
        <v>457</v>
      </c>
    </row>
    <row r="41331" spans="1:3">
      <c r="A41331" s="250">
        <v>98660</v>
      </c>
      <c r="B41331" s="74" t="s">
        <v>18934</v>
      </c>
      <c r="C41331" s="74" t="s">
        <v>457</v>
      </c>
    </row>
    <row r="41332" spans="1:3">
      <c r="A41332" s="250">
        <v>98661</v>
      </c>
      <c r="B41332" s="74" t="s">
        <v>18934</v>
      </c>
      <c r="C41332" s="74" t="s">
        <v>457</v>
      </c>
    </row>
    <row r="41333" spans="1:3">
      <c r="A41333" s="250">
        <v>98662</v>
      </c>
      <c r="B41333" s="74" t="s">
        <v>18934</v>
      </c>
      <c r="C41333" s="74" t="s">
        <v>457</v>
      </c>
    </row>
    <row r="41334" spans="1:3">
      <c r="A41334" s="250">
        <v>98663</v>
      </c>
      <c r="B41334" s="74" t="s">
        <v>18934</v>
      </c>
      <c r="C41334" s="74" t="s">
        <v>457</v>
      </c>
    </row>
    <row r="41335" spans="1:3">
      <c r="A41335" s="250">
        <v>98664</v>
      </c>
      <c r="B41335" s="74" t="s">
        <v>18934</v>
      </c>
      <c r="C41335" s="74" t="s">
        <v>457</v>
      </c>
    </row>
    <row r="41336" spans="1:3">
      <c r="A41336" s="250">
        <v>98665</v>
      </c>
      <c r="B41336" s="74" t="s">
        <v>18934</v>
      </c>
      <c r="C41336" s="74" t="s">
        <v>457</v>
      </c>
    </row>
    <row r="41337" spans="1:3">
      <c r="A41337" s="250">
        <v>98666</v>
      </c>
      <c r="B41337" s="74" t="s">
        <v>18934</v>
      </c>
      <c r="C41337" s="74" t="s">
        <v>457</v>
      </c>
    </row>
    <row r="41338" spans="1:3">
      <c r="A41338" s="250">
        <v>98667</v>
      </c>
      <c r="B41338" s="74" t="s">
        <v>18934</v>
      </c>
      <c r="C41338" s="74" t="s">
        <v>457</v>
      </c>
    </row>
    <row r="41339" spans="1:3">
      <c r="A41339" s="250">
        <v>98668</v>
      </c>
      <c r="B41339" s="74" t="s">
        <v>18934</v>
      </c>
      <c r="C41339" s="74" t="s">
        <v>457</v>
      </c>
    </row>
    <row r="41340" spans="1:3">
      <c r="A41340" s="250">
        <v>98670</v>
      </c>
      <c r="B41340" s="74" t="s">
        <v>18935</v>
      </c>
      <c r="C41340" s="74" t="s">
        <v>457</v>
      </c>
    </row>
    <row r="41341" spans="1:3">
      <c r="A41341" s="250">
        <v>98671</v>
      </c>
      <c r="B41341" s="74" t="s">
        <v>18936</v>
      </c>
      <c r="C41341" s="74" t="s">
        <v>457</v>
      </c>
    </row>
    <row r="41342" spans="1:3">
      <c r="A41342" s="250">
        <v>98672</v>
      </c>
      <c r="B41342" s="74" t="s">
        <v>18937</v>
      </c>
      <c r="C41342" s="74" t="s">
        <v>457</v>
      </c>
    </row>
    <row r="41343" spans="1:3">
      <c r="A41343" s="250">
        <v>98673</v>
      </c>
      <c r="B41343" s="74" t="s">
        <v>18938</v>
      </c>
      <c r="C41343" s="74" t="s">
        <v>457</v>
      </c>
    </row>
    <row r="41344" spans="1:3">
      <c r="A41344" s="250">
        <v>98674</v>
      </c>
      <c r="B41344" s="74" t="s">
        <v>4660</v>
      </c>
      <c r="C41344" s="74" t="s">
        <v>457</v>
      </c>
    </row>
    <row r="41345" spans="1:3">
      <c r="A41345" s="250">
        <v>98675</v>
      </c>
      <c r="B41345" s="74" t="s">
        <v>18939</v>
      </c>
      <c r="C41345" s="74" t="s">
        <v>457</v>
      </c>
    </row>
    <row r="41346" spans="1:3">
      <c r="A41346" s="250">
        <v>98682</v>
      </c>
      <c r="B41346" s="74" t="s">
        <v>18934</v>
      </c>
      <c r="C41346" s="74" t="s">
        <v>457</v>
      </c>
    </row>
    <row r="41347" spans="1:3">
      <c r="A41347" s="250">
        <v>98683</v>
      </c>
      <c r="B41347" s="74" t="s">
        <v>18934</v>
      </c>
      <c r="C41347" s="74" t="s">
        <v>457</v>
      </c>
    </row>
    <row r="41348" spans="1:3">
      <c r="A41348" s="250">
        <v>98684</v>
      </c>
      <c r="B41348" s="74" t="s">
        <v>18934</v>
      </c>
      <c r="C41348" s="74" t="s">
        <v>457</v>
      </c>
    </row>
    <row r="41349" spans="1:3">
      <c r="A41349" s="250">
        <v>98685</v>
      </c>
      <c r="B41349" s="74" t="s">
        <v>18934</v>
      </c>
      <c r="C41349" s="74" t="s">
        <v>457</v>
      </c>
    </row>
    <row r="41350" spans="1:3">
      <c r="A41350" s="250">
        <v>98686</v>
      </c>
      <c r="B41350" s="74" t="s">
        <v>18934</v>
      </c>
      <c r="C41350" s="74" t="s">
        <v>457</v>
      </c>
    </row>
    <row r="41351" spans="1:3">
      <c r="A41351" s="250">
        <v>98687</v>
      </c>
      <c r="B41351" s="74" t="s">
        <v>18934</v>
      </c>
      <c r="C41351" s="74" t="s">
        <v>457</v>
      </c>
    </row>
    <row r="41352" spans="1:3">
      <c r="A41352" s="250">
        <v>98801</v>
      </c>
      <c r="B41352" s="74" t="s">
        <v>18940</v>
      </c>
      <c r="C41352" s="74" t="s">
        <v>457</v>
      </c>
    </row>
    <row r="41353" spans="1:3">
      <c r="A41353" s="250">
        <v>98802</v>
      </c>
      <c r="B41353" s="74" t="s">
        <v>18941</v>
      </c>
      <c r="C41353" s="74" t="s">
        <v>457</v>
      </c>
    </row>
    <row r="41354" spans="1:3">
      <c r="A41354" s="250">
        <v>98807</v>
      </c>
      <c r="B41354" s="74" t="s">
        <v>18940</v>
      </c>
      <c r="C41354" s="74" t="s">
        <v>457</v>
      </c>
    </row>
    <row r="41355" spans="1:3">
      <c r="A41355" s="250">
        <v>98811</v>
      </c>
      <c r="B41355" s="74" t="s">
        <v>18942</v>
      </c>
      <c r="C41355" s="74" t="s">
        <v>457</v>
      </c>
    </row>
    <row r="41356" spans="1:3">
      <c r="A41356" s="250">
        <v>98812</v>
      </c>
      <c r="B41356" s="74" t="s">
        <v>1023</v>
      </c>
      <c r="C41356" s="74" t="s">
        <v>457</v>
      </c>
    </row>
    <row r="41357" spans="1:3">
      <c r="A41357" s="250">
        <v>98813</v>
      </c>
      <c r="B41357" s="74" t="s">
        <v>2077</v>
      </c>
      <c r="C41357" s="74" t="s">
        <v>457</v>
      </c>
    </row>
    <row r="41358" spans="1:3">
      <c r="A41358" s="250">
        <v>98814</v>
      </c>
      <c r="B41358" s="74" t="s">
        <v>4474</v>
      </c>
      <c r="C41358" s="74" t="s">
        <v>457</v>
      </c>
    </row>
    <row r="41359" spans="1:3">
      <c r="A41359" s="250">
        <v>98815</v>
      </c>
      <c r="B41359" s="74" t="s">
        <v>18943</v>
      </c>
      <c r="C41359" s="74" t="s">
        <v>457</v>
      </c>
    </row>
    <row r="41360" spans="1:3">
      <c r="A41360" s="250">
        <v>98816</v>
      </c>
      <c r="B41360" s="74" t="s">
        <v>18944</v>
      </c>
      <c r="C41360" s="74" t="s">
        <v>457</v>
      </c>
    </row>
    <row r="41361" spans="1:3">
      <c r="A41361" s="250">
        <v>98817</v>
      </c>
      <c r="B41361" s="74" t="s">
        <v>18945</v>
      </c>
      <c r="C41361" s="74" t="s">
        <v>457</v>
      </c>
    </row>
    <row r="41362" spans="1:3">
      <c r="A41362" s="250">
        <v>98819</v>
      </c>
      <c r="B41362" s="74" t="s">
        <v>18946</v>
      </c>
      <c r="C41362" s="74" t="s">
        <v>457</v>
      </c>
    </row>
    <row r="41363" spans="1:3">
      <c r="A41363" s="250">
        <v>98821</v>
      </c>
      <c r="B41363" s="74" t="s">
        <v>1438</v>
      </c>
      <c r="C41363" s="74" t="s">
        <v>457</v>
      </c>
    </row>
    <row r="41364" spans="1:3">
      <c r="A41364" s="250">
        <v>98822</v>
      </c>
      <c r="B41364" s="74" t="s">
        <v>18947</v>
      </c>
      <c r="C41364" s="74" t="s">
        <v>457</v>
      </c>
    </row>
    <row r="41365" spans="1:3">
      <c r="A41365" s="250">
        <v>98823</v>
      </c>
      <c r="B41365" s="74" t="s">
        <v>4858</v>
      </c>
      <c r="C41365" s="74" t="s">
        <v>457</v>
      </c>
    </row>
    <row r="41366" spans="1:3">
      <c r="A41366" s="250">
        <v>98824</v>
      </c>
      <c r="B41366" s="74" t="s">
        <v>11723</v>
      </c>
      <c r="C41366" s="74" t="s">
        <v>457</v>
      </c>
    </row>
    <row r="41367" spans="1:3">
      <c r="A41367" s="250">
        <v>98826</v>
      </c>
      <c r="B41367" s="74" t="s">
        <v>10813</v>
      </c>
      <c r="C41367" s="74" t="s">
        <v>457</v>
      </c>
    </row>
    <row r="41368" spans="1:3">
      <c r="A41368" s="250">
        <v>98827</v>
      </c>
      <c r="B41368" s="74" t="s">
        <v>14868</v>
      </c>
      <c r="C41368" s="74" t="s">
        <v>457</v>
      </c>
    </row>
    <row r="41369" spans="1:3">
      <c r="A41369" s="250">
        <v>98828</v>
      </c>
      <c r="B41369" s="74" t="s">
        <v>2489</v>
      </c>
      <c r="C41369" s="74" t="s">
        <v>457</v>
      </c>
    </row>
    <row r="41370" spans="1:3">
      <c r="A41370" s="250">
        <v>98829</v>
      </c>
      <c r="B41370" s="74" t="s">
        <v>18948</v>
      </c>
      <c r="C41370" s="74" t="s">
        <v>457</v>
      </c>
    </row>
    <row r="41371" spans="1:3">
      <c r="A41371" s="250">
        <v>98830</v>
      </c>
      <c r="B41371" s="74" t="s">
        <v>879</v>
      </c>
      <c r="C41371" s="74" t="s">
        <v>457</v>
      </c>
    </row>
    <row r="41372" spans="1:3">
      <c r="A41372" s="250">
        <v>98831</v>
      </c>
      <c r="B41372" s="74" t="s">
        <v>7159</v>
      </c>
      <c r="C41372" s="74" t="s">
        <v>457</v>
      </c>
    </row>
    <row r="41373" spans="1:3">
      <c r="A41373" s="250">
        <v>98832</v>
      </c>
      <c r="B41373" s="74" t="s">
        <v>16066</v>
      </c>
      <c r="C41373" s="74" t="s">
        <v>457</v>
      </c>
    </row>
    <row r="41374" spans="1:3">
      <c r="A41374" s="250">
        <v>98833</v>
      </c>
      <c r="B41374" s="74" t="s">
        <v>18949</v>
      </c>
      <c r="C41374" s="74" t="s">
        <v>457</v>
      </c>
    </row>
    <row r="41375" spans="1:3">
      <c r="A41375" s="250">
        <v>98834</v>
      </c>
      <c r="B41375" s="74" t="s">
        <v>18950</v>
      </c>
      <c r="C41375" s="74" t="s">
        <v>457</v>
      </c>
    </row>
    <row r="41376" spans="1:3">
      <c r="A41376" s="250">
        <v>98836</v>
      </c>
      <c r="B41376" s="74" t="s">
        <v>18951</v>
      </c>
      <c r="C41376" s="74" t="s">
        <v>457</v>
      </c>
    </row>
    <row r="41377" spans="1:3">
      <c r="A41377" s="250">
        <v>98837</v>
      </c>
      <c r="B41377" s="74" t="s">
        <v>18952</v>
      </c>
      <c r="C41377" s="74" t="s">
        <v>457</v>
      </c>
    </row>
    <row r="41378" spans="1:3">
      <c r="A41378" s="250">
        <v>98840</v>
      </c>
      <c r="B41378" s="74" t="s">
        <v>18953</v>
      </c>
      <c r="C41378" s="74" t="s">
        <v>457</v>
      </c>
    </row>
    <row r="41379" spans="1:3">
      <c r="A41379" s="250">
        <v>98841</v>
      </c>
      <c r="B41379" s="74" t="s">
        <v>18954</v>
      </c>
      <c r="C41379" s="74" t="s">
        <v>457</v>
      </c>
    </row>
    <row r="41380" spans="1:3">
      <c r="A41380" s="250">
        <v>98843</v>
      </c>
      <c r="B41380" s="74" t="s">
        <v>18955</v>
      </c>
      <c r="C41380" s="74" t="s">
        <v>457</v>
      </c>
    </row>
    <row r="41381" spans="1:3">
      <c r="A41381" s="250">
        <v>98844</v>
      </c>
      <c r="B41381" s="74" t="s">
        <v>18359</v>
      </c>
      <c r="C41381" s="74" t="s">
        <v>457</v>
      </c>
    </row>
    <row r="41382" spans="1:3">
      <c r="A41382" s="250">
        <v>98845</v>
      </c>
      <c r="B41382" s="74" t="s">
        <v>2699</v>
      </c>
      <c r="C41382" s="74" t="s">
        <v>457</v>
      </c>
    </row>
    <row r="41383" spans="1:3">
      <c r="A41383" s="250">
        <v>98846</v>
      </c>
      <c r="B41383" s="74" t="s">
        <v>18956</v>
      </c>
      <c r="C41383" s="74" t="s">
        <v>457</v>
      </c>
    </row>
    <row r="41384" spans="1:3">
      <c r="A41384" s="250">
        <v>98847</v>
      </c>
      <c r="B41384" s="74" t="s">
        <v>18957</v>
      </c>
      <c r="C41384" s="74" t="s">
        <v>457</v>
      </c>
    </row>
    <row r="41385" spans="1:3">
      <c r="A41385" s="250">
        <v>98848</v>
      </c>
      <c r="B41385" s="74" t="s">
        <v>923</v>
      </c>
      <c r="C41385" s="74" t="s">
        <v>457</v>
      </c>
    </row>
    <row r="41386" spans="1:3">
      <c r="A41386" s="250">
        <v>98849</v>
      </c>
      <c r="B41386" s="74" t="s">
        <v>1147</v>
      </c>
      <c r="C41386" s="74" t="s">
        <v>457</v>
      </c>
    </row>
    <row r="41387" spans="1:3">
      <c r="A41387" s="250">
        <v>98850</v>
      </c>
      <c r="B41387" s="74" t="s">
        <v>9284</v>
      </c>
      <c r="C41387" s="74" t="s">
        <v>457</v>
      </c>
    </row>
    <row r="41388" spans="1:3">
      <c r="A41388" s="250">
        <v>98851</v>
      </c>
      <c r="B41388" s="74" t="s">
        <v>18958</v>
      </c>
      <c r="C41388" s="74" t="s">
        <v>457</v>
      </c>
    </row>
    <row r="41389" spans="1:3">
      <c r="A41389" s="250">
        <v>98852</v>
      </c>
      <c r="B41389" s="74" t="s">
        <v>18959</v>
      </c>
      <c r="C41389" s="74" t="s">
        <v>457</v>
      </c>
    </row>
    <row r="41390" spans="1:3">
      <c r="A41390" s="250">
        <v>98853</v>
      </c>
      <c r="B41390" s="74" t="s">
        <v>2072</v>
      </c>
      <c r="C41390" s="74" t="s">
        <v>457</v>
      </c>
    </row>
    <row r="41391" spans="1:3">
      <c r="A41391" s="250">
        <v>98855</v>
      </c>
      <c r="B41391" s="74" t="s">
        <v>18960</v>
      </c>
      <c r="C41391" s="74" t="s">
        <v>457</v>
      </c>
    </row>
    <row r="41392" spans="1:3">
      <c r="A41392" s="250">
        <v>98856</v>
      </c>
      <c r="B41392" s="74" t="s">
        <v>18961</v>
      </c>
      <c r="C41392" s="74" t="s">
        <v>457</v>
      </c>
    </row>
    <row r="41393" spans="1:3">
      <c r="A41393" s="250">
        <v>98857</v>
      </c>
      <c r="B41393" s="74" t="s">
        <v>18962</v>
      </c>
      <c r="C41393" s="74" t="s">
        <v>457</v>
      </c>
    </row>
    <row r="41394" spans="1:3">
      <c r="A41394" s="250">
        <v>98858</v>
      </c>
      <c r="B41394" s="74" t="s">
        <v>1676</v>
      </c>
      <c r="C41394" s="74" t="s">
        <v>457</v>
      </c>
    </row>
    <row r="41395" spans="1:3">
      <c r="A41395" s="250">
        <v>98859</v>
      </c>
      <c r="B41395" s="74" t="s">
        <v>13455</v>
      </c>
      <c r="C41395" s="74" t="s">
        <v>457</v>
      </c>
    </row>
    <row r="41396" spans="1:3">
      <c r="A41396" s="250">
        <v>98860</v>
      </c>
      <c r="B41396" s="74" t="s">
        <v>18963</v>
      </c>
      <c r="C41396" s="74" t="s">
        <v>457</v>
      </c>
    </row>
    <row r="41397" spans="1:3">
      <c r="A41397" s="250">
        <v>98862</v>
      </c>
      <c r="B41397" s="74" t="s">
        <v>920</v>
      </c>
      <c r="C41397" s="74" t="s">
        <v>457</v>
      </c>
    </row>
    <row r="41398" spans="1:3">
      <c r="A41398" s="250">
        <v>98901</v>
      </c>
      <c r="B41398" s="74" t="s">
        <v>18964</v>
      </c>
      <c r="C41398" s="74" t="s">
        <v>457</v>
      </c>
    </row>
    <row r="41399" spans="1:3">
      <c r="A41399" s="250">
        <v>98902</v>
      </c>
      <c r="B41399" s="74" t="s">
        <v>18964</v>
      </c>
      <c r="C41399" s="74" t="s">
        <v>457</v>
      </c>
    </row>
    <row r="41400" spans="1:3">
      <c r="A41400" s="250">
        <v>98903</v>
      </c>
      <c r="B41400" s="74" t="s">
        <v>18964</v>
      </c>
      <c r="C41400" s="74" t="s">
        <v>457</v>
      </c>
    </row>
    <row r="41401" spans="1:3">
      <c r="A41401" s="250">
        <v>98904</v>
      </c>
      <c r="B41401" s="74" t="s">
        <v>18964</v>
      </c>
      <c r="C41401" s="74" t="s">
        <v>457</v>
      </c>
    </row>
    <row r="41402" spans="1:3">
      <c r="A41402" s="250">
        <v>98907</v>
      </c>
      <c r="B41402" s="74" t="s">
        <v>18964</v>
      </c>
      <c r="C41402" s="74" t="s">
        <v>457</v>
      </c>
    </row>
    <row r="41403" spans="1:3">
      <c r="A41403" s="250">
        <v>98908</v>
      </c>
      <c r="B41403" s="74" t="s">
        <v>18964</v>
      </c>
      <c r="C41403" s="74" t="s">
        <v>457</v>
      </c>
    </row>
    <row r="41404" spans="1:3">
      <c r="A41404" s="250">
        <v>98909</v>
      </c>
      <c r="B41404" s="74" t="s">
        <v>18964</v>
      </c>
      <c r="C41404" s="74" t="s">
        <v>457</v>
      </c>
    </row>
    <row r="41405" spans="1:3">
      <c r="A41405" s="250">
        <v>98920</v>
      </c>
      <c r="B41405" s="74" t="s">
        <v>4851</v>
      </c>
      <c r="C41405" s="74" t="s">
        <v>457</v>
      </c>
    </row>
    <row r="41406" spans="1:3">
      <c r="A41406" s="250">
        <v>98921</v>
      </c>
      <c r="B41406" s="74" t="s">
        <v>2474</v>
      </c>
      <c r="C41406" s="74" t="s">
        <v>457</v>
      </c>
    </row>
    <row r="41407" spans="1:3">
      <c r="A41407" s="250">
        <v>98922</v>
      </c>
      <c r="B41407" s="74" t="s">
        <v>18965</v>
      </c>
      <c r="C41407" s="74" t="s">
        <v>457</v>
      </c>
    </row>
    <row r="41408" spans="1:3">
      <c r="A41408" s="250">
        <v>98923</v>
      </c>
      <c r="B41408" s="74" t="s">
        <v>18966</v>
      </c>
      <c r="C41408" s="74" t="s">
        <v>457</v>
      </c>
    </row>
    <row r="41409" spans="1:3">
      <c r="A41409" s="250">
        <v>98925</v>
      </c>
      <c r="B41409" s="74" t="s">
        <v>941</v>
      </c>
      <c r="C41409" s="74" t="s">
        <v>457</v>
      </c>
    </row>
    <row r="41410" spans="1:3">
      <c r="A41410" s="250">
        <v>98926</v>
      </c>
      <c r="B41410" s="74" t="s">
        <v>18967</v>
      </c>
      <c r="C41410" s="74" t="s">
        <v>457</v>
      </c>
    </row>
    <row r="41411" spans="1:3">
      <c r="A41411" s="250">
        <v>98929</v>
      </c>
      <c r="B41411" s="74" t="s">
        <v>18968</v>
      </c>
      <c r="C41411" s="74" t="s">
        <v>457</v>
      </c>
    </row>
    <row r="41412" spans="1:3">
      <c r="A41412" s="250">
        <v>98930</v>
      </c>
      <c r="B41412" s="74" t="s">
        <v>9065</v>
      </c>
      <c r="C41412" s="74" t="s">
        <v>457</v>
      </c>
    </row>
    <row r="41413" spans="1:3">
      <c r="A41413" s="250">
        <v>98932</v>
      </c>
      <c r="B41413" s="74" t="s">
        <v>10713</v>
      </c>
      <c r="C41413" s="74" t="s">
        <v>457</v>
      </c>
    </row>
    <row r="41414" spans="1:3">
      <c r="A41414" s="250">
        <v>98933</v>
      </c>
      <c r="B41414" s="74" t="s">
        <v>15529</v>
      </c>
      <c r="C41414" s="74" t="s">
        <v>457</v>
      </c>
    </row>
    <row r="41415" spans="1:3">
      <c r="A41415" s="250">
        <v>98934</v>
      </c>
      <c r="B41415" s="74" t="s">
        <v>18969</v>
      </c>
      <c r="C41415" s="74" t="s">
        <v>457</v>
      </c>
    </row>
    <row r="41416" spans="1:3">
      <c r="A41416" s="250">
        <v>98935</v>
      </c>
      <c r="B41416" s="74" t="s">
        <v>18970</v>
      </c>
      <c r="C41416" s="74" t="s">
        <v>457</v>
      </c>
    </row>
    <row r="41417" spans="1:3">
      <c r="A41417" s="250">
        <v>98936</v>
      </c>
      <c r="B41417" s="74" t="s">
        <v>18971</v>
      </c>
      <c r="C41417" s="74" t="s">
        <v>457</v>
      </c>
    </row>
    <row r="41418" spans="1:3">
      <c r="A41418" s="250">
        <v>98937</v>
      </c>
      <c r="B41418" s="74" t="s">
        <v>18968</v>
      </c>
      <c r="C41418" s="74" t="s">
        <v>457</v>
      </c>
    </row>
    <row r="41419" spans="1:3">
      <c r="A41419" s="250">
        <v>98938</v>
      </c>
      <c r="B41419" s="74" t="s">
        <v>13273</v>
      </c>
      <c r="C41419" s="74" t="s">
        <v>457</v>
      </c>
    </row>
    <row r="41420" spans="1:3">
      <c r="A41420" s="250">
        <v>98939</v>
      </c>
      <c r="B41420" s="74" t="s">
        <v>4396</v>
      </c>
      <c r="C41420" s="74" t="s">
        <v>457</v>
      </c>
    </row>
    <row r="41421" spans="1:3">
      <c r="A41421" s="250">
        <v>98940</v>
      </c>
      <c r="B41421" s="74" t="s">
        <v>18972</v>
      </c>
      <c r="C41421" s="74" t="s">
        <v>457</v>
      </c>
    </row>
    <row r="41422" spans="1:3">
      <c r="A41422" s="250">
        <v>98941</v>
      </c>
      <c r="B41422" s="74" t="s">
        <v>2788</v>
      </c>
      <c r="C41422" s="74" t="s">
        <v>457</v>
      </c>
    </row>
    <row r="41423" spans="1:3">
      <c r="A41423" s="250">
        <v>98942</v>
      </c>
      <c r="B41423" s="74" t="s">
        <v>18973</v>
      </c>
      <c r="C41423" s="74" t="s">
        <v>457</v>
      </c>
    </row>
    <row r="41424" spans="1:3">
      <c r="A41424" s="250">
        <v>98943</v>
      </c>
      <c r="B41424" s="74" t="s">
        <v>18974</v>
      </c>
      <c r="C41424" s="74" t="s">
        <v>457</v>
      </c>
    </row>
    <row r="41425" spans="1:3">
      <c r="A41425" s="250">
        <v>98944</v>
      </c>
      <c r="B41425" s="74" t="s">
        <v>2733</v>
      </c>
      <c r="C41425" s="74" t="s">
        <v>457</v>
      </c>
    </row>
    <row r="41426" spans="1:3">
      <c r="A41426" s="250">
        <v>98946</v>
      </c>
      <c r="B41426" s="74" t="s">
        <v>12285</v>
      </c>
      <c r="C41426" s="74" t="s">
        <v>457</v>
      </c>
    </row>
    <row r="41427" spans="1:3">
      <c r="A41427" s="250">
        <v>98947</v>
      </c>
      <c r="B41427" s="74" t="s">
        <v>18975</v>
      </c>
      <c r="C41427" s="74" t="s">
        <v>457</v>
      </c>
    </row>
    <row r="41428" spans="1:3">
      <c r="A41428" s="250">
        <v>98948</v>
      </c>
      <c r="B41428" s="74" t="s">
        <v>18976</v>
      </c>
      <c r="C41428" s="74" t="s">
        <v>457</v>
      </c>
    </row>
    <row r="41429" spans="1:3">
      <c r="A41429" s="250">
        <v>98950</v>
      </c>
      <c r="B41429" s="74" t="s">
        <v>18977</v>
      </c>
      <c r="C41429" s="74" t="s">
        <v>457</v>
      </c>
    </row>
    <row r="41430" spans="1:3">
      <c r="A41430" s="250">
        <v>98951</v>
      </c>
      <c r="B41430" s="74" t="s">
        <v>18978</v>
      </c>
      <c r="C41430" s="74" t="s">
        <v>457</v>
      </c>
    </row>
    <row r="41431" spans="1:3">
      <c r="A41431" s="250">
        <v>98952</v>
      </c>
      <c r="B41431" s="74" t="s">
        <v>18979</v>
      </c>
      <c r="C41431" s="74" t="s">
        <v>457</v>
      </c>
    </row>
    <row r="41432" spans="1:3">
      <c r="A41432" s="250">
        <v>98953</v>
      </c>
      <c r="B41432" s="74" t="s">
        <v>18980</v>
      </c>
      <c r="C41432" s="74" t="s">
        <v>457</v>
      </c>
    </row>
    <row r="41433" spans="1:3">
      <c r="A41433" s="250">
        <v>99001</v>
      </c>
      <c r="B41433" s="74" t="s">
        <v>18981</v>
      </c>
      <c r="C41433" s="74" t="s">
        <v>457</v>
      </c>
    </row>
    <row r="41434" spans="1:3">
      <c r="A41434" s="250">
        <v>99003</v>
      </c>
      <c r="B41434" s="74" t="s">
        <v>6762</v>
      </c>
      <c r="C41434" s="74" t="s">
        <v>457</v>
      </c>
    </row>
    <row r="41435" spans="1:3">
      <c r="A41435" s="250">
        <v>99004</v>
      </c>
      <c r="B41435" s="74" t="s">
        <v>14594</v>
      </c>
      <c r="C41435" s="74" t="s">
        <v>457</v>
      </c>
    </row>
    <row r="41436" spans="1:3">
      <c r="A41436" s="250">
        <v>99005</v>
      </c>
      <c r="B41436" s="74" t="s">
        <v>8007</v>
      </c>
      <c r="C41436" s="74" t="s">
        <v>457</v>
      </c>
    </row>
    <row r="41437" spans="1:3">
      <c r="A41437" s="250">
        <v>99006</v>
      </c>
      <c r="B41437" s="74" t="s">
        <v>2821</v>
      </c>
      <c r="C41437" s="74" t="s">
        <v>457</v>
      </c>
    </row>
    <row r="41438" spans="1:3">
      <c r="A41438" s="250">
        <v>99008</v>
      </c>
      <c r="B41438" s="74" t="s">
        <v>18982</v>
      </c>
      <c r="C41438" s="74" t="s">
        <v>457</v>
      </c>
    </row>
    <row r="41439" spans="1:3">
      <c r="A41439" s="250">
        <v>99009</v>
      </c>
      <c r="B41439" s="74" t="s">
        <v>18208</v>
      </c>
      <c r="C41439" s="74" t="s">
        <v>457</v>
      </c>
    </row>
    <row r="41440" spans="1:3">
      <c r="A41440" s="250">
        <v>99011</v>
      </c>
      <c r="B41440" s="74" t="s">
        <v>18983</v>
      </c>
      <c r="C41440" s="74" t="s">
        <v>457</v>
      </c>
    </row>
    <row r="41441" spans="1:3">
      <c r="A41441" s="250">
        <v>99012</v>
      </c>
      <c r="B41441" s="74" t="s">
        <v>1694</v>
      </c>
      <c r="C41441" s="74" t="s">
        <v>457</v>
      </c>
    </row>
    <row r="41442" spans="1:3">
      <c r="A41442" s="250">
        <v>99013</v>
      </c>
      <c r="B41442" s="74" t="s">
        <v>6203</v>
      </c>
      <c r="C41442" s="74" t="s">
        <v>457</v>
      </c>
    </row>
    <row r="41443" spans="1:3">
      <c r="A41443" s="250">
        <v>99014</v>
      </c>
      <c r="B41443" s="74" t="s">
        <v>18984</v>
      </c>
      <c r="C41443" s="74" t="s">
        <v>457</v>
      </c>
    </row>
    <row r="41444" spans="1:3">
      <c r="A41444" s="250">
        <v>99016</v>
      </c>
      <c r="B41444" s="74" t="s">
        <v>8449</v>
      </c>
      <c r="C41444" s="74" t="s">
        <v>457</v>
      </c>
    </row>
    <row r="41445" spans="1:3">
      <c r="A41445" s="250">
        <v>99017</v>
      </c>
      <c r="B41445" s="74" t="s">
        <v>8282</v>
      </c>
      <c r="C41445" s="74" t="s">
        <v>457</v>
      </c>
    </row>
    <row r="41446" spans="1:3">
      <c r="A41446" s="250">
        <v>99018</v>
      </c>
      <c r="B41446" s="74" t="s">
        <v>18985</v>
      </c>
      <c r="C41446" s="74" t="s">
        <v>457</v>
      </c>
    </row>
    <row r="41447" spans="1:3">
      <c r="A41447" s="250">
        <v>99019</v>
      </c>
      <c r="B41447" s="74" t="s">
        <v>18986</v>
      </c>
      <c r="C41447" s="74" t="s">
        <v>457</v>
      </c>
    </row>
    <row r="41448" spans="1:3">
      <c r="A41448" s="250">
        <v>99020</v>
      </c>
      <c r="B41448" s="74" t="s">
        <v>5516</v>
      </c>
      <c r="C41448" s="74" t="s">
        <v>457</v>
      </c>
    </row>
    <row r="41449" spans="1:3">
      <c r="A41449" s="250">
        <v>99021</v>
      </c>
      <c r="B41449" s="74" t="s">
        <v>14735</v>
      </c>
      <c r="C41449" s="74" t="s">
        <v>457</v>
      </c>
    </row>
    <row r="41450" spans="1:3">
      <c r="A41450" s="250">
        <v>99022</v>
      </c>
      <c r="B41450" s="74" t="s">
        <v>18987</v>
      </c>
      <c r="C41450" s="74" t="s">
        <v>457</v>
      </c>
    </row>
    <row r="41451" spans="1:3">
      <c r="A41451" s="250">
        <v>99023</v>
      </c>
      <c r="B41451" s="74" t="s">
        <v>18988</v>
      </c>
      <c r="C41451" s="74" t="s">
        <v>457</v>
      </c>
    </row>
    <row r="41452" spans="1:3">
      <c r="A41452" s="250">
        <v>99025</v>
      </c>
      <c r="B41452" s="74" t="s">
        <v>18989</v>
      </c>
      <c r="C41452" s="74" t="s">
        <v>457</v>
      </c>
    </row>
    <row r="41453" spans="1:3">
      <c r="A41453" s="250">
        <v>99026</v>
      </c>
      <c r="B41453" s="74" t="s">
        <v>18990</v>
      </c>
      <c r="C41453" s="74" t="s">
        <v>457</v>
      </c>
    </row>
    <row r="41454" spans="1:3">
      <c r="A41454" s="250">
        <v>99027</v>
      </c>
      <c r="B41454" s="74" t="s">
        <v>18991</v>
      </c>
      <c r="C41454" s="74" t="s">
        <v>457</v>
      </c>
    </row>
    <row r="41455" spans="1:3">
      <c r="A41455" s="250">
        <v>99029</v>
      </c>
      <c r="B41455" s="74" t="s">
        <v>18992</v>
      </c>
      <c r="C41455" s="74" t="s">
        <v>457</v>
      </c>
    </row>
    <row r="41456" spans="1:3">
      <c r="A41456" s="250">
        <v>99030</v>
      </c>
      <c r="B41456" s="74" t="s">
        <v>8662</v>
      </c>
      <c r="C41456" s="74" t="s">
        <v>457</v>
      </c>
    </row>
    <row r="41457" spans="1:3">
      <c r="A41457" s="250">
        <v>99031</v>
      </c>
      <c r="B41457" s="74" t="s">
        <v>18993</v>
      </c>
      <c r="C41457" s="74" t="s">
        <v>457</v>
      </c>
    </row>
    <row r="41458" spans="1:3">
      <c r="A41458" s="250">
        <v>99032</v>
      </c>
      <c r="B41458" s="74" t="s">
        <v>14784</v>
      </c>
      <c r="C41458" s="74" t="s">
        <v>457</v>
      </c>
    </row>
    <row r="41459" spans="1:3">
      <c r="A41459" s="250">
        <v>99033</v>
      </c>
      <c r="B41459" s="74" t="s">
        <v>18994</v>
      </c>
      <c r="C41459" s="74" t="s">
        <v>457</v>
      </c>
    </row>
    <row r="41460" spans="1:3">
      <c r="A41460" s="250">
        <v>99034</v>
      </c>
      <c r="B41460" s="74" t="s">
        <v>18995</v>
      </c>
      <c r="C41460" s="74" t="s">
        <v>457</v>
      </c>
    </row>
    <row r="41461" spans="1:3">
      <c r="A41461" s="250">
        <v>99036</v>
      </c>
      <c r="B41461" s="74" t="s">
        <v>18996</v>
      </c>
      <c r="C41461" s="74" t="s">
        <v>457</v>
      </c>
    </row>
    <row r="41462" spans="1:3">
      <c r="A41462" s="250">
        <v>99037</v>
      </c>
      <c r="B41462" s="74" t="s">
        <v>18997</v>
      </c>
      <c r="C41462" s="74" t="s">
        <v>457</v>
      </c>
    </row>
    <row r="41463" spans="1:3">
      <c r="A41463" s="250">
        <v>99039</v>
      </c>
      <c r="B41463" s="74" t="s">
        <v>3950</v>
      </c>
      <c r="C41463" s="74" t="s">
        <v>457</v>
      </c>
    </row>
    <row r="41464" spans="1:3">
      <c r="A41464" s="250">
        <v>99040</v>
      </c>
      <c r="B41464" s="74" t="s">
        <v>18998</v>
      </c>
      <c r="C41464" s="74" t="s">
        <v>457</v>
      </c>
    </row>
    <row r="41465" spans="1:3">
      <c r="A41465" s="250">
        <v>99101</v>
      </c>
      <c r="B41465" s="74" t="s">
        <v>18999</v>
      </c>
      <c r="C41465" s="74" t="s">
        <v>457</v>
      </c>
    </row>
    <row r="41466" spans="1:3">
      <c r="A41466" s="250">
        <v>99102</v>
      </c>
      <c r="B41466" s="74" t="s">
        <v>1093</v>
      </c>
      <c r="C41466" s="74" t="s">
        <v>457</v>
      </c>
    </row>
    <row r="41467" spans="1:3">
      <c r="A41467" s="250">
        <v>99103</v>
      </c>
      <c r="B41467" s="74" t="s">
        <v>19000</v>
      </c>
      <c r="C41467" s="74" t="s">
        <v>457</v>
      </c>
    </row>
    <row r="41468" spans="1:3">
      <c r="A41468" s="250">
        <v>99104</v>
      </c>
      <c r="B41468" s="74" t="s">
        <v>986</v>
      </c>
      <c r="C41468" s="74" t="s">
        <v>457</v>
      </c>
    </row>
    <row r="41469" spans="1:3">
      <c r="A41469" s="250">
        <v>99105</v>
      </c>
      <c r="B41469" s="74" t="s">
        <v>19001</v>
      </c>
      <c r="C41469" s="74" t="s">
        <v>457</v>
      </c>
    </row>
    <row r="41470" spans="1:3">
      <c r="A41470" s="250">
        <v>99107</v>
      </c>
      <c r="B41470" s="74" t="s">
        <v>5632</v>
      </c>
      <c r="C41470" s="74" t="s">
        <v>457</v>
      </c>
    </row>
    <row r="41471" spans="1:3">
      <c r="A41471" s="250">
        <v>99109</v>
      </c>
      <c r="B41471" s="74" t="s">
        <v>19002</v>
      </c>
      <c r="C41471" s="74" t="s">
        <v>457</v>
      </c>
    </row>
    <row r="41472" spans="1:3">
      <c r="A41472" s="250">
        <v>99110</v>
      </c>
      <c r="B41472" s="74" t="s">
        <v>2476</v>
      </c>
      <c r="C41472" s="74" t="s">
        <v>457</v>
      </c>
    </row>
    <row r="41473" spans="1:3">
      <c r="A41473" s="250">
        <v>99111</v>
      </c>
      <c r="B41473" s="74" t="s">
        <v>6980</v>
      </c>
      <c r="C41473" s="74" t="s">
        <v>457</v>
      </c>
    </row>
    <row r="41474" spans="1:3">
      <c r="A41474" s="250">
        <v>99113</v>
      </c>
      <c r="B41474" s="74" t="s">
        <v>3536</v>
      </c>
      <c r="C41474" s="74" t="s">
        <v>457</v>
      </c>
    </row>
    <row r="41475" spans="1:3">
      <c r="A41475" s="250">
        <v>99114</v>
      </c>
      <c r="B41475" s="74" t="s">
        <v>19003</v>
      </c>
      <c r="C41475" s="74" t="s">
        <v>457</v>
      </c>
    </row>
    <row r="41476" spans="1:3">
      <c r="A41476" s="250">
        <v>99115</v>
      </c>
      <c r="B41476" s="74" t="s">
        <v>19004</v>
      </c>
      <c r="C41476" s="74" t="s">
        <v>457</v>
      </c>
    </row>
    <row r="41477" spans="1:3">
      <c r="A41477" s="250">
        <v>99116</v>
      </c>
      <c r="B41477" s="74" t="s">
        <v>19005</v>
      </c>
      <c r="C41477" s="74" t="s">
        <v>457</v>
      </c>
    </row>
    <row r="41478" spans="1:3">
      <c r="A41478" s="250">
        <v>99117</v>
      </c>
      <c r="B41478" s="74" t="s">
        <v>6869</v>
      </c>
      <c r="C41478" s="74" t="s">
        <v>457</v>
      </c>
    </row>
    <row r="41479" spans="1:3">
      <c r="A41479" s="250">
        <v>99118</v>
      </c>
      <c r="B41479" s="74" t="s">
        <v>11613</v>
      </c>
      <c r="C41479" s="74" t="s">
        <v>457</v>
      </c>
    </row>
    <row r="41480" spans="1:3">
      <c r="A41480" s="250">
        <v>99119</v>
      </c>
      <c r="B41480" s="74" t="s">
        <v>19006</v>
      </c>
      <c r="C41480" s="74" t="s">
        <v>457</v>
      </c>
    </row>
    <row r="41481" spans="1:3">
      <c r="A41481" s="250">
        <v>99121</v>
      </c>
      <c r="B41481" s="74" t="s">
        <v>1302</v>
      </c>
      <c r="C41481" s="74" t="s">
        <v>457</v>
      </c>
    </row>
    <row r="41482" spans="1:3">
      <c r="A41482" s="250">
        <v>99122</v>
      </c>
      <c r="B41482" s="74" t="s">
        <v>3605</v>
      </c>
      <c r="C41482" s="74" t="s">
        <v>457</v>
      </c>
    </row>
    <row r="41483" spans="1:3">
      <c r="A41483" s="250">
        <v>99123</v>
      </c>
      <c r="B41483" s="74" t="s">
        <v>19007</v>
      </c>
      <c r="C41483" s="74" t="s">
        <v>457</v>
      </c>
    </row>
    <row r="41484" spans="1:3">
      <c r="A41484" s="250">
        <v>99124</v>
      </c>
      <c r="B41484" s="74" t="s">
        <v>19008</v>
      </c>
      <c r="C41484" s="74" t="s">
        <v>457</v>
      </c>
    </row>
    <row r="41485" spans="1:3">
      <c r="A41485" s="250">
        <v>99125</v>
      </c>
      <c r="B41485" s="74" t="s">
        <v>3614</v>
      </c>
      <c r="C41485" s="74" t="s">
        <v>457</v>
      </c>
    </row>
    <row r="41486" spans="1:3">
      <c r="A41486" s="250">
        <v>99126</v>
      </c>
      <c r="B41486" s="74" t="s">
        <v>6665</v>
      </c>
      <c r="C41486" s="74" t="s">
        <v>457</v>
      </c>
    </row>
    <row r="41487" spans="1:3">
      <c r="A41487" s="250">
        <v>99128</v>
      </c>
      <c r="B41487" s="74" t="s">
        <v>1309</v>
      </c>
      <c r="C41487" s="74" t="s">
        <v>457</v>
      </c>
    </row>
    <row r="41488" spans="1:3">
      <c r="A41488" s="250">
        <v>99129</v>
      </c>
      <c r="B41488" s="74" t="s">
        <v>5832</v>
      </c>
      <c r="C41488" s="74" t="s">
        <v>457</v>
      </c>
    </row>
    <row r="41489" spans="1:3">
      <c r="A41489" s="250">
        <v>99130</v>
      </c>
      <c r="B41489" s="74" t="s">
        <v>2125</v>
      </c>
      <c r="C41489" s="74" t="s">
        <v>457</v>
      </c>
    </row>
    <row r="41490" spans="1:3">
      <c r="A41490" s="250">
        <v>99131</v>
      </c>
      <c r="B41490" s="74" t="s">
        <v>4595</v>
      </c>
      <c r="C41490" s="74" t="s">
        <v>457</v>
      </c>
    </row>
    <row r="41491" spans="1:3">
      <c r="A41491" s="250">
        <v>99133</v>
      </c>
      <c r="B41491" s="74" t="s">
        <v>19009</v>
      </c>
      <c r="C41491" s="74" t="s">
        <v>457</v>
      </c>
    </row>
    <row r="41492" spans="1:3">
      <c r="A41492" s="250">
        <v>99134</v>
      </c>
      <c r="B41492" s="74" t="s">
        <v>1587</v>
      </c>
      <c r="C41492" s="74" t="s">
        <v>457</v>
      </c>
    </row>
    <row r="41493" spans="1:3">
      <c r="A41493" s="250">
        <v>99135</v>
      </c>
      <c r="B41493" s="74" t="s">
        <v>19010</v>
      </c>
      <c r="C41493" s="74" t="s">
        <v>457</v>
      </c>
    </row>
    <row r="41494" spans="1:3">
      <c r="A41494" s="250">
        <v>99136</v>
      </c>
      <c r="B41494" s="74" t="s">
        <v>19011</v>
      </c>
      <c r="C41494" s="74" t="s">
        <v>457</v>
      </c>
    </row>
    <row r="41495" spans="1:3">
      <c r="A41495" s="250">
        <v>99137</v>
      </c>
      <c r="B41495" s="74" t="s">
        <v>19012</v>
      </c>
      <c r="C41495" s="74" t="s">
        <v>457</v>
      </c>
    </row>
    <row r="41496" spans="1:3">
      <c r="A41496" s="250">
        <v>99138</v>
      </c>
      <c r="B41496" s="74" t="s">
        <v>19013</v>
      </c>
      <c r="C41496" s="74" t="s">
        <v>457</v>
      </c>
    </row>
    <row r="41497" spans="1:3">
      <c r="A41497" s="250">
        <v>99139</v>
      </c>
      <c r="B41497" s="74" t="s">
        <v>18293</v>
      </c>
      <c r="C41497" s="74" t="s">
        <v>457</v>
      </c>
    </row>
    <row r="41498" spans="1:3">
      <c r="A41498" s="250">
        <v>99140</v>
      </c>
      <c r="B41498" s="74" t="s">
        <v>6148</v>
      </c>
      <c r="C41498" s="74" t="s">
        <v>457</v>
      </c>
    </row>
    <row r="41499" spans="1:3">
      <c r="A41499" s="250">
        <v>99141</v>
      </c>
      <c r="B41499" s="74" t="s">
        <v>19014</v>
      </c>
      <c r="C41499" s="74" t="s">
        <v>457</v>
      </c>
    </row>
    <row r="41500" spans="1:3">
      <c r="A41500" s="250">
        <v>99143</v>
      </c>
      <c r="B41500" s="74" t="s">
        <v>19015</v>
      </c>
      <c r="C41500" s="74" t="s">
        <v>457</v>
      </c>
    </row>
    <row r="41501" spans="1:3">
      <c r="A41501" s="250">
        <v>99144</v>
      </c>
      <c r="B41501" s="74" t="s">
        <v>19016</v>
      </c>
      <c r="C41501" s="74" t="s">
        <v>457</v>
      </c>
    </row>
    <row r="41502" spans="1:3">
      <c r="A41502" s="250">
        <v>99146</v>
      </c>
      <c r="B41502" s="74" t="s">
        <v>19017</v>
      </c>
      <c r="C41502" s="74" t="s">
        <v>457</v>
      </c>
    </row>
    <row r="41503" spans="1:3">
      <c r="A41503" s="250">
        <v>99147</v>
      </c>
      <c r="B41503" s="74" t="s">
        <v>800</v>
      </c>
      <c r="C41503" s="74" t="s">
        <v>457</v>
      </c>
    </row>
    <row r="41504" spans="1:3">
      <c r="A41504" s="250">
        <v>99148</v>
      </c>
      <c r="B41504" s="74" t="s">
        <v>19018</v>
      </c>
      <c r="C41504" s="74" t="s">
        <v>457</v>
      </c>
    </row>
    <row r="41505" spans="1:3">
      <c r="A41505" s="250">
        <v>99149</v>
      </c>
      <c r="B41505" s="74" t="s">
        <v>916</v>
      </c>
      <c r="C41505" s="74" t="s">
        <v>457</v>
      </c>
    </row>
    <row r="41506" spans="1:3">
      <c r="A41506" s="250">
        <v>99150</v>
      </c>
      <c r="B41506" s="74" t="s">
        <v>19019</v>
      </c>
      <c r="C41506" s="74" t="s">
        <v>457</v>
      </c>
    </row>
    <row r="41507" spans="1:3">
      <c r="A41507" s="250">
        <v>99151</v>
      </c>
      <c r="B41507" s="74" t="s">
        <v>11706</v>
      </c>
      <c r="C41507" s="74" t="s">
        <v>457</v>
      </c>
    </row>
    <row r="41508" spans="1:3">
      <c r="A41508" s="250">
        <v>99152</v>
      </c>
      <c r="B41508" s="74" t="s">
        <v>19020</v>
      </c>
      <c r="C41508" s="74" t="s">
        <v>457</v>
      </c>
    </row>
    <row r="41509" spans="1:3">
      <c r="A41509" s="250">
        <v>99153</v>
      </c>
      <c r="B41509" s="74" t="s">
        <v>19021</v>
      </c>
      <c r="C41509" s="74" t="s">
        <v>457</v>
      </c>
    </row>
    <row r="41510" spans="1:3">
      <c r="A41510" s="250">
        <v>99154</v>
      </c>
      <c r="B41510" s="74" t="s">
        <v>19022</v>
      </c>
      <c r="C41510" s="74" t="s">
        <v>457</v>
      </c>
    </row>
    <row r="41511" spans="1:3">
      <c r="A41511" s="250">
        <v>99155</v>
      </c>
      <c r="B41511" s="74" t="s">
        <v>19023</v>
      </c>
      <c r="C41511" s="74" t="s">
        <v>457</v>
      </c>
    </row>
    <row r="41512" spans="1:3">
      <c r="A41512" s="250">
        <v>99156</v>
      </c>
      <c r="B41512" s="74" t="s">
        <v>1118</v>
      </c>
      <c r="C41512" s="74" t="s">
        <v>457</v>
      </c>
    </row>
    <row r="41513" spans="1:3">
      <c r="A41513" s="250">
        <v>99157</v>
      </c>
      <c r="B41513" s="74" t="s">
        <v>2844</v>
      </c>
      <c r="C41513" s="74" t="s">
        <v>457</v>
      </c>
    </row>
    <row r="41514" spans="1:3">
      <c r="A41514" s="250">
        <v>99158</v>
      </c>
      <c r="B41514" s="74" t="s">
        <v>19024</v>
      </c>
      <c r="C41514" s="74" t="s">
        <v>457</v>
      </c>
    </row>
    <row r="41515" spans="1:3">
      <c r="A41515" s="250">
        <v>99159</v>
      </c>
      <c r="B41515" s="74" t="s">
        <v>3931</v>
      </c>
      <c r="C41515" s="74" t="s">
        <v>457</v>
      </c>
    </row>
    <row r="41516" spans="1:3">
      <c r="A41516" s="250">
        <v>99160</v>
      </c>
      <c r="B41516" s="74" t="s">
        <v>1520</v>
      </c>
      <c r="C41516" s="74" t="s">
        <v>457</v>
      </c>
    </row>
    <row r="41517" spans="1:3">
      <c r="A41517" s="250">
        <v>99161</v>
      </c>
      <c r="B41517" s="74" t="s">
        <v>19025</v>
      </c>
      <c r="C41517" s="74" t="s">
        <v>457</v>
      </c>
    </row>
    <row r="41518" spans="1:3">
      <c r="A41518" s="250">
        <v>99163</v>
      </c>
      <c r="B41518" s="74" t="s">
        <v>6953</v>
      </c>
      <c r="C41518" s="74" t="s">
        <v>457</v>
      </c>
    </row>
    <row r="41519" spans="1:3">
      <c r="A41519" s="250">
        <v>99164</v>
      </c>
      <c r="B41519" s="74" t="s">
        <v>6953</v>
      </c>
      <c r="C41519" s="74" t="s">
        <v>457</v>
      </c>
    </row>
    <row r="41520" spans="1:3">
      <c r="A41520" s="250">
        <v>99165</v>
      </c>
      <c r="B41520" s="74" t="s">
        <v>6953</v>
      </c>
      <c r="C41520" s="74" t="s">
        <v>457</v>
      </c>
    </row>
    <row r="41521" spans="1:3">
      <c r="A41521" s="250">
        <v>99166</v>
      </c>
      <c r="B41521" s="74" t="s">
        <v>4141</v>
      </c>
      <c r="C41521" s="74" t="s">
        <v>457</v>
      </c>
    </row>
    <row r="41522" spans="1:3">
      <c r="A41522" s="250">
        <v>99167</v>
      </c>
      <c r="B41522" s="74" t="s">
        <v>6246</v>
      </c>
      <c r="C41522" s="74" t="s">
        <v>457</v>
      </c>
    </row>
    <row r="41523" spans="1:3">
      <c r="A41523" s="250">
        <v>99169</v>
      </c>
      <c r="B41523" s="74" t="s">
        <v>19026</v>
      </c>
      <c r="C41523" s="74" t="s">
        <v>457</v>
      </c>
    </row>
    <row r="41524" spans="1:3">
      <c r="A41524" s="250">
        <v>99170</v>
      </c>
      <c r="B41524" s="74" t="s">
        <v>14617</v>
      </c>
      <c r="C41524" s="74" t="s">
        <v>457</v>
      </c>
    </row>
    <row r="41525" spans="1:3">
      <c r="A41525" s="250">
        <v>99171</v>
      </c>
      <c r="B41525" s="74" t="s">
        <v>10694</v>
      </c>
      <c r="C41525" s="74" t="s">
        <v>457</v>
      </c>
    </row>
    <row r="41526" spans="1:3">
      <c r="A41526" s="250">
        <v>99173</v>
      </c>
      <c r="B41526" s="74" t="s">
        <v>4036</v>
      </c>
      <c r="C41526" s="74" t="s">
        <v>457</v>
      </c>
    </row>
    <row r="41527" spans="1:3">
      <c r="A41527" s="250">
        <v>99174</v>
      </c>
      <c r="B41527" s="74" t="s">
        <v>19027</v>
      </c>
      <c r="C41527" s="74" t="s">
        <v>457</v>
      </c>
    </row>
    <row r="41528" spans="1:3">
      <c r="A41528" s="250">
        <v>99176</v>
      </c>
      <c r="B41528" s="74" t="s">
        <v>1218</v>
      </c>
      <c r="C41528" s="74" t="s">
        <v>457</v>
      </c>
    </row>
    <row r="41529" spans="1:3">
      <c r="A41529" s="250">
        <v>99179</v>
      </c>
      <c r="B41529" s="74" t="s">
        <v>4089</v>
      </c>
      <c r="C41529" s="74" t="s">
        <v>457</v>
      </c>
    </row>
    <row r="41530" spans="1:3">
      <c r="A41530" s="250">
        <v>99180</v>
      </c>
      <c r="B41530" s="74" t="s">
        <v>19028</v>
      </c>
      <c r="C41530" s="74" t="s">
        <v>457</v>
      </c>
    </row>
    <row r="41531" spans="1:3">
      <c r="A41531" s="250">
        <v>99181</v>
      </c>
      <c r="B41531" s="74" t="s">
        <v>8963</v>
      </c>
      <c r="C41531" s="74" t="s">
        <v>457</v>
      </c>
    </row>
    <row r="41532" spans="1:3">
      <c r="A41532" s="250">
        <v>99185</v>
      </c>
      <c r="B41532" s="74" t="s">
        <v>18681</v>
      </c>
      <c r="C41532" s="74" t="s">
        <v>457</v>
      </c>
    </row>
    <row r="41533" spans="1:3">
      <c r="A41533" s="250">
        <v>99201</v>
      </c>
      <c r="B41533" s="74" t="s">
        <v>14468</v>
      </c>
      <c r="C41533" s="74" t="s">
        <v>457</v>
      </c>
    </row>
    <row r="41534" spans="1:3">
      <c r="A41534" s="250">
        <v>99202</v>
      </c>
      <c r="B41534" s="74" t="s">
        <v>14468</v>
      </c>
      <c r="C41534" s="74" t="s">
        <v>457</v>
      </c>
    </row>
    <row r="41535" spans="1:3">
      <c r="A41535" s="250">
        <v>99203</v>
      </c>
      <c r="B41535" s="74" t="s">
        <v>14468</v>
      </c>
      <c r="C41535" s="74" t="s">
        <v>457</v>
      </c>
    </row>
    <row r="41536" spans="1:3">
      <c r="A41536" s="250">
        <v>99204</v>
      </c>
      <c r="B41536" s="74" t="s">
        <v>14468</v>
      </c>
      <c r="C41536" s="74" t="s">
        <v>457</v>
      </c>
    </row>
    <row r="41537" spans="1:3">
      <c r="A41537" s="250">
        <v>99205</v>
      </c>
      <c r="B41537" s="74" t="s">
        <v>14468</v>
      </c>
      <c r="C41537" s="74" t="s">
        <v>457</v>
      </c>
    </row>
    <row r="41538" spans="1:3">
      <c r="A41538" s="250">
        <v>99206</v>
      </c>
      <c r="B41538" s="74" t="s">
        <v>14468</v>
      </c>
      <c r="C41538" s="74" t="s">
        <v>457</v>
      </c>
    </row>
    <row r="41539" spans="1:3">
      <c r="A41539" s="250">
        <v>99207</v>
      </c>
      <c r="B41539" s="74" t="s">
        <v>14468</v>
      </c>
      <c r="C41539" s="74" t="s">
        <v>457</v>
      </c>
    </row>
    <row r="41540" spans="1:3">
      <c r="A41540" s="250">
        <v>99208</v>
      </c>
      <c r="B41540" s="74" t="s">
        <v>14468</v>
      </c>
      <c r="C41540" s="74" t="s">
        <v>457</v>
      </c>
    </row>
    <row r="41541" spans="1:3">
      <c r="A41541" s="250">
        <v>99209</v>
      </c>
      <c r="B41541" s="74" t="s">
        <v>14468</v>
      </c>
      <c r="C41541" s="74" t="s">
        <v>457</v>
      </c>
    </row>
    <row r="41542" spans="1:3">
      <c r="A41542" s="250">
        <v>99210</v>
      </c>
      <c r="B41542" s="74" t="s">
        <v>14468</v>
      </c>
      <c r="C41542" s="74" t="s">
        <v>457</v>
      </c>
    </row>
    <row r="41543" spans="1:3">
      <c r="A41543" s="250">
        <v>99211</v>
      </c>
      <c r="B41543" s="74" t="s">
        <v>14468</v>
      </c>
      <c r="C41543" s="74" t="s">
        <v>457</v>
      </c>
    </row>
    <row r="41544" spans="1:3">
      <c r="A41544" s="250">
        <v>99212</v>
      </c>
      <c r="B41544" s="74" t="s">
        <v>14468</v>
      </c>
      <c r="C41544" s="74" t="s">
        <v>457</v>
      </c>
    </row>
    <row r="41545" spans="1:3">
      <c r="A41545" s="250">
        <v>99213</v>
      </c>
      <c r="B41545" s="74" t="s">
        <v>14468</v>
      </c>
      <c r="C41545" s="74" t="s">
        <v>457</v>
      </c>
    </row>
    <row r="41546" spans="1:3">
      <c r="A41546" s="250">
        <v>99214</v>
      </c>
      <c r="B41546" s="74" t="s">
        <v>14468</v>
      </c>
      <c r="C41546" s="74" t="s">
        <v>457</v>
      </c>
    </row>
    <row r="41547" spans="1:3">
      <c r="A41547" s="250">
        <v>99215</v>
      </c>
      <c r="B41547" s="74" t="s">
        <v>14468</v>
      </c>
      <c r="C41547" s="74" t="s">
        <v>457</v>
      </c>
    </row>
    <row r="41548" spans="1:3">
      <c r="A41548" s="250">
        <v>99216</v>
      </c>
      <c r="B41548" s="74" t="s">
        <v>14468</v>
      </c>
      <c r="C41548" s="74" t="s">
        <v>457</v>
      </c>
    </row>
    <row r="41549" spans="1:3">
      <c r="A41549" s="250">
        <v>99217</v>
      </c>
      <c r="B41549" s="74" t="s">
        <v>14468</v>
      </c>
      <c r="C41549" s="74" t="s">
        <v>457</v>
      </c>
    </row>
    <row r="41550" spans="1:3">
      <c r="A41550" s="250">
        <v>99218</v>
      </c>
      <c r="B41550" s="74" t="s">
        <v>14468</v>
      </c>
      <c r="C41550" s="74" t="s">
        <v>457</v>
      </c>
    </row>
    <row r="41551" spans="1:3">
      <c r="A41551" s="250">
        <v>99219</v>
      </c>
      <c r="B41551" s="74" t="s">
        <v>14468</v>
      </c>
      <c r="C41551" s="74" t="s">
        <v>457</v>
      </c>
    </row>
    <row r="41552" spans="1:3">
      <c r="A41552" s="250">
        <v>99220</v>
      </c>
      <c r="B41552" s="74" t="s">
        <v>14468</v>
      </c>
      <c r="C41552" s="74" t="s">
        <v>457</v>
      </c>
    </row>
    <row r="41553" spans="1:3">
      <c r="A41553" s="250">
        <v>99223</v>
      </c>
      <c r="B41553" s="74" t="s">
        <v>14468</v>
      </c>
      <c r="C41553" s="74" t="s">
        <v>457</v>
      </c>
    </row>
    <row r="41554" spans="1:3">
      <c r="A41554" s="250">
        <v>99224</v>
      </c>
      <c r="B41554" s="74" t="s">
        <v>14468</v>
      </c>
      <c r="C41554" s="74" t="s">
        <v>457</v>
      </c>
    </row>
    <row r="41555" spans="1:3">
      <c r="A41555" s="250">
        <v>99228</v>
      </c>
      <c r="B41555" s="74" t="s">
        <v>14468</v>
      </c>
      <c r="C41555" s="74" t="s">
        <v>457</v>
      </c>
    </row>
    <row r="41556" spans="1:3">
      <c r="A41556" s="250">
        <v>99251</v>
      </c>
      <c r="B41556" s="74" t="s">
        <v>14468</v>
      </c>
      <c r="C41556" s="74" t="s">
        <v>457</v>
      </c>
    </row>
    <row r="41557" spans="1:3">
      <c r="A41557" s="250">
        <v>99252</v>
      </c>
      <c r="B41557" s="74" t="s">
        <v>14468</v>
      </c>
      <c r="C41557" s="74" t="s">
        <v>457</v>
      </c>
    </row>
    <row r="41558" spans="1:3">
      <c r="A41558" s="250">
        <v>99256</v>
      </c>
      <c r="B41558" s="74" t="s">
        <v>14468</v>
      </c>
      <c r="C41558" s="74" t="s">
        <v>457</v>
      </c>
    </row>
    <row r="41559" spans="1:3">
      <c r="A41559" s="250">
        <v>99258</v>
      </c>
      <c r="B41559" s="74" t="s">
        <v>14468</v>
      </c>
      <c r="C41559" s="74" t="s">
        <v>457</v>
      </c>
    </row>
    <row r="41560" spans="1:3">
      <c r="A41560" s="250">
        <v>99260</v>
      </c>
      <c r="B41560" s="74" t="s">
        <v>14468</v>
      </c>
      <c r="C41560" s="74" t="s">
        <v>457</v>
      </c>
    </row>
    <row r="41561" spans="1:3">
      <c r="A41561" s="250">
        <v>99299</v>
      </c>
      <c r="B41561" s="74" t="s">
        <v>14468</v>
      </c>
      <c r="C41561" s="74" t="s">
        <v>457</v>
      </c>
    </row>
    <row r="41562" spans="1:3">
      <c r="A41562" s="250">
        <v>99301</v>
      </c>
      <c r="B41562" s="74" t="s">
        <v>19029</v>
      </c>
      <c r="C41562" s="74" t="s">
        <v>457</v>
      </c>
    </row>
    <row r="41563" spans="1:3">
      <c r="A41563" s="250">
        <v>99302</v>
      </c>
      <c r="B41563" s="74" t="s">
        <v>19029</v>
      </c>
      <c r="C41563" s="74" t="s">
        <v>457</v>
      </c>
    </row>
    <row r="41564" spans="1:3">
      <c r="A41564" s="250">
        <v>99320</v>
      </c>
      <c r="B41564" s="74" t="s">
        <v>14360</v>
      </c>
      <c r="C41564" s="74" t="s">
        <v>457</v>
      </c>
    </row>
    <row r="41565" spans="1:3">
      <c r="A41565" s="250">
        <v>99321</v>
      </c>
      <c r="B41565" s="74" t="s">
        <v>838</v>
      </c>
      <c r="C41565" s="74" t="s">
        <v>457</v>
      </c>
    </row>
    <row r="41566" spans="1:3">
      <c r="A41566" s="250">
        <v>99322</v>
      </c>
      <c r="B41566" s="74" t="s">
        <v>19030</v>
      </c>
      <c r="C41566" s="74" t="s">
        <v>457</v>
      </c>
    </row>
    <row r="41567" spans="1:3">
      <c r="A41567" s="250">
        <v>99323</v>
      </c>
      <c r="B41567" s="74" t="s">
        <v>10335</v>
      </c>
      <c r="C41567" s="74" t="s">
        <v>457</v>
      </c>
    </row>
    <row r="41568" spans="1:3">
      <c r="A41568" s="250">
        <v>99324</v>
      </c>
      <c r="B41568" s="74" t="s">
        <v>19031</v>
      </c>
      <c r="C41568" s="74" t="s">
        <v>457</v>
      </c>
    </row>
    <row r="41569" spans="1:3">
      <c r="A41569" s="250">
        <v>99326</v>
      </c>
      <c r="B41569" s="74" t="s">
        <v>19032</v>
      </c>
      <c r="C41569" s="74" t="s">
        <v>457</v>
      </c>
    </row>
    <row r="41570" spans="1:3">
      <c r="A41570" s="250">
        <v>99328</v>
      </c>
      <c r="B41570" s="74" t="s">
        <v>2564</v>
      </c>
      <c r="C41570" s="74" t="s">
        <v>457</v>
      </c>
    </row>
    <row r="41571" spans="1:3">
      <c r="A41571" s="250">
        <v>99329</v>
      </c>
      <c r="B41571" s="74" t="s">
        <v>6596</v>
      </c>
      <c r="C41571" s="74" t="s">
        <v>457</v>
      </c>
    </row>
    <row r="41572" spans="1:3">
      <c r="A41572" s="250">
        <v>99330</v>
      </c>
      <c r="B41572" s="74" t="s">
        <v>19033</v>
      </c>
      <c r="C41572" s="74" t="s">
        <v>457</v>
      </c>
    </row>
    <row r="41573" spans="1:3">
      <c r="A41573" s="250">
        <v>99333</v>
      </c>
      <c r="B41573" s="74" t="s">
        <v>14733</v>
      </c>
      <c r="C41573" s="74" t="s">
        <v>457</v>
      </c>
    </row>
    <row r="41574" spans="1:3">
      <c r="A41574" s="250">
        <v>99335</v>
      </c>
      <c r="B41574" s="74" t="s">
        <v>19034</v>
      </c>
      <c r="C41574" s="74" t="s">
        <v>457</v>
      </c>
    </row>
    <row r="41575" spans="1:3">
      <c r="A41575" s="250">
        <v>99336</v>
      </c>
      <c r="B41575" s="74" t="s">
        <v>19035</v>
      </c>
      <c r="C41575" s="74" t="s">
        <v>457</v>
      </c>
    </row>
    <row r="41576" spans="1:3">
      <c r="A41576" s="250">
        <v>99337</v>
      </c>
      <c r="B41576" s="74" t="s">
        <v>19035</v>
      </c>
      <c r="C41576" s="74" t="s">
        <v>457</v>
      </c>
    </row>
    <row r="41577" spans="1:3">
      <c r="A41577" s="250">
        <v>99338</v>
      </c>
      <c r="B41577" s="74" t="s">
        <v>19035</v>
      </c>
      <c r="C41577" s="74" t="s">
        <v>457</v>
      </c>
    </row>
    <row r="41578" spans="1:3">
      <c r="A41578" s="250">
        <v>99341</v>
      </c>
      <c r="B41578" s="74" t="s">
        <v>19036</v>
      </c>
      <c r="C41578" s="74" t="s">
        <v>457</v>
      </c>
    </row>
    <row r="41579" spans="1:3">
      <c r="A41579" s="250">
        <v>99343</v>
      </c>
      <c r="B41579" s="74" t="s">
        <v>16817</v>
      </c>
      <c r="C41579" s="74" t="s">
        <v>457</v>
      </c>
    </row>
    <row r="41580" spans="1:3">
      <c r="A41580" s="250">
        <v>99344</v>
      </c>
      <c r="B41580" s="74" t="s">
        <v>19037</v>
      </c>
      <c r="C41580" s="74" t="s">
        <v>457</v>
      </c>
    </row>
    <row r="41581" spans="1:3">
      <c r="A41581" s="250">
        <v>99345</v>
      </c>
      <c r="B41581" s="74" t="s">
        <v>2214</v>
      </c>
      <c r="C41581" s="74" t="s">
        <v>457</v>
      </c>
    </row>
    <row r="41582" spans="1:3">
      <c r="A41582" s="250">
        <v>99346</v>
      </c>
      <c r="B41582" s="74" t="s">
        <v>956</v>
      </c>
      <c r="C41582" s="74" t="s">
        <v>457</v>
      </c>
    </row>
    <row r="41583" spans="1:3">
      <c r="A41583" s="250">
        <v>99347</v>
      </c>
      <c r="B41583" s="74" t="s">
        <v>5395</v>
      </c>
      <c r="C41583" s="74" t="s">
        <v>457</v>
      </c>
    </row>
    <row r="41584" spans="1:3">
      <c r="A41584" s="250">
        <v>99348</v>
      </c>
      <c r="B41584" s="74" t="s">
        <v>11136</v>
      </c>
      <c r="C41584" s="74" t="s">
        <v>457</v>
      </c>
    </row>
    <row r="41585" spans="1:3">
      <c r="A41585" s="250">
        <v>99349</v>
      </c>
      <c r="B41585" s="74" t="s">
        <v>19038</v>
      </c>
      <c r="C41585" s="74" t="s">
        <v>457</v>
      </c>
    </row>
    <row r="41586" spans="1:3">
      <c r="A41586" s="250">
        <v>99350</v>
      </c>
      <c r="B41586" s="74" t="s">
        <v>19039</v>
      </c>
      <c r="C41586" s="74" t="s">
        <v>457</v>
      </c>
    </row>
    <row r="41587" spans="1:3">
      <c r="A41587" s="250">
        <v>99352</v>
      </c>
      <c r="B41587" s="74" t="s">
        <v>2499</v>
      </c>
      <c r="C41587" s="74" t="s">
        <v>457</v>
      </c>
    </row>
    <row r="41588" spans="1:3">
      <c r="A41588" s="250">
        <v>99353</v>
      </c>
      <c r="B41588" s="74" t="s">
        <v>19040</v>
      </c>
      <c r="C41588" s="74" t="s">
        <v>457</v>
      </c>
    </row>
    <row r="41589" spans="1:3">
      <c r="A41589" s="250">
        <v>99354</v>
      </c>
      <c r="B41589" s="74" t="s">
        <v>2499</v>
      </c>
      <c r="C41589" s="74" t="s">
        <v>457</v>
      </c>
    </row>
    <row r="41590" spans="1:3">
      <c r="A41590" s="250">
        <v>99356</v>
      </c>
      <c r="B41590" s="74" t="s">
        <v>2525</v>
      </c>
      <c r="C41590" s="74" t="s">
        <v>457</v>
      </c>
    </row>
    <row r="41591" spans="1:3">
      <c r="A41591" s="250">
        <v>99357</v>
      </c>
      <c r="B41591" s="74" t="s">
        <v>19041</v>
      </c>
      <c r="C41591" s="74" t="s">
        <v>457</v>
      </c>
    </row>
    <row r="41592" spans="1:3">
      <c r="A41592" s="250">
        <v>99359</v>
      </c>
      <c r="B41592" s="74" t="s">
        <v>12661</v>
      </c>
      <c r="C41592" s="74" t="s">
        <v>457</v>
      </c>
    </row>
    <row r="41593" spans="1:3">
      <c r="A41593" s="250">
        <v>99360</v>
      </c>
      <c r="B41593" s="74" t="s">
        <v>19042</v>
      </c>
      <c r="C41593" s="74" t="s">
        <v>457</v>
      </c>
    </row>
    <row r="41594" spans="1:3">
      <c r="A41594" s="250">
        <v>99361</v>
      </c>
      <c r="B41594" s="74" t="s">
        <v>19043</v>
      </c>
      <c r="C41594" s="74" t="s">
        <v>457</v>
      </c>
    </row>
    <row r="41595" spans="1:3">
      <c r="A41595" s="250">
        <v>99362</v>
      </c>
      <c r="B41595" s="74" t="s">
        <v>19044</v>
      </c>
      <c r="C41595" s="74" t="s">
        <v>457</v>
      </c>
    </row>
    <row r="41596" spans="1:3">
      <c r="A41596" s="250">
        <v>99363</v>
      </c>
      <c r="B41596" s="74" t="s">
        <v>19045</v>
      </c>
      <c r="C41596" s="74" t="s">
        <v>457</v>
      </c>
    </row>
    <row r="41597" spans="1:3">
      <c r="A41597" s="250">
        <v>99371</v>
      </c>
      <c r="B41597" s="74" t="s">
        <v>19046</v>
      </c>
      <c r="C41597" s="74" t="s">
        <v>457</v>
      </c>
    </row>
    <row r="41598" spans="1:3">
      <c r="A41598" s="250">
        <v>99401</v>
      </c>
      <c r="B41598" s="74" t="s">
        <v>19047</v>
      </c>
      <c r="C41598" s="74" t="s">
        <v>457</v>
      </c>
    </row>
    <row r="41599" spans="1:3">
      <c r="A41599" s="250">
        <v>99402</v>
      </c>
      <c r="B41599" s="74" t="s">
        <v>19048</v>
      </c>
      <c r="C41599" s="74" t="s">
        <v>457</v>
      </c>
    </row>
    <row r="41600" spans="1:3">
      <c r="A41600" s="250">
        <v>99403</v>
      </c>
      <c r="B41600" s="74" t="s">
        <v>7857</v>
      </c>
      <c r="C41600" s="74" t="s">
        <v>457</v>
      </c>
    </row>
    <row r="41601" spans="1:3">
      <c r="A41601" s="250">
        <v>99501</v>
      </c>
      <c r="B41601" s="74" t="s">
        <v>19049</v>
      </c>
      <c r="C41601" s="74" t="s">
        <v>413</v>
      </c>
    </row>
    <row r="41602" spans="1:3">
      <c r="A41602" s="250">
        <v>99502</v>
      </c>
      <c r="B41602" s="74" t="s">
        <v>19049</v>
      </c>
      <c r="C41602" s="74" t="s">
        <v>413</v>
      </c>
    </row>
    <row r="41603" spans="1:3">
      <c r="A41603" s="250">
        <v>99503</v>
      </c>
      <c r="B41603" s="74" t="s">
        <v>19049</v>
      </c>
      <c r="C41603" s="74" t="s">
        <v>413</v>
      </c>
    </row>
    <row r="41604" spans="1:3">
      <c r="A41604" s="250">
        <v>99504</v>
      </c>
      <c r="B41604" s="74" t="s">
        <v>19049</v>
      </c>
      <c r="C41604" s="74" t="s">
        <v>413</v>
      </c>
    </row>
    <row r="41605" spans="1:3">
      <c r="A41605" s="250">
        <v>99505</v>
      </c>
      <c r="B41605" s="74" t="s">
        <v>19050</v>
      </c>
      <c r="C41605" s="74" t="s">
        <v>413</v>
      </c>
    </row>
    <row r="41606" spans="1:3">
      <c r="A41606" s="250">
        <v>99506</v>
      </c>
      <c r="B41606" s="74" t="s">
        <v>19050</v>
      </c>
      <c r="C41606" s="74" t="s">
        <v>413</v>
      </c>
    </row>
    <row r="41607" spans="1:3">
      <c r="A41607" s="250">
        <v>99507</v>
      </c>
      <c r="B41607" s="74" t="s">
        <v>19049</v>
      </c>
      <c r="C41607" s="74" t="s">
        <v>413</v>
      </c>
    </row>
    <row r="41608" spans="1:3">
      <c r="A41608" s="250">
        <v>99508</v>
      </c>
      <c r="B41608" s="74" t="s">
        <v>19049</v>
      </c>
      <c r="C41608" s="74" t="s">
        <v>413</v>
      </c>
    </row>
    <row r="41609" spans="1:3">
      <c r="A41609" s="250">
        <v>99509</v>
      </c>
      <c r="B41609" s="74" t="s">
        <v>19049</v>
      </c>
      <c r="C41609" s="74" t="s">
        <v>413</v>
      </c>
    </row>
    <row r="41610" spans="1:3">
      <c r="A41610" s="250">
        <v>99510</v>
      </c>
      <c r="B41610" s="74" t="s">
        <v>19049</v>
      </c>
      <c r="C41610" s="74" t="s">
        <v>413</v>
      </c>
    </row>
    <row r="41611" spans="1:3">
      <c r="A41611" s="250">
        <v>99511</v>
      </c>
      <c r="B41611" s="74" t="s">
        <v>19049</v>
      </c>
      <c r="C41611" s="74" t="s">
        <v>413</v>
      </c>
    </row>
    <row r="41612" spans="1:3">
      <c r="A41612" s="250">
        <v>99513</v>
      </c>
      <c r="B41612" s="74" t="s">
        <v>19049</v>
      </c>
      <c r="C41612" s="74" t="s">
        <v>413</v>
      </c>
    </row>
    <row r="41613" spans="1:3">
      <c r="A41613" s="250">
        <v>99514</v>
      </c>
      <c r="B41613" s="74" t="s">
        <v>19049</v>
      </c>
      <c r="C41613" s="74" t="s">
        <v>413</v>
      </c>
    </row>
    <row r="41614" spans="1:3">
      <c r="A41614" s="250">
        <v>99515</v>
      </c>
      <c r="B41614" s="74" t="s">
        <v>19049</v>
      </c>
      <c r="C41614" s="74" t="s">
        <v>413</v>
      </c>
    </row>
    <row r="41615" spans="1:3">
      <c r="A41615" s="250">
        <v>99516</v>
      </c>
      <c r="B41615" s="74" t="s">
        <v>19049</v>
      </c>
      <c r="C41615" s="74" t="s">
        <v>413</v>
      </c>
    </row>
    <row r="41616" spans="1:3">
      <c r="A41616" s="250">
        <v>99517</v>
      </c>
      <c r="B41616" s="74" t="s">
        <v>19049</v>
      </c>
      <c r="C41616" s="74" t="s">
        <v>413</v>
      </c>
    </row>
    <row r="41617" spans="1:3">
      <c r="A41617" s="250">
        <v>99518</v>
      </c>
      <c r="B41617" s="74" t="s">
        <v>19049</v>
      </c>
      <c r="C41617" s="74" t="s">
        <v>413</v>
      </c>
    </row>
    <row r="41618" spans="1:3">
      <c r="A41618" s="250">
        <v>99519</v>
      </c>
      <c r="B41618" s="74" t="s">
        <v>19049</v>
      </c>
      <c r="C41618" s="74" t="s">
        <v>413</v>
      </c>
    </row>
    <row r="41619" spans="1:3">
      <c r="A41619" s="250">
        <v>99520</v>
      </c>
      <c r="B41619" s="74" t="s">
        <v>19049</v>
      </c>
      <c r="C41619" s="74" t="s">
        <v>413</v>
      </c>
    </row>
    <row r="41620" spans="1:3">
      <c r="A41620" s="250">
        <v>99521</v>
      </c>
      <c r="B41620" s="74" t="s">
        <v>19049</v>
      </c>
      <c r="C41620" s="74" t="s">
        <v>413</v>
      </c>
    </row>
    <row r="41621" spans="1:3">
      <c r="A41621" s="250">
        <v>99522</v>
      </c>
      <c r="B41621" s="74" t="s">
        <v>19049</v>
      </c>
      <c r="C41621" s="74" t="s">
        <v>413</v>
      </c>
    </row>
    <row r="41622" spans="1:3">
      <c r="A41622" s="250">
        <v>99523</v>
      </c>
      <c r="B41622" s="74" t="s">
        <v>19049</v>
      </c>
      <c r="C41622" s="74" t="s">
        <v>413</v>
      </c>
    </row>
    <row r="41623" spans="1:3">
      <c r="A41623" s="250">
        <v>99524</v>
      </c>
      <c r="B41623" s="74" t="s">
        <v>19049</v>
      </c>
      <c r="C41623" s="74" t="s">
        <v>413</v>
      </c>
    </row>
    <row r="41624" spans="1:3">
      <c r="A41624" s="250">
        <v>99529</v>
      </c>
      <c r="B41624" s="74" t="s">
        <v>19049</v>
      </c>
      <c r="C41624" s="74" t="s">
        <v>413</v>
      </c>
    </row>
    <row r="41625" spans="1:3">
      <c r="A41625" s="250">
        <v>99530</v>
      </c>
      <c r="B41625" s="74" t="s">
        <v>19049</v>
      </c>
      <c r="C41625" s="74" t="s">
        <v>413</v>
      </c>
    </row>
    <row r="41626" spans="1:3">
      <c r="A41626" s="250">
        <v>99540</v>
      </c>
      <c r="B41626" s="74" t="s">
        <v>19051</v>
      </c>
      <c r="C41626" s="74" t="s">
        <v>413</v>
      </c>
    </row>
    <row r="41627" spans="1:3">
      <c r="A41627" s="250">
        <v>99545</v>
      </c>
      <c r="B41627" s="74" t="s">
        <v>19052</v>
      </c>
      <c r="C41627" s="74" t="s">
        <v>413</v>
      </c>
    </row>
    <row r="41628" spans="1:3">
      <c r="A41628" s="250">
        <v>99546</v>
      </c>
      <c r="B41628" s="74" t="s">
        <v>19053</v>
      </c>
      <c r="C41628" s="74" t="s">
        <v>413</v>
      </c>
    </row>
    <row r="41629" spans="1:3">
      <c r="A41629" s="250">
        <v>99547</v>
      </c>
      <c r="B41629" s="74" t="s">
        <v>19054</v>
      </c>
      <c r="C41629" s="74" t="s">
        <v>413</v>
      </c>
    </row>
    <row r="41630" spans="1:3">
      <c r="A41630" s="250">
        <v>99548</v>
      </c>
      <c r="B41630" s="74" t="s">
        <v>19055</v>
      </c>
      <c r="C41630" s="74" t="s">
        <v>413</v>
      </c>
    </row>
    <row r="41631" spans="1:3">
      <c r="A41631" s="250">
        <v>99549</v>
      </c>
      <c r="B41631" s="74" t="s">
        <v>19056</v>
      </c>
      <c r="C41631" s="74" t="s">
        <v>413</v>
      </c>
    </row>
    <row r="41632" spans="1:3">
      <c r="A41632" s="250">
        <v>99550</v>
      </c>
      <c r="B41632" s="74" t="s">
        <v>19057</v>
      </c>
      <c r="C41632" s="74" t="s">
        <v>413</v>
      </c>
    </row>
    <row r="41633" spans="1:3">
      <c r="A41633" s="250">
        <v>99551</v>
      </c>
      <c r="B41633" s="74" t="s">
        <v>19058</v>
      </c>
      <c r="C41633" s="74" t="s">
        <v>413</v>
      </c>
    </row>
    <row r="41634" spans="1:3">
      <c r="A41634" s="250">
        <v>99552</v>
      </c>
      <c r="B41634" s="74" t="s">
        <v>19059</v>
      </c>
      <c r="C41634" s="74" t="s">
        <v>413</v>
      </c>
    </row>
    <row r="41635" spans="1:3">
      <c r="A41635" s="250">
        <v>99553</v>
      </c>
      <c r="B41635" s="74" t="s">
        <v>19060</v>
      </c>
      <c r="C41635" s="74" t="s">
        <v>413</v>
      </c>
    </row>
    <row r="41636" spans="1:3">
      <c r="A41636" s="250">
        <v>99554</v>
      </c>
      <c r="B41636" s="74" t="s">
        <v>19061</v>
      </c>
      <c r="C41636" s="74" t="s">
        <v>413</v>
      </c>
    </row>
    <row r="41637" spans="1:3">
      <c r="A41637" s="250">
        <v>99555</v>
      </c>
      <c r="B41637" s="74" t="s">
        <v>19062</v>
      </c>
      <c r="C41637" s="74" t="s">
        <v>413</v>
      </c>
    </row>
    <row r="41638" spans="1:3">
      <c r="A41638" s="250">
        <v>99556</v>
      </c>
      <c r="B41638" s="74" t="s">
        <v>19063</v>
      </c>
      <c r="C41638" s="74" t="s">
        <v>413</v>
      </c>
    </row>
    <row r="41639" spans="1:3">
      <c r="A41639" s="250">
        <v>99557</v>
      </c>
      <c r="B41639" s="74" t="s">
        <v>19064</v>
      </c>
      <c r="C41639" s="74" t="s">
        <v>413</v>
      </c>
    </row>
    <row r="41640" spans="1:3">
      <c r="A41640" s="250">
        <v>99558</v>
      </c>
      <c r="B41640" s="74" t="s">
        <v>19065</v>
      </c>
      <c r="C41640" s="74" t="s">
        <v>413</v>
      </c>
    </row>
    <row r="41641" spans="1:3">
      <c r="A41641" s="250">
        <v>99559</v>
      </c>
      <c r="B41641" s="74" t="s">
        <v>1434</v>
      </c>
      <c r="C41641" s="74" t="s">
        <v>413</v>
      </c>
    </row>
    <row r="41642" spans="1:3">
      <c r="A41642" s="250">
        <v>99561</v>
      </c>
      <c r="B41642" s="74" t="s">
        <v>19066</v>
      </c>
      <c r="C41642" s="74" t="s">
        <v>413</v>
      </c>
    </row>
    <row r="41643" spans="1:3">
      <c r="A41643" s="250">
        <v>99563</v>
      </c>
      <c r="B41643" s="74" t="s">
        <v>19067</v>
      </c>
      <c r="C41643" s="74" t="s">
        <v>413</v>
      </c>
    </row>
    <row r="41644" spans="1:3">
      <c r="A41644" s="250">
        <v>99564</v>
      </c>
      <c r="B41644" s="74" t="s">
        <v>19068</v>
      </c>
      <c r="C41644" s="74" t="s">
        <v>413</v>
      </c>
    </row>
    <row r="41645" spans="1:3">
      <c r="A41645" s="250">
        <v>99565</v>
      </c>
      <c r="B41645" s="74" t="s">
        <v>19069</v>
      </c>
      <c r="C41645" s="74" t="s">
        <v>413</v>
      </c>
    </row>
    <row r="41646" spans="1:3">
      <c r="A41646" s="250">
        <v>99566</v>
      </c>
      <c r="B41646" s="74" t="s">
        <v>19070</v>
      </c>
      <c r="C41646" s="74" t="s">
        <v>413</v>
      </c>
    </row>
    <row r="41647" spans="1:3">
      <c r="A41647" s="250">
        <v>99567</v>
      </c>
      <c r="B41647" s="74" t="s">
        <v>19071</v>
      </c>
      <c r="C41647" s="74" t="s">
        <v>413</v>
      </c>
    </row>
    <row r="41648" spans="1:3">
      <c r="A41648" s="250">
        <v>99568</v>
      </c>
      <c r="B41648" s="74" t="s">
        <v>19072</v>
      </c>
      <c r="C41648" s="74" t="s">
        <v>413</v>
      </c>
    </row>
    <row r="41649" spans="1:3">
      <c r="A41649" s="250">
        <v>99569</v>
      </c>
      <c r="B41649" s="74" t="s">
        <v>19073</v>
      </c>
      <c r="C41649" s="74" t="s">
        <v>413</v>
      </c>
    </row>
    <row r="41650" spans="1:3">
      <c r="A41650" s="250">
        <v>99571</v>
      </c>
      <c r="B41650" s="74" t="s">
        <v>19074</v>
      </c>
      <c r="C41650" s="74" t="s">
        <v>413</v>
      </c>
    </row>
    <row r="41651" spans="1:3">
      <c r="A41651" s="250">
        <v>99572</v>
      </c>
      <c r="B41651" s="74" t="s">
        <v>19075</v>
      </c>
      <c r="C41651" s="74" t="s">
        <v>413</v>
      </c>
    </row>
    <row r="41652" spans="1:3">
      <c r="A41652" s="250">
        <v>99573</v>
      </c>
      <c r="B41652" s="74" t="s">
        <v>19076</v>
      </c>
      <c r="C41652" s="74" t="s">
        <v>413</v>
      </c>
    </row>
    <row r="41653" spans="1:3">
      <c r="A41653" s="250">
        <v>99574</v>
      </c>
      <c r="B41653" s="74" t="s">
        <v>5747</v>
      </c>
      <c r="C41653" s="74" t="s">
        <v>413</v>
      </c>
    </row>
    <row r="41654" spans="1:3">
      <c r="A41654" s="250">
        <v>99575</v>
      </c>
      <c r="B41654" s="74" t="s">
        <v>19077</v>
      </c>
      <c r="C41654" s="74" t="s">
        <v>413</v>
      </c>
    </row>
    <row r="41655" spans="1:3">
      <c r="A41655" s="250">
        <v>99576</v>
      </c>
      <c r="B41655" s="74" t="s">
        <v>19078</v>
      </c>
      <c r="C41655" s="74" t="s">
        <v>413</v>
      </c>
    </row>
    <row r="41656" spans="1:3">
      <c r="A41656" s="250">
        <v>99577</v>
      </c>
      <c r="B41656" s="74" t="s">
        <v>12201</v>
      </c>
      <c r="C41656" s="74" t="s">
        <v>413</v>
      </c>
    </row>
    <row r="41657" spans="1:3">
      <c r="A41657" s="250">
        <v>99578</v>
      </c>
      <c r="B41657" s="74" t="s">
        <v>19079</v>
      </c>
      <c r="C41657" s="74" t="s">
        <v>413</v>
      </c>
    </row>
    <row r="41658" spans="1:3">
      <c r="A41658" s="250">
        <v>99579</v>
      </c>
      <c r="B41658" s="74" t="s">
        <v>19080</v>
      </c>
      <c r="C41658" s="74" t="s">
        <v>413</v>
      </c>
    </row>
    <row r="41659" spans="1:3">
      <c r="A41659" s="250">
        <v>99580</v>
      </c>
      <c r="B41659" s="74" t="s">
        <v>19081</v>
      </c>
      <c r="C41659" s="74" t="s">
        <v>413</v>
      </c>
    </row>
    <row r="41660" spans="1:3">
      <c r="A41660" s="250">
        <v>99581</v>
      </c>
      <c r="B41660" s="74" t="s">
        <v>19082</v>
      </c>
      <c r="C41660" s="74" t="s">
        <v>413</v>
      </c>
    </row>
    <row r="41661" spans="1:3">
      <c r="A41661" s="250">
        <v>99583</v>
      </c>
      <c r="B41661" s="74" t="s">
        <v>19083</v>
      </c>
      <c r="C41661" s="74" t="s">
        <v>413</v>
      </c>
    </row>
    <row r="41662" spans="1:3">
      <c r="A41662" s="250">
        <v>99585</v>
      </c>
      <c r="B41662" s="74" t="s">
        <v>5516</v>
      </c>
      <c r="C41662" s="74" t="s">
        <v>413</v>
      </c>
    </row>
    <row r="41663" spans="1:3">
      <c r="A41663" s="250">
        <v>99586</v>
      </c>
      <c r="B41663" s="74" t="s">
        <v>19084</v>
      </c>
      <c r="C41663" s="74" t="s">
        <v>413</v>
      </c>
    </row>
    <row r="41664" spans="1:3">
      <c r="A41664" s="250">
        <v>99587</v>
      </c>
      <c r="B41664" s="74" t="s">
        <v>19085</v>
      </c>
      <c r="C41664" s="74" t="s">
        <v>413</v>
      </c>
    </row>
    <row r="41665" spans="1:3">
      <c r="A41665" s="250">
        <v>99588</v>
      </c>
      <c r="B41665" s="74" t="s">
        <v>19086</v>
      </c>
      <c r="C41665" s="74" t="s">
        <v>413</v>
      </c>
    </row>
    <row r="41666" spans="1:3">
      <c r="A41666" s="250">
        <v>99589</v>
      </c>
      <c r="B41666" s="74" t="s">
        <v>19087</v>
      </c>
      <c r="C41666" s="74" t="s">
        <v>413</v>
      </c>
    </row>
    <row r="41667" spans="1:3">
      <c r="A41667" s="250">
        <v>99590</v>
      </c>
      <c r="B41667" s="74" t="s">
        <v>11359</v>
      </c>
      <c r="C41667" s="74" t="s">
        <v>413</v>
      </c>
    </row>
    <row r="41668" spans="1:3">
      <c r="A41668" s="250">
        <v>99591</v>
      </c>
      <c r="B41668" s="74" t="s">
        <v>19088</v>
      </c>
      <c r="C41668" s="74" t="s">
        <v>413</v>
      </c>
    </row>
    <row r="41669" spans="1:3">
      <c r="A41669" s="250">
        <v>99599</v>
      </c>
      <c r="B41669" s="74" t="s">
        <v>19049</v>
      </c>
      <c r="C41669" s="74" t="s">
        <v>413</v>
      </c>
    </row>
    <row r="41670" spans="1:3">
      <c r="A41670" s="250">
        <v>99602</v>
      </c>
      <c r="B41670" s="74" t="s">
        <v>11803</v>
      </c>
      <c r="C41670" s="74" t="s">
        <v>413</v>
      </c>
    </row>
    <row r="41671" spans="1:3">
      <c r="A41671" s="250">
        <v>99603</v>
      </c>
      <c r="B41671" s="74" t="s">
        <v>3369</v>
      </c>
      <c r="C41671" s="74" t="s">
        <v>413</v>
      </c>
    </row>
    <row r="41672" spans="1:3">
      <c r="A41672" s="250">
        <v>99604</v>
      </c>
      <c r="B41672" s="74" t="s">
        <v>19089</v>
      </c>
      <c r="C41672" s="74" t="s">
        <v>413</v>
      </c>
    </row>
    <row r="41673" spans="1:3">
      <c r="A41673" s="250">
        <v>99605</v>
      </c>
      <c r="B41673" s="74" t="s">
        <v>1111</v>
      </c>
      <c r="C41673" s="74" t="s">
        <v>413</v>
      </c>
    </row>
    <row r="41674" spans="1:3">
      <c r="A41674" s="250">
        <v>99606</v>
      </c>
      <c r="B41674" s="74" t="s">
        <v>19090</v>
      </c>
      <c r="C41674" s="74" t="s">
        <v>413</v>
      </c>
    </row>
    <row r="41675" spans="1:3">
      <c r="A41675" s="250">
        <v>99607</v>
      </c>
      <c r="B41675" s="74" t="s">
        <v>19091</v>
      </c>
      <c r="C41675" s="74" t="s">
        <v>413</v>
      </c>
    </row>
    <row r="41676" spans="1:3">
      <c r="A41676" s="250">
        <v>99608</v>
      </c>
      <c r="B41676" s="74" t="s">
        <v>19092</v>
      </c>
      <c r="C41676" s="74" t="s">
        <v>413</v>
      </c>
    </row>
    <row r="41677" spans="1:3">
      <c r="A41677" s="250">
        <v>99609</v>
      </c>
      <c r="B41677" s="74" t="s">
        <v>19093</v>
      </c>
      <c r="C41677" s="74" t="s">
        <v>413</v>
      </c>
    </row>
    <row r="41678" spans="1:3">
      <c r="A41678" s="250">
        <v>99610</v>
      </c>
      <c r="B41678" s="74" t="s">
        <v>19094</v>
      </c>
      <c r="C41678" s="74" t="s">
        <v>413</v>
      </c>
    </row>
    <row r="41679" spans="1:3">
      <c r="A41679" s="250">
        <v>99611</v>
      </c>
      <c r="B41679" s="74" t="s">
        <v>19095</v>
      </c>
      <c r="C41679" s="74" t="s">
        <v>413</v>
      </c>
    </row>
    <row r="41680" spans="1:3">
      <c r="A41680" s="250">
        <v>99612</v>
      </c>
      <c r="B41680" s="74" t="s">
        <v>19096</v>
      </c>
      <c r="C41680" s="74" t="s">
        <v>413</v>
      </c>
    </row>
    <row r="41681" spans="1:3">
      <c r="A41681" s="250">
        <v>99613</v>
      </c>
      <c r="B41681" s="74" t="s">
        <v>19097</v>
      </c>
      <c r="C41681" s="74" t="s">
        <v>413</v>
      </c>
    </row>
    <row r="41682" spans="1:3">
      <c r="A41682" s="250">
        <v>99614</v>
      </c>
      <c r="B41682" s="74" t="s">
        <v>19098</v>
      </c>
      <c r="C41682" s="74" t="s">
        <v>413</v>
      </c>
    </row>
    <row r="41683" spans="1:3">
      <c r="A41683" s="250">
        <v>99615</v>
      </c>
      <c r="B41683" s="74" t="s">
        <v>19099</v>
      </c>
      <c r="C41683" s="74" t="s">
        <v>413</v>
      </c>
    </row>
    <row r="41684" spans="1:3">
      <c r="A41684" s="250">
        <v>99619</v>
      </c>
      <c r="B41684" s="74" t="s">
        <v>19099</v>
      </c>
      <c r="C41684" s="74" t="s">
        <v>413</v>
      </c>
    </row>
    <row r="41685" spans="1:3">
      <c r="A41685" s="250">
        <v>99620</v>
      </c>
      <c r="B41685" s="74" t="s">
        <v>19100</v>
      </c>
      <c r="C41685" s="74" t="s">
        <v>413</v>
      </c>
    </row>
    <row r="41686" spans="1:3">
      <c r="A41686" s="250">
        <v>99621</v>
      </c>
      <c r="B41686" s="74" t="s">
        <v>19101</v>
      </c>
      <c r="C41686" s="74" t="s">
        <v>413</v>
      </c>
    </row>
    <row r="41687" spans="1:3">
      <c r="A41687" s="250">
        <v>99622</v>
      </c>
      <c r="B41687" s="74" t="s">
        <v>19102</v>
      </c>
      <c r="C41687" s="74" t="s">
        <v>413</v>
      </c>
    </row>
    <row r="41688" spans="1:3">
      <c r="A41688" s="250">
        <v>99623</v>
      </c>
      <c r="B41688" s="74" t="s">
        <v>19103</v>
      </c>
      <c r="C41688" s="74" t="s">
        <v>413</v>
      </c>
    </row>
    <row r="41689" spans="1:3">
      <c r="A41689" s="250">
        <v>99624</v>
      </c>
      <c r="B41689" s="74" t="s">
        <v>19104</v>
      </c>
      <c r="C41689" s="74" t="s">
        <v>413</v>
      </c>
    </row>
    <row r="41690" spans="1:3">
      <c r="A41690" s="250">
        <v>99625</v>
      </c>
      <c r="B41690" s="74" t="s">
        <v>19105</v>
      </c>
      <c r="C41690" s="74" t="s">
        <v>413</v>
      </c>
    </row>
    <row r="41691" spans="1:3">
      <c r="A41691" s="250">
        <v>99626</v>
      </c>
      <c r="B41691" s="74" t="s">
        <v>19106</v>
      </c>
      <c r="C41691" s="74" t="s">
        <v>413</v>
      </c>
    </row>
    <row r="41692" spans="1:3">
      <c r="A41692" s="250">
        <v>99627</v>
      </c>
      <c r="B41692" s="74" t="s">
        <v>12647</v>
      </c>
      <c r="C41692" s="74" t="s">
        <v>413</v>
      </c>
    </row>
    <row r="41693" spans="1:3">
      <c r="A41693" s="250">
        <v>99628</v>
      </c>
      <c r="B41693" s="74" t="s">
        <v>19107</v>
      </c>
      <c r="C41693" s="74" t="s">
        <v>413</v>
      </c>
    </row>
    <row r="41694" spans="1:3">
      <c r="A41694" s="250">
        <v>99629</v>
      </c>
      <c r="B41694" s="74" t="s">
        <v>19103</v>
      </c>
      <c r="C41694" s="74" t="s">
        <v>413</v>
      </c>
    </row>
    <row r="41695" spans="1:3">
      <c r="A41695" s="250">
        <v>99630</v>
      </c>
      <c r="B41695" s="74" t="s">
        <v>19108</v>
      </c>
      <c r="C41695" s="74" t="s">
        <v>413</v>
      </c>
    </row>
    <row r="41696" spans="1:3">
      <c r="A41696" s="250">
        <v>99631</v>
      </c>
      <c r="B41696" s="74" t="s">
        <v>19109</v>
      </c>
      <c r="C41696" s="74" t="s">
        <v>413</v>
      </c>
    </row>
    <row r="41697" spans="1:3">
      <c r="A41697" s="250">
        <v>99632</v>
      </c>
      <c r="B41697" s="74" t="s">
        <v>19110</v>
      </c>
      <c r="C41697" s="74" t="s">
        <v>413</v>
      </c>
    </row>
    <row r="41698" spans="1:3">
      <c r="A41698" s="250">
        <v>99633</v>
      </c>
      <c r="B41698" s="74" t="s">
        <v>19111</v>
      </c>
      <c r="C41698" s="74" t="s">
        <v>413</v>
      </c>
    </row>
    <row r="41699" spans="1:3">
      <c r="A41699" s="250">
        <v>99634</v>
      </c>
      <c r="B41699" s="74" t="s">
        <v>19112</v>
      </c>
      <c r="C41699" s="74" t="s">
        <v>413</v>
      </c>
    </row>
    <row r="41700" spans="1:3">
      <c r="A41700" s="250">
        <v>99635</v>
      </c>
      <c r="B41700" s="74" t="s">
        <v>19113</v>
      </c>
      <c r="C41700" s="74" t="s">
        <v>413</v>
      </c>
    </row>
    <row r="41701" spans="1:3">
      <c r="A41701" s="250">
        <v>99636</v>
      </c>
      <c r="B41701" s="74" t="s">
        <v>19114</v>
      </c>
      <c r="C41701" s="74" t="s">
        <v>413</v>
      </c>
    </row>
    <row r="41702" spans="1:3">
      <c r="A41702" s="250">
        <v>99637</v>
      </c>
      <c r="B41702" s="74" t="s">
        <v>19115</v>
      </c>
      <c r="C41702" s="74" t="s">
        <v>413</v>
      </c>
    </row>
    <row r="41703" spans="1:3">
      <c r="A41703" s="250">
        <v>99638</v>
      </c>
      <c r="B41703" s="74" t="s">
        <v>19116</v>
      </c>
      <c r="C41703" s="74" t="s">
        <v>413</v>
      </c>
    </row>
    <row r="41704" spans="1:3">
      <c r="A41704" s="250">
        <v>99639</v>
      </c>
      <c r="B41704" s="74" t="s">
        <v>19117</v>
      </c>
      <c r="C41704" s="74" t="s">
        <v>413</v>
      </c>
    </row>
    <row r="41705" spans="1:3">
      <c r="A41705" s="250">
        <v>99640</v>
      </c>
      <c r="B41705" s="74" t="s">
        <v>19118</v>
      </c>
      <c r="C41705" s="74" t="s">
        <v>413</v>
      </c>
    </row>
    <row r="41706" spans="1:3">
      <c r="A41706" s="250">
        <v>99641</v>
      </c>
      <c r="B41706" s="74" t="s">
        <v>19119</v>
      </c>
      <c r="C41706" s="74" t="s">
        <v>413</v>
      </c>
    </row>
    <row r="41707" spans="1:3">
      <c r="A41707" s="250">
        <v>99643</v>
      </c>
      <c r="B41707" s="74" t="s">
        <v>19120</v>
      </c>
      <c r="C41707" s="74" t="s">
        <v>413</v>
      </c>
    </row>
    <row r="41708" spans="1:3">
      <c r="A41708" s="250">
        <v>99644</v>
      </c>
      <c r="B41708" s="74" t="s">
        <v>19121</v>
      </c>
      <c r="C41708" s="74" t="s">
        <v>413</v>
      </c>
    </row>
    <row r="41709" spans="1:3">
      <c r="A41709" s="250">
        <v>99645</v>
      </c>
      <c r="B41709" s="74" t="s">
        <v>526</v>
      </c>
      <c r="C41709" s="74" t="s">
        <v>413</v>
      </c>
    </row>
    <row r="41710" spans="1:3">
      <c r="A41710" s="250">
        <v>99647</v>
      </c>
      <c r="B41710" s="74" t="s">
        <v>19122</v>
      </c>
      <c r="C41710" s="74" t="s">
        <v>413</v>
      </c>
    </row>
    <row r="41711" spans="1:3">
      <c r="A41711" s="250">
        <v>99648</v>
      </c>
      <c r="B41711" s="74" t="s">
        <v>5854</v>
      </c>
      <c r="C41711" s="74" t="s">
        <v>413</v>
      </c>
    </row>
    <row r="41712" spans="1:3">
      <c r="A41712" s="250">
        <v>99649</v>
      </c>
      <c r="B41712" s="74" t="s">
        <v>15986</v>
      </c>
      <c r="C41712" s="74" t="s">
        <v>413</v>
      </c>
    </row>
    <row r="41713" spans="1:3">
      <c r="A41713" s="250">
        <v>99650</v>
      </c>
      <c r="B41713" s="74" t="s">
        <v>19123</v>
      </c>
      <c r="C41713" s="74" t="s">
        <v>413</v>
      </c>
    </row>
    <row r="41714" spans="1:3">
      <c r="A41714" s="250">
        <v>99651</v>
      </c>
      <c r="B41714" s="74" t="s">
        <v>19124</v>
      </c>
      <c r="C41714" s="74" t="s">
        <v>413</v>
      </c>
    </row>
    <row r="41715" spans="1:3">
      <c r="A41715" s="250">
        <v>99652</v>
      </c>
      <c r="B41715" s="74" t="s">
        <v>12394</v>
      </c>
      <c r="C41715" s="74" t="s">
        <v>413</v>
      </c>
    </row>
    <row r="41716" spans="1:3">
      <c r="A41716" s="250">
        <v>99653</v>
      </c>
      <c r="B41716" s="74" t="s">
        <v>19125</v>
      </c>
      <c r="C41716" s="74" t="s">
        <v>413</v>
      </c>
    </row>
    <row r="41717" spans="1:3">
      <c r="A41717" s="250">
        <v>99654</v>
      </c>
      <c r="B41717" s="74" t="s">
        <v>19103</v>
      </c>
      <c r="C41717" s="74" t="s">
        <v>413</v>
      </c>
    </row>
    <row r="41718" spans="1:3">
      <c r="A41718" s="250">
        <v>99655</v>
      </c>
      <c r="B41718" s="74" t="s">
        <v>19126</v>
      </c>
      <c r="C41718" s="74" t="s">
        <v>413</v>
      </c>
    </row>
    <row r="41719" spans="1:3">
      <c r="A41719" s="250">
        <v>99656</v>
      </c>
      <c r="B41719" s="74" t="s">
        <v>19127</v>
      </c>
      <c r="C41719" s="74" t="s">
        <v>413</v>
      </c>
    </row>
    <row r="41720" spans="1:3">
      <c r="A41720" s="250">
        <v>99657</v>
      </c>
      <c r="B41720" s="74" t="s">
        <v>19128</v>
      </c>
      <c r="C41720" s="74" t="s">
        <v>413</v>
      </c>
    </row>
    <row r="41721" spans="1:3">
      <c r="A41721" s="250">
        <v>99658</v>
      </c>
      <c r="B41721" s="74" t="s">
        <v>4333</v>
      </c>
      <c r="C41721" s="74" t="s">
        <v>413</v>
      </c>
    </row>
    <row r="41722" spans="1:3">
      <c r="A41722" s="250">
        <v>99659</v>
      </c>
      <c r="B41722" s="74" t="s">
        <v>4365</v>
      </c>
      <c r="C41722" s="74" t="s">
        <v>413</v>
      </c>
    </row>
    <row r="41723" spans="1:3">
      <c r="A41723" s="250">
        <v>99660</v>
      </c>
      <c r="B41723" s="74" t="s">
        <v>19129</v>
      </c>
      <c r="C41723" s="74" t="s">
        <v>413</v>
      </c>
    </row>
    <row r="41724" spans="1:3">
      <c r="A41724" s="250">
        <v>99661</v>
      </c>
      <c r="B41724" s="74" t="s">
        <v>19130</v>
      </c>
      <c r="C41724" s="74" t="s">
        <v>413</v>
      </c>
    </row>
    <row r="41725" spans="1:3">
      <c r="A41725" s="250">
        <v>99662</v>
      </c>
      <c r="B41725" s="74" t="s">
        <v>19131</v>
      </c>
      <c r="C41725" s="74" t="s">
        <v>413</v>
      </c>
    </row>
    <row r="41726" spans="1:3">
      <c r="A41726" s="250">
        <v>99663</v>
      </c>
      <c r="B41726" s="74" t="s">
        <v>19132</v>
      </c>
      <c r="C41726" s="74" t="s">
        <v>413</v>
      </c>
    </row>
    <row r="41727" spans="1:3">
      <c r="A41727" s="250">
        <v>99664</v>
      </c>
      <c r="B41727" s="74" t="s">
        <v>4368</v>
      </c>
      <c r="C41727" s="74" t="s">
        <v>413</v>
      </c>
    </row>
    <row r="41728" spans="1:3">
      <c r="A41728" s="250">
        <v>99665</v>
      </c>
      <c r="B41728" s="74" t="s">
        <v>19133</v>
      </c>
      <c r="C41728" s="74" t="s">
        <v>413</v>
      </c>
    </row>
    <row r="41729" spans="1:3">
      <c r="A41729" s="250">
        <v>99666</v>
      </c>
      <c r="B41729" s="74" t="s">
        <v>19134</v>
      </c>
      <c r="C41729" s="74" t="s">
        <v>413</v>
      </c>
    </row>
    <row r="41730" spans="1:3">
      <c r="A41730" s="250">
        <v>99667</v>
      </c>
      <c r="B41730" s="74" t="s">
        <v>19135</v>
      </c>
      <c r="C41730" s="74" t="s">
        <v>413</v>
      </c>
    </row>
    <row r="41731" spans="1:3">
      <c r="A41731" s="250">
        <v>99668</v>
      </c>
      <c r="B41731" s="74" t="s">
        <v>19136</v>
      </c>
      <c r="C41731" s="74" t="s">
        <v>413</v>
      </c>
    </row>
    <row r="41732" spans="1:3">
      <c r="A41732" s="250">
        <v>99669</v>
      </c>
      <c r="B41732" s="74" t="s">
        <v>19137</v>
      </c>
      <c r="C41732" s="74" t="s">
        <v>413</v>
      </c>
    </row>
    <row r="41733" spans="1:3">
      <c r="A41733" s="250">
        <v>99670</v>
      </c>
      <c r="B41733" s="74" t="s">
        <v>19138</v>
      </c>
      <c r="C41733" s="74" t="s">
        <v>413</v>
      </c>
    </row>
    <row r="41734" spans="1:3">
      <c r="A41734" s="250">
        <v>99671</v>
      </c>
      <c r="B41734" s="74" t="s">
        <v>19139</v>
      </c>
      <c r="C41734" s="74" t="s">
        <v>413</v>
      </c>
    </row>
    <row r="41735" spans="1:3">
      <c r="A41735" s="250">
        <v>99672</v>
      </c>
      <c r="B41735" s="74" t="s">
        <v>763</v>
      </c>
      <c r="C41735" s="74" t="s">
        <v>413</v>
      </c>
    </row>
    <row r="41736" spans="1:3">
      <c r="A41736" s="250">
        <v>99674</v>
      </c>
      <c r="B41736" s="74" t="s">
        <v>774</v>
      </c>
      <c r="C41736" s="74" t="s">
        <v>413</v>
      </c>
    </row>
    <row r="41737" spans="1:3">
      <c r="A41737" s="250">
        <v>99675</v>
      </c>
      <c r="B41737" s="74" t="s">
        <v>19140</v>
      </c>
      <c r="C41737" s="74" t="s">
        <v>413</v>
      </c>
    </row>
    <row r="41738" spans="1:3">
      <c r="A41738" s="250">
        <v>99676</v>
      </c>
      <c r="B41738" s="74" t="s">
        <v>19141</v>
      </c>
      <c r="C41738" s="74" t="s">
        <v>413</v>
      </c>
    </row>
    <row r="41739" spans="1:3">
      <c r="A41739" s="250">
        <v>99677</v>
      </c>
      <c r="B41739" s="74" t="s">
        <v>19142</v>
      </c>
      <c r="C41739" s="74" t="s">
        <v>413</v>
      </c>
    </row>
    <row r="41740" spans="1:3">
      <c r="A41740" s="250">
        <v>99678</v>
      </c>
      <c r="B41740" s="74" t="s">
        <v>19143</v>
      </c>
      <c r="C41740" s="74" t="s">
        <v>413</v>
      </c>
    </row>
    <row r="41741" spans="1:3">
      <c r="A41741" s="250">
        <v>99679</v>
      </c>
      <c r="B41741" s="74" t="s">
        <v>19144</v>
      </c>
      <c r="C41741" s="74" t="s">
        <v>413</v>
      </c>
    </row>
    <row r="41742" spans="1:3">
      <c r="A41742" s="250">
        <v>99680</v>
      </c>
      <c r="B41742" s="74" t="s">
        <v>19145</v>
      </c>
      <c r="C41742" s="74" t="s">
        <v>413</v>
      </c>
    </row>
    <row r="41743" spans="1:3">
      <c r="A41743" s="250">
        <v>99681</v>
      </c>
      <c r="B41743" s="74" t="s">
        <v>19146</v>
      </c>
      <c r="C41743" s="74" t="s">
        <v>413</v>
      </c>
    </row>
    <row r="41744" spans="1:3">
      <c r="A41744" s="250">
        <v>99682</v>
      </c>
      <c r="B41744" s="74" t="s">
        <v>19147</v>
      </c>
      <c r="C41744" s="74" t="s">
        <v>413</v>
      </c>
    </row>
    <row r="41745" spans="1:3">
      <c r="A41745" s="250">
        <v>99683</v>
      </c>
      <c r="B41745" s="74" t="s">
        <v>19148</v>
      </c>
      <c r="C41745" s="74" t="s">
        <v>413</v>
      </c>
    </row>
    <row r="41746" spans="1:3">
      <c r="A41746" s="250">
        <v>99684</v>
      </c>
      <c r="B41746" s="74" t="s">
        <v>19149</v>
      </c>
      <c r="C41746" s="74" t="s">
        <v>413</v>
      </c>
    </row>
    <row r="41747" spans="1:3">
      <c r="A41747" s="250">
        <v>99685</v>
      </c>
      <c r="B41747" s="74" t="s">
        <v>19150</v>
      </c>
      <c r="C41747" s="74" t="s">
        <v>413</v>
      </c>
    </row>
    <row r="41748" spans="1:3">
      <c r="A41748" s="250">
        <v>99686</v>
      </c>
      <c r="B41748" s="74" t="s">
        <v>17464</v>
      </c>
      <c r="C41748" s="74" t="s">
        <v>413</v>
      </c>
    </row>
    <row r="41749" spans="1:3">
      <c r="A41749" s="250">
        <v>99687</v>
      </c>
      <c r="B41749" s="74" t="s">
        <v>19103</v>
      </c>
      <c r="C41749" s="74" t="s">
        <v>413</v>
      </c>
    </row>
    <row r="41750" spans="1:3">
      <c r="A41750" s="250">
        <v>99688</v>
      </c>
      <c r="B41750" s="74" t="s">
        <v>3098</v>
      </c>
      <c r="C41750" s="74" t="s">
        <v>413</v>
      </c>
    </row>
    <row r="41751" spans="1:3">
      <c r="A41751" s="250">
        <v>99689</v>
      </c>
      <c r="B41751" s="74" t="s">
        <v>19151</v>
      </c>
      <c r="C41751" s="74" t="s">
        <v>413</v>
      </c>
    </row>
    <row r="41752" spans="1:3">
      <c r="A41752" s="250">
        <v>99690</v>
      </c>
      <c r="B41752" s="74" t="s">
        <v>19152</v>
      </c>
      <c r="C41752" s="74" t="s">
        <v>413</v>
      </c>
    </row>
    <row r="41753" spans="1:3">
      <c r="A41753" s="250">
        <v>99691</v>
      </c>
      <c r="B41753" s="74" t="s">
        <v>19153</v>
      </c>
      <c r="C41753" s="74" t="s">
        <v>413</v>
      </c>
    </row>
    <row r="41754" spans="1:3">
      <c r="A41754" s="250">
        <v>99692</v>
      </c>
      <c r="B41754" s="74" t="s">
        <v>19154</v>
      </c>
      <c r="C41754" s="74" t="s">
        <v>413</v>
      </c>
    </row>
    <row r="41755" spans="1:3">
      <c r="A41755" s="250">
        <v>99693</v>
      </c>
      <c r="B41755" s="74" t="s">
        <v>7584</v>
      </c>
      <c r="C41755" s="74" t="s">
        <v>413</v>
      </c>
    </row>
    <row r="41756" spans="1:3">
      <c r="A41756" s="250">
        <v>99694</v>
      </c>
      <c r="B41756" s="74" t="s">
        <v>4063</v>
      </c>
      <c r="C41756" s="74" t="s">
        <v>413</v>
      </c>
    </row>
    <row r="41757" spans="1:3">
      <c r="A41757" s="250">
        <v>99695</v>
      </c>
      <c r="B41757" s="74" t="s">
        <v>19049</v>
      </c>
      <c r="C41757" s="74" t="s">
        <v>413</v>
      </c>
    </row>
    <row r="41758" spans="1:3">
      <c r="A41758" s="250">
        <v>99697</v>
      </c>
      <c r="B41758" s="74" t="s">
        <v>19099</v>
      </c>
      <c r="C41758" s="74" t="s">
        <v>413</v>
      </c>
    </row>
    <row r="41759" spans="1:3">
      <c r="A41759" s="250">
        <v>99701</v>
      </c>
      <c r="B41759" s="74" t="s">
        <v>10934</v>
      </c>
      <c r="C41759" s="74" t="s">
        <v>413</v>
      </c>
    </row>
    <row r="41760" spans="1:3">
      <c r="A41760" s="250">
        <v>99702</v>
      </c>
      <c r="B41760" s="74" t="s">
        <v>19155</v>
      </c>
      <c r="C41760" s="74" t="s">
        <v>413</v>
      </c>
    </row>
    <row r="41761" spans="1:3">
      <c r="A41761" s="250">
        <v>99703</v>
      </c>
      <c r="B41761" s="74" t="s">
        <v>19156</v>
      </c>
      <c r="C41761" s="74" t="s">
        <v>413</v>
      </c>
    </row>
    <row r="41762" spans="1:3">
      <c r="A41762" s="250">
        <v>99704</v>
      </c>
      <c r="B41762" s="74" t="s">
        <v>19157</v>
      </c>
      <c r="C41762" s="74" t="s">
        <v>413</v>
      </c>
    </row>
    <row r="41763" spans="1:3">
      <c r="A41763" s="250">
        <v>99705</v>
      </c>
      <c r="B41763" s="74" t="s">
        <v>19158</v>
      </c>
      <c r="C41763" s="74" t="s">
        <v>413</v>
      </c>
    </row>
    <row r="41764" spans="1:3">
      <c r="A41764" s="250">
        <v>99706</v>
      </c>
      <c r="B41764" s="74" t="s">
        <v>10934</v>
      </c>
      <c r="C41764" s="74" t="s">
        <v>413</v>
      </c>
    </row>
    <row r="41765" spans="1:3">
      <c r="A41765" s="250">
        <v>99707</v>
      </c>
      <c r="B41765" s="74" t="s">
        <v>10934</v>
      </c>
      <c r="C41765" s="74" t="s">
        <v>413</v>
      </c>
    </row>
    <row r="41766" spans="1:3">
      <c r="A41766" s="250">
        <v>99708</v>
      </c>
      <c r="B41766" s="74" t="s">
        <v>10934</v>
      </c>
      <c r="C41766" s="74" t="s">
        <v>413</v>
      </c>
    </row>
    <row r="41767" spans="1:3">
      <c r="A41767" s="250">
        <v>99709</v>
      </c>
      <c r="B41767" s="74" t="s">
        <v>10934</v>
      </c>
      <c r="C41767" s="74" t="s">
        <v>413</v>
      </c>
    </row>
    <row r="41768" spans="1:3">
      <c r="A41768" s="250">
        <v>99710</v>
      </c>
      <c r="B41768" s="74" t="s">
        <v>10934</v>
      </c>
      <c r="C41768" s="74" t="s">
        <v>413</v>
      </c>
    </row>
    <row r="41769" spans="1:3">
      <c r="A41769" s="250">
        <v>99711</v>
      </c>
      <c r="B41769" s="74" t="s">
        <v>10934</v>
      </c>
      <c r="C41769" s="74" t="s">
        <v>413</v>
      </c>
    </row>
    <row r="41770" spans="1:3">
      <c r="A41770" s="250">
        <v>99712</v>
      </c>
      <c r="B41770" s="74" t="s">
        <v>10934</v>
      </c>
      <c r="C41770" s="74" t="s">
        <v>413</v>
      </c>
    </row>
    <row r="41771" spans="1:3">
      <c r="A41771" s="250">
        <v>99714</v>
      </c>
      <c r="B41771" s="74" t="s">
        <v>19159</v>
      </c>
      <c r="C41771" s="74" t="s">
        <v>413</v>
      </c>
    </row>
    <row r="41772" spans="1:3">
      <c r="A41772" s="250">
        <v>99716</v>
      </c>
      <c r="B41772" s="74" t="s">
        <v>12142</v>
      </c>
      <c r="C41772" s="74" t="s">
        <v>413</v>
      </c>
    </row>
    <row r="41773" spans="1:3">
      <c r="A41773" s="250">
        <v>99720</v>
      </c>
      <c r="B41773" s="74" t="s">
        <v>19160</v>
      </c>
      <c r="C41773" s="74" t="s">
        <v>413</v>
      </c>
    </row>
    <row r="41774" spans="1:3">
      <c r="A41774" s="250">
        <v>99721</v>
      </c>
      <c r="B41774" s="74" t="s">
        <v>19161</v>
      </c>
      <c r="C41774" s="74" t="s">
        <v>413</v>
      </c>
    </row>
    <row r="41775" spans="1:3">
      <c r="A41775" s="250">
        <v>99722</v>
      </c>
      <c r="B41775" s="74" t="s">
        <v>19162</v>
      </c>
      <c r="C41775" s="74" t="s">
        <v>413</v>
      </c>
    </row>
    <row r="41776" spans="1:3">
      <c r="A41776" s="250">
        <v>99723</v>
      </c>
      <c r="B41776" s="74" t="s">
        <v>19163</v>
      </c>
      <c r="C41776" s="74" t="s">
        <v>413</v>
      </c>
    </row>
    <row r="41777" spans="1:3">
      <c r="A41777" s="250">
        <v>99724</v>
      </c>
      <c r="B41777" s="74" t="s">
        <v>3962</v>
      </c>
      <c r="C41777" s="74" t="s">
        <v>413</v>
      </c>
    </row>
    <row r="41778" spans="1:3">
      <c r="A41778" s="250">
        <v>99725</v>
      </c>
      <c r="B41778" s="74" t="s">
        <v>19164</v>
      </c>
      <c r="C41778" s="74" t="s">
        <v>413</v>
      </c>
    </row>
    <row r="41779" spans="1:3">
      <c r="A41779" s="250">
        <v>99726</v>
      </c>
      <c r="B41779" s="74" t="s">
        <v>19165</v>
      </c>
      <c r="C41779" s="74" t="s">
        <v>413</v>
      </c>
    </row>
    <row r="41780" spans="1:3">
      <c r="A41780" s="250">
        <v>99727</v>
      </c>
      <c r="B41780" s="74" t="s">
        <v>674</v>
      </c>
      <c r="C41780" s="74" t="s">
        <v>413</v>
      </c>
    </row>
    <row r="41781" spans="1:3">
      <c r="A41781" s="250">
        <v>99729</v>
      </c>
      <c r="B41781" s="74" t="s">
        <v>19166</v>
      </c>
      <c r="C41781" s="74" t="s">
        <v>413</v>
      </c>
    </row>
    <row r="41782" spans="1:3">
      <c r="A41782" s="250">
        <v>99730</v>
      </c>
      <c r="B41782" s="74" t="s">
        <v>7767</v>
      </c>
      <c r="C41782" s="74" t="s">
        <v>413</v>
      </c>
    </row>
    <row r="41783" spans="1:3">
      <c r="A41783" s="250">
        <v>99731</v>
      </c>
      <c r="B41783" s="74" t="s">
        <v>19167</v>
      </c>
      <c r="C41783" s="74" t="s">
        <v>413</v>
      </c>
    </row>
    <row r="41784" spans="1:3">
      <c r="A41784" s="250">
        <v>99732</v>
      </c>
      <c r="B41784" s="74" t="s">
        <v>19168</v>
      </c>
      <c r="C41784" s="74" t="s">
        <v>413</v>
      </c>
    </row>
    <row r="41785" spans="1:3">
      <c r="A41785" s="250">
        <v>99733</v>
      </c>
      <c r="B41785" s="74" t="s">
        <v>13261</v>
      </c>
      <c r="C41785" s="74" t="s">
        <v>413</v>
      </c>
    </row>
    <row r="41786" spans="1:3">
      <c r="A41786" s="250">
        <v>99734</v>
      </c>
      <c r="B41786" s="74" t="s">
        <v>19169</v>
      </c>
      <c r="C41786" s="74" t="s">
        <v>413</v>
      </c>
    </row>
    <row r="41787" spans="1:3">
      <c r="A41787" s="250">
        <v>99736</v>
      </c>
      <c r="B41787" s="74" t="s">
        <v>13174</v>
      </c>
      <c r="C41787" s="74" t="s">
        <v>413</v>
      </c>
    </row>
    <row r="41788" spans="1:3">
      <c r="A41788" s="250">
        <v>99737</v>
      </c>
      <c r="B41788" s="74" t="s">
        <v>19170</v>
      </c>
      <c r="C41788" s="74" t="s">
        <v>413</v>
      </c>
    </row>
    <row r="41789" spans="1:3">
      <c r="A41789" s="250">
        <v>99738</v>
      </c>
      <c r="B41789" s="74" t="s">
        <v>11153</v>
      </c>
      <c r="C41789" s="74" t="s">
        <v>413</v>
      </c>
    </row>
    <row r="41790" spans="1:3">
      <c r="A41790" s="250">
        <v>99739</v>
      </c>
      <c r="B41790" s="74" t="s">
        <v>19171</v>
      </c>
      <c r="C41790" s="74" t="s">
        <v>413</v>
      </c>
    </row>
    <row r="41791" spans="1:3">
      <c r="A41791" s="250">
        <v>99740</v>
      </c>
      <c r="B41791" s="74" t="s">
        <v>19172</v>
      </c>
      <c r="C41791" s="74" t="s">
        <v>413</v>
      </c>
    </row>
    <row r="41792" spans="1:3">
      <c r="A41792" s="250">
        <v>99741</v>
      </c>
      <c r="B41792" s="74" t="s">
        <v>5755</v>
      </c>
      <c r="C41792" s="74" t="s">
        <v>413</v>
      </c>
    </row>
    <row r="41793" spans="1:3">
      <c r="A41793" s="250">
        <v>99742</v>
      </c>
      <c r="B41793" s="74" t="s">
        <v>19173</v>
      </c>
      <c r="C41793" s="74" t="s">
        <v>413</v>
      </c>
    </row>
    <row r="41794" spans="1:3">
      <c r="A41794" s="250">
        <v>99743</v>
      </c>
      <c r="B41794" s="74" t="s">
        <v>14716</v>
      </c>
      <c r="C41794" s="74" t="s">
        <v>413</v>
      </c>
    </row>
    <row r="41795" spans="1:3">
      <c r="A41795" s="250">
        <v>99744</v>
      </c>
      <c r="B41795" s="74" t="s">
        <v>7764</v>
      </c>
      <c r="C41795" s="74" t="s">
        <v>413</v>
      </c>
    </row>
    <row r="41796" spans="1:3">
      <c r="A41796" s="250">
        <v>99745</v>
      </c>
      <c r="B41796" s="74" t="s">
        <v>15349</v>
      </c>
      <c r="C41796" s="74" t="s">
        <v>413</v>
      </c>
    </row>
    <row r="41797" spans="1:3">
      <c r="A41797" s="250">
        <v>99746</v>
      </c>
      <c r="B41797" s="74" t="s">
        <v>19174</v>
      </c>
      <c r="C41797" s="74" t="s">
        <v>413</v>
      </c>
    </row>
    <row r="41798" spans="1:3">
      <c r="A41798" s="250">
        <v>99747</v>
      </c>
      <c r="B41798" s="74" t="s">
        <v>19175</v>
      </c>
      <c r="C41798" s="74" t="s">
        <v>413</v>
      </c>
    </row>
    <row r="41799" spans="1:3">
      <c r="A41799" s="250">
        <v>99748</v>
      </c>
      <c r="B41799" s="74" t="s">
        <v>19176</v>
      </c>
      <c r="C41799" s="74" t="s">
        <v>413</v>
      </c>
    </row>
    <row r="41800" spans="1:3">
      <c r="A41800" s="250">
        <v>99749</v>
      </c>
      <c r="B41800" s="74" t="s">
        <v>19177</v>
      </c>
      <c r="C41800" s="74" t="s">
        <v>413</v>
      </c>
    </row>
    <row r="41801" spans="1:3">
      <c r="A41801" s="250">
        <v>99750</v>
      </c>
      <c r="B41801" s="74" t="s">
        <v>19178</v>
      </c>
      <c r="C41801" s="74" t="s">
        <v>413</v>
      </c>
    </row>
    <row r="41802" spans="1:3">
      <c r="A41802" s="250">
        <v>99751</v>
      </c>
      <c r="B41802" s="74" t="s">
        <v>19179</v>
      </c>
      <c r="C41802" s="74" t="s">
        <v>413</v>
      </c>
    </row>
    <row r="41803" spans="1:3">
      <c r="A41803" s="250">
        <v>99752</v>
      </c>
      <c r="B41803" s="74" t="s">
        <v>19180</v>
      </c>
      <c r="C41803" s="74" t="s">
        <v>413</v>
      </c>
    </row>
    <row r="41804" spans="1:3">
      <c r="A41804" s="250">
        <v>99753</v>
      </c>
      <c r="B41804" s="74" t="s">
        <v>19181</v>
      </c>
      <c r="C41804" s="74" t="s">
        <v>413</v>
      </c>
    </row>
    <row r="41805" spans="1:3">
      <c r="A41805" s="250">
        <v>99754</v>
      </c>
      <c r="B41805" s="74" t="s">
        <v>19182</v>
      </c>
      <c r="C41805" s="74" t="s">
        <v>413</v>
      </c>
    </row>
    <row r="41806" spans="1:3">
      <c r="A41806" s="250">
        <v>99755</v>
      </c>
      <c r="B41806" s="74" t="s">
        <v>19183</v>
      </c>
      <c r="C41806" s="74" t="s">
        <v>413</v>
      </c>
    </row>
    <row r="41807" spans="1:3">
      <c r="A41807" s="250">
        <v>99756</v>
      </c>
      <c r="B41807" s="74" t="s">
        <v>19184</v>
      </c>
      <c r="C41807" s="74" t="s">
        <v>413</v>
      </c>
    </row>
    <row r="41808" spans="1:3">
      <c r="A41808" s="250">
        <v>99757</v>
      </c>
      <c r="B41808" s="74" t="s">
        <v>19185</v>
      </c>
      <c r="C41808" s="74" t="s">
        <v>413</v>
      </c>
    </row>
    <row r="41809" spans="1:3">
      <c r="A41809" s="250">
        <v>99758</v>
      </c>
      <c r="B41809" s="74" t="s">
        <v>13053</v>
      </c>
      <c r="C41809" s="74" t="s">
        <v>413</v>
      </c>
    </row>
    <row r="41810" spans="1:3">
      <c r="A41810" s="250">
        <v>99759</v>
      </c>
      <c r="B41810" s="74" t="s">
        <v>19186</v>
      </c>
      <c r="C41810" s="74" t="s">
        <v>413</v>
      </c>
    </row>
    <row r="41811" spans="1:3">
      <c r="A41811" s="250">
        <v>99760</v>
      </c>
      <c r="B41811" s="74" t="s">
        <v>19187</v>
      </c>
      <c r="C41811" s="74" t="s">
        <v>413</v>
      </c>
    </row>
    <row r="41812" spans="1:3">
      <c r="A41812" s="250">
        <v>99761</v>
      </c>
      <c r="B41812" s="74" t="s">
        <v>19188</v>
      </c>
      <c r="C41812" s="74" t="s">
        <v>413</v>
      </c>
    </row>
    <row r="41813" spans="1:3">
      <c r="A41813" s="250">
        <v>99762</v>
      </c>
      <c r="B41813" s="74" t="s">
        <v>13021</v>
      </c>
      <c r="C41813" s="74" t="s">
        <v>413</v>
      </c>
    </row>
    <row r="41814" spans="1:3">
      <c r="A41814" s="250">
        <v>99763</v>
      </c>
      <c r="B41814" s="74" t="s">
        <v>19189</v>
      </c>
      <c r="C41814" s="74" t="s">
        <v>413</v>
      </c>
    </row>
    <row r="41815" spans="1:3">
      <c r="A41815" s="250">
        <v>99764</v>
      </c>
      <c r="B41815" s="74" t="s">
        <v>19190</v>
      </c>
      <c r="C41815" s="74" t="s">
        <v>413</v>
      </c>
    </row>
    <row r="41816" spans="1:3">
      <c r="A41816" s="250">
        <v>99765</v>
      </c>
      <c r="B41816" s="74" t="s">
        <v>19191</v>
      </c>
      <c r="C41816" s="74" t="s">
        <v>413</v>
      </c>
    </row>
    <row r="41817" spans="1:3">
      <c r="A41817" s="250">
        <v>99766</v>
      </c>
      <c r="B41817" s="74" t="s">
        <v>19192</v>
      </c>
      <c r="C41817" s="74" t="s">
        <v>413</v>
      </c>
    </row>
    <row r="41818" spans="1:3">
      <c r="A41818" s="250">
        <v>99767</v>
      </c>
      <c r="B41818" s="74" t="s">
        <v>19193</v>
      </c>
      <c r="C41818" s="74" t="s">
        <v>413</v>
      </c>
    </row>
    <row r="41819" spans="1:3">
      <c r="A41819" s="250">
        <v>99768</v>
      </c>
      <c r="B41819" s="74" t="s">
        <v>3082</v>
      </c>
      <c r="C41819" s="74" t="s">
        <v>413</v>
      </c>
    </row>
    <row r="41820" spans="1:3">
      <c r="A41820" s="250">
        <v>99769</v>
      </c>
      <c r="B41820" s="74" t="s">
        <v>19194</v>
      </c>
      <c r="C41820" s="74" t="s">
        <v>413</v>
      </c>
    </row>
    <row r="41821" spans="1:3">
      <c r="A41821" s="250">
        <v>99770</v>
      </c>
      <c r="B41821" s="74" t="s">
        <v>19195</v>
      </c>
      <c r="C41821" s="74" t="s">
        <v>413</v>
      </c>
    </row>
    <row r="41822" spans="1:3">
      <c r="A41822" s="250">
        <v>99771</v>
      </c>
      <c r="B41822" s="74" t="s">
        <v>19196</v>
      </c>
      <c r="C41822" s="74" t="s">
        <v>413</v>
      </c>
    </row>
    <row r="41823" spans="1:3">
      <c r="A41823" s="250">
        <v>99772</v>
      </c>
      <c r="B41823" s="74" t="s">
        <v>19197</v>
      </c>
      <c r="C41823" s="74" t="s">
        <v>413</v>
      </c>
    </row>
    <row r="41824" spans="1:3">
      <c r="A41824" s="250">
        <v>99773</v>
      </c>
      <c r="B41824" s="74" t="s">
        <v>19198</v>
      </c>
      <c r="C41824" s="74" t="s">
        <v>413</v>
      </c>
    </row>
    <row r="41825" spans="1:3">
      <c r="A41825" s="250">
        <v>99774</v>
      </c>
      <c r="B41825" s="74" t="s">
        <v>19199</v>
      </c>
      <c r="C41825" s="74" t="s">
        <v>413</v>
      </c>
    </row>
    <row r="41826" spans="1:3">
      <c r="A41826" s="250">
        <v>99775</v>
      </c>
      <c r="B41826" s="74" t="s">
        <v>10934</v>
      </c>
      <c r="C41826" s="74" t="s">
        <v>413</v>
      </c>
    </row>
    <row r="41827" spans="1:3">
      <c r="A41827" s="250">
        <v>99776</v>
      </c>
      <c r="B41827" s="74" t="s">
        <v>19200</v>
      </c>
      <c r="C41827" s="74" t="s">
        <v>413</v>
      </c>
    </row>
    <row r="41828" spans="1:3">
      <c r="A41828" s="250">
        <v>99777</v>
      </c>
      <c r="B41828" s="74" t="s">
        <v>19201</v>
      </c>
      <c r="C41828" s="74" t="s">
        <v>413</v>
      </c>
    </row>
    <row r="41829" spans="1:3">
      <c r="A41829" s="250">
        <v>99778</v>
      </c>
      <c r="B41829" s="74" t="s">
        <v>19202</v>
      </c>
      <c r="C41829" s="74" t="s">
        <v>413</v>
      </c>
    </row>
    <row r="41830" spans="1:3">
      <c r="A41830" s="250">
        <v>99779</v>
      </c>
      <c r="B41830" s="74" t="s">
        <v>19203</v>
      </c>
      <c r="C41830" s="74" t="s">
        <v>413</v>
      </c>
    </row>
    <row r="41831" spans="1:3">
      <c r="A41831" s="250">
        <v>99780</v>
      </c>
      <c r="B41831" s="74" t="s">
        <v>19203</v>
      </c>
      <c r="C41831" s="74" t="s">
        <v>413</v>
      </c>
    </row>
    <row r="41832" spans="1:3">
      <c r="A41832" s="250">
        <v>99781</v>
      </c>
      <c r="B41832" s="74" t="s">
        <v>19204</v>
      </c>
      <c r="C41832" s="74" t="s">
        <v>413</v>
      </c>
    </row>
    <row r="41833" spans="1:3">
      <c r="A41833" s="250">
        <v>99782</v>
      </c>
      <c r="B41833" s="74" t="s">
        <v>15720</v>
      </c>
      <c r="C41833" s="74" t="s">
        <v>413</v>
      </c>
    </row>
    <row r="41834" spans="1:3">
      <c r="A41834" s="250">
        <v>99783</v>
      </c>
      <c r="B41834" s="74" t="s">
        <v>620</v>
      </c>
      <c r="C41834" s="74" t="s">
        <v>413</v>
      </c>
    </row>
    <row r="41835" spans="1:3">
      <c r="A41835" s="250">
        <v>99784</v>
      </c>
      <c r="B41835" s="74" t="s">
        <v>19205</v>
      </c>
      <c r="C41835" s="74" t="s">
        <v>413</v>
      </c>
    </row>
    <row r="41836" spans="1:3">
      <c r="A41836" s="250">
        <v>99785</v>
      </c>
      <c r="B41836" s="74" t="s">
        <v>19206</v>
      </c>
      <c r="C41836" s="74" t="s">
        <v>413</v>
      </c>
    </row>
    <row r="41837" spans="1:3">
      <c r="A41837" s="250">
        <v>99786</v>
      </c>
      <c r="B41837" s="74" t="s">
        <v>5310</v>
      </c>
      <c r="C41837" s="74" t="s">
        <v>413</v>
      </c>
    </row>
    <row r="41838" spans="1:3">
      <c r="A41838" s="250">
        <v>99788</v>
      </c>
      <c r="B41838" s="74" t="s">
        <v>19207</v>
      </c>
      <c r="C41838" s="74" t="s">
        <v>413</v>
      </c>
    </row>
    <row r="41839" spans="1:3">
      <c r="A41839" s="250">
        <v>99789</v>
      </c>
      <c r="B41839" s="74" t="s">
        <v>19208</v>
      </c>
      <c r="C41839" s="74" t="s">
        <v>413</v>
      </c>
    </row>
    <row r="41840" spans="1:3">
      <c r="A41840" s="250">
        <v>99790</v>
      </c>
      <c r="B41840" s="74" t="s">
        <v>10934</v>
      </c>
      <c r="C41840" s="74" t="s">
        <v>413</v>
      </c>
    </row>
    <row r="41841" spans="1:3">
      <c r="A41841" s="250">
        <v>99791</v>
      </c>
      <c r="B41841" s="74" t="s">
        <v>19209</v>
      </c>
      <c r="C41841" s="74" t="s">
        <v>413</v>
      </c>
    </row>
    <row r="41842" spans="1:3">
      <c r="A41842" s="250">
        <v>99801</v>
      </c>
      <c r="B41842" s="74" t="s">
        <v>11948</v>
      </c>
      <c r="C41842" s="74" t="s">
        <v>413</v>
      </c>
    </row>
    <row r="41843" spans="1:3">
      <c r="A41843" s="250">
        <v>99802</v>
      </c>
      <c r="B41843" s="74" t="s">
        <v>11948</v>
      </c>
      <c r="C41843" s="74" t="s">
        <v>413</v>
      </c>
    </row>
    <row r="41844" spans="1:3">
      <c r="A41844" s="250">
        <v>99803</v>
      </c>
      <c r="B41844" s="74" t="s">
        <v>11948</v>
      </c>
      <c r="C41844" s="74" t="s">
        <v>413</v>
      </c>
    </row>
    <row r="41845" spans="1:3">
      <c r="A41845" s="250">
        <v>99811</v>
      </c>
      <c r="B41845" s="74" t="s">
        <v>11948</v>
      </c>
      <c r="C41845" s="74" t="s">
        <v>413</v>
      </c>
    </row>
    <row r="41846" spans="1:3">
      <c r="A41846" s="250">
        <v>99812</v>
      </c>
      <c r="B41846" s="74" t="s">
        <v>11948</v>
      </c>
      <c r="C41846" s="74" t="s">
        <v>413</v>
      </c>
    </row>
    <row r="41847" spans="1:3">
      <c r="A41847" s="250">
        <v>99820</v>
      </c>
      <c r="B41847" s="74" t="s">
        <v>19210</v>
      </c>
      <c r="C41847" s="74" t="s">
        <v>413</v>
      </c>
    </row>
    <row r="41848" spans="1:3">
      <c r="A41848" s="250">
        <v>99821</v>
      </c>
      <c r="B41848" s="74" t="s">
        <v>19211</v>
      </c>
      <c r="C41848" s="74" t="s">
        <v>413</v>
      </c>
    </row>
    <row r="41849" spans="1:3">
      <c r="A41849" s="250">
        <v>99824</v>
      </c>
      <c r="B41849" s="74" t="s">
        <v>734</v>
      </c>
      <c r="C41849" s="74" t="s">
        <v>413</v>
      </c>
    </row>
    <row r="41850" spans="1:3">
      <c r="A41850" s="250">
        <v>99825</v>
      </c>
      <c r="B41850" s="74" t="s">
        <v>19212</v>
      </c>
      <c r="C41850" s="74" t="s">
        <v>413</v>
      </c>
    </row>
    <row r="41851" spans="1:3">
      <c r="A41851" s="250">
        <v>99826</v>
      </c>
      <c r="B41851" s="74" t="s">
        <v>19213</v>
      </c>
      <c r="C41851" s="74" t="s">
        <v>413</v>
      </c>
    </row>
    <row r="41852" spans="1:3">
      <c r="A41852" s="250">
        <v>99827</v>
      </c>
      <c r="B41852" s="74" t="s">
        <v>18727</v>
      </c>
      <c r="C41852" s="74" t="s">
        <v>413</v>
      </c>
    </row>
    <row r="41853" spans="1:3">
      <c r="A41853" s="250">
        <v>99829</v>
      </c>
      <c r="B41853" s="74" t="s">
        <v>19214</v>
      </c>
      <c r="C41853" s="74" t="s">
        <v>413</v>
      </c>
    </row>
    <row r="41854" spans="1:3">
      <c r="A41854" s="250">
        <v>99830</v>
      </c>
      <c r="B41854" s="74" t="s">
        <v>19215</v>
      </c>
      <c r="C41854" s="74" t="s">
        <v>413</v>
      </c>
    </row>
    <row r="41855" spans="1:3">
      <c r="A41855" s="250">
        <v>99832</v>
      </c>
      <c r="B41855" s="74" t="s">
        <v>15106</v>
      </c>
      <c r="C41855" s="74" t="s">
        <v>413</v>
      </c>
    </row>
    <row r="41856" spans="1:3">
      <c r="A41856" s="250">
        <v>99833</v>
      </c>
      <c r="B41856" s="74" t="s">
        <v>2988</v>
      </c>
      <c r="C41856" s="74" t="s">
        <v>413</v>
      </c>
    </row>
    <row r="41857" spans="1:3">
      <c r="A41857" s="250">
        <v>99835</v>
      </c>
      <c r="B41857" s="74" t="s">
        <v>9777</v>
      </c>
      <c r="C41857" s="74" t="s">
        <v>413</v>
      </c>
    </row>
    <row r="41858" spans="1:3">
      <c r="A41858" s="250">
        <v>99836</v>
      </c>
      <c r="B41858" s="74" t="s">
        <v>19216</v>
      </c>
      <c r="C41858" s="74" t="s">
        <v>413</v>
      </c>
    </row>
    <row r="41859" spans="1:3">
      <c r="A41859" s="250">
        <v>99840</v>
      </c>
      <c r="B41859" s="74" t="s">
        <v>19217</v>
      </c>
      <c r="C41859" s="74" t="s">
        <v>413</v>
      </c>
    </row>
    <row r="41860" spans="1:3">
      <c r="A41860" s="250">
        <v>99841</v>
      </c>
      <c r="B41860" s="74" t="s">
        <v>19218</v>
      </c>
      <c r="C41860" s="74" t="s">
        <v>413</v>
      </c>
    </row>
    <row r="41861" spans="1:3">
      <c r="A41861" s="250">
        <v>99850</v>
      </c>
      <c r="B41861" s="74" t="s">
        <v>11948</v>
      </c>
      <c r="C41861" s="74" t="s">
        <v>413</v>
      </c>
    </row>
    <row r="41862" spans="1:3">
      <c r="A41862" s="250">
        <v>99901</v>
      </c>
      <c r="B41862" s="74" t="s">
        <v>19219</v>
      </c>
      <c r="C41862" s="74" t="s">
        <v>413</v>
      </c>
    </row>
    <row r="41863" spans="1:3">
      <c r="A41863" s="250">
        <v>99903</v>
      </c>
      <c r="B41863" s="74" t="s">
        <v>19220</v>
      </c>
      <c r="C41863" s="74" t="s">
        <v>413</v>
      </c>
    </row>
    <row r="41864" spans="1:3">
      <c r="A41864" s="250">
        <v>99918</v>
      </c>
      <c r="B41864" s="74" t="s">
        <v>19221</v>
      </c>
      <c r="C41864" s="74" t="s">
        <v>413</v>
      </c>
    </row>
    <row r="41865" spans="1:3">
      <c r="A41865" s="250">
        <v>99919</v>
      </c>
      <c r="B41865" s="74" t="s">
        <v>19222</v>
      </c>
      <c r="C41865" s="74" t="s">
        <v>413</v>
      </c>
    </row>
    <row r="41866" spans="1:3">
      <c r="A41866" s="250">
        <v>99921</v>
      </c>
      <c r="B41866" s="74" t="s">
        <v>14252</v>
      </c>
      <c r="C41866" s="74" t="s">
        <v>413</v>
      </c>
    </row>
    <row r="41867" spans="1:3">
      <c r="A41867" s="250">
        <v>99922</v>
      </c>
      <c r="B41867" s="74" t="s">
        <v>19223</v>
      </c>
      <c r="C41867" s="74" t="s">
        <v>413</v>
      </c>
    </row>
    <row r="41868" spans="1:3">
      <c r="A41868" s="250">
        <v>99923</v>
      </c>
      <c r="B41868" s="74" t="s">
        <v>19224</v>
      </c>
      <c r="C41868" s="74" t="s">
        <v>413</v>
      </c>
    </row>
    <row r="41869" spans="1:3">
      <c r="A41869" s="250">
        <v>99925</v>
      </c>
      <c r="B41869" s="74" t="s">
        <v>19225</v>
      </c>
      <c r="C41869" s="74" t="s">
        <v>413</v>
      </c>
    </row>
    <row r="41870" spans="1:3">
      <c r="A41870" s="250">
        <v>99926</v>
      </c>
      <c r="B41870" s="74" t="s">
        <v>19226</v>
      </c>
      <c r="C41870" s="74" t="s">
        <v>413</v>
      </c>
    </row>
    <row r="41871" spans="1:3">
      <c r="A41871" s="250">
        <v>99927</v>
      </c>
      <c r="B41871" s="74" t="s">
        <v>19227</v>
      </c>
      <c r="C41871" s="74" t="s">
        <v>413</v>
      </c>
    </row>
    <row r="41872" spans="1:3">
      <c r="A41872" s="250">
        <v>99928</v>
      </c>
      <c r="B41872" s="74" t="s">
        <v>19228</v>
      </c>
      <c r="C41872" s="74" t="s">
        <v>413</v>
      </c>
    </row>
    <row r="41873" spans="1:3">
      <c r="A41873" s="250">
        <v>99929</v>
      </c>
      <c r="B41873" s="74" t="s">
        <v>19229</v>
      </c>
      <c r="C41873" s="74" t="s">
        <v>413</v>
      </c>
    </row>
    <row r="41874" spans="1:3">
      <c r="A41874" s="250">
        <v>99950</v>
      </c>
      <c r="B41874" s="74" t="s">
        <v>19219</v>
      </c>
      <c r="C41874" s="74" t="s">
        <v>413</v>
      </c>
    </row>
  </sheetData>
  <autoFilter ref="A2:C41874" xr:uid="{00000000-0009-0000-0000-000023000000}"/>
  <customSheetViews>
    <customSheetView guid="{F2CCAFB5-9C02-49AC-87E7-8695C5014AAE}" showAutoFilter="1" state="hidden">
      <selection activeCell="F3" sqref="F3"/>
      <pageMargins left="0.7" right="0.7" top="0.75" bottom="0.75" header="0.3" footer="0.3"/>
      <autoFilter ref="B1:E1" xr:uid="{00000000-0000-0000-0000-000000000000}"/>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011A6FED853C2419E557C4FB5759963" ma:contentTypeVersion="0" ma:contentTypeDescription="Create a new document." ma:contentTypeScope="" ma:versionID="e3822346cdca4dc4dc2ddb1e36c9333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2E928B2-5DFE-4828-B992-0D673ECD8DF1}">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27400466-BCF5-4EED-B9B5-DAD7092BB735}">
  <ds:schemaRefs>
    <ds:schemaRef ds:uri="http://schemas.microsoft.com/sharepoint/v3/contenttype/forms"/>
  </ds:schemaRefs>
</ds:datastoreItem>
</file>

<file path=customXml/itemProps3.xml><?xml version="1.0" encoding="utf-8"?>
<ds:datastoreItem xmlns:ds="http://schemas.openxmlformats.org/officeDocument/2006/customXml" ds:itemID="{AC110418-FBFA-499F-A166-F22F2D148F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11</vt:i4>
      </vt:variant>
    </vt:vector>
  </HeadingPairs>
  <TitlesOfParts>
    <vt:vector size="49" baseType="lpstr">
      <vt:lpstr>Change Log</vt:lpstr>
      <vt:lpstr>IN-N-OUT</vt:lpstr>
      <vt:lpstr>1-Eng Inputs</vt:lpstr>
      <vt:lpstr>EcoMount Inputs</vt:lpstr>
      <vt:lpstr>BOM Estimate</vt:lpstr>
      <vt:lpstr>2-Inputs</vt:lpstr>
      <vt:lpstr>3-Estimate+Quote</vt:lpstr>
      <vt:lpstr>4-Eng Approval</vt:lpstr>
      <vt:lpstr>factors</vt:lpstr>
      <vt:lpstr>Land Coeffs 10deg</vt:lpstr>
      <vt:lpstr>Land Calcs 10deg (lift)</vt:lpstr>
      <vt:lpstr>Land Calcs 10deg (sliding)</vt:lpstr>
      <vt:lpstr>Land Matrix 10deg (lift)</vt:lpstr>
      <vt:lpstr>Land Coeffs 5deg</vt:lpstr>
      <vt:lpstr>Land Calcs 5deg (lift)</vt:lpstr>
      <vt:lpstr>Land Calcs 5deg (sliding)</vt:lpstr>
      <vt:lpstr>Land Matrix 5deg (lift)</vt:lpstr>
      <vt:lpstr>Port Coeffs</vt:lpstr>
      <vt:lpstr>Port Calcs (lift)</vt:lpstr>
      <vt:lpstr>Port Calcs (sliding)</vt:lpstr>
      <vt:lpstr>Port Matrix (lift)</vt:lpstr>
      <vt:lpstr>5-Report</vt:lpstr>
      <vt:lpstr>5a-Unattached Report</vt:lpstr>
      <vt:lpstr>5b-Attached Report</vt:lpstr>
      <vt:lpstr>5c-Uplift Attach</vt:lpstr>
      <vt:lpstr>6-EcoMount Report</vt:lpstr>
      <vt:lpstr>Area Reduction</vt:lpstr>
      <vt:lpstr>Friction Data</vt:lpstr>
      <vt:lpstr>SEAOC PV2 Calcs</vt:lpstr>
      <vt:lpstr>Seismic Attached Per-Array</vt:lpstr>
      <vt:lpstr>Seismic Calcs (Attached)</vt:lpstr>
      <vt:lpstr>Seismic Calcs (Unattached)</vt:lpstr>
      <vt:lpstr>Seismic Data (Unattached)</vt:lpstr>
      <vt:lpstr>snow load</vt:lpstr>
      <vt:lpstr>Strut Values</vt:lpstr>
      <vt:lpstr>Thermal Sliding Calcs</vt:lpstr>
      <vt:lpstr>Uplift Attachment Calcs</vt:lpstr>
      <vt:lpstr>ZIPS</vt:lpstr>
      <vt:lpstr>'5a-Unattached Report'!Print_Area</vt:lpstr>
      <vt:lpstr>'5b-Attached Report'!Print_Area</vt:lpstr>
      <vt:lpstr>'5c-Uplift Attach'!Print_Area</vt:lpstr>
      <vt:lpstr>'5-Report'!Print_Area</vt:lpstr>
      <vt:lpstr>'6-EcoMount Report'!Print_Area</vt:lpstr>
      <vt:lpstr>'BOM Estimate'!Print_Area</vt:lpstr>
      <vt:lpstr>'Land Matrix 10deg (lift)'!Print_Area</vt:lpstr>
      <vt:lpstr>'Land Matrix 5deg (lift)'!Print_Area</vt:lpstr>
      <vt:lpstr>'Port Matrix (lift)'!Print_Area</vt:lpstr>
      <vt:lpstr>Print_Estimate</vt:lpstr>
      <vt:lpstr>Print_Quote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Ecolibrium Solar(R) EcoCalcs (TM)</dc:title>
  <dc:creator>kbasarich@ecolibriumsolar.com</dc:creator>
  <dc:description>CONFIDENTIAL!
Sole property of Ecolibrium Solar. Unauthorized use, copy, or distribution is prohibited.</dc:description>
  <cp:lastModifiedBy>Kyle Basarich</cp:lastModifiedBy>
  <cp:lastPrinted>2017-12-20T19:11:27Z</cp:lastPrinted>
  <dcterms:created xsi:type="dcterms:W3CDTF">2012-08-20T17:06:29Z</dcterms:created>
  <dcterms:modified xsi:type="dcterms:W3CDTF">2018-07-06T22:11:14Z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ic View">
    <vt:lpwstr>, </vt:lpwstr>
  </property>
  <property fmtid="{D5CDD505-2E9C-101B-9397-08002B2CF9AE}" pid="3" name="ContentTypeId">
    <vt:lpwstr>0x0101004011A6FED853C2419E557C4FB5759963</vt:lpwstr>
  </property>
</Properties>
</file>